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s0gs\Desktop\SHIPS FILE\GIORGIS\TANK MANAGEMENT MV GIORGIS\"/>
    </mc:Choice>
  </mc:AlternateContent>
  <xr:revisionPtr revIDLastSave="0" documentId="13_ncr:1_{4C2870FB-B685-4D33-AAD3-428F7C9F71A5}" xr6:coauthVersionLast="47" xr6:coauthVersionMax="47" xr10:uidLastSave="{00000000-0000-0000-0000-000000000000}"/>
  <bookViews>
    <workbookView xWindow="-120" yWindow="-120" windowWidth="20730" windowHeight="11040" tabRatio="675" activeTab="13" xr2:uid="{00000000-000D-0000-FFFF-FFFF00000000}"/>
  </bookViews>
  <sheets>
    <sheet name="MAIN" sheetId="50" r:id="rId1"/>
    <sheet name="Data" sheetId="2" state="veryHidden" r:id="rId2"/>
    <sheet name="Bunkering" sheetId="39" r:id="rId3"/>
    <sheet name="Report" sheetId="8" state="veryHidden" r:id="rId4"/>
    <sheet name="Report1" sheetId="40" state="veryHidden" r:id="rId5"/>
    <sheet name="Report7" sheetId="52" state="veryHidden" r:id="rId6"/>
    <sheet name="Setup" sheetId="7" r:id="rId7"/>
    <sheet name="Tank1" sheetId="1" r:id="rId8"/>
    <sheet name="Tank2" sheetId="44" r:id="rId9"/>
    <sheet name="Tank3" sheetId="45" r:id="rId10"/>
    <sheet name="Report6" sheetId="49" state="veryHidden" r:id="rId11"/>
    <sheet name="Tank4" sheetId="46" r:id="rId12"/>
    <sheet name="Sheet1" sheetId="53" r:id="rId13"/>
    <sheet name="Report2" sheetId="41" r:id="rId14"/>
    <sheet name="Report3" sheetId="43" r:id="rId15"/>
    <sheet name="Report5" sheetId="48" r:id="rId16"/>
    <sheet name="Report4" sheetId="47" state="veryHidden" r:id="rId17"/>
    <sheet name="Conversion" sheetId="5" state="veryHidden" r:id="rId18"/>
    <sheet name="ASTM Tables" sheetId="3" state="veryHidden" r:id="rId19"/>
  </sheets>
  <functionGroups builtInGroupCount="19"/>
  <externalReferences>
    <externalReference r:id="rId20"/>
  </externalReferences>
  <definedNames>
    <definedName name="_xlnm._FilterDatabase" localSheetId="2" hidden="1">Bunkering!$B$9:$R$27</definedName>
    <definedName name="_xlnm._FilterDatabase" localSheetId="1" hidden="1">Data!$B$9:$R$27</definedName>
    <definedName name="aftDraft" localSheetId="15">Report5!$H$5</definedName>
    <definedName name="aftDraft" localSheetId="10">Report6!$K$5</definedName>
    <definedName name="aftDraft">Report4!$J$4</definedName>
    <definedName name="alongDate">Report2!$E$13</definedName>
    <definedName name="alongTime">Report2!$G$13</definedName>
    <definedName name="apiDen">Conversion!$G$1:$H$502</definedName>
    <definedName name="arrivalHfo">Report7!$T$20</definedName>
    <definedName name="arrivalMgo">Report7!$T$41</definedName>
    <definedName name="atAnchor">Setup!$D$25</definedName>
    <definedName name="atPort">Setup!$E$25</definedName>
    <definedName name="atSea">Setup!$D$23</definedName>
    <definedName name="bargeName">Report2!$D$10</definedName>
    <definedName name="bdnNumber">Report2!$D$11</definedName>
    <definedName name="bdnQuantity">Report2!$M$24</definedName>
    <definedName name="bunkerDate">Report2!$D$5</definedName>
    <definedName name="bunkerPlanHeel">Report3!$S$9</definedName>
    <definedName name="bunkerPlanTrim">Report3!$R$9</definedName>
    <definedName name="bunkerQuantity">Bunkering!$AF$12</definedName>
    <definedName name="bunkerRemarks">Report2!$H$17</definedName>
    <definedName name="bunkerSupplier">Report2!$D$8</definedName>
    <definedName name="bunkerTime">Bunkering!$AF$13</definedName>
    <definedName name="castDate">Report2!$E$18</definedName>
    <definedName name="castTime">Report2!$G$18</definedName>
    <definedName name="chEng">Setup!$G$21</definedName>
    <definedName name="consDate">Report7!$T$4</definedName>
    <definedName name="consumption1">Report7!$T$7</definedName>
    <definedName name="consumption10">Report7!$T$16</definedName>
    <definedName name="consumption11">Report7!$T$28</definedName>
    <definedName name="consumption110">Report7!$T$37</definedName>
    <definedName name="consumption12">Report7!$T$29</definedName>
    <definedName name="consumption13">Report7!$T$30</definedName>
    <definedName name="consumption14">Report7!$T$31</definedName>
    <definedName name="consumption15">Report7!$T$32</definedName>
    <definedName name="consumption16">Report7!$T$33</definedName>
    <definedName name="consumption17">Report7!$T$34</definedName>
    <definedName name="consumption18">Report7!$T$35</definedName>
    <definedName name="consumption19">Report7!$T$36</definedName>
    <definedName name="consumption2">Report7!$T$8</definedName>
    <definedName name="consumption3">Report7!$T$9</definedName>
    <definedName name="consumption4">Report7!$T$10</definedName>
    <definedName name="consumption5">Report7!$T$11</definedName>
    <definedName name="consumption6">Report7!$T$12</definedName>
    <definedName name="consumption7">Report7!$T$13</definedName>
    <definedName name="consumption8">Report7!$T$14</definedName>
    <definedName name="consumption9">Report7!$T$15</definedName>
    <definedName name="correct1">Data!$P$11</definedName>
    <definedName name="correct10">Data!$P$20</definedName>
    <definedName name="correct11">Data!$P$21</definedName>
    <definedName name="correct12">Data!$P$22</definedName>
    <definedName name="correct13">Data!$P$23</definedName>
    <definedName name="correct14">Data!$P$24</definedName>
    <definedName name="correct15">Data!$P$25</definedName>
    <definedName name="correct16">Data!$P$26</definedName>
    <definedName name="correct17">Data!$P$27</definedName>
    <definedName name="correct2">Data!$P$12</definedName>
    <definedName name="correct21" localSheetId="2">Bunkering!$P$11</definedName>
    <definedName name="correct210" localSheetId="2">Bunkering!$P$20</definedName>
    <definedName name="correct211" localSheetId="2">Bunkering!$P$21</definedName>
    <definedName name="correct212" localSheetId="2">Bunkering!$P$22</definedName>
    <definedName name="correct213" localSheetId="2">Bunkering!$P$23</definedName>
    <definedName name="correct214" localSheetId="2">Bunkering!$P$24</definedName>
    <definedName name="correct215">Bunkering!$P$25</definedName>
    <definedName name="correct216">Bunkering!$P$26</definedName>
    <definedName name="correct217">Bunkering!$P$27</definedName>
    <definedName name="correct22" localSheetId="2">Bunkering!$P$12</definedName>
    <definedName name="correct23" localSheetId="2">Bunkering!$P$13</definedName>
    <definedName name="correct24" localSheetId="2">Bunkering!$P$14</definedName>
    <definedName name="correct25" localSheetId="2">Bunkering!$P$15</definedName>
    <definedName name="correct26" localSheetId="2">Bunkering!$P$16</definedName>
    <definedName name="correct27" localSheetId="2">Bunkering!$P$17</definedName>
    <definedName name="correct28" localSheetId="2">Bunkering!$P$18</definedName>
    <definedName name="correct29" localSheetId="2">Bunkering!$P$19</definedName>
    <definedName name="correct3">Data!$P$13</definedName>
    <definedName name="correct4">Data!$P$14</definedName>
    <definedName name="correct5">Data!$P$15</definedName>
    <definedName name="correct6">Data!$P$16</definedName>
    <definedName name="correct7">Data!$P$17</definedName>
    <definedName name="correct8">Data!$P$18</definedName>
    <definedName name="correct9">Data!$P$19</definedName>
    <definedName name="currentSounding1">Tank1!$V$23</definedName>
    <definedName name="currentSounding12">Tank1!$V$3127</definedName>
    <definedName name="currentSounding13">Tank1!$V$3441</definedName>
    <definedName name="currentSounding16">Tank1!$V$5096</definedName>
    <definedName name="currentSounding2">Tank1!$V$289</definedName>
    <definedName name="currentSounding21">Tank1!$W$27</definedName>
    <definedName name="currentSounding212">Tank1!$W$3131</definedName>
    <definedName name="currentSounding213">Tank1!$W$3445</definedName>
    <definedName name="currentSounding216">Tank1!$W$5100</definedName>
    <definedName name="currentSounding22">Tank1!$W$293</definedName>
    <definedName name="currentSounding23">Tank1!$W$558</definedName>
    <definedName name="currentSounding24">Tank1!$W$822</definedName>
    <definedName name="currentSounding25">Tank1!$W$1086</definedName>
    <definedName name="currentSounding26">Tank1!$W$1634</definedName>
    <definedName name="currentSounding3">Tank1!$V$554</definedName>
    <definedName name="currentSounding4">Tank1!$V$818</definedName>
    <definedName name="currentSounding5">Tank1!$V$1082</definedName>
    <definedName name="currentSounding6">Tank1!$V$1630</definedName>
    <definedName name="currentUllage1">Report3!$R$14</definedName>
    <definedName name="currentUllage2">Report3!$R$15</definedName>
    <definedName name="currentUllage3">Report3!$R$16</definedName>
    <definedName name="currentUllage4">Report3!$R$17</definedName>
    <definedName name="currentUllage5">Report3!$R$18</definedName>
    <definedName name="currentUllage6">Report3!$R$19</definedName>
    <definedName name="currentVolume1">Tank1!$W$24</definedName>
    <definedName name="currentVolume12">Tank1!$W$3128</definedName>
    <definedName name="currentVolume13">Tank1!$W$3128</definedName>
    <definedName name="currentVolume16">Tank1!$W$5097</definedName>
    <definedName name="currentVolume2">Tank1!$W$290</definedName>
    <definedName name="currentVolume21">Tank1!$Y$27</definedName>
    <definedName name="currentVolume212">Tank1!$Y$3131</definedName>
    <definedName name="currentVolume213">Tank1!$Y$3445</definedName>
    <definedName name="currentVolume216">Tank1!$Y$5100</definedName>
    <definedName name="currentVolume22">Tank1!$Y$293</definedName>
    <definedName name="currentVolume23">Tank1!$Y$558</definedName>
    <definedName name="currentVolume24">Tank1!$Y$822</definedName>
    <definedName name="currentVolume25">Tank1!$Y$1086</definedName>
    <definedName name="currentVolume26">Tank1!$Y$1634</definedName>
    <definedName name="currentVolume3">Tank1!$W$555</definedName>
    <definedName name="currentVolume4">Tank1!$W$819</definedName>
    <definedName name="currentVolume5">Tank1!$W$1083</definedName>
    <definedName name="currentVolume6">Tank1!$W$1631</definedName>
    <definedName name="daily1">Report7!$N$7</definedName>
    <definedName name="daily10">Report7!$N$16</definedName>
    <definedName name="daily11">Report7!$N$28</definedName>
    <definedName name="daily110">Report7!$N$37</definedName>
    <definedName name="daily12">Report7!$N$29</definedName>
    <definedName name="daily13">Report7!$N$30</definedName>
    <definedName name="daily14">Report7!$N$31</definedName>
    <definedName name="daily15">Report7!$N$32</definedName>
    <definedName name="daily16">Report7!$N$33</definedName>
    <definedName name="daily17">Report7!$N$34</definedName>
    <definedName name="daily18">Report7!$N$35</definedName>
    <definedName name="daily19">Report7!$N$36</definedName>
    <definedName name="daily2">Report7!$N$8</definedName>
    <definedName name="daily3">Report7!$N$9</definedName>
    <definedName name="daily4">Report7!$N$10</definedName>
    <definedName name="daily5">Report7!$N$11</definedName>
    <definedName name="daily6">Report7!$N$12</definedName>
    <definedName name="daily7">Report7!$N$13</definedName>
    <definedName name="daily8">Report7!$N$14</definedName>
    <definedName name="daily9">Report7!$N$15</definedName>
    <definedName name="dateYear" localSheetId="15">Report5!$M$5</definedName>
    <definedName name="dateYear" localSheetId="10">Report6!$R$5</definedName>
    <definedName name="dateYear">Report4!$R$2</definedName>
    <definedName name="days1">Report7!$Q$7</definedName>
    <definedName name="days10">Report7!$Q$16</definedName>
    <definedName name="days11">Report7!$Q$28</definedName>
    <definedName name="days110">Report7!$Q$37</definedName>
    <definedName name="days12">Report7!$Q$29</definedName>
    <definedName name="days13">Report7!$Q$30</definedName>
    <definedName name="days14">Report7!$Q$31</definedName>
    <definedName name="days15">Report7!$Q$32</definedName>
    <definedName name="days16">Report7!$Q$33</definedName>
    <definedName name="days17">Report7!$Q$34</definedName>
    <definedName name="days18">Report7!$Q$35</definedName>
    <definedName name="days19">Report7!$Q$36</definedName>
    <definedName name="days2">Report7!$Q$8</definedName>
    <definedName name="days3">Report7!$Q$9</definedName>
    <definedName name="days4">Report7!$Q$10</definedName>
    <definedName name="days5">Report7!$Q$11</definedName>
    <definedName name="days6">Report7!$Q$12</definedName>
    <definedName name="days7">Report7!$Q$13</definedName>
    <definedName name="days8">Report7!$Q$14</definedName>
    <definedName name="days9">Report7!$Q$15</definedName>
    <definedName name="daysHfo">Report7!$H$24</definedName>
    <definedName name="daysHfoPort">Report7!$H$25</definedName>
    <definedName name="daysMgo">Report7!$H$45</definedName>
    <definedName name="daysMgoPort">Report7!$H$46</definedName>
    <definedName name="dens1">Data!$M$11</definedName>
    <definedName name="dens10">Data!$M$20</definedName>
    <definedName name="dens11">Data!$M$21</definedName>
    <definedName name="dens12">Data!$M$22</definedName>
    <definedName name="dens13">Data!$M$23</definedName>
    <definedName name="dens14">Data!$M$24</definedName>
    <definedName name="dens15">Data!$M$25</definedName>
    <definedName name="dens16">Data!$M$26</definedName>
    <definedName name="dens17">Data!$M$27</definedName>
    <definedName name="dens2">Data!$M$12</definedName>
    <definedName name="dens21" localSheetId="2">Bunkering!$M$11</definedName>
    <definedName name="dens210" localSheetId="2">Bunkering!$M$20</definedName>
    <definedName name="dens211" localSheetId="2">Bunkering!$M$21</definedName>
    <definedName name="dens212" localSheetId="2">Bunkering!$M$22</definedName>
    <definedName name="dens213" localSheetId="2">Bunkering!$M$23</definedName>
    <definedName name="dens214" localSheetId="2">Bunkering!$M$24</definedName>
    <definedName name="dens215">Bunkering!$M$25</definedName>
    <definedName name="dens216">Bunkering!$M$26</definedName>
    <definedName name="dens217">Bunkering!$M$27</definedName>
    <definedName name="dens22" localSheetId="2">Bunkering!$M$12</definedName>
    <definedName name="dens23" localSheetId="2">Bunkering!$M$13</definedName>
    <definedName name="dens24" localSheetId="2">Bunkering!$M$14</definedName>
    <definedName name="dens25" localSheetId="2">Bunkering!$M$15</definedName>
    <definedName name="dens26" localSheetId="2">Bunkering!$M$16</definedName>
    <definedName name="dens27" localSheetId="2">Bunkering!$M$17</definedName>
    <definedName name="dens28" localSheetId="2">Bunkering!$M$18</definedName>
    <definedName name="dens29" localSheetId="2">Bunkering!$M$19</definedName>
    <definedName name="dens3">Data!$M$13</definedName>
    <definedName name="dens4">Data!$M$14</definedName>
    <definedName name="dens5">Data!$M$15</definedName>
    <definedName name="dens6">Data!$M$16</definedName>
    <definedName name="dens7">Data!$M$17</definedName>
    <definedName name="dens8">Data!$M$18</definedName>
    <definedName name="dens9">Data!$M$19</definedName>
    <definedName name="densityHfo">Report2!$G$26</definedName>
    <definedName name="densityLsfo">Report2!$H$26</definedName>
    <definedName name="densityMdo">Report2!$I$26</definedName>
    <definedName name="densityMgo">Report2!$J$26</definedName>
    <definedName name="departureHfo">Report7!$H$18</definedName>
    <definedName name="departureMgo">Report7!$H$39</definedName>
    <definedName name="diff1">Data!$O$32</definedName>
    <definedName name="diff2">Data!$P$32</definedName>
    <definedName name="diff21">Bunkering!$O$32</definedName>
    <definedName name="diff22">Bunkering!$P$32</definedName>
    <definedName name="diff23">Bunkering!$Q$32</definedName>
    <definedName name="diff24">Bunkering!$R$32</definedName>
    <definedName name="diff3">Data!$Q$32</definedName>
    <definedName name="diff4">Data!$R$32</definedName>
    <definedName name="distance1">Report7!$H$7</definedName>
    <definedName name="distance10">Report7!$H$16</definedName>
    <definedName name="distance11">Report7!$H$28</definedName>
    <definedName name="distance110">Report7!$H$37</definedName>
    <definedName name="distance12">Report7!$H$29</definedName>
    <definedName name="distance13">Report7!$H$30</definedName>
    <definedName name="distance14">Report7!$H$31</definedName>
    <definedName name="distance15">Report7!$H$32</definedName>
    <definedName name="distance16">Report7!$H$33</definedName>
    <definedName name="distance17">Report7!$H$34</definedName>
    <definedName name="distance18">Report7!$H$35</definedName>
    <definedName name="distance19">Report7!$H$36</definedName>
    <definedName name="distance2">Report7!$H$8</definedName>
    <definedName name="distance3">Report7!$H$9</definedName>
    <definedName name="distance4">Report7!$H$10</definedName>
    <definedName name="distance5">Report7!$H$11</definedName>
    <definedName name="distance6">Report7!$H$12</definedName>
    <definedName name="distance7">Report7!$H$13</definedName>
    <definedName name="distance8">Report7!$H$14</definedName>
    <definedName name="distance9">Report7!$H$15</definedName>
    <definedName name="distanceHfo">Report7!$H$23</definedName>
    <definedName name="distanceMgo">Report7!$H$44</definedName>
    <definedName name="draftAft">Data!$F$7</definedName>
    <definedName name="draftAft1" localSheetId="2">Bunkering!$F$7</definedName>
    <definedName name="draftFwd">Data!$D$7</definedName>
    <definedName name="draftFwd1" localSheetId="2">Bunkering!$D$7</definedName>
    <definedName name="draftMean">Data!$H$7</definedName>
    <definedName name="draftMean1" localSheetId="2">Bunkering!$H$7</definedName>
    <definedName name="erTemp">Data!$O$7</definedName>
    <definedName name="erTemp1" localSheetId="2">Bunkering!$O$7</definedName>
    <definedName name="foTank1">"Check Box 15"</definedName>
    <definedName name="foTank10">"Check Box 113"</definedName>
    <definedName name="foTank11">"Check Box 49"</definedName>
    <definedName name="foTank12">"Check Box 33"</definedName>
    <definedName name="foTank13">"Check Box 34"</definedName>
    <definedName name="foTank14">"Check Box 204"</definedName>
    <definedName name="foTank2">"Check Box 16"</definedName>
    <definedName name="foTank3">"Check Box 17"</definedName>
    <definedName name="foTank4">"Check Box 46"</definedName>
    <definedName name="foTank5">"Check Box 107"</definedName>
    <definedName name="foTank6">"Check Box 108"</definedName>
    <definedName name="foTank7">"Check Box 47"</definedName>
    <definedName name="foTank8">"Check Box 48"</definedName>
    <definedName name="foTank9">"Check Box 110"</definedName>
    <definedName name="from1">Report7!$B$7</definedName>
    <definedName name="from10">Report7!$B$16</definedName>
    <definedName name="from11">Report7!$B$28</definedName>
    <definedName name="from110">Report7!$B$37</definedName>
    <definedName name="from12">Report7!$B$29</definedName>
    <definedName name="from13">Report7!$B$30</definedName>
    <definedName name="from14">Report7!$B$31</definedName>
    <definedName name="from15">Report7!$B$32</definedName>
    <definedName name="from16">Report7!$B$33</definedName>
    <definedName name="from17">Report7!$B$34</definedName>
    <definedName name="from18">Report7!$B$35</definedName>
    <definedName name="from19">Report7!$B$36</definedName>
    <definedName name="from2">Report7!$B$8</definedName>
    <definedName name="from3">Report7!$B$9</definedName>
    <definedName name="from4">Report7!$B$10</definedName>
    <definedName name="from5">Report7!$B$11</definedName>
    <definedName name="from6">Report7!$B$12</definedName>
    <definedName name="from7">Report7!$B$13</definedName>
    <definedName name="from8">Report7!$B$14</definedName>
    <definedName name="from9">Report7!$B$15</definedName>
    <definedName name="fuelGrade1">Report2!$I$21</definedName>
    <definedName name="fuelRate">Bunkering!$AF$11</definedName>
    <definedName name="fuelType">Bunkering!$AG$11</definedName>
    <definedName name="fuelType1">Report2!$E$21</definedName>
    <definedName name="fuelType31">Data!$AI$11</definedName>
    <definedName name="fuelType310">Data!$AI$20</definedName>
    <definedName name="fuelType311">Data!$AI$21</definedName>
    <definedName name="fuelType312">Data!$AI$22</definedName>
    <definedName name="fuelType313">Data!$AI$23</definedName>
    <definedName name="fuelType314">Data!$AI$24</definedName>
    <definedName name="fuelType315">Data!$AI$25</definedName>
    <definedName name="fuelType316">Data!$AI$26</definedName>
    <definedName name="fuelType317">Data!$AI$27</definedName>
    <definedName name="fuelType32">Data!$AI$12</definedName>
    <definedName name="fuelType33">Data!$AI$13</definedName>
    <definedName name="fuelType34">Data!$AI$14</definedName>
    <definedName name="fuelType35">Data!$AI$15</definedName>
    <definedName name="fuelType36">Data!$AI$16</definedName>
    <definedName name="fuelType37">Data!$AI$17</definedName>
    <definedName name="fuelType38">Data!$AI$18</definedName>
    <definedName name="fuelType39">Data!$AI$19</definedName>
    <definedName name="fuelType41">Bunkering!$AM$11</definedName>
    <definedName name="fuelType410">Bunkering!$AM$20</definedName>
    <definedName name="fuelType411">Bunkering!$AM$21</definedName>
    <definedName name="fuelType412">Bunkering!$AM$22</definedName>
    <definedName name="fuelType413">Bunkering!$AM$23</definedName>
    <definedName name="fuelType414">Bunkering!$AM$24</definedName>
    <definedName name="fuelType415">Bunkering!$AM$25</definedName>
    <definedName name="fuelType416">Bunkering!$AM$26</definedName>
    <definedName name="fuelType417">Bunkering!$AM$27</definedName>
    <definedName name="fuelType42">Bunkering!$AM$12</definedName>
    <definedName name="fuelType43">Bunkering!$AM$13</definedName>
    <definedName name="fuelType44">Bunkering!$AM$14</definedName>
    <definedName name="fuelType45">Bunkering!$AM$15</definedName>
    <definedName name="fuelType46">Bunkering!$AM$16</definedName>
    <definedName name="fuelType47">Bunkering!$AM$17</definedName>
    <definedName name="fuelType48">Bunkering!$AM$18</definedName>
    <definedName name="fuelType49">Bunkering!$AM$19</definedName>
    <definedName name="fuelType51">Data!$AD$11</definedName>
    <definedName name="fuelType510">Data!$AD$20</definedName>
    <definedName name="fuelType511">Data!$AD$21</definedName>
    <definedName name="fuelType512">Data!$AD$22</definedName>
    <definedName name="fuelType513">Data!$AD$23</definedName>
    <definedName name="fuelType514">Data!$AD$24</definedName>
    <definedName name="fuelType515">Data!$AD$25</definedName>
    <definedName name="fuelType516">Data!$AD$26</definedName>
    <definedName name="fuelType517">Data!$AD$27</definedName>
    <definedName name="fuelType52">Data!$AD$12</definedName>
    <definedName name="fuelType53">Data!$AD$13</definedName>
    <definedName name="fuelType54">Data!$AD$14</definedName>
    <definedName name="fuelType55">Data!$AD$15</definedName>
    <definedName name="fuelType56">Data!$AD$16</definedName>
    <definedName name="fuelType57">Data!$AD$17</definedName>
    <definedName name="fuelType58">Data!$AD$18</definedName>
    <definedName name="fuelType59">Data!$AD$19</definedName>
    <definedName name="fuelType61">Bunkering!$AH$11</definedName>
    <definedName name="fuelType610">Bunkering!$AH$20</definedName>
    <definedName name="fuelType611">Bunkering!$AH$21</definedName>
    <definedName name="fuelType612">Bunkering!$AH$22</definedName>
    <definedName name="fuelType613">Bunkering!$AH$23</definedName>
    <definedName name="fuelType614">Bunkering!$AH$24</definedName>
    <definedName name="fuelType615">Bunkering!$AH$25</definedName>
    <definedName name="fuelType616">Bunkering!$AH$26</definedName>
    <definedName name="fuelType617">Bunkering!$AH$27</definedName>
    <definedName name="fuelType62">Bunkering!$AH$12</definedName>
    <definedName name="fuelType63">Bunkering!$AH$13</definedName>
    <definedName name="fuelType64">Bunkering!$AH$14</definedName>
    <definedName name="fuelType65">Bunkering!$AH$15</definedName>
    <definedName name="fuelType66">Bunkering!$AH$16</definedName>
    <definedName name="fuelType67">Bunkering!$AH$17</definedName>
    <definedName name="fuelType68">Bunkering!$AH$18</definedName>
    <definedName name="fuelType69">Bunkering!$AH$19</definedName>
    <definedName name="fuelTypeReport3">Report3!$C$10</definedName>
    <definedName name="fwdDraft">Report4!$F$4</definedName>
    <definedName name="hcyl">Tank2!$C$795</definedName>
    <definedName name="heel1">"Drop Down 2"</definedName>
    <definedName name="heelDraft">Report4!$V$4</definedName>
    <definedName name="heelDraft1">Report4!$X$4</definedName>
    <definedName name="heeling">Data!$W$13</definedName>
    <definedName name="heeling1" localSheetId="2">Bunkering!$W$13</definedName>
    <definedName name="heelValue">Data!$W$12</definedName>
    <definedName name="heelValue1">Bunkering!$W$12</definedName>
    <definedName name="hfoAdded">Report2!$G$30</definedName>
    <definedName name="hfoPres">Report2!$G$31</definedName>
    <definedName name="hfoPrev">Report2!$G$29</definedName>
    <definedName name="hoseConnectDate">Report2!$E$14</definedName>
    <definedName name="hoseConnectTime">Report2!$G$14</definedName>
    <definedName name="hoseDisconnectDate">Report2!$E$17</definedName>
    <definedName name="hoseDisconnectTime">Report2!$G$17</definedName>
    <definedName name="inc">Tank1!$Y$1</definedName>
    <definedName name="incHeel">Tank1!$Z$1</definedName>
    <definedName name="incOil1">Tank2!$AA$6</definedName>
    <definedName name="incOil2">Tank2!$AB$6</definedName>
    <definedName name="kindSurvey">Data!$U$28</definedName>
    <definedName name="kindSurvey1" localSheetId="2">Bunkering!$U$28</definedName>
    <definedName name="lastRow">Report4!$X$2</definedName>
    <definedName name="LetterProtest">Report2!$D$12</definedName>
    <definedName name="lfoAdded">Report2!$H$30</definedName>
    <definedName name="lfoPres">Report2!$H$31</definedName>
    <definedName name="lfoPrev">Report2!$H$29</definedName>
    <definedName name="logBook1">Data!$O$31</definedName>
    <definedName name="logBook2">Data!$P$31</definedName>
    <definedName name="logbook21">Bunkering!$O$31</definedName>
    <definedName name="logbook22">Bunkering!$P$31</definedName>
    <definedName name="logbook23">Bunkering!$Q$31</definedName>
    <definedName name="logbook24">Bunkering!$R$31</definedName>
    <definedName name="logBook3">Data!$Q$31</definedName>
    <definedName name="logBook4">Data!$R$31</definedName>
    <definedName name="lubeOil1">Data!$C$30</definedName>
    <definedName name="lubeOil2">Data!$C$31</definedName>
    <definedName name="lubeOil21">Bunkering!$C$30</definedName>
    <definedName name="lubeOil22">Bunkering!$C$31</definedName>
    <definedName name="lubeOil23">Bunkering!$C$32</definedName>
    <definedName name="lubeOil24">Bunkering!$C$33</definedName>
    <definedName name="lubeOil3">Data!$C$32</definedName>
    <definedName name="lubeOil4">Data!$C$33</definedName>
    <definedName name="marginHfo">Report7!$H$19</definedName>
    <definedName name="marginMgo">Report7!$H$40</definedName>
    <definedName name="mdoAdded">Report2!$I$30</definedName>
    <definedName name="mdoPres">Report2!$I$31</definedName>
    <definedName name="mdoPrev">Report2!$I$29</definedName>
    <definedName name="meanDraft">Report4!$N$4</definedName>
    <definedName name="method1">"Drop Down 4"</definedName>
    <definedName name="method10">"Drop Down 114"</definedName>
    <definedName name="method11">"Drop Down 29"</definedName>
    <definedName name="method12">"Drop Down 32"</definedName>
    <definedName name="method13">"Drop Down 203"</definedName>
    <definedName name="method14">"Drop Down 206"</definedName>
    <definedName name="method2">"Drop Down 5"</definedName>
    <definedName name="method21">Data!$V$11</definedName>
    <definedName name="method210">Data!$V$20</definedName>
    <definedName name="method211">Data!$V$21</definedName>
    <definedName name="method212">Data!$V$22</definedName>
    <definedName name="method213">Data!$V$23</definedName>
    <definedName name="method214">Data!$V$24</definedName>
    <definedName name="method215">Data!$V$25</definedName>
    <definedName name="method216">Data!$V$26</definedName>
    <definedName name="method217">Data!$V$27</definedName>
    <definedName name="method22">Data!$V$12</definedName>
    <definedName name="method23">Data!$V$13</definedName>
    <definedName name="method24">Data!$V$14</definedName>
    <definedName name="method25">Data!$V$15</definedName>
    <definedName name="method26">Data!$V$16</definedName>
    <definedName name="method27">Data!$V$17</definedName>
    <definedName name="method28">Data!$V$18</definedName>
    <definedName name="method29">Data!$V$19</definedName>
    <definedName name="method3">"Drop Down 6"</definedName>
    <definedName name="method4">"Drop Down 7"</definedName>
    <definedName name="method41">Bunkering!$V$11</definedName>
    <definedName name="method410">Bunkering!$V$20</definedName>
    <definedName name="method411">Bunkering!$V$21</definedName>
    <definedName name="method412">Bunkering!$V$22</definedName>
    <definedName name="method413">Bunkering!$V$23</definedName>
    <definedName name="method414">Bunkering!$V$24</definedName>
    <definedName name="method415">Bunkering!$V$25</definedName>
    <definedName name="method416">Bunkering!$V$26</definedName>
    <definedName name="method417">Bunkering!$V$27</definedName>
    <definedName name="method42">Bunkering!$V$12</definedName>
    <definedName name="method43">Bunkering!$V$13</definedName>
    <definedName name="method44">Bunkering!$V$14</definedName>
    <definedName name="method45">Bunkering!$V$15</definedName>
    <definedName name="method46">Bunkering!$V$16</definedName>
    <definedName name="method47">Bunkering!$V$17</definedName>
    <definedName name="method48">Bunkering!$V$18</definedName>
    <definedName name="method49">Bunkering!$V$19</definedName>
    <definedName name="method5">"Drop Down 8"</definedName>
    <definedName name="method6">"Drop Down 104"</definedName>
    <definedName name="method7">"Drop Down 105"</definedName>
    <definedName name="method8">"Drop Down 106"</definedName>
    <definedName name="method9">"Drop Down 111"</definedName>
    <definedName name="methodValue11">Data!$S$11</definedName>
    <definedName name="methodValue110">Data!$S$20</definedName>
    <definedName name="methodValue111">Data!$S$21</definedName>
    <definedName name="methodValue112">Data!$S$22</definedName>
    <definedName name="methodValue113">Data!$S$23</definedName>
    <definedName name="methodValue114">Data!$S$24</definedName>
    <definedName name="methodValue115">Data!$S$25</definedName>
    <definedName name="methodValue116">Data!$S$26</definedName>
    <definedName name="methodValue117">Data!$S$27</definedName>
    <definedName name="methodValue12">Data!$S$12</definedName>
    <definedName name="methodValue13">Data!$S$13</definedName>
    <definedName name="methodValue14">Data!$S$14</definedName>
    <definedName name="methodValue15">Data!$S$15</definedName>
    <definedName name="methodValue16">Data!$S$16</definedName>
    <definedName name="methodValue17">Data!$S$17</definedName>
    <definedName name="methodValue18">Data!$S$18</definedName>
    <definedName name="methodValue19">Data!$S$19</definedName>
    <definedName name="methodValue21">Bunkering!$S$11</definedName>
    <definedName name="methodValue210">Bunkering!$S$20</definedName>
    <definedName name="methodValue211">Bunkering!$S$21</definedName>
    <definedName name="methodValue212">Bunkering!$S$22</definedName>
    <definedName name="methodValue213">Bunkering!$S$23</definedName>
    <definedName name="methodValue214">Bunkering!$S$24</definedName>
    <definedName name="methodValue215">Bunkering!$S$25</definedName>
    <definedName name="methodValue216">Bunkering!$S$26</definedName>
    <definedName name="methodValue217">Bunkering!$S$27</definedName>
    <definedName name="methodValue22">Bunkering!$S$12</definedName>
    <definedName name="methodValue23">Bunkering!$S$13</definedName>
    <definedName name="methodValue24">Bunkering!$S$14</definedName>
    <definedName name="methodValue25">Bunkering!$S$15</definedName>
    <definedName name="methodValue26">Bunkering!$S$16</definedName>
    <definedName name="methodValue27">Bunkering!$S$17</definedName>
    <definedName name="methodValue28">Bunkering!$S$18</definedName>
    <definedName name="methodValue29">Bunkering!$S$19</definedName>
    <definedName name="mgoAdded">Report2!$J$30</definedName>
    <definedName name="mgoPres">Report2!$J$31</definedName>
    <definedName name="mgoPrev">Report2!$J$29</definedName>
    <definedName name="Misc10Heel">Tank3!$Y$1120</definedName>
    <definedName name="Misc10Heel1">Tank3!$L$1121:$L$1146</definedName>
    <definedName name="Misc10Heel2">Tank3!$M$1120:$U$1120</definedName>
    <definedName name="Misc10Heel3">Tank3!$M$1121:$U$1146</definedName>
    <definedName name="Misc10trim">Tank3!$Y$1124</definedName>
    <definedName name="Misc10Trim1">Tank3!$A$1121:$A$1170</definedName>
    <definedName name="Misc10Trim2">Tank3!$B$1120:$I$1120</definedName>
    <definedName name="Misc10Trim3">Tank3!$B$1121:$J$1170</definedName>
    <definedName name="misc11Heel">Tank3!$Y$1193</definedName>
    <definedName name="misc11Heel1">Tank3!$L$1194:$L$1216</definedName>
    <definedName name="misc11Heel2">Tank3!$M$1193:$U$1193</definedName>
    <definedName name="misc11Heel3">Tank3!$M$1194:$U$1216</definedName>
    <definedName name="misc11Trim">Tank3!$Y$1197</definedName>
    <definedName name="misc11Trim1">Tank3!$A$1194:$A$1236</definedName>
    <definedName name="misc11Trim2">Tank3!$B$1193:$I$1193</definedName>
    <definedName name="misc11Trim3">Tank3!$B$1194:$I$1236</definedName>
    <definedName name="Misc1Heel">Tank3!$Y$9</definedName>
    <definedName name="Misc1Heel1">Tank3!$L$10:$L$36</definedName>
    <definedName name="Misc1Heel2">Tank3!$M$9:$U$9</definedName>
    <definedName name="Misc1Heel3">Tank3!$M$10:$U$36</definedName>
    <definedName name="Misc1Trim">Tank3!$Y$13</definedName>
    <definedName name="Misc1Trim1">Tank3!$A$10:$A$60</definedName>
    <definedName name="Misc1Trim2">Tank3!$B$9:$I$9</definedName>
    <definedName name="Misc1Trim3">Tank3!$B$10:$I$60</definedName>
    <definedName name="Misc2Heel">Tank3!$Y$129</definedName>
    <definedName name="Misc2Heel1">Tank3!$L$130:$L$142</definedName>
    <definedName name="Misc2Heel2">Tank3!$M$129:$U$129</definedName>
    <definedName name="Misc2Heel3">Tank3!$M$130:$U$142</definedName>
    <definedName name="Misc2Trim">Tank3!$Y$133</definedName>
    <definedName name="Misc2Trim1">Tank3!$A$130:$A$149</definedName>
    <definedName name="Misc2Trim2">Tank3!$B$129:$I$129</definedName>
    <definedName name="Misc2Trim3">Tank3!$B$130:$I$149</definedName>
    <definedName name="Misc3Heel">Tank3!$Y$250</definedName>
    <definedName name="Misc3Heel1">Tank3!$L$251:$L$275</definedName>
    <definedName name="Misc3Heel2">Tank3!$M$250:$U$250</definedName>
    <definedName name="Misc3Heel3">Tank3!$M$251:$U$275</definedName>
    <definedName name="Misc3Trim">Tank3!$Y$254</definedName>
    <definedName name="Misc3Trim1">Tank3!$A$251:$A$297</definedName>
    <definedName name="Misc3Trim2">Tank3!$B$250:$I$250</definedName>
    <definedName name="Misc3Trim3">Tank3!$B$251:$I$297</definedName>
    <definedName name="Misc4Heel">Tank3!$Y$397</definedName>
    <definedName name="Misc4Heel1">Tank3!$L$398:$L$457</definedName>
    <definedName name="Misc4Heel2">Tank3!$O$397:$S$397</definedName>
    <definedName name="Misc4Heel3">Tank3!$O$398:$S$457</definedName>
    <definedName name="Misc4Trim">Tank3!$Y$401</definedName>
    <definedName name="Misc4Trim1">Tank3!$A$398:$A$457</definedName>
    <definedName name="Misc4Trim2">Tank3!$B$397:$J$397</definedName>
    <definedName name="Misc4Trim3">Tank3!$B$398:$J$457</definedName>
    <definedName name="Misc5Heel">Tank3!$Y$667</definedName>
    <definedName name="Misc5Heel1">Tank3!$L$668:$L$678</definedName>
    <definedName name="Misc5Heel2">Tank3!$O$667:$S$667</definedName>
    <definedName name="Misc5Heel3">Tank3!$O$668:$S$678</definedName>
    <definedName name="Misc5Trim">Tank3!$Y$671</definedName>
    <definedName name="Misc5Trim1">Tank3!$A$668:$A$678</definedName>
    <definedName name="Misc5Trim2">Tank3!$B$667:$J$667</definedName>
    <definedName name="Misc5Trim3">Tank3!$B$668:$J$678</definedName>
    <definedName name="Misc6Heel">Tank3!$Y$773</definedName>
    <definedName name="Misc6Heel1">Tank3!$L$774:$L$784</definedName>
    <definedName name="Misc6Heel2">Tank3!$O$773:$S$773</definedName>
    <definedName name="Misc6Heel3">Tank3!$O$774:$S$784</definedName>
    <definedName name="Misc6Trim">Tank3!$Y$777</definedName>
    <definedName name="Misc6Trim1">Tank3!$A$774:$A$784</definedName>
    <definedName name="Misc6Trim2">Tank3!$B$773:$J$773</definedName>
    <definedName name="Misc6Trim3">Tank3!$B$774:$J$784</definedName>
    <definedName name="Misc7Heel">Tank3!$Y$897</definedName>
    <definedName name="Misc7Heel1">Tank3!$L$898:$L$908</definedName>
    <definedName name="Misc7Heel2">Tank3!$M$897:$U$897</definedName>
    <definedName name="Misc7Heel3">Tank3!$M$898:$U$908</definedName>
    <definedName name="Misc7Trim">Tank3!$Y$901</definedName>
    <definedName name="Misc7Trim1">Tank3!$A$898:$A$908</definedName>
    <definedName name="Misc7Trim2">Tank3!$B$897:$I$897</definedName>
    <definedName name="Misc7Trim3">Tank3!$B$898:$I$908</definedName>
    <definedName name="Misc8Heel">Tank3!$Y$1016</definedName>
    <definedName name="Misc8Heel1">Tank3!$L$1017:$L$1046</definedName>
    <definedName name="Misc8Heel2">Tank3!$O$1016:$S$1016</definedName>
    <definedName name="Misc8Heel3">Tank3!$O$1017:$S$1046</definedName>
    <definedName name="Misc8Trim">Tank3!$Y$1020</definedName>
    <definedName name="Misc8Trim1">Tank3!$A$1017:$A$1046</definedName>
    <definedName name="Misc8Trim2">Tank3!$B$1016:$J$1016</definedName>
    <definedName name="Misc8Trim3">Tank3!$B$1017:$J$1046</definedName>
    <definedName name="Misc9Heel">Tank3!$Y$1068</definedName>
    <definedName name="Misc9Heel1">Tank3!$L$1069:$L$1080</definedName>
    <definedName name="Misc9Heel2">Tank3!$O$1068:$S$1068</definedName>
    <definedName name="Misc9Heel3">Tank3!$O$1069:$S$1080</definedName>
    <definedName name="Misc9Trim">Tank3!$Y$1072</definedName>
    <definedName name="Misc9Trim1">Tank3!$A$1069:$A$1080</definedName>
    <definedName name="Misc9Trim2">Tank3!$B$1068:$J$1068</definedName>
    <definedName name="Misc9Trim3">Tank3!$B$1069:$J$1080</definedName>
    <definedName name="miscAll" localSheetId="15">Report5!$B$11:$M$41</definedName>
    <definedName name="miscAll" localSheetId="10">Report6!$B$10:$Q$40</definedName>
    <definedName name="miscAll">Report4!$B$9:$W$39</definedName>
    <definedName name="miscMonth">Report4!$Y$2</definedName>
    <definedName name="MiscSound1">Tank3!$Z$9</definedName>
    <definedName name="MiscSound10">Tank3!$Z$1120</definedName>
    <definedName name="MiscSound11">Tank3!$Z$1193</definedName>
    <definedName name="MiscSound2">Tank3!$Z$129</definedName>
    <definedName name="MiscSound3">Tank3!$Z$250</definedName>
    <definedName name="MiscSound4">Tank3!$Z$397</definedName>
    <definedName name="MiscSound5">Tank3!$Z$667</definedName>
    <definedName name="MiscSound6">Tank3!$Z$773</definedName>
    <definedName name="MiscSound7">Tank3!$Z$897</definedName>
    <definedName name="MiscSound8">Tank3!$Z$1016</definedName>
    <definedName name="MiscSound9">Tank3!$Z$1068</definedName>
    <definedName name="miscTank1">Report4!$X$8</definedName>
    <definedName name="miscTank10">Report4!$X$17</definedName>
    <definedName name="miscTank11">Report4!$X$18</definedName>
    <definedName name="miscTank2">Report4!$X$9</definedName>
    <definedName name="miscTank21">Report4!$Y$8</definedName>
    <definedName name="miscTank210">Report4!$Y$17</definedName>
    <definedName name="miscTank211">Report4!$Y$18</definedName>
    <definedName name="miscTank22">Report4!$Y$9</definedName>
    <definedName name="miscTank23">Report4!$Y$10</definedName>
    <definedName name="miscTank24">Report4!$Y$11</definedName>
    <definedName name="miscTank25">Report4!$Y$12</definedName>
    <definedName name="miscTank26">Report4!$Y$13</definedName>
    <definedName name="miscTank27">Report4!$Y$14</definedName>
    <definedName name="miscTank28">Report4!$Y$15</definedName>
    <definedName name="miscTank29">Report4!$Y$16</definedName>
    <definedName name="miscTank3">Report4!$X$10</definedName>
    <definedName name="miscTank4">Report4!$X$11</definedName>
    <definedName name="miscTank5">Report4!$X$12</definedName>
    <definedName name="miscTank6">Report4!$X$13</definedName>
    <definedName name="miscTank7">Report4!$X$14</definedName>
    <definedName name="miscTank8">Report4!$X$15</definedName>
    <definedName name="miscTank9">Report4!$X$16</definedName>
    <definedName name="MiscVolume1">Tank3!$AB$9</definedName>
    <definedName name="MiscVolume10">Tank3!$AB$1120</definedName>
    <definedName name="MiscVolume11">Tank3!$AB$1193</definedName>
    <definedName name="MiscVolume2">Tank3!$AB$129</definedName>
    <definedName name="MiscVolume3">Tank3!$AB$250</definedName>
    <definedName name="MiscVolume4">Tank3!$AB$397</definedName>
    <definedName name="MiscVolume5">Tank3!$AB$667</definedName>
    <definedName name="MiscVolume6">Tank3!$AB$773</definedName>
    <definedName name="MiscVolume7">Tank3!$AB$897</definedName>
    <definedName name="MiscVolume8">Tank3!$AB$1016</definedName>
    <definedName name="MiscVolume9">Tank3!$AB$1068</definedName>
    <definedName name="miscYear">Report4!$Z$2</definedName>
    <definedName name="newDate">Data!$S$2</definedName>
    <definedName name="newDate1">Bunkering!$S$2</definedName>
    <definedName name="nextHfo">Report7!$T$24</definedName>
    <definedName name="nextMgo">Report7!$T$45</definedName>
    <definedName name="observe1">Data!$I$11</definedName>
    <definedName name="observe10">Data!$I$20</definedName>
    <definedName name="observe11">Data!$I$21</definedName>
    <definedName name="observe12">Data!$I$22</definedName>
    <definedName name="observe13">Data!$I$23</definedName>
    <definedName name="observe14">Data!$I$24</definedName>
    <definedName name="observe15">Data!$I$25</definedName>
    <definedName name="observe16">Data!$I$26</definedName>
    <definedName name="observe17">Data!$I$27</definedName>
    <definedName name="observe2">Data!$I$12</definedName>
    <definedName name="observe21" localSheetId="2">Bunkering!$I$11</definedName>
    <definedName name="observe210" localSheetId="2">Bunkering!$I$20</definedName>
    <definedName name="observe211" localSheetId="2">Bunkering!$I$21</definedName>
    <definedName name="observe212" localSheetId="2">Bunkering!$I$22</definedName>
    <definedName name="observe213" localSheetId="2">Bunkering!$I$23</definedName>
    <definedName name="observe214" localSheetId="2">Bunkering!$I$24</definedName>
    <definedName name="observe215">Bunkering!$I$25</definedName>
    <definedName name="observe216">Bunkering!$I$26</definedName>
    <definedName name="observe217">Bunkering!$I$27</definedName>
    <definedName name="observe22" localSheetId="2">Bunkering!$I$12</definedName>
    <definedName name="observe23" localSheetId="2">Bunkering!$I$13</definedName>
    <definedName name="observe24" localSheetId="2">Bunkering!$I$14</definedName>
    <definedName name="observe25" localSheetId="2">Bunkering!$I$15</definedName>
    <definedName name="observe26" localSheetId="2">Bunkering!$I$16</definedName>
    <definedName name="observe27" localSheetId="2">Bunkering!$I$17</definedName>
    <definedName name="observe28" localSheetId="2">Bunkering!$I$18</definedName>
    <definedName name="observe29" localSheetId="2">Bunkering!$I$19</definedName>
    <definedName name="observe3">Data!$I$13</definedName>
    <definedName name="observe4">Data!$I$14</definedName>
    <definedName name="observe5">Data!$I$15</definedName>
    <definedName name="observe6">Data!$I$16</definedName>
    <definedName name="observe7">Data!$I$17</definedName>
    <definedName name="observe8">Data!$I$18</definedName>
    <definedName name="observe9">Data!$I$19</definedName>
    <definedName name="Oil1Heel">Tank2!$AA$10</definedName>
    <definedName name="Oil1Heel1">Tank2!$N$11:$N$57</definedName>
    <definedName name="Oil1Heel2">Tank2!$O$10:$W$10</definedName>
    <definedName name="Oil1Heel3">Tank2!$O$11:$W$57</definedName>
    <definedName name="Oil1Trim">Tank2!$AA$14</definedName>
    <definedName name="Oil1Trim1">Tank2!$A$11:$A$102</definedName>
    <definedName name="Oil1Trim2">Tank2!$B$10:$I$10</definedName>
    <definedName name="Oil1Trim3">Tank2!$B$11:$I$102</definedName>
    <definedName name="Oil2Heel">Tank2!$AA$242</definedName>
    <definedName name="Oil2Heel1">Tank2!$N$243:$N$289</definedName>
    <definedName name="Oil2Heel2">Tank2!$O$242:$W$242</definedName>
    <definedName name="Oil2Heel3">Tank2!$O$243:$W$289</definedName>
    <definedName name="Oil2Trim">Tank2!$AA$246</definedName>
    <definedName name="Oil2Trim1">Tank2!$A$243:$A$334</definedName>
    <definedName name="Oil2Trim2">Tank2!$B$242:$I$242</definedName>
    <definedName name="Oil2Trim3">Tank2!$B$243:$L$334</definedName>
    <definedName name="Oil3Heel">Tank2!$AA$472</definedName>
    <definedName name="Oil3Heel1">Tank2!$N$473:$N$520</definedName>
    <definedName name="Oil3Heel2">Tank2!$O$472:$W$472</definedName>
    <definedName name="Oil3Heel3">Tank2!$O$473:$W$520</definedName>
    <definedName name="Oil3Trim">Tank2!$AA$476</definedName>
    <definedName name="Oil3Trim1">Tank2!$A$473:$A$565</definedName>
    <definedName name="Oil3Trim2">Tank2!$B$472:$I$472</definedName>
    <definedName name="Oil3Trim3">Tank2!$B$473:$I$565</definedName>
    <definedName name="Oil4Heel">Tank2!$AA$702</definedName>
    <definedName name="Oil4Heel1">Tank2!$N$703:$N$750</definedName>
    <definedName name="Oil4Heel2">Tank2!$O$702:$W$702</definedName>
    <definedName name="Oil4Heel3">Tank2!$O$703:$W$750</definedName>
    <definedName name="Oil4Trim">Tank2!$AA$706</definedName>
    <definedName name="Oil4Trim1">Tank2!$A$703:$A$795</definedName>
    <definedName name="Oil4Trim2">Tank2!$B$702:$I$702</definedName>
    <definedName name="Oil4Trim3">Tank2!$B$703:$I$795</definedName>
    <definedName name="Oil5Heel">Tank2!$AA$927</definedName>
    <definedName name="Oil5Heel1">Tank2!$N$928:$N$950</definedName>
    <definedName name="Oil5Heel2">Tank2!$O$927:$W$927</definedName>
    <definedName name="Oil5Heel3">Tank2!$O$928:$W$950</definedName>
    <definedName name="Oil5Trim">Tank2!$AA$931</definedName>
    <definedName name="Oil5Trim1">Tank2!$A$928:$A$970</definedName>
    <definedName name="Oil5Trim2">Tank2!$B$927:$I$927</definedName>
    <definedName name="Oil5Trim3">Tank2!$B$928:$I$970</definedName>
    <definedName name="Oil6Heel">Tank2!$AA$984</definedName>
    <definedName name="Oil6Heel1">Tank2!$N$985:$N$1031</definedName>
    <definedName name="Oil6Heel2">Tank2!$O$984:$W$984</definedName>
    <definedName name="Oil6Heel3">Tank2!$O$985:$W$1036</definedName>
    <definedName name="Oil6Trim">Tank2!$AA$988</definedName>
    <definedName name="Oil6Trim1">Tank2!$A$985:$A$1076</definedName>
    <definedName name="Oil6Trim2">Tank2!$B$984:$I$984</definedName>
    <definedName name="Oil6Trim3">Tank2!$B$985:$I$1076</definedName>
    <definedName name="Oil7Heel">Tank2!$AA$1216</definedName>
    <definedName name="Oil7Heel1">Tank2!$N$1217:$N$1263</definedName>
    <definedName name="Oil7Heel2">Tank2!$O$1216:$W$1216</definedName>
    <definedName name="Oil7Heel3">Tank2!$O$1217:$W$1263</definedName>
    <definedName name="Oil7Trim">Tank2!$AA$1220</definedName>
    <definedName name="Oil7Trim1">Tank2!$A$1217:$A$1308</definedName>
    <definedName name="Oil7Trim2">Tank2!$B$1216:$I$1216</definedName>
    <definedName name="Oil7Trim3">Tank2!$B$1217:$I$1308</definedName>
    <definedName name="oilDraft1">Report6!$Z$4</definedName>
    <definedName name="oilDraftAft">Report6!$G$5</definedName>
    <definedName name="oilDraftFwd">Report6!$D$5</definedName>
    <definedName name="oilDraftMean">Report6!$J$5</definedName>
    <definedName name="oilHeel">Report6!$P$5</definedName>
    <definedName name="oilMonth">Report6!$AA$2</definedName>
    <definedName name="oilRow">Report6!$Y$2</definedName>
    <definedName name="OilSound1">Tank2!$AB$10</definedName>
    <definedName name="OilSound2">Tank2!$AB$242</definedName>
    <definedName name="OilSound3">Tank2!$AB$472</definedName>
    <definedName name="OilSound4">Tank2!$AB$702</definedName>
    <definedName name="OilSound5">Tank2!$AB$927</definedName>
    <definedName name="OilSound6">Tank2!$AB$984</definedName>
    <definedName name="OilSound7">Tank2!$AB$1216</definedName>
    <definedName name="oilTank1">Report6!$Z$8</definedName>
    <definedName name="oilTank2">Report6!$Z$9</definedName>
    <definedName name="oilTank21">Report6!$AA$8</definedName>
    <definedName name="oilTank22">Report6!$AA$9</definedName>
    <definedName name="oilTank23">Report6!$AA$10</definedName>
    <definedName name="oilTank24">Report6!$AA$11</definedName>
    <definedName name="oilTank25">Report6!$AA$12</definedName>
    <definedName name="oilTank26">Report6!$AA$13</definedName>
    <definedName name="oilTank27">Report6!$AA$14</definedName>
    <definedName name="oilTank28">Report6!$AA$15</definedName>
    <definedName name="oilTank3">Report6!$Z$10</definedName>
    <definedName name="oilTank31">Report6!$Z$16</definedName>
    <definedName name="oilTank32">Report6!$AA$16</definedName>
    <definedName name="oilTank4">Report6!$Z$11</definedName>
    <definedName name="oilTank5">Report6!$Z$12</definedName>
    <definedName name="oilTank6">Report6!$Z$13</definedName>
    <definedName name="oilTank7">Report6!$Z$14</definedName>
    <definedName name="oilTank8">Report6!$Z$15</definedName>
    <definedName name="oilTotal1">Report6!$T$9</definedName>
    <definedName name="oilTotal2">Report6!$U$9</definedName>
    <definedName name="oilTrim">Report6!$T$5</definedName>
    <definedName name="oilTrimTrue">Report6!$M$5</definedName>
    <definedName name="OilVolume1">Tank2!$AD$10</definedName>
    <definedName name="OilVolume2">Tank2!$AD$242</definedName>
    <definedName name="OilVolume3">Tank2!$AD$472</definedName>
    <definedName name="OilVolume4">Tank2!$AD$702</definedName>
    <definedName name="OilVolume5">Tank2!$AD$927</definedName>
    <definedName name="OilVolume6">Tank2!$AD$984</definedName>
    <definedName name="OilVolume7">Tank2!$AD$1216</definedName>
    <definedName name="oilYear">Report6!$AB$2</definedName>
    <definedName name="percent1">Data!$O$11</definedName>
    <definedName name="percent10">Data!$O$20</definedName>
    <definedName name="percent11">Data!$O$21</definedName>
    <definedName name="percent12">Data!$O$22</definedName>
    <definedName name="percent13">Data!$O$23</definedName>
    <definedName name="percent14">Data!$O$24</definedName>
    <definedName name="percent15">Data!$O$25</definedName>
    <definedName name="percent16">Data!$O$26</definedName>
    <definedName name="percent17">Data!$O$27</definedName>
    <definedName name="percent2">Data!$O$12</definedName>
    <definedName name="percent21" localSheetId="2">Bunkering!$O$11</definedName>
    <definedName name="percent210" localSheetId="2">Bunkering!$O$20</definedName>
    <definedName name="percent211" localSheetId="2">Bunkering!$O$21</definedName>
    <definedName name="percent212" localSheetId="2">Bunkering!$O$22</definedName>
    <definedName name="percent213" localSheetId="2">Bunkering!$O$23</definedName>
    <definedName name="percent214" localSheetId="2">Bunkering!$O$24</definedName>
    <definedName name="percent215">Bunkering!$O$25</definedName>
    <definedName name="percent216">Bunkering!$O$26</definedName>
    <definedName name="percent217">Bunkering!$O$27</definedName>
    <definedName name="percent22" localSheetId="2">Bunkering!$O$12</definedName>
    <definedName name="percent23" localSheetId="2">Bunkering!$O$13</definedName>
    <definedName name="percent24" localSheetId="2">Bunkering!$O$14</definedName>
    <definedName name="percent25" localSheetId="2">Bunkering!$O$15</definedName>
    <definedName name="percent26" localSheetId="2">Bunkering!$O$16</definedName>
    <definedName name="percent27" localSheetId="2">Bunkering!$O$17</definedName>
    <definedName name="percent28" localSheetId="2">Bunkering!$O$18</definedName>
    <definedName name="percent29" localSheetId="2">Bunkering!$O$19</definedName>
    <definedName name="percent3">Data!$O$13</definedName>
    <definedName name="percent4">Data!$O$14</definedName>
    <definedName name="percent5">Data!$O$15</definedName>
    <definedName name="percent6">Data!$O$16</definedName>
    <definedName name="percent7">Data!$O$17</definedName>
    <definedName name="percent8">Data!$O$18</definedName>
    <definedName name="percent9">Data!$O$19</definedName>
    <definedName name="percentVolume1">Report3!$N$14</definedName>
    <definedName name="percentVolume2">Report3!$N$15</definedName>
    <definedName name="percentVolume3">Report3!$N$16</definedName>
    <definedName name="percentVolume4">Report3!$N$17</definedName>
    <definedName name="percentVolume5">Report3!$N$18</definedName>
    <definedName name="percentVolume6">Report3!$N$19</definedName>
    <definedName name="port1">Report7!$W$7</definedName>
    <definedName name="port10">Report7!$W$16</definedName>
    <definedName name="port11">Report7!$W$28</definedName>
    <definedName name="port110">Report7!$W$37</definedName>
    <definedName name="port12">Report7!$W$29</definedName>
    <definedName name="port13">Report7!$W$30</definedName>
    <definedName name="port14">Report7!$W$31</definedName>
    <definedName name="port15">Report7!$W$32</definedName>
    <definedName name="port16">Report7!$W$33</definedName>
    <definedName name="port17">Report7!$W$34</definedName>
    <definedName name="port18">Report7!$W$35</definedName>
    <definedName name="port19">Report7!$W$36</definedName>
    <definedName name="port2">Report7!$W$8</definedName>
    <definedName name="port3">Report7!$W$9</definedName>
    <definedName name="port4">Report7!$W$10</definedName>
    <definedName name="port5">Report7!$W$11</definedName>
    <definedName name="port6">Report7!$W$12</definedName>
    <definedName name="port7">Report7!$W$13</definedName>
    <definedName name="port8">Report7!$W$14</definedName>
    <definedName name="port9">Report7!$W$15</definedName>
    <definedName name="_xlnm.Print_Area" localSheetId="2">Bunkering!$A$1:$R$34</definedName>
    <definedName name="_xlnm.Print_Area" localSheetId="1">Data!$A$1:$R$33</definedName>
    <definedName name="_xlnm.Print_Area" localSheetId="0">MAIN!$A$1:$AC$39</definedName>
    <definedName name="_xlnm.Print_Area" localSheetId="3">Report!$A$1:$L$50</definedName>
    <definedName name="_xlnm.Print_Area" localSheetId="4">Report1!$A$1:$L$50</definedName>
    <definedName name="_xlnm.Print_Area" localSheetId="13">Report2!$A$1:$L$37</definedName>
    <definedName name="_xlnm.Print_Area" localSheetId="14">Report3!$A$1:$Q$31</definedName>
    <definedName name="_xlnm.Print_Area" localSheetId="16">Report4!$A$1:$W$42</definedName>
    <definedName name="_xlnm.Print_Area" localSheetId="15">Report5!$A$1:$N$47</definedName>
    <definedName name="_xlnm.Print_Area" localSheetId="10">Report6!$A$1:$S$43</definedName>
    <definedName name="_xlnm.Print_Area" localSheetId="5">Report7!$A$1:$V$52</definedName>
    <definedName name="propeller">[1]TALLY!$X$1</definedName>
    <definedName name="quantityAdd1">Bunkering!$AE$11</definedName>
    <definedName name="quantityAdd2">Bunkering!$AE$12</definedName>
    <definedName name="quantityAdd3">Bunkering!$AE$13</definedName>
    <definedName name="quantityAdd4">Bunkering!$AE$14</definedName>
    <definedName name="quantityAdd5">Bunkering!$AE$15</definedName>
    <definedName name="quantityAdd6">Bunkering!$AE$16</definedName>
    <definedName name="quantityAdd7">Bunkering!$AE$20</definedName>
    <definedName name="quantityAdd8">Bunkering!$AE$21</definedName>
    <definedName name="quantityAdd9">Bunkering!$AE$22</definedName>
    <definedName name="quantityHfo">Report2!$G$24</definedName>
    <definedName name="quantityLsfo">Report2!$H$24</definedName>
    <definedName name="quantityMdo">Report2!$I$24</definedName>
    <definedName name="quantityMgo">Report2!$J$24</definedName>
    <definedName name="quantityRemain">Bunkering!$AF$14</definedName>
    <definedName name="receive1">Data!$E$30</definedName>
    <definedName name="receive2">Data!$E$31</definedName>
    <definedName name="receive21">Bunkering!$E$30</definedName>
    <definedName name="receive22">Bunkering!$E$31</definedName>
    <definedName name="receive23">Bunkering!$E$32</definedName>
    <definedName name="receive24">Bunkering!$E$33</definedName>
    <definedName name="receive3">Data!$E$32</definedName>
    <definedName name="receive4">Data!$E$33</definedName>
    <definedName name="receivedQuantity">Report2!$M$30</definedName>
    <definedName name="receiveHfo">Report7!$T$22</definedName>
    <definedName name="receiveMgo">Report7!$T$43</definedName>
    <definedName name="requiredHfo">Report7!$T$18</definedName>
    <definedName name="requiredMgo">Report7!$T$39</definedName>
    <definedName name="robHfo">Report2!$J$4</definedName>
    <definedName name="robLsfo">Report2!$J$5</definedName>
    <definedName name="robLube1">Report2!$J$10</definedName>
    <definedName name="robLube2">Report2!$J$11</definedName>
    <definedName name="robLube3">Report2!$J$12</definedName>
    <definedName name="robLube4">Report2!$J$13</definedName>
    <definedName name="robLubeTotal">Report2!$J$14</definedName>
    <definedName name="robMdo">Report2!$J$6</definedName>
    <definedName name="robMgo">Report2!$J$7</definedName>
    <definedName name="rowLast">Report4!$X$1</definedName>
    <definedName name="rowOil">Report6!$Y$1</definedName>
    <definedName name="rowWater">Report5!$Y$1</definedName>
    <definedName name="sampleGiven">Report2!$E$19</definedName>
    <definedName name="sequence1">Report3!$A$14</definedName>
    <definedName name="sequence2">Report3!$A$15</definedName>
    <definedName name="sequence3">Report3!$A$16</definedName>
    <definedName name="sequence4">Report3!$A$17</definedName>
    <definedName name="sequence5">Report3!$A$18</definedName>
    <definedName name="sequence6">Report3!$A$19</definedName>
    <definedName name="setupDate">Setup!$A$20</definedName>
    <definedName name="sgDen">Conversion!$M$1:$N$478</definedName>
    <definedName name="sound1">Data!$H$11</definedName>
    <definedName name="sound10">Data!$H$20</definedName>
    <definedName name="sound11">Data!$H$21</definedName>
    <definedName name="sound12">Data!$H$22</definedName>
    <definedName name="sound13">Data!$H$23</definedName>
    <definedName name="sound14">Data!$H$24</definedName>
    <definedName name="sound15">Data!$H$25</definedName>
    <definedName name="sound16">Data!$H$26</definedName>
    <definedName name="sound17">Data!$H$27</definedName>
    <definedName name="sound2">Data!$H$12</definedName>
    <definedName name="sound21">Setup!$F$2</definedName>
    <definedName name="sound210">Setup!$F$11</definedName>
    <definedName name="sound211">Setup!$F$12</definedName>
    <definedName name="sound212">Setup!$F$13</definedName>
    <definedName name="sound213">Setup!$F$14</definedName>
    <definedName name="sound214">Setup!$F$15</definedName>
    <definedName name="sound215">Setup!$F$16</definedName>
    <definedName name="sound216">Setup!$F$17</definedName>
    <definedName name="sound217">Setup!$F$18</definedName>
    <definedName name="sound22">Setup!$F$3</definedName>
    <definedName name="sound23">Setup!$F$4</definedName>
    <definedName name="sound24">Setup!$F$5</definedName>
    <definedName name="sound25">Setup!$F$6</definedName>
    <definedName name="sound26">Setup!$F$7</definedName>
    <definedName name="sound27">Setup!$F$8</definedName>
    <definedName name="sound28">Setup!$F$9</definedName>
    <definedName name="sound29">Setup!$F$10</definedName>
    <definedName name="sound3">Data!$H$13</definedName>
    <definedName name="sound31">Setup!$H$2</definedName>
    <definedName name="sound310">Setup!$H$11</definedName>
    <definedName name="sound311">Setup!$H$12</definedName>
    <definedName name="sound312">Setup!$H$13</definedName>
    <definedName name="sound313">Setup!$H$14</definedName>
    <definedName name="sound314">Setup!$H$15</definedName>
    <definedName name="sound315">Setup!$H$16</definedName>
    <definedName name="sound316">Setup!$H$17</definedName>
    <definedName name="sound317">Setup!$H$18</definedName>
    <definedName name="sound32">Setup!$H$3</definedName>
    <definedName name="sound33">Setup!$H$4</definedName>
    <definedName name="sound34">Setup!$H$5</definedName>
    <definedName name="sound35">Setup!$H$6</definedName>
    <definedName name="sound36">Setup!$H$7</definedName>
    <definedName name="sound37">Setup!$H$8</definedName>
    <definedName name="sound38">Setup!$H$9</definedName>
    <definedName name="sound39">Setup!$H$10</definedName>
    <definedName name="sound4">Data!$H$14</definedName>
    <definedName name="sound41" localSheetId="2">Bunkering!$H$11</definedName>
    <definedName name="sound410" localSheetId="2">Bunkering!$H$20</definedName>
    <definedName name="sound411" localSheetId="2">Bunkering!$H$21</definedName>
    <definedName name="sound412" localSheetId="2">Bunkering!$H$22</definedName>
    <definedName name="sound413" localSheetId="2">Bunkering!$H$23</definedName>
    <definedName name="sound414" localSheetId="2">Bunkering!$H$24</definedName>
    <definedName name="sound415">Bunkering!$H$25</definedName>
    <definedName name="sound416">Bunkering!$H$26</definedName>
    <definedName name="sound417">Bunkering!$H$27</definedName>
    <definedName name="sound42" localSheetId="2">Bunkering!$H$12</definedName>
    <definedName name="sound43" localSheetId="2">Bunkering!$H$13</definedName>
    <definedName name="sound44" localSheetId="2">Bunkering!$H$14</definedName>
    <definedName name="sound45" localSheetId="2">Bunkering!$H$15</definedName>
    <definedName name="sound46" localSheetId="2">Bunkering!$H$16</definedName>
    <definedName name="sound47" localSheetId="2">Bunkering!$H$17</definedName>
    <definedName name="sound48" localSheetId="2">Bunkering!$H$18</definedName>
    <definedName name="sound49" localSheetId="2">Bunkering!$H$22</definedName>
    <definedName name="sound5">Data!$H$15</definedName>
    <definedName name="sound6">Data!$H$16</definedName>
    <definedName name="sound7">Data!$H$17</definedName>
    <definedName name="sound8">Data!$H$18</definedName>
    <definedName name="sound9">Data!$H$19</definedName>
    <definedName name="soundingPipe1">Setup!$B$2</definedName>
    <definedName name="soundingPipe10">Setup!$B$11</definedName>
    <definedName name="soundingPipe11">Setup!$B$12</definedName>
    <definedName name="soundingPipe12">Setup!$B$13</definedName>
    <definedName name="soundingPipe13">Setup!$B$14</definedName>
    <definedName name="soundingPipe14">Setup!$B$15</definedName>
    <definedName name="soundingPipe15">Setup!$B$16</definedName>
    <definedName name="soundingPipe16">Setup!$B$17</definedName>
    <definedName name="soundingPipe17">Setup!$B$18</definedName>
    <definedName name="soundingPipe2">Setup!$B$3</definedName>
    <definedName name="soundingPipe3">Setup!$B$4</definedName>
    <definedName name="soundingPipe4">Setup!$B$5</definedName>
    <definedName name="soundingPipe5">Setup!$B$6</definedName>
    <definedName name="soundingPipe6">Setup!$B$7</definedName>
    <definedName name="soundingPipe7">Setup!$B$8</definedName>
    <definedName name="soundingPipe8">Setup!$B$9</definedName>
    <definedName name="soundingPipe9">Setup!$B$10</definedName>
    <definedName name="soundTank1">Tank1!$Y$3</definedName>
    <definedName name="soundTank10">Tank1!$Y$2567</definedName>
    <definedName name="soundTank11">Tank1!$Y$2836</definedName>
    <definedName name="soundtank12">Tank1!$Y$3107</definedName>
    <definedName name="soundTank13">Tank1!$Y$3421</definedName>
    <definedName name="soundTank14">Tank1!$Y$3972</definedName>
    <definedName name="soundTank15">Tank1!$Y$4528</definedName>
    <definedName name="soundTank16">Tank1!$Y$5076</definedName>
    <definedName name="soundTank17">Tank1!$Y$5627</definedName>
    <definedName name="soundTank2">Tank1!$Y$269</definedName>
    <definedName name="soundTank21">Tank1!$Y$12</definedName>
    <definedName name="soundTank210">Tank1!$Y$2576</definedName>
    <definedName name="soundTank211">Tank1!$Y$2845</definedName>
    <definedName name="soundTank212">Tank1!$Y$3116</definedName>
    <definedName name="soundTank213">Tank1!$Y$3430</definedName>
    <definedName name="soundTank214">Tank1!$Y$3981</definedName>
    <definedName name="soundTank215">Tank1!$Y$4537</definedName>
    <definedName name="soundTank216">Tank1!$Y$5085</definedName>
    <definedName name="soundTank217">Tank1!$Y$5636</definedName>
    <definedName name="soundTank22">Tank1!$Y$278</definedName>
    <definedName name="soundTank23">Tank1!$Y$543</definedName>
    <definedName name="soundTank24">Tank1!$Y$807</definedName>
    <definedName name="soundTank25">Tank1!$Y$1071</definedName>
    <definedName name="soundTank26">Tank1!$Y$1619</definedName>
    <definedName name="soundTank27">Tank1!$Y$1858</definedName>
    <definedName name="soundTank28">Tank1!$Y$2098</definedName>
    <definedName name="soundTank29">Tank1!$Y$2337</definedName>
    <definedName name="soundTank3">Tank1!$Y$534</definedName>
    <definedName name="soundTank4">Tank1!$Y$798</definedName>
    <definedName name="soundTank5">Tank1!$Y$1062</definedName>
    <definedName name="soundTank6">Tank1!$Y$1610</definedName>
    <definedName name="soundTank7">Tank1!$Y$1849</definedName>
    <definedName name="soundTank8">Tank1!$Y$2089</definedName>
    <definedName name="soundTank9">Tank1!$Y$2328</definedName>
    <definedName name="specGrav1">Data!$L$11</definedName>
    <definedName name="specGrav10">Data!$L$20</definedName>
    <definedName name="specGrav11">Data!$L$21</definedName>
    <definedName name="specGrav12">Data!$L$22</definedName>
    <definedName name="specGrav13">Data!$L$23</definedName>
    <definedName name="specGrav14">Data!$L$24</definedName>
    <definedName name="specGrav15">Data!$L$25</definedName>
    <definedName name="specGrav16">Data!$L$26</definedName>
    <definedName name="specGrav17">Data!$L$27</definedName>
    <definedName name="specGrav2">Data!$L$12</definedName>
    <definedName name="specGrav21" localSheetId="2">Bunkering!$L$11</definedName>
    <definedName name="specGrav210" localSheetId="2">Bunkering!$L$20</definedName>
    <definedName name="specGrav211" localSheetId="2">Bunkering!$L$21</definedName>
    <definedName name="specGrav212" localSheetId="2">Bunkering!$L$22</definedName>
    <definedName name="specGrav213" localSheetId="2">Bunkering!$L$23</definedName>
    <definedName name="specGrav214" localSheetId="2">Bunkering!$L$24</definedName>
    <definedName name="specGrav215">Bunkering!$L$25</definedName>
    <definedName name="specGrav216">Bunkering!$L$26</definedName>
    <definedName name="specGrav217">Bunkering!$L$27</definedName>
    <definedName name="specGrav22" localSheetId="2">Bunkering!$L$12</definedName>
    <definedName name="specGrav23" localSheetId="2">Bunkering!$L$13</definedName>
    <definedName name="specGrav24" localSheetId="2">Bunkering!$L$14</definedName>
    <definedName name="specGrav25" localSheetId="2">Bunkering!$L$15</definedName>
    <definedName name="specGrav26" localSheetId="2">Bunkering!$L$16</definedName>
    <definedName name="specGrav27" localSheetId="2">Bunkering!$L$17</definedName>
    <definedName name="specGrav28" localSheetId="2">Bunkering!$L$18</definedName>
    <definedName name="specGrav29" localSheetId="2">Bunkering!$L$19</definedName>
    <definedName name="specGrav3">Data!$L$13</definedName>
    <definedName name="specGrav4">Data!$L$14</definedName>
    <definedName name="specGrav5">Data!$L$15</definedName>
    <definedName name="specGrav6">Data!$L$16</definedName>
    <definedName name="specGrav7">Data!$L$17</definedName>
    <definedName name="specGrav8">Data!$L$18</definedName>
    <definedName name="specGrav9">Data!$L$19</definedName>
    <definedName name="specGravService">Data!$X$28</definedName>
    <definedName name="specGravService2">Data!$Y$28</definedName>
    <definedName name="specGravService21">Bunkering!$X$29</definedName>
    <definedName name="specGravService22" localSheetId="2">Bunkering!$X$30</definedName>
    <definedName name="speed1">Report7!$K$7</definedName>
    <definedName name="speed10">Report7!$K$16</definedName>
    <definedName name="speed11">Report7!$K$28</definedName>
    <definedName name="speed110">Report7!$K$37</definedName>
    <definedName name="speed12">Report7!$K$29</definedName>
    <definedName name="speed13">Report7!$K$30</definedName>
    <definedName name="speed14">Report7!$K$31</definedName>
    <definedName name="speed15">Report7!$K$32</definedName>
    <definedName name="speed16">Report7!$K$33</definedName>
    <definedName name="speed17">Report7!$K$34</definedName>
    <definedName name="speed18">Report7!$K$35</definedName>
    <definedName name="speed19">Report7!$K$36</definedName>
    <definedName name="speed2">Report7!$K$8</definedName>
    <definedName name="speed3">Report7!$K$9</definedName>
    <definedName name="speed4">Report7!$K$10</definedName>
    <definedName name="speed5">Report7!$K$11</definedName>
    <definedName name="speed6">Report7!$K$12</definedName>
    <definedName name="speed7">Report7!$K$13</definedName>
    <definedName name="speed8">Report7!$K$14</definedName>
    <definedName name="speed9">Report7!$K$15</definedName>
    <definedName name="startPumpDate">Report2!$E$15</definedName>
    <definedName name="startPumpTime">Report2!$G$15</definedName>
    <definedName name="startRob1">Report3!$J$14</definedName>
    <definedName name="startRob2">Report3!$J$15</definedName>
    <definedName name="startRob3">Report3!$J$16</definedName>
    <definedName name="startRob4">Report3!$J$17</definedName>
    <definedName name="startRob5">Report3!$J$18</definedName>
    <definedName name="startRob6">Report3!$J$19</definedName>
    <definedName name="startUllage1">Report3!$H$14</definedName>
    <definedName name="startUllage2">Report3!$H$15</definedName>
    <definedName name="startUllage3">Report3!$H$16</definedName>
    <definedName name="startUllage4">Report3!$H$17</definedName>
    <definedName name="startUllage5">Report3!$H$18</definedName>
    <definedName name="startUllage6">Report3!$H$19</definedName>
    <definedName name="stopPumpDate">Report2!$E$16</definedName>
    <definedName name="stopPumpTime">Report2!$G$16</definedName>
    <definedName name="sulfurHfo">Report2!$G$25</definedName>
    <definedName name="sulfurLsfo">Report2!$H$25</definedName>
    <definedName name="sulfurMdo">Report2!$I$25</definedName>
    <definedName name="sulfurMgo">Report2!$J$25</definedName>
    <definedName name="SurveyDate">Data!$P$3</definedName>
    <definedName name="SurveyDate1" localSheetId="2">Bunkering!$P$3</definedName>
    <definedName name="surveyPort">Data!$P$5</definedName>
    <definedName name="surveyPort1" localSheetId="2">Bunkering!$P$5</definedName>
    <definedName name="surveySelect">Bunkering!$Y$10</definedName>
    <definedName name="surveyTime">Data!$P$4</definedName>
    <definedName name="surveyTime1" localSheetId="2">Bunkering!$P$4</definedName>
    <definedName name="surveyType">Data!$Y$10</definedName>
    <definedName name="swTemp">Data!$R$7</definedName>
    <definedName name="swTemp1" localSheetId="2">Bunkering!$R$7</definedName>
    <definedName name="table">Conversion!$Q$1:$R$8</definedName>
    <definedName name="tank10Heel1">Tank1!$K$2569:$K$2667</definedName>
    <definedName name="tank10Heel2">Tank1!$L$2568:$T$2568</definedName>
    <definedName name="tank10Heel3">Tank1!$L$2569:$T$2667</definedName>
    <definedName name="tank10Trim1">Tank1!$A$2569:$A$2764</definedName>
    <definedName name="tank10Trim2">Tank1!$B$2568:$I$2568</definedName>
    <definedName name="tank10Trim3">Tank1!$B$2569:$I$2764</definedName>
    <definedName name="tank11Heel1">Tank1!$K$2838:$K$2862</definedName>
    <definedName name="tank11Heel2">Tank1!$L$2837:$T$2837</definedName>
    <definedName name="tank11Heel3">Tank1!$L$2838:$T$2862</definedName>
    <definedName name="tank11Trim1">Tank1!$A$2838:$A$2884</definedName>
    <definedName name="tank11Trim2">Tank1!$B$2837:$I$2837</definedName>
    <definedName name="tank11Trim3">Tank1!$B$2838:$I$2884</definedName>
    <definedName name="tank12Heel1">Tank1!$K$3109:$K$3135</definedName>
    <definedName name="tank12Heel2">Tank1!$L$3108:$T$3108</definedName>
    <definedName name="tank12Heel3">Tank1!$L$3109:$T$3135</definedName>
    <definedName name="tank12Trim1">Tank1!$A$3109:$A$3159</definedName>
    <definedName name="tank12Trim2">Tank1!$B$3108:$I$3108</definedName>
    <definedName name="tank12Trim3">Tank1!$B$3109:$I$3159</definedName>
    <definedName name="tank13Heel1">Tank1!$K$3423:$K$3449</definedName>
    <definedName name="tank13Heel2">Tank1!$L$3422:$T$3422</definedName>
    <definedName name="tank13Heel3">Tank1!$L$3423:$T$3449</definedName>
    <definedName name="tank13Trim1">Tank1!$A$3423:$A$3474</definedName>
    <definedName name="tank13Trim2">Tank1!$B$3422:$I$3422</definedName>
    <definedName name="tank13Trim3">Tank1!$B$3423:$I$3474</definedName>
    <definedName name="tank14Heel1">Tank1!$K$3974:$K$4020</definedName>
    <definedName name="tank14Heel2">Tank1!$L$3973:$T$3973</definedName>
    <definedName name="tank14Heel3">Tank1!$L$3974:$T$4020</definedName>
    <definedName name="tank14Trim1">Tank1!$A$3974:$A$4065</definedName>
    <definedName name="tank14Trim2">Tank1!$B$3973:$I$3973</definedName>
    <definedName name="tank14Trim3">Tank1!$B$3974:$I$4065</definedName>
    <definedName name="tank15Heel1">Tank1!$K$4530:$K$4576</definedName>
    <definedName name="tank15Heel2">Tank1!$L$4529:$T$4529</definedName>
    <definedName name="tank15Heel3">Tank1!$L$4530:$T$4576</definedName>
    <definedName name="tank15Trim1">Tank1!$A$4530:$A$4621</definedName>
    <definedName name="tank15Trim2">Tank1!$B$4529:$I$4529</definedName>
    <definedName name="tank15Trim3">Tank1!$B$4530:$I$4621</definedName>
    <definedName name="tank16Heel1">Tank1!$K$5078:$K$5127</definedName>
    <definedName name="tank16Heel2">Tank1!$L$5077:$T$5077</definedName>
    <definedName name="tank16Heel3">Tank1!$L$5078:$T$5127</definedName>
    <definedName name="tank16Trim1">Tank1!$A$5078:$A$5175</definedName>
    <definedName name="tank16Trim2">Tank1!$B$5077:$I$5077</definedName>
    <definedName name="tank16Trim3">Tank1!$B$5078:$I$5175</definedName>
    <definedName name="tank17Heel1">Tank1!$K$5629:$K$5675</definedName>
    <definedName name="tank17Heel2">Tank1!$L$5628:$T$5628</definedName>
    <definedName name="tank17Heel3">Tank1!$L$5629:$T$5675</definedName>
    <definedName name="tank17Trim1">Tank1!$A$5629:$A$5720</definedName>
    <definedName name="tank17Trim2">Tank1!$B$5628:$I$5628</definedName>
    <definedName name="tank17Trim3">Tank1!$B$5629:$I$5720</definedName>
    <definedName name="tank1Heel1">Tank1!$K$5:$K$56</definedName>
    <definedName name="tank1Heel2">Tank1!$L$4:$T$4</definedName>
    <definedName name="tank1Heel3">Tank1!$L$5:$T$56</definedName>
    <definedName name="tank1Trim1">Tank1!$A$5:$A$107</definedName>
    <definedName name="tank1Trim2">Tank1!$B$4:$I$4</definedName>
    <definedName name="tank1Trim3">Tank1!$B$5:$I$107</definedName>
    <definedName name="tank2Heel1">Tank1!$K$271:$K$322</definedName>
    <definedName name="tank2Heel2">Tank1!$L$270:$T$270</definedName>
    <definedName name="tank2Heel3">Tank1!$L$271:$T$322</definedName>
    <definedName name="tank2Trim1">Tank1!$A$271:$A$373</definedName>
    <definedName name="tank2Trim2">Tank1!$B$270:$I$270</definedName>
    <definedName name="tank2Trim3">Tank1!$B$271:$I$373</definedName>
    <definedName name="tank3Heel1">Tank1!$K$536:$K$587</definedName>
    <definedName name="tank3Heel2">Tank1!$L$535:$T$535</definedName>
    <definedName name="tank3Heel3">Tank1!$L$536:$T$587</definedName>
    <definedName name="tank3Trim1">Tank1!$A$536:$A$638</definedName>
    <definedName name="tank3Trim2">Tank1!$B$535:$I$535</definedName>
    <definedName name="tank3Trim3">Tank1!$B$536:$I$638</definedName>
    <definedName name="tank4Heel1">Tank1!$K$800:$K$851</definedName>
    <definedName name="tank4Heel2">Tank1!$L$799:$T$799</definedName>
    <definedName name="tank4Heel3">Tank1!$L$800:$T$851</definedName>
    <definedName name="tank4Trim1">Tank1!$A$800:$A$902</definedName>
    <definedName name="tank4Trim2">Tank1!$B$799:$I$799</definedName>
    <definedName name="tank4Trim3">Tank1!$B$800:$I$902</definedName>
    <definedName name="tank5Heel1">Tank1!$K$1064:$K$1174</definedName>
    <definedName name="tank5Heel2">Tank1!$L$1063:$T$1063</definedName>
    <definedName name="tank5Heel3">Tank1!$L$1064:$T$1174</definedName>
    <definedName name="tank5Trim1">Tank1!$A$1064:$A$1283</definedName>
    <definedName name="tank5Trim2">Tank1!$B$1063:$I$1063</definedName>
    <definedName name="tank5Trim3">Tank1!$B$1064:$I$1283</definedName>
    <definedName name="tank6Heel1">Tank1!$K$1612:$K$1830</definedName>
    <definedName name="tank6Heel2">Tank1!$L$1611:$T$1611</definedName>
    <definedName name="tank6Heel3">Tank1!$L$1612:$T$1830</definedName>
    <definedName name="tank6Trim1">Tank1!$A$1612:$A$1830</definedName>
    <definedName name="tank6Trim2">Tank1!$B$1611:$I$1611</definedName>
    <definedName name="tank6Trim3">Tank1!$B$1612:$I$1830</definedName>
    <definedName name="tank7Heel1">Tank1!$K$1851:$K$2047</definedName>
    <definedName name="tank7Heel2">Tank1!$L$1850:$T$1850</definedName>
    <definedName name="tank7Heel3">Tank1!$L$1851:$T$2047</definedName>
    <definedName name="tank7Trim1">Tank1!$A$1851:$A$2047</definedName>
    <definedName name="tank7Trim2">Tank1!$B$1850:$I$1850</definedName>
    <definedName name="tank7Trim3">Tank1!$B$1851:$I$2047</definedName>
    <definedName name="tank8Heel1">Tank1!$K$2091:$K$2189</definedName>
    <definedName name="tank8Heel2">Tank1!$L$2090:$T$2090</definedName>
    <definedName name="tank8Heel3">Tank1!$L$2091:$T$2189</definedName>
    <definedName name="tank8Trim1">Tank1!$A$2091:$A$2287</definedName>
    <definedName name="tank8Trim2">Tank1!$B$2090:$I$2090</definedName>
    <definedName name="tank8Trim3">Tank1!$B$2091:$I$2287</definedName>
    <definedName name="tank9Heel1">Tank1!$K$2330:$K$2428</definedName>
    <definedName name="tank9Heel2">Tank1!$L$2329:$T$2329</definedName>
    <definedName name="tank9Heel3">Tank1!$L$2330:$T$2428</definedName>
    <definedName name="tank9Trim1">Tank1!$A$2330:$A$2526</definedName>
    <definedName name="tank9Trim2">Tank1!$B$2329:$I$2329</definedName>
    <definedName name="tank9Trim3">Tank1!$B$2330:$I$2526</definedName>
    <definedName name="tankHeeling">Data!$W$14</definedName>
    <definedName name="tankHeeling1">Bunkering!$W$14</definedName>
    <definedName name="tankPlan1">Report3!$C$14</definedName>
    <definedName name="tankPlan2">Report3!$C$15</definedName>
    <definedName name="tankPlan3">Report3!$C$16</definedName>
    <definedName name="tankPlan4">Report3!$C$17</definedName>
    <definedName name="tankPlan5">Report3!$C$18</definedName>
    <definedName name="tankPlan6">Report3!$C$19</definedName>
    <definedName name="tankSound1">Tank1!$W$3</definedName>
    <definedName name="tankSound10">Tank1!$W$2567</definedName>
    <definedName name="tankSound11">Tank1!$W$2836</definedName>
    <definedName name="tankSound12">Tank1!$W$3107</definedName>
    <definedName name="tankSound13">Tank1!$W$3421</definedName>
    <definedName name="tankSound14">Tank1!$W$3972</definedName>
    <definedName name="tankSound15">Tank1!$W$4528</definedName>
    <definedName name="tankSound16">Tank1!$W$5076</definedName>
    <definedName name="tankSound17">Tank1!$W$5627</definedName>
    <definedName name="tankSound2">Tank1!$W$269</definedName>
    <definedName name="tankSound21">Tank1!$W$12</definedName>
    <definedName name="tankSound210">Tank1!$W$2576</definedName>
    <definedName name="tankSound211">Tank1!$W$2845</definedName>
    <definedName name="tankSound212">Tank1!$W$3116</definedName>
    <definedName name="tankSound213">Tank1!$W$3430</definedName>
    <definedName name="tankSound214">Tank1!$W$3981</definedName>
    <definedName name="tankSound215">Tank1!$W$4537</definedName>
    <definedName name="tankSound216">Tank1!$W$5085</definedName>
    <definedName name="tankSound217">Tank1!$W$5636</definedName>
    <definedName name="tankSound22">Tank1!$W$278</definedName>
    <definedName name="tankSound23">Tank1!$W$543</definedName>
    <definedName name="tankSound24">Tank1!$W$807</definedName>
    <definedName name="tankSound25">Tank1!$W$1071</definedName>
    <definedName name="tankSound26">Tank1!$W$1619</definedName>
    <definedName name="tankSound27">Tank1!$W$1858</definedName>
    <definedName name="tankSound28">Tank1!$W$2098</definedName>
    <definedName name="tankSound29">Tank1!$W$2337</definedName>
    <definedName name="tankSound3">Tank1!$W$534</definedName>
    <definedName name="tankSound4">Tank1!$W$798</definedName>
    <definedName name="tankSound5">Tank1!$W$1062</definedName>
    <definedName name="tankSound6">Tank1!$W$1610</definedName>
    <definedName name="tankSound7">Tank1!$W$1849</definedName>
    <definedName name="tankSound8">Tank1!$W$2089</definedName>
    <definedName name="tankSound9">Tank1!$W$2328</definedName>
    <definedName name="tankUse01">Bunkering!$U$11</definedName>
    <definedName name="tankUse010">Bunkering!$U$20</definedName>
    <definedName name="tankUse011">Bunkering!$U$21</definedName>
    <definedName name="tankUse012">Bunkering!$U$22</definedName>
    <definedName name="tankUse013">Bunkering!$U$23</definedName>
    <definedName name="tankUse014">Bunkering!$U$24</definedName>
    <definedName name="tankUse015">Bunkering!$U$25</definedName>
    <definedName name="tankUse016">Bunkering!$U$26</definedName>
    <definedName name="tankUse017">Bunkering!$U$27</definedName>
    <definedName name="tankUse02">Bunkering!$U$12</definedName>
    <definedName name="tankUse03">Bunkering!$U$13</definedName>
    <definedName name="tankUse04">Bunkering!$U$14</definedName>
    <definedName name="tankUse05">Bunkering!$U$15</definedName>
    <definedName name="tankUse06">Bunkering!$U$16</definedName>
    <definedName name="tankUse07">Bunkering!$U$17</definedName>
    <definedName name="tankUse08">Bunkering!$U$18</definedName>
    <definedName name="tankUse09">Bunkering!$U$19</definedName>
    <definedName name="tankUse1">Data!$U$11</definedName>
    <definedName name="tankUse10">Data!$U$20</definedName>
    <definedName name="tankUse11">Data!$U$21</definedName>
    <definedName name="tankUse12">Data!$U$22</definedName>
    <definedName name="tankUse13">Data!$U$23</definedName>
    <definedName name="tankUse14">Data!$U$24</definedName>
    <definedName name="tankUse15">Data!$U$25</definedName>
    <definedName name="tankUse16">Data!$U$26</definedName>
    <definedName name="tankUse17">Data!$U$27</definedName>
    <definedName name="tankUse2">Data!$U$12</definedName>
    <definedName name="tankUse3">Data!$U$13</definedName>
    <definedName name="tankUse4">Data!$U$14</definedName>
    <definedName name="tankUse5">Data!$U$15</definedName>
    <definedName name="tankUse6">Data!$U$16</definedName>
    <definedName name="tankUse7">Data!$U$17</definedName>
    <definedName name="tankUse8">Data!$U$18</definedName>
    <definedName name="tankUse9">Data!$U$19</definedName>
    <definedName name="targetSounding1">Tank1!$X$21</definedName>
    <definedName name="targetSounding12">Tank1!$X$3125</definedName>
    <definedName name="targetSounding13">Tank1!$X$3439</definedName>
    <definedName name="targetSounding16">Tank1!$X$5094</definedName>
    <definedName name="targetSounding2">Tank1!$X$287</definedName>
    <definedName name="targetSounding3">Tank1!$X$552</definedName>
    <definedName name="targetSounding4">Tank1!$X$816</definedName>
    <definedName name="targetSounding5">Tank1!$X$1080</definedName>
    <definedName name="targetSounding6">Tank1!$X$1628</definedName>
    <definedName name="targetTank1">Tank1!$W$21</definedName>
    <definedName name="targetTank12">Tank1!$W$3125</definedName>
    <definedName name="targettank13">Tank1!$W$3439</definedName>
    <definedName name="targetTank16">Tank1!$W$5094</definedName>
    <definedName name="targetTank2">Tank1!$W$287</definedName>
    <definedName name="targetTank3">Tank1!$W$552</definedName>
    <definedName name="targetTank4">Tank1!$W$816</definedName>
    <definedName name="targetTank5">Tank1!$W$1080</definedName>
    <definedName name="targetTank6">Tank1!$W$1628</definedName>
    <definedName name="targetUllage1">Report3!$P$14</definedName>
    <definedName name="targetUllage2">Report3!$P$15</definedName>
    <definedName name="targetUllage3">Report3!$P$16</definedName>
    <definedName name="targetUllage4">Report3!$P$17</definedName>
    <definedName name="targetUllage5">Report3!$P$18</definedName>
    <definedName name="targetUllage6">Report3!$P$19</definedName>
    <definedName name="targetVolume1">Report3!$L$14</definedName>
    <definedName name="targetVolume2">Report3!$L$15</definedName>
    <definedName name="targetVolume3">Report3!$L$16</definedName>
    <definedName name="targetVolume4">Report3!$L$17</definedName>
    <definedName name="targetVolume5">Report3!$L$18</definedName>
    <definedName name="targetVolume6">Report3!$L$19</definedName>
    <definedName name="temp1">Data!$J$11</definedName>
    <definedName name="temp10">Data!$J$20</definedName>
    <definedName name="temp11">Data!$J$21</definedName>
    <definedName name="temp12">Data!$J$22</definedName>
    <definedName name="temp13">Data!$J$23</definedName>
    <definedName name="temp14">Data!$J$24</definedName>
    <definedName name="temp15">Data!$J$25</definedName>
    <definedName name="temp16">Data!$J$26</definedName>
    <definedName name="temp17">Data!$J$27</definedName>
    <definedName name="temp2">Data!$J$12</definedName>
    <definedName name="temp21" localSheetId="2">Bunkering!$J$11</definedName>
    <definedName name="temp210" localSheetId="2">Bunkering!$J$20</definedName>
    <definedName name="temp211" localSheetId="2">Bunkering!$J$21</definedName>
    <definedName name="temp212" localSheetId="2">Bunkering!$J$22</definedName>
    <definedName name="temp213" localSheetId="2">Bunkering!$J$23</definedName>
    <definedName name="temp214" localSheetId="2">Bunkering!$J$24</definedName>
    <definedName name="temp215">Bunkering!$J$25</definedName>
    <definedName name="temp216">Bunkering!$J$26</definedName>
    <definedName name="temp217">Bunkering!$J$27</definedName>
    <definedName name="temp22" localSheetId="2">Bunkering!$J$12</definedName>
    <definedName name="temp23" localSheetId="2">Bunkering!$J$13</definedName>
    <definedName name="temp24" localSheetId="2">Bunkering!$J$14</definedName>
    <definedName name="temp25" localSheetId="2">Bunkering!$J$15</definedName>
    <definedName name="temp26" localSheetId="2">Bunkering!$J$16</definedName>
    <definedName name="temp27" localSheetId="2">Bunkering!$J$17</definedName>
    <definedName name="temp28" localSheetId="2">Bunkering!$J$18</definedName>
    <definedName name="temp29" localSheetId="2">Bunkering!$J$22</definedName>
    <definedName name="temp3">Data!$J$13</definedName>
    <definedName name="temp4">Data!$J$14</definedName>
    <definedName name="temp5">Data!$J$15</definedName>
    <definedName name="temp6">Data!$J$16</definedName>
    <definedName name="temp7">Data!$J$17</definedName>
    <definedName name="temp8">Data!$J$18</definedName>
    <definedName name="temp9">Data!$J$19</definedName>
    <definedName name="timeRemain">Bunkering!$AF$15</definedName>
    <definedName name="tons1">Data!$R$11</definedName>
    <definedName name="tons10">Data!$R$20</definedName>
    <definedName name="tons11">Data!$R$21</definedName>
    <definedName name="tons12">Data!$R$22</definedName>
    <definedName name="tons13">Data!$R$23</definedName>
    <definedName name="tons14">Data!$R$24</definedName>
    <definedName name="tons15">Data!$R$25</definedName>
    <definedName name="tons16">Data!$R$26</definedName>
    <definedName name="tons17">Data!$R$27</definedName>
    <definedName name="tons2">Data!$R$12</definedName>
    <definedName name="tons21" localSheetId="2">Bunkering!$R$11</definedName>
    <definedName name="tons210" localSheetId="2">Bunkering!$R$20</definedName>
    <definedName name="tons211" localSheetId="2">Bunkering!$R$21</definedName>
    <definedName name="tons212" localSheetId="2">Bunkering!$R$22</definedName>
    <definedName name="tons213" localSheetId="2">Bunkering!$R$23</definedName>
    <definedName name="tons214" localSheetId="2">Bunkering!$R$24</definedName>
    <definedName name="tons215">Bunkering!$R$25</definedName>
    <definedName name="tons216">Bunkering!$R$26</definedName>
    <definedName name="tons217">Bunkering!$R$27</definedName>
    <definedName name="tons22" localSheetId="2">Bunkering!$R$12</definedName>
    <definedName name="tons23" localSheetId="2">Bunkering!$R$13</definedName>
    <definedName name="tons24" localSheetId="2">Bunkering!$R$14</definedName>
    <definedName name="tons25" localSheetId="2">Bunkering!$R$15</definedName>
    <definedName name="tons26" localSheetId="2">Bunkering!$R$16</definedName>
    <definedName name="tons27" localSheetId="2">Bunkering!$R$17</definedName>
    <definedName name="tons28" localSheetId="2">Bunkering!$R$18</definedName>
    <definedName name="tons29" localSheetId="2">Bunkering!$R$19</definedName>
    <definedName name="tons3">Data!$R$13</definedName>
    <definedName name="tons4">Data!$R$14</definedName>
    <definedName name="tons5">Data!$R$15</definedName>
    <definedName name="tons6">Data!$R$16</definedName>
    <definedName name="tons7">Data!$R$17</definedName>
    <definedName name="tons8">Data!$R$18</definedName>
    <definedName name="tons9">Data!$R$19</definedName>
    <definedName name="toPort1">Report7!$E$7</definedName>
    <definedName name="toPort10">Report7!$E$16</definedName>
    <definedName name="toPort11">Report7!$E$28</definedName>
    <definedName name="toPort110">Report7!$E$37</definedName>
    <definedName name="toPort12">Report7!$E$29</definedName>
    <definedName name="toPort13">Report7!$E$30</definedName>
    <definedName name="toPort14">Report7!$E$31</definedName>
    <definedName name="toPort15">Report7!$E$32</definedName>
    <definedName name="toPort16">Report7!$E$33</definedName>
    <definedName name="toPort17">Report7!$E$34</definedName>
    <definedName name="toPort18">Report7!$E$35</definedName>
    <definedName name="toPort19">Report7!$E$36</definedName>
    <definedName name="toPort2">Report7!$E$8</definedName>
    <definedName name="toPort3">Report7!$E$9</definedName>
    <definedName name="toPort4">Report7!$E$10</definedName>
    <definedName name="toPort5">Report7!$E$11</definedName>
    <definedName name="toPort6">Report7!$E$12</definedName>
    <definedName name="toPort7">Report7!$E$13</definedName>
    <definedName name="toPort8">Report7!$E$14</definedName>
    <definedName name="toPort9">Report7!$E$15</definedName>
    <definedName name="total1">Data!$O$30</definedName>
    <definedName name="total2">Data!$P$30</definedName>
    <definedName name="total21">Bunkering!$O$30</definedName>
    <definedName name="total22">Bunkering!$P$30</definedName>
    <definedName name="total23">Bunkering!$Q$30</definedName>
    <definedName name="total24">Bunkering!$R$30</definedName>
    <definedName name="total3">Data!$Q$30</definedName>
    <definedName name="total4">Data!$R$30</definedName>
    <definedName name="totalAdd">Bunkering!$AE$17</definedName>
    <definedName name="totalAdd1">Bunkering!$AE$23</definedName>
    <definedName name="totalHfo">Report7!$H$21</definedName>
    <definedName name="totalHfoMt">Data!$AE$28</definedName>
    <definedName name="totalHfoMt2">Bunkering!$AI$28</definedName>
    <definedName name="totalLfoMt">Data!$AF$28</definedName>
    <definedName name="totalLfoMt2">Bunkering!$AJ$28</definedName>
    <definedName name="totalMarginHfo">Report7!$H$20</definedName>
    <definedName name="totalMarginMgo">Report7!$H$41</definedName>
    <definedName name="totalMdoMt">Data!$AG$28</definedName>
    <definedName name="totalMdoMt2">Bunkering!$AK$28</definedName>
    <definedName name="totalMgo">Report7!$H$42</definedName>
    <definedName name="totalMgoMt">Data!$AH$28</definedName>
    <definedName name="totalMgoMt2">Bunkering!$AL$28</definedName>
    <definedName name="trim">Data!$AG$9</definedName>
    <definedName name="trim1" localSheetId="2">Bunkering!$AG$9</definedName>
    <definedName name="trimDraft" localSheetId="15">Report5!#REF!</definedName>
    <definedName name="trimDraft" localSheetId="10">Report6!#REF!</definedName>
    <definedName name="trimDraft">Report4!$Y$4</definedName>
    <definedName name="trimDraftTrue">Report4!$R$4</definedName>
    <definedName name="trimTrue">Data!$J$7</definedName>
    <definedName name="trimTrue1">Bunkering!$J$7</definedName>
    <definedName name="typeOfFuel">Data!$AD$7:$AD$10</definedName>
    <definedName name="unit1">"Drop Down 45"</definedName>
    <definedName name="unit11">"Drop Down 30"</definedName>
    <definedName name="unit12">"Drop Down 35"</definedName>
    <definedName name="unit2">"Drop Down 23"</definedName>
    <definedName name="unit21">Data!$T$11</definedName>
    <definedName name="unit210">Data!$T$20</definedName>
    <definedName name="unit211">Data!$T$21</definedName>
    <definedName name="unit212">Data!$T$22</definedName>
    <definedName name="unit213">Data!$T$23</definedName>
    <definedName name="unit214">Data!$T$24</definedName>
    <definedName name="unit215">Data!$T$25</definedName>
    <definedName name="unit216">Data!$T$26</definedName>
    <definedName name="unit217">Data!$T$27</definedName>
    <definedName name="unit22">Data!$T$12</definedName>
    <definedName name="unit23">Data!$T$13</definedName>
    <definedName name="unit24">Data!$T$14</definedName>
    <definedName name="unit25">Data!$T$15</definedName>
    <definedName name="unit26">Data!$T$16</definedName>
    <definedName name="unit27">Data!$T$17</definedName>
    <definedName name="unit28">Data!$T$18</definedName>
    <definedName name="unit29">Data!$T$19</definedName>
    <definedName name="unit3">"Drop Down 24"</definedName>
    <definedName name="unit4">"Drop Down 25"</definedName>
    <definedName name="unit41">Bunkering!$T$11</definedName>
    <definedName name="unit410">Bunkering!$T$20</definedName>
    <definedName name="unit411">Bunkering!$T$21</definedName>
    <definedName name="unit412">Bunkering!$T$22</definedName>
    <definedName name="unit413">Bunkering!$T$23</definedName>
    <definedName name="unit414">Bunkering!$T$24</definedName>
    <definedName name="unit415">Bunkering!$T$25</definedName>
    <definedName name="unit416">Bunkering!$T$26</definedName>
    <definedName name="unit417">Bunkering!$T$27</definedName>
    <definedName name="unit42">Bunkering!$T$12</definedName>
    <definedName name="unit43">Bunkering!$T$13</definedName>
    <definedName name="unit44">Bunkering!$T$14</definedName>
    <definedName name="unit45">Bunkering!$T$15</definedName>
    <definedName name="unit46">Bunkering!$T$16</definedName>
    <definedName name="unit47">Bunkering!$T$17</definedName>
    <definedName name="unit48">Bunkering!$T$18</definedName>
    <definedName name="unit49">Bunkering!$T$19</definedName>
    <definedName name="unit5">"Drop Down 119"</definedName>
    <definedName name="unitValue11">Data!$X$11</definedName>
    <definedName name="unitValue110">Data!$X$20</definedName>
    <definedName name="unitValue111">Data!$X$21</definedName>
    <definedName name="unitValue112">Data!$X$22</definedName>
    <definedName name="unitValue113">Data!$X$23</definedName>
    <definedName name="unitValue114">Data!$X$24</definedName>
    <definedName name="unitValue115">Data!$X$25</definedName>
    <definedName name="unitValue116">Data!$X$26</definedName>
    <definedName name="unitValue117">Data!$X$27</definedName>
    <definedName name="unitValue12">Data!$X$12</definedName>
    <definedName name="unitValue13">Data!$X$13</definedName>
    <definedName name="unitValue14">Data!$X$14</definedName>
    <definedName name="unitValue15">Data!$X$15</definedName>
    <definedName name="unitValue16">Data!$X$16</definedName>
    <definedName name="unitValue17">Data!$X$17</definedName>
    <definedName name="unitValue18">Data!$X$18</definedName>
    <definedName name="unitValue19">Data!$X$19</definedName>
    <definedName name="unitValue21">Bunkering!$X$11</definedName>
    <definedName name="unitValue210">Bunkering!$X$20</definedName>
    <definedName name="unitValue211">Bunkering!$X$21</definedName>
    <definedName name="unitValue212">Bunkering!$X$22</definedName>
    <definedName name="unitValue213">Bunkering!$X$23</definedName>
    <definedName name="unitValue214">Bunkering!$X$24</definedName>
    <definedName name="unitValue215">Bunkering!$X$25</definedName>
    <definedName name="unitValue216">Bunkering!$X$26</definedName>
    <definedName name="unitValue217">Bunkering!$X$27</definedName>
    <definedName name="unitValue22">Bunkering!$X$12</definedName>
    <definedName name="unitValue23">Bunkering!$X$13</definedName>
    <definedName name="unitValue24">Bunkering!$X$14</definedName>
    <definedName name="unitValue25">Bunkering!$X$15</definedName>
    <definedName name="unitValue26">Bunkering!$X$16</definedName>
    <definedName name="unitValue27">Bunkering!$X$17</definedName>
    <definedName name="unitValue28">Bunkering!$X$18</definedName>
    <definedName name="unitValue29">Bunkering!$X$19</definedName>
    <definedName name="vcfTable1">Data!$N$11</definedName>
    <definedName name="vcfTable10">Data!$N$20</definedName>
    <definedName name="vcfTable11">Data!$N$21</definedName>
    <definedName name="vcfTable12">Data!$N$22</definedName>
    <definedName name="vcfTable13">Data!$N$23</definedName>
    <definedName name="vcfTable14">Data!$N$24</definedName>
    <definedName name="vcfTable15">Data!$N$25</definedName>
    <definedName name="vcfTable16">Data!$N$26</definedName>
    <definedName name="vcfTable17">Data!$N$27</definedName>
    <definedName name="vcfTable2">Data!$N$12</definedName>
    <definedName name="vcfTable21" localSheetId="2">Bunkering!$N$11</definedName>
    <definedName name="vcfTable210" localSheetId="2">Bunkering!$N$20</definedName>
    <definedName name="vcfTable211" localSheetId="2">Bunkering!$N$21</definedName>
    <definedName name="vcfTable212" localSheetId="2">Bunkering!$N$22</definedName>
    <definedName name="vcfTable213" localSheetId="2">Bunkering!$N$23</definedName>
    <definedName name="vcfTable214" localSheetId="2">Bunkering!$N$24</definedName>
    <definedName name="vcfTable215">Bunkering!$N$25</definedName>
    <definedName name="vcfTable216">Bunkering!$N$26</definedName>
    <definedName name="vcfTable217">Bunkering!$N$27</definedName>
    <definedName name="vcfTable22" localSheetId="2">Bunkering!$N$12</definedName>
    <definedName name="vcfTable23" localSheetId="2">Bunkering!$N$13</definedName>
    <definedName name="vcfTable24" localSheetId="2">Bunkering!$N$14</definedName>
    <definedName name="vcfTable25" localSheetId="2">Bunkering!$N$15</definedName>
    <definedName name="vcfTable26" localSheetId="2">Bunkering!$N$16</definedName>
    <definedName name="vcfTable27" localSheetId="2">Bunkering!$N$17</definedName>
    <definedName name="vcfTable28" localSheetId="2">Bunkering!$N$18</definedName>
    <definedName name="vcfTable29" localSheetId="2">Bunkering!$N$19</definedName>
    <definedName name="vcfTable3">Data!$N$13</definedName>
    <definedName name="vcfTable4">Data!$N$14</definedName>
    <definedName name="vcfTable5">Data!$N$15</definedName>
    <definedName name="vcfTable6">Data!$N$16</definedName>
    <definedName name="vcfTable7">Data!$N$17</definedName>
    <definedName name="vcfTable8">Data!$N$18</definedName>
    <definedName name="vcfTable9">Data!$N$19</definedName>
    <definedName name="vesselCondition">Report2!$D$6</definedName>
    <definedName name="vesselName">Report2!$D$3</definedName>
    <definedName name="vesselPort">Report2!$D$7</definedName>
    <definedName name="volume100">Report3!$F$14</definedName>
    <definedName name="volume11">Data!$D$11</definedName>
    <definedName name="volume110">Data!$D$20</definedName>
    <definedName name="volume111">Data!$D$21</definedName>
    <definedName name="volume112">Data!$D$22</definedName>
    <definedName name="volume113">Data!$D$23</definedName>
    <definedName name="volume114">Data!$D$24</definedName>
    <definedName name="volume115">Data!$D$25</definedName>
    <definedName name="volume116">Data!$D$26</definedName>
    <definedName name="volume117">Data!$D$27</definedName>
    <definedName name="volume12">Data!$D$12</definedName>
    <definedName name="volume13">Data!$D$13</definedName>
    <definedName name="volume14">Data!$D$14</definedName>
    <definedName name="volume15">Data!$D$15</definedName>
    <definedName name="volume16">Data!$D$16</definedName>
    <definedName name="volume17">Data!$D$17</definedName>
    <definedName name="volume18">Data!$D$18</definedName>
    <definedName name="volume19">Data!$D$19</definedName>
    <definedName name="volume200">Report3!$F$15</definedName>
    <definedName name="volume21">Data!$E$11</definedName>
    <definedName name="volume210">Data!$E$20</definedName>
    <definedName name="volume211">Data!$E$21</definedName>
    <definedName name="volume212">Data!$E$22</definedName>
    <definedName name="volume213">Data!$E$23</definedName>
    <definedName name="volume214">Data!$E$24</definedName>
    <definedName name="volume215">Data!$E$25</definedName>
    <definedName name="volume216">Data!$E$26</definedName>
    <definedName name="volume217">Data!$E$27</definedName>
    <definedName name="volume22">Data!$E$12</definedName>
    <definedName name="volume23">Data!$E$13</definedName>
    <definedName name="volume24">Data!$E$14</definedName>
    <definedName name="volume25">Data!$E$15</definedName>
    <definedName name="volume26">Data!$E$16</definedName>
    <definedName name="volume27">Data!$E$17</definedName>
    <definedName name="volume28">Data!$E$18</definedName>
    <definedName name="volume29">Data!$E$29</definedName>
    <definedName name="volume300">Report3!$F$16</definedName>
    <definedName name="volume31" localSheetId="2">Bunkering!$D$11</definedName>
    <definedName name="volume310" localSheetId="2">Bunkering!$D$20</definedName>
    <definedName name="volume311" localSheetId="2">Bunkering!$D$21</definedName>
    <definedName name="volume312" localSheetId="2">Bunkering!$D$22</definedName>
    <definedName name="volume313" localSheetId="2">Bunkering!$D$23</definedName>
    <definedName name="volume314" localSheetId="2">Bunkering!$D$24</definedName>
    <definedName name="volume315">Bunkering!$D$25</definedName>
    <definedName name="volume316">Bunkering!$D$26</definedName>
    <definedName name="volume317">Bunkering!$D$27</definedName>
    <definedName name="volume32" localSheetId="2">Bunkering!$D$12</definedName>
    <definedName name="volume33" localSheetId="2">Bunkering!$D$13</definedName>
    <definedName name="volume34" localSheetId="2">Bunkering!$D$14</definedName>
    <definedName name="volume35" localSheetId="2">Bunkering!$D$15</definedName>
    <definedName name="volume36" localSheetId="2">Bunkering!$D$16</definedName>
    <definedName name="volume37" localSheetId="2">Bunkering!$D$17</definedName>
    <definedName name="volume38" localSheetId="2">Bunkering!$D$18</definedName>
    <definedName name="volume39" localSheetId="2">Bunkering!$D$19</definedName>
    <definedName name="volume400">Report3!$F$17</definedName>
    <definedName name="volume41" localSheetId="2">Bunkering!$E$11</definedName>
    <definedName name="volume410" localSheetId="2">Bunkering!$E$20</definedName>
    <definedName name="volume411" localSheetId="2">Bunkering!$E$21</definedName>
    <definedName name="volume412" localSheetId="2">Bunkering!$E$22</definedName>
    <definedName name="volume413" localSheetId="2">Bunkering!$E$23</definedName>
    <definedName name="volume414" localSheetId="2">Bunkering!$E$24</definedName>
    <definedName name="volume415">Bunkering!$E$25</definedName>
    <definedName name="volume416">Bunkering!$E$26</definedName>
    <definedName name="volume417">Bunkering!$E$27</definedName>
    <definedName name="volume42" localSheetId="2">Bunkering!$E$12</definedName>
    <definedName name="volume43" localSheetId="2">Bunkering!$E$13</definedName>
    <definedName name="volume44" localSheetId="2">Bunkering!$E$14</definedName>
    <definedName name="volume45" localSheetId="2">Bunkering!$E$15</definedName>
    <definedName name="volume46" localSheetId="2">Bunkering!$E$16</definedName>
    <definedName name="volume47" localSheetId="2">Bunkering!$E$17</definedName>
    <definedName name="volume48" localSheetId="2">Bunkering!$E$18</definedName>
    <definedName name="volume49" localSheetId="2">Bunkering!$E$19</definedName>
    <definedName name="volume500">Report3!$F$18</definedName>
    <definedName name="volume600">Report3!$F$19</definedName>
    <definedName name="voyageNumber">Report2!$D$4</definedName>
    <definedName name="voyNum">Data!$C$3</definedName>
    <definedName name="voyNum1">Bunkering!$C$3</definedName>
    <definedName name="voyNumCalc">Report7!$D$4</definedName>
    <definedName name="Water1Heel">Tank4!$Z$10</definedName>
    <definedName name="Water1Heel1">Tank4!$M$11:$M$61</definedName>
    <definedName name="Water1Heel2">Tank4!$N$10:$V$10</definedName>
    <definedName name="Water1Heel3">Tank4!$N$11:$V$61</definedName>
    <definedName name="Water1Trim">Tank4!$Z$14</definedName>
    <definedName name="Water1Trim1">Tank4!$A$11:$A$111</definedName>
    <definedName name="Water1Trim2">Tank4!$B$10:$I$10</definedName>
    <definedName name="Water1Trim3">Tank4!$B$11:$I$111</definedName>
    <definedName name="Water2Heel">Tank4!$Z$142</definedName>
    <definedName name="Water2Heel1">Tank4!$M$143:$M$193</definedName>
    <definedName name="Water2Heel2">Tank4!$N$142:$V$142</definedName>
    <definedName name="Water2Heel3">Tank4!$N$143:$V$193</definedName>
    <definedName name="Water2Trim">Tank4!$Z$146</definedName>
    <definedName name="Water2Trim1">Tank4!$A$143:$A$242</definedName>
    <definedName name="Water2Trim2">Tank4!$B$142:$I$142</definedName>
    <definedName name="Water2Trim3">Tank4!$B$143:$I$242</definedName>
    <definedName name="Water3Heel">Tank4!$Z$274</definedName>
    <definedName name="Water3Heel1">Tank4!$M$275:$M$396</definedName>
    <definedName name="Water3Heel2">Tank4!$O$274:$U$274</definedName>
    <definedName name="Water3Heel3">Tank4!$O$275:$U$396</definedName>
    <definedName name="Water3Trim">Tank4!$Z$278</definedName>
    <definedName name="Water3Trim1">Tank4!$A$275:$A$396</definedName>
    <definedName name="Water3Trim2">Tank4!$B$274:$L$274</definedName>
    <definedName name="Water3Trim3">Tank4!$B$275:$L$396</definedName>
    <definedName name="Water4Heel">Tank4!$Z$406</definedName>
    <definedName name="Water4Heel1">Tank4!$M$407:$M$528</definedName>
    <definedName name="Water4Heel2">Tank4!$O$406:$U$406</definedName>
    <definedName name="Water4Heel3">Tank4!$O$407:$U$528</definedName>
    <definedName name="Water4Trim">Tank4!$Z$410</definedName>
    <definedName name="Water4Trim1">Tank4!$A$407:$A$528</definedName>
    <definedName name="Water4Trim2">Tank4!$B$406:$L$406</definedName>
    <definedName name="Water4Trim3">Tank4!$B$407:$L$528</definedName>
    <definedName name="waterDraft1">Report5!$P$4</definedName>
    <definedName name="waterDraftAft">Report5!$D$5</definedName>
    <definedName name="waterDraftFwd">Report5!$D$4</definedName>
    <definedName name="waterDraftMean">Report5!$G$5</definedName>
    <definedName name="waterHeel">Report5!$L$5</definedName>
    <definedName name="waterMonth">Report5!$P$2</definedName>
    <definedName name="waterPresent">Report5!$P$5</definedName>
    <definedName name="waterPreviousFlow">Report5!$J$10</definedName>
    <definedName name="waterPreviousRob">Report5!$N$10</definedName>
    <definedName name="waterRow">Report5!$Y$2</definedName>
    <definedName name="WaterSound1">Tank4!$AA$10</definedName>
    <definedName name="WaterSound2">Tank4!$AA$142</definedName>
    <definedName name="WaterSound3">Tank4!$AA$274</definedName>
    <definedName name="WaterSound4">Tank4!$AA$406</definedName>
    <definedName name="waterTank1">Report5!$Y$16</definedName>
    <definedName name="waterTank2">Report5!$Y$17</definedName>
    <definedName name="waterTank21">Report5!$Z$16</definedName>
    <definedName name="waterTank22">Report5!$Z$17</definedName>
    <definedName name="waterTank23">Report5!$Z$18</definedName>
    <definedName name="waterTank24">Report5!$Z$19</definedName>
    <definedName name="waterTank3">Report5!$Y$18</definedName>
    <definedName name="waterTank4">Report5!$Y$19</definedName>
    <definedName name="waterTank5">Report5!$Y$20</definedName>
    <definedName name="waterTank6">Report5!$Z$20</definedName>
    <definedName name="waterTank7">Report5!$Y$21</definedName>
    <definedName name="waterTank8">Report5!$Z$21</definedName>
    <definedName name="waterTank9">Report5!$Y$22</definedName>
    <definedName name="waterTrim">Report5!$O$5</definedName>
    <definedName name="waterTrimTrue">Report5!$J$5</definedName>
    <definedName name="WaterVolume1">Tank4!$AC$10</definedName>
    <definedName name="WaterVolume2">Tank4!$AC$142</definedName>
    <definedName name="WaterVolume3">Tank4!$AC$274</definedName>
    <definedName name="WaterVolume4">Tank4!$AC$406</definedName>
    <definedName name="waterYear">Report5!$Q$2</definedName>
    <definedName name="wcfTable1">Data!$Q$11</definedName>
    <definedName name="wcfTable10">Data!$Q$20</definedName>
    <definedName name="wcfTable11">Data!$Q$21</definedName>
    <definedName name="wcfTable12">Data!$Q$22</definedName>
    <definedName name="wcfTable13">Data!$Q$23</definedName>
    <definedName name="wcfTable14">Data!$Q$24</definedName>
    <definedName name="wcfTable15">Data!$Q$25</definedName>
    <definedName name="wcfTable16">Data!$Q$26</definedName>
    <definedName name="wcfTable17">Data!$Q$27</definedName>
    <definedName name="wcfTable2">Data!$Q$12</definedName>
    <definedName name="wcfTable21" localSheetId="2">Bunkering!$Q$11</definedName>
    <definedName name="wcfTable210" localSheetId="2">Bunkering!$Q$20</definedName>
    <definedName name="wcfTable211" localSheetId="2">Bunkering!$Q$21</definedName>
    <definedName name="wcfTable212" localSheetId="2">Bunkering!$Q$22</definedName>
    <definedName name="wcfTable213" localSheetId="2">Bunkering!$Q$23</definedName>
    <definedName name="wcfTable214" localSheetId="2">Bunkering!$Q$24</definedName>
    <definedName name="wcfTable215">Bunkering!$Q$25</definedName>
    <definedName name="wcfTable216">Bunkering!$Q$26</definedName>
    <definedName name="wcfTable217">Bunkering!$Q$27</definedName>
    <definedName name="wcfTable22" localSheetId="2">Bunkering!$Q$12</definedName>
    <definedName name="wcfTable23" localSheetId="2">Bunkering!$Q$13</definedName>
    <definedName name="wcfTable24" localSheetId="2">Bunkering!$Q$14</definedName>
    <definedName name="wcfTable25" localSheetId="2">Bunkering!$Q$15</definedName>
    <definedName name="wcfTable26" localSheetId="2">Bunkering!$Q$16</definedName>
    <definedName name="wcfTable27" localSheetId="2">Bunkering!$Q$17</definedName>
    <definedName name="wcfTable28" localSheetId="2">Bunkering!$Q$18</definedName>
    <definedName name="wcfTable29" localSheetId="2">Bunkering!$Q$19</definedName>
    <definedName name="wcfTable3">Data!$Q$13</definedName>
    <definedName name="wcfTable4">Data!$Q$14</definedName>
    <definedName name="wcfTable5">Data!$Q$15</definedName>
    <definedName name="wcfTable6">Data!$Q$16</definedName>
    <definedName name="wcfTable7">Data!$Q$17</definedName>
    <definedName name="wcfTable8">Data!$Q$18</definedName>
    <definedName name="wcfTable9">Data!$Q$19</definedName>
  </definedNames>
  <calcPr calcId="181029" fullPrecision="0"/>
</workbook>
</file>

<file path=xl/calcChain.xml><?xml version="1.0" encoding="utf-8"?>
<calcChain xmlns="http://schemas.openxmlformats.org/spreadsheetml/2006/main">
  <c r="U28" i="39" l="1"/>
  <c r="F12" i="7"/>
  <c r="E12" i="7"/>
  <c r="E18" i="7"/>
  <c r="E17" i="7"/>
  <c r="E16" i="7"/>
  <c r="E15" i="7"/>
  <c r="E14" i="7"/>
  <c r="E13" i="7"/>
  <c r="F13" i="7" s="1"/>
  <c r="E6" i="7"/>
  <c r="G5" i="7"/>
  <c r="G6" i="7"/>
  <c r="AA8" i="49"/>
  <c r="U28" i="2"/>
  <c r="T9" i="52"/>
  <c r="H23" i="52"/>
  <c r="T41" i="52"/>
  <c r="T45" i="52" s="1"/>
  <c r="T7" i="52"/>
  <c r="Z10" i="49"/>
  <c r="Z9" i="49"/>
  <c r="Z8" i="49"/>
  <c r="N12" i="48"/>
  <c r="K11" i="48"/>
  <c r="A20" i="7" l="1"/>
  <c r="G18" i="7"/>
  <c r="H18" i="7" s="1"/>
  <c r="K18" i="7" s="1"/>
  <c r="F18" i="7"/>
  <c r="D18" i="7"/>
  <c r="G17" i="7"/>
  <c r="E30" i="40" s="1"/>
  <c r="E30" i="8"/>
  <c r="D17" i="7"/>
  <c r="G16" i="7"/>
  <c r="E29" i="40" s="1"/>
  <c r="F16" i="7"/>
  <c r="J16" i="7" s="1"/>
  <c r="D16" i="7"/>
  <c r="G15" i="7"/>
  <c r="H15" i="7" s="1"/>
  <c r="F15" i="7"/>
  <c r="D15" i="7"/>
  <c r="G14" i="7"/>
  <c r="H14" i="7" s="1"/>
  <c r="F14" i="7"/>
  <c r="D14" i="7"/>
  <c r="G13" i="7"/>
  <c r="E26" i="40" s="1"/>
  <c r="D13" i="7"/>
  <c r="G12" i="7"/>
  <c r="H12" i="7" s="1"/>
  <c r="K12" i="7" s="1"/>
  <c r="J12" i="7"/>
  <c r="D12" i="7"/>
  <c r="G11" i="7"/>
  <c r="H11" i="7" s="1"/>
  <c r="K11" i="7" s="1"/>
  <c r="E11" i="7"/>
  <c r="F11" i="7" s="1"/>
  <c r="J11" i="7" s="1"/>
  <c r="D11" i="7"/>
  <c r="G10" i="7"/>
  <c r="H10" i="7" s="1"/>
  <c r="K10" i="7" s="1"/>
  <c r="E10" i="7"/>
  <c r="F10" i="7" s="1"/>
  <c r="J10" i="7" s="1"/>
  <c r="D10" i="7"/>
  <c r="G9" i="7"/>
  <c r="H9" i="7" s="1"/>
  <c r="K9" i="7" s="1"/>
  <c r="E9" i="7"/>
  <c r="F9" i="7" s="1"/>
  <c r="J9" i="7" s="1"/>
  <c r="D9" i="7"/>
  <c r="G8" i="7"/>
  <c r="H8" i="7" s="1"/>
  <c r="K8" i="7" s="1"/>
  <c r="E8" i="7"/>
  <c r="F8" i="7" s="1"/>
  <c r="J8" i="7" s="1"/>
  <c r="D8" i="7"/>
  <c r="G7" i="7"/>
  <c r="H7" i="7" s="1"/>
  <c r="K7" i="7" s="1"/>
  <c r="E7" i="7"/>
  <c r="F7" i="7" s="1"/>
  <c r="J7" i="7" s="1"/>
  <c r="D7" i="7"/>
  <c r="H6" i="7"/>
  <c r="K6" i="7" s="1"/>
  <c r="D6" i="7"/>
  <c r="F6" i="7" s="1"/>
  <c r="J6" i="7" s="1"/>
  <c r="H5" i="7"/>
  <c r="K5" i="7" s="1"/>
  <c r="D5" i="7"/>
  <c r="E5" i="7" s="1"/>
  <c r="F5" i="7" s="1"/>
  <c r="J5" i="7" s="1"/>
  <c r="G4" i="7"/>
  <c r="H4" i="7" s="1"/>
  <c r="K4" i="7" s="1"/>
  <c r="D4" i="7"/>
  <c r="E4" i="7" s="1"/>
  <c r="F4" i="7" s="1"/>
  <c r="J4" i="7" s="1"/>
  <c r="D3" i="7"/>
  <c r="D2" i="7"/>
  <c r="P39" i="3"/>
  <c r="D39" i="3"/>
  <c r="B39" i="3"/>
  <c r="P38" i="3"/>
  <c r="D38" i="3"/>
  <c r="B38" i="3"/>
  <c r="P37" i="3"/>
  <c r="D37" i="3"/>
  <c r="B37" i="3"/>
  <c r="P36" i="3"/>
  <c r="D36" i="3"/>
  <c r="B36" i="3"/>
  <c r="P35" i="3"/>
  <c r="D35" i="3"/>
  <c r="B35" i="3"/>
  <c r="P34" i="3"/>
  <c r="D34" i="3"/>
  <c r="B34" i="3"/>
  <c r="P33" i="3"/>
  <c r="D33" i="3"/>
  <c r="B33" i="3"/>
  <c r="P32" i="3"/>
  <c r="D32" i="3"/>
  <c r="B32" i="3"/>
  <c r="P31" i="3"/>
  <c r="D31" i="3"/>
  <c r="B31" i="3"/>
  <c r="P30" i="3"/>
  <c r="D30" i="3"/>
  <c r="B30" i="3"/>
  <c r="P29" i="3"/>
  <c r="D29" i="3"/>
  <c r="B29" i="3"/>
  <c r="P28" i="3"/>
  <c r="D28" i="3"/>
  <c r="B28" i="3"/>
  <c r="P27" i="3"/>
  <c r="D27" i="3"/>
  <c r="B27" i="3"/>
  <c r="P26" i="3"/>
  <c r="D26" i="3"/>
  <c r="B26" i="3"/>
  <c r="P25" i="3"/>
  <c r="D25" i="3"/>
  <c r="B25" i="3"/>
  <c r="P24" i="3"/>
  <c r="D24" i="3"/>
  <c r="B24" i="3"/>
  <c r="P23" i="3"/>
  <c r="D23" i="3"/>
  <c r="B23" i="3"/>
  <c r="P21" i="3"/>
  <c r="D21" i="3"/>
  <c r="B21" i="3"/>
  <c r="P20" i="3"/>
  <c r="D20" i="3"/>
  <c r="B20" i="3"/>
  <c r="P19" i="3"/>
  <c r="D19" i="3"/>
  <c r="B19" i="3"/>
  <c r="P18" i="3"/>
  <c r="D18" i="3"/>
  <c r="B18" i="3"/>
  <c r="P17" i="3"/>
  <c r="D17" i="3"/>
  <c r="B17" i="3"/>
  <c r="P16" i="3"/>
  <c r="D16" i="3"/>
  <c r="B16" i="3"/>
  <c r="P15" i="3"/>
  <c r="D15" i="3"/>
  <c r="B15" i="3"/>
  <c r="P14" i="3"/>
  <c r="D14" i="3"/>
  <c r="B14" i="3"/>
  <c r="P13" i="3"/>
  <c r="D13" i="3"/>
  <c r="B13" i="3"/>
  <c r="P12" i="3"/>
  <c r="D12" i="3"/>
  <c r="B12" i="3"/>
  <c r="P11" i="3"/>
  <c r="D11" i="3"/>
  <c r="B11" i="3"/>
  <c r="P10" i="3"/>
  <c r="D10" i="3"/>
  <c r="B10" i="3"/>
  <c r="P9" i="3"/>
  <c r="D9" i="3"/>
  <c r="B9" i="3"/>
  <c r="P8" i="3"/>
  <c r="D8" i="3"/>
  <c r="B8" i="3"/>
  <c r="P7" i="3"/>
  <c r="D7" i="3"/>
  <c r="B7" i="3"/>
  <c r="P6" i="3"/>
  <c r="D6" i="3"/>
  <c r="B6" i="3"/>
  <c r="P5" i="3"/>
  <c r="D5" i="3"/>
  <c r="B5" i="3"/>
  <c r="K502" i="5"/>
  <c r="L502" i="5" s="1"/>
  <c r="H502" i="5"/>
  <c r="G502" i="5"/>
  <c r="I502" i="5" s="1"/>
  <c r="K501" i="5"/>
  <c r="L501" i="5" s="1"/>
  <c r="H501" i="5"/>
  <c r="G501" i="5"/>
  <c r="I501" i="5" s="1"/>
  <c r="K500" i="5"/>
  <c r="L500" i="5" s="1"/>
  <c r="H500" i="5"/>
  <c r="G500" i="5"/>
  <c r="I500" i="5" s="1"/>
  <c r="K499" i="5"/>
  <c r="L499" i="5" s="1"/>
  <c r="H499" i="5"/>
  <c r="G499" i="5"/>
  <c r="I499" i="5" s="1"/>
  <c r="K498" i="5"/>
  <c r="L498" i="5" s="1"/>
  <c r="H498" i="5"/>
  <c r="G498" i="5"/>
  <c r="I498" i="5" s="1"/>
  <c r="K497" i="5"/>
  <c r="L497" i="5" s="1"/>
  <c r="H497" i="5"/>
  <c r="G497" i="5"/>
  <c r="I497" i="5" s="1"/>
  <c r="K496" i="5"/>
  <c r="L496" i="5" s="1"/>
  <c r="H496" i="5"/>
  <c r="G496" i="5"/>
  <c r="I496" i="5" s="1"/>
  <c r="K495" i="5"/>
  <c r="L495" i="5" s="1"/>
  <c r="H495" i="5"/>
  <c r="G495" i="5"/>
  <c r="I495" i="5" s="1"/>
  <c r="K494" i="5"/>
  <c r="L494" i="5" s="1"/>
  <c r="H494" i="5"/>
  <c r="G494" i="5"/>
  <c r="I494" i="5" s="1"/>
  <c r="K493" i="5"/>
  <c r="L493" i="5" s="1"/>
  <c r="H493" i="5"/>
  <c r="G493" i="5"/>
  <c r="I493" i="5" s="1"/>
  <c r="K492" i="5"/>
  <c r="L492" i="5" s="1"/>
  <c r="H492" i="5"/>
  <c r="G492" i="5"/>
  <c r="I492" i="5" s="1"/>
  <c r="K491" i="5"/>
  <c r="L491" i="5" s="1"/>
  <c r="H491" i="5"/>
  <c r="G491" i="5"/>
  <c r="I491" i="5" s="1"/>
  <c r="K490" i="5"/>
  <c r="L490" i="5" s="1"/>
  <c r="H490" i="5"/>
  <c r="G490" i="5"/>
  <c r="I490" i="5" s="1"/>
  <c r="K489" i="5"/>
  <c r="L489" i="5" s="1"/>
  <c r="H489" i="5"/>
  <c r="G489" i="5"/>
  <c r="I489" i="5" s="1"/>
  <c r="K488" i="5"/>
  <c r="L488" i="5" s="1"/>
  <c r="H488" i="5"/>
  <c r="G488" i="5"/>
  <c r="I488" i="5" s="1"/>
  <c r="K487" i="5"/>
  <c r="L487" i="5" s="1"/>
  <c r="H487" i="5"/>
  <c r="G487" i="5"/>
  <c r="I487" i="5" s="1"/>
  <c r="K486" i="5"/>
  <c r="L486" i="5" s="1"/>
  <c r="H486" i="5"/>
  <c r="G486" i="5"/>
  <c r="I486" i="5" s="1"/>
  <c r="K485" i="5"/>
  <c r="L485" i="5" s="1"/>
  <c r="H485" i="5"/>
  <c r="G485" i="5"/>
  <c r="I485" i="5" s="1"/>
  <c r="K484" i="5"/>
  <c r="L484" i="5" s="1"/>
  <c r="H484" i="5"/>
  <c r="G484" i="5"/>
  <c r="I484" i="5" s="1"/>
  <c r="K483" i="5"/>
  <c r="L483" i="5" s="1"/>
  <c r="H483" i="5"/>
  <c r="G483" i="5"/>
  <c r="I483" i="5" s="1"/>
  <c r="K482" i="5"/>
  <c r="L482" i="5" s="1"/>
  <c r="H482" i="5"/>
  <c r="G482" i="5"/>
  <c r="I482" i="5" s="1"/>
  <c r="K481" i="5"/>
  <c r="L481" i="5" s="1"/>
  <c r="H481" i="5"/>
  <c r="G481" i="5"/>
  <c r="I481" i="5" s="1"/>
  <c r="K480" i="5"/>
  <c r="L480" i="5" s="1"/>
  <c r="H480" i="5"/>
  <c r="G480" i="5"/>
  <c r="I480" i="5" s="1"/>
  <c r="K479" i="5"/>
  <c r="L479" i="5" s="1"/>
  <c r="H479" i="5"/>
  <c r="G479" i="5"/>
  <c r="I479" i="5" s="1"/>
  <c r="K478" i="5"/>
  <c r="L478" i="5" s="1"/>
  <c r="H478" i="5"/>
  <c r="G478" i="5"/>
  <c r="I478" i="5" s="1"/>
  <c r="K477" i="5"/>
  <c r="L477" i="5" s="1"/>
  <c r="H477" i="5"/>
  <c r="G477" i="5"/>
  <c r="I477" i="5" s="1"/>
  <c r="K476" i="5"/>
  <c r="L476" i="5" s="1"/>
  <c r="H476" i="5"/>
  <c r="G476" i="5"/>
  <c r="I476" i="5" s="1"/>
  <c r="K475" i="5"/>
  <c r="L475" i="5" s="1"/>
  <c r="H475" i="5"/>
  <c r="G475" i="5"/>
  <c r="I475" i="5" s="1"/>
  <c r="K474" i="5"/>
  <c r="L474" i="5" s="1"/>
  <c r="H474" i="5"/>
  <c r="G474" i="5"/>
  <c r="I474" i="5" s="1"/>
  <c r="K473" i="5"/>
  <c r="L473" i="5" s="1"/>
  <c r="H473" i="5"/>
  <c r="G473" i="5"/>
  <c r="I473" i="5" s="1"/>
  <c r="K472" i="5"/>
  <c r="L472" i="5" s="1"/>
  <c r="H472" i="5"/>
  <c r="G472" i="5"/>
  <c r="I472" i="5" s="1"/>
  <c r="K471" i="5"/>
  <c r="L471" i="5" s="1"/>
  <c r="H471" i="5"/>
  <c r="G471" i="5"/>
  <c r="I471" i="5" s="1"/>
  <c r="K470" i="5"/>
  <c r="L470" i="5" s="1"/>
  <c r="H470" i="5"/>
  <c r="G470" i="5"/>
  <c r="I470" i="5" s="1"/>
  <c r="K469" i="5"/>
  <c r="L469" i="5" s="1"/>
  <c r="H469" i="5"/>
  <c r="G469" i="5"/>
  <c r="I469" i="5" s="1"/>
  <c r="K468" i="5"/>
  <c r="L468" i="5" s="1"/>
  <c r="H468" i="5"/>
  <c r="G468" i="5"/>
  <c r="I468" i="5" s="1"/>
  <c r="K467" i="5"/>
  <c r="L467" i="5" s="1"/>
  <c r="H467" i="5"/>
  <c r="G467" i="5"/>
  <c r="I467" i="5" s="1"/>
  <c r="K466" i="5"/>
  <c r="L466" i="5" s="1"/>
  <c r="H466" i="5"/>
  <c r="G466" i="5"/>
  <c r="I466" i="5" s="1"/>
  <c r="K465" i="5"/>
  <c r="L465" i="5" s="1"/>
  <c r="H465" i="5"/>
  <c r="G465" i="5"/>
  <c r="I465" i="5" s="1"/>
  <c r="K464" i="5"/>
  <c r="L464" i="5" s="1"/>
  <c r="H464" i="5"/>
  <c r="G464" i="5"/>
  <c r="I464" i="5" s="1"/>
  <c r="K463" i="5"/>
  <c r="L463" i="5" s="1"/>
  <c r="H463" i="5"/>
  <c r="G463" i="5"/>
  <c r="I463" i="5" s="1"/>
  <c r="K462" i="5"/>
  <c r="L462" i="5" s="1"/>
  <c r="H462" i="5"/>
  <c r="G462" i="5"/>
  <c r="I462" i="5" s="1"/>
  <c r="K461" i="5"/>
  <c r="L461" i="5" s="1"/>
  <c r="H461" i="5"/>
  <c r="G461" i="5"/>
  <c r="I461" i="5" s="1"/>
  <c r="K460" i="5"/>
  <c r="L460" i="5" s="1"/>
  <c r="H460" i="5"/>
  <c r="G460" i="5"/>
  <c r="I460" i="5" s="1"/>
  <c r="K459" i="5"/>
  <c r="L459" i="5" s="1"/>
  <c r="H459" i="5"/>
  <c r="G459" i="5"/>
  <c r="I459" i="5" s="1"/>
  <c r="K458" i="5"/>
  <c r="L458" i="5" s="1"/>
  <c r="H458" i="5"/>
  <c r="G458" i="5"/>
  <c r="I458" i="5" s="1"/>
  <c r="K457" i="5"/>
  <c r="L457" i="5" s="1"/>
  <c r="H457" i="5"/>
  <c r="G457" i="5"/>
  <c r="I457" i="5" s="1"/>
  <c r="K456" i="5"/>
  <c r="L456" i="5" s="1"/>
  <c r="H456" i="5"/>
  <c r="G456" i="5"/>
  <c r="I456" i="5" s="1"/>
  <c r="K455" i="5"/>
  <c r="L455" i="5" s="1"/>
  <c r="H455" i="5"/>
  <c r="G455" i="5"/>
  <c r="I455" i="5" s="1"/>
  <c r="K454" i="5"/>
  <c r="L454" i="5" s="1"/>
  <c r="H454" i="5"/>
  <c r="G454" i="5"/>
  <c r="I454" i="5" s="1"/>
  <c r="K453" i="5"/>
  <c r="L453" i="5" s="1"/>
  <c r="H453" i="5"/>
  <c r="G453" i="5"/>
  <c r="I453" i="5" s="1"/>
  <c r="K452" i="5"/>
  <c r="L452" i="5" s="1"/>
  <c r="H452" i="5"/>
  <c r="G452" i="5"/>
  <c r="I452" i="5" s="1"/>
  <c r="K451" i="5"/>
  <c r="L451" i="5" s="1"/>
  <c r="H451" i="5"/>
  <c r="G451" i="5"/>
  <c r="I451" i="5" s="1"/>
  <c r="K450" i="5"/>
  <c r="L450" i="5" s="1"/>
  <c r="H450" i="5"/>
  <c r="G450" i="5"/>
  <c r="I450" i="5" s="1"/>
  <c r="K449" i="5"/>
  <c r="L449" i="5" s="1"/>
  <c r="H449" i="5"/>
  <c r="G449" i="5"/>
  <c r="I449" i="5" s="1"/>
  <c r="K448" i="5"/>
  <c r="L448" i="5" s="1"/>
  <c r="H448" i="5"/>
  <c r="G448" i="5"/>
  <c r="I448" i="5" s="1"/>
  <c r="K447" i="5"/>
  <c r="L447" i="5" s="1"/>
  <c r="H447" i="5"/>
  <c r="G447" i="5"/>
  <c r="I447" i="5" s="1"/>
  <c r="K446" i="5"/>
  <c r="L446" i="5" s="1"/>
  <c r="H446" i="5"/>
  <c r="G446" i="5"/>
  <c r="I446" i="5" s="1"/>
  <c r="K445" i="5"/>
  <c r="L445" i="5" s="1"/>
  <c r="H445" i="5"/>
  <c r="G445" i="5"/>
  <c r="I445" i="5" s="1"/>
  <c r="K444" i="5"/>
  <c r="L444" i="5" s="1"/>
  <c r="H444" i="5"/>
  <c r="G444" i="5"/>
  <c r="I444" i="5" s="1"/>
  <c r="K443" i="5"/>
  <c r="L443" i="5" s="1"/>
  <c r="H443" i="5"/>
  <c r="G443" i="5"/>
  <c r="I443" i="5" s="1"/>
  <c r="K442" i="5"/>
  <c r="L442" i="5" s="1"/>
  <c r="H442" i="5"/>
  <c r="G442" i="5"/>
  <c r="I442" i="5" s="1"/>
  <c r="K441" i="5"/>
  <c r="L441" i="5" s="1"/>
  <c r="H441" i="5"/>
  <c r="G441" i="5"/>
  <c r="I441" i="5" s="1"/>
  <c r="K440" i="5"/>
  <c r="L440" i="5" s="1"/>
  <c r="H440" i="5"/>
  <c r="G440" i="5"/>
  <c r="I440" i="5" s="1"/>
  <c r="K439" i="5"/>
  <c r="L439" i="5" s="1"/>
  <c r="H439" i="5"/>
  <c r="G439" i="5"/>
  <c r="I439" i="5" s="1"/>
  <c r="K438" i="5"/>
  <c r="L438" i="5" s="1"/>
  <c r="H438" i="5"/>
  <c r="G438" i="5"/>
  <c r="I438" i="5" s="1"/>
  <c r="K437" i="5"/>
  <c r="L437" i="5" s="1"/>
  <c r="H437" i="5"/>
  <c r="G437" i="5"/>
  <c r="I437" i="5" s="1"/>
  <c r="K436" i="5"/>
  <c r="L436" i="5" s="1"/>
  <c r="H436" i="5"/>
  <c r="G436" i="5"/>
  <c r="I436" i="5" s="1"/>
  <c r="K435" i="5"/>
  <c r="L435" i="5" s="1"/>
  <c r="H435" i="5"/>
  <c r="G435" i="5"/>
  <c r="I435" i="5" s="1"/>
  <c r="K434" i="5"/>
  <c r="L434" i="5" s="1"/>
  <c r="H434" i="5"/>
  <c r="G434" i="5"/>
  <c r="I434" i="5" s="1"/>
  <c r="K433" i="5"/>
  <c r="L433" i="5" s="1"/>
  <c r="H433" i="5"/>
  <c r="G433" i="5"/>
  <c r="I433" i="5" s="1"/>
  <c r="K432" i="5"/>
  <c r="L432" i="5" s="1"/>
  <c r="H432" i="5"/>
  <c r="G432" i="5"/>
  <c r="I432" i="5" s="1"/>
  <c r="K431" i="5"/>
  <c r="L431" i="5" s="1"/>
  <c r="H431" i="5"/>
  <c r="G431" i="5"/>
  <c r="I431" i="5" s="1"/>
  <c r="K430" i="5"/>
  <c r="L430" i="5" s="1"/>
  <c r="H430" i="5"/>
  <c r="G430" i="5"/>
  <c r="I430" i="5" s="1"/>
  <c r="K429" i="5"/>
  <c r="L429" i="5" s="1"/>
  <c r="H429" i="5"/>
  <c r="G429" i="5"/>
  <c r="I429" i="5" s="1"/>
  <c r="K428" i="5"/>
  <c r="L428" i="5" s="1"/>
  <c r="H428" i="5"/>
  <c r="G428" i="5"/>
  <c r="I428" i="5" s="1"/>
  <c r="K427" i="5"/>
  <c r="L427" i="5" s="1"/>
  <c r="H427" i="5"/>
  <c r="G427" i="5"/>
  <c r="I427" i="5" s="1"/>
  <c r="K426" i="5"/>
  <c r="L426" i="5" s="1"/>
  <c r="H426" i="5"/>
  <c r="G426" i="5"/>
  <c r="I426" i="5" s="1"/>
  <c r="K425" i="5"/>
  <c r="L425" i="5" s="1"/>
  <c r="H425" i="5"/>
  <c r="G425" i="5"/>
  <c r="I425" i="5" s="1"/>
  <c r="K424" i="5"/>
  <c r="L424" i="5" s="1"/>
  <c r="H424" i="5"/>
  <c r="G424" i="5"/>
  <c r="I424" i="5" s="1"/>
  <c r="K423" i="5"/>
  <c r="L423" i="5" s="1"/>
  <c r="H423" i="5"/>
  <c r="G423" i="5"/>
  <c r="I423" i="5" s="1"/>
  <c r="K422" i="5"/>
  <c r="L422" i="5" s="1"/>
  <c r="H422" i="5"/>
  <c r="G422" i="5"/>
  <c r="I422" i="5" s="1"/>
  <c r="K421" i="5"/>
  <c r="L421" i="5" s="1"/>
  <c r="H421" i="5"/>
  <c r="G421" i="5"/>
  <c r="I421" i="5" s="1"/>
  <c r="K420" i="5"/>
  <c r="L420" i="5" s="1"/>
  <c r="H420" i="5"/>
  <c r="G420" i="5"/>
  <c r="I420" i="5" s="1"/>
  <c r="K419" i="5"/>
  <c r="L419" i="5" s="1"/>
  <c r="H419" i="5"/>
  <c r="G419" i="5"/>
  <c r="I419" i="5" s="1"/>
  <c r="K418" i="5"/>
  <c r="L418" i="5" s="1"/>
  <c r="H418" i="5"/>
  <c r="G418" i="5"/>
  <c r="I418" i="5" s="1"/>
  <c r="K417" i="5"/>
  <c r="L417" i="5" s="1"/>
  <c r="H417" i="5"/>
  <c r="G417" i="5"/>
  <c r="I417" i="5" s="1"/>
  <c r="K416" i="5"/>
  <c r="L416" i="5" s="1"/>
  <c r="H416" i="5"/>
  <c r="G416" i="5"/>
  <c r="I416" i="5" s="1"/>
  <c r="K415" i="5"/>
  <c r="L415" i="5" s="1"/>
  <c r="H415" i="5"/>
  <c r="G415" i="5"/>
  <c r="I415" i="5" s="1"/>
  <c r="K414" i="5"/>
  <c r="L414" i="5" s="1"/>
  <c r="H414" i="5"/>
  <c r="G414" i="5"/>
  <c r="I414" i="5" s="1"/>
  <c r="K413" i="5"/>
  <c r="L413" i="5" s="1"/>
  <c r="H413" i="5"/>
  <c r="G413" i="5"/>
  <c r="I413" i="5" s="1"/>
  <c r="K412" i="5"/>
  <c r="L412" i="5" s="1"/>
  <c r="H412" i="5"/>
  <c r="G412" i="5"/>
  <c r="I412" i="5" s="1"/>
  <c r="K411" i="5"/>
  <c r="L411" i="5" s="1"/>
  <c r="H411" i="5"/>
  <c r="G411" i="5"/>
  <c r="I411" i="5" s="1"/>
  <c r="K410" i="5"/>
  <c r="L410" i="5" s="1"/>
  <c r="H410" i="5"/>
  <c r="G410" i="5"/>
  <c r="I410" i="5" s="1"/>
  <c r="K409" i="5"/>
  <c r="L409" i="5" s="1"/>
  <c r="H409" i="5"/>
  <c r="G409" i="5"/>
  <c r="I409" i="5" s="1"/>
  <c r="K408" i="5"/>
  <c r="L408" i="5" s="1"/>
  <c r="H408" i="5"/>
  <c r="G408" i="5"/>
  <c r="I408" i="5" s="1"/>
  <c r="K407" i="5"/>
  <c r="L407" i="5" s="1"/>
  <c r="H407" i="5"/>
  <c r="G407" i="5"/>
  <c r="I407" i="5" s="1"/>
  <c r="K406" i="5"/>
  <c r="L406" i="5" s="1"/>
  <c r="H406" i="5"/>
  <c r="G406" i="5"/>
  <c r="I406" i="5" s="1"/>
  <c r="K405" i="5"/>
  <c r="L405" i="5" s="1"/>
  <c r="H405" i="5"/>
  <c r="G405" i="5"/>
  <c r="I405" i="5" s="1"/>
  <c r="K404" i="5"/>
  <c r="L404" i="5" s="1"/>
  <c r="H404" i="5"/>
  <c r="G404" i="5"/>
  <c r="I404" i="5" s="1"/>
  <c r="K403" i="5"/>
  <c r="L403" i="5" s="1"/>
  <c r="H403" i="5"/>
  <c r="G403" i="5"/>
  <c r="I403" i="5" s="1"/>
  <c r="K402" i="5"/>
  <c r="L402" i="5" s="1"/>
  <c r="H402" i="5"/>
  <c r="G402" i="5"/>
  <c r="I402" i="5" s="1"/>
  <c r="K401" i="5"/>
  <c r="L401" i="5" s="1"/>
  <c r="H401" i="5"/>
  <c r="G401" i="5"/>
  <c r="I401" i="5" s="1"/>
  <c r="K400" i="5"/>
  <c r="L400" i="5" s="1"/>
  <c r="H400" i="5"/>
  <c r="G400" i="5"/>
  <c r="I400" i="5" s="1"/>
  <c r="K399" i="5"/>
  <c r="L399" i="5" s="1"/>
  <c r="H399" i="5"/>
  <c r="G399" i="5"/>
  <c r="I399" i="5" s="1"/>
  <c r="K398" i="5"/>
  <c r="L398" i="5" s="1"/>
  <c r="H398" i="5"/>
  <c r="G398" i="5"/>
  <c r="I398" i="5" s="1"/>
  <c r="K397" i="5"/>
  <c r="L397" i="5" s="1"/>
  <c r="H397" i="5"/>
  <c r="G397" i="5"/>
  <c r="I397" i="5" s="1"/>
  <c r="K396" i="5"/>
  <c r="L396" i="5" s="1"/>
  <c r="H396" i="5"/>
  <c r="G396" i="5"/>
  <c r="I396" i="5" s="1"/>
  <c r="K395" i="5"/>
  <c r="L395" i="5" s="1"/>
  <c r="H395" i="5"/>
  <c r="G395" i="5"/>
  <c r="I395" i="5" s="1"/>
  <c r="K394" i="5"/>
  <c r="L394" i="5" s="1"/>
  <c r="H394" i="5"/>
  <c r="G394" i="5"/>
  <c r="I394" i="5" s="1"/>
  <c r="K393" i="5"/>
  <c r="L393" i="5" s="1"/>
  <c r="H393" i="5"/>
  <c r="G393" i="5"/>
  <c r="I393" i="5" s="1"/>
  <c r="K392" i="5"/>
  <c r="L392" i="5" s="1"/>
  <c r="H392" i="5"/>
  <c r="G392" i="5"/>
  <c r="I392" i="5" s="1"/>
  <c r="K391" i="5"/>
  <c r="L391" i="5" s="1"/>
  <c r="H391" i="5"/>
  <c r="G391" i="5"/>
  <c r="I391" i="5" s="1"/>
  <c r="K390" i="5"/>
  <c r="L390" i="5" s="1"/>
  <c r="H390" i="5"/>
  <c r="G390" i="5"/>
  <c r="I390" i="5" s="1"/>
  <c r="K389" i="5"/>
  <c r="L389" i="5" s="1"/>
  <c r="H389" i="5"/>
  <c r="G389" i="5"/>
  <c r="I389" i="5" s="1"/>
  <c r="K388" i="5"/>
  <c r="L388" i="5" s="1"/>
  <c r="H388" i="5"/>
  <c r="G388" i="5"/>
  <c r="I388" i="5" s="1"/>
  <c r="K387" i="5"/>
  <c r="L387" i="5" s="1"/>
  <c r="H387" i="5"/>
  <c r="G387" i="5"/>
  <c r="I387" i="5" s="1"/>
  <c r="K386" i="5"/>
  <c r="L386" i="5" s="1"/>
  <c r="H386" i="5"/>
  <c r="G386" i="5"/>
  <c r="I386" i="5" s="1"/>
  <c r="K385" i="5"/>
  <c r="L385" i="5" s="1"/>
  <c r="H385" i="5"/>
  <c r="G385" i="5"/>
  <c r="I385" i="5" s="1"/>
  <c r="K384" i="5"/>
  <c r="L384" i="5" s="1"/>
  <c r="H384" i="5"/>
  <c r="G384" i="5"/>
  <c r="I384" i="5" s="1"/>
  <c r="K383" i="5"/>
  <c r="L383" i="5" s="1"/>
  <c r="H383" i="5"/>
  <c r="G383" i="5"/>
  <c r="I383" i="5" s="1"/>
  <c r="K382" i="5"/>
  <c r="L382" i="5" s="1"/>
  <c r="H382" i="5"/>
  <c r="G382" i="5"/>
  <c r="I382" i="5" s="1"/>
  <c r="K381" i="5"/>
  <c r="L381" i="5" s="1"/>
  <c r="H381" i="5"/>
  <c r="G381" i="5"/>
  <c r="I381" i="5" s="1"/>
  <c r="K380" i="5"/>
  <c r="L380" i="5" s="1"/>
  <c r="H380" i="5"/>
  <c r="G380" i="5"/>
  <c r="I380" i="5" s="1"/>
  <c r="K379" i="5"/>
  <c r="L379" i="5" s="1"/>
  <c r="H379" i="5"/>
  <c r="G379" i="5"/>
  <c r="I379" i="5" s="1"/>
  <c r="K378" i="5"/>
  <c r="L378" i="5" s="1"/>
  <c r="H378" i="5"/>
  <c r="G378" i="5"/>
  <c r="I378" i="5" s="1"/>
  <c r="K377" i="5"/>
  <c r="L377" i="5" s="1"/>
  <c r="H377" i="5"/>
  <c r="G377" i="5"/>
  <c r="I377" i="5" s="1"/>
  <c r="K376" i="5"/>
  <c r="L376" i="5" s="1"/>
  <c r="H376" i="5"/>
  <c r="G376" i="5"/>
  <c r="I376" i="5" s="1"/>
  <c r="K375" i="5"/>
  <c r="L375" i="5" s="1"/>
  <c r="H375" i="5"/>
  <c r="G375" i="5"/>
  <c r="I375" i="5" s="1"/>
  <c r="K374" i="5"/>
  <c r="L374" i="5" s="1"/>
  <c r="H374" i="5"/>
  <c r="G374" i="5"/>
  <c r="I374" i="5" s="1"/>
  <c r="K373" i="5"/>
  <c r="L373" i="5" s="1"/>
  <c r="H373" i="5"/>
  <c r="G373" i="5"/>
  <c r="I373" i="5" s="1"/>
  <c r="K372" i="5"/>
  <c r="L372" i="5" s="1"/>
  <c r="H372" i="5"/>
  <c r="G372" i="5"/>
  <c r="I372" i="5" s="1"/>
  <c r="K371" i="5"/>
  <c r="L371" i="5" s="1"/>
  <c r="H371" i="5"/>
  <c r="G371" i="5"/>
  <c r="I371" i="5" s="1"/>
  <c r="K370" i="5"/>
  <c r="L370" i="5" s="1"/>
  <c r="H370" i="5"/>
  <c r="G370" i="5"/>
  <c r="I370" i="5" s="1"/>
  <c r="K369" i="5"/>
  <c r="L369" i="5" s="1"/>
  <c r="H369" i="5"/>
  <c r="G369" i="5"/>
  <c r="I369" i="5" s="1"/>
  <c r="K368" i="5"/>
  <c r="L368" i="5" s="1"/>
  <c r="H368" i="5"/>
  <c r="G368" i="5"/>
  <c r="I368" i="5" s="1"/>
  <c r="K367" i="5"/>
  <c r="L367" i="5" s="1"/>
  <c r="H367" i="5"/>
  <c r="G367" i="5"/>
  <c r="I367" i="5" s="1"/>
  <c r="K366" i="5"/>
  <c r="L366" i="5" s="1"/>
  <c r="H366" i="5"/>
  <c r="G366" i="5"/>
  <c r="I366" i="5" s="1"/>
  <c r="K365" i="5"/>
  <c r="L365" i="5" s="1"/>
  <c r="H365" i="5"/>
  <c r="G365" i="5"/>
  <c r="I365" i="5" s="1"/>
  <c r="K364" i="5"/>
  <c r="L364" i="5" s="1"/>
  <c r="H364" i="5"/>
  <c r="G364" i="5"/>
  <c r="I364" i="5" s="1"/>
  <c r="K363" i="5"/>
  <c r="L363" i="5" s="1"/>
  <c r="H363" i="5"/>
  <c r="G363" i="5"/>
  <c r="I363" i="5" s="1"/>
  <c r="K362" i="5"/>
  <c r="L362" i="5" s="1"/>
  <c r="H362" i="5"/>
  <c r="G362" i="5"/>
  <c r="I362" i="5" s="1"/>
  <c r="K361" i="5"/>
  <c r="L361" i="5" s="1"/>
  <c r="H361" i="5"/>
  <c r="G361" i="5"/>
  <c r="I361" i="5" s="1"/>
  <c r="K360" i="5"/>
  <c r="L360" i="5" s="1"/>
  <c r="H360" i="5"/>
  <c r="G360" i="5"/>
  <c r="I360" i="5" s="1"/>
  <c r="K359" i="5"/>
  <c r="L359" i="5" s="1"/>
  <c r="H359" i="5"/>
  <c r="G359" i="5"/>
  <c r="I359" i="5" s="1"/>
  <c r="K358" i="5"/>
  <c r="L358" i="5" s="1"/>
  <c r="H358" i="5"/>
  <c r="G358" i="5"/>
  <c r="I358" i="5" s="1"/>
  <c r="K357" i="5"/>
  <c r="L357" i="5" s="1"/>
  <c r="H357" i="5"/>
  <c r="G357" i="5"/>
  <c r="I357" i="5" s="1"/>
  <c r="K356" i="5"/>
  <c r="L356" i="5" s="1"/>
  <c r="H356" i="5"/>
  <c r="G356" i="5"/>
  <c r="I356" i="5" s="1"/>
  <c r="K355" i="5"/>
  <c r="L355" i="5" s="1"/>
  <c r="H355" i="5"/>
  <c r="G355" i="5"/>
  <c r="I355" i="5" s="1"/>
  <c r="K354" i="5"/>
  <c r="L354" i="5" s="1"/>
  <c r="H354" i="5"/>
  <c r="G354" i="5"/>
  <c r="I354" i="5" s="1"/>
  <c r="K353" i="5"/>
  <c r="L353" i="5" s="1"/>
  <c r="H353" i="5"/>
  <c r="G353" i="5"/>
  <c r="I353" i="5" s="1"/>
  <c r="K352" i="5"/>
  <c r="L352" i="5" s="1"/>
  <c r="H352" i="5"/>
  <c r="G352" i="5"/>
  <c r="I352" i="5" s="1"/>
  <c r="K351" i="5"/>
  <c r="L351" i="5" s="1"/>
  <c r="H351" i="5"/>
  <c r="G351" i="5"/>
  <c r="I351" i="5" s="1"/>
  <c r="K350" i="5"/>
  <c r="L350" i="5" s="1"/>
  <c r="H350" i="5"/>
  <c r="G350" i="5"/>
  <c r="I350" i="5" s="1"/>
  <c r="K349" i="5"/>
  <c r="L349" i="5" s="1"/>
  <c r="H349" i="5"/>
  <c r="G349" i="5"/>
  <c r="I349" i="5" s="1"/>
  <c r="K348" i="5"/>
  <c r="L348" i="5" s="1"/>
  <c r="H348" i="5"/>
  <c r="G348" i="5"/>
  <c r="I348" i="5" s="1"/>
  <c r="K347" i="5"/>
  <c r="L347" i="5" s="1"/>
  <c r="H347" i="5"/>
  <c r="G347" i="5"/>
  <c r="I347" i="5" s="1"/>
  <c r="K346" i="5"/>
  <c r="L346" i="5" s="1"/>
  <c r="H346" i="5"/>
  <c r="G346" i="5"/>
  <c r="I346" i="5" s="1"/>
  <c r="K345" i="5"/>
  <c r="L345" i="5" s="1"/>
  <c r="H345" i="5"/>
  <c r="G345" i="5"/>
  <c r="I345" i="5" s="1"/>
  <c r="K344" i="5"/>
  <c r="L344" i="5" s="1"/>
  <c r="H344" i="5"/>
  <c r="G344" i="5"/>
  <c r="I344" i="5" s="1"/>
  <c r="K343" i="5"/>
  <c r="L343" i="5" s="1"/>
  <c r="H343" i="5"/>
  <c r="G343" i="5"/>
  <c r="I343" i="5" s="1"/>
  <c r="K342" i="5"/>
  <c r="L342" i="5" s="1"/>
  <c r="H342" i="5"/>
  <c r="G342" i="5"/>
  <c r="I342" i="5" s="1"/>
  <c r="K341" i="5"/>
  <c r="L341" i="5" s="1"/>
  <c r="H341" i="5"/>
  <c r="G341" i="5"/>
  <c r="I341" i="5" s="1"/>
  <c r="K340" i="5"/>
  <c r="L340" i="5" s="1"/>
  <c r="H340" i="5"/>
  <c r="G340" i="5"/>
  <c r="I340" i="5" s="1"/>
  <c r="K339" i="5"/>
  <c r="L339" i="5" s="1"/>
  <c r="H339" i="5"/>
  <c r="G339" i="5"/>
  <c r="I339" i="5" s="1"/>
  <c r="K338" i="5"/>
  <c r="L338" i="5" s="1"/>
  <c r="H338" i="5"/>
  <c r="G338" i="5"/>
  <c r="I338" i="5" s="1"/>
  <c r="K337" i="5"/>
  <c r="L337" i="5" s="1"/>
  <c r="H337" i="5"/>
  <c r="G337" i="5"/>
  <c r="I337" i="5" s="1"/>
  <c r="K336" i="5"/>
  <c r="L336" i="5" s="1"/>
  <c r="H336" i="5"/>
  <c r="G336" i="5"/>
  <c r="I336" i="5" s="1"/>
  <c r="K335" i="5"/>
  <c r="L335" i="5" s="1"/>
  <c r="H335" i="5"/>
  <c r="G335" i="5"/>
  <c r="I335" i="5" s="1"/>
  <c r="K334" i="5"/>
  <c r="L334" i="5" s="1"/>
  <c r="H334" i="5"/>
  <c r="G334" i="5"/>
  <c r="I334" i="5" s="1"/>
  <c r="K333" i="5"/>
  <c r="L333" i="5" s="1"/>
  <c r="H333" i="5"/>
  <c r="G333" i="5"/>
  <c r="I333" i="5" s="1"/>
  <c r="K332" i="5"/>
  <c r="L332" i="5" s="1"/>
  <c r="H332" i="5"/>
  <c r="G332" i="5"/>
  <c r="I332" i="5" s="1"/>
  <c r="K331" i="5"/>
  <c r="L331" i="5" s="1"/>
  <c r="H331" i="5"/>
  <c r="G331" i="5"/>
  <c r="I331" i="5" s="1"/>
  <c r="K330" i="5"/>
  <c r="L330" i="5" s="1"/>
  <c r="H330" i="5"/>
  <c r="G330" i="5"/>
  <c r="I330" i="5" s="1"/>
  <c r="K329" i="5"/>
  <c r="L329" i="5" s="1"/>
  <c r="H329" i="5"/>
  <c r="G329" i="5"/>
  <c r="I329" i="5" s="1"/>
  <c r="K328" i="5"/>
  <c r="L328" i="5" s="1"/>
  <c r="H328" i="5"/>
  <c r="G328" i="5"/>
  <c r="I328" i="5" s="1"/>
  <c r="K327" i="5"/>
  <c r="L327" i="5" s="1"/>
  <c r="H327" i="5"/>
  <c r="G327" i="5"/>
  <c r="I327" i="5" s="1"/>
  <c r="K326" i="5"/>
  <c r="L326" i="5" s="1"/>
  <c r="H326" i="5"/>
  <c r="G326" i="5"/>
  <c r="I326" i="5" s="1"/>
  <c r="K325" i="5"/>
  <c r="L325" i="5" s="1"/>
  <c r="H325" i="5"/>
  <c r="G325" i="5"/>
  <c r="I325" i="5" s="1"/>
  <c r="K324" i="5"/>
  <c r="L324" i="5" s="1"/>
  <c r="H324" i="5"/>
  <c r="G324" i="5"/>
  <c r="I324" i="5" s="1"/>
  <c r="K323" i="5"/>
  <c r="L323" i="5" s="1"/>
  <c r="H323" i="5"/>
  <c r="G323" i="5"/>
  <c r="I323" i="5" s="1"/>
  <c r="K322" i="5"/>
  <c r="L322" i="5" s="1"/>
  <c r="H322" i="5"/>
  <c r="G322" i="5"/>
  <c r="I322" i="5" s="1"/>
  <c r="K321" i="5"/>
  <c r="L321" i="5" s="1"/>
  <c r="H321" i="5"/>
  <c r="G321" i="5"/>
  <c r="I321" i="5" s="1"/>
  <c r="K320" i="5"/>
  <c r="L320" i="5" s="1"/>
  <c r="H320" i="5"/>
  <c r="G320" i="5"/>
  <c r="I320" i="5" s="1"/>
  <c r="K319" i="5"/>
  <c r="L319" i="5" s="1"/>
  <c r="H319" i="5"/>
  <c r="G319" i="5"/>
  <c r="I319" i="5" s="1"/>
  <c r="K318" i="5"/>
  <c r="L318" i="5" s="1"/>
  <c r="H318" i="5"/>
  <c r="G318" i="5"/>
  <c r="I318" i="5" s="1"/>
  <c r="K317" i="5"/>
  <c r="L317" i="5" s="1"/>
  <c r="H317" i="5"/>
  <c r="G317" i="5"/>
  <c r="I317" i="5" s="1"/>
  <c r="K316" i="5"/>
  <c r="L316" i="5" s="1"/>
  <c r="H316" i="5"/>
  <c r="G316" i="5"/>
  <c r="I316" i="5" s="1"/>
  <c r="K315" i="5"/>
  <c r="L315" i="5" s="1"/>
  <c r="H315" i="5"/>
  <c r="G315" i="5"/>
  <c r="I315" i="5" s="1"/>
  <c r="K314" i="5"/>
  <c r="L314" i="5" s="1"/>
  <c r="H314" i="5"/>
  <c r="G314" i="5"/>
  <c r="I314" i="5" s="1"/>
  <c r="K313" i="5"/>
  <c r="L313" i="5" s="1"/>
  <c r="H313" i="5"/>
  <c r="G313" i="5"/>
  <c r="I313" i="5" s="1"/>
  <c r="K312" i="5"/>
  <c r="L312" i="5" s="1"/>
  <c r="H312" i="5"/>
  <c r="G312" i="5"/>
  <c r="I312" i="5" s="1"/>
  <c r="K311" i="5"/>
  <c r="L311" i="5" s="1"/>
  <c r="H311" i="5"/>
  <c r="G311" i="5"/>
  <c r="I311" i="5" s="1"/>
  <c r="K310" i="5"/>
  <c r="L310" i="5" s="1"/>
  <c r="H310" i="5"/>
  <c r="G310" i="5"/>
  <c r="I310" i="5" s="1"/>
  <c r="K309" i="5"/>
  <c r="L309" i="5" s="1"/>
  <c r="H309" i="5"/>
  <c r="G309" i="5"/>
  <c r="I309" i="5" s="1"/>
  <c r="K308" i="5"/>
  <c r="L308" i="5" s="1"/>
  <c r="H308" i="5"/>
  <c r="G308" i="5"/>
  <c r="I308" i="5" s="1"/>
  <c r="K307" i="5"/>
  <c r="L307" i="5" s="1"/>
  <c r="H307" i="5"/>
  <c r="G307" i="5"/>
  <c r="I307" i="5" s="1"/>
  <c r="K306" i="5"/>
  <c r="L306" i="5" s="1"/>
  <c r="H306" i="5"/>
  <c r="G306" i="5"/>
  <c r="I306" i="5" s="1"/>
  <c r="K305" i="5"/>
  <c r="L305" i="5" s="1"/>
  <c r="H305" i="5"/>
  <c r="G305" i="5"/>
  <c r="I305" i="5" s="1"/>
  <c r="K304" i="5"/>
  <c r="L304" i="5" s="1"/>
  <c r="H304" i="5"/>
  <c r="G304" i="5"/>
  <c r="I304" i="5" s="1"/>
  <c r="K303" i="5"/>
  <c r="L303" i="5" s="1"/>
  <c r="H303" i="5"/>
  <c r="G303" i="5"/>
  <c r="I303" i="5" s="1"/>
  <c r="K302" i="5"/>
  <c r="L302" i="5" s="1"/>
  <c r="H302" i="5"/>
  <c r="G302" i="5"/>
  <c r="I302" i="5" s="1"/>
  <c r="K301" i="5"/>
  <c r="L301" i="5" s="1"/>
  <c r="H301" i="5"/>
  <c r="G301" i="5"/>
  <c r="I301" i="5" s="1"/>
  <c r="K300" i="5"/>
  <c r="L300" i="5" s="1"/>
  <c r="H300" i="5"/>
  <c r="G300" i="5"/>
  <c r="I300" i="5" s="1"/>
  <c r="K299" i="5"/>
  <c r="L299" i="5" s="1"/>
  <c r="H299" i="5"/>
  <c r="G299" i="5"/>
  <c r="I299" i="5" s="1"/>
  <c r="K298" i="5"/>
  <c r="L298" i="5" s="1"/>
  <c r="H298" i="5"/>
  <c r="G298" i="5"/>
  <c r="I298" i="5" s="1"/>
  <c r="K297" i="5"/>
  <c r="L297" i="5" s="1"/>
  <c r="H297" i="5"/>
  <c r="G297" i="5"/>
  <c r="I297" i="5" s="1"/>
  <c r="K296" i="5"/>
  <c r="L296" i="5" s="1"/>
  <c r="H296" i="5"/>
  <c r="G296" i="5"/>
  <c r="I296" i="5" s="1"/>
  <c r="K295" i="5"/>
  <c r="L295" i="5" s="1"/>
  <c r="H295" i="5"/>
  <c r="G295" i="5"/>
  <c r="I295" i="5" s="1"/>
  <c r="K294" i="5"/>
  <c r="L294" i="5" s="1"/>
  <c r="H294" i="5"/>
  <c r="G294" i="5"/>
  <c r="I294" i="5" s="1"/>
  <c r="K293" i="5"/>
  <c r="L293" i="5" s="1"/>
  <c r="H293" i="5"/>
  <c r="G293" i="5"/>
  <c r="I293" i="5" s="1"/>
  <c r="K292" i="5"/>
  <c r="L292" i="5" s="1"/>
  <c r="H292" i="5"/>
  <c r="G292" i="5"/>
  <c r="I292" i="5" s="1"/>
  <c r="K291" i="5"/>
  <c r="L291" i="5" s="1"/>
  <c r="H291" i="5"/>
  <c r="G291" i="5"/>
  <c r="I291" i="5" s="1"/>
  <c r="K290" i="5"/>
  <c r="L290" i="5" s="1"/>
  <c r="H290" i="5"/>
  <c r="G290" i="5"/>
  <c r="I290" i="5" s="1"/>
  <c r="K289" i="5"/>
  <c r="L289" i="5" s="1"/>
  <c r="H289" i="5"/>
  <c r="G289" i="5"/>
  <c r="I289" i="5" s="1"/>
  <c r="K288" i="5"/>
  <c r="L288" i="5" s="1"/>
  <c r="H288" i="5"/>
  <c r="G288" i="5"/>
  <c r="I288" i="5" s="1"/>
  <c r="K287" i="5"/>
  <c r="L287" i="5" s="1"/>
  <c r="H287" i="5"/>
  <c r="G287" i="5"/>
  <c r="I287" i="5" s="1"/>
  <c r="K286" i="5"/>
  <c r="L286" i="5" s="1"/>
  <c r="H286" i="5"/>
  <c r="G286" i="5"/>
  <c r="I286" i="5" s="1"/>
  <c r="K285" i="5"/>
  <c r="L285" i="5" s="1"/>
  <c r="H285" i="5"/>
  <c r="G285" i="5"/>
  <c r="I285" i="5" s="1"/>
  <c r="K284" i="5"/>
  <c r="L284" i="5" s="1"/>
  <c r="H284" i="5"/>
  <c r="G284" i="5"/>
  <c r="I284" i="5" s="1"/>
  <c r="K283" i="5"/>
  <c r="L283" i="5" s="1"/>
  <c r="H283" i="5"/>
  <c r="G283" i="5"/>
  <c r="I283" i="5" s="1"/>
  <c r="K282" i="5"/>
  <c r="L282" i="5" s="1"/>
  <c r="H282" i="5"/>
  <c r="G282" i="5"/>
  <c r="I282" i="5" s="1"/>
  <c r="K281" i="5"/>
  <c r="L281" i="5" s="1"/>
  <c r="H281" i="5"/>
  <c r="G281" i="5"/>
  <c r="I281" i="5" s="1"/>
  <c r="K280" i="5"/>
  <c r="L280" i="5" s="1"/>
  <c r="H280" i="5"/>
  <c r="G280" i="5"/>
  <c r="I280" i="5" s="1"/>
  <c r="K279" i="5"/>
  <c r="L279" i="5" s="1"/>
  <c r="H279" i="5"/>
  <c r="G279" i="5"/>
  <c r="I279" i="5" s="1"/>
  <c r="K278" i="5"/>
  <c r="L278" i="5" s="1"/>
  <c r="H278" i="5"/>
  <c r="G278" i="5"/>
  <c r="I278" i="5" s="1"/>
  <c r="K277" i="5"/>
  <c r="L277" i="5" s="1"/>
  <c r="H277" i="5"/>
  <c r="G277" i="5"/>
  <c r="I277" i="5" s="1"/>
  <c r="K276" i="5"/>
  <c r="L276" i="5" s="1"/>
  <c r="H276" i="5"/>
  <c r="G276" i="5"/>
  <c r="I276" i="5" s="1"/>
  <c r="K275" i="5"/>
  <c r="L275" i="5" s="1"/>
  <c r="H275" i="5"/>
  <c r="G275" i="5"/>
  <c r="I275" i="5" s="1"/>
  <c r="K274" i="5"/>
  <c r="L274" i="5" s="1"/>
  <c r="H274" i="5"/>
  <c r="G274" i="5"/>
  <c r="I274" i="5" s="1"/>
  <c r="K273" i="5"/>
  <c r="L273" i="5" s="1"/>
  <c r="H273" i="5"/>
  <c r="G273" i="5"/>
  <c r="I273" i="5" s="1"/>
  <c r="K272" i="5"/>
  <c r="L272" i="5" s="1"/>
  <c r="H272" i="5"/>
  <c r="G272" i="5"/>
  <c r="I272" i="5" s="1"/>
  <c r="K271" i="5"/>
  <c r="L271" i="5" s="1"/>
  <c r="H271" i="5"/>
  <c r="G271" i="5"/>
  <c r="I271" i="5" s="1"/>
  <c r="K270" i="5"/>
  <c r="L270" i="5" s="1"/>
  <c r="H270" i="5"/>
  <c r="G270" i="5"/>
  <c r="I270" i="5" s="1"/>
  <c r="K269" i="5"/>
  <c r="L269" i="5" s="1"/>
  <c r="H269" i="5"/>
  <c r="G269" i="5"/>
  <c r="I269" i="5" s="1"/>
  <c r="K268" i="5"/>
  <c r="L268" i="5" s="1"/>
  <c r="H268" i="5"/>
  <c r="G268" i="5"/>
  <c r="I268" i="5" s="1"/>
  <c r="K267" i="5"/>
  <c r="L267" i="5" s="1"/>
  <c r="H267" i="5"/>
  <c r="G267" i="5"/>
  <c r="I267" i="5" s="1"/>
  <c r="K266" i="5"/>
  <c r="L266" i="5" s="1"/>
  <c r="H266" i="5"/>
  <c r="G266" i="5"/>
  <c r="I266" i="5" s="1"/>
  <c r="K265" i="5"/>
  <c r="L265" i="5" s="1"/>
  <c r="H265" i="5"/>
  <c r="G265" i="5"/>
  <c r="I265" i="5" s="1"/>
  <c r="K264" i="5"/>
  <c r="L264" i="5" s="1"/>
  <c r="H264" i="5"/>
  <c r="G264" i="5"/>
  <c r="I264" i="5" s="1"/>
  <c r="K263" i="5"/>
  <c r="L263" i="5" s="1"/>
  <c r="H263" i="5"/>
  <c r="G263" i="5"/>
  <c r="I263" i="5" s="1"/>
  <c r="K262" i="5"/>
  <c r="L262" i="5" s="1"/>
  <c r="H262" i="5"/>
  <c r="G262" i="5"/>
  <c r="I262" i="5" s="1"/>
  <c r="K261" i="5"/>
  <c r="L261" i="5" s="1"/>
  <c r="H261" i="5"/>
  <c r="G261" i="5"/>
  <c r="I261" i="5" s="1"/>
  <c r="K260" i="5"/>
  <c r="L260" i="5" s="1"/>
  <c r="H260" i="5"/>
  <c r="G260" i="5"/>
  <c r="I260" i="5" s="1"/>
  <c r="K259" i="5"/>
  <c r="L259" i="5" s="1"/>
  <c r="H259" i="5"/>
  <c r="G259" i="5"/>
  <c r="I259" i="5" s="1"/>
  <c r="K258" i="5"/>
  <c r="L258" i="5" s="1"/>
  <c r="H258" i="5"/>
  <c r="G258" i="5"/>
  <c r="I258" i="5" s="1"/>
  <c r="K257" i="5"/>
  <c r="L257" i="5" s="1"/>
  <c r="H257" i="5"/>
  <c r="G257" i="5"/>
  <c r="I257" i="5" s="1"/>
  <c r="K256" i="5"/>
  <c r="L256" i="5" s="1"/>
  <c r="H256" i="5"/>
  <c r="G256" i="5"/>
  <c r="I256" i="5" s="1"/>
  <c r="K255" i="5"/>
  <c r="L255" i="5" s="1"/>
  <c r="H255" i="5"/>
  <c r="G255" i="5"/>
  <c r="I255" i="5" s="1"/>
  <c r="K254" i="5"/>
  <c r="L254" i="5" s="1"/>
  <c r="H254" i="5"/>
  <c r="G254" i="5"/>
  <c r="I254" i="5" s="1"/>
  <c r="K253" i="5"/>
  <c r="L253" i="5" s="1"/>
  <c r="H253" i="5"/>
  <c r="G253" i="5"/>
  <c r="I253" i="5" s="1"/>
  <c r="K252" i="5"/>
  <c r="L252" i="5" s="1"/>
  <c r="H252" i="5"/>
  <c r="G252" i="5"/>
  <c r="I252" i="5" s="1"/>
  <c r="K251" i="5"/>
  <c r="L251" i="5" s="1"/>
  <c r="H251" i="5"/>
  <c r="G251" i="5"/>
  <c r="I251" i="5" s="1"/>
  <c r="K250" i="5"/>
  <c r="L250" i="5" s="1"/>
  <c r="H250" i="5"/>
  <c r="G250" i="5"/>
  <c r="I250" i="5" s="1"/>
  <c r="K249" i="5"/>
  <c r="L249" i="5" s="1"/>
  <c r="H249" i="5"/>
  <c r="G249" i="5"/>
  <c r="I249" i="5" s="1"/>
  <c r="K248" i="5"/>
  <c r="L248" i="5" s="1"/>
  <c r="H248" i="5"/>
  <c r="G248" i="5"/>
  <c r="I248" i="5" s="1"/>
  <c r="K247" i="5"/>
  <c r="L247" i="5" s="1"/>
  <c r="H247" i="5"/>
  <c r="G247" i="5"/>
  <c r="I247" i="5" s="1"/>
  <c r="K246" i="5"/>
  <c r="L246" i="5" s="1"/>
  <c r="H246" i="5"/>
  <c r="G246" i="5"/>
  <c r="I246" i="5" s="1"/>
  <c r="K245" i="5"/>
  <c r="L245" i="5" s="1"/>
  <c r="H245" i="5"/>
  <c r="G245" i="5"/>
  <c r="I245" i="5" s="1"/>
  <c r="K244" i="5"/>
  <c r="L244" i="5" s="1"/>
  <c r="H244" i="5"/>
  <c r="G244" i="5"/>
  <c r="I244" i="5" s="1"/>
  <c r="K243" i="5"/>
  <c r="L243" i="5" s="1"/>
  <c r="H243" i="5"/>
  <c r="G243" i="5"/>
  <c r="I243" i="5" s="1"/>
  <c r="K242" i="5"/>
  <c r="L242" i="5" s="1"/>
  <c r="H242" i="5"/>
  <c r="G242" i="5"/>
  <c r="I242" i="5" s="1"/>
  <c r="K241" i="5"/>
  <c r="L241" i="5" s="1"/>
  <c r="H241" i="5"/>
  <c r="G241" i="5"/>
  <c r="I241" i="5" s="1"/>
  <c r="K240" i="5"/>
  <c r="L240" i="5" s="1"/>
  <c r="H240" i="5"/>
  <c r="G240" i="5"/>
  <c r="I240" i="5" s="1"/>
  <c r="K239" i="5"/>
  <c r="L239" i="5" s="1"/>
  <c r="H239" i="5"/>
  <c r="G239" i="5"/>
  <c r="I239" i="5" s="1"/>
  <c r="K238" i="5"/>
  <c r="L238" i="5" s="1"/>
  <c r="H238" i="5"/>
  <c r="G238" i="5"/>
  <c r="I238" i="5" s="1"/>
  <c r="K237" i="5"/>
  <c r="L237" i="5" s="1"/>
  <c r="H237" i="5"/>
  <c r="G237" i="5"/>
  <c r="I237" i="5" s="1"/>
  <c r="K236" i="5"/>
  <c r="L236" i="5" s="1"/>
  <c r="H236" i="5"/>
  <c r="G236" i="5"/>
  <c r="I236" i="5" s="1"/>
  <c r="K235" i="5"/>
  <c r="L235" i="5" s="1"/>
  <c r="H235" i="5"/>
  <c r="G235" i="5"/>
  <c r="I235" i="5" s="1"/>
  <c r="K234" i="5"/>
  <c r="L234" i="5" s="1"/>
  <c r="H234" i="5"/>
  <c r="G234" i="5"/>
  <c r="I234" i="5" s="1"/>
  <c r="K233" i="5"/>
  <c r="L233" i="5" s="1"/>
  <c r="H233" i="5"/>
  <c r="G233" i="5"/>
  <c r="I233" i="5" s="1"/>
  <c r="K232" i="5"/>
  <c r="L232" i="5" s="1"/>
  <c r="H232" i="5"/>
  <c r="G232" i="5"/>
  <c r="I232" i="5" s="1"/>
  <c r="K231" i="5"/>
  <c r="L231" i="5" s="1"/>
  <c r="H231" i="5"/>
  <c r="G231" i="5"/>
  <c r="I231" i="5" s="1"/>
  <c r="K230" i="5"/>
  <c r="L230" i="5" s="1"/>
  <c r="H230" i="5"/>
  <c r="G230" i="5"/>
  <c r="I230" i="5" s="1"/>
  <c r="K229" i="5"/>
  <c r="L229" i="5" s="1"/>
  <c r="H229" i="5"/>
  <c r="G229" i="5"/>
  <c r="I229" i="5" s="1"/>
  <c r="K228" i="5"/>
  <c r="L228" i="5" s="1"/>
  <c r="H228" i="5"/>
  <c r="G228" i="5"/>
  <c r="I228" i="5" s="1"/>
  <c r="K227" i="5"/>
  <c r="L227" i="5" s="1"/>
  <c r="H227" i="5"/>
  <c r="G227" i="5"/>
  <c r="I227" i="5" s="1"/>
  <c r="K226" i="5"/>
  <c r="L226" i="5" s="1"/>
  <c r="H226" i="5"/>
  <c r="G226" i="5"/>
  <c r="I226" i="5" s="1"/>
  <c r="K225" i="5"/>
  <c r="L225" i="5" s="1"/>
  <c r="H225" i="5"/>
  <c r="G225" i="5"/>
  <c r="I225" i="5" s="1"/>
  <c r="K224" i="5"/>
  <c r="L224" i="5" s="1"/>
  <c r="H224" i="5"/>
  <c r="G224" i="5"/>
  <c r="I224" i="5" s="1"/>
  <c r="K223" i="5"/>
  <c r="L223" i="5" s="1"/>
  <c r="H223" i="5"/>
  <c r="G223" i="5"/>
  <c r="I223" i="5" s="1"/>
  <c r="K222" i="5"/>
  <c r="L222" i="5" s="1"/>
  <c r="H222" i="5"/>
  <c r="G222" i="5"/>
  <c r="I222" i="5" s="1"/>
  <c r="K221" i="5"/>
  <c r="L221" i="5" s="1"/>
  <c r="H221" i="5"/>
  <c r="G221" i="5"/>
  <c r="I221" i="5" s="1"/>
  <c r="K220" i="5"/>
  <c r="L220" i="5" s="1"/>
  <c r="H220" i="5"/>
  <c r="G220" i="5"/>
  <c r="I220" i="5" s="1"/>
  <c r="K219" i="5"/>
  <c r="L219" i="5" s="1"/>
  <c r="H219" i="5"/>
  <c r="G219" i="5"/>
  <c r="I219" i="5" s="1"/>
  <c r="K218" i="5"/>
  <c r="L218" i="5" s="1"/>
  <c r="H218" i="5"/>
  <c r="G218" i="5"/>
  <c r="I218" i="5" s="1"/>
  <c r="K217" i="5"/>
  <c r="L217" i="5" s="1"/>
  <c r="H217" i="5"/>
  <c r="G217" i="5"/>
  <c r="I217" i="5" s="1"/>
  <c r="K216" i="5"/>
  <c r="L216" i="5" s="1"/>
  <c r="H216" i="5"/>
  <c r="G216" i="5"/>
  <c r="I216" i="5" s="1"/>
  <c r="K215" i="5"/>
  <c r="L215" i="5" s="1"/>
  <c r="H215" i="5"/>
  <c r="G215" i="5"/>
  <c r="I215" i="5" s="1"/>
  <c r="K214" i="5"/>
  <c r="L214" i="5" s="1"/>
  <c r="H214" i="5"/>
  <c r="G214" i="5"/>
  <c r="I214" i="5" s="1"/>
  <c r="K213" i="5"/>
  <c r="L213" i="5" s="1"/>
  <c r="H213" i="5"/>
  <c r="G213" i="5"/>
  <c r="I213" i="5" s="1"/>
  <c r="K212" i="5"/>
  <c r="L212" i="5" s="1"/>
  <c r="H212" i="5"/>
  <c r="G212" i="5"/>
  <c r="I212" i="5" s="1"/>
  <c r="K211" i="5"/>
  <c r="L211" i="5" s="1"/>
  <c r="H211" i="5"/>
  <c r="G211" i="5"/>
  <c r="I211" i="5" s="1"/>
  <c r="K210" i="5"/>
  <c r="L210" i="5" s="1"/>
  <c r="H210" i="5"/>
  <c r="G210" i="5"/>
  <c r="I210" i="5" s="1"/>
  <c r="K209" i="5"/>
  <c r="L209" i="5" s="1"/>
  <c r="H209" i="5"/>
  <c r="G209" i="5"/>
  <c r="I209" i="5" s="1"/>
  <c r="K208" i="5"/>
  <c r="L208" i="5" s="1"/>
  <c r="H208" i="5"/>
  <c r="G208" i="5"/>
  <c r="I208" i="5" s="1"/>
  <c r="K207" i="5"/>
  <c r="L207" i="5" s="1"/>
  <c r="H207" i="5"/>
  <c r="G207" i="5"/>
  <c r="I207" i="5" s="1"/>
  <c r="K206" i="5"/>
  <c r="L206" i="5" s="1"/>
  <c r="H206" i="5"/>
  <c r="G206" i="5"/>
  <c r="I206" i="5" s="1"/>
  <c r="K205" i="5"/>
  <c r="L205" i="5" s="1"/>
  <c r="H205" i="5"/>
  <c r="G205" i="5"/>
  <c r="I205" i="5" s="1"/>
  <c r="K204" i="5"/>
  <c r="L204" i="5" s="1"/>
  <c r="H204" i="5"/>
  <c r="G204" i="5"/>
  <c r="I204" i="5" s="1"/>
  <c r="K203" i="5"/>
  <c r="L203" i="5" s="1"/>
  <c r="H203" i="5"/>
  <c r="G203" i="5"/>
  <c r="I203" i="5" s="1"/>
  <c r="K202" i="5"/>
  <c r="L202" i="5" s="1"/>
  <c r="H202" i="5"/>
  <c r="G202" i="5"/>
  <c r="I202" i="5" s="1"/>
  <c r="K201" i="5"/>
  <c r="L201" i="5" s="1"/>
  <c r="H201" i="5"/>
  <c r="G201" i="5"/>
  <c r="I201" i="5" s="1"/>
  <c r="K200" i="5"/>
  <c r="L200" i="5" s="1"/>
  <c r="H200" i="5"/>
  <c r="G200" i="5"/>
  <c r="I200" i="5" s="1"/>
  <c r="K199" i="5"/>
  <c r="L199" i="5" s="1"/>
  <c r="H199" i="5"/>
  <c r="G199" i="5"/>
  <c r="I199" i="5" s="1"/>
  <c r="K198" i="5"/>
  <c r="L198" i="5" s="1"/>
  <c r="H198" i="5"/>
  <c r="G198" i="5"/>
  <c r="I198" i="5" s="1"/>
  <c r="K197" i="5"/>
  <c r="L197" i="5" s="1"/>
  <c r="H197" i="5"/>
  <c r="G197" i="5"/>
  <c r="I197" i="5" s="1"/>
  <c r="K196" i="5"/>
  <c r="L196" i="5" s="1"/>
  <c r="H196" i="5"/>
  <c r="G196" i="5"/>
  <c r="I196" i="5" s="1"/>
  <c r="K195" i="5"/>
  <c r="L195" i="5" s="1"/>
  <c r="H195" i="5"/>
  <c r="G195" i="5"/>
  <c r="I195" i="5" s="1"/>
  <c r="K194" i="5"/>
  <c r="L194" i="5" s="1"/>
  <c r="H194" i="5"/>
  <c r="G194" i="5"/>
  <c r="I194" i="5" s="1"/>
  <c r="K193" i="5"/>
  <c r="L193" i="5" s="1"/>
  <c r="H193" i="5"/>
  <c r="G193" i="5"/>
  <c r="I193" i="5" s="1"/>
  <c r="K192" i="5"/>
  <c r="L192" i="5" s="1"/>
  <c r="H192" i="5"/>
  <c r="G192" i="5"/>
  <c r="I192" i="5" s="1"/>
  <c r="K191" i="5"/>
  <c r="L191" i="5" s="1"/>
  <c r="H191" i="5"/>
  <c r="G191" i="5"/>
  <c r="I191" i="5" s="1"/>
  <c r="K190" i="5"/>
  <c r="L190" i="5" s="1"/>
  <c r="H190" i="5"/>
  <c r="G190" i="5"/>
  <c r="I190" i="5" s="1"/>
  <c r="K189" i="5"/>
  <c r="L189" i="5" s="1"/>
  <c r="H189" i="5"/>
  <c r="G189" i="5"/>
  <c r="I189" i="5" s="1"/>
  <c r="K188" i="5"/>
  <c r="L188" i="5" s="1"/>
  <c r="H188" i="5"/>
  <c r="G188" i="5"/>
  <c r="I188" i="5" s="1"/>
  <c r="K187" i="5"/>
  <c r="L187" i="5" s="1"/>
  <c r="H187" i="5"/>
  <c r="G187" i="5"/>
  <c r="I187" i="5" s="1"/>
  <c r="K186" i="5"/>
  <c r="L186" i="5" s="1"/>
  <c r="H186" i="5"/>
  <c r="G186" i="5"/>
  <c r="I186" i="5" s="1"/>
  <c r="K185" i="5"/>
  <c r="L185" i="5" s="1"/>
  <c r="H185" i="5"/>
  <c r="G185" i="5"/>
  <c r="I185" i="5" s="1"/>
  <c r="K184" i="5"/>
  <c r="L184" i="5" s="1"/>
  <c r="H184" i="5"/>
  <c r="G184" i="5"/>
  <c r="I184" i="5" s="1"/>
  <c r="K183" i="5"/>
  <c r="L183" i="5" s="1"/>
  <c r="H183" i="5"/>
  <c r="G183" i="5"/>
  <c r="I183" i="5" s="1"/>
  <c r="K182" i="5"/>
  <c r="L182" i="5" s="1"/>
  <c r="H182" i="5"/>
  <c r="G182" i="5"/>
  <c r="I182" i="5" s="1"/>
  <c r="K181" i="5"/>
  <c r="L181" i="5" s="1"/>
  <c r="H181" i="5"/>
  <c r="G181" i="5"/>
  <c r="I181" i="5" s="1"/>
  <c r="K180" i="5"/>
  <c r="L180" i="5" s="1"/>
  <c r="H180" i="5"/>
  <c r="G180" i="5"/>
  <c r="I180" i="5" s="1"/>
  <c r="K179" i="5"/>
  <c r="L179" i="5" s="1"/>
  <c r="H179" i="5"/>
  <c r="G179" i="5"/>
  <c r="I179" i="5" s="1"/>
  <c r="K178" i="5"/>
  <c r="L178" i="5" s="1"/>
  <c r="H178" i="5"/>
  <c r="G178" i="5"/>
  <c r="I178" i="5" s="1"/>
  <c r="K177" i="5"/>
  <c r="L177" i="5" s="1"/>
  <c r="H177" i="5"/>
  <c r="G177" i="5"/>
  <c r="I177" i="5" s="1"/>
  <c r="K176" i="5"/>
  <c r="L176" i="5" s="1"/>
  <c r="H176" i="5"/>
  <c r="G176" i="5"/>
  <c r="I176" i="5" s="1"/>
  <c r="K175" i="5"/>
  <c r="L175" i="5" s="1"/>
  <c r="H175" i="5"/>
  <c r="G175" i="5"/>
  <c r="I175" i="5" s="1"/>
  <c r="K174" i="5"/>
  <c r="L174" i="5" s="1"/>
  <c r="H174" i="5"/>
  <c r="G174" i="5"/>
  <c r="I174" i="5" s="1"/>
  <c r="K173" i="5"/>
  <c r="L173" i="5" s="1"/>
  <c r="H173" i="5"/>
  <c r="G173" i="5"/>
  <c r="I173" i="5" s="1"/>
  <c r="K172" i="5"/>
  <c r="L172" i="5" s="1"/>
  <c r="H172" i="5"/>
  <c r="G172" i="5"/>
  <c r="I172" i="5" s="1"/>
  <c r="K171" i="5"/>
  <c r="L171" i="5" s="1"/>
  <c r="H171" i="5"/>
  <c r="G171" i="5"/>
  <c r="I171" i="5" s="1"/>
  <c r="K170" i="5"/>
  <c r="L170" i="5" s="1"/>
  <c r="H170" i="5"/>
  <c r="G170" i="5"/>
  <c r="I170" i="5" s="1"/>
  <c r="K169" i="5"/>
  <c r="L169" i="5" s="1"/>
  <c r="H169" i="5"/>
  <c r="G169" i="5"/>
  <c r="I169" i="5" s="1"/>
  <c r="K168" i="5"/>
  <c r="L168" i="5" s="1"/>
  <c r="H168" i="5"/>
  <c r="G168" i="5"/>
  <c r="I168" i="5" s="1"/>
  <c r="K167" i="5"/>
  <c r="L167" i="5" s="1"/>
  <c r="H167" i="5"/>
  <c r="G167" i="5"/>
  <c r="I167" i="5" s="1"/>
  <c r="K166" i="5"/>
  <c r="L166" i="5" s="1"/>
  <c r="H166" i="5"/>
  <c r="G166" i="5"/>
  <c r="I166" i="5" s="1"/>
  <c r="K165" i="5"/>
  <c r="L165" i="5" s="1"/>
  <c r="H165" i="5"/>
  <c r="G165" i="5"/>
  <c r="I165" i="5" s="1"/>
  <c r="K164" i="5"/>
  <c r="L164" i="5" s="1"/>
  <c r="H164" i="5"/>
  <c r="G164" i="5"/>
  <c r="I164" i="5" s="1"/>
  <c r="K163" i="5"/>
  <c r="L163" i="5" s="1"/>
  <c r="H163" i="5"/>
  <c r="G163" i="5"/>
  <c r="I163" i="5" s="1"/>
  <c r="K162" i="5"/>
  <c r="L162" i="5" s="1"/>
  <c r="H162" i="5"/>
  <c r="G162" i="5"/>
  <c r="I162" i="5" s="1"/>
  <c r="K161" i="5"/>
  <c r="L161" i="5" s="1"/>
  <c r="H161" i="5"/>
  <c r="G161" i="5"/>
  <c r="I161" i="5" s="1"/>
  <c r="K160" i="5"/>
  <c r="L160" i="5" s="1"/>
  <c r="H160" i="5"/>
  <c r="G160" i="5"/>
  <c r="I160" i="5" s="1"/>
  <c r="K159" i="5"/>
  <c r="L159" i="5" s="1"/>
  <c r="H159" i="5"/>
  <c r="G159" i="5"/>
  <c r="I159" i="5" s="1"/>
  <c r="K158" i="5"/>
  <c r="L158" i="5" s="1"/>
  <c r="H158" i="5"/>
  <c r="G158" i="5"/>
  <c r="I158" i="5" s="1"/>
  <c r="K157" i="5"/>
  <c r="L157" i="5" s="1"/>
  <c r="H157" i="5"/>
  <c r="G157" i="5"/>
  <c r="I157" i="5" s="1"/>
  <c r="K156" i="5"/>
  <c r="L156" i="5" s="1"/>
  <c r="H156" i="5"/>
  <c r="G156" i="5"/>
  <c r="I156" i="5" s="1"/>
  <c r="K155" i="5"/>
  <c r="L155" i="5" s="1"/>
  <c r="H155" i="5"/>
  <c r="G155" i="5"/>
  <c r="I155" i="5" s="1"/>
  <c r="K154" i="5"/>
  <c r="L154" i="5" s="1"/>
  <c r="H154" i="5"/>
  <c r="G154" i="5"/>
  <c r="I154" i="5" s="1"/>
  <c r="K153" i="5"/>
  <c r="L153" i="5" s="1"/>
  <c r="H153" i="5"/>
  <c r="G153" i="5"/>
  <c r="I153" i="5" s="1"/>
  <c r="K152" i="5"/>
  <c r="L152" i="5" s="1"/>
  <c r="H152" i="5"/>
  <c r="G152" i="5"/>
  <c r="I152" i="5" s="1"/>
  <c r="K151" i="5"/>
  <c r="L151" i="5" s="1"/>
  <c r="H151" i="5"/>
  <c r="G151" i="5"/>
  <c r="I151" i="5" s="1"/>
  <c r="K150" i="5"/>
  <c r="L150" i="5" s="1"/>
  <c r="H150" i="5"/>
  <c r="G150" i="5"/>
  <c r="I150" i="5" s="1"/>
  <c r="K149" i="5"/>
  <c r="L149" i="5" s="1"/>
  <c r="H149" i="5"/>
  <c r="G149" i="5"/>
  <c r="I149" i="5" s="1"/>
  <c r="K148" i="5"/>
  <c r="L148" i="5" s="1"/>
  <c r="H148" i="5"/>
  <c r="G148" i="5"/>
  <c r="I148" i="5" s="1"/>
  <c r="K147" i="5"/>
  <c r="L147" i="5" s="1"/>
  <c r="H147" i="5"/>
  <c r="G147" i="5"/>
  <c r="I147" i="5" s="1"/>
  <c r="K146" i="5"/>
  <c r="L146" i="5" s="1"/>
  <c r="H146" i="5"/>
  <c r="G146" i="5"/>
  <c r="I146" i="5" s="1"/>
  <c r="K145" i="5"/>
  <c r="L145" i="5" s="1"/>
  <c r="H145" i="5"/>
  <c r="G145" i="5"/>
  <c r="I145" i="5" s="1"/>
  <c r="K144" i="5"/>
  <c r="L144" i="5" s="1"/>
  <c r="H144" i="5"/>
  <c r="G144" i="5"/>
  <c r="I144" i="5" s="1"/>
  <c r="K143" i="5"/>
  <c r="L143" i="5" s="1"/>
  <c r="H143" i="5"/>
  <c r="G143" i="5"/>
  <c r="I143" i="5" s="1"/>
  <c r="K142" i="5"/>
  <c r="L142" i="5" s="1"/>
  <c r="H142" i="5"/>
  <c r="G142" i="5"/>
  <c r="I142" i="5" s="1"/>
  <c r="K141" i="5"/>
  <c r="L141" i="5" s="1"/>
  <c r="H141" i="5"/>
  <c r="G141" i="5"/>
  <c r="I141" i="5" s="1"/>
  <c r="K140" i="5"/>
  <c r="L140" i="5" s="1"/>
  <c r="H140" i="5"/>
  <c r="G140" i="5"/>
  <c r="I140" i="5" s="1"/>
  <c r="K139" i="5"/>
  <c r="L139" i="5" s="1"/>
  <c r="H139" i="5"/>
  <c r="G139" i="5"/>
  <c r="I139" i="5" s="1"/>
  <c r="K138" i="5"/>
  <c r="L138" i="5" s="1"/>
  <c r="H138" i="5"/>
  <c r="G138" i="5"/>
  <c r="I138" i="5" s="1"/>
  <c r="K137" i="5"/>
  <c r="L137" i="5" s="1"/>
  <c r="H137" i="5"/>
  <c r="G137" i="5"/>
  <c r="I137" i="5" s="1"/>
  <c r="K136" i="5"/>
  <c r="L136" i="5" s="1"/>
  <c r="H136" i="5"/>
  <c r="G136" i="5"/>
  <c r="I136" i="5" s="1"/>
  <c r="K135" i="5"/>
  <c r="L135" i="5" s="1"/>
  <c r="H135" i="5"/>
  <c r="G135" i="5"/>
  <c r="I135" i="5" s="1"/>
  <c r="K134" i="5"/>
  <c r="L134" i="5" s="1"/>
  <c r="H134" i="5"/>
  <c r="G134" i="5"/>
  <c r="I134" i="5" s="1"/>
  <c r="K133" i="5"/>
  <c r="L133" i="5" s="1"/>
  <c r="H133" i="5"/>
  <c r="G133" i="5"/>
  <c r="I133" i="5" s="1"/>
  <c r="K132" i="5"/>
  <c r="L132" i="5" s="1"/>
  <c r="H132" i="5"/>
  <c r="G132" i="5"/>
  <c r="I132" i="5" s="1"/>
  <c r="K131" i="5"/>
  <c r="L131" i="5" s="1"/>
  <c r="H131" i="5"/>
  <c r="G131" i="5"/>
  <c r="I131" i="5" s="1"/>
  <c r="K130" i="5"/>
  <c r="L130" i="5" s="1"/>
  <c r="H130" i="5"/>
  <c r="G130" i="5"/>
  <c r="I130" i="5" s="1"/>
  <c r="K129" i="5"/>
  <c r="L129" i="5" s="1"/>
  <c r="H129" i="5"/>
  <c r="G129" i="5"/>
  <c r="I129" i="5" s="1"/>
  <c r="K128" i="5"/>
  <c r="L128" i="5" s="1"/>
  <c r="H128" i="5"/>
  <c r="G128" i="5"/>
  <c r="I128" i="5" s="1"/>
  <c r="K127" i="5"/>
  <c r="L127" i="5" s="1"/>
  <c r="H127" i="5"/>
  <c r="G127" i="5"/>
  <c r="I127" i="5" s="1"/>
  <c r="K126" i="5"/>
  <c r="L126" i="5" s="1"/>
  <c r="H126" i="5"/>
  <c r="G126" i="5"/>
  <c r="I126" i="5" s="1"/>
  <c r="K125" i="5"/>
  <c r="L125" i="5" s="1"/>
  <c r="H125" i="5"/>
  <c r="G125" i="5"/>
  <c r="I125" i="5" s="1"/>
  <c r="K124" i="5"/>
  <c r="L124" i="5" s="1"/>
  <c r="H124" i="5"/>
  <c r="G124" i="5"/>
  <c r="I124" i="5" s="1"/>
  <c r="K123" i="5"/>
  <c r="L123" i="5" s="1"/>
  <c r="H123" i="5"/>
  <c r="G123" i="5"/>
  <c r="I123" i="5" s="1"/>
  <c r="K122" i="5"/>
  <c r="L122" i="5" s="1"/>
  <c r="H122" i="5"/>
  <c r="G122" i="5"/>
  <c r="I122" i="5" s="1"/>
  <c r="K121" i="5"/>
  <c r="L121" i="5" s="1"/>
  <c r="H121" i="5"/>
  <c r="G121" i="5"/>
  <c r="I121" i="5" s="1"/>
  <c r="K120" i="5"/>
  <c r="L120" i="5" s="1"/>
  <c r="H120" i="5"/>
  <c r="G120" i="5"/>
  <c r="I120" i="5" s="1"/>
  <c r="K119" i="5"/>
  <c r="L119" i="5" s="1"/>
  <c r="H119" i="5"/>
  <c r="G119" i="5"/>
  <c r="I119" i="5" s="1"/>
  <c r="K118" i="5"/>
  <c r="L118" i="5" s="1"/>
  <c r="H118" i="5"/>
  <c r="G118" i="5"/>
  <c r="I118" i="5" s="1"/>
  <c r="K117" i="5"/>
  <c r="L117" i="5" s="1"/>
  <c r="H117" i="5"/>
  <c r="G117" i="5"/>
  <c r="I117" i="5" s="1"/>
  <c r="K116" i="5"/>
  <c r="L116" i="5" s="1"/>
  <c r="H116" i="5"/>
  <c r="G116" i="5"/>
  <c r="I116" i="5" s="1"/>
  <c r="K115" i="5"/>
  <c r="L115" i="5" s="1"/>
  <c r="H115" i="5"/>
  <c r="G115" i="5"/>
  <c r="I115" i="5" s="1"/>
  <c r="K114" i="5"/>
  <c r="L114" i="5" s="1"/>
  <c r="H114" i="5"/>
  <c r="G114" i="5"/>
  <c r="I114" i="5" s="1"/>
  <c r="K113" i="5"/>
  <c r="L113" i="5" s="1"/>
  <c r="H113" i="5"/>
  <c r="G113" i="5"/>
  <c r="I113" i="5" s="1"/>
  <c r="K112" i="5"/>
  <c r="L112" i="5" s="1"/>
  <c r="H112" i="5"/>
  <c r="G112" i="5"/>
  <c r="I112" i="5" s="1"/>
  <c r="K111" i="5"/>
  <c r="L111" i="5" s="1"/>
  <c r="H111" i="5"/>
  <c r="G111" i="5"/>
  <c r="I111" i="5" s="1"/>
  <c r="K110" i="5"/>
  <c r="L110" i="5" s="1"/>
  <c r="H110" i="5"/>
  <c r="G110" i="5"/>
  <c r="I110" i="5" s="1"/>
  <c r="K109" i="5"/>
  <c r="L109" i="5" s="1"/>
  <c r="H109" i="5"/>
  <c r="G109" i="5"/>
  <c r="I109" i="5" s="1"/>
  <c r="K108" i="5"/>
  <c r="L108" i="5" s="1"/>
  <c r="H108" i="5"/>
  <c r="G108" i="5"/>
  <c r="I108" i="5" s="1"/>
  <c r="K107" i="5"/>
  <c r="L107" i="5" s="1"/>
  <c r="H107" i="5"/>
  <c r="G107" i="5"/>
  <c r="I107" i="5" s="1"/>
  <c r="K106" i="5"/>
  <c r="L106" i="5" s="1"/>
  <c r="H106" i="5"/>
  <c r="G106" i="5"/>
  <c r="I106" i="5" s="1"/>
  <c r="K105" i="5"/>
  <c r="L105" i="5" s="1"/>
  <c r="H105" i="5"/>
  <c r="G105" i="5"/>
  <c r="I105" i="5" s="1"/>
  <c r="K104" i="5"/>
  <c r="L104" i="5" s="1"/>
  <c r="H104" i="5"/>
  <c r="G104" i="5"/>
  <c r="I104" i="5" s="1"/>
  <c r="K103" i="5"/>
  <c r="L103" i="5" s="1"/>
  <c r="H103" i="5"/>
  <c r="G103" i="5"/>
  <c r="I103" i="5" s="1"/>
  <c r="K102" i="5"/>
  <c r="L102" i="5" s="1"/>
  <c r="H102" i="5"/>
  <c r="G102" i="5"/>
  <c r="I102" i="5" s="1"/>
  <c r="K101" i="5"/>
  <c r="L101" i="5" s="1"/>
  <c r="H101" i="5"/>
  <c r="G101" i="5"/>
  <c r="I101" i="5" s="1"/>
  <c r="K100" i="5"/>
  <c r="L100" i="5" s="1"/>
  <c r="H100" i="5"/>
  <c r="G100" i="5"/>
  <c r="I100" i="5" s="1"/>
  <c r="K99" i="5"/>
  <c r="L99" i="5" s="1"/>
  <c r="H99" i="5"/>
  <c r="G99" i="5"/>
  <c r="I99" i="5" s="1"/>
  <c r="K98" i="5"/>
  <c r="L98" i="5" s="1"/>
  <c r="H98" i="5"/>
  <c r="G98" i="5"/>
  <c r="I98" i="5" s="1"/>
  <c r="K97" i="5"/>
  <c r="L97" i="5" s="1"/>
  <c r="H97" i="5"/>
  <c r="G97" i="5"/>
  <c r="I97" i="5" s="1"/>
  <c r="K96" i="5"/>
  <c r="L96" i="5" s="1"/>
  <c r="H96" i="5"/>
  <c r="G96" i="5"/>
  <c r="I96" i="5" s="1"/>
  <c r="K95" i="5"/>
  <c r="L95" i="5" s="1"/>
  <c r="H95" i="5"/>
  <c r="G95" i="5"/>
  <c r="I95" i="5" s="1"/>
  <c r="K94" i="5"/>
  <c r="L94" i="5" s="1"/>
  <c r="H94" i="5"/>
  <c r="G94" i="5"/>
  <c r="I94" i="5" s="1"/>
  <c r="K93" i="5"/>
  <c r="L93" i="5" s="1"/>
  <c r="H93" i="5"/>
  <c r="G93" i="5"/>
  <c r="I93" i="5" s="1"/>
  <c r="K92" i="5"/>
  <c r="L92" i="5" s="1"/>
  <c r="H92" i="5"/>
  <c r="G92" i="5"/>
  <c r="I92" i="5" s="1"/>
  <c r="K91" i="5"/>
  <c r="L91" i="5" s="1"/>
  <c r="H91" i="5"/>
  <c r="G91" i="5"/>
  <c r="I91" i="5" s="1"/>
  <c r="K90" i="5"/>
  <c r="L90" i="5" s="1"/>
  <c r="H90" i="5"/>
  <c r="G90" i="5"/>
  <c r="I90" i="5" s="1"/>
  <c r="K89" i="5"/>
  <c r="L89" i="5" s="1"/>
  <c r="H89" i="5"/>
  <c r="G89" i="5"/>
  <c r="I89" i="5" s="1"/>
  <c r="K88" i="5"/>
  <c r="L88" i="5" s="1"/>
  <c r="H88" i="5"/>
  <c r="G88" i="5"/>
  <c r="I88" i="5" s="1"/>
  <c r="K87" i="5"/>
  <c r="L87" i="5" s="1"/>
  <c r="H87" i="5"/>
  <c r="G87" i="5"/>
  <c r="I87" i="5" s="1"/>
  <c r="K86" i="5"/>
  <c r="L86" i="5" s="1"/>
  <c r="H86" i="5"/>
  <c r="G86" i="5"/>
  <c r="I86" i="5" s="1"/>
  <c r="K85" i="5"/>
  <c r="L85" i="5" s="1"/>
  <c r="H85" i="5"/>
  <c r="G85" i="5"/>
  <c r="I85" i="5" s="1"/>
  <c r="K84" i="5"/>
  <c r="L84" i="5" s="1"/>
  <c r="H84" i="5"/>
  <c r="G84" i="5"/>
  <c r="I84" i="5" s="1"/>
  <c r="K83" i="5"/>
  <c r="L83" i="5" s="1"/>
  <c r="H83" i="5"/>
  <c r="G83" i="5"/>
  <c r="I83" i="5" s="1"/>
  <c r="K82" i="5"/>
  <c r="L82" i="5" s="1"/>
  <c r="H82" i="5"/>
  <c r="G82" i="5"/>
  <c r="I82" i="5" s="1"/>
  <c r="K81" i="5"/>
  <c r="L81" i="5" s="1"/>
  <c r="H81" i="5"/>
  <c r="G81" i="5"/>
  <c r="I81" i="5" s="1"/>
  <c r="K80" i="5"/>
  <c r="L80" i="5" s="1"/>
  <c r="H80" i="5"/>
  <c r="G80" i="5"/>
  <c r="I80" i="5" s="1"/>
  <c r="K79" i="5"/>
  <c r="L79" i="5" s="1"/>
  <c r="H79" i="5"/>
  <c r="G79" i="5"/>
  <c r="I79" i="5" s="1"/>
  <c r="K78" i="5"/>
  <c r="L78" i="5" s="1"/>
  <c r="H78" i="5"/>
  <c r="G78" i="5"/>
  <c r="I78" i="5" s="1"/>
  <c r="K77" i="5"/>
  <c r="L77" i="5" s="1"/>
  <c r="H77" i="5"/>
  <c r="G77" i="5"/>
  <c r="I77" i="5" s="1"/>
  <c r="K76" i="5"/>
  <c r="L76" i="5" s="1"/>
  <c r="H76" i="5"/>
  <c r="G76" i="5"/>
  <c r="I76" i="5" s="1"/>
  <c r="K75" i="5"/>
  <c r="L75" i="5" s="1"/>
  <c r="H75" i="5"/>
  <c r="G75" i="5"/>
  <c r="I75" i="5" s="1"/>
  <c r="K74" i="5"/>
  <c r="L74" i="5" s="1"/>
  <c r="H74" i="5"/>
  <c r="G74" i="5"/>
  <c r="I74" i="5" s="1"/>
  <c r="K73" i="5"/>
  <c r="L73" i="5" s="1"/>
  <c r="H73" i="5"/>
  <c r="G73" i="5"/>
  <c r="I73" i="5" s="1"/>
  <c r="K72" i="5"/>
  <c r="L72" i="5" s="1"/>
  <c r="H72" i="5"/>
  <c r="G72" i="5"/>
  <c r="I72" i="5" s="1"/>
  <c r="K71" i="5"/>
  <c r="L71" i="5" s="1"/>
  <c r="H71" i="5"/>
  <c r="G71" i="5"/>
  <c r="I71" i="5" s="1"/>
  <c r="K70" i="5"/>
  <c r="L70" i="5" s="1"/>
  <c r="H70" i="5"/>
  <c r="G70" i="5"/>
  <c r="I70" i="5" s="1"/>
  <c r="K69" i="5"/>
  <c r="L69" i="5" s="1"/>
  <c r="H69" i="5"/>
  <c r="G69" i="5"/>
  <c r="I69" i="5" s="1"/>
  <c r="K68" i="5"/>
  <c r="L68" i="5" s="1"/>
  <c r="H68" i="5"/>
  <c r="G68" i="5"/>
  <c r="I68" i="5" s="1"/>
  <c r="K67" i="5"/>
  <c r="L67" i="5" s="1"/>
  <c r="H67" i="5"/>
  <c r="G67" i="5"/>
  <c r="I67" i="5" s="1"/>
  <c r="K66" i="5"/>
  <c r="L66" i="5" s="1"/>
  <c r="H66" i="5"/>
  <c r="G66" i="5"/>
  <c r="I66" i="5" s="1"/>
  <c r="K65" i="5"/>
  <c r="L65" i="5" s="1"/>
  <c r="H65" i="5"/>
  <c r="G65" i="5"/>
  <c r="I65" i="5" s="1"/>
  <c r="K64" i="5"/>
  <c r="L64" i="5" s="1"/>
  <c r="H64" i="5"/>
  <c r="G64" i="5"/>
  <c r="I64" i="5" s="1"/>
  <c r="K63" i="5"/>
  <c r="L63" i="5" s="1"/>
  <c r="H63" i="5"/>
  <c r="G63" i="5"/>
  <c r="I63" i="5" s="1"/>
  <c r="K62" i="5"/>
  <c r="L62" i="5" s="1"/>
  <c r="H62" i="5"/>
  <c r="G62" i="5"/>
  <c r="I62" i="5" s="1"/>
  <c r="K61" i="5"/>
  <c r="L61" i="5" s="1"/>
  <c r="H61" i="5"/>
  <c r="G61" i="5"/>
  <c r="I61" i="5" s="1"/>
  <c r="K60" i="5"/>
  <c r="L60" i="5" s="1"/>
  <c r="H60" i="5"/>
  <c r="G60" i="5"/>
  <c r="I60" i="5" s="1"/>
  <c r="K59" i="5"/>
  <c r="L59" i="5" s="1"/>
  <c r="H59" i="5"/>
  <c r="G59" i="5"/>
  <c r="I59" i="5" s="1"/>
  <c r="K58" i="5"/>
  <c r="L58" i="5" s="1"/>
  <c r="H58" i="5"/>
  <c r="G58" i="5"/>
  <c r="I58" i="5" s="1"/>
  <c r="K57" i="5"/>
  <c r="L57" i="5" s="1"/>
  <c r="H57" i="5"/>
  <c r="G57" i="5"/>
  <c r="I57" i="5" s="1"/>
  <c r="K56" i="5"/>
  <c r="L56" i="5" s="1"/>
  <c r="H56" i="5"/>
  <c r="G56" i="5"/>
  <c r="I56" i="5" s="1"/>
  <c r="K55" i="5"/>
  <c r="L55" i="5" s="1"/>
  <c r="H55" i="5"/>
  <c r="G55" i="5"/>
  <c r="I55" i="5" s="1"/>
  <c r="AC54" i="5"/>
  <c r="Z54" i="5"/>
  <c r="W54" i="5"/>
  <c r="W55" i="5" s="1"/>
  <c r="X54" i="5" s="1"/>
  <c r="T54" i="5"/>
  <c r="T55" i="5" s="1"/>
  <c r="U54" i="5" s="1"/>
  <c r="K54" i="5"/>
  <c r="L54" i="5" s="1"/>
  <c r="H54" i="5"/>
  <c r="G54" i="5"/>
  <c r="I54" i="5" s="1"/>
  <c r="K53" i="5"/>
  <c r="L53" i="5" s="1"/>
  <c r="H53" i="5"/>
  <c r="G53" i="5"/>
  <c r="I53" i="5" s="1"/>
  <c r="K52" i="5"/>
  <c r="L52" i="5" s="1"/>
  <c r="H52" i="5"/>
  <c r="G52" i="5"/>
  <c r="I52" i="5" s="1"/>
  <c r="K51" i="5"/>
  <c r="L51" i="5" s="1"/>
  <c r="H51" i="5"/>
  <c r="G51" i="5"/>
  <c r="I51" i="5" s="1"/>
  <c r="AC50" i="5"/>
  <c r="AC51" i="5" s="1"/>
  <c r="AD50" i="5" s="1"/>
  <c r="Z50" i="5"/>
  <c r="W50" i="5"/>
  <c r="W52" i="5" s="1"/>
  <c r="X51" i="5" s="1"/>
  <c r="T50" i="5"/>
  <c r="T52" i="5" s="1"/>
  <c r="U51" i="5" s="1"/>
  <c r="K50" i="5"/>
  <c r="L50" i="5" s="1"/>
  <c r="H50" i="5"/>
  <c r="G50" i="5"/>
  <c r="I50" i="5" s="1"/>
  <c r="K49" i="5"/>
  <c r="L49" i="5" s="1"/>
  <c r="H49" i="5"/>
  <c r="G49" i="5"/>
  <c r="I49" i="5" s="1"/>
  <c r="K48" i="5"/>
  <c r="L48" i="5" s="1"/>
  <c r="H48" i="5"/>
  <c r="G48" i="5"/>
  <c r="I48" i="5" s="1"/>
  <c r="K47" i="5"/>
  <c r="L47" i="5" s="1"/>
  <c r="H47" i="5"/>
  <c r="G47" i="5"/>
  <c r="I47" i="5" s="1"/>
  <c r="AC46" i="5"/>
  <c r="AC48" i="5" s="1"/>
  <c r="AD47" i="5" s="1"/>
  <c r="Z46" i="5"/>
  <c r="Z47" i="5" s="1"/>
  <c r="AA46" i="5" s="1"/>
  <c r="W46" i="5"/>
  <c r="W48" i="5" s="1"/>
  <c r="X47" i="5" s="1"/>
  <c r="T46" i="5"/>
  <c r="T48" i="5" s="1"/>
  <c r="U47" i="5" s="1"/>
  <c r="K46" i="5"/>
  <c r="L46" i="5" s="1"/>
  <c r="H46" i="5"/>
  <c r="G46" i="5"/>
  <c r="I46" i="5" s="1"/>
  <c r="K45" i="5"/>
  <c r="L45" i="5" s="1"/>
  <c r="H45" i="5"/>
  <c r="G45" i="5"/>
  <c r="I45" i="5" s="1"/>
  <c r="K44" i="5"/>
  <c r="L44" i="5" s="1"/>
  <c r="H44" i="5"/>
  <c r="G44" i="5"/>
  <c r="I44" i="5" s="1"/>
  <c r="K43" i="5"/>
  <c r="L43" i="5" s="1"/>
  <c r="H43" i="5"/>
  <c r="G43" i="5"/>
  <c r="I43" i="5" s="1"/>
  <c r="AC42" i="5"/>
  <c r="Z42" i="5"/>
  <c r="W42" i="5"/>
  <c r="T42" i="5"/>
  <c r="K42" i="5"/>
  <c r="L42" i="5" s="1"/>
  <c r="H42" i="5"/>
  <c r="G42" i="5"/>
  <c r="I42" i="5" s="1"/>
  <c r="K41" i="5"/>
  <c r="L41" i="5" s="1"/>
  <c r="H41" i="5"/>
  <c r="G41" i="5"/>
  <c r="I41" i="5" s="1"/>
  <c r="K40" i="5"/>
  <c r="L40" i="5" s="1"/>
  <c r="H40" i="5"/>
  <c r="G40" i="5"/>
  <c r="I40" i="5" s="1"/>
  <c r="K39" i="5"/>
  <c r="L39" i="5" s="1"/>
  <c r="H39" i="5"/>
  <c r="G39" i="5"/>
  <c r="I39" i="5" s="1"/>
  <c r="W38" i="5"/>
  <c r="T38" i="5"/>
  <c r="K38" i="5"/>
  <c r="L38" i="5" s="1"/>
  <c r="H38" i="5"/>
  <c r="G38" i="5"/>
  <c r="I38" i="5" s="1"/>
  <c r="K37" i="5"/>
  <c r="L37" i="5" s="1"/>
  <c r="H37" i="5"/>
  <c r="G37" i="5"/>
  <c r="I37" i="5" s="1"/>
  <c r="K36" i="5"/>
  <c r="L36" i="5" s="1"/>
  <c r="H36" i="5"/>
  <c r="G36" i="5"/>
  <c r="I36" i="5" s="1"/>
  <c r="K35" i="5"/>
  <c r="L35" i="5" s="1"/>
  <c r="H35" i="5"/>
  <c r="G35" i="5"/>
  <c r="I35" i="5" s="1"/>
  <c r="W34" i="5"/>
  <c r="T34" i="5"/>
  <c r="K34" i="5"/>
  <c r="L34" i="5" s="1"/>
  <c r="H34" i="5"/>
  <c r="G34" i="5"/>
  <c r="I34" i="5" s="1"/>
  <c r="K33" i="5"/>
  <c r="L33" i="5" s="1"/>
  <c r="H33" i="5"/>
  <c r="G33" i="5"/>
  <c r="I33" i="5" s="1"/>
  <c r="K32" i="5"/>
  <c r="L32" i="5" s="1"/>
  <c r="H32" i="5"/>
  <c r="G32" i="5"/>
  <c r="I32" i="5" s="1"/>
  <c r="K31" i="5"/>
  <c r="L31" i="5" s="1"/>
  <c r="H31" i="5"/>
  <c r="G31" i="5"/>
  <c r="I31" i="5" s="1"/>
  <c r="AC30" i="5"/>
  <c r="Z30" i="5"/>
  <c r="W30" i="5"/>
  <c r="T30" i="5"/>
  <c r="K30" i="5"/>
  <c r="L30" i="5" s="1"/>
  <c r="H30" i="5"/>
  <c r="G30" i="5"/>
  <c r="I30" i="5" s="1"/>
  <c r="K29" i="5"/>
  <c r="L29" i="5" s="1"/>
  <c r="H29" i="5"/>
  <c r="G29" i="5"/>
  <c r="I29" i="5" s="1"/>
  <c r="K28" i="5"/>
  <c r="L28" i="5" s="1"/>
  <c r="H28" i="5"/>
  <c r="G28" i="5"/>
  <c r="I28" i="5" s="1"/>
  <c r="K27" i="5"/>
  <c r="L27" i="5" s="1"/>
  <c r="H27" i="5"/>
  <c r="G27" i="5"/>
  <c r="I27" i="5" s="1"/>
  <c r="W26" i="5"/>
  <c r="T26" i="5"/>
  <c r="K26" i="5"/>
  <c r="L26" i="5" s="1"/>
  <c r="H26" i="5"/>
  <c r="G26" i="5"/>
  <c r="I26" i="5" s="1"/>
  <c r="K25" i="5"/>
  <c r="L25" i="5" s="1"/>
  <c r="H25" i="5"/>
  <c r="G25" i="5"/>
  <c r="I25" i="5" s="1"/>
  <c r="K24" i="5"/>
  <c r="L24" i="5" s="1"/>
  <c r="H24" i="5"/>
  <c r="G24" i="5"/>
  <c r="I24" i="5" s="1"/>
  <c r="K23" i="5"/>
  <c r="L23" i="5" s="1"/>
  <c r="H23" i="5"/>
  <c r="G23" i="5"/>
  <c r="I23" i="5" s="1"/>
  <c r="AC22" i="5"/>
  <c r="Z22" i="5"/>
  <c r="W22" i="5"/>
  <c r="T22" i="5"/>
  <c r="K22" i="5"/>
  <c r="L22" i="5" s="1"/>
  <c r="H22" i="5"/>
  <c r="G22" i="5"/>
  <c r="I22" i="5" s="1"/>
  <c r="K21" i="5"/>
  <c r="L21" i="5" s="1"/>
  <c r="H21" i="5"/>
  <c r="G21" i="5"/>
  <c r="I21" i="5" s="1"/>
  <c r="K20" i="5"/>
  <c r="L20" i="5" s="1"/>
  <c r="H20" i="5"/>
  <c r="G20" i="5"/>
  <c r="I20" i="5" s="1"/>
  <c r="K19" i="5"/>
  <c r="L19" i="5" s="1"/>
  <c r="H19" i="5"/>
  <c r="G19" i="5"/>
  <c r="I19" i="5" s="1"/>
  <c r="AC18" i="5"/>
  <c r="Z18" i="5"/>
  <c r="W18" i="5"/>
  <c r="T18" i="5"/>
  <c r="K18" i="5"/>
  <c r="L18" i="5" s="1"/>
  <c r="H18" i="5"/>
  <c r="G18" i="5"/>
  <c r="I18" i="5" s="1"/>
  <c r="K17" i="5"/>
  <c r="L17" i="5" s="1"/>
  <c r="H17" i="5"/>
  <c r="G17" i="5"/>
  <c r="I17" i="5" s="1"/>
  <c r="K16" i="5"/>
  <c r="L16" i="5" s="1"/>
  <c r="H16" i="5"/>
  <c r="G16" i="5"/>
  <c r="I16" i="5" s="1"/>
  <c r="K15" i="5"/>
  <c r="L15" i="5" s="1"/>
  <c r="H15" i="5"/>
  <c r="G15" i="5"/>
  <c r="I15" i="5" s="1"/>
  <c r="AC14" i="5"/>
  <c r="Z14" i="5"/>
  <c r="W14" i="5"/>
  <c r="T14" i="5"/>
  <c r="K14" i="5"/>
  <c r="L14" i="5" s="1"/>
  <c r="H14" i="5"/>
  <c r="G14" i="5"/>
  <c r="I14" i="5" s="1"/>
  <c r="K13" i="5"/>
  <c r="L13" i="5" s="1"/>
  <c r="H13" i="5"/>
  <c r="G13" i="5"/>
  <c r="I13" i="5" s="1"/>
  <c r="K12" i="5"/>
  <c r="L12" i="5" s="1"/>
  <c r="H12" i="5"/>
  <c r="G12" i="5"/>
  <c r="I12" i="5" s="1"/>
  <c r="R11" i="5"/>
  <c r="K11" i="5"/>
  <c r="L11" i="5" s="1"/>
  <c r="H11" i="5"/>
  <c r="G11" i="5"/>
  <c r="I11" i="5" s="1"/>
  <c r="AC10" i="5"/>
  <c r="Z10" i="5"/>
  <c r="W10" i="5"/>
  <c r="T10" i="5"/>
  <c r="K10" i="5"/>
  <c r="L10" i="5" s="1"/>
  <c r="H10" i="5"/>
  <c r="G10" i="5"/>
  <c r="I10" i="5" s="1"/>
  <c r="K9" i="5"/>
  <c r="L9" i="5" s="1"/>
  <c r="H9" i="5"/>
  <c r="G9" i="5"/>
  <c r="I9" i="5" s="1"/>
  <c r="K8" i="5"/>
  <c r="L8" i="5" s="1"/>
  <c r="H8" i="5"/>
  <c r="G8" i="5"/>
  <c r="I8" i="5" s="1"/>
  <c r="K7" i="5"/>
  <c r="L7" i="5" s="1"/>
  <c r="H7" i="5"/>
  <c r="G7" i="5"/>
  <c r="I7" i="5" s="1"/>
  <c r="AC6" i="5"/>
  <c r="Z6" i="5"/>
  <c r="W6" i="5"/>
  <c r="T6" i="5"/>
  <c r="K6" i="5"/>
  <c r="L6" i="5" s="1"/>
  <c r="H6" i="5"/>
  <c r="G6" i="5"/>
  <c r="I6" i="5" s="1"/>
  <c r="K5" i="5"/>
  <c r="L5" i="5" s="1"/>
  <c r="H5" i="5"/>
  <c r="G5" i="5"/>
  <c r="I5" i="5" s="1"/>
  <c r="K4" i="5"/>
  <c r="L4" i="5" s="1"/>
  <c r="H4" i="5"/>
  <c r="G4" i="5"/>
  <c r="I4" i="5" s="1"/>
  <c r="K3" i="5"/>
  <c r="L3" i="5" s="1"/>
  <c r="H3" i="5"/>
  <c r="G3" i="5"/>
  <c r="I3" i="5" s="1"/>
  <c r="AC2" i="5"/>
  <c r="Z2" i="5"/>
  <c r="W2" i="5"/>
  <c r="T2" i="5"/>
  <c r="K2" i="5"/>
  <c r="L2" i="5" s="1"/>
  <c r="I2" i="5"/>
  <c r="H2" i="5"/>
  <c r="Z411" i="46"/>
  <c r="Z412" i="46" s="1"/>
  <c r="Z407" i="46"/>
  <c r="Z408" i="46" s="1"/>
  <c r="Z279" i="46"/>
  <c r="Z280" i="46" s="1"/>
  <c r="Z275" i="46"/>
  <c r="Z276" i="46" s="1"/>
  <c r="Z147" i="46"/>
  <c r="Z148" i="46" s="1"/>
  <c r="Z143" i="46"/>
  <c r="Z144" i="46" s="1"/>
  <c r="Z11" i="46"/>
  <c r="Z12" i="46" s="1"/>
  <c r="Z10" i="46"/>
  <c r="O42" i="49"/>
  <c r="S40" i="49"/>
  <c r="R40" i="49"/>
  <c r="S39" i="49"/>
  <c r="R39" i="49"/>
  <c r="S38" i="49"/>
  <c r="R38" i="49"/>
  <c r="S37" i="49"/>
  <c r="R37" i="49"/>
  <c r="S36" i="49"/>
  <c r="R36" i="49"/>
  <c r="S35" i="49"/>
  <c r="R35" i="49"/>
  <c r="S34" i="49"/>
  <c r="R34" i="49"/>
  <c r="S33" i="49"/>
  <c r="R33" i="49"/>
  <c r="S32" i="49"/>
  <c r="R32" i="49"/>
  <c r="S31" i="49"/>
  <c r="R31" i="49"/>
  <c r="S30" i="49"/>
  <c r="R30" i="49"/>
  <c r="S29" i="49"/>
  <c r="R29" i="49"/>
  <c r="S28" i="49"/>
  <c r="R28" i="49"/>
  <c r="S27" i="49"/>
  <c r="R27" i="49"/>
  <c r="S26" i="49"/>
  <c r="R26" i="49"/>
  <c r="S25" i="49"/>
  <c r="R25" i="49"/>
  <c r="S24" i="49"/>
  <c r="R24" i="49"/>
  <c r="S23" i="49"/>
  <c r="R23" i="49"/>
  <c r="S22" i="49"/>
  <c r="R22" i="49"/>
  <c r="S21" i="49"/>
  <c r="R21" i="49"/>
  <c r="S20" i="49"/>
  <c r="R20" i="49"/>
  <c r="S19" i="49"/>
  <c r="R19" i="49"/>
  <c r="AA18" i="49"/>
  <c r="Z18" i="49"/>
  <c r="S18" i="49"/>
  <c r="R18" i="49"/>
  <c r="AA17" i="49"/>
  <c r="Z17" i="49"/>
  <c r="S17" i="49"/>
  <c r="R17" i="49"/>
  <c r="AA16" i="49"/>
  <c r="Z16" i="49"/>
  <c r="S16" i="49"/>
  <c r="R16" i="49"/>
  <c r="AA15" i="49"/>
  <c r="Z15" i="49"/>
  <c r="S15" i="49"/>
  <c r="R15" i="49"/>
  <c r="AA14" i="49"/>
  <c r="Z14" i="49"/>
  <c r="S14" i="49"/>
  <c r="R14" i="49"/>
  <c r="AA13" i="49"/>
  <c r="Z13" i="49"/>
  <c r="S13" i="49"/>
  <c r="R13" i="49"/>
  <c r="AA12" i="49"/>
  <c r="Z12" i="49"/>
  <c r="S12" i="49"/>
  <c r="R12" i="49"/>
  <c r="AA11" i="49"/>
  <c r="Z11" i="49"/>
  <c r="S11" i="49"/>
  <c r="R11" i="49"/>
  <c r="AA10" i="49"/>
  <c r="S10" i="49"/>
  <c r="R10" i="49"/>
  <c r="AA9" i="49"/>
  <c r="R5" i="49"/>
  <c r="P5" i="49"/>
  <c r="M5" i="49"/>
  <c r="T5" i="49" s="1"/>
  <c r="J5" i="49"/>
  <c r="X2" i="49"/>
  <c r="L46" i="48"/>
  <c r="N41" i="48"/>
  <c r="L41" i="48"/>
  <c r="K41" i="48"/>
  <c r="M41" i="48" s="1"/>
  <c r="N40" i="48"/>
  <c r="L40" i="48"/>
  <c r="K40" i="48"/>
  <c r="M40" i="48" s="1"/>
  <c r="N39" i="48"/>
  <c r="L39" i="48"/>
  <c r="K39" i="48"/>
  <c r="M39" i="48" s="1"/>
  <c r="N38" i="48"/>
  <c r="L38" i="48"/>
  <c r="K38" i="48"/>
  <c r="M38" i="48" s="1"/>
  <c r="N37" i="48"/>
  <c r="L37" i="48"/>
  <c r="K37" i="48"/>
  <c r="M37" i="48" s="1"/>
  <c r="N36" i="48"/>
  <c r="L36" i="48"/>
  <c r="K36" i="48"/>
  <c r="M36" i="48" s="1"/>
  <c r="N35" i="48"/>
  <c r="L35" i="48"/>
  <c r="K35" i="48"/>
  <c r="M35" i="48" s="1"/>
  <c r="N34" i="48"/>
  <c r="L34" i="48"/>
  <c r="K34" i="48"/>
  <c r="M34" i="48" s="1"/>
  <c r="N33" i="48"/>
  <c r="L33" i="48"/>
  <c r="K33" i="48"/>
  <c r="M33" i="48" s="1"/>
  <c r="N32" i="48"/>
  <c r="L32" i="48"/>
  <c r="K32" i="48"/>
  <c r="M32" i="48" s="1"/>
  <c r="N31" i="48"/>
  <c r="L31" i="48"/>
  <c r="K31" i="48"/>
  <c r="M31" i="48" s="1"/>
  <c r="N30" i="48"/>
  <c r="L30" i="48"/>
  <c r="K30" i="48"/>
  <c r="M30" i="48" s="1"/>
  <c r="N29" i="48"/>
  <c r="L29" i="48"/>
  <c r="K29" i="48"/>
  <c r="M29" i="48" s="1"/>
  <c r="N28" i="48"/>
  <c r="L28" i="48"/>
  <c r="K28" i="48"/>
  <c r="M28" i="48" s="1"/>
  <c r="N27" i="48"/>
  <c r="L27" i="48"/>
  <c r="K27" i="48"/>
  <c r="M27" i="48" s="1"/>
  <c r="N26" i="48"/>
  <c r="L26" i="48"/>
  <c r="K26" i="48"/>
  <c r="M26" i="48" s="1"/>
  <c r="N25" i="48"/>
  <c r="L25" i="48"/>
  <c r="K25" i="48"/>
  <c r="M25" i="48" s="1"/>
  <c r="N24" i="48"/>
  <c r="L24" i="48"/>
  <c r="K24" i="48"/>
  <c r="M24" i="48" s="1"/>
  <c r="N23" i="48"/>
  <c r="L23" i="48"/>
  <c r="K23" i="48"/>
  <c r="M23" i="48" s="1"/>
  <c r="N22" i="48"/>
  <c r="L22" i="48"/>
  <c r="K22" i="48"/>
  <c r="M22" i="48" s="1"/>
  <c r="N21" i="48"/>
  <c r="L21" i="48"/>
  <c r="K21" i="48"/>
  <c r="M21" i="48" s="1"/>
  <c r="N20" i="48"/>
  <c r="L20" i="48"/>
  <c r="K20" i="48"/>
  <c r="M20" i="48" s="1"/>
  <c r="N19" i="48"/>
  <c r="L19" i="48"/>
  <c r="K19" i="48"/>
  <c r="M19" i="48" s="1"/>
  <c r="N18" i="48"/>
  <c r="L18" i="48"/>
  <c r="K18" i="48"/>
  <c r="M18" i="48" s="1"/>
  <c r="N17" i="48"/>
  <c r="L17" i="48"/>
  <c r="K17" i="48"/>
  <c r="M17" i="48" s="1"/>
  <c r="N16" i="48"/>
  <c r="L16" i="48"/>
  <c r="K16" i="48"/>
  <c r="M16" i="48" s="1"/>
  <c r="N15" i="48"/>
  <c r="L15" i="48"/>
  <c r="K15" i="48"/>
  <c r="M15" i="48" s="1"/>
  <c r="N14" i="48"/>
  <c r="L14" i="48"/>
  <c r="K14" i="48"/>
  <c r="M14" i="48" s="1"/>
  <c r="N13" i="48"/>
  <c r="L13" i="48"/>
  <c r="K13" i="48"/>
  <c r="M13" i="48" s="1"/>
  <c r="L12" i="48"/>
  <c r="K12" i="48"/>
  <c r="N11" i="48"/>
  <c r="L11" i="48" s="1"/>
  <c r="M11" i="48"/>
  <c r="M5" i="48"/>
  <c r="L5" i="48"/>
  <c r="J5" i="48"/>
  <c r="O5" i="48" s="1"/>
  <c r="G5" i="48"/>
  <c r="X2" i="48"/>
  <c r="Y2" i="48" s="1"/>
  <c r="Y1202" i="45"/>
  <c r="Y1201" i="45"/>
  <c r="Y1194" i="45"/>
  <c r="Y1195" i="45" s="1"/>
  <c r="Y1193" i="45"/>
  <c r="Y1129" i="45"/>
  <c r="Y1128" i="45"/>
  <c r="Y1121" i="45"/>
  <c r="Y1122" i="45" s="1"/>
  <c r="Y1120" i="45"/>
  <c r="V1080" i="45"/>
  <c r="V1079" i="45"/>
  <c r="V1078" i="45"/>
  <c r="Y1077" i="45"/>
  <c r="V1077" i="45"/>
  <c r="Y1076" i="45"/>
  <c r="V1076" i="45"/>
  <c r="V1075" i="45"/>
  <c r="V1074" i="45"/>
  <c r="V1073" i="45"/>
  <c r="V1072" i="45"/>
  <c r="V1071" i="45"/>
  <c r="V1070" i="45"/>
  <c r="Y1069" i="45"/>
  <c r="Y1070" i="45" s="1"/>
  <c r="V1069" i="45"/>
  <c r="Y1068" i="45"/>
  <c r="V1046" i="45"/>
  <c r="V1045" i="45"/>
  <c r="V1044" i="45"/>
  <c r="V1043" i="45"/>
  <c r="V1042" i="45"/>
  <c r="V1041" i="45"/>
  <c r="V1040" i="45"/>
  <c r="V1039" i="45"/>
  <c r="V1038" i="45"/>
  <c r="V1037" i="45"/>
  <c r="V1036" i="45"/>
  <c r="V1035" i="45"/>
  <c r="V1034" i="45"/>
  <c r="V1033" i="45"/>
  <c r="V1032" i="45"/>
  <c r="V1031" i="45"/>
  <c r="V1030" i="45"/>
  <c r="V1029" i="45"/>
  <c r="V1028" i="45"/>
  <c r="V1027" i="45"/>
  <c r="V1026" i="45"/>
  <c r="Y1025" i="45"/>
  <c r="V1025" i="45"/>
  <c r="Y1024" i="45"/>
  <c r="V1024" i="45"/>
  <c r="V1023" i="45"/>
  <c r="V1022" i="45"/>
  <c r="V1021" i="45"/>
  <c r="V1020" i="45"/>
  <c r="V1019" i="45"/>
  <c r="V1018" i="45"/>
  <c r="Y1017" i="45"/>
  <c r="Y1018" i="45" s="1"/>
  <c r="V1017" i="45"/>
  <c r="Y1016" i="45"/>
  <c r="Y906" i="45"/>
  <c r="Y905" i="45"/>
  <c r="Y898" i="45"/>
  <c r="Y899" i="45" s="1"/>
  <c r="Y897" i="45"/>
  <c r="V784" i="45"/>
  <c r="V783" i="45"/>
  <c r="Y782" i="45"/>
  <c r="V782" i="45"/>
  <c r="Y781" i="45"/>
  <c r="V781" i="45"/>
  <c r="V780" i="45"/>
  <c r="V779" i="45"/>
  <c r="V778" i="45"/>
  <c r="V777" i="45"/>
  <c r="V776" i="45"/>
  <c r="V775" i="45"/>
  <c r="Y774" i="45"/>
  <c r="Y775" i="45" s="1"/>
  <c r="V774" i="45"/>
  <c r="Y773" i="45"/>
  <c r="V678" i="45"/>
  <c r="V677" i="45"/>
  <c r="Y676" i="45"/>
  <c r="V676" i="45"/>
  <c r="Y675" i="45"/>
  <c r="V675" i="45"/>
  <c r="V674" i="45"/>
  <c r="V673" i="45"/>
  <c r="V672" i="45"/>
  <c r="V671" i="45"/>
  <c r="V670" i="45"/>
  <c r="V669" i="45"/>
  <c r="Y668" i="45"/>
  <c r="Y669" i="45" s="1"/>
  <c r="V668" i="45"/>
  <c r="Y667" i="45"/>
  <c r="V457" i="45"/>
  <c r="V456" i="45"/>
  <c r="V455" i="45"/>
  <c r="V454" i="45"/>
  <c r="V453" i="45"/>
  <c r="V452" i="45"/>
  <c r="V451" i="45"/>
  <c r="V450" i="45"/>
  <c r="V449" i="45"/>
  <c r="V448" i="45"/>
  <c r="V447" i="45"/>
  <c r="V446" i="45"/>
  <c r="V445" i="45"/>
  <c r="V444" i="45"/>
  <c r="V443" i="45"/>
  <c r="V442" i="45"/>
  <c r="V441" i="45"/>
  <c r="V440" i="45"/>
  <c r="V439" i="45"/>
  <c r="V438" i="45"/>
  <c r="V437" i="45"/>
  <c r="V436" i="45"/>
  <c r="V435" i="45"/>
  <c r="V434" i="45"/>
  <c r="V433" i="45"/>
  <c r="V432" i="45"/>
  <c r="V431" i="45"/>
  <c r="V430" i="45"/>
  <c r="V429" i="45"/>
  <c r="V428" i="45"/>
  <c r="V427" i="45"/>
  <c r="V426" i="45"/>
  <c r="V425" i="45"/>
  <c r="V424" i="45"/>
  <c r="V423" i="45"/>
  <c r="V422" i="45"/>
  <c r="V421" i="45"/>
  <c r="V420" i="45"/>
  <c r="V419" i="45"/>
  <c r="V418" i="45"/>
  <c r="V417" i="45"/>
  <c r="V416" i="45"/>
  <c r="V415" i="45"/>
  <c r="V414" i="45"/>
  <c r="V413" i="45"/>
  <c r="V412" i="45"/>
  <c r="V411" i="45"/>
  <c r="V410" i="45"/>
  <c r="V409" i="45"/>
  <c r="V408" i="45"/>
  <c r="V407" i="45"/>
  <c r="Y406" i="45"/>
  <c r="V406" i="45"/>
  <c r="Y405" i="45"/>
  <c r="V405" i="45"/>
  <c r="V404" i="45"/>
  <c r="V403" i="45"/>
  <c r="V402" i="45"/>
  <c r="V401" i="45"/>
  <c r="V400" i="45"/>
  <c r="V399" i="45"/>
  <c r="Y398" i="45"/>
  <c r="Y399" i="45" s="1"/>
  <c r="V398" i="45"/>
  <c r="Y397" i="45"/>
  <c r="Y259" i="45"/>
  <c r="Y258" i="45"/>
  <c r="Y251" i="45"/>
  <c r="Y252" i="45" s="1"/>
  <c r="Y250" i="45"/>
  <c r="Y138" i="45"/>
  <c r="Y137" i="45"/>
  <c r="Y130" i="45"/>
  <c r="Y131" i="45" s="1"/>
  <c r="Y129" i="45"/>
  <c r="Y18" i="45"/>
  <c r="Y17" i="45"/>
  <c r="Y10" i="45"/>
  <c r="Y11" i="45" s="1"/>
  <c r="Y9" i="45"/>
  <c r="S41" i="47"/>
  <c r="V4" i="47"/>
  <c r="R4" i="47"/>
  <c r="Y4" i="47" s="1"/>
  <c r="AA1220" i="44" s="1"/>
  <c r="AA1221" i="44" s="1"/>
  <c r="AA1222" i="44" s="1"/>
  <c r="N4" i="47"/>
  <c r="X2" i="47"/>
  <c r="R2" i="47"/>
  <c r="AA1225" i="44"/>
  <c r="AA1224" i="44"/>
  <c r="AA1217" i="44"/>
  <c r="AA1218" i="44" s="1"/>
  <c r="AA1216" i="44"/>
  <c r="AA993" i="44"/>
  <c r="AA992" i="44"/>
  <c r="AA985" i="44"/>
  <c r="AA986" i="44" s="1"/>
  <c r="AA984" i="44"/>
  <c r="AA936" i="44"/>
  <c r="AA935" i="44"/>
  <c r="AA928" i="44"/>
  <c r="AA929" i="44" s="1"/>
  <c r="AA927" i="44"/>
  <c r="X795" i="44"/>
  <c r="X794" i="44"/>
  <c r="X793" i="44"/>
  <c r="X792" i="44"/>
  <c r="X791" i="44"/>
  <c r="X790" i="44"/>
  <c r="X789" i="44"/>
  <c r="X788" i="44"/>
  <c r="X787" i="44"/>
  <c r="X786" i="44"/>
  <c r="X785" i="44"/>
  <c r="X784" i="44"/>
  <c r="X783" i="44"/>
  <c r="X782" i="44"/>
  <c r="X781" i="44"/>
  <c r="X780" i="44"/>
  <c r="X779" i="44"/>
  <c r="X778" i="44"/>
  <c r="X777" i="44"/>
  <c r="X776" i="44"/>
  <c r="X775" i="44"/>
  <c r="X774" i="44"/>
  <c r="X773" i="44"/>
  <c r="X772" i="44"/>
  <c r="X771" i="44"/>
  <c r="X770" i="44"/>
  <c r="X769" i="44"/>
  <c r="X768" i="44"/>
  <c r="X767" i="44"/>
  <c r="X766" i="44"/>
  <c r="X765" i="44"/>
  <c r="X764" i="44"/>
  <c r="X763" i="44"/>
  <c r="X762" i="44"/>
  <c r="X761" i="44"/>
  <c r="X760" i="44"/>
  <c r="X759" i="44"/>
  <c r="X758" i="44"/>
  <c r="X757" i="44"/>
  <c r="X756" i="44"/>
  <c r="X755" i="44"/>
  <c r="X754" i="44"/>
  <c r="X753" i="44"/>
  <c r="X752" i="44"/>
  <c r="X751" i="44"/>
  <c r="X750" i="44"/>
  <c r="X749" i="44"/>
  <c r="X748" i="44"/>
  <c r="X747" i="44"/>
  <c r="X746" i="44"/>
  <c r="X745" i="44"/>
  <c r="X744" i="44"/>
  <c r="X743" i="44"/>
  <c r="X742" i="44"/>
  <c r="X741" i="44"/>
  <c r="X740" i="44"/>
  <c r="X739" i="44"/>
  <c r="X738" i="44"/>
  <c r="X737" i="44"/>
  <c r="X736" i="44"/>
  <c r="X735" i="44"/>
  <c r="X734" i="44"/>
  <c r="X733" i="44"/>
  <c r="X732" i="44"/>
  <c r="X731" i="44"/>
  <c r="X730" i="44"/>
  <c r="X729" i="44"/>
  <c r="X728" i="44"/>
  <c r="X727" i="44"/>
  <c r="X726" i="44"/>
  <c r="X725" i="44"/>
  <c r="X724" i="44"/>
  <c r="X723" i="44"/>
  <c r="X722" i="44"/>
  <c r="X721" i="44"/>
  <c r="X720" i="44"/>
  <c r="X719" i="44"/>
  <c r="X718" i="44"/>
  <c r="X717" i="44"/>
  <c r="X716" i="44"/>
  <c r="X715" i="44"/>
  <c r="X714" i="44"/>
  <c r="X713" i="44"/>
  <c r="X712" i="44"/>
  <c r="AA711" i="44"/>
  <c r="X711" i="44"/>
  <c r="AA710" i="44"/>
  <c r="X710" i="44"/>
  <c r="X709" i="44"/>
  <c r="X708" i="44"/>
  <c r="X707" i="44"/>
  <c r="X706" i="44"/>
  <c r="X705" i="44"/>
  <c r="X704" i="44"/>
  <c r="AA703" i="44"/>
  <c r="AA704" i="44" s="1"/>
  <c r="X703" i="44"/>
  <c r="AA481" i="44"/>
  <c r="AA480" i="44"/>
  <c r="AA473" i="44"/>
  <c r="AA474" i="44" s="1"/>
  <c r="AA251" i="44"/>
  <c r="AA250" i="44"/>
  <c r="AA243" i="44"/>
  <c r="AA244" i="44" s="1"/>
  <c r="AA19" i="44"/>
  <c r="AA18" i="44"/>
  <c r="AA11" i="44"/>
  <c r="AA12" i="44" s="1"/>
  <c r="T5627" i="1"/>
  <c r="S5627" i="1"/>
  <c r="R5627" i="1"/>
  <c r="Q5627" i="1"/>
  <c r="P5627" i="1"/>
  <c r="O5627" i="1"/>
  <c r="N5627" i="1"/>
  <c r="M5627" i="1"/>
  <c r="L5627" i="1"/>
  <c r="I5627" i="1"/>
  <c r="H5627" i="1"/>
  <c r="G5627" i="1"/>
  <c r="F5627" i="1"/>
  <c r="E5627" i="1"/>
  <c r="D5627" i="1"/>
  <c r="C5627" i="1"/>
  <c r="B5627" i="1"/>
  <c r="T5626" i="1"/>
  <c r="S5626" i="1"/>
  <c r="R5626" i="1"/>
  <c r="Q5626" i="1"/>
  <c r="P5626" i="1"/>
  <c r="O5626" i="1"/>
  <c r="N5626" i="1"/>
  <c r="M5626" i="1"/>
  <c r="L5626" i="1"/>
  <c r="I5626" i="1"/>
  <c r="H5626" i="1"/>
  <c r="G5626" i="1"/>
  <c r="F5626" i="1"/>
  <c r="E5626" i="1"/>
  <c r="D5626" i="1"/>
  <c r="C5626" i="1"/>
  <c r="B5626" i="1"/>
  <c r="W5100" i="1"/>
  <c r="V5101" i="1" s="1"/>
  <c r="V5102" i="1" s="1"/>
  <c r="V5097" i="1"/>
  <c r="T5076" i="1"/>
  <c r="S5076" i="1"/>
  <c r="R5076" i="1"/>
  <c r="Q5076" i="1"/>
  <c r="P5076" i="1"/>
  <c r="O5076" i="1"/>
  <c r="N5076" i="1"/>
  <c r="M5076" i="1"/>
  <c r="L5076" i="1"/>
  <c r="I5076" i="1"/>
  <c r="H5076" i="1"/>
  <c r="G5076" i="1"/>
  <c r="F5076" i="1"/>
  <c r="E5076" i="1"/>
  <c r="D5076" i="1"/>
  <c r="C5076" i="1"/>
  <c r="B5076" i="1"/>
  <c r="T5075" i="1"/>
  <c r="S5075" i="1"/>
  <c r="R5075" i="1"/>
  <c r="Q5075" i="1"/>
  <c r="P5075" i="1"/>
  <c r="O5075" i="1"/>
  <c r="N5075" i="1"/>
  <c r="M5075" i="1"/>
  <c r="L5075" i="1"/>
  <c r="I5075" i="1"/>
  <c r="H5075" i="1"/>
  <c r="G5075" i="1"/>
  <c r="F5075" i="1"/>
  <c r="E5075" i="1"/>
  <c r="D5075" i="1"/>
  <c r="C5075" i="1"/>
  <c r="B5075" i="1"/>
  <c r="T4528" i="1"/>
  <c r="S4528" i="1"/>
  <c r="R4528" i="1"/>
  <c r="Q4528" i="1"/>
  <c r="P4528" i="1"/>
  <c r="O4528" i="1"/>
  <c r="N4528" i="1"/>
  <c r="M4528" i="1"/>
  <c r="L4528" i="1"/>
  <c r="I4528" i="1"/>
  <c r="H4528" i="1"/>
  <c r="G4528" i="1"/>
  <c r="F4528" i="1"/>
  <c r="E4528" i="1"/>
  <c r="D4528" i="1"/>
  <c r="C4528" i="1"/>
  <c r="B4528" i="1"/>
  <c r="T4527" i="1"/>
  <c r="S4527" i="1"/>
  <c r="R4527" i="1"/>
  <c r="Q4527" i="1"/>
  <c r="P4527" i="1"/>
  <c r="O4527" i="1"/>
  <c r="N4527" i="1"/>
  <c r="M4527" i="1"/>
  <c r="L4527" i="1"/>
  <c r="I4527" i="1"/>
  <c r="H4527" i="1"/>
  <c r="G4527" i="1"/>
  <c r="F4527" i="1"/>
  <c r="E4527" i="1"/>
  <c r="D4527" i="1"/>
  <c r="C4527" i="1"/>
  <c r="B4527" i="1"/>
  <c r="T3972" i="1"/>
  <c r="S3972" i="1"/>
  <c r="R3972" i="1"/>
  <c r="Q3972" i="1"/>
  <c r="P3972" i="1"/>
  <c r="O3972" i="1"/>
  <c r="N3972" i="1"/>
  <c r="M3972" i="1"/>
  <c r="L3972" i="1"/>
  <c r="I3972" i="1"/>
  <c r="H3972" i="1"/>
  <c r="G3972" i="1"/>
  <c r="F3972" i="1"/>
  <c r="E3972" i="1"/>
  <c r="D3972" i="1"/>
  <c r="C3972" i="1"/>
  <c r="B3972" i="1"/>
  <c r="T3971" i="1"/>
  <c r="S3971" i="1"/>
  <c r="R3971" i="1"/>
  <c r="Q3971" i="1"/>
  <c r="P3971" i="1"/>
  <c r="O3971" i="1"/>
  <c r="N3971" i="1"/>
  <c r="M3971" i="1"/>
  <c r="L3971" i="1"/>
  <c r="I3971" i="1"/>
  <c r="H3971" i="1"/>
  <c r="G3971" i="1"/>
  <c r="F3971" i="1"/>
  <c r="E3971" i="1"/>
  <c r="D3971" i="1"/>
  <c r="C3971" i="1"/>
  <c r="B3971" i="1"/>
  <c r="W3445" i="1"/>
  <c r="V3446" i="1" s="1"/>
  <c r="V3447" i="1" s="1"/>
  <c r="V3442" i="1"/>
  <c r="T3421" i="1"/>
  <c r="S3421" i="1"/>
  <c r="R3421" i="1"/>
  <c r="Q3421" i="1"/>
  <c r="P3421" i="1"/>
  <c r="O3421" i="1"/>
  <c r="N3421" i="1"/>
  <c r="M3421" i="1"/>
  <c r="L3421" i="1"/>
  <c r="I3421" i="1"/>
  <c r="H3421" i="1"/>
  <c r="G3421" i="1"/>
  <c r="F3421" i="1"/>
  <c r="E3421" i="1"/>
  <c r="D3421" i="1"/>
  <c r="C3421" i="1"/>
  <c r="B3421" i="1"/>
  <c r="T3420" i="1"/>
  <c r="S3420" i="1"/>
  <c r="R3420" i="1"/>
  <c r="Q3420" i="1"/>
  <c r="P3420" i="1"/>
  <c r="O3420" i="1"/>
  <c r="N3420" i="1"/>
  <c r="M3420" i="1"/>
  <c r="L3420" i="1"/>
  <c r="I3420" i="1"/>
  <c r="H3420" i="1"/>
  <c r="G3420" i="1"/>
  <c r="F3420" i="1"/>
  <c r="E3420" i="1"/>
  <c r="D3420" i="1"/>
  <c r="C3420" i="1"/>
  <c r="B3420" i="1"/>
  <c r="W3131" i="1"/>
  <c r="V3132" i="1" s="1"/>
  <c r="V3133" i="1" s="1"/>
  <c r="V3128" i="1"/>
  <c r="T3107" i="1"/>
  <c r="S3107" i="1"/>
  <c r="R3107" i="1"/>
  <c r="Q3107" i="1"/>
  <c r="P3107" i="1"/>
  <c r="O3107" i="1"/>
  <c r="N3107" i="1"/>
  <c r="M3107" i="1"/>
  <c r="L3107" i="1"/>
  <c r="I3107" i="1"/>
  <c r="H3107" i="1"/>
  <c r="G3107" i="1"/>
  <c r="F3107" i="1"/>
  <c r="E3107" i="1"/>
  <c r="D3107" i="1"/>
  <c r="C3107" i="1"/>
  <c r="B3107" i="1"/>
  <c r="T3106" i="1"/>
  <c r="S3106" i="1"/>
  <c r="R3106" i="1"/>
  <c r="Q3106" i="1"/>
  <c r="P3106" i="1"/>
  <c r="O3106" i="1"/>
  <c r="N3106" i="1"/>
  <c r="M3106" i="1"/>
  <c r="L3106" i="1"/>
  <c r="I3106" i="1"/>
  <c r="H3106" i="1"/>
  <c r="G3106" i="1"/>
  <c r="F3106" i="1"/>
  <c r="E3106" i="1"/>
  <c r="D3106" i="1"/>
  <c r="C3106" i="1"/>
  <c r="B3106" i="1"/>
  <c r="W2845" i="1"/>
  <c r="V2846" i="1" s="1"/>
  <c r="V2847" i="1" s="1"/>
  <c r="W2836" i="1"/>
  <c r="T2836" i="1"/>
  <c r="S2836" i="1"/>
  <c r="R2836" i="1"/>
  <c r="Q2836" i="1"/>
  <c r="P2836" i="1"/>
  <c r="O2836" i="1"/>
  <c r="N2836" i="1"/>
  <c r="M2836" i="1"/>
  <c r="L2836" i="1"/>
  <c r="I2836" i="1"/>
  <c r="H2836" i="1"/>
  <c r="G2836" i="1"/>
  <c r="F2836" i="1"/>
  <c r="E2836" i="1"/>
  <c r="D2836" i="1"/>
  <c r="C2836" i="1"/>
  <c r="B2836" i="1"/>
  <c r="T2835" i="1"/>
  <c r="S2835" i="1"/>
  <c r="R2835" i="1"/>
  <c r="Q2835" i="1"/>
  <c r="P2835" i="1"/>
  <c r="O2835" i="1"/>
  <c r="N2835" i="1"/>
  <c r="M2835" i="1"/>
  <c r="L2835" i="1"/>
  <c r="I2835" i="1"/>
  <c r="H2835" i="1"/>
  <c r="G2835" i="1"/>
  <c r="F2835" i="1"/>
  <c r="E2835" i="1"/>
  <c r="D2835" i="1"/>
  <c r="C2835" i="1"/>
  <c r="B2835" i="1"/>
  <c r="W2576" i="1"/>
  <c r="V2577" i="1" s="1"/>
  <c r="V2578" i="1" s="1"/>
  <c r="W2567" i="1"/>
  <c r="V2568" i="1" s="1"/>
  <c r="V2569" i="1" s="1"/>
  <c r="T2567" i="1"/>
  <c r="S2567" i="1"/>
  <c r="R2567" i="1"/>
  <c r="Q2567" i="1"/>
  <c r="P2567" i="1"/>
  <c r="O2567" i="1"/>
  <c r="N2567" i="1"/>
  <c r="M2567" i="1"/>
  <c r="L2567" i="1"/>
  <c r="I2567" i="1"/>
  <c r="H2567" i="1"/>
  <c r="G2567" i="1"/>
  <c r="F2567" i="1"/>
  <c r="E2567" i="1"/>
  <c r="D2567" i="1"/>
  <c r="C2567" i="1"/>
  <c r="B2567" i="1"/>
  <c r="T2566" i="1"/>
  <c r="S2566" i="1"/>
  <c r="R2566" i="1"/>
  <c r="Q2566" i="1"/>
  <c r="P2566" i="1"/>
  <c r="O2566" i="1"/>
  <c r="N2566" i="1"/>
  <c r="M2566" i="1"/>
  <c r="L2566" i="1"/>
  <c r="I2566" i="1"/>
  <c r="H2566" i="1"/>
  <c r="G2566" i="1"/>
  <c r="F2566" i="1"/>
  <c r="E2566" i="1"/>
  <c r="D2566" i="1"/>
  <c r="C2566" i="1"/>
  <c r="B2566" i="1"/>
  <c r="T2328" i="1"/>
  <c r="S2328" i="1"/>
  <c r="R2328" i="1"/>
  <c r="Q2328" i="1"/>
  <c r="P2328" i="1"/>
  <c r="O2328" i="1"/>
  <c r="N2328" i="1"/>
  <c r="M2328" i="1"/>
  <c r="L2328" i="1"/>
  <c r="I2328" i="1"/>
  <c r="H2328" i="1"/>
  <c r="G2328" i="1"/>
  <c r="F2328" i="1"/>
  <c r="E2328" i="1"/>
  <c r="D2328" i="1"/>
  <c r="C2328" i="1"/>
  <c r="B2328" i="1"/>
  <c r="T2327" i="1"/>
  <c r="S2327" i="1"/>
  <c r="R2327" i="1"/>
  <c r="Q2327" i="1"/>
  <c r="P2327" i="1"/>
  <c r="O2327" i="1"/>
  <c r="N2327" i="1"/>
  <c r="M2327" i="1"/>
  <c r="L2327" i="1"/>
  <c r="I2327" i="1"/>
  <c r="H2327" i="1"/>
  <c r="G2327" i="1"/>
  <c r="F2327" i="1"/>
  <c r="E2327" i="1"/>
  <c r="D2327" i="1"/>
  <c r="C2327" i="1"/>
  <c r="B2327" i="1"/>
  <c r="T2089" i="1"/>
  <c r="S2089" i="1"/>
  <c r="R2089" i="1"/>
  <c r="Q2089" i="1"/>
  <c r="P2089" i="1"/>
  <c r="O2089" i="1"/>
  <c r="N2089" i="1"/>
  <c r="M2089" i="1"/>
  <c r="L2089" i="1"/>
  <c r="I2089" i="1"/>
  <c r="H2089" i="1"/>
  <c r="G2089" i="1"/>
  <c r="F2089" i="1"/>
  <c r="E2089" i="1"/>
  <c r="D2089" i="1"/>
  <c r="C2089" i="1"/>
  <c r="B2089" i="1"/>
  <c r="T2088" i="1"/>
  <c r="S2088" i="1"/>
  <c r="R2088" i="1"/>
  <c r="Q2088" i="1"/>
  <c r="P2088" i="1"/>
  <c r="O2088" i="1"/>
  <c r="N2088" i="1"/>
  <c r="M2088" i="1"/>
  <c r="L2088" i="1"/>
  <c r="I2088" i="1"/>
  <c r="H2088" i="1"/>
  <c r="G2088" i="1"/>
  <c r="F2088" i="1"/>
  <c r="E2088" i="1"/>
  <c r="D2088" i="1"/>
  <c r="C2088" i="1"/>
  <c r="B2088" i="1"/>
  <c r="W1849" i="1"/>
  <c r="V1850" i="1" s="1"/>
  <c r="V1851" i="1" s="1"/>
  <c r="T1849" i="1"/>
  <c r="S1849" i="1"/>
  <c r="R1849" i="1"/>
  <c r="Q1849" i="1"/>
  <c r="P1849" i="1"/>
  <c r="O1849" i="1"/>
  <c r="N1849" i="1"/>
  <c r="M1849" i="1"/>
  <c r="L1849" i="1"/>
  <c r="I1849" i="1"/>
  <c r="H1849" i="1"/>
  <c r="G1849" i="1"/>
  <c r="F1849" i="1"/>
  <c r="E1849" i="1"/>
  <c r="D1849" i="1"/>
  <c r="C1849" i="1"/>
  <c r="B1849" i="1"/>
  <c r="T1848" i="1"/>
  <c r="S1848" i="1"/>
  <c r="R1848" i="1"/>
  <c r="Q1848" i="1"/>
  <c r="P1848" i="1"/>
  <c r="O1848" i="1"/>
  <c r="N1848" i="1"/>
  <c r="M1848" i="1"/>
  <c r="L1848" i="1"/>
  <c r="I1848" i="1"/>
  <c r="H1848" i="1"/>
  <c r="G1848" i="1"/>
  <c r="F1848" i="1"/>
  <c r="E1848" i="1"/>
  <c r="D1848" i="1"/>
  <c r="C1848" i="1"/>
  <c r="B1848" i="1"/>
  <c r="W1634" i="1"/>
  <c r="V1635" i="1" s="1"/>
  <c r="V1636" i="1" s="1"/>
  <c r="V1631" i="1"/>
  <c r="W1619" i="1"/>
  <c r="T1610" i="1"/>
  <c r="S1610" i="1"/>
  <c r="R1610" i="1"/>
  <c r="Q1610" i="1"/>
  <c r="P1610" i="1"/>
  <c r="O1610" i="1"/>
  <c r="N1610" i="1"/>
  <c r="M1610" i="1"/>
  <c r="L1610" i="1"/>
  <c r="I1610" i="1"/>
  <c r="H1610" i="1"/>
  <c r="G1610" i="1"/>
  <c r="F1610" i="1"/>
  <c r="E1610" i="1"/>
  <c r="D1610" i="1"/>
  <c r="C1610" i="1"/>
  <c r="B1610" i="1"/>
  <c r="T1609" i="1"/>
  <c r="S1609" i="1"/>
  <c r="R1609" i="1"/>
  <c r="Q1609" i="1"/>
  <c r="P1609" i="1"/>
  <c r="O1609" i="1"/>
  <c r="N1609" i="1"/>
  <c r="M1609" i="1"/>
  <c r="L1609" i="1"/>
  <c r="I1609" i="1"/>
  <c r="H1609" i="1"/>
  <c r="G1609" i="1"/>
  <c r="F1609" i="1"/>
  <c r="E1609" i="1"/>
  <c r="D1609" i="1"/>
  <c r="C1609" i="1"/>
  <c r="B1609" i="1"/>
  <c r="W1086" i="1"/>
  <c r="V1083" i="1"/>
  <c r="W1062" i="1"/>
  <c r="V1063" i="1" s="1"/>
  <c r="V1064" i="1" s="1"/>
  <c r="T1062" i="1"/>
  <c r="S1062" i="1"/>
  <c r="R1062" i="1"/>
  <c r="Q1062" i="1"/>
  <c r="P1062" i="1"/>
  <c r="O1062" i="1"/>
  <c r="N1062" i="1"/>
  <c r="M1062" i="1"/>
  <c r="L1062" i="1"/>
  <c r="I1062" i="1"/>
  <c r="H1062" i="1"/>
  <c r="G1062" i="1"/>
  <c r="F1062" i="1"/>
  <c r="E1062" i="1"/>
  <c r="D1062" i="1"/>
  <c r="C1062" i="1"/>
  <c r="B1062" i="1"/>
  <c r="T1061" i="1"/>
  <c r="S1061" i="1"/>
  <c r="R1061" i="1"/>
  <c r="Q1061" i="1"/>
  <c r="P1061" i="1"/>
  <c r="O1061" i="1"/>
  <c r="N1061" i="1"/>
  <c r="M1061" i="1"/>
  <c r="L1061" i="1"/>
  <c r="I1061" i="1"/>
  <c r="H1061" i="1"/>
  <c r="G1061" i="1"/>
  <c r="F1061" i="1"/>
  <c r="E1061" i="1"/>
  <c r="D1061" i="1"/>
  <c r="C1061" i="1"/>
  <c r="B1061" i="1"/>
  <c r="W822" i="1"/>
  <c r="V823" i="1" s="1"/>
  <c r="V824" i="1" s="1"/>
  <c r="V819" i="1"/>
  <c r="W798" i="1"/>
  <c r="V799" i="1" s="1"/>
  <c r="V800" i="1" s="1"/>
  <c r="T798" i="1"/>
  <c r="S798" i="1"/>
  <c r="R798" i="1"/>
  <c r="Q798" i="1"/>
  <c r="P798" i="1"/>
  <c r="O798" i="1"/>
  <c r="N798" i="1"/>
  <c r="M798" i="1"/>
  <c r="L798" i="1"/>
  <c r="I798" i="1"/>
  <c r="H798" i="1"/>
  <c r="G798" i="1"/>
  <c r="F798" i="1"/>
  <c r="E798" i="1"/>
  <c r="D798" i="1"/>
  <c r="C798" i="1"/>
  <c r="B798" i="1"/>
  <c r="T797" i="1"/>
  <c r="S797" i="1"/>
  <c r="R797" i="1"/>
  <c r="Q797" i="1"/>
  <c r="P797" i="1"/>
  <c r="O797" i="1"/>
  <c r="N797" i="1"/>
  <c r="M797" i="1"/>
  <c r="L797" i="1"/>
  <c r="I797" i="1"/>
  <c r="H797" i="1"/>
  <c r="G797" i="1"/>
  <c r="F797" i="1"/>
  <c r="E797" i="1"/>
  <c r="D797" i="1"/>
  <c r="C797" i="1"/>
  <c r="B797" i="1"/>
  <c r="W558" i="1"/>
  <c r="V559" i="1" s="1"/>
  <c r="V560" i="1" s="1"/>
  <c r="V555" i="1"/>
  <c r="W543" i="1"/>
  <c r="V544" i="1" s="1"/>
  <c r="V545" i="1" s="1"/>
  <c r="W534" i="1"/>
  <c r="T534" i="1"/>
  <c r="S534" i="1"/>
  <c r="R534" i="1"/>
  <c r="Q534" i="1"/>
  <c r="P534" i="1"/>
  <c r="O534" i="1"/>
  <c r="N534" i="1"/>
  <c r="M534" i="1"/>
  <c r="L534" i="1"/>
  <c r="I534" i="1"/>
  <c r="H534" i="1"/>
  <c r="G534" i="1"/>
  <c r="F534" i="1"/>
  <c r="E534" i="1"/>
  <c r="D534" i="1"/>
  <c r="C534" i="1"/>
  <c r="B534" i="1"/>
  <c r="T533" i="1"/>
  <c r="S533" i="1"/>
  <c r="R533" i="1"/>
  <c r="Q533" i="1"/>
  <c r="P533" i="1"/>
  <c r="O533" i="1"/>
  <c r="N533" i="1"/>
  <c r="M533" i="1"/>
  <c r="L533" i="1"/>
  <c r="I533" i="1"/>
  <c r="H533" i="1"/>
  <c r="G533" i="1"/>
  <c r="F533" i="1"/>
  <c r="E533" i="1"/>
  <c r="D533" i="1"/>
  <c r="C533" i="1"/>
  <c r="B533" i="1"/>
  <c r="W293" i="1"/>
  <c r="V290" i="1"/>
  <c r="T269" i="1"/>
  <c r="S269" i="1"/>
  <c r="R269" i="1"/>
  <c r="Q269" i="1"/>
  <c r="P269" i="1"/>
  <c r="O269" i="1"/>
  <c r="N269" i="1"/>
  <c r="M269" i="1"/>
  <c r="L269" i="1"/>
  <c r="I269" i="1"/>
  <c r="H269" i="1"/>
  <c r="G269" i="1"/>
  <c r="F269" i="1"/>
  <c r="E269" i="1"/>
  <c r="D269" i="1"/>
  <c r="C269" i="1"/>
  <c r="B269" i="1"/>
  <c r="T268" i="1"/>
  <c r="S268" i="1"/>
  <c r="R268" i="1"/>
  <c r="Q268" i="1"/>
  <c r="P268" i="1"/>
  <c r="O268" i="1"/>
  <c r="N268" i="1"/>
  <c r="M268" i="1"/>
  <c r="L268" i="1"/>
  <c r="I268" i="1"/>
  <c r="H268" i="1"/>
  <c r="G268" i="1"/>
  <c r="F268" i="1"/>
  <c r="E268" i="1"/>
  <c r="D268" i="1"/>
  <c r="C268" i="1"/>
  <c r="B268" i="1"/>
  <c r="W27" i="1"/>
  <c r="V28" i="1" s="1"/>
  <c r="V29" i="1" s="1"/>
  <c r="V24" i="1"/>
  <c r="T3" i="1"/>
  <c r="S3" i="1"/>
  <c r="R3" i="1"/>
  <c r="Q3" i="1"/>
  <c r="P3" i="1"/>
  <c r="O3" i="1"/>
  <c r="N3" i="1"/>
  <c r="M3" i="1"/>
  <c r="L3" i="1"/>
  <c r="I3" i="1"/>
  <c r="H3" i="1"/>
  <c r="G3" i="1"/>
  <c r="F3" i="1"/>
  <c r="E3" i="1"/>
  <c r="D3" i="1"/>
  <c r="C3" i="1"/>
  <c r="B3" i="1"/>
  <c r="T2" i="1"/>
  <c r="S2" i="1"/>
  <c r="R2" i="1"/>
  <c r="Q2" i="1"/>
  <c r="P2" i="1"/>
  <c r="O2" i="1"/>
  <c r="N2" i="1"/>
  <c r="M2" i="1"/>
  <c r="L2" i="1"/>
  <c r="I2" i="1"/>
  <c r="H2" i="1"/>
  <c r="G2" i="1"/>
  <c r="F2" i="1"/>
  <c r="E2" i="1"/>
  <c r="D2" i="1"/>
  <c r="C2" i="1"/>
  <c r="B2" i="1"/>
  <c r="H44" i="52"/>
  <c r="T37" i="52"/>
  <c r="T36" i="52"/>
  <c r="T35" i="52"/>
  <c r="T34" i="52"/>
  <c r="T33" i="52"/>
  <c r="T32" i="52"/>
  <c r="T31" i="52"/>
  <c r="T30" i="52"/>
  <c r="T29" i="52"/>
  <c r="T28" i="52"/>
  <c r="A28" i="52"/>
  <c r="A29" i="52" s="1"/>
  <c r="A30" i="52" s="1"/>
  <c r="A31" i="52" s="1"/>
  <c r="A32" i="52" s="1"/>
  <c r="A33" i="52" s="1"/>
  <c r="A34" i="52" s="1"/>
  <c r="A35" i="52" s="1"/>
  <c r="A36" i="52" s="1"/>
  <c r="A37" i="52" s="1"/>
  <c r="T16" i="52"/>
  <c r="T15" i="52"/>
  <c r="T14" i="52"/>
  <c r="T13" i="52"/>
  <c r="T12" i="52"/>
  <c r="T11" i="52"/>
  <c r="T10" i="52"/>
  <c r="T8" i="52"/>
  <c r="H21" i="52" s="1"/>
  <c r="T20" i="52" s="1"/>
  <c r="T24" i="52" s="1"/>
  <c r="A7" i="52"/>
  <c r="L30" i="43"/>
  <c r="J10" i="43"/>
  <c r="F10" i="43"/>
  <c r="S9" i="43"/>
  <c r="V293" i="1" s="1"/>
  <c r="M9" i="43"/>
  <c r="R9" i="43" s="1"/>
  <c r="J9" i="43"/>
  <c r="H36" i="41"/>
  <c r="M26" i="41"/>
  <c r="M25" i="41"/>
  <c r="M24" i="41"/>
  <c r="J14" i="41"/>
  <c r="I49" i="40"/>
  <c r="B45" i="40"/>
  <c r="A45" i="40"/>
  <c r="F44" i="40"/>
  <c r="B44" i="40"/>
  <c r="A44" i="40"/>
  <c r="F43" i="40"/>
  <c r="B43" i="40"/>
  <c r="A43" i="40"/>
  <c r="L42" i="40"/>
  <c r="K42" i="40"/>
  <c r="J42" i="40"/>
  <c r="I42" i="40"/>
  <c r="F42" i="40"/>
  <c r="B42" i="40"/>
  <c r="A42" i="40"/>
  <c r="F41" i="40"/>
  <c r="L38" i="40"/>
  <c r="J38" i="40"/>
  <c r="B38" i="40"/>
  <c r="D38" i="40" s="1"/>
  <c r="B37" i="40"/>
  <c r="D37" i="40" s="1"/>
  <c r="A37" i="40"/>
  <c r="J36" i="40"/>
  <c r="B36" i="40"/>
  <c r="D36" i="40" s="1"/>
  <c r="A36" i="40"/>
  <c r="B35" i="40"/>
  <c r="A35" i="40"/>
  <c r="G31" i="40"/>
  <c r="D31" i="40"/>
  <c r="G30" i="40"/>
  <c r="D30" i="40"/>
  <c r="G29" i="40"/>
  <c r="D29" i="40"/>
  <c r="G28" i="40"/>
  <c r="D28" i="40"/>
  <c r="G27" i="40"/>
  <c r="D27" i="40"/>
  <c r="G26" i="40"/>
  <c r="D26" i="40"/>
  <c r="G21" i="40"/>
  <c r="G20" i="40"/>
  <c r="G19" i="40"/>
  <c r="G18" i="40"/>
  <c r="G17" i="40"/>
  <c r="E17" i="40"/>
  <c r="G16" i="40"/>
  <c r="E16" i="40"/>
  <c r="G15" i="40"/>
  <c r="E15" i="40"/>
  <c r="D15" i="40"/>
  <c r="G14" i="40"/>
  <c r="E14" i="40"/>
  <c r="D14" i="40"/>
  <c r="G13" i="40"/>
  <c r="E13" i="40"/>
  <c r="D13" i="40"/>
  <c r="G12" i="40"/>
  <c r="G11" i="40"/>
  <c r="B6" i="40"/>
  <c r="J5" i="40"/>
  <c r="J4" i="40"/>
  <c r="I49" i="8"/>
  <c r="B45" i="8"/>
  <c r="A45" i="8"/>
  <c r="F44" i="8"/>
  <c r="B44" i="8"/>
  <c r="A44" i="8"/>
  <c r="L43" i="8"/>
  <c r="K43" i="8"/>
  <c r="J43" i="8"/>
  <c r="I43" i="8"/>
  <c r="F43" i="8"/>
  <c r="B43" i="8"/>
  <c r="A43" i="8"/>
  <c r="B42" i="8"/>
  <c r="A42" i="8"/>
  <c r="L38" i="8"/>
  <c r="J38" i="8"/>
  <c r="B38" i="8"/>
  <c r="D38" i="8" s="1"/>
  <c r="B37" i="8"/>
  <c r="D37" i="8" s="1"/>
  <c r="A37" i="8"/>
  <c r="J36" i="8"/>
  <c r="B36" i="8"/>
  <c r="D36" i="8" s="1"/>
  <c r="A36" i="8"/>
  <c r="B35" i="8"/>
  <c r="A35" i="8"/>
  <c r="G31" i="8"/>
  <c r="E31" i="8"/>
  <c r="D31" i="8"/>
  <c r="G30" i="8"/>
  <c r="D30" i="8"/>
  <c r="G29" i="8"/>
  <c r="D29" i="8"/>
  <c r="G28" i="8"/>
  <c r="D28" i="8"/>
  <c r="G27" i="8"/>
  <c r="D27" i="8"/>
  <c r="G26" i="8"/>
  <c r="D26" i="8"/>
  <c r="G21" i="8"/>
  <c r="G20" i="8"/>
  <c r="G19" i="8"/>
  <c r="G18" i="8"/>
  <c r="G17" i="8"/>
  <c r="E17" i="8"/>
  <c r="D17" i="8"/>
  <c r="G16" i="8"/>
  <c r="E16" i="8"/>
  <c r="D16" i="8"/>
  <c r="G15" i="8"/>
  <c r="E15" i="8"/>
  <c r="D15" i="8"/>
  <c r="G14" i="8"/>
  <c r="G13" i="8"/>
  <c r="E13" i="8"/>
  <c r="D13" i="8"/>
  <c r="G12" i="8"/>
  <c r="G11" i="8"/>
  <c r="B6" i="8"/>
  <c r="J5" i="8"/>
  <c r="J4" i="8"/>
  <c r="B4" i="8"/>
  <c r="V28" i="39"/>
  <c r="AK27" i="39"/>
  <c r="AJ27" i="39"/>
  <c r="AI27" i="39"/>
  <c r="AA27" i="39"/>
  <c r="X39" i="3" s="1"/>
  <c r="Z27" i="39"/>
  <c r="Y27" i="39" s="1"/>
  <c r="X27" i="39"/>
  <c r="S27" i="39"/>
  <c r="M27" i="39"/>
  <c r="D27" i="39"/>
  <c r="B27" i="39"/>
  <c r="A39" i="3" s="1"/>
  <c r="AK26" i="39"/>
  <c r="AJ26" i="39"/>
  <c r="AI26" i="39"/>
  <c r="AA26" i="39"/>
  <c r="X38" i="3" s="1"/>
  <c r="Z26" i="39"/>
  <c r="Y26" i="39"/>
  <c r="X26" i="39"/>
  <c r="S26" i="39"/>
  <c r="M26" i="39"/>
  <c r="D26" i="39"/>
  <c r="B26" i="39"/>
  <c r="A38" i="3" s="1"/>
  <c r="AK25" i="39"/>
  <c r="AJ25" i="39"/>
  <c r="AI25" i="39"/>
  <c r="AA25" i="39"/>
  <c r="X37" i="3" s="1"/>
  <c r="Z25" i="39"/>
  <c r="Y25" i="39"/>
  <c r="X25" i="39"/>
  <c r="S25" i="39"/>
  <c r="M25" i="39"/>
  <c r="D25" i="39"/>
  <c r="B25" i="39"/>
  <c r="A37" i="3" s="1"/>
  <c r="AK24" i="39"/>
  <c r="AJ24" i="39"/>
  <c r="AI24" i="39"/>
  <c r="AA24" i="39"/>
  <c r="X36" i="3" s="1"/>
  <c r="Z24" i="39"/>
  <c r="Y24" i="39"/>
  <c r="X24" i="39"/>
  <c r="S24" i="39"/>
  <c r="M24" i="39"/>
  <c r="D24" i="39"/>
  <c r="B24" i="39"/>
  <c r="A36" i="3" s="1"/>
  <c r="AK23" i="39"/>
  <c r="AJ23" i="39"/>
  <c r="AI23" i="39"/>
  <c r="AE23" i="39"/>
  <c r="AA23" i="39"/>
  <c r="X35" i="3" s="1"/>
  <c r="Z23" i="39"/>
  <c r="Y23" i="39"/>
  <c r="X23" i="39"/>
  <c r="S23" i="39"/>
  <c r="M23" i="39"/>
  <c r="D23" i="39"/>
  <c r="B23" i="39"/>
  <c r="A35" i="3" s="1"/>
  <c r="AK22" i="39"/>
  <c r="AJ22" i="39"/>
  <c r="AI22" i="39"/>
  <c r="AA22" i="39"/>
  <c r="X34" i="3" s="1"/>
  <c r="Z22" i="39"/>
  <c r="Y22" i="39"/>
  <c r="X22" i="39"/>
  <c r="S22" i="39"/>
  <c r="M22" i="39"/>
  <c r="E34" i="3" s="1"/>
  <c r="D22" i="39"/>
  <c r="B22" i="39"/>
  <c r="A34" i="3" s="1"/>
  <c r="AL21" i="39"/>
  <c r="AK21" i="39"/>
  <c r="AI21" i="39"/>
  <c r="AA21" i="39"/>
  <c r="Z21" i="39"/>
  <c r="Y21" i="39"/>
  <c r="X21" i="39"/>
  <c r="S21" i="39"/>
  <c r="M21" i="39"/>
  <c r="D21" i="39"/>
  <c r="B21" i="39"/>
  <c r="A33" i="3" s="1"/>
  <c r="AL20" i="39"/>
  <c r="AK20" i="39"/>
  <c r="AI20" i="39"/>
  <c r="Z20" i="39"/>
  <c r="Y20" i="39" s="1"/>
  <c r="T20" i="39"/>
  <c r="S20" i="39"/>
  <c r="M20" i="39"/>
  <c r="D20" i="39"/>
  <c r="B20" i="39"/>
  <c r="A32" i="3" s="1"/>
  <c r="AL19" i="39"/>
  <c r="AK19" i="39"/>
  <c r="AI19" i="39"/>
  <c r="Z19" i="39"/>
  <c r="Y19" i="39"/>
  <c r="T19" i="39"/>
  <c r="S19" i="39"/>
  <c r="M19" i="39"/>
  <c r="D19" i="39"/>
  <c r="B19" i="39"/>
  <c r="A31" i="3" s="1"/>
  <c r="AL18" i="39"/>
  <c r="AK18" i="39"/>
  <c r="AI18" i="39"/>
  <c r="AA18" i="39"/>
  <c r="Z18" i="39"/>
  <c r="Y18" i="39"/>
  <c r="X18" i="39"/>
  <c r="S18" i="39"/>
  <c r="M18" i="39"/>
  <c r="D18" i="39"/>
  <c r="B18" i="39"/>
  <c r="A30" i="3" s="1"/>
  <c r="AL17" i="39"/>
  <c r="AK17" i="39"/>
  <c r="AI17" i="39"/>
  <c r="AE17" i="39"/>
  <c r="AF14" i="39" s="1"/>
  <c r="AF15" i="39" s="1"/>
  <c r="Z17" i="39"/>
  <c r="Y17" i="39"/>
  <c r="T17" i="39"/>
  <c r="S17" i="39"/>
  <c r="M17" i="39"/>
  <c r="D17" i="39"/>
  <c r="B17" i="39"/>
  <c r="A29" i="3" s="1"/>
  <c r="AL16" i="39"/>
  <c r="AK16" i="39"/>
  <c r="AI16" i="39"/>
  <c r="AA16" i="39"/>
  <c r="Z16" i="39"/>
  <c r="Y16" i="39"/>
  <c r="X16" i="39"/>
  <c r="S16" i="39"/>
  <c r="M16" i="39"/>
  <c r="K16" i="39"/>
  <c r="D16" i="39"/>
  <c r="B16" i="39"/>
  <c r="A28" i="3" s="1"/>
  <c r="AL15" i="39"/>
  <c r="AK15" i="39"/>
  <c r="AI15" i="39"/>
  <c r="AA15" i="39"/>
  <c r="Z15" i="39"/>
  <c r="Y15" i="39"/>
  <c r="X15" i="39"/>
  <c r="S15" i="39"/>
  <c r="M15" i="39"/>
  <c r="K15" i="39"/>
  <c r="D15" i="39"/>
  <c r="B15" i="39"/>
  <c r="A27" i="3" s="1"/>
  <c r="AL14" i="39"/>
  <c r="AK14" i="39"/>
  <c r="AI14" i="39"/>
  <c r="AA14" i="39"/>
  <c r="Z14" i="39"/>
  <c r="Y14" i="39"/>
  <c r="X14" i="39"/>
  <c r="W14" i="39"/>
  <c r="S14" i="39"/>
  <c r="M14" i="39"/>
  <c r="K14" i="39"/>
  <c r="D14" i="39"/>
  <c r="B14" i="39"/>
  <c r="A26" i="3" s="1"/>
  <c r="AL13" i="39"/>
  <c r="AK13" i="39"/>
  <c r="AI13" i="39"/>
  <c r="AF13" i="39"/>
  <c r="AA13" i="39"/>
  <c r="Z13" i="39"/>
  <c r="Y13" i="39" s="1"/>
  <c r="X13" i="39"/>
  <c r="W13" i="39"/>
  <c r="S13" i="39"/>
  <c r="M13" i="39"/>
  <c r="K13" i="39"/>
  <c r="D13" i="39"/>
  <c r="B13" i="39"/>
  <c r="A25" i="3" s="1"/>
  <c r="AL12" i="39"/>
  <c r="AK12" i="39"/>
  <c r="AI12" i="39"/>
  <c r="AA12" i="39"/>
  <c r="Z12" i="39"/>
  <c r="Y12" i="39" s="1"/>
  <c r="X12" i="39"/>
  <c r="S12" i="39"/>
  <c r="M12" i="39"/>
  <c r="E24" i="3" s="1"/>
  <c r="K12" i="39"/>
  <c r="D12" i="39"/>
  <c r="B12" i="39"/>
  <c r="A24" i="3" s="1"/>
  <c r="AL11" i="39"/>
  <c r="AK11" i="39"/>
  <c r="AI11" i="39"/>
  <c r="AA11" i="39"/>
  <c r="Z11" i="39"/>
  <c r="Y11" i="39" s="1"/>
  <c r="X11" i="39"/>
  <c r="S11" i="39"/>
  <c r="M11" i="39"/>
  <c r="K11" i="39"/>
  <c r="D11" i="39"/>
  <c r="B11" i="39"/>
  <c r="A23" i="3" s="1"/>
  <c r="J7" i="39"/>
  <c r="H7" i="39"/>
  <c r="U2" i="39"/>
  <c r="U1" i="39"/>
  <c r="M30" i="2"/>
  <c r="F42" i="8" s="1"/>
  <c r="B5" i="8"/>
  <c r="AG27" i="2"/>
  <c r="AF27" i="2"/>
  <c r="AE27" i="2"/>
  <c r="AB27" i="2"/>
  <c r="AA27" i="2"/>
  <c r="Z27" i="2"/>
  <c r="Y27" i="2" s="1"/>
  <c r="S27" i="2"/>
  <c r="M27" i="2"/>
  <c r="E21" i="3" s="1"/>
  <c r="J21" i="3" s="1"/>
  <c r="D27" i="2"/>
  <c r="B27" i="2"/>
  <c r="AG26" i="2"/>
  <c r="AF26" i="2"/>
  <c r="AE26" i="2"/>
  <c r="AB26" i="2"/>
  <c r="AA26" i="2"/>
  <c r="X20" i="3" s="1"/>
  <c r="Z26" i="2"/>
  <c r="Y26" i="2" s="1"/>
  <c r="S26" i="2"/>
  <c r="M26" i="2"/>
  <c r="H30" i="8" s="1"/>
  <c r="D26" i="2"/>
  <c r="B26" i="2"/>
  <c r="AG25" i="2"/>
  <c r="AF25" i="2"/>
  <c r="AE25" i="2"/>
  <c r="AB25" i="2"/>
  <c r="AA25" i="2"/>
  <c r="X19" i="3" s="1"/>
  <c r="Y19" i="3" s="1"/>
  <c r="Z25" i="2"/>
  <c r="Y25" i="2"/>
  <c r="S25" i="2"/>
  <c r="M25" i="2"/>
  <c r="H29" i="8" s="1"/>
  <c r="D25" i="2"/>
  <c r="B25" i="2"/>
  <c r="AG24" i="2"/>
  <c r="AF24" i="2"/>
  <c r="AE24" i="2"/>
  <c r="AB24" i="2"/>
  <c r="AA24" i="2"/>
  <c r="X18" i="3" s="1"/>
  <c r="Z24" i="2"/>
  <c r="Y24" i="2" s="1"/>
  <c r="S24" i="2"/>
  <c r="F27" i="2" s="1"/>
  <c r="M24" i="2"/>
  <c r="H28" i="8" s="1"/>
  <c r="D24" i="2"/>
  <c r="B24" i="2"/>
  <c r="AG23" i="2"/>
  <c r="AF23" i="2"/>
  <c r="AE23" i="2"/>
  <c r="AA23" i="2"/>
  <c r="Z23" i="2"/>
  <c r="Y23" i="2"/>
  <c r="S23" i="2"/>
  <c r="F25" i="2" s="1"/>
  <c r="M23" i="2"/>
  <c r="K23" i="2"/>
  <c r="D23" i="2"/>
  <c r="B23" i="2"/>
  <c r="AG22" i="2"/>
  <c r="AF22" i="2"/>
  <c r="AE22" i="2"/>
  <c r="AA22" i="2"/>
  <c r="X16" i="3" s="1"/>
  <c r="Z22" i="2"/>
  <c r="Y22" i="2"/>
  <c r="S22" i="2"/>
  <c r="F24" i="2" s="1"/>
  <c r="M22" i="2"/>
  <c r="AC22" i="2" s="1"/>
  <c r="D22" i="2"/>
  <c r="B22" i="2"/>
  <c r="AH21" i="2"/>
  <c r="AG21" i="2"/>
  <c r="AE21" i="2"/>
  <c r="AA21" i="2"/>
  <c r="Z21" i="2"/>
  <c r="Y21" i="2"/>
  <c r="S21" i="2"/>
  <c r="F23" i="2" s="1"/>
  <c r="M21" i="2"/>
  <c r="D21" i="2"/>
  <c r="B21" i="2"/>
  <c r="AH20" i="2"/>
  <c r="AG20" i="2"/>
  <c r="AE20" i="2"/>
  <c r="AA20" i="2"/>
  <c r="Z20" i="2"/>
  <c r="Y20" i="2" s="1"/>
  <c r="S20" i="2"/>
  <c r="F21" i="2" s="1"/>
  <c r="M20" i="2"/>
  <c r="D20" i="2"/>
  <c r="B20" i="2"/>
  <c r="AH19" i="2"/>
  <c r="AG19" i="2"/>
  <c r="AE19" i="2"/>
  <c r="AA19" i="2"/>
  <c r="Z19" i="2"/>
  <c r="Y19" i="2"/>
  <c r="S19" i="2"/>
  <c r="F20" i="2" s="1"/>
  <c r="M19" i="2"/>
  <c r="D19" i="2"/>
  <c r="B19" i="2"/>
  <c r="AH18" i="2"/>
  <c r="AG18" i="2"/>
  <c r="AE18" i="2"/>
  <c r="AA18" i="2"/>
  <c r="Z18" i="2"/>
  <c r="Y18" i="2"/>
  <c r="S18" i="2"/>
  <c r="F19" i="2" s="1"/>
  <c r="M18" i="2"/>
  <c r="D18" i="2"/>
  <c r="B18" i="2"/>
  <c r="AH17" i="2"/>
  <c r="AG17" i="2"/>
  <c r="AE17" i="2"/>
  <c r="AA17" i="2"/>
  <c r="Z17" i="2"/>
  <c r="Y17" i="2"/>
  <c r="S17" i="2"/>
  <c r="F18" i="2" s="1"/>
  <c r="M17" i="2"/>
  <c r="D17" i="2"/>
  <c r="B17" i="2"/>
  <c r="AH16" i="2"/>
  <c r="AG16" i="2"/>
  <c r="AE16" i="2"/>
  <c r="AA16" i="2"/>
  <c r="Z16" i="2"/>
  <c r="Y16" i="2" s="1"/>
  <c r="S16" i="2"/>
  <c r="M16" i="2"/>
  <c r="D16" i="2"/>
  <c r="B16" i="2"/>
  <c r="AH15" i="2"/>
  <c r="AG15" i="2"/>
  <c r="AE15" i="2"/>
  <c r="AA15" i="2"/>
  <c r="Z15" i="2"/>
  <c r="Y15" i="2" s="1"/>
  <c r="S15" i="2"/>
  <c r="M15" i="2"/>
  <c r="K15" i="2"/>
  <c r="F15" i="2"/>
  <c r="D15" i="2"/>
  <c r="B15" i="2"/>
  <c r="AH14" i="2"/>
  <c r="AG14" i="2"/>
  <c r="AE14" i="2"/>
  <c r="AA14" i="2"/>
  <c r="Z14" i="2"/>
  <c r="Y14" i="2"/>
  <c r="W14" i="2"/>
  <c r="S14" i="2"/>
  <c r="M14" i="2"/>
  <c r="K14" i="2"/>
  <c r="F14" i="2"/>
  <c r="D14" i="2"/>
  <c r="B14" i="2"/>
  <c r="AH13" i="2"/>
  <c r="AG13" i="2"/>
  <c r="AE13" i="2"/>
  <c r="AA13" i="2"/>
  <c r="Z13" i="2"/>
  <c r="Y13" i="2" s="1"/>
  <c r="W13" i="2"/>
  <c r="S13" i="2"/>
  <c r="M13" i="2"/>
  <c r="K13" i="2"/>
  <c r="F13" i="2"/>
  <c r="D13" i="2"/>
  <c r="B13" i="2"/>
  <c r="AH12" i="2"/>
  <c r="AG12" i="2"/>
  <c r="AE12" i="2"/>
  <c r="AB12" i="2"/>
  <c r="AA12" i="2"/>
  <c r="Z12" i="2"/>
  <c r="Y12" i="2"/>
  <c r="S12" i="2"/>
  <c r="F12" i="2" s="1"/>
  <c r="M12" i="2"/>
  <c r="K12" i="2"/>
  <c r="D12" i="2"/>
  <c r="B12" i="2"/>
  <c r="AH11" i="2"/>
  <c r="AG11" i="2"/>
  <c r="AE11" i="2"/>
  <c r="AB11" i="2"/>
  <c r="AA11" i="2"/>
  <c r="Z11" i="2"/>
  <c r="Y11" i="2" s="1"/>
  <c r="S11" i="2"/>
  <c r="M11" i="2"/>
  <c r="K11" i="2"/>
  <c r="F11" i="2"/>
  <c r="D11" i="2"/>
  <c r="B11" i="2"/>
  <c r="J7" i="2"/>
  <c r="H7" i="2"/>
  <c r="U2" i="2"/>
  <c r="U1" i="2"/>
  <c r="AA12" i="46"/>
  <c r="Z1070" i="45"/>
  <c r="Z775" i="45"/>
  <c r="Z1017" i="45"/>
  <c r="AB1217" i="44"/>
  <c r="Z898" i="45"/>
  <c r="AB929" i="44"/>
  <c r="Z398" i="45"/>
  <c r="Z1122" i="45"/>
  <c r="Z1069" i="45"/>
  <c r="AB703" i="44"/>
  <c r="Z899" i="45"/>
  <c r="Z1018" i="45"/>
  <c r="Z131" i="45"/>
  <c r="Z1194" i="45"/>
  <c r="AB928" i="44"/>
  <c r="Z251" i="45"/>
  <c r="Z252" i="45"/>
  <c r="AB473" i="44"/>
  <c r="AB474" i="44"/>
  <c r="Z669" i="45"/>
  <c r="Z11" i="45"/>
  <c r="AB1218" i="44"/>
  <c r="AB985" i="44"/>
  <c r="AA11" i="46"/>
  <c r="Z774" i="45"/>
  <c r="Z668" i="45"/>
  <c r="Z1195" i="45"/>
  <c r="Z399" i="45"/>
  <c r="Z130" i="45"/>
  <c r="Z1121" i="45"/>
  <c r="AB986" i="44"/>
  <c r="Z10" i="45"/>
  <c r="AB704" i="44"/>
  <c r="W807" i="1" l="1"/>
  <c r="V808" i="1" s="1"/>
  <c r="V809" i="1" s="1"/>
  <c r="W1858" i="1"/>
  <c r="V1859" i="1" s="1"/>
  <c r="V1860" i="1" s="1"/>
  <c r="D17" i="40"/>
  <c r="W2098" i="1"/>
  <c r="V2099" i="1" s="1"/>
  <c r="V2100" i="1" s="1"/>
  <c r="W2337" i="1"/>
  <c r="V2338" i="1" s="1"/>
  <c r="V2339" i="1" s="1"/>
  <c r="W1071" i="1"/>
  <c r="V1072" i="1" s="1"/>
  <c r="D21" i="40"/>
  <c r="D21" i="8"/>
  <c r="E21" i="8"/>
  <c r="E21" i="40"/>
  <c r="D20" i="8"/>
  <c r="E20" i="8"/>
  <c r="D20" i="40"/>
  <c r="E20" i="40"/>
  <c r="D19" i="8"/>
  <c r="E19" i="8"/>
  <c r="D19" i="40"/>
  <c r="E19" i="40"/>
  <c r="W2328" i="1"/>
  <c r="V2329" i="1" s="1"/>
  <c r="V2330" i="1" s="1"/>
  <c r="D18" i="40"/>
  <c r="E18" i="40"/>
  <c r="D18" i="8"/>
  <c r="E18" i="8"/>
  <c r="W2089" i="1"/>
  <c r="V2090" i="1" s="1"/>
  <c r="V2091" i="1" s="1"/>
  <c r="D16" i="40"/>
  <c r="W1610" i="1"/>
  <c r="V1611" i="1" s="1"/>
  <c r="E14" i="8"/>
  <c r="D14" i="8"/>
  <c r="AA931" i="44"/>
  <c r="AA932" i="44" s="1"/>
  <c r="AA933" i="44" s="1"/>
  <c r="AA14" i="44"/>
  <c r="AA15" i="44" s="1"/>
  <c r="AA16" i="44" s="1"/>
  <c r="AA706" i="44"/>
  <c r="AA707" i="44" s="1"/>
  <c r="AA708" i="44" s="1"/>
  <c r="AA988" i="44"/>
  <c r="AA989" i="44" s="1"/>
  <c r="AA990" i="44" s="1"/>
  <c r="AA246" i="44"/>
  <c r="AA247" i="44" s="1"/>
  <c r="AA248" i="44" s="1"/>
  <c r="AA476" i="44"/>
  <c r="AA477" i="44" s="1"/>
  <c r="AA478" i="44" s="1"/>
  <c r="E31" i="40"/>
  <c r="E28" i="40"/>
  <c r="E27" i="40"/>
  <c r="F4" i="8"/>
  <c r="AG9" i="2"/>
  <c r="A5" i="3"/>
  <c r="A11" i="40"/>
  <c r="A11" i="8"/>
  <c r="B11" i="8"/>
  <c r="E11" i="2"/>
  <c r="E5" i="3"/>
  <c r="H11" i="8"/>
  <c r="AC11" i="2"/>
  <c r="X5" i="3"/>
  <c r="Y5" i="3" s="1"/>
  <c r="A6" i="3"/>
  <c r="A12" i="40"/>
  <c r="A12" i="8"/>
  <c r="B12" i="8"/>
  <c r="C12" i="8" s="1"/>
  <c r="E12" i="2"/>
  <c r="E6" i="3"/>
  <c r="H12" i="8"/>
  <c r="AC12" i="2"/>
  <c r="X6" i="3"/>
  <c r="Y6" i="3" s="1"/>
  <c r="A7" i="3"/>
  <c r="A13" i="40"/>
  <c r="A13" i="8"/>
  <c r="B13" i="8"/>
  <c r="C13" i="8" s="1"/>
  <c r="E13" i="2"/>
  <c r="E7" i="3"/>
  <c r="H13" i="8"/>
  <c r="AC13" i="2"/>
  <c r="AB13" i="2"/>
  <c r="Z406" i="46"/>
  <c r="Z274" i="46"/>
  <c r="Z142" i="46"/>
  <c r="AA242" i="44"/>
  <c r="AA10" i="44"/>
  <c r="V5627" i="1"/>
  <c r="V5076" i="1"/>
  <c r="V4528" i="1"/>
  <c r="V3972" i="1"/>
  <c r="V3421" i="1"/>
  <c r="V3107" i="1"/>
  <c r="V2836" i="1"/>
  <c r="V2567" i="1"/>
  <c r="V2328" i="1"/>
  <c r="V2089" i="1"/>
  <c r="V1849" i="1"/>
  <c r="V1610" i="1"/>
  <c r="V1062" i="1"/>
  <c r="V798" i="1"/>
  <c r="V534" i="1"/>
  <c r="V269" i="1"/>
  <c r="V3" i="1"/>
  <c r="F5" i="8"/>
  <c r="X7" i="3"/>
  <c r="Y7" i="3" s="1"/>
  <c r="A8" i="3"/>
  <c r="A14" i="40"/>
  <c r="A14" i="8"/>
  <c r="B14" i="8"/>
  <c r="C14" i="8" s="1"/>
  <c r="E14" i="2"/>
  <c r="E8" i="3"/>
  <c r="H14" i="8"/>
  <c r="AC14" i="2"/>
  <c r="AB14" i="2" s="1"/>
  <c r="X8" i="3"/>
  <c r="Y8" i="3" s="1"/>
  <c r="A9" i="3"/>
  <c r="A15" i="40"/>
  <c r="A15" i="8"/>
  <c r="B15" i="8"/>
  <c r="C15" i="8" s="1"/>
  <c r="E15" i="2"/>
  <c r="E9" i="3"/>
  <c r="H15" i="8"/>
  <c r="AC15" i="2"/>
  <c r="AB15" i="2" s="1"/>
  <c r="X9" i="3"/>
  <c r="Y9" i="3" s="1"/>
  <c r="A10" i="3"/>
  <c r="A16" i="40"/>
  <c r="A16" i="8"/>
  <c r="B16" i="8"/>
  <c r="C16" i="8" s="1"/>
  <c r="E16" i="2"/>
  <c r="E10" i="3"/>
  <c r="H16" i="8"/>
  <c r="AC16" i="2"/>
  <c r="X10" i="3"/>
  <c r="Y10" i="3" s="1"/>
  <c r="A11" i="3"/>
  <c r="A17" i="40"/>
  <c r="A17" i="8"/>
  <c r="B17" i="8"/>
  <c r="C17" i="8" s="1"/>
  <c r="E17" i="2"/>
  <c r="E11" i="3"/>
  <c r="H17" i="8"/>
  <c r="AC17" i="2"/>
  <c r="AB16" i="2" s="1"/>
  <c r="X11" i="3"/>
  <c r="Y11" i="3" s="1"/>
  <c r="A12" i="3"/>
  <c r="A18" i="40"/>
  <c r="A18" i="8"/>
  <c r="B18" i="8"/>
  <c r="C18" i="8" s="1"/>
  <c r="E18" i="2"/>
  <c r="E12" i="3"/>
  <c r="H18" i="8"/>
  <c r="AC18" i="2"/>
  <c r="AB17" i="2" s="1"/>
  <c r="X12" i="3"/>
  <c r="Y12" i="3" s="1"/>
  <c r="A13" i="3"/>
  <c r="A19" i="40"/>
  <c r="A19" i="8"/>
  <c r="B19" i="8"/>
  <c r="C19" i="8" s="1"/>
  <c r="E19" i="2"/>
  <c r="E13" i="3"/>
  <c r="H19" i="8"/>
  <c r="AC19" i="2"/>
  <c r="AB18" i="2" s="1"/>
  <c r="X13" i="3"/>
  <c r="Y13" i="3" s="1"/>
  <c r="A14" i="3"/>
  <c r="A20" i="40"/>
  <c r="A20" i="8"/>
  <c r="B20" i="8"/>
  <c r="C20" i="8" s="1"/>
  <c r="E20" i="2"/>
  <c r="E14" i="3"/>
  <c r="H20" i="8"/>
  <c r="AC20" i="2"/>
  <c r="AB19" i="2" s="1"/>
  <c r="X14" i="3"/>
  <c r="Y14" i="3" s="1"/>
  <c r="A15" i="3"/>
  <c r="A21" i="40"/>
  <c r="A21" i="8"/>
  <c r="B21" i="8"/>
  <c r="C21" i="8" s="1"/>
  <c r="E21" i="2"/>
  <c r="E15" i="3"/>
  <c r="H21" i="8"/>
  <c r="AC21" i="2"/>
  <c r="AB20" i="2" s="1"/>
  <c r="X15" i="3"/>
  <c r="Y15" i="3" s="1"/>
  <c r="A16" i="3"/>
  <c r="A26" i="40"/>
  <c r="A26" i="8"/>
  <c r="B26" i="8"/>
  <c r="E22" i="2"/>
  <c r="A17" i="3"/>
  <c r="A27" i="40"/>
  <c r="A27" i="8"/>
  <c r="B27" i="8"/>
  <c r="C27" i="8" s="1"/>
  <c r="E23" i="2"/>
  <c r="H27" i="8"/>
  <c r="E17" i="3"/>
  <c r="J17" i="3" s="1"/>
  <c r="M17" i="3" s="1"/>
  <c r="A18" i="3"/>
  <c r="A28" i="40"/>
  <c r="A28" i="8"/>
  <c r="B28" i="8"/>
  <c r="C28" i="8" s="1"/>
  <c r="E24" i="2"/>
  <c r="A19" i="3"/>
  <c r="A29" i="40"/>
  <c r="A29" i="8"/>
  <c r="B29" i="8"/>
  <c r="C29" i="8" s="1"/>
  <c r="E25" i="2"/>
  <c r="A20" i="3"/>
  <c r="A30" i="40"/>
  <c r="A30" i="8"/>
  <c r="B30" i="8"/>
  <c r="C30" i="8" s="1"/>
  <c r="E26" i="2"/>
  <c r="A21" i="3"/>
  <c r="A31" i="40"/>
  <c r="A31" i="8"/>
  <c r="B31" i="8"/>
  <c r="C31" i="8" s="1"/>
  <c r="E27" i="2"/>
  <c r="F4" i="40"/>
  <c r="AG9" i="39"/>
  <c r="B11" i="40"/>
  <c r="E11" i="39"/>
  <c r="X23" i="3"/>
  <c r="B12" i="40"/>
  <c r="C12" i="40" s="1"/>
  <c r="E12" i="39"/>
  <c r="Y24" i="3"/>
  <c r="X24" i="3"/>
  <c r="B13" i="40"/>
  <c r="C13" i="40" s="1"/>
  <c r="E13" i="39"/>
  <c r="E25" i="3"/>
  <c r="H13" i="40"/>
  <c r="AC13" i="39"/>
  <c r="AB13" i="39" s="1"/>
  <c r="V5636" i="1"/>
  <c r="V5085" i="1"/>
  <c r="V4537" i="1"/>
  <c r="V3981" i="1"/>
  <c r="V3430" i="1"/>
  <c r="V3116" i="1"/>
  <c r="V2845" i="1"/>
  <c r="V2576" i="1"/>
  <c r="V2337" i="1"/>
  <c r="V2098" i="1"/>
  <c r="V1858" i="1"/>
  <c r="V1619" i="1"/>
  <c r="V1071" i="1"/>
  <c r="V807" i="1"/>
  <c r="V543" i="1"/>
  <c r="V278" i="1"/>
  <c r="V12" i="1"/>
  <c r="F5" i="40"/>
  <c r="Y25" i="3"/>
  <c r="X25" i="3"/>
  <c r="B14" i="40"/>
  <c r="C14" i="40" s="1"/>
  <c r="E14" i="39"/>
  <c r="E26" i="3"/>
  <c r="H14" i="40"/>
  <c r="AC14" i="39"/>
  <c r="AB14" i="39"/>
  <c r="X26" i="3"/>
  <c r="B15" i="40"/>
  <c r="C15" i="40" s="1"/>
  <c r="E15" i="39"/>
  <c r="E27" i="3"/>
  <c r="H15" i="40"/>
  <c r="AC15" i="39"/>
  <c r="AB15" i="39" s="1"/>
  <c r="Y27" i="3"/>
  <c r="X27" i="3"/>
  <c r="B16" i="40"/>
  <c r="C16" i="40" s="1"/>
  <c r="E16" i="39"/>
  <c r="E28" i="3"/>
  <c r="H16" i="40"/>
  <c r="AC16" i="39"/>
  <c r="AB16" i="39"/>
  <c r="Y28" i="3"/>
  <c r="X28" i="3"/>
  <c r="B17" i="40"/>
  <c r="C17" i="40" s="1"/>
  <c r="E17" i="39"/>
  <c r="E29" i="3"/>
  <c r="H17" i="40"/>
  <c r="AC17" i="39"/>
  <c r="AB17" i="39" s="1"/>
  <c r="AC26" i="5"/>
  <c r="Z26" i="5"/>
  <c r="AA17" i="39"/>
  <c r="X17" i="39"/>
  <c r="B18" i="40"/>
  <c r="C18" i="40" s="1"/>
  <c r="E18" i="39"/>
  <c r="E30" i="3"/>
  <c r="H18" i="40"/>
  <c r="AC18" i="39"/>
  <c r="AB18" i="39"/>
  <c r="Y30" i="3"/>
  <c r="X30" i="3"/>
  <c r="B19" i="40"/>
  <c r="C19" i="40" s="1"/>
  <c r="E19" i="39"/>
  <c r="E31" i="3"/>
  <c r="H19" i="40"/>
  <c r="AC19" i="39"/>
  <c r="AB19" i="39" s="1"/>
  <c r="AC34" i="5"/>
  <c r="Z34" i="5"/>
  <c r="AA19" i="39"/>
  <c r="X19" i="39"/>
  <c r="B20" i="40"/>
  <c r="C20" i="40" s="1"/>
  <c r="E20" i="39"/>
  <c r="E32" i="3"/>
  <c r="H20" i="40"/>
  <c r="AC20" i="39"/>
  <c r="AC38" i="5"/>
  <c r="Z38" i="5"/>
  <c r="AB20" i="39"/>
  <c r="AA20" i="39"/>
  <c r="X20" i="39"/>
  <c r="B21" i="40"/>
  <c r="C21" i="40" s="1"/>
  <c r="E21" i="39"/>
  <c r="E33" i="3"/>
  <c r="H21" i="40"/>
  <c r="AC21" i="39"/>
  <c r="AB21" i="39"/>
  <c r="Y33" i="3"/>
  <c r="X33" i="3"/>
  <c r="B26" i="40"/>
  <c r="E22" i="39"/>
  <c r="Y30" i="39"/>
  <c r="X30" i="39"/>
  <c r="B27" i="40"/>
  <c r="C27" i="40" s="1"/>
  <c r="E23" i="39"/>
  <c r="E35" i="3"/>
  <c r="J35" i="3" s="1"/>
  <c r="L35" i="3" s="1"/>
  <c r="AC23" i="39"/>
  <c r="AB23" i="39" s="1"/>
  <c r="B28" i="40"/>
  <c r="C28" i="40" s="1"/>
  <c r="E24" i="39"/>
  <c r="E36" i="3"/>
  <c r="J36" i="3" s="1"/>
  <c r="N36" i="3" s="1"/>
  <c r="H28" i="40"/>
  <c r="AC24" i="39"/>
  <c r="AB24" i="39"/>
  <c r="B29" i="40"/>
  <c r="C29" i="40" s="1"/>
  <c r="E25" i="39"/>
  <c r="E37" i="3"/>
  <c r="J37" i="3" s="1"/>
  <c r="O37" i="3" s="1"/>
  <c r="H29" i="40"/>
  <c r="AC25" i="39"/>
  <c r="AB25" i="39" s="1"/>
  <c r="B30" i="40"/>
  <c r="C30" i="40" s="1"/>
  <c r="E26" i="39"/>
  <c r="E38" i="3"/>
  <c r="H38" i="3" s="1"/>
  <c r="Q26" i="39" s="1"/>
  <c r="K30" i="40" s="1"/>
  <c r="H30" i="40"/>
  <c r="AC26" i="39"/>
  <c r="AB26" i="39" s="1"/>
  <c r="B31" i="40"/>
  <c r="C31" i="40" s="1"/>
  <c r="E27" i="39"/>
  <c r="AC27" i="39"/>
  <c r="AB27" i="39" s="1"/>
  <c r="E39" i="3"/>
  <c r="J39" i="3" s="1"/>
  <c r="M39" i="3" s="1"/>
  <c r="B39" i="8"/>
  <c r="D35" i="8"/>
  <c r="D39" i="8" s="1"/>
  <c r="B39" i="40"/>
  <c r="D35" i="40"/>
  <c r="D39" i="40" s="1"/>
  <c r="X15" i="47"/>
  <c r="X13" i="47"/>
  <c r="Y12" i="47"/>
  <c r="Z14" i="46"/>
  <c r="Z15" i="46" s="1"/>
  <c r="Z16" i="46" s="1"/>
  <c r="Y1197" i="45"/>
  <c r="Y1198" i="45" s="1"/>
  <c r="Y1199" i="45" s="1"/>
  <c r="Y1124" i="45"/>
  <c r="Y1125" i="45" s="1"/>
  <c r="Y1126" i="45" s="1"/>
  <c r="Y1072" i="45"/>
  <c r="Y1073" i="45" s="1"/>
  <c r="Y1074" i="45" s="1"/>
  <c r="Y1020" i="45"/>
  <c r="Y1021" i="45" s="1"/>
  <c r="Y1022" i="45" s="1"/>
  <c r="Y901" i="45"/>
  <c r="Y902" i="45" s="1"/>
  <c r="Y903" i="45" s="1"/>
  <c r="Y777" i="45"/>
  <c r="Y778" i="45" s="1"/>
  <c r="Y779" i="45" s="1"/>
  <c r="Y671" i="45"/>
  <c r="Y672" i="45" s="1"/>
  <c r="Y673" i="45" s="1"/>
  <c r="Y401" i="45"/>
  <c r="Y402" i="45" s="1"/>
  <c r="Y403" i="45" s="1"/>
  <c r="Y254" i="45"/>
  <c r="Y255" i="45" s="1"/>
  <c r="Y256" i="45" s="1"/>
  <c r="Y133" i="45"/>
  <c r="Y134" i="45" s="1"/>
  <c r="Y135" i="45" s="1"/>
  <c r="Y13" i="45"/>
  <c r="Y14" i="45" s="1"/>
  <c r="Y15" i="45" s="1"/>
  <c r="M12" i="48"/>
  <c r="K42" i="48"/>
  <c r="K43" i="48" s="1"/>
  <c r="L42" i="48"/>
  <c r="L43" i="48" s="1"/>
  <c r="T4" i="5"/>
  <c r="U3" i="5" s="1"/>
  <c r="T3" i="5"/>
  <c r="U2" i="5" s="1"/>
  <c r="U4" i="5" s="1"/>
  <c r="W4" i="5"/>
  <c r="X3" i="5" s="1"/>
  <c r="W3" i="5"/>
  <c r="X2" i="5" s="1"/>
  <c r="Z4" i="5"/>
  <c r="AA3" i="5" s="1"/>
  <c r="Z3" i="5"/>
  <c r="AA2" i="5" s="1"/>
  <c r="AC4" i="5"/>
  <c r="AD3" i="5" s="1"/>
  <c r="AC3" i="5"/>
  <c r="AD2" i="5" s="1"/>
  <c r="T8" i="5"/>
  <c r="U7" i="5" s="1"/>
  <c r="T7" i="5"/>
  <c r="U6" i="5" s="1"/>
  <c r="U8" i="5" s="1"/>
  <c r="W8" i="5"/>
  <c r="X7" i="5" s="1"/>
  <c r="W7" i="5"/>
  <c r="X6" i="5" s="1"/>
  <c r="X8" i="5" s="1"/>
  <c r="Z8" i="5"/>
  <c r="AA7" i="5" s="1"/>
  <c r="Z7" i="5"/>
  <c r="AA6" i="5" s="1"/>
  <c r="AA8" i="5" s="1"/>
  <c r="AC8" i="5"/>
  <c r="AD7" i="5" s="1"/>
  <c r="AC7" i="5"/>
  <c r="AD6" i="5" s="1"/>
  <c r="AD8" i="5" s="1"/>
  <c r="T12" i="5"/>
  <c r="U11" i="5" s="1"/>
  <c r="T11" i="5"/>
  <c r="U10" i="5" s="1"/>
  <c r="U12" i="5" s="1"/>
  <c r="W12" i="5"/>
  <c r="X11" i="5" s="1"/>
  <c r="W11" i="5"/>
  <c r="X10" i="5" s="1"/>
  <c r="X12" i="5" s="1"/>
  <c r="Z12" i="5"/>
  <c r="AA11" i="5" s="1"/>
  <c r="Z11" i="5"/>
  <c r="AA10" i="5" s="1"/>
  <c r="AC12" i="5"/>
  <c r="AD11" i="5" s="1"/>
  <c r="AC11" i="5"/>
  <c r="AD10" i="5" s="1"/>
  <c r="T16" i="5"/>
  <c r="U15" i="5" s="1"/>
  <c r="T15" i="5"/>
  <c r="U14" i="5" s="1"/>
  <c r="U16" i="5" s="1"/>
  <c r="W16" i="5"/>
  <c r="X15" i="5" s="1"/>
  <c r="W15" i="5"/>
  <c r="X14" i="5" s="1"/>
  <c r="X16" i="5" s="1"/>
  <c r="Z16" i="5"/>
  <c r="AA15" i="5" s="1"/>
  <c r="Z15" i="5"/>
  <c r="AA14" i="5" s="1"/>
  <c r="AA16" i="5" s="1"/>
  <c r="AC16" i="5"/>
  <c r="AD15" i="5" s="1"/>
  <c r="AC15" i="5"/>
  <c r="AD14" i="5" s="1"/>
  <c r="AD16" i="5" s="1"/>
  <c r="T20" i="5"/>
  <c r="U19" i="5" s="1"/>
  <c r="T19" i="5"/>
  <c r="U18" i="5" s="1"/>
  <c r="U20" i="5" s="1"/>
  <c r="W20" i="5"/>
  <c r="X19" i="5" s="1"/>
  <c r="W19" i="5"/>
  <c r="X18" i="5" s="1"/>
  <c r="X20" i="5" s="1"/>
  <c r="Z20" i="5"/>
  <c r="AA19" i="5" s="1"/>
  <c r="Z19" i="5"/>
  <c r="AA18" i="5" s="1"/>
  <c r="AC20" i="5"/>
  <c r="AD19" i="5" s="1"/>
  <c r="AC19" i="5"/>
  <c r="AD18" i="5" s="1"/>
  <c r="T24" i="5"/>
  <c r="U23" i="5" s="1"/>
  <c r="T23" i="5"/>
  <c r="U22" i="5" s="1"/>
  <c r="U24" i="5" s="1"/>
  <c r="W24" i="5"/>
  <c r="X23" i="5" s="1"/>
  <c r="W23" i="5"/>
  <c r="X22" i="5" s="1"/>
  <c r="X24" i="5" s="1"/>
  <c r="Z24" i="5"/>
  <c r="AA23" i="5" s="1"/>
  <c r="Z23" i="5"/>
  <c r="AA22" i="5" s="1"/>
  <c r="AA24" i="5" s="1"/>
  <c r="AC24" i="5"/>
  <c r="AD23" i="5" s="1"/>
  <c r="AC23" i="5"/>
  <c r="AD22" i="5" s="1"/>
  <c r="AD24" i="5" s="1"/>
  <c r="T28" i="5"/>
  <c r="U27" i="5" s="1"/>
  <c r="T27" i="5"/>
  <c r="U26" i="5" s="1"/>
  <c r="U28" i="5" s="1"/>
  <c r="W28" i="5"/>
  <c r="X27" i="5" s="1"/>
  <c r="W27" i="5"/>
  <c r="X26" i="5" s="1"/>
  <c r="X28" i="5" s="1"/>
  <c r="T32" i="5"/>
  <c r="U31" i="5" s="1"/>
  <c r="T31" i="5"/>
  <c r="U30" i="5" s="1"/>
  <c r="U32" i="5" s="1"/>
  <c r="W32" i="5"/>
  <c r="X31" i="5" s="1"/>
  <c r="W31" i="5"/>
  <c r="X30" i="5" s="1"/>
  <c r="X32" i="5" s="1"/>
  <c r="Z32" i="5"/>
  <c r="AA31" i="5" s="1"/>
  <c r="Z31" i="5"/>
  <c r="AA30" i="5" s="1"/>
  <c r="AC32" i="5"/>
  <c r="AD31" i="5" s="1"/>
  <c r="AC31" i="5"/>
  <c r="AD30" i="5" s="1"/>
  <c r="AD32" i="5" s="1"/>
  <c r="T36" i="5"/>
  <c r="U35" i="5" s="1"/>
  <c r="T35" i="5"/>
  <c r="U34" i="5" s="1"/>
  <c r="U36" i="5" s="1"/>
  <c r="W36" i="5"/>
  <c r="X35" i="5" s="1"/>
  <c r="W35" i="5"/>
  <c r="X34" i="5" s="1"/>
  <c r="X36" i="5" s="1"/>
  <c r="T40" i="5"/>
  <c r="U39" i="5" s="1"/>
  <c r="T39" i="5"/>
  <c r="U38" i="5" s="1"/>
  <c r="U40" i="5" s="1"/>
  <c r="W40" i="5"/>
  <c r="X39" i="5" s="1"/>
  <c r="W39" i="5"/>
  <c r="X38" i="5" s="1"/>
  <c r="X40" i="5" s="1"/>
  <c r="T44" i="5"/>
  <c r="U43" i="5" s="1"/>
  <c r="T43" i="5"/>
  <c r="U42" i="5" s="1"/>
  <c r="U44" i="5" s="1"/>
  <c r="W44" i="5"/>
  <c r="X43" i="5" s="1"/>
  <c r="W43" i="5"/>
  <c r="X42" i="5" s="1"/>
  <c r="X44" i="5" s="1"/>
  <c r="Z44" i="5"/>
  <c r="AA43" i="5" s="1"/>
  <c r="Z43" i="5"/>
  <c r="AA42" i="5" s="1"/>
  <c r="AC44" i="5"/>
  <c r="AD43" i="5" s="1"/>
  <c r="AC43" i="5"/>
  <c r="AD42" i="5" s="1"/>
  <c r="AD44" i="5" s="1"/>
  <c r="Z52" i="5"/>
  <c r="AA51" i="5" s="1"/>
  <c r="Z51" i="5"/>
  <c r="AA50" i="5" s="1"/>
  <c r="AA52" i="5" s="1"/>
  <c r="Z56" i="5"/>
  <c r="AA55" i="5" s="1"/>
  <c r="Z55" i="5"/>
  <c r="AA54" i="5" s="1"/>
  <c r="AC56" i="5"/>
  <c r="AD55" i="5" s="1"/>
  <c r="AC55" i="5"/>
  <c r="AD54" i="5" s="1"/>
  <c r="G2" i="7"/>
  <c r="H2" i="7" s="1"/>
  <c r="E2" i="7"/>
  <c r="F2" i="7" s="1"/>
  <c r="W3" i="1" s="1"/>
  <c r="G3" i="7"/>
  <c r="H3" i="7" s="1"/>
  <c r="K3" i="7" s="1"/>
  <c r="E3" i="7"/>
  <c r="F3" i="7" s="1"/>
  <c r="H42" i="52"/>
  <c r="Y29" i="2"/>
  <c r="H31" i="8"/>
  <c r="W51" i="5"/>
  <c r="X50" i="5" s="1"/>
  <c r="X52" i="5" s="1"/>
  <c r="T51" i="5"/>
  <c r="U50" i="5" s="1"/>
  <c r="U52" i="5" s="1"/>
  <c r="E27" i="8"/>
  <c r="A8" i="52"/>
  <c r="A9" i="52" s="1"/>
  <c r="A10" i="52" s="1"/>
  <c r="A11" i="52" s="1"/>
  <c r="A12" i="52" s="1"/>
  <c r="A13" i="52" s="1"/>
  <c r="A14" i="52" s="1"/>
  <c r="A15" i="52" s="1"/>
  <c r="A16" i="52" s="1"/>
  <c r="Y17" i="48"/>
  <c r="Z19" i="48"/>
  <c r="Y19" i="48"/>
  <c r="Z16" i="48"/>
  <c r="Z18" i="48"/>
  <c r="Y18" i="48"/>
  <c r="Z20" i="48"/>
  <c r="Y16" i="48"/>
  <c r="Y21" i="48"/>
  <c r="Y22" i="48"/>
  <c r="Z21" i="48"/>
  <c r="Z17" i="48"/>
  <c r="Y20" i="48"/>
  <c r="Y16" i="47"/>
  <c r="Y17" i="47"/>
  <c r="X18" i="47"/>
  <c r="Y8" i="47"/>
  <c r="X9" i="47"/>
  <c r="Y9" i="47"/>
  <c r="X10" i="47"/>
  <c r="X11" i="47"/>
  <c r="Y15" i="47"/>
  <c r="X16" i="47"/>
  <c r="X17" i="47"/>
  <c r="X8" i="47"/>
  <c r="Y18" i="47"/>
  <c r="Y10" i="47"/>
  <c r="Y11" i="47"/>
  <c r="X12" i="47"/>
  <c r="AC12" i="39"/>
  <c r="AB12" i="39" s="1"/>
  <c r="H12" i="40"/>
  <c r="V3131" i="1"/>
  <c r="J24" i="3"/>
  <c r="I24" i="3"/>
  <c r="H24" i="3"/>
  <c r="Q12" i="39" s="1"/>
  <c r="K12" i="40" s="1"/>
  <c r="H11" i="40"/>
  <c r="AC11" i="39"/>
  <c r="AB11" i="39" s="1"/>
  <c r="E23" i="3"/>
  <c r="P10" i="43"/>
  <c r="V1634" i="1"/>
  <c r="V558" i="1"/>
  <c r="V27" i="1"/>
  <c r="V3445" i="1"/>
  <c r="V1086" i="1"/>
  <c r="V822" i="1"/>
  <c r="V5100" i="1"/>
  <c r="V287" i="1"/>
  <c r="V288" i="1" s="1"/>
  <c r="V1090" i="1"/>
  <c r="V1091" i="1" s="1"/>
  <c r="V1092" i="1" s="1"/>
  <c r="V1628" i="1"/>
  <c r="V1629" i="1" s="1"/>
  <c r="V3439" i="1"/>
  <c r="V3440" i="1" s="1"/>
  <c r="V5094" i="1"/>
  <c r="V5095" i="1" s="1"/>
  <c r="V5104" i="1"/>
  <c r="V5105" i="1" s="1"/>
  <c r="V5106" i="1" s="1"/>
  <c r="V3135" i="1"/>
  <c r="V3136" i="1" s="1"/>
  <c r="V3137" i="1" s="1"/>
  <c r="V1638" i="1"/>
  <c r="V1639" i="1" s="1"/>
  <c r="V1640" i="1" s="1"/>
  <c r="V297" i="1"/>
  <c r="V298" i="1" s="1"/>
  <c r="V299" i="1" s="1"/>
  <c r="V21" i="1"/>
  <c r="V22" i="1" s="1"/>
  <c r="V3449" i="1"/>
  <c r="V3450" i="1" s="1"/>
  <c r="V3451" i="1" s="1"/>
  <c r="V31" i="1"/>
  <c r="V32" i="1" s="1"/>
  <c r="V33" i="1" s="1"/>
  <c r="V826" i="1"/>
  <c r="V827" i="1" s="1"/>
  <c r="V828" i="1" s="1"/>
  <c r="V1080" i="1"/>
  <c r="V1081" i="1" s="1"/>
  <c r="V552" i="1"/>
  <c r="V553" i="1" s="1"/>
  <c r="V3125" i="1"/>
  <c r="V3126" i="1" s="1"/>
  <c r="V562" i="1"/>
  <c r="V563" i="1" s="1"/>
  <c r="V564" i="1" s="1"/>
  <c r="V816" i="1"/>
  <c r="V817" i="1" s="1"/>
  <c r="H31" i="40"/>
  <c r="W5636" i="1"/>
  <c r="V5637" i="1" s="1"/>
  <c r="Y38" i="3"/>
  <c r="H17" i="7"/>
  <c r="H16" i="7"/>
  <c r="Y36" i="3"/>
  <c r="K15" i="7"/>
  <c r="W3981" i="1"/>
  <c r="V3982" i="1" s="1"/>
  <c r="AC52" i="5"/>
  <c r="AD51" i="5" s="1"/>
  <c r="AD52" i="5" s="1"/>
  <c r="H27" i="40"/>
  <c r="K14" i="7"/>
  <c r="W3430" i="1"/>
  <c r="V3431" i="1" s="1"/>
  <c r="H34" i="3"/>
  <c r="Q22" i="39" s="1"/>
  <c r="K26" i="40" s="1"/>
  <c r="J34" i="3"/>
  <c r="I34" i="3"/>
  <c r="H26" i="40"/>
  <c r="Z48" i="5"/>
  <c r="AA47" i="5" s="1"/>
  <c r="AA48" i="5" s="1"/>
  <c r="AC22" i="39"/>
  <c r="AB22" i="39" s="1"/>
  <c r="Y34" i="3"/>
  <c r="AC47" i="5"/>
  <c r="AD46" i="5" s="1"/>
  <c r="AD48" i="5" s="1"/>
  <c r="H13" i="7"/>
  <c r="Y29" i="39"/>
  <c r="X29" i="39"/>
  <c r="Y28" i="2"/>
  <c r="AC27" i="2"/>
  <c r="E20" i="3"/>
  <c r="J20" i="3" s="1"/>
  <c r="M20" i="3" s="1"/>
  <c r="AC26" i="2"/>
  <c r="Y37" i="3"/>
  <c r="E29" i="8"/>
  <c r="E28" i="8"/>
  <c r="AC23" i="2"/>
  <c r="AB21" i="2" s="1"/>
  <c r="H26" i="8"/>
  <c r="T47" i="5"/>
  <c r="U46" i="5" s="1"/>
  <c r="U48" i="5" s="1"/>
  <c r="W47" i="5"/>
  <c r="X46" i="5" s="1"/>
  <c r="X48" i="5" s="1"/>
  <c r="E26" i="8"/>
  <c r="O21" i="3"/>
  <c r="N21" i="3"/>
  <c r="M21" i="3"/>
  <c r="L21" i="3"/>
  <c r="K21" i="3"/>
  <c r="Q21" i="3" s="1"/>
  <c r="X21" i="3"/>
  <c r="Y39" i="3" s="1"/>
  <c r="H21" i="3"/>
  <c r="Q27" i="2" s="1"/>
  <c r="K31" i="8" s="1"/>
  <c r="I21" i="3"/>
  <c r="J18" i="7"/>
  <c r="W5627" i="1"/>
  <c r="V5628" i="1" s="1"/>
  <c r="Y20" i="3"/>
  <c r="F17" i="7"/>
  <c r="AC25" i="2"/>
  <c r="AB23" i="2" s="1"/>
  <c r="E19" i="3"/>
  <c r="W4528" i="1"/>
  <c r="V4529" i="1" s="1"/>
  <c r="Y18" i="3"/>
  <c r="E18" i="3"/>
  <c r="T56" i="5"/>
  <c r="U55" i="5" s="1"/>
  <c r="U56" i="5" s="1"/>
  <c r="AC24" i="2"/>
  <c r="AB22" i="2" s="1"/>
  <c r="W56" i="5"/>
  <c r="X55" i="5" s="1"/>
  <c r="X56" i="5" s="1"/>
  <c r="J15" i="7"/>
  <c r="W3972" i="1"/>
  <c r="V3973" i="1" s="1"/>
  <c r="N17" i="3"/>
  <c r="X17" i="3"/>
  <c r="Y35" i="3" s="1"/>
  <c r="W3421" i="1"/>
  <c r="V3422" i="1" s="1"/>
  <c r="J14" i="7"/>
  <c r="Y16" i="3"/>
  <c r="AI28" i="39"/>
  <c r="O30" i="39" s="1"/>
  <c r="I44" i="40" s="1"/>
  <c r="E16" i="3"/>
  <c r="AK28" i="39"/>
  <c r="Q30" i="39" s="1"/>
  <c r="I31" i="41" s="1"/>
  <c r="J6" i="41" s="1"/>
  <c r="J13" i="7"/>
  <c r="W3107" i="1"/>
  <c r="V3108" i="1" s="1"/>
  <c r="X28" i="2"/>
  <c r="X29" i="2"/>
  <c r="AB987" i="44"/>
  <c r="AC984" i="44" s="1"/>
  <c r="Z776" i="45"/>
  <c r="AA773" i="45" s="1"/>
  <c r="Z132" i="45"/>
  <c r="AA129" i="45" s="1"/>
  <c r="Z12" i="45"/>
  <c r="AA9" i="45" s="1"/>
  <c r="Z670" i="45"/>
  <c r="AA667" i="45" s="1"/>
  <c r="AB1219" i="44"/>
  <c r="AC1216" i="44" s="1"/>
  <c r="Z1071" i="45"/>
  <c r="AA1068" i="45" s="1"/>
  <c r="Z1019" i="45"/>
  <c r="AA1016" i="45" s="1"/>
  <c r="Z400" i="45"/>
  <c r="AA397" i="45" s="1"/>
  <c r="Z900" i="45"/>
  <c r="AA897" i="45" s="1"/>
  <c r="AB930" i="44"/>
  <c r="AC927" i="44" s="1"/>
  <c r="AG28" i="2"/>
  <c r="Q30" i="2" s="1"/>
  <c r="V294" i="1"/>
  <c r="V2837" i="1"/>
  <c r="V535" i="1"/>
  <c r="V1620" i="1"/>
  <c r="V1087" i="1"/>
  <c r="AE28" i="2"/>
  <c r="O30" i="2" s="1"/>
  <c r="Y13" i="47"/>
  <c r="X14" i="47"/>
  <c r="Y14" i="47"/>
  <c r="M42" i="48"/>
  <c r="M43" i="48" s="1"/>
  <c r="AA13" i="46"/>
  <c r="AB10" i="46" s="1"/>
  <c r="Z1196" i="45"/>
  <c r="AA1193" i="45" s="1"/>
  <c r="Z1123" i="45"/>
  <c r="AA1120" i="45" s="1"/>
  <c r="Z253" i="45"/>
  <c r="AA250" i="45" s="1"/>
  <c r="AA252" i="45" s="1"/>
  <c r="W3446" i="1"/>
  <c r="W28" i="1"/>
  <c r="AA276" i="46"/>
  <c r="W4529" i="1"/>
  <c r="AA255" i="45"/>
  <c r="W535" i="1"/>
  <c r="AB475" i="44"/>
  <c r="AB244" i="44"/>
  <c r="W1631" i="1"/>
  <c r="W3982" i="1"/>
  <c r="W2090" i="1"/>
  <c r="W3973" i="1"/>
  <c r="W3108" i="1"/>
  <c r="W5097" i="1"/>
  <c r="W5102" i="1"/>
  <c r="W2569" i="1"/>
  <c r="W1851" i="1"/>
  <c r="W555" i="1"/>
  <c r="W2330" i="1"/>
  <c r="W1083" i="1"/>
  <c r="W3447" i="1"/>
  <c r="W1620" i="1"/>
  <c r="AA407" i="46"/>
  <c r="W3422" i="1"/>
  <c r="W5637" i="1"/>
  <c r="W1611" i="1"/>
  <c r="AB11" i="44"/>
  <c r="W1635" i="1"/>
  <c r="W1087" i="1"/>
  <c r="W3431" i="1"/>
  <c r="AA144" i="46"/>
  <c r="W2091" i="1"/>
  <c r="W2837" i="1"/>
  <c r="W823" i="1"/>
  <c r="W3133" i="1"/>
  <c r="W1850" i="1"/>
  <c r="W800" i="1"/>
  <c r="AA256" i="45"/>
  <c r="W1636" i="1"/>
  <c r="W799" i="1"/>
  <c r="AB12" i="44"/>
  <c r="AB705" i="44"/>
  <c r="W3442" i="1"/>
  <c r="W29" i="1"/>
  <c r="W294" i="1"/>
  <c r="W559" i="1"/>
  <c r="W3128" i="1"/>
  <c r="AA143" i="46"/>
  <c r="W1064" i="1"/>
  <c r="W290" i="1"/>
  <c r="W824" i="1"/>
  <c r="W1072" i="1"/>
  <c r="W5628" i="1"/>
  <c r="W2568" i="1"/>
  <c r="AA408" i="46"/>
  <c r="W5101" i="1"/>
  <c r="W24" i="1"/>
  <c r="AA275" i="46"/>
  <c r="W1063" i="1"/>
  <c r="AB243" i="44"/>
  <c r="W3132" i="1"/>
  <c r="W819" i="1"/>
  <c r="W2329" i="1"/>
  <c r="W560" i="1"/>
  <c r="AA44" i="5" l="1"/>
  <c r="AA32" i="5"/>
  <c r="AD20" i="5"/>
  <c r="AD12" i="5"/>
  <c r="AD4" i="5"/>
  <c r="AA20" i="5"/>
  <c r="AA12" i="5"/>
  <c r="AA4" i="5"/>
  <c r="Y26" i="3"/>
  <c r="X4" i="5"/>
  <c r="Y23" i="3"/>
  <c r="H17" i="3"/>
  <c r="Q23" i="2" s="1"/>
  <c r="K27" i="8" s="1"/>
  <c r="I17" i="3"/>
  <c r="J38" i="3"/>
  <c r="O38" i="3" s="1"/>
  <c r="H36" i="3"/>
  <c r="Q24" i="39" s="1"/>
  <c r="K28" i="40" s="1"/>
  <c r="K36" i="3"/>
  <c r="O36" i="3"/>
  <c r="AD56" i="5"/>
  <c r="K17" i="3"/>
  <c r="Q35" i="3" s="1"/>
  <c r="S35" i="3" s="1"/>
  <c r="O17" i="3"/>
  <c r="L17" i="3"/>
  <c r="N39" i="3"/>
  <c r="O39" i="3"/>
  <c r="I38" i="3"/>
  <c r="L36" i="3"/>
  <c r="M36" i="3"/>
  <c r="I36" i="3"/>
  <c r="M35" i="3"/>
  <c r="N35" i="3"/>
  <c r="O35" i="3"/>
  <c r="AA145" i="46"/>
  <c r="AB142" i="46" s="1"/>
  <c r="AB144" i="46" s="1"/>
  <c r="AA277" i="46"/>
  <c r="AB274" i="46" s="1"/>
  <c r="AB276" i="46" s="1"/>
  <c r="AA409" i="46"/>
  <c r="AB406" i="46" s="1"/>
  <c r="AB408" i="46" s="1"/>
  <c r="W1852" i="1"/>
  <c r="X1849" i="1" s="1"/>
  <c r="X1850" i="1" s="1"/>
  <c r="X1851" i="1" s="1"/>
  <c r="Q17" i="3"/>
  <c r="T17" i="3" s="1"/>
  <c r="W278" i="1"/>
  <c r="V279" i="1" s="1"/>
  <c r="V280" i="1" s="1"/>
  <c r="Q39" i="3"/>
  <c r="T39" i="3" s="1"/>
  <c r="H39" i="3"/>
  <c r="Q27" i="39" s="1"/>
  <c r="K31" i="40" s="1"/>
  <c r="I39" i="3"/>
  <c r="K39" i="3"/>
  <c r="L39" i="3"/>
  <c r="K37" i="3"/>
  <c r="L37" i="3"/>
  <c r="H37" i="3"/>
  <c r="Q25" i="39" s="1"/>
  <c r="K29" i="40" s="1"/>
  <c r="M37" i="3"/>
  <c r="N37" i="3"/>
  <c r="I37" i="3"/>
  <c r="AA56" i="5"/>
  <c r="I35" i="3"/>
  <c r="H35" i="3"/>
  <c r="Q23" i="39" s="1"/>
  <c r="K27" i="40" s="1"/>
  <c r="K35" i="3"/>
  <c r="D12" i="40"/>
  <c r="D12" i="8"/>
  <c r="D11" i="40"/>
  <c r="D11" i="8"/>
  <c r="E11" i="40"/>
  <c r="B32" i="40"/>
  <c r="C26" i="40"/>
  <c r="C32" i="40" s="1"/>
  <c r="E32" i="40" s="1"/>
  <c r="J33" i="3"/>
  <c r="I33" i="3"/>
  <c r="H33" i="3"/>
  <c r="Q21" i="39" s="1"/>
  <c r="K21" i="40" s="1"/>
  <c r="Y32" i="3"/>
  <c r="X32" i="3"/>
  <c r="Z40" i="5"/>
  <c r="AA39" i="5" s="1"/>
  <c r="Z39" i="5"/>
  <c r="AA38" i="5" s="1"/>
  <c r="AC40" i="5"/>
  <c r="AD39" i="5" s="1"/>
  <c r="AC39" i="5"/>
  <c r="AD38" i="5" s="1"/>
  <c r="J32" i="3"/>
  <c r="I32" i="3"/>
  <c r="H32" i="3"/>
  <c r="Q20" i="39" s="1"/>
  <c r="K20" i="40" s="1"/>
  <c r="Y31" i="3"/>
  <c r="X31" i="3"/>
  <c r="Z36" i="5"/>
  <c r="AA35" i="5" s="1"/>
  <c r="Z35" i="5"/>
  <c r="AA34" i="5" s="1"/>
  <c r="AA36" i="5" s="1"/>
  <c r="AC36" i="5"/>
  <c r="AD35" i="5" s="1"/>
  <c r="AC35" i="5"/>
  <c r="AD34" i="5" s="1"/>
  <c r="AD36" i="5" s="1"/>
  <c r="J31" i="3"/>
  <c r="I31" i="3"/>
  <c r="H31" i="3"/>
  <c r="Q19" i="39" s="1"/>
  <c r="K19" i="40" s="1"/>
  <c r="J30" i="3"/>
  <c r="I30" i="3"/>
  <c r="H30" i="3"/>
  <c r="Q18" i="39" s="1"/>
  <c r="K18" i="40" s="1"/>
  <c r="Y29" i="3"/>
  <c r="X29" i="3"/>
  <c r="Z28" i="5"/>
  <c r="AA27" i="5" s="1"/>
  <c r="Z27" i="5"/>
  <c r="AA26" i="5" s="1"/>
  <c r="AC28" i="5"/>
  <c r="AD27" i="5" s="1"/>
  <c r="AC27" i="5"/>
  <c r="AD26" i="5" s="1"/>
  <c r="AD28" i="5" s="1"/>
  <c r="J29" i="3"/>
  <c r="I29" i="3"/>
  <c r="H29" i="3"/>
  <c r="Q17" i="39" s="1"/>
  <c r="K17" i="40" s="1"/>
  <c r="J28" i="3"/>
  <c r="I28" i="3"/>
  <c r="H28" i="3"/>
  <c r="Q16" i="39" s="1"/>
  <c r="K16" i="40" s="1"/>
  <c r="J27" i="3"/>
  <c r="I27" i="3"/>
  <c r="H27" i="3"/>
  <c r="Q15" i="39" s="1"/>
  <c r="K15" i="40" s="1"/>
  <c r="J26" i="3"/>
  <c r="I26" i="3"/>
  <c r="H26" i="3"/>
  <c r="Q14" i="39" s="1"/>
  <c r="K14" i="40" s="1"/>
  <c r="J25" i="3"/>
  <c r="I25" i="3"/>
  <c r="H25" i="3"/>
  <c r="Q13" i="39" s="1"/>
  <c r="K13" i="40" s="1"/>
  <c r="B22" i="40"/>
  <c r="C11" i="40"/>
  <c r="C22" i="40" s="1"/>
  <c r="E22" i="40" s="1"/>
  <c r="V5640" i="1"/>
  <c r="V5641" i="1" s="1"/>
  <c r="V5642" i="1" s="1"/>
  <c r="V5089" i="1"/>
  <c r="V5090" i="1" s="1"/>
  <c r="V5091" i="1" s="1"/>
  <c r="V4541" i="1"/>
  <c r="V4542" i="1" s="1"/>
  <c r="V4543" i="1" s="1"/>
  <c r="V3985" i="1"/>
  <c r="V3986" i="1" s="1"/>
  <c r="V3987" i="1" s="1"/>
  <c r="V3434" i="1"/>
  <c r="V3435" i="1" s="1"/>
  <c r="V3436" i="1" s="1"/>
  <c r="V3120" i="1"/>
  <c r="V3121" i="1" s="1"/>
  <c r="V3122" i="1" s="1"/>
  <c r="V2849" i="1"/>
  <c r="V2850" i="1" s="1"/>
  <c r="V2580" i="1"/>
  <c r="V2581" i="1" s="1"/>
  <c r="V2341" i="1"/>
  <c r="V2342" i="1" s="1"/>
  <c r="V2102" i="1"/>
  <c r="V2103" i="1" s="1"/>
  <c r="V1862" i="1"/>
  <c r="V1863" i="1" s="1"/>
  <c r="V1623" i="1"/>
  <c r="V1624" i="1" s="1"/>
  <c r="V1625" i="1" s="1"/>
  <c r="V1075" i="1"/>
  <c r="V1076" i="1" s="1"/>
  <c r="V1077" i="1" s="1"/>
  <c r="V811" i="1"/>
  <c r="V812" i="1" s="1"/>
  <c r="V547" i="1"/>
  <c r="V548" i="1" s="1"/>
  <c r="V282" i="1"/>
  <c r="V283" i="1" s="1"/>
  <c r="V284" i="1" s="1"/>
  <c r="V16" i="1"/>
  <c r="V17" i="1" s="1"/>
  <c r="V18" i="1" s="1"/>
  <c r="B32" i="8"/>
  <c r="C26" i="8"/>
  <c r="C32" i="8" s="1"/>
  <c r="E32" i="8" s="1"/>
  <c r="J15" i="3"/>
  <c r="I15" i="3"/>
  <c r="H15" i="3"/>
  <c r="Q21" i="2" s="1"/>
  <c r="K21" i="8" s="1"/>
  <c r="J14" i="3"/>
  <c r="I14" i="3"/>
  <c r="H14" i="3"/>
  <c r="Q20" i="2" s="1"/>
  <c r="K20" i="8" s="1"/>
  <c r="J13" i="3"/>
  <c r="I13" i="3"/>
  <c r="H13" i="3"/>
  <c r="Q19" i="2" s="1"/>
  <c r="K19" i="8" s="1"/>
  <c r="J12" i="3"/>
  <c r="I12" i="3"/>
  <c r="H12" i="3"/>
  <c r="Q18" i="2" s="1"/>
  <c r="K18" i="8" s="1"/>
  <c r="J11" i="3"/>
  <c r="I11" i="3"/>
  <c r="H11" i="3"/>
  <c r="Q17" i="2" s="1"/>
  <c r="K17" i="8" s="1"/>
  <c r="J10" i="3"/>
  <c r="I10" i="3"/>
  <c r="H10" i="3"/>
  <c r="Q16" i="2" s="1"/>
  <c r="K16" i="8" s="1"/>
  <c r="J9" i="3"/>
  <c r="I9" i="3"/>
  <c r="H9" i="3"/>
  <c r="Q15" i="2" s="1"/>
  <c r="K15" i="8" s="1"/>
  <c r="J8" i="3"/>
  <c r="I8" i="3"/>
  <c r="H8" i="3"/>
  <c r="Q14" i="2" s="1"/>
  <c r="K14" i="8" s="1"/>
  <c r="J7" i="3"/>
  <c r="I7" i="3"/>
  <c r="H7" i="3"/>
  <c r="Q13" i="2" s="1"/>
  <c r="K13" i="8" s="1"/>
  <c r="J6" i="3"/>
  <c r="I6" i="3"/>
  <c r="H6" i="3"/>
  <c r="Q12" i="2" s="1"/>
  <c r="K12" i="8" s="1"/>
  <c r="J5" i="3"/>
  <c r="I5" i="3"/>
  <c r="H5" i="3"/>
  <c r="Q11" i="2" s="1"/>
  <c r="K11" i="8" s="1"/>
  <c r="B22" i="8"/>
  <c r="C11" i="8"/>
  <c r="C22" i="8" s="1"/>
  <c r="E22" i="8" s="1"/>
  <c r="V5631" i="1"/>
  <c r="V5632" i="1" s="1"/>
  <c r="V5633" i="1" s="1"/>
  <c r="V5080" i="1"/>
  <c r="V5081" i="1" s="1"/>
  <c r="V5082" i="1" s="1"/>
  <c r="V4532" i="1"/>
  <c r="V4533" i="1" s="1"/>
  <c r="V4534" i="1" s="1"/>
  <c r="V3976" i="1"/>
  <c r="V3977" i="1" s="1"/>
  <c r="V3978" i="1" s="1"/>
  <c r="V3425" i="1"/>
  <c r="V3426" i="1" s="1"/>
  <c r="V3427" i="1" s="1"/>
  <c r="V3111" i="1"/>
  <c r="V3112" i="1" s="1"/>
  <c r="V3113" i="1" s="1"/>
  <c r="V2840" i="1"/>
  <c r="V2841" i="1" s="1"/>
  <c r="V2842" i="1" s="1"/>
  <c r="V2571" i="1"/>
  <c r="V2572" i="1" s="1"/>
  <c r="V2332" i="1"/>
  <c r="V2333" i="1" s="1"/>
  <c r="V2334" i="1" s="1"/>
  <c r="V2093" i="1"/>
  <c r="V2094" i="1" s="1"/>
  <c r="V2095" i="1" s="1"/>
  <c r="V1853" i="1"/>
  <c r="V1854" i="1" s="1"/>
  <c r="V1614" i="1"/>
  <c r="V1615" i="1" s="1"/>
  <c r="V1616" i="1" s="1"/>
  <c r="V1066" i="1"/>
  <c r="V1067" i="1" s="1"/>
  <c r="V1068" i="1" s="1"/>
  <c r="V802" i="1"/>
  <c r="V803" i="1" s="1"/>
  <c r="V804" i="1" s="1"/>
  <c r="V538" i="1"/>
  <c r="V539" i="1" s="1"/>
  <c r="V540" i="1" s="1"/>
  <c r="V273" i="1"/>
  <c r="V274" i="1" s="1"/>
  <c r="V275" i="1" s="1"/>
  <c r="V7" i="1"/>
  <c r="V8" i="1" s="1"/>
  <c r="V9" i="1" s="1"/>
  <c r="W3134" i="1"/>
  <c r="X3131" i="1" s="1"/>
  <c r="X3133" i="1" s="1"/>
  <c r="K24" i="3"/>
  <c r="O24" i="3"/>
  <c r="N24" i="3"/>
  <c r="M24" i="3"/>
  <c r="L24" i="3"/>
  <c r="I23" i="3"/>
  <c r="J23" i="3"/>
  <c r="H23" i="3"/>
  <c r="Q11" i="39" s="1"/>
  <c r="K11" i="40" s="1"/>
  <c r="W12" i="1"/>
  <c r="V13" i="1" s="1"/>
  <c r="K2" i="7"/>
  <c r="W5103" i="1"/>
  <c r="X5100" i="1" s="1"/>
  <c r="X5101" i="1" s="1"/>
  <c r="W825" i="1"/>
  <c r="X822" i="1" s="1"/>
  <c r="X824" i="1" s="1"/>
  <c r="W3448" i="1"/>
  <c r="X3445" i="1" s="1"/>
  <c r="X3446" i="1" s="1"/>
  <c r="W30" i="1"/>
  <c r="X27" i="1" s="1"/>
  <c r="X28" i="1" s="1"/>
  <c r="W561" i="1"/>
  <c r="X558" i="1" s="1"/>
  <c r="X560" i="1" s="1"/>
  <c r="W1637" i="1"/>
  <c r="X1634" i="1" s="1"/>
  <c r="X1636" i="1" s="1"/>
  <c r="W1081" i="1"/>
  <c r="X1081" i="1" s="1"/>
  <c r="X1082" i="1" s="1"/>
  <c r="W5095" i="1"/>
  <c r="X5095" i="1" s="1"/>
  <c r="X5096" i="1" s="1"/>
  <c r="X5094" i="1" s="1"/>
  <c r="W553" i="1"/>
  <c r="X553" i="1" s="1"/>
  <c r="X554" i="1" s="1"/>
  <c r="X552" i="1" s="1"/>
  <c r="W22" i="1"/>
  <c r="X22" i="1" s="1"/>
  <c r="X23" i="1" s="1"/>
  <c r="X21" i="1" s="1"/>
  <c r="W3440" i="1"/>
  <c r="X3440" i="1" s="1"/>
  <c r="X3441" i="1" s="1"/>
  <c r="X3439" i="1" s="1"/>
  <c r="W817" i="1"/>
  <c r="X817" i="1" s="1"/>
  <c r="X818" i="1" s="1"/>
  <c r="X816" i="1" s="1"/>
  <c r="W3126" i="1"/>
  <c r="X3126" i="1" s="1"/>
  <c r="X3127" i="1" s="1"/>
  <c r="X3125" i="1" s="1"/>
  <c r="W1629" i="1"/>
  <c r="X1629" i="1" s="1"/>
  <c r="X1630" i="1" s="1"/>
  <c r="W288" i="1"/>
  <c r="X288" i="1" s="1"/>
  <c r="X289" i="1" s="1"/>
  <c r="X287" i="1" s="1"/>
  <c r="V5638" i="1"/>
  <c r="W5085" i="1"/>
  <c r="V5086" i="1" s="1"/>
  <c r="K17" i="7"/>
  <c r="K16" i="7"/>
  <c r="W4537" i="1"/>
  <c r="V4538" i="1" s="1"/>
  <c r="V3983" i="1"/>
  <c r="V3432" i="1"/>
  <c r="M34" i="3"/>
  <c r="L34" i="3"/>
  <c r="K34" i="3"/>
  <c r="O34" i="3"/>
  <c r="N34" i="3"/>
  <c r="W3116" i="1"/>
  <c r="K13" i="7"/>
  <c r="H20" i="3"/>
  <c r="Q26" i="2" s="1"/>
  <c r="K30" i="8" s="1"/>
  <c r="N20" i="3"/>
  <c r="O20" i="3"/>
  <c r="I20" i="3"/>
  <c r="K20" i="3"/>
  <c r="L20" i="3"/>
  <c r="Y21" i="3"/>
  <c r="R21" i="3"/>
  <c r="T21" i="3"/>
  <c r="S21" i="3"/>
  <c r="V5629" i="1"/>
  <c r="W5076" i="1"/>
  <c r="V5077" i="1" s="1"/>
  <c r="J17" i="7"/>
  <c r="J19" i="3"/>
  <c r="I19" i="3"/>
  <c r="H19" i="3"/>
  <c r="Q25" i="2" s="1"/>
  <c r="K29" i="8" s="1"/>
  <c r="V4530" i="1"/>
  <c r="G31" i="41"/>
  <c r="J4" i="41" s="1"/>
  <c r="J18" i="3"/>
  <c r="I18" i="3"/>
  <c r="H18" i="3"/>
  <c r="Q24" i="2" s="1"/>
  <c r="K28" i="8" s="1"/>
  <c r="V3974" i="1"/>
  <c r="Y17" i="3"/>
  <c r="V3423" i="1"/>
  <c r="J16" i="3"/>
  <c r="I16" i="3"/>
  <c r="H16" i="3"/>
  <c r="Q22" i="2" s="1"/>
  <c r="K26" i="8" s="1"/>
  <c r="K44" i="40"/>
  <c r="AC472" i="44"/>
  <c r="AC702" i="44"/>
  <c r="AA669" i="45"/>
  <c r="AA668" i="45"/>
  <c r="AA10" i="45"/>
  <c r="AA11" i="45"/>
  <c r="AA1017" i="45"/>
  <c r="AA1018" i="45"/>
  <c r="G29" i="41"/>
  <c r="O31" i="39"/>
  <c r="O32" i="39" s="1"/>
  <c r="I42" i="8"/>
  <c r="I41" i="40"/>
  <c r="O32" i="2"/>
  <c r="K42" i="8"/>
  <c r="I29" i="41"/>
  <c r="Q31" i="39"/>
  <c r="Q32" i="39" s="1"/>
  <c r="K41" i="40"/>
  <c r="Q32" i="2"/>
  <c r="V536" i="1"/>
  <c r="AC928" i="44"/>
  <c r="AC929" i="44"/>
  <c r="V1073" i="1"/>
  <c r="AA1069" i="45"/>
  <c r="AA1070" i="45"/>
  <c r="AA899" i="45"/>
  <c r="AA898" i="45"/>
  <c r="AC1218" i="44"/>
  <c r="AC1217" i="44"/>
  <c r="AA775" i="45"/>
  <c r="AA774" i="45"/>
  <c r="V3109" i="1"/>
  <c r="V2838" i="1"/>
  <c r="V295" i="1"/>
  <c r="AA398" i="45"/>
  <c r="AA399" i="45"/>
  <c r="V1621" i="1"/>
  <c r="AA131" i="45"/>
  <c r="AA130" i="45"/>
  <c r="V1612" i="1"/>
  <c r="V1088" i="1"/>
  <c r="AC985" i="44"/>
  <c r="AC986" i="44"/>
  <c r="AB12" i="46"/>
  <c r="AB11" i="46"/>
  <c r="AA1122" i="45"/>
  <c r="AA1121" i="45"/>
  <c r="AA1194" i="45"/>
  <c r="AA1195" i="45"/>
  <c r="AA251" i="45"/>
  <c r="W1065" i="1"/>
  <c r="AB245" i="44"/>
  <c r="W801" i="1"/>
  <c r="W2331" i="1"/>
  <c r="AB13" i="44"/>
  <c r="W2092" i="1"/>
  <c r="W2570" i="1"/>
  <c r="Z134" i="45"/>
  <c r="AA902" i="45"/>
  <c r="X828" i="1"/>
  <c r="AA673" i="45"/>
  <c r="W1860" i="1"/>
  <c r="W5086" i="1"/>
  <c r="AA135" i="45"/>
  <c r="W279" i="1"/>
  <c r="W3983" i="1"/>
  <c r="Z403" i="45"/>
  <c r="W2100" i="1"/>
  <c r="AA779" i="45"/>
  <c r="AA1198" i="45"/>
  <c r="AA14" i="45"/>
  <c r="W1088" i="1"/>
  <c r="AB412" i="46"/>
  <c r="W1612" i="1"/>
  <c r="W3423" i="1"/>
  <c r="AB15" i="46"/>
  <c r="AB279" i="46"/>
  <c r="Z1199" i="45"/>
  <c r="AB932" i="44"/>
  <c r="X1640" i="1"/>
  <c r="Z779" i="45"/>
  <c r="AB1221" i="44"/>
  <c r="W2099" i="1"/>
  <c r="W2578" i="1"/>
  <c r="Z778" i="45"/>
  <c r="W5106" i="1"/>
  <c r="Z402" i="45"/>
  <c r="AA15" i="46"/>
  <c r="W5629" i="1"/>
  <c r="AB933" i="44"/>
  <c r="AB411" i="46"/>
  <c r="W4530" i="1"/>
  <c r="W5105" i="1"/>
  <c r="AC933" i="44"/>
  <c r="AA1074" i="45"/>
  <c r="AB147" i="46"/>
  <c r="X3136" i="1"/>
  <c r="W2339" i="1"/>
  <c r="W295" i="1"/>
  <c r="AC1221" i="44"/>
  <c r="W3432" i="1"/>
  <c r="AA403" i="45"/>
  <c r="Z1022" i="45"/>
  <c r="W32" i="1"/>
  <c r="Z1126" i="45"/>
  <c r="W2338" i="1"/>
  <c r="W2847" i="1"/>
  <c r="W536" i="1"/>
  <c r="Z14" i="45"/>
  <c r="AA1199" i="45"/>
  <c r="W544" i="1"/>
  <c r="W2838" i="1"/>
  <c r="Z256" i="45"/>
  <c r="W3451" i="1"/>
  <c r="AA1073" i="45"/>
  <c r="AA672" i="45"/>
  <c r="AB252" i="45"/>
  <c r="AA15" i="45"/>
  <c r="W13" i="1"/>
  <c r="Z1074" i="45"/>
  <c r="X827" i="1"/>
  <c r="W33" i="1"/>
  <c r="W3109" i="1"/>
  <c r="Z902" i="45"/>
  <c r="AA16" i="46"/>
  <c r="AA1021" i="45"/>
  <c r="AA134" i="45"/>
  <c r="W2577" i="1"/>
  <c r="W4538" i="1"/>
  <c r="X1854" i="1"/>
  <c r="Z903" i="45"/>
  <c r="W3450" i="1"/>
  <c r="AA778" i="45"/>
  <c r="AC990" i="44"/>
  <c r="AA402" i="45"/>
  <c r="AB1222" i="44"/>
  <c r="W1859" i="1"/>
  <c r="W808" i="1"/>
  <c r="AA1126" i="45"/>
  <c r="AB148" i="46"/>
  <c r="X3137" i="1"/>
  <c r="W5077" i="1"/>
  <c r="AB989" i="44"/>
  <c r="Z1021" i="45"/>
  <c r="Z135" i="45"/>
  <c r="Z672" i="45"/>
  <c r="W545" i="1"/>
  <c r="AC932" i="44"/>
  <c r="X563" i="1"/>
  <c r="Z255" i="45"/>
  <c r="Z15" i="45"/>
  <c r="AA1022" i="45"/>
  <c r="AB16" i="46"/>
  <c r="Z1073" i="45"/>
  <c r="W1621" i="1"/>
  <c r="AB280" i="46"/>
  <c r="W809" i="1"/>
  <c r="AA1125" i="45"/>
  <c r="Z1198" i="45"/>
  <c r="Z1125" i="45"/>
  <c r="X564" i="1"/>
  <c r="X1639" i="1"/>
  <c r="W2846" i="1"/>
  <c r="W1073" i="1"/>
  <c r="AB990" i="44"/>
  <c r="Z673" i="45"/>
  <c r="W280" i="1"/>
  <c r="W5638" i="1"/>
  <c r="W3974" i="1"/>
  <c r="AA903" i="45"/>
  <c r="AC989" i="44"/>
  <c r="AC1222" i="44"/>
  <c r="AD40" i="5" l="1"/>
  <c r="K38" i="3"/>
  <c r="AA40" i="5"/>
  <c r="T35" i="3"/>
  <c r="L38" i="3"/>
  <c r="M38" i="3"/>
  <c r="AA28" i="5"/>
  <c r="N38" i="3"/>
  <c r="X2567" i="1"/>
  <c r="X2568" i="1" s="1"/>
  <c r="X2569" i="1" s="1"/>
  <c r="X2089" i="1"/>
  <c r="X2090" i="1" s="1"/>
  <c r="X2091" i="1" s="1"/>
  <c r="AC10" i="44"/>
  <c r="X2328" i="1"/>
  <c r="X2329" i="1" s="1"/>
  <c r="X2330" i="1" s="1"/>
  <c r="X798" i="1"/>
  <c r="X799" i="1" s="1"/>
  <c r="X800" i="1" s="1"/>
  <c r="AC242" i="44"/>
  <c r="AC243" i="44" s="1"/>
  <c r="X1062" i="1"/>
  <c r="X1063" i="1" s="1"/>
  <c r="X1064" i="1" s="1"/>
  <c r="AB275" i="46"/>
  <c r="AB407" i="46"/>
  <c r="R35" i="3"/>
  <c r="R17" i="3"/>
  <c r="S17" i="3"/>
  <c r="U17" i="3"/>
  <c r="V17" i="3" s="1"/>
  <c r="W17" i="3" s="1"/>
  <c r="N23" i="2" s="1"/>
  <c r="I27" i="8" s="1"/>
  <c r="AB143" i="46"/>
  <c r="R39" i="3"/>
  <c r="U39" i="3" s="1"/>
  <c r="V39" i="3" s="1"/>
  <c r="W39" i="3" s="1"/>
  <c r="N27" i="39" s="1"/>
  <c r="I31" i="40" s="1"/>
  <c r="S39" i="3"/>
  <c r="W2101" i="1"/>
  <c r="X2098" i="1" s="1"/>
  <c r="X2099" i="1" s="1"/>
  <c r="X2100" i="1" s="1"/>
  <c r="W1861" i="1"/>
  <c r="X1858" i="1" s="1"/>
  <c r="X1859" i="1" s="1"/>
  <c r="X1860" i="1" s="1"/>
  <c r="W546" i="1"/>
  <c r="X543" i="1" s="1"/>
  <c r="X544" i="1" s="1"/>
  <c r="X545" i="1" s="1"/>
  <c r="V549" i="1"/>
  <c r="V813" i="1"/>
  <c r="V1864" i="1"/>
  <c r="V2104" i="1"/>
  <c r="V2343" i="1"/>
  <c r="V2582" i="1"/>
  <c r="V2851" i="1"/>
  <c r="V1855" i="1"/>
  <c r="V2573" i="1"/>
  <c r="O5" i="3"/>
  <c r="N5" i="3"/>
  <c r="M5" i="3"/>
  <c r="L5" i="3"/>
  <c r="K5" i="3"/>
  <c r="O6" i="3"/>
  <c r="N6" i="3"/>
  <c r="M6" i="3"/>
  <c r="L6" i="3"/>
  <c r="K6" i="3"/>
  <c r="O7" i="3"/>
  <c r="N7" i="3"/>
  <c r="M7" i="3"/>
  <c r="L7" i="3"/>
  <c r="K7" i="3"/>
  <c r="O8" i="3"/>
  <c r="N8" i="3"/>
  <c r="M8" i="3"/>
  <c r="L8" i="3"/>
  <c r="K8" i="3"/>
  <c r="O9" i="3"/>
  <c r="N9" i="3"/>
  <c r="M9" i="3"/>
  <c r="L9" i="3"/>
  <c r="K9" i="3"/>
  <c r="O10" i="3"/>
  <c r="N10" i="3"/>
  <c r="M10" i="3"/>
  <c r="L10" i="3"/>
  <c r="K10" i="3"/>
  <c r="O11" i="3"/>
  <c r="N11" i="3"/>
  <c r="M11" i="3"/>
  <c r="L11" i="3"/>
  <c r="K11" i="3"/>
  <c r="O12" i="3"/>
  <c r="N12" i="3"/>
  <c r="M12" i="3"/>
  <c r="L12" i="3"/>
  <c r="K12" i="3"/>
  <c r="O13" i="3"/>
  <c r="N13" i="3"/>
  <c r="M13" i="3"/>
  <c r="L13" i="3"/>
  <c r="K13" i="3"/>
  <c r="O14" i="3"/>
  <c r="N14" i="3"/>
  <c r="M14" i="3"/>
  <c r="L14" i="3"/>
  <c r="K14" i="3"/>
  <c r="O15" i="3"/>
  <c r="N15" i="3"/>
  <c r="M15" i="3"/>
  <c r="L15" i="3"/>
  <c r="K15" i="3"/>
  <c r="O25" i="3"/>
  <c r="N25" i="3"/>
  <c r="M25" i="3"/>
  <c r="L25" i="3"/>
  <c r="K25" i="3"/>
  <c r="O26" i="3"/>
  <c r="N26" i="3"/>
  <c r="M26" i="3"/>
  <c r="L26" i="3"/>
  <c r="K26" i="3"/>
  <c r="O27" i="3"/>
  <c r="N27" i="3"/>
  <c r="M27" i="3"/>
  <c r="L27" i="3"/>
  <c r="K27" i="3"/>
  <c r="O28" i="3"/>
  <c r="N28" i="3"/>
  <c r="M28" i="3"/>
  <c r="L28" i="3"/>
  <c r="K28" i="3"/>
  <c r="O29" i="3"/>
  <c r="N29" i="3"/>
  <c r="M29" i="3"/>
  <c r="L29" i="3"/>
  <c r="K29" i="3"/>
  <c r="O30" i="3"/>
  <c r="N30" i="3"/>
  <c r="M30" i="3"/>
  <c r="L30" i="3"/>
  <c r="K30" i="3"/>
  <c r="O31" i="3"/>
  <c r="N31" i="3"/>
  <c r="M31" i="3"/>
  <c r="L31" i="3"/>
  <c r="K31" i="3"/>
  <c r="O32" i="3"/>
  <c r="N32" i="3"/>
  <c r="M32" i="3"/>
  <c r="L32" i="3"/>
  <c r="K32" i="3"/>
  <c r="O33" i="3"/>
  <c r="N33" i="3"/>
  <c r="M33" i="3"/>
  <c r="L33" i="3"/>
  <c r="K33" i="3"/>
  <c r="J2" i="7"/>
  <c r="V4" i="1"/>
  <c r="E11" i="8"/>
  <c r="J3" i="7"/>
  <c r="W269" i="1"/>
  <c r="V270" i="1" s="1"/>
  <c r="E12" i="8"/>
  <c r="E12" i="40"/>
  <c r="X559" i="1"/>
  <c r="X3132" i="1"/>
  <c r="X1635" i="1"/>
  <c r="X5102" i="1"/>
  <c r="X3447" i="1"/>
  <c r="X823" i="1"/>
  <c r="W281" i="1"/>
  <c r="X278" i="1" s="1"/>
  <c r="X279" i="1" s="1"/>
  <c r="V14" i="1"/>
  <c r="M23" i="3"/>
  <c r="N23" i="3"/>
  <c r="L23" i="3"/>
  <c r="O23" i="3"/>
  <c r="K23" i="3"/>
  <c r="X29" i="1"/>
  <c r="Y1628" i="1"/>
  <c r="X1628" i="1"/>
  <c r="Y1080" i="1"/>
  <c r="X1080" i="1"/>
  <c r="V5087" i="1"/>
  <c r="V4539" i="1"/>
  <c r="V3117" i="1"/>
  <c r="Q38" i="3"/>
  <c r="Q20" i="3"/>
  <c r="U21" i="3"/>
  <c r="V21" i="3" s="1"/>
  <c r="W21" i="3" s="1"/>
  <c r="N27" i="2" s="1"/>
  <c r="I31" i="8" s="1"/>
  <c r="V5078" i="1"/>
  <c r="N19" i="3"/>
  <c r="M19" i="3"/>
  <c r="L19" i="3"/>
  <c r="K19" i="3"/>
  <c r="O19" i="3"/>
  <c r="O18" i="3"/>
  <c r="N18" i="3"/>
  <c r="M18" i="3"/>
  <c r="L18" i="3"/>
  <c r="K18" i="3"/>
  <c r="W3975" i="1"/>
  <c r="X3972" i="1" s="1"/>
  <c r="X3973" i="1" s="1"/>
  <c r="N16" i="3"/>
  <c r="M16" i="3"/>
  <c r="L16" i="3"/>
  <c r="K16" i="3"/>
  <c r="O16" i="3"/>
  <c r="AB398" i="45"/>
  <c r="AB668" i="45"/>
  <c r="AB669" i="45"/>
  <c r="W1089" i="1"/>
  <c r="X1086" i="1" s="1"/>
  <c r="W296" i="1"/>
  <c r="X293" i="1" s="1"/>
  <c r="W537" i="1"/>
  <c r="X534" i="1" s="1"/>
  <c r="X535" i="1" s="1"/>
  <c r="AD1217" i="44"/>
  <c r="Y1636" i="1"/>
  <c r="AB774" i="45"/>
  <c r="AB1018" i="45"/>
  <c r="AD1218" i="44"/>
  <c r="AB399" i="45"/>
  <c r="AB775" i="45"/>
  <c r="AB1017" i="45"/>
  <c r="I44" i="8"/>
  <c r="I43" i="40"/>
  <c r="G30" i="41"/>
  <c r="I45" i="40"/>
  <c r="AC703" i="44"/>
  <c r="AC704" i="44"/>
  <c r="K43" i="40"/>
  <c r="K44" i="8"/>
  <c r="AC11" i="44"/>
  <c r="AC12" i="44"/>
  <c r="AC474" i="44"/>
  <c r="AC473" i="44"/>
  <c r="I30" i="41"/>
  <c r="K45" i="40"/>
  <c r="AB1194" i="45"/>
  <c r="AB1195" i="45"/>
  <c r="W810" i="1"/>
  <c r="W2579" i="1"/>
  <c r="W2848" i="1"/>
  <c r="W2340" i="1"/>
  <c r="W3984" i="1"/>
  <c r="W3433" i="1"/>
  <c r="W1622" i="1"/>
  <c r="W5639" i="1"/>
  <c r="W2839" i="1"/>
  <c r="W1074" i="1"/>
  <c r="W5630" i="1"/>
  <c r="W4531" i="1"/>
  <c r="W3110" i="1"/>
  <c r="W3424" i="1"/>
  <c r="W1613" i="1"/>
  <c r="AB1069" i="45"/>
  <c r="Y3133" i="1"/>
  <c r="X33" i="1"/>
  <c r="W3117" i="1"/>
  <c r="W1068" i="1"/>
  <c r="X2333" i="1"/>
  <c r="X1067" i="1"/>
  <c r="AA280" i="46"/>
  <c r="W1640" i="1"/>
  <c r="X5105" i="1"/>
  <c r="AA279" i="46"/>
  <c r="W803" i="1"/>
  <c r="Y28" i="1"/>
  <c r="AB15" i="44"/>
  <c r="AC478" i="44"/>
  <c r="X548" i="1"/>
  <c r="W2572" i="1"/>
  <c r="AD928" i="44"/>
  <c r="Y824" i="1"/>
  <c r="W2094" i="1"/>
  <c r="W828" i="1"/>
  <c r="AA148" i="46"/>
  <c r="X804" i="1"/>
  <c r="W1639" i="1"/>
  <c r="W3136" i="1"/>
  <c r="AB1121" i="45"/>
  <c r="AC11" i="46"/>
  <c r="AB11" i="45"/>
  <c r="W14" i="1"/>
  <c r="W1067" i="1"/>
  <c r="AC16" i="44"/>
  <c r="W563" i="1"/>
  <c r="AD929" i="44"/>
  <c r="AB478" i="44"/>
  <c r="W4539" i="1"/>
  <c r="AC276" i="46"/>
  <c r="X1068" i="1"/>
  <c r="AB477" i="44"/>
  <c r="W1863" i="1"/>
  <c r="W5078" i="1"/>
  <c r="AB1122" i="45"/>
  <c r="AB708" i="44"/>
  <c r="AA411" i="46"/>
  <c r="W3977" i="1"/>
  <c r="X5106" i="1"/>
  <c r="AB10" i="45"/>
  <c r="Y560" i="1"/>
  <c r="AC12" i="46"/>
  <c r="AA147" i="46"/>
  <c r="AB707" i="44"/>
  <c r="W5087" i="1"/>
  <c r="W548" i="1"/>
  <c r="X2094" i="1"/>
  <c r="AC708" i="44"/>
  <c r="AB899" i="45"/>
  <c r="AB130" i="45"/>
  <c r="W827" i="1"/>
  <c r="AD985" i="44"/>
  <c r="X2334" i="1"/>
  <c r="AB16" i="44"/>
  <c r="W284" i="1"/>
  <c r="AB131" i="45"/>
  <c r="Y3446" i="1"/>
  <c r="X3450" i="1"/>
  <c r="X2103" i="1"/>
  <c r="AA412" i="46"/>
  <c r="W804" i="1"/>
  <c r="W3978" i="1"/>
  <c r="W2103" i="1"/>
  <c r="AC477" i="44"/>
  <c r="X1863" i="1"/>
  <c r="AB248" i="44"/>
  <c r="W539" i="1"/>
  <c r="X2095" i="1"/>
  <c r="AD986" i="44"/>
  <c r="W2095" i="1"/>
  <c r="W564" i="1"/>
  <c r="W540" i="1"/>
  <c r="W2334" i="1"/>
  <c r="W2333" i="1"/>
  <c r="X3451" i="1"/>
  <c r="AC707" i="44"/>
  <c r="Y5101" i="1"/>
  <c r="W283" i="1"/>
  <c r="AC144" i="46"/>
  <c r="AB247" i="44"/>
  <c r="AB1070" i="45"/>
  <c r="AC15" i="44"/>
  <c r="AB251" i="45"/>
  <c r="X2572" i="1"/>
  <c r="W3137" i="1"/>
  <c r="W1854" i="1"/>
  <c r="AB898" i="45"/>
  <c r="AC408" i="46"/>
  <c r="X32" i="1"/>
  <c r="X803" i="1"/>
  <c r="U35" i="3" l="1"/>
  <c r="V35" i="3" s="1"/>
  <c r="W35" i="3" s="1"/>
  <c r="N23" i="39" s="1"/>
  <c r="I27" i="40" s="1"/>
  <c r="AC244" i="44"/>
  <c r="AD1216" i="44"/>
  <c r="X5627" i="1"/>
  <c r="X5628" i="1" s="1"/>
  <c r="X5629" i="1" s="1"/>
  <c r="AD243" i="44"/>
  <c r="X1610" i="1"/>
  <c r="X1611" i="1" s="1"/>
  <c r="X1612" i="1" s="1"/>
  <c r="X1071" i="1"/>
  <c r="X1072" i="1" s="1"/>
  <c r="X5636" i="1"/>
  <c r="X5637" i="1" s="1"/>
  <c r="X1619" i="1"/>
  <c r="X1620" i="1" s="1"/>
  <c r="X1621" i="1" s="1"/>
  <c r="X3430" i="1"/>
  <c r="X3431" i="1" s="1"/>
  <c r="X3432" i="1" s="1"/>
  <c r="X3981" i="1"/>
  <c r="X3982" i="1" s="1"/>
  <c r="X3983" i="1" s="1"/>
  <c r="X2337" i="1"/>
  <c r="X2338" i="1" s="1"/>
  <c r="X2845" i="1"/>
  <c r="X2846" i="1" s="1"/>
  <c r="X2576" i="1"/>
  <c r="X2577" i="1" s="1"/>
  <c r="X807" i="1"/>
  <c r="X808" i="1" s="1"/>
  <c r="V5" i="1"/>
  <c r="V271" i="1"/>
  <c r="Q15" i="3"/>
  <c r="Q33" i="3"/>
  <c r="Q14" i="3"/>
  <c r="Q32" i="3"/>
  <c r="Q13" i="3"/>
  <c r="Q31" i="3"/>
  <c r="Q12" i="3"/>
  <c r="Q30" i="3"/>
  <c r="Q11" i="3"/>
  <c r="Q29" i="3"/>
  <c r="Q10" i="3"/>
  <c r="Q28" i="3"/>
  <c r="Q9" i="3"/>
  <c r="Q27" i="3"/>
  <c r="Q8" i="3"/>
  <c r="Q26" i="3"/>
  <c r="Q7" i="3"/>
  <c r="Q25" i="3"/>
  <c r="Q6" i="3"/>
  <c r="Q24" i="3"/>
  <c r="Q5" i="3"/>
  <c r="Q23" i="3"/>
  <c r="X3421" i="1"/>
  <c r="X3422" i="1" s="1"/>
  <c r="X4528" i="1"/>
  <c r="X4529" i="1" s="1"/>
  <c r="AB667" i="45"/>
  <c r="Y1635" i="1"/>
  <c r="Y1634" i="1" s="1"/>
  <c r="AB397" i="45"/>
  <c r="X280" i="1"/>
  <c r="V3118" i="1"/>
  <c r="R20" i="3"/>
  <c r="S20" i="3"/>
  <c r="T20" i="3"/>
  <c r="T38" i="3"/>
  <c r="S38" i="3"/>
  <c r="R38" i="3"/>
  <c r="AB1016" i="45"/>
  <c r="Q37" i="3"/>
  <c r="Q19" i="3"/>
  <c r="Q36" i="3"/>
  <c r="Q18" i="3"/>
  <c r="X3974" i="1"/>
  <c r="Q34" i="3"/>
  <c r="Q16" i="3"/>
  <c r="X3107" i="1"/>
  <c r="X3108" i="1" s="1"/>
  <c r="X2836" i="1"/>
  <c r="X2837" i="1" s="1"/>
  <c r="X536" i="1"/>
  <c r="X1088" i="1"/>
  <c r="X1087" i="1"/>
  <c r="X294" i="1"/>
  <c r="X295" i="1"/>
  <c r="AC10" i="46"/>
  <c r="AB897" i="45"/>
  <c r="AB1193" i="45"/>
  <c r="AB1120" i="45"/>
  <c r="AB9" i="45"/>
  <c r="AB773" i="45"/>
  <c r="AB1068" i="45"/>
  <c r="AB129" i="45"/>
  <c r="AB250" i="45"/>
  <c r="AD984" i="44"/>
  <c r="W15" i="1"/>
  <c r="W5088" i="1"/>
  <c r="W4540" i="1"/>
  <c r="AD927" i="44"/>
  <c r="W5079" i="1"/>
  <c r="Y1063" i="1"/>
  <c r="Y3132" i="1"/>
  <c r="W1625" i="1"/>
  <c r="W2343" i="1"/>
  <c r="AD12" i="44"/>
  <c r="W2842" i="1"/>
  <c r="W3427" i="1"/>
  <c r="AD703" i="44"/>
  <c r="X1625" i="1"/>
  <c r="W1864" i="1"/>
  <c r="X1615" i="1"/>
  <c r="Y1064" i="1"/>
  <c r="W3112" i="1"/>
  <c r="AC247" i="44"/>
  <c r="Y559" i="1"/>
  <c r="W3435" i="1"/>
  <c r="X3986" i="1"/>
  <c r="AD11" i="44"/>
  <c r="W813" i="1"/>
  <c r="W3113" i="1"/>
  <c r="AC248" i="44"/>
  <c r="AD704" i="44"/>
  <c r="W3986" i="1"/>
  <c r="W2581" i="1"/>
  <c r="W298" i="1"/>
  <c r="Y3447" i="1"/>
  <c r="W2104" i="1"/>
  <c r="X540" i="1"/>
  <c r="AC407" i="46"/>
  <c r="W1077" i="1"/>
  <c r="Y29" i="1"/>
  <c r="X3436" i="1"/>
  <c r="W3987" i="1"/>
  <c r="W1855" i="1"/>
  <c r="Y2330" i="1"/>
  <c r="X5633" i="1"/>
  <c r="X299" i="1"/>
  <c r="X549" i="1"/>
  <c r="W3118" i="1"/>
  <c r="Y535" i="1"/>
  <c r="X539" i="1"/>
  <c r="X5632" i="1"/>
  <c r="X1091" i="1"/>
  <c r="X284" i="1"/>
  <c r="Y279" i="1"/>
  <c r="Y799" i="1"/>
  <c r="AC275" i="46"/>
  <c r="W5632" i="1"/>
  <c r="W1091" i="1"/>
  <c r="W2851" i="1"/>
  <c r="W549" i="1"/>
  <c r="Y800" i="1"/>
  <c r="AC143" i="46"/>
  <c r="W5633" i="1"/>
  <c r="W1092" i="1"/>
  <c r="X3987" i="1"/>
  <c r="W2850" i="1"/>
  <c r="X1855" i="1"/>
  <c r="X1616" i="1"/>
  <c r="W4533" i="1"/>
  <c r="AD473" i="44"/>
  <c r="W5641" i="1"/>
  <c r="W2342" i="1"/>
  <c r="X2573" i="1"/>
  <c r="W1615" i="1"/>
  <c r="W4534" i="1"/>
  <c r="X283" i="1"/>
  <c r="W4" i="1"/>
  <c r="X3977" i="1"/>
  <c r="W299" i="1"/>
  <c r="X3435" i="1"/>
  <c r="W271" i="1"/>
  <c r="W3426" i="1"/>
  <c r="Y2091" i="1"/>
  <c r="X1092" i="1"/>
  <c r="W1076" i="1"/>
  <c r="AD474" i="44"/>
  <c r="X1864" i="1"/>
  <c r="X2104" i="1"/>
  <c r="Y2329" i="1"/>
  <c r="W2573" i="1"/>
  <c r="X3978" i="1"/>
  <c r="Y823" i="1"/>
  <c r="W3436" i="1"/>
  <c r="X1624" i="1"/>
  <c r="W1616" i="1"/>
  <c r="W5" i="1"/>
  <c r="Y3973" i="1"/>
  <c r="X298" i="1"/>
  <c r="W1624" i="1"/>
  <c r="W270" i="1"/>
  <c r="W5642" i="1"/>
  <c r="W2841" i="1"/>
  <c r="W812" i="1"/>
  <c r="Y5102" i="1"/>
  <c r="W2582" i="1"/>
  <c r="Y2090" i="1"/>
  <c r="AD244" i="44" l="1"/>
  <c r="AD242" i="44" s="1"/>
  <c r="X4537" i="1"/>
  <c r="X4538" i="1" s="1"/>
  <c r="X4539" i="1" s="1"/>
  <c r="X5085" i="1"/>
  <c r="X5086" i="1" s="1"/>
  <c r="X5087" i="1" s="1"/>
  <c r="X12" i="1"/>
  <c r="X13" i="1" s="1"/>
  <c r="X14" i="1" s="1"/>
  <c r="X5638" i="1"/>
  <c r="X809" i="1"/>
  <c r="X2578" i="1"/>
  <c r="X2847" i="1"/>
  <c r="X2339" i="1"/>
  <c r="X1073" i="1"/>
  <c r="S23" i="3"/>
  <c r="R23" i="3"/>
  <c r="T23" i="3"/>
  <c r="T5" i="3"/>
  <c r="S5" i="3"/>
  <c r="R5" i="3"/>
  <c r="S24" i="3"/>
  <c r="T24" i="3"/>
  <c r="R24" i="3"/>
  <c r="T6" i="3"/>
  <c r="S6" i="3"/>
  <c r="R6" i="3"/>
  <c r="T25" i="3"/>
  <c r="S25" i="3"/>
  <c r="R25" i="3"/>
  <c r="U25" i="3" s="1"/>
  <c r="V25" i="3" s="1"/>
  <c r="W25" i="3" s="1"/>
  <c r="N13" i="39" s="1"/>
  <c r="I13" i="40" s="1"/>
  <c r="T7" i="3"/>
  <c r="S7" i="3"/>
  <c r="R7" i="3"/>
  <c r="U7" i="3" s="1"/>
  <c r="V7" i="3" s="1"/>
  <c r="W7" i="3" s="1"/>
  <c r="N13" i="2" s="1"/>
  <c r="I13" i="8" s="1"/>
  <c r="T26" i="3"/>
  <c r="S26" i="3"/>
  <c r="R26" i="3"/>
  <c r="T8" i="3"/>
  <c r="S8" i="3"/>
  <c r="R8" i="3"/>
  <c r="T27" i="3"/>
  <c r="S27" i="3"/>
  <c r="R27" i="3"/>
  <c r="T9" i="3"/>
  <c r="S9" i="3"/>
  <c r="R9" i="3"/>
  <c r="U9" i="3" s="1"/>
  <c r="V9" i="3" s="1"/>
  <c r="W9" i="3" s="1"/>
  <c r="N15" i="2" s="1"/>
  <c r="I15" i="8" s="1"/>
  <c r="T28" i="3"/>
  <c r="S28" i="3"/>
  <c r="R28" i="3"/>
  <c r="T10" i="3"/>
  <c r="S10" i="3"/>
  <c r="R10" i="3"/>
  <c r="U10" i="3" s="1"/>
  <c r="V10" i="3" s="1"/>
  <c r="W10" i="3" s="1"/>
  <c r="N16" i="2" s="1"/>
  <c r="I16" i="8" s="1"/>
  <c r="T29" i="3"/>
  <c r="S29" i="3"/>
  <c r="R29" i="3"/>
  <c r="T11" i="3"/>
  <c r="S11" i="3"/>
  <c r="R11" i="3"/>
  <c r="U11" i="3" s="1"/>
  <c r="V11" i="3" s="1"/>
  <c r="W11" i="3" s="1"/>
  <c r="N17" i="2" s="1"/>
  <c r="I17" i="8" s="1"/>
  <c r="T30" i="3"/>
  <c r="S30" i="3"/>
  <c r="R30" i="3"/>
  <c r="U30" i="3" s="1"/>
  <c r="V30" i="3" s="1"/>
  <c r="W30" i="3" s="1"/>
  <c r="N18" i="39" s="1"/>
  <c r="I18" i="40" s="1"/>
  <c r="T12" i="3"/>
  <c r="S12" i="3"/>
  <c r="R12" i="3"/>
  <c r="U12" i="3" s="1"/>
  <c r="V12" i="3" s="1"/>
  <c r="W12" i="3" s="1"/>
  <c r="N18" i="2" s="1"/>
  <c r="I18" i="8" s="1"/>
  <c r="T31" i="3"/>
  <c r="S31" i="3"/>
  <c r="R31" i="3"/>
  <c r="U31" i="3" s="1"/>
  <c r="V31" i="3" s="1"/>
  <c r="W31" i="3" s="1"/>
  <c r="N19" i="39" s="1"/>
  <c r="I19" i="40" s="1"/>
  <c r="T13" i="3"/>
  <c r="S13" i="3"/>
  <c r="R13" i="3"/>
  <c r="T32" i="3"/>
  <c r="S32" i="3"/>
  <c r="R32" i="3"/>
  <c r="T14" i="3"/>
  <c r="S14" i="3"/>
  <c r="R14" i="3"/>
  <c r="T33" i="3"/>
  <c r="S33" i="3"/>
  <c r="R33" i="3"/>
  <c r="U33" i="3" s="1"/>
  <c r="V33" i="3" s="1"/>
  <c r="W33" i="3" s="1"/>
  <c r="N21" i="39" s="1"/>
  <c r="I21" i="40" s="1"/>
  <c r="T15" i="3"/>
  <c r="S15" i="3"/>
  <c r="R15" i="3"/>
  <c r="U15" i="3" s="1"/>
  <c r="V15" i="3" s="1"/>
  <c r="W15" i="3" s="1"/>
  <c r="N21" i="2" s="1"/>
  <c r="I21" i="8" s="1"/>
  <c r="X5076" i="1"/>
  <c r="X5077" i="1" s="1"/>
  <c r="X5078" i="1" s="1"/>
  <c r="Y5100" i="1"/>
  <c r="X4530" i="1"/>
  <c r="X3423" i="1"/>
  <c r="U38" i="3"/>
  <c r="V38" i="3" s="1"/>
  <c r="W38" i="3" s="1"/>
  <c r="N26" i="39" s="1"/>
  <c r="I30" i="40" s="1"/>
  <c r="U20" i="3"/>
  <c r="V20" i="3" s="1"/>
  <c r="W20" i="3" s="1"/>
  <c r="N26" i="2" s="1"/>
  <c r="I30" i="8" s="1"/>
  <c r="T19" i="3"/>
  <c r="S19" i="3"/>
  <c r="R19" i="3"/>
  <c r="U19" i="3" s="1"/>
  <c r="V19" i="3" s="1"/>
  <c r="W19" i="3" s="1"/>
  <c r="N25" i="2" s="1"/>
  <c r="I29" i="8" s="1"/>
  <c r="T37" i="3"/>
  <c r="S37" i="3"/>
  <c r="R37" i="3"/>
  <c r="T18" i="3"/>
  <c r="R18" i="3"/>
  <c r="S18" i="3"/>
  <c r="T36" i="3"/>
  <c r="S36" i="3"/>
  <c r="R36" i="3"/>
  <c r="T16" i="3"/>
  <c r="S16" i="3"/>
  <c r="R16" i="3"/>
  <c r="T34" i="3"/>
  <c r="S34" i="3"/>
  <c r="R34" i="3"/>
  <c r="Y1087" i="1"/>
  <c r="Y1088" i="1"/>
  <c r="X2838" i="1"/>
  <c r="X3109" i="1"/>
  <c r="Y2568" i="1"/>
  <c r="Y2577" i="1"/>
  <c r="W3119" i="1"/>
  <c r="W272" i="1"/>
  <c r="AC274" i="46"/>
  <c r="AD10" i="44"/>
  <c r="AC142" i="46"/>
  <c r="W6" i="1"/>
  <c r="AC406" i="46"/>
  <c r="Y2328" i="1"/>
  <c r="Y3445" i="1"/>
  <c r="Y3432" i="1"/>
  <c r="Y3431" i="1"/>
  <c r="Y1612" i="1"/>
  <c r="X5082" i="1"/>
  <c r="X5091" i="1"/>
  <c r="Y545" i="1"/>
  <c r="W5081" i="1"/>
  <c r="X5090" i="1"/>
  <c r="Y280" i="1"/>
  <c r="Y4529" i="1"/>
  <c r="X2582" i="1"/>
  <c r="X5641" i="1"/>
  <c r="Y2569" i="1"/>
  <c r="Y3974" i="1"/>
  <c r="Y544" i="1"/>
  <c r="X813" i="1"/>
  <c r="Y808" i="1"/>
  <c r="Y2099" i="1"/>
  <c r="Y1851" i="1"/>
  <c r="X3113" i="1"/>
  <c r="Y822" i="1"/>
  <c r="Y3982" i="1"/>
  <c r="X2343" i="1"/>
  <c r="X1076" i="1"/>
  <c r="Y558" i="1"/>
  <c r="Y295" i="1"/>
  <c r="Y798" i="1"/>
  <c r="Y3131" i="1"/>
  <c r="W5090" i="1"/>
  <c r="X17" i="1"/>
  <c r="Y1611" i="1"/>
  <c r="X5081" i="1"/>
  <c r="Y27" i="1"/>
  <c r="Y2100" i="1"/>
  <c r="W4542" i="1"/>
  <c r="Y1850" i="1"/>
  <c r="W5082" i="1"/>
  <c r="Y5637" i="1"/>
  <c r="W5091" i="1"/>
  <c r="X2842" i="1"/>
  <c r="X4534" i="1"/>
  <c r="W17" i="1"/>
  <c r="Y1860" i="1"/>
  <c r="X2841" i="1"/>
  <c r="Y1859" i="1"/>
  <c r="Y2837" i="1"/>
  <c r="X4533" i="1"/>
  <c r="Y2338" i="1"/>
  <c r="Y1062" i="1"/>
  <c r="X18" i="1"/>
  <c r="X3426" i="1"/>
  <c r="Y2846" i="1"/>
  <c r="X2851" i="1"/>
  <c r="Y2089" i="1"/>
  <c r="X3427" i="1"/>
  <c r="AD472" i="44"/>
  <c r="X2581" i="1"/>
  <c r="X4543" i="1"/>
  <c r="X812" i="1"/>
  <c r="Y3422" i="1"/>
  <c r="Y294" i="1"/>
  <c r="Y1621" i="1"/>
  <c r="X1077" i="1"/>
  <c r="Y3983" i="1"/>
  <c r="Y3108" i="1"/>
  <c r="AD702" i="44"/>
  <c r="W18" i="1"/>
  <c r="Y536" i="1"/>
  <c r="X3112" i="1"/>
  <c r="Y1620" i="1"/>
  <c r="Y5628" i="1"/>
  <c r="X5642" i="1"/>
  <c r="X4542" i="1"/>
  <c r="Y5629" i="1"/>
  <c r="Y1072" i="1"/>
  <c r="W4543" i="1"/>
  <c r="U27" i="3" l="1"/>
  <c r="V27" i="3" s="1"/>
  <c r="W27" i="3" s="1"/>
  <c r="N15" i="39" s="1"/>
  <c r="I15" i="40" s="1"/>
  <c r="U29" i="3"/>
  <c r="V29" i="3" s="1"/>
  <c r="W29" i="3" s="1"/>
  <c r="N17" i="39" s="1"/>
  <c r="I17" i="40" s="1"/>
  <c r="U32" i="3"/>
  <c r="V32" i="3" s="1"/>
  <c r="W32" i="3" s="1"/>
  <c r="N20" i="39" s="1"/>
  <c r="I20" i="40" s="1"/>
  <c r="U14" i="3"/>
  <c r="V14" i="3" s="1"/>
  <c r="W14" i="3" s="1"/>
  <c r="N20" i="2" s="1"/>
  <c r="I20" i="8" s="1"/>
  <c r="U13" i="3"/>
  <c r="V13" i="3" s="1"/>
  <c r="W13" i="3" s="1"/>
  <c r="N19" i="2" s="1"/>
  <c r="I19" i="8" s="1"/>
  <c r="U28" i="3"/>
  <c r="V28" i="3" s="1"/>
  <c r="W28" i="3" s="1"/>
  <c r="N16" i="39" s="1"/>
  <c r="I16" i="40" s="1"/>
  <c r="U26" i="3"/>
  <c r="V26" i="3" s="1"/>
  <c r="W26" i="3" s="1"/>
  <c r="N14" i="39" s="1"/>
  <c r="I14" i="40" s="1"/>
  <c r="U8" i="3"/>
  <c r="V8" i="3" s="1"/>
  <c r="W8" i="3" s="1"/>
  <c r="N14" i="2" s="1"/>
  <c r="I14" i="8" s="1"/>
  <c r="U6" i="3"/>
  <c r="V6" i="3" s="1"/>
  <c r="W6" i="3" s="1"/>
  <c r="N12" i="2" s="1"/>
  <c r="I12" i="8" s="1"/>
  <c r="U16" i="3"/>
  <c r="V16" i="3" s="1"/>
  <c r="W16" i="3" s="1"/>
  <c r="N22" i="2" s="1"/>
  <c r="I26" i="8" s="1"/>
  <c r="X269" i="1"/>
  <c r="X270" i="1" s="1"/>
  <c r="X271" i="1" s="1"/>
  <c r="X3" i="1"/>
  <c r="X4" i="1" s="1"/>
  <c r="X5" i="1" s="1"/>
  <c r="U5" i="3"/>
  <c r="V5" i="3" s="1"/>
  <c r="W5" i="3" s="1"/>
  <c r="N11" i="2" s="1"/>
  <c r="I11" i="8" s="1"/>
  <c r="U24" i="3"/>
  <c r="V24" i="3" s="1"/>
  <c r="W24" i="3" s="1"/>
  <c r="N12" i="39" s="1"/>
  <c r="I12" i="40" s="1"/>
  <c r="U37" i="3"/>
  <c r="V37" i="3" s="1"/>
  <c r="W37" i="3" s="1"/>
  <c r="N25" i="39" s="1"/>
  <c r="I29" i="40" s="1"/>
  <c r="U36" i="3"/>
  <c r="V36" i="3" s="1"/>
  <c r="W36" i="3" s="1"/>
  <c r="N24" i="39" s="1"/>
  <c r="I28" i="40" s="1"/>
  <c r="Y543" i="1"/>
  <c r="I13" i="39" s="1"/>
  <c r="X3116" i="1"/>
  <c r="X3117" i="1" s="1"/>
  <c r="X3118" i="1" s="1"/>
  <c r="Y2578" i="1"/>
  <c r="U23" i="3"/>
  <c r="V23" i="3" s="1"/>
  <c r="W23" i="3" s="1"/>
  <c r="N11" i="39" s="1"/>
  <c r="I11" i="40" s="1"/>
  <c r="Y1086" i="1"/>
  <c r="U18" i="3"/>
  <c r="V18" i="3" s="1"/>
  <c r="W18" i="3" s="1"/>
  <c r="N24" i="2" s="1"/>
  <c r="I28" i="8" s="1"/>
  <c r="U34" i="3"/>
  <c r="V34" i="3" s="1"/>
  <c r="W34" i="3" s="1"/>
  <c r="N22" i="39" s="1"/>
  <c r="I26" i="40" s="1"/>
  <c r="I15" i="2"/>
  <c r="I18" i="2"/>
  <c r="I19" i="2"/>
  <c r="I14" i="2"/>
  <c r="Y293" i="1"/>
  <c r="Y278" i="1"/>
  <c r="Y2098" i="1"/>
  <c r="Y3981" i="1"/>
  <c r="Y534" i="1"/>
  <c r="Y3972" i="1"/>
  <c r="X3122" i="1"/>
  <c r="W274" i="1"/>
  <c r="Y3423" i="1"/>
  <c r="X2850" i="1"/>
  <c r="W275" i="1"/>
  <c r="Y3109" i="1"/>
  <c r="Y1619" i="1"/>
  <c r="W3122" i="1"/>
  <c r="Y2567" i="1"/>
  <c r="Y14" i="1"/>
  <c r="X274" i="1"/>
  <c r="Y13" i="1"/>
  <c r="Y2838" i="1"/>
  <c r="Y5638" i="1"/>
  <c r="Y5077" i="1"/>
  <c r="X3121" i="1"/>
  <c r="Y4530" i="1"/>
  <c r="X275" i="1"/>
  <c r="Y1610" i="1"/>
  <c r="Y2576" i="1"/>
  <c r="Y5086" i="1"/>
  <c r="W8" i="1"/>
  <c r="Y4539" i="1"/>
  <c r="W9" i="1"/>
  <c r="X2342" i="1"/>
  <c r="Y5087" i="1"/>
  <c r="Y809" i="1"/>
  <c r="Y1073" i="1"/>
  <c r="Y1858" i="1"/>
  <c r="Y5627" i="1"/>
  <c r="Y4538" i="1"/>
  <c r="W3121" i="1"/>
  <c r="Y3430" i="1"/>
  <c r="Y5078" i="1"/>
  <c r="Y1849" i="1"/>
  <c r="I13" i="2" l="1"/>
  <c r="O13" i="2" s="1"/>
  <c r="I17" i="2"/>
  <c r="I20" i="39"/>
  <c r="I24" i="39"/>
  <c r="F28" i="40" s="1"/>
  <c r="I17" i="39"/>
  <c r="I16" i="39"/>
  <c r="P16" i="39" s="1"/>
  <c r="I20" i="2"/>
  <c r="I18" i="39"/>
  <c r="F13" i="40"/>
  <c r="O13" i="39"/>
  <c r="P13" i="39"/>
  <c r="C25" i="3"/>
  <c r="I12" i="39"/>
  <c r="C24" i="3" s="1"/>
  <c r="G24" i="3" s="1"/>
  <c r="I23" i="39"/>
  <c r="I27" i="2"/>
  <c r="I24" i="2"/>
  <c r="P24" i="2" s="1"/>
  <c r="R24" i="2" s="1"/>
  <c r="I16" i="2"/>
  <c r="P14" i="2"/>
  <c r="O14" i="2"/>
  <c r="C8" i="3"/>
  <c r="F14" i="8"/>
  <c r="C13" i="3"/>
  <c r="P19" i="2"/>
  <c r="O19" i="2"/>
  <c r="F19" i="8"/>
  <c r="F18" i="8"/>
  <c r="C12" i="3"/>
  <c r="P18" i="2"/>
  <c r="O18" i="2"/>
  <c r="P15" i="2"/>
  <c r="O15" i="2"/>
  <c r="C9" i="3"/>
  <c r="F15" i="8"/>
  <c r="Y4537" i="1"/>
  <c r="Y2836" i="1"/>
  <c r="Y3117" i="1"/>
  <c r="Y4528" i="1"/>
  <c r="Y3421" i="1"/>
  <c r="Y5085" i="1"/>
  <c r="Y4" i="1"/>
  <c r="Y807" i="1"/>
  <c r="Y2847" i="1"/>
  <c r="Y3107" i="1"/>
  <c r="Y5636" i="1"/>
  <c r="Y3118" i="1"/>
  <c r="Y2339" i="1"/>
  <c r="Y12" i="1"/>
  <c r="Y271" i="1"/>
  <c r="Y270" i="1"/>
  <c r="X9" i="1"/>
  <c r="X8" i="1"/>
  <c r="Y1071" i="1"/>
  <c r="Y5076" i="1"/>
  <c r="P13" i="2" l="1"/>
  <c r="J13" i="8" s="1"/>
  <c r="F13" i="8"/>
  <c r="C7" i="3"/>
  <c r="G7" i="3" s="1"/>
  <c r="I22" i="2"/>
  <c r="F26" i="8" s="1"/>
  <c r="O16" i="39"/>
  <c r="F16" i="40"/>
  <c r="C28" i="3"/>
  <c r="F28" i="3" s="1"/>
  <c r="I14" i="39"/>
  <c r="I15" i="39"/>
  <c r="F15" i="40" s="1"/>
  <c r="I27" i="39"/>
  <c r="F31" i="40" s="1"/>
  <c r="I26" i="39"/>
  <c r="C38" i="3" s="1"/>
  <c r="G38" i="3" s="1"/>
  <c r="O20" i="39"/>
  <c r="F20" i="40"/>
  <c r="C32" i="3"/>
  <c r="P20" i="39"/>
  <c r="J13" i="40"/>
  <c r="R13" i="39"/>
  <c r="C36" i="3"/>
  <c r="F36" i="3" s="1"/>
  <c r="F20" i="8"/>
  <c r="P20" i="2"/>
  <c r="O20" i="2"/>
  <c r="C14" i="3"/>
  <c r="P24" i="39"/>
  <c r="J28" i="40" s="1"/>
  <c r="F17" i="40"/>
  <c r="O17" i="39"/>
  <c r="P17" i="39"/>
  <c r="C29" i="3"/>
  <c r="G25" i="3"/>
  <c r="F25" i="3"/>
  <c r="O17" i="2"/>
  <c r="C11" i="3"/>
  <c r="P17" i="2"/>
  <c r="F17" i="8"/>
  <c r="P18" i="39"/>
  <c r="O18" i="39"/>
  <c r="C30" i="3"/>
  <c r="F18" i="40"/>
  <c r="O24" i="39"/>
  <c r="O12" i="39"/>
  <c r="P12" i="39"/>
  <c r="F12" i="40"/>
  <c r="I23" i="2"/>
  <c r="I25" i="2"/>
  <c r="I26" i="2"/>
  <c r="I11" i="39"/>
  <c r="I25" i="39"/>
  <c r="C18" i="3"/>
  <c r="F28" i="8"/>
  <c r="O24" i="2"/>
  <c r="C21" i="3"/>
  <c r="O27" i="2"/>
  <c r="P27" i="2"/>
  <c r="F31" i="8"/>
  <c r="F24" i="3"/>
  <c r="F27" i="40"/>
  <c r="O23" i="39"/>
  <c r="P23" i="39"/>
  <c r="C35" i="3"/>
  <c r="J28" i="8"/>
  <c r="I21" i="2"/>
  <c r="R16" i="39"/>
  <c r="J16" i="40"/>
  <c r="AH24" i="2"/>
  <c r="L28" i="8"/>
  <c r="R19" i="2"/>
  <c r="J19" i="8"/>
  <c r="F9" i="3"/>
  <c r="G9" i="3"/>
  <c r="G13" i="3"/>
  <c r="F13" i="3"/>
  <c r="R15" i="2"/>
  <c r="J15" i="8"/>
  <c r="J18" i="8"/>
  <c r="R18" i="2"/>
  <c r="G8" i="3"/>
  <c r="F8" i="3"/>
  <c r="F12" i="3"/>
  <c r="G12" i="3"/>
  <c r="J14" i="8"/>
  <c r="R14" i="2"/>
  <c r="C10" i="3"/>
  <c r="F16" i="8"/>
  <c r="O16" i="2"/>
  <c r="P16" i="2"/>
  <c r="Y2845" i="1"/>
  <c r="Y5" i="1"/>
  <c r="Y3116" i="1"/>
  <c r="Y2337" i="1"/>
  <c r="Y269" i="1"/>
  <c r="F7" i="3" l="1"/>
  <c r="R13" i="2"/>
  <c r="L13" i="8" s="1"/>
  <c r="O22" i="2"/>
  <c r="P22" i="2"/>
  <c r="R22" i="2" s="1"/>
  <c r="C16" i="3"/>
  <c r="G16" i="3" s="1"/>
  <c r="G28" i="3"/>
  <c r="C39" i="3"/>
  <c r="G39" i="3" s="1"/>
  <c r="O27" i="39"/>
  <c r="P27" i="39"/>
  <c r="J31" i="40" s="1"/>
  <c r="R24" i="39"/>
  <c r="L28" i="40" s="1"/>
  <c r="I19" i="39"/>
  <c r="I21" i="39"/>
  <c r="I12" i="2"/>
  <c r="F12" i="8" s="1"/>
  <c r="F14" i="3"/>
  <c r="G14" i="3"/>
  <c r="G30" i="3"/>
  <c r="F30" i="3"/>
  <c r="F14" i="40"/>
  <c r="P14" i="39"/>
  <c r="C26" i="3"/>
  <c r="O14" i="39"/>
  <c r="J18" i="40"/>
  <c r="R18" i="39"/>
  <c r="J17" i="8"/>
  <c r="R17" i="2"/>
  <c r="J20" i="40"/>
  <c r="R20" i="39"/>
  <c r="G32" i="3"/>
  <c r="F32" i="3"/>
  <c r="F29" i="3"/>
  <c r="G29" i="3"/>
  <c r="C27" i="3"/>
  <c r="G27" i="3" s="1"/>
  <c r="G36" i="3"/>
  <c r="O15" i="39"/>
  <c r="F30" i="40"/>
  <c r="P26" i="39"/>
  <c r="O26" i="39"/>
  <c r="P15" i="39"/>
  <c r="J15" i="40" s="1"/>
  <c r="R20" i="2"/>
  <c r="J20" i="8"/>
  <c r="AJ13" i="39"/>
  <c r="L13" i="40"/>
  <c r="G11" i="3"/>
  <c r="F11" i="3"/>
  <c r="R17" i="39"/>
  <c r="J17" i="40"/>
  <c r="F38" i="3"/>
  <c r="J12" i="40"/>
  <c r="R12" i="39"/>
  <c r="I22" i="39"/>
  <c r="R27" i="2"/>
  <c r="J31" i="8"/>
  <c r="G18" i="3"/>
  <c r="F18" i="3"/>
  <c r="C37" i="3"/>
  <c r="F29" i="40"/>
  <c r="O25" i="39"/>
  <c r="P25" i="39"/>
  <c r="J27" i="40"/>
  <c r="R23" i="39"/>
  <c r="P26" i="2"/>
  <c r="O26" i="2"/>
  <c r="F30" i="8"/>
  <c r="C20" i="3"/>
  <c r="F21" i="3"/>
  <c r="G21" i="3"/>
  <c r="F35" i="3"/>
  <c r="G35" i="3"/>
  <c r="F11" i="40"/>
  <c r="P11" i="39"/>
  <c r="O11" i="39"/>
  <c r="C23" i="3"/>
  <c r="P25" i="2"/>
  <c r="C19" i="3"/>
  <c r="F29" i="8"/>
  <c r="O25" i="2"/>
  <c r="P23" i="2"/>
  <c r="C17" i="3"/>
  <c r="F27" i="8"/>
  <c r="O23" i="2"/>
  <c r="L15" i="8"/>
  <c r="AF15" i="2"/>
  <c r="G10" i="3"/>
  <c r="F10" i="3"/>
  <c r="J16" i="8"/>
  <c r="R16" i="2"/>
  <c r="L19" i="8"/>
  <c r="AF19" i="2"/>
  <c r="L14" i="8"/>
  <c r="AF14" i="2"/>
  <c r="L16" i="40"/>
  <c r="AJ16" i="39"/>
  <c r="L18" i="8"/>
  <c r="AF18" i="2"/>
  <c r="O21" i="2"/>
  <c r="F21" i="8"/>
  <c r="C15" i="3"/>
  <c r="P21" i="2"/>
  <c r="Y3" i="1"/>
  <c r="AF13" i="2" l="1"/>
  <c r="F16" i="3"/>
  <c r="J26" i="8"/>
  <c r="I11" i="2"/>
  <c r="P11" i="2" s="1"/>
  <c r="F39" i="3"/>
  <c r="F27" i="3"/>
  <c r="R27" i="39"/>
  <c r="L31" i="40" s="1"/>
  <c r="AL24" i="39"/>
  <c r="O21" i="39"/>
  <c r="F21" i="40"/>
  <c r="C33" i="3"/>
  <c r="P21" i="39"/>
  <c r="O12" i="2"/>
  <c r="L17" i="8"/>
  <c r="AF17" i="2"/>
  <c r="AJ18" i="39"/>
  <c r="L18" i="40"/>
  <c r="C6" i="3"/>
  <c r="G6" i="3" s="1"/>
  <c r="F26" i="3"/>
  <c r="G26" i="3"/>
  <c r="R15" i="39"/>
  <c r="L15" i="40" s="1"/>
  <c r="J14" i="40"/>
  <c r="R14" i="39"/>
  <c r="AJ20" i="39"/>
  <c r="L20" i="40"/>
  <c r="P12" i="2"/>
  <c r="R12" i="2" s="1"/>
  <c r="AF20" i="2"/>
  <c r="L20" i="8"/>
  <c r="J30" i="40"/>
  <c r="R26" i="39"/>
  <c r="L17" i="40"/>
  <c r="AJ17" i="39"/>
  <c r="P19" i="39"/>
  <c r="C31" i="3"/>
  <c r="O19" i="39"/>
  <c r="F19" i="40"/>
  <c r="AJ12" i="39"/>
  <c r="L12" i="40"/>
  <c r="AL23" i="39"/>
  <c r="L27" i="40"/>
  <c r="R23" i="2"/>
  <c r="J27" i="8"/>
  <c r="J30" i="8"/>
  <c r="R26" i="2"/>
  <c r="R25" i="2"/>
  <c r="J29" i="8"/>
  <c r="J29" i="40"/>
  <c r="R25" i="39"/>
  <c r="G37" i="3"/>
  <c r="F37" i="3"/>
  <c r="AH27" i="2"/>
  <c r="L31" i="8"/>
  <c r="G19" i="3"/>
  <c r="F19" i="3"/>
  <c r="G23" i="3"/>
  <c r="F23" i="3"/>
  <c r="J11" i="40"/>
  <c r="R11" i="39"/>
  <c r="G17" i="3"/>
  <c r="F17" i="3"/>
  <c r="G20" i="3"/>
  <c r="F20" i="3"/>
  <c r="P22" i="39"/>
  <c r="O22" i="39"/>
  <c r="F26" i="40"/>
  <c r="C34" i="3"/>
  <c r="L26" i="8"/>
  <c r="AH22" i="2"/>
  <c r="J21" i="8"/>
  <c r="R21" i="2"/>
  <c r="G15" i="3"/>
  <c r="F15" i="3"/>
  <c r="AF16" i="2"/>
  <c r="L16" i="8"/>
  <c r="O11" i="2" l="1"/>
  <c r="C5" i="3"/>
  <c r="G5" i="3" s="1"/>
  <c r="F11" i="8"/>
  <c r="J12" i="8"/>
  <c r="AL27" i="39"/>
  <c r="AJ15" i="39"/>
  <c r="AJ14" i="39"/>
  <c r="L14" i="40"/>
  <c r="R11" i="2"/>
  <c r="J11" i="8"/>
  <c r="F6" i="3"/>
  <c r="F31" i="3"/>
  <c r="G31" i="3"/>
  <c r="L30" i="40"/>
  <c r="AL26" i="39"/>
  <c r="R21" i="39"/>
  <c r="J21" i="40"/>
  <c r="J19" i="40"/>
  <c r="R19" i="39"/>
  <c r="G33" i="3"/>
  <c r="F33" i="3"/>
  <c r="L29" i="40"/>
  <c r="AL25" i="39"/>
  <c r="AH25" i="2"/>
  <c r="L29" i="8"/>
  <c r="L27" i="8"/>
  <c r="AH23" i="2"/>
  <c r="G34" i="3"/>
  <c r="F34" i="3"/>
  <c r="R22" i="39"/>
  <c r="J26" i="40"/>
  <c r="AH26" i="2"/>
  <c r="L30" i="8"/>
  <c r="L11" i="40"/>
  <c r="AJ11" i="39"/>
  <c r="AF12" i="2"/>
  <c r="L12" i="8"/>
  <c r="L21" i="8"/>
  <c r="AF21" i="2"/>
  <c r="F5" i="3" l="1"/>
  <c r="AJ21" i="39"/>
  <c r="L21" i="40"/>
  <c r="AJ19" i="39"/>
  <c r="L19" i="40"/>
  <c r="L11" i="8"/>
  <c r="AF11" i="2"/>
  <c r="AH28" i="2"/>
  <c r="R30" i="2" s="1"/>
  <c r="L41" i="40" s="1"/>
  <c r="J32" i="8"/>
  <c r="L26" i="40"/>
  <c r="J32" i="40" s="1"/>
  <c r="AL22" i="39"/>
  <c r="AL28" i="39" s="1"/>
  <c r="R30" i="39" s="1"/>
  <c r="J22" i="8"/>
  <c r="AF28" i="2"/>
  <c r="P30" i="2" s="1"/>
  <c r="J22" i="40" l="1"/>
  <c r="AJ28" i="39"/>
  <c r="P30" i="39" s="1"/>
  <c r="J44" i="40" s="1"/>
  <c r="R31" i="39"/>
  <c r="R32" i="39" s="1"/>
  <c r="R32" i="2"/>
  <c r="J29" i="41"/>
  <c r="L42" i="8"/>
  <c r="J31" i="41"/>
  <c r="J7" i="41" s="1"/>
  <c r="L44" i="40"/>
  <c r="H29" i="41"/>
  <c r="P31" i="39"/>
  <c r="J42" i="8"/>
  <c r="J41" i="40"/>
  <c r="P32" i="2"/>
  <c r="P32" i="39" l="1"/>
  <c r="M30" i="41" s="1"/>
  <c r="H31" i="41"/>
  <c r="J5" i="41" s="1"/>
  <c r="L44" i="8"/>
  <c r="L43" i="40"/>
  <c r="L45" i="40"/>
  <c r="J30" i="41"/>
  <c r="J44" i="8"/>
  <c r="J43" i="40"/>
  <c r="J45" i="40" l="1"/>
  <c r="H30" i="41"/>
</calcChain>
</file>

<file path=xl/sharedStrings.xml><?xml version="1.0" encoding="utf-8"?>
<sst xmlns="http://schemas.openxmlformats.org/spreadsheetml/2006/main" count="18893" uniqueCount="501">
  <si>
    <t>TRIM m3</t>
  </si>
  <si>
    <t>SOUNDING cm</t>
  </si>
  <si>
    <t>NET.VOL.</t>
  </si>
  <si>
    <t>METRIC</t>
  </si>
  <si>
    <t>G</t>
  </si>
  <si>
    <t>L</t>
  </si>
  <si>
    <t>M3 at 15 C</t>
  </si>
  <si>
    <t>TONS</t>
  </si>
  <si>
    <t>API</t>
  </si>
  <si>
    <t>DEN. 15C</t>
  </si>
  <si>
    <t>RD</t>
  </si>
  <si>
    <t>WCF</t>
  </si>
  <si>
    <t>Voyage No:</t>
  </si>
  <si>
    <t>Tanks</t>
  </si>
  <si>
    <t>Capacity</t>
  </si>
  <si>
    <t>Sounding Method</t>
  </si>
  <si>
    <t>Sounding</t>
  </si>
  <si>
    <t>VCF Table 54B</t>
  </si>
  <si>
    <r>
      <t>Corrected Volume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</si>
  <si>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WCF Table 56</t>
  </si>
  <si>
    <t>Port:</t>
  </si>
  <si>
    <t>Date:</t>
  </si>
  <si>
    <t>Time:</t>
  </si>
  <si>
    <t>T A N K   M A N A G E R</t>
  </si>
  <si>
    <t>Pertoleum Unit Standard</t>
  </si>
  <si>
    <t>Petroleum Unit Value</t>
  </si>
  <si>
    <t>After</t>
  </si>
  <si>
    <t>Draft:    Forward</t>
  </si>
  <si>
    <t>Trim</t>
  </si>
  <si>
    <t>Heel</t>
  </si>
  <si>
    <t>Mean</t>
  </si>
  <si>
    <t>Arrival</t>
  </si>
  <si>
    <t>Departure</t>
  </si>
  <si>
    <t>Charterer</t>
  </si>
  <si>
    <t>Dip</t>
  </si>
  <si>
    <t>Ullage</t>
  </si>
  <si>
    <r>
      <t xml:space="preserve">Temp </t>
    </r>
    <r>
      <rPr>
        <b/>
        <vertAlign val="super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C</t>
    </r>
  </si>
  <si>
    <t>SG @ 15 C</t>
  </si>
  <si>
    <t>API @ 60 F</t>
  </si>
  <si>
    <t>RD @ 60 F</t>
  </si>
  <si>
    <t>DEN @15 C</t>
  </si>
  <si>
    <t>Kind of Survey:</t>
  </si>
  <si>
    <t>Engine Room Temp</t>
  </si>
  <si>
    <t>Sea Water Temp</t>
  </si>
  <si>
    <t>Volume  M3</t>
  </si>
  <si>
    <t xml:space="preserve"> TANKS</t>
  </si>
  <si>
    <t>Observed Volume in %</t>
  </si>
  <si>
    <t>ASTM TABLE 54B</t>
  </si>
  <si>
    <r>
      <t xml:space="preserve">Temp   </t>
    </r>
    <r>
      <rPr>
        <vertAlign val="superscript"/>
        <sz val="11"/>
        <rFont val="Gisha"/>
        <family val="2"/>
      </rPr>
      <t>o</t>
    </r>
    <r>
      <rPr>
        <sz val="11"/>
        <rFont val="Gisha"/>
        <family val="2"/>
      </rPr>
      <t>C</t>
    </r>
  </si>
  <si>
    <r>
      <t xml:space="preserve">Density at 15 </t>
    </r>
    <r>
      <rPr>
        <vertAlign val="superscript"/>
        <sz val="11"/>
        <rFont val="Gisha"/>
        <family val="2"/>
      </rPr>
      <t>o</t>
    </r>
    <r>
      <rPr>
        <sz val="11"/>
        <rFont val="Gisha"/>
        <family val="2"/>
      </rPr>
      <t>C</t>
    </r>
  </si>
  <si>
    <t>Height of Sounding Pipe from Book</t>
  </si>
  <si>
    <t>Actual Height of Sounding Pipe</t>
  </si>
  <si>
    <t>Tank Name</t>
  </si>
  <si>
    <t>Height Correction</t>
  </si>
  <si>
    <t>Sounding Input</t>
  </si>
  <si>
    <t>MT</t>
  </si>
  <si>
    <t>TANK CONDITION</t>
  </si>
  <si>
    <t>Survey On:</t>
  </si>
  <si>
    <t xml:space="preserve"> F U E L   O I L</t>
  </si>
  <si>
    <t>Full Capacity</t>
  </si>
  <si>
    <t>M3</t>
  </si>
  <si>
    <t>Volume M3</t>
  </si>
  <si>
    <t>Weight MT</t>
  </si>
  <si>
    <t>TOTAL</t>
  </si>
  <si>
    <t>Trim:</t>
  </si>
  <si>
    <t>Heel:</t>
  </si>
  <si>
    <t>Prepared by:</t>
  </si>
  <si>
    <t>Chief Engineer</t>
  </si>
  <si>
    <t>SOUNDING</t>
  </si>
  <si>
    <t>NO.1 HFO TANK (S)</t>
  </si>
  <si>
    <t>NO.2 HFO TANK (P)</t>
  </si>
  <si>
    <t>NO.2 HFO TANK (S)</t>
  </si>
  <si>
    <t>LSMGO</t>
  </si>
  <si>
    <t>Panama</t>
  </si>
  <si>
    <t>HEEL STARBOARD mm</t>
  </si>
  <si>
    <t>HEEL PORT mm</t>
  </si>
  <si>
    <t>Selected Sounding</t>
  </si>
  <si>
    <t>NO.1 H.F.O. TANK (P)</t>
  </si>
  <si>
    <t>NO.2 H.F.O. TANK (S)</t>
  </si>
  <si>
    <t>ULLAGE  cm</t>
  </si>
  <si>
    <t>DIFFERENCE</t>
  </si>
  <si>
    <t>Lubricants Quantity</t>
  </si>
  <si>
    <t>Received Quantity</t>
  </si>
  <si>
    <t>2 Port</t>
  </si>
  <si>
    <t>3 Stbd</t>
  </si>
  <si>
    <t>NO.1 HFO TANK (P)</t>
  </si>
  <si>
    <t>DENS</t>
  </si>
  <si>
    <t>TEMP</t>
  </si>
  <si>
    <t>SELECT</t>
  </si>
  <si>
    <t>ALPHA</t>
  </si>
  <si>
    <t>ALPHA^</t>
  </si>
  <si>
    <t>M+O</t>
  </si>
  <si>
    <t>EXP(P)</t>
  </si>
  <si>
    <t>VCF</t>
  </si>
  <si>
    <t>CONV</t>
  </si>
  <si>
    <t>&lt;1.0750</t>
  </si>
  <si>
    <t>&lt;0.8390</t>
  </si>
  <si>
    <t>&lt;0.7875</t>
  </si>
  <si>
    <t>&lt;0.7705</t>
  </si>
  <si>
    <t>END</t>
  </si>
  <si>
    <t>TBASE</t>
  </si>
  <si>
    <t>*TBASE</t>
  </si>
  <si>
    <t>*TBASE*.8</t>
  </si>
  <si>
    <t>*TBASE^2*.8</t>
  </si>
  <si>
    <t>CORRECT</t>
  </si>
  <si>
    <t>NO.2 H.F.O. TANK (P)</t>
  </si>
  <si>
    <t>MDO SERVICE TANK</t>
  </si>
  <si>
    <t>CYLINDER OIL HS:</t>
  </si>
  <si>
    <t>CYLINDER OIL LS:</t>
  </si>
  <si>
    <t>M/E SYSTEM OIL:</t>
  </si>
  <si>
    <t>D/G SYSTEM OIL:</t>
  </si>
  <si>
    <t>FUEL OIL HS:</t>
  </si>
  <si>
    <t>FUEL OIL LS :</t>
  </si>
  <si>
    <t>MDO/MGO:</t>
  </si>
  <si>
    <t>Tank in Use</t>
  </si>
  <si>
    <t>Sounding   (cm)</t>
  </si>
  <si>
    <r>
      <t>Observed Volume in (m</t>
    </r>
    <r>
      <rPr>
        <b/>
        <vertAlign val="superscript"/>
        <sz val="11"/>
        <color theme="1"/>
        <rFont val="Calibri"/>
        <family val="2"/>
        <scheme val="minor"/>
      </rPr>
      <t>3)</t>
    </r>
  </si>
  <si>
    <t>1 Port</t>
  </si>
  <si>
    <t>Weight in            MT</t>
  </si>
  <si>
    <r>
      <t xml:space="preserve">Temp     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</si>
  <si>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GSV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M3</t>
    </r>
  </si>
  <si>
    <t>TOTAL:</t>
  </si>
  <si>
    <t>volume 100%</t>
  </si>
  <si>
    <t>AFTER BUNKERING</t>
  </si>
  <si>
    <r>
      <t>GSV      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    M3</t>
    </r>
  </si>
  <si>
    <t>Anchorage</t>
  </si>
  <si>
    <t>Port</t>
  </si>
  <si>
    <t>at Sea</t>
  </si>
  <si>
    <t>M/E &amp; D/G</t>
  </si>
  <si>
    <t>Boiler &amp; D/G</t>
  </si>
  <si>
    <t>Fuel Consumption (MT)</t>
  </si>
  <si>
    <t>Daily Fuel Consumption</t>
  </si>
  <si>
    <t>LOG BOOK</t>
  </si>
  <si>
    <t>HFO</t>
  </si>
  <si>
    <t>LSFO</t>
  </si>
  <si>
    <t>MDO</t>
  </si>
  <si>
    <t>Survey</t>
  </si>
  <si>
    <t>SG</t>
  </si>
  <si>
    <t>DEN</t>
  </si>
  <si>
    <t>after bunkering</t>
  </si>
  <si>
    <t>prior bunkering</t>
  </si>
  <si>
    <t>Pre-Bunkering</t>
  </si>
  <si>
    <t>Bunker Survey - Charterer</t>
  </si>
  <si>
    <t>Bunker Survey - Owner</t>
  </si>
  <si>
    <t>VCF TABLE 54-B</t>
  </si>
  <si>
    <r>
      <t xml:space="preserve">Density              @ 15 </t>
    </r>
    <r>
      <rPr>
        <b/>
        <vertAlign val="super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C</t>
    </r>
  </si>
  <si>
    <t>WCF                   Table 56</t>
  </si>
  <si>
    <t>Received Quantities</t>
  </si>
  <si>
    <t>WCF                     Table 56</t>
  </si>
  <si>
    <r>
      <t>Volume                    100%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</si>
  <si>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85%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</si>
  <si>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       100%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</si>
  <si>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Volume                   85% 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</si>
  <si>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PRIOR BUNKERING</t>
  </si>
  <si>
    <t>F. WATER:</t>
  </si>
  <si>
    <t>LubE Oil Quantities</t>
  </si>
  <si>
    <t>D I E S E L   O I L  /  G A S  O I L</t>
  </si>
  <si>
    <t>After Bunkering</t>
  </si>
  <si>
    <t>Survey:</t>
  </si>
  <si>
    <t>QUANTITY ADDED</t>
  </si>
  <si>
    <t>CONDITION</t>
  </si>
  <si>
    <t>3 Port</t>
  </si>
  <si>
    <t>1 Stbd</t>
  </si>
  <si>
    <t>2 Stbd</t>
  </si>
  <si>
    <t>VESSEL:</t>
  </si>
  <si>
    <t>FUEL ROB</t>
  </si>
  <si>
    <t>VOYAGE NO.:</t>
  </si>
  <si>
    <t>HFO:</t>
  </si>
  <si>
    <t>DATE:</t>
  </si>
  <si>
    <t>LSFO:</t>
  </si>
  <si>
    <t>CONDITION:</t>
  </si>
  <si>
    <t>PORT:</t>
  </si>
  <si>
    <t>LSMGO:</t>
  </si>
  <si>
    <t>SUPPLIER:</t>
  </si>
  <si>
    <t>LUBE OIL ROB</t>
  </si>
  <si>
    <t>BARGE NAME:</t>
  </si>
  <si>
    <t>M/E CYL. OIL (HIGH):</t>
  </si>
  <si>
    <t>BDN NUMBER:</t>
  </si>
  <si>
    <t>M/E CYL. OIL (LOW):</t>
  </si>
  <si>
    <t>LETTER OF PROTEST?:</t>
  </si>
  <si>
    <t>BARGE ALLONG SIDE (DATE &amp; TIME):</t>
  </si>
  <si>
    <t>A/E SYSTEM OIL:</t>
  </si>
  <si>
    <t>HOSE CONNECTED (DATE &amp; TIME):</t>
  </si>
  <si>
    <t>TOTAL LUBE OIL:</t>
  </si>
  <si>
    <t>STARTED PUMPING (DATE &amp; TIME):</t>
  </si>
  <si>
    <t>STOPPED PUMPING (DATE &amp; TIME):</t>
  </si>
  <si>
    <t>REMARKS:</t>
  </si>
  <si>
    <t>HOSE DISCONNECTED (DATE &amp; TIME):</t>
  </si>
  <si>
    <t>BARGE CASTED OFF (DATE &amp; TIME):</t>
  </si>
  <si>
    <t>SAMPLE/S GIVEN FOR ANALYSIS?:</t>
  </si>
  <si>
    <t>BUNKERING DETAILS</t>
  </si>
  <si>
    <t>MDO/MGO</t>
  </si>
  <si>
    <t>QUANTITY (MT):</t>
  </si>
  <si>
    <t>SULPHUR CONTENT(%):</t>
  </si>
  <si>
    <r>
      <t>DENSITY @ 15</t>
    </r>
    <r>
      <rPr>
        <sz val="11"/>
        <color theme="1"/>
        <rFont val="Calibri"/>
        <family val="2"/>
      </rPr>
      <t>⁰</t>
    </r>
    <r>
      <rPr>
        <sz val="12.65"/>
        <color theme="1"/>
        <rFont val="Calibri"/>
        <family val="2"/>
      </rPr>
      <t>C:</t>
    </r>
  </si>
  <si>
    <t>TANK</t>
  </si>
  <si>
    <t xml:space="preserve"> (CM)</t>
  </si>
  <si>
    <t>VOLUME</t>
  </si>
  <si>
    <t>OBSERVED</t>
  </si>
  <si>
    <t>TEMPERATURE</t>
  </si>
  <si>
    <t>CELCIUS</t>
  </si>
  <si>
    <t>PETROLEUM</t>
  </si>
  <si>
    <t>UNIT</t>
  </si>
  <si>
    <t>VALUE</t>
  </si>
  <si>
    <t>DENSITY</t>
  </si>
  <si>
    <t>15 CELCIUS</t>
  </si>
  <si>
    <t>TABLE 54-B</t>
  </si>
  <si>
    <t>VOLUME %</t>
  </si>
  <si>
    <t>CORRECTED</t>
  </si>
  <si>
    <t>VOLUME M3</t>
  </si>
  <si>
    <t>TABLE 56</t>
  </si>
  <si>
    <t>WEIGHT BY</t>
  </si>
  <si>
    <t>AIR MT</t>
  </si>
  <si>
    <t>NAME</t>
  </si>
  <si>
    <t>METHOD</t>
  </si>
  <si>
    <t>TANK NAME</t>
  </si>
  <si>
    <t>TARGET VOLUME (M3)</t>
  </si>
  <si>
    <t>TARGET VOLUME (%)</t>
  </si>
  <si>
    <t>TARGET ULLAGE (CM)</t>
  </si>
  <si>
    <t>FILLING SEQUENCE</t>
  </si>
  <si>
    <t>MEAN DRAFT:</t>
  </si>
  <si>
    <t>B  U  N  K  E  R  I  N  G      P  L  A  N</t>
  </si>
  <si>
    <t>NOTE:</t>
  </si>
  <si>
    <t>ALL FIGURES REPRESENTED HERE ARE ALL "ESTIMATED VALUES" AND FOR REFERENCE ONLY.</t>
  </si>
  <si>
    <t>"THIS IS NOT AN OFFICIAL FORM"</t>
  </si>
  <si>
    <t>1</t>
  </si>
  <si>
    <t>2</t>
  </si>
  <si>
    <t>3</t>
  </si>
  <si>
    <t>4</t>
  </si>
  <si>
    <t>5</t>
  </si>
  <si>
    <t>Depth</t>
  </si>
  <si>
    <t>Fill %</t>
  </si>
  <si>
    <t>27 compart: M/E L.O.STOR.TK.</t>
  </si>
  <si>
    <t>Compartment ident:     R5.01</t>
  </si>
  <si>
    <t>Contents         :      Lubricating Oil (LO, RHO = 0.9)</t>
  </si>
  <si>
    <t>Extreme points of comp: Aft end x = 7.96 m    (at frame 10)</t>
  </si>
  <si>
    <t>Fore end x = 11.16 m    (at frame 14)</t>
  </si>
  <si>
    <t>Sounding device:       Manual sounding</t>
  </si>
  <si>
    <t>x =   8.62 m (at frame 11) y =   3.12 m</t>
  </si>
  <si>
    <t>M/E L.O.STOR.TK. - Volume in m3</t>
  </si>
  <si>
    <t>Compartment ident:     R5.02</t>
  </si>
  <si>
    <t>x =   9.40 m (at frame 12) y =  -1.80 m</t>
  </si>
  <si>
    <t>G/E L.O.STOR.TK. - Volume in m3</t>
  </si>
  <si>
    <t>Compartment ident:     R5.03</t>
  </si>
  <si>
    <t>x =   9.40 m (at frame 12) y =  -2.69 m</t>
  </si>
  <si>
    <t>LOW TBN CYL.O.STOR.TK. - Volume in m3</t>
  </si>
  <si>
    <t>Compartment ident:     R5.04</t>
  </si>
  <si>
    <t>x =   9.70 m (at frame 12) y =  -4.53 m</t>
  </si>
  <si>
    <t>HIGH TBN CYL.O.STOR.TK. - Volume in m3</t>
  </si>
  <si>
    <t>y =  -0.35 m</t>
  </si>
  <si>
    <t>M/E L.O.SUMP.TK. - Volume in m3</t>
  </si>
  <si>
    <t>y =   1.55 m</t>
  </si>
  <si>
    <t>M/E L.O.SETT.TK. - Volume in m3</t>
  </si>
  <si>
    <t>Compartment ident:     R5.12</t>
  </si>
  <si>
    <t>x =   9.40 m (at frame 12) y =  -1.00 m</t>
  </si>
  <si>
    <t>G/E L.O.SETT.TK. - Volume in m3</t>
  </si>
  <si>
    <t>GAUGE  ULL</t>
  </si>
  <si>
    <t>26 compart: F.W.TK.P</t>
  </si>
  <si>
    <t>Compartment ident:     R6.01P</t>
  </si>
  <si>
    <t>Contents         :     Fresh Water (FW, RHO = 1)</t>
  </si>
  <si>
    <t>Extreme points of comp: Aft end x = 3.98 m    (at frame  5)</t>
  </si>
  <si>
    <t>Fore end x =  6.37 m    (at frame  8)</t>
  </si>
  <si>
    <t>Sounding device:       Remote sounding</t>
  </si>
  <si>
    <t>x =   4.07 m (at frame  5) y =   5.10 m</t>
  </si>
  <si>
    <t>z =  14.72 m</t>
  </si>
  <si>
    <t>F.W.TK.P - Volume in m3</t>
  </si>
  <si>
    <t>GAUGE</t>
  </si>
  <si>
    <t>Compartment ident:     R6.01S</t>
  </si>
  <si>
    <t>x =   5.30 m (at frame  7) y =  -5.10 m</t>
  </si>
  <si>
    <t>F.W.TK.S - Volume in m3</t>
  </si>
  <si>
    <t>28 compart: DISTILLED W.TK.</t>
  </si>
  <si>
    <t>Compartment ident:     R6.02</t>
  </si>
  <si>
    <t>Extreme points of comp: Aft end x = 6.37 m    (at frame  8)</t>
  </si>
  <si>
    <t>Fore end x =  7.96 m    (at frame 10)</t>
  </si>
  <si>
    <t>x =   7.86 m (at frame 10) y =  -5.10 m</t>
  </si>
  <si>
    <t>DISTILLED W.TK. - Volume in m3</t>
  </si>
  <si>
    <t>29 compart: DRINKING W.TK.</t>
  </si>
  <si>
    <t>Compartment ident:     R6.03</t>
  </si>
  <si>
    <t>x =   7.28 m (at frame  9) y =   5.10 m</t>
  </si>
  <si>
    <t>DRINKING W.TK. - Volume in m3</t>
  </si>
  <si>
    <t>CAPACITY    100%</t>
  </si>
  <si>
    <t>START ULLAGE (CM)</t>
  </si>
  <si>
    <t>START VOLUME (M3)</t>
  </si>
  <si>
    <t xml:space="preserve">TRIM: </t>
  </si>
  <si>
    <t xml:space="preserve">HEEL: </t>
  </si>
  <si>
    <t xml:space="preserve">ESTIMATED BUNKERING TIME: </t>
  </si>
  <si>
    <t xml:space="preserve">DELIVERY RATE: </t>
  </si>
  <si>
    <t xml:space="preserve">BUNKER QUANTITY: </t>
  </si>
  <si>
    <t xml:space="preserve">DRAFT AFT: </t>
  </si>
  <si>
    <t xml:space="preserve">VOYAGE NO.: </t>
  </si>
  <si>
    <t xml:space="preserve">DATE: </t>
  </si>
  <si>
    <t xml:space="preserve">DRAFT FWD: </t>
  </si>
  <si>
    <t xml:space="preserve">FUEL TYPE: </t>
  </si>
  <si>
    <t>BUNKERING REPORT</t>
  </si>
  <si>
    <t>Fuel Type</t>
  </si>
  <si>
    <t>Draft:</t>
  </si>
  <si>
    <t>Forward</t>
  </si>
  <si>
    <t>Sea Water Temp.</t>
  </si>
  <si>
    <t>DATE</t>
  </si>
  <si>
    <t>BILGE WATER</t>
  </si>
  <si>
    <t>SLUDGE</t>
  </si>
  <si>
    <t>SEWAGE HOLDING</t>
  </si>
  <si>
    <t>FUEL OIL OVERFLOW</t>
  </si>
  <si>
    <t>LUBE OIL   DRAIN</t>
  </si>
  <si>
    <t>MISCELLANEOUS TANKS</t>
  </si>
  <si>
    <t>CM</t>
  </si>
  <si>
    <t>HEEL:</t>
  </si>
  <si>
    <t>TRIM:</t>
  </si>
  <si>
    <t>MEAN:</t>
  </si>
  <si>
    <t>AFT:</t>
  </si>
  <si>
    <t>FWD:</t>
  </si>
  <si>
    <t>DRAFT</t>
  </si>
  <si>
    <t>M/E L.O. SUMP</t>
  </si>
  <si>
    <t>F.O. SLUDGE</t>
  </si>
  <si>
    <t>OVERFLOW</t>
  </si>
  <si>
    <t>FUEL OIL</t>
  </si>
  <si>
    <t>F.O.</t>
  </si>
  <si>
    <t>DRAIN</t>
  </si>
  <si>
    <t>LUBE OIL</t>
  </si>
  <si>
    <t>BILGE</t>
  </si>
  <si>
    <t>WATER</t>
  </si>
  <si>
    <t>SEWAGE</t>
  </si>
  <si>
    <t>HOLDING</t>
  </si>
  <si>
    <t>M/E L.O.</t>
  </si>
  <si>
    <t>SUMP</t>
  </si>
  <si>
    <t>S/T L.O.</t>
  </si>
  <si>
    <t>FRESH - WATER TANKS</t>
  </si>
  <si>
    <t>PORT</t>
  </si>
  <si>
    <t>STARBOARD</t>
  </si>
  <si>
    <t>F.W. TANK PORT</t>
  </si>
  <si>
    <t>F.W. TANK STARBOARD</t>
  </si>
  <si>
    <t>DISTILLED WATER TANK</t>
  </si>
  <si>
    <t>DRINKING WATER TANK</t>
  </si>
  <si>
    <t>F.W.G. PRODUCTION</t>
  </si>
  <si>
    <t>F.W.G. FLOWMETER</t>
  </si>
  <si>
    <t>F.W. NET PRODUCTION</t>
  </si>
  <si>
    <t>LITERS</t>
  </si>
  <si>
    <t>F.W. TANK</t>
  </si>
  <si>
    <t>F.W.G.</t>
  </si>
  <si>
    <t>FLOWMETER</t>
  </si>
  <si>
    <t>PRODUCTION</t>
  </si>
  <si>
    <t>FRESH-WATER CONSUMPTION</t>
  </si>
  <si>
    <t>FRESH-WATER</t>
  </si>
  <si>
    <t>CONSUMPTION</t>
  </si>
  <si>
    <t>F.W. NET</t>
  </si>
  <si>
    <t>LUBRICATING OIL TANKS</t>
  </si>
  <si>
    <t>MAIN ENGINE       L.O. STORAGE</t>
  </si>
  <si>
    <t>GENERATOR ENGINE      L.O. STORAGE</t>
  </si>
  <si>
    <t>M/E CYLINDER OIL LOW TBN</t>
  </si>
  <si>
    <t>M/E CYLINDER OIL HIGH TBN</t>
  </si>
  <si>
    <t>MAIN ENGINE          L.O. SETTLING</t>
  </si>
  <si>
    <t>GENERATOR ENGINE       L.O. SETTLING</t>
  </si>
  <si>
    <t>MAIN ENGINE</t>
  </si>
  <si>
    <t>L.O. STORAGE</t>
  </si>
  <si>
    <t>M/E CYLINDER OIL</t>
  </si>
  <si>
    <t>LOW TBN</t>
  </si>
  <si>
    <t>HIGH TBN</t>
  </si>
  <si>
    <t>L.O. SETTLING</t>
  </si>
  <si>
    <t>L.O. SUMP TANK</t>
  </si>
  <si>
    <t>BUNKER QUANTITY</t>
  </si>
  <si>
    <t>PREVIOUS QUANTITY:</t>
  </si>
  <si>
    <t>PRESENT QUANTITY:</t>
  </si>
  <si>
    <t>FUEL TYPE:</t>
  </si>
  <si>
    <t>FUEL GRADE:</t>
  </si>
  <si>
    <t>QUANTITY</t>
  </si>
  <si>
    <t>RECEIVED / CORRECTED</t>
  </si>
  <si>
    <t>RECEIVED / CORRECTED:</t>
  </si>
  <si>
    <t>bunjker</t>
  </si>
  <si>
    <t>IFO 180cst</t>
  </si>
  <si>
    <t>testing only</t>
  </si>
  <si>
    <t>LADEN</t>
  </si>
  <si>
    <t>NO</t>
  </si>
  <si>
    <t>TOTAL ROB</t>
  </si>
  <si>
    <t>CYLINDER OIL</t>
  </si>
  <si>
    <t>AVERAGE DAILY:</t>
  </si>
  <si>
    <t>FRESH WATER</t>
  </si>
  <si>
    <t>DEN @ 15 C</t>
  </si>
  <si>
    <t>MV JEWEL</t>
  </si>
  <si>
    <t>MDO STORAGE TANK (S)</t>
  </si>
  <si>
    <t>MGO SERVICE TK</t>
  </si>
  <si>
    <t>67-L</t>
  </si>
  <si>
    <t>B  U  N  K  E  R       C O N S U M P T I O N      C A L C U L A T I O N</t>
  </si>
  <si>
    <t>Voyage No. :</t>
  </si>
  <si>
    <t>FROM</t>
  </si>
  <si>
    <t>TO</t>
  </si>
  <si>
    <t>DISTANCE</t>
  </si>
  <si>
    <t>SPEED</t>
  </si>
  <si>
    <t>LS/HFO QUANTITY</t>
  </si>
  <si>
    <t>LS/MGO QUANTITY</t>
  </si>
  <si>
    <t>DAYS</t>
  </si>
  <si>
    <t>Total Consumption:</t>
  </si>
  <si>
    <t>Required Quantity:</t>
  </si>
  <si>
    <t>Departure ROB:</t>
  </si>
  <si>
    <t>Arrival ROB:</t>
  </si>
  <si>
    <t>Next Departure ROB:</t>
  </si>
  <si>
    <t>HFO/LSFO</t>
  </si>
  <si>
    <t>MDO/MGO/LSMGO</t>
  </si>
  <si>
    <t>DAILY CONSUMED</t>
  </si>
  <si>
    <t>Margin %:</t>
  </si>
  <si>
    <t>MARVIN ENDOZO</t>
  </si>
  <si>
    <t>BILGE TANK</t>
  </si>
  <si>
    <t>SLUDGE TANK</t>
  </si>
  <si>
    <t>FO OVERFLOW TANK</t>
  </si>
  <si>
    <t>SEWAGE HOLDING TANK</t>
  </si>
  <si>
    <t>LO DRAIN TANK</t>
  </si>
  <si>
    <t>FO DRAIN TANK</t>
  </si>
  <si>
    <t>STERN TUBE TANK</t>
  </si>
  <si>
    <t>CLEAN DRAIN TANK</t>
  </si>
  <si>
    <t>G/E LO OVERFLOW TANK</t>
  </si>
  <si>
    <t>OILY BILGE TANK</t>
  </si>
  <si>
    <t>ME SUMP TANK</t>
  </si>
  <si>
    <t>CLEAN DRAIN</t>
  </si>
  <si>
    <t>S/T DRAIN</t>
  </si>
  <si>
    <t>OILY BILGE</t>
  </si>
  <si>
    <t>OILY</t>
  </si>
  <si>
    <t>MARVIN C. ENDOZO</t>
  </si>
  <si>
    <t>MAIN ENGINE            SUMP TANK</t>
  </si>
  <si>
    <t>SOUNDING ullage</t>
  </si>
  <si>
    <t>sounding cm</t>
  </si>
  <si>
    <t>sounding ullage</t>
  </si>
  <si>
    <t>NO.3 HFO TANK (P)</t>
  </si>
  <si>
    <t>HFO SETTLING TK</t>
  </si>
  <si>
    <t>HFO SERVICE TK</t>
  </si>
  <si>
    <t>LS HFO SERVICE TK</t>
  </si>
  <si>
    <t>LS HFO SETTLING TK</t>
  </si>
  <si>
    <t>HFO OVERFLOW TK</t>
  </si>
  <si>
    <t>NO.3 HFO TANK (S)</t>
  </si>
  <si>
    <t>MDO TANK (P)</t>
  </si>
  <si>
    <t>MDO TANK (S)</t>
  </si>
  <si>
    <t>MDO SERVICE TK</t>
  </si>
  <si>
    <t>MDO SETTLING TK</t>
  </si>
  <si>
    <t>increments</t>
  </si>
  <si>
    <t>NO.1 H.F.O. TANK (S)</t>
  </si>
  <si>
    <t>NO.3 H.F.O. TANK (P)</t>
  </si>
  <si>
    <t>NO.3 H.F.O. TANK (S)</t>
  </si>
  <si>
    <t>MDO STORAGE TANK (P)</t>
  </si>
  <si>
    <t>MDO SETTLING TANK</t>
  </si>
  <si>
    <t>MGO STORAGE TANK (S)</t>
  </si>
  <si>
    <t>MGO SERVICE TANK</t>
  </si>
  <si>
    <t>H.F.O.SETTLING TANK</t>
  </si>
  <si>
    <t>H.F.O. SERVICE TANK</t>
  </si>
  <si>
    <t>LS H.F.O. SETTLING TANK</t>
  </si>
  <si>
    <t>H.F.O OVERFLOW TANK</t>
  </si>
  <si>
    <t>LS H.F.O. SERVICE TANK</t>
  </si>
  <si>
    <t>61-L</t>
  </si>
  <si>
    <t>MV GIORGIS</t>
  </si>
  <si>
    <t>TRIM</t>
  </si>
  <si>
    <t>HEEL</t>
  </si>
  <si>
    <t>MGO STOR. TK (S)</t>
  </si>
  <si>
    <t>6</t>
  </si>
  <si>
    <t>GIORGIS</t>
  </si>
  <si>
    <t>Report:</t>
  </si>
  <si>
    <t>Weekly Monitoring</t>
  </si>
  <si>
    <t>Bunker Survey - Joint</t>
  </si>
  <si>
    <t>4 Port</t>
  </si>
  <si>
    <t>4 Stbd</t>
  </si>
  <si>
    <t>550-</t>
  </si>
  <si>
    <t>2.5ll</t>
  </si>
  <si>
    <t>2.494.</t>
  </si>
  <si>
    <t>2.923-</t>
  </si>
  <si>
    <t>4.Oll</t>
  </si>
  <si>
    <t>4.-287 •</t>
  </si>
  <si>
    <t>1-287</t>
  </si>
  <si>
    <t>4.287 ;</t>
  </si>
  <si>
    <t>12..624</t>
  </si>
  <si>
    <t>12.624 ..</t>
  </si>
  <si>
    <t>12.624-.</t>
  </si>
  <si>
    <t>12,.624</t>
  </si>
  <si>
    <t>1°100</t>
  </si>
  <si>
    <t>12.  624</t>
  </si>
  <si>
    <t>1:2.624</t>
  </si>
  <si>
    <t>trim</t>
  </si>
  <si>
    <t>heel</t>
  </si>
  <si>
    <t>change this value depending on the sounding table</t>
  </si>
  <si>
    <t>83:234</t>
  </si>
  <si>
    <t>'95.265</t>
  </si>
  <si>
    <t>190.lil</t>
  </si>
  <si>
    <t>235.431 .</t>
  </si>
  <si>
    <t>262. 38</t>
  </si>
  <si>
    <t>SCAVENGING DRAIN</t>
  </si>
  <si>
    <t>WASTE OIL SERVICE</t>
  </si>
  <si>
    <t>SCVNGNG</t>
  </si>
  <si>
    <t>WASTE OIL</t>
  </si>
  <si>
    <t>SERVICE</t>
  </si>
  <si>
    <t>Total Distance:</t>
  </si>
  <si>
    <t>Days At Sea:</t>
  </si>
  <si>
    <t>Days At Port:</t>
  </si>
  <si>
    <t>Consumption Margin:</t>
  </si>
  <si>
    <t>Quantity to Recieve:</t>
  </si>
  <si>
    <t>LAS PALMAS, SPAIN</t>
  </si>
  <si>
    <r>
      <t>Density   @15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Kg/l(Vac)</t>
    </r>
  </si>
  <si>
    <r>
      <t>Density   @ 15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 Kg/l(Vac)</t>
    </r>
  </si>
  <si>
    <t>68-B</t>
  </si>
  <si>
    <t>MOTOIR, FRANCE</t>
  </si>
  <si>
    <t>HERCULES 400</t>
  </si>
  <si>
    <t>GENERATOR</t>
  </si>
  <si>
    <t>MAY</t>
  </si>
  <si>
    <t>SEPTEMBER</t>
  </si>
  <si>
    <t>AT SEA</t>
  </si>
  <si>
    <t>Bunkering - Charterer</t>
  </si>
  <si>
    <t>Bunkering -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</si>
</sst>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"/>
    <numFmt numFmtId="165" formatCode="0.000"/>
    <numFmt numFmtId="166" formatCode="0.0000"/>
    <numFmt numFmtId="167" formatCode="###0;###0"/>
    <numFmt numFmtId="168" formatCode="0.0_ "/>
    <numFmt numFmtId="169" formatCode="0.00_ "/>
    <numFmt numFmtId="170" formatCode="0.00000000000"/>
    <numFmt numFmtId="171" formatCode="[$-409]d\-mmm\-yyyy;@"/>
    <numFmt numFmtId="172" formatCode="0.000000"/>
    <numFmt numFmtId="173" formatCode="0\ \M\T"/>
    <numFmt numFmtId="174" formatCode="0\ \L\T\R\S"/>
    <numFmt numFmtId="175" formatCode="h:mm;@"/>
    <numFmt numFmtId="176" formatCode="dd\-mmm\-yyyy\ hh:mm"/>
    <numFmt numFmtId="177" formatCode="dd\-mmm\-yyyy"/>
    <numFmt numFmtId="178" formatCode="0_ "/>
    <numFmt numFmtId="179" formatCode="0.000\ \M\T"/>
    <numFmt numFmtId="180" formatCode="###0.000;###0.000"/>
    <numFmt numFmtId="181" formatCode="0.00\ \M\T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name val="Times New Roman"/>
      <family val="1"/>
    </font>
    <font>
      <b/>
      <vertAlign val="superscript"/>
      <sz val="11"/>
      <color theme="1"/>
      <name val="Calibri"/>
      <family val="2"/>
      <scheme val="minor"/>
    </font>
    <font>
      <i/>
      <sz val="14"/>
      <color theme="1"/>
      <name val="Engravers MT"/>
      <family val="1"/>
    </font>
    <font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name val="Gisha"/>
      <family val="2"/>
    </font>
    <font>
      <vertAlign val="superscript"/>
      <sz val="11"/>
      <name val="Gisha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9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charset val="161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Gill Sans Ultra Bold"/>
      <family val="2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1"/>
      <name val="Calibri"/>
      <family val="2"/>
    </font>
    <font>
      <sz val="12.65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name val="Courier New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Times New Roman"/>
      <family val="1"/>
    </font>
    <font>
      <sz val="12"/>
      <name val="Times New Roman"/>
      <family val="1"/>
    </font>
    <font>
      <sz val="11"/>
      <name val="Calibri"/>
      <family val="2"/>
    </font>
    <font>
      <sz val="12"/>
      <color theme="1"/>
      <name val="Calibri"/>
      <family val="2"/>
      <scheme val="minor"/>
    </font>
    <font>
      <sz val="12"/>
      <name val="Calibri"/>
      <family val="2"/>
    </font>
    <font>
      <sz val="10"/>
      <color rgb="FF000000"/>
      <name val="Times New Roman"/>
      <family val="1"/>
    </font>
    <font>
      <sz val="11"/>
      <color theme="3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33CC"/>
        <bgColor indexed="64"/>
      </patternFill>
    </fill>
  </fills>
  <borders count="9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3"/>
      </left>
      <right style="thin">
        <color indexed="63"/>
      </right>
      <top style="medium">
        <color indexed="63"/>
      </top>
      <bottom/>
      <diagonal/>
    </border>
    <border>
      <left style="thin">
        <color indexed="63"/>
      </left>
      <right style="thin">
        <color indexed="63"/>
      </right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theme="0" tint="-4.9989318521683403E-2"/>
      </left>
      <right/>
      <top/>
      <bottom style="medium">
        <color indexed="64"/>
      </bottom>
      <diagonal/>
    </border>
    <border>
      <left/>
      <right style="double">
        <color theme="0" tint="-4.9989318521683403E-2"/>
      </right>
      <top/>
      <bottom style="medium">
        <color indexed="64"/>
      </bottom>
      <diagonal/>
    </border>
    <border>
      <left style="medium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medium">
        <color indexed="63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75">
    <xf numFmtId="0" fontId="0" fillId="0" borderId="0" xfId="0"/>
    <xf numFmtId="0" fontId="25" fillId="0" borderId="0" xfId="0" applyFont="1"/>
    <xf numFmtId="0" fontId="26" fillId="0" borderId="0" xfId="0" applyFont="1" applyProtection="1">
      <protection hidden="1"/>
    </xf>
    <xf numFmtId="0" fontId="29" fillId="0" borderId="19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33" borderId="19" xfId="0" applyFill="1" applyBorder="1" applyAlignment="1" applyProtection="1">
      <alignment horizontal="center" vertical="center"/>
      <protection locked="0"/>
    </xf>
    <xf numFmtId="0" fontId="16" fillId="33" borderId="0" xfId="0" applyFont="1" applyFill="1"/>
    <xf numFmtId="2" fontId="0" fillId="0" borderId="0" xfId="0" applyNumberFormat="1"/>
    <xf numFmtId="165" fontId="0" fillId="0" borderId="0" xfId="0" applyNumberFormat="1"/>
    <xf numFmtId="0" fontId="22" fillId="33" borderId="24" xfId="0" applyFont="1" applyFill="1" applyBorder="1" applyAlignment="1" applyProtection="1">
      <alignment horizontal="center" vertical="center"/>
      <protection locked="0"/>
    </xf>
    <xf numFmtId="0" fontId="22" fillId="35" borderId="24" xfId="0" applyFont="1" applyFill="1" applyBorder="1" applyAlignment="1" applyProtection="1">
      <alignment horizontal="center" vertical="center"/>
      <protection hidden="1"/>
    </xf>
    <xf numFmtId="169" fontId="0" fillId="35" borderId="24" xfId="0" applyNumberFormat="1" applyFill="1" applyBorder="1" applyAlignment="1" applyProtection="1">
      <alignment horizontal="center" vertical="center"/>
      <protection hidden="1"/>
    </xf>
    <xf numFmtId="0" fontId="16" fillId="33" borderId="24" xfId="0" applyFont="1" applyFill="1" applyBorder="1" applyAlignment="1" applyProtection="1">
      <alignment horizontal="center" vertical="center"/>
      <protection locked="0"/>
    </xf>
    <xf numFmtId="0" fontId="0" fillId="33" borderId="11" xfId="0" applyFill="1" applyBorder="1" applyAlignment="1" applyProtection="1">
      <alignment horizontal="center" vertical="center"/>
      <protection locked="0"/>
    </xf>
    <xf numFmtId="2" fontId="0" fillId="0" borderId="19" xfId="0" applyNumberFormat="1" applyBorder="1" applyAlignment="1" applyProtection="1">
      <alignment horizontal="center"/>
      <protection hidden="1"/>
    </xf>
    <xf numFmtId="2" fontId="34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top"/>
    </xf>
    <xf numFmtId="0" fontId="36" fillId="0" borderId="0" xfId="0" applyFont="1"/>
    <xf numFmtId="0" fontId="36" fillId="0" borderId="0" xfId="0" applyFont="1" applyAlignment="1">
      <alignment horizontal="center"/>
    </xf>
    <xf numFmtId="1" fontId="34" fillId="0" borderId="0" xfId="0" applyNumberFormat="1" applyFont="1" applyAlignment="1">
      <alignment horizontal="center" vertical="center"/>
    </xf>
    <xf numFmtId="167" fontId="34" fillId="0" borderId="0" xfId="0" applyNumberFormat="1" applyFont="1" applyAlignment="1">
      <alignment horizontal="left" vertical="top" wrapText="1"/>
    </xf>
    <xf numFmtId="167" fontId="35" fillId="0" borderId="0" xfId="0" applyNumberFormat="1" applyFont="1" applyAlignment="1">
      <alignment horizontal="left" vertical="top" wrapText="1"/>
    </xf>
    <xf numFmtId="167" fontId="34" fillId="0" borderId="0" xfId="0" applyNumberFormat="1" applyFont="1" applyAlignment="1">
      <alignment horizontal="left" vertical="center" wrapText="1"/>
    </xf>
    <xf numFmtId="167" fontId="35" fillId="0" borderId="0" xfId="0" applyNumberFormat="1" applyFont="1" applyAlignment="1">
      <alignment horizontal="left" vertical="center" wrapText="1"/>
    </xf>
    <xf numFmtId="167" fontId="34" fillId="0" borderId="0" xfId="0" applyNumberFormat="1" applyFont="1" applyAlignment="1">
      <alignment horizontal="right" vertical="top" wrapText="1"/>
    </xf>
    <xf numFmtId="0" fontId="37" fillId="0" borderId="0" xfId="0" applyFont="1"/>
    <xf numFmtId="0" fontId="25" fillId="0" borderId="0" xfId="0" applyFont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25" fillId="0" borderId="36" xfId="0" applyFont="1" applyBorder="1"/>
    <xf numFmtId="0" fontId="40" fillId="0" borderId="0" xfId="0" applyFont="1" applyAlignment="1">
      <alignment horizontal="center"/>
    </xf>
    <xf numFmtId="0" fontId="40" fillId="0" borderId="19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9" fillId="0" borderId="0" xfId="0" applyFont="1"/>
    <xf numFmtId="2" fontId="25" fillId="0" borderId="0" xfId="0" applyNumberFormat="1" applyFont="1" applyAlignment="1">
      <alignment horizontal="center" vertical="center"/>
    </xf>
    <xf numFmtId="2" fontId="38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/>
    </xf>
    <xf numFmtId="165" fontId="25" fillId="0" borderId="0" xfId="0" applyNumberFormat="1" applyFont="1"/>
    <xf numFmtId="1" fontId="25" fillId="0" borderId="0" xfId="0" applyNumberFormat="1" applyFont="1" applyAlignment="1">
      <alignment horizontal="center"/>
    </xf>
    <xf numFmtId="2" fontId="36" fillId="0" borderId="0" xfId="0" applyNumberFormat="1" applyFont="1"/>
    <xf numFmtId="0" fontId="36" fillId="0" borderId="0" xfId="0" applyFont="1" applyAlignment="1">
      <alignment horizontal="center" vertical="center"/>
    </xf>
    <xf numFmtId="0" fontId="0" fillId="0" borderId="0" xfId="0" applyProtection="1">
      <protection hidden="1"/>
    </xf>
    <xf numFmtId="0" fontId="16" fillId="34" borderId="44" xfId="0" applyFont="1" applyFill="1" applyBorder="1" applyAlignment="1" applyProtection="1">
      <alignment vertical="center"/>
      <protection hidden="1"/>
    </xf>
    <xf numFmtId="0" fontId="16" fillId="34" borderId="24" xfId="0" applyFont="1" applyFill="1" applyBorder="1" applyAlignment="1" applyProtection="1">
      <alignment horizontal="center" vertical="center"/>
      <protection hidden="1"/>
    </xf>
    <xf numFmtId="0" fontId="16" fillId="34" borderId="20" xfId="0" applyFont="1" applyFill="1" applyBorder="1" applyAlignment="1" applyProtection="1">
      <alignment horizontal="center" vertical="center" wrapText="1"/>
      <protection hidden="1"/>
    </xf>
    <xf numFmtId="0" fontId="0" fillId="35" borderId="27" xfId="0" applyFill="1" applyBorder="1" applyAlignment="1" applyProtection="1">
      <alignment vertical="center"/>
      <protection hidden="1"/>
    </xf>
    <xf numFmtId="0" fontId="0" fillId="33" borderId="19" xfId="0" applyFill="1" applyBorder="1" applyAlignment="1" applyProtection="1">
      <alignment horizontal="center"/>
      <protection hidden="1"/>
    </xf>
    <xf numFmtId="0" fontId="0" fillId="35" borderId="19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166" fontId="0" fillId="0" borderId="0" xfId="0" applyNumberFormat="1"/>
    <xf numFmtId="0" fontId="0" fillId="35" borderId="0" xfId="0" applyFill="1" applyAlignment="1" applyProtection="1">
      <alignment vertical="center"/>
      <protection hidden="1"/>
    </xf>
    <xf numFmtId="0" fontId="0" fillId="33" borderId="0" xfId="0" applyFill="1" applyProtection="1">
      <protection hidden="1"/>
    </xf>
    <xf numFmtId="0" fontId="0" fillId="0" borderId="40" xfId="0" applyBorder="1"/>
    <xf numFmtId="0" fontId="0" fillId="33" borderId="13" xfId="0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horizontal="center" vertical="center"/>
      <protection hidden="1"/>
    </xf>
    <xf numFmtId="165" fontId="0" fillId="33" borderId="19" xfId="0" applyNumberFormat="1" applyFill="1" applyBorder="1" applyAlignment="1">
      <alignment horizontal="center"/>
    </xf>
    <xf numFmtId="0" fontId="0" fillId="33" borderId="0" xfId="0" applyFill="1"/>
    <xf numFmtId="0" fontId="16" fillId="33" borderId="0" xfId="0" applyFont="1" applyFill="1" applyAlignment="1">
      <alignment horizontal="right"/>
    </xf>
    <xf numFmtId="0" fontId="16" fillId="33" borderId="0" xfId="0" applyFont="1" applyFill="1" applyAlignment="1">
      <alignment horizontal="right" vertical="center"/>
    </xf>
    <xf numFmtId="0" fontId="0" fillId="33" borderId="19" xfId="0" applyFill="1" applyBorder="1" applyAlignment="1">
      <alignment horizontal="center" vertical="center"/>
    </xf>
    <xf numFmtId="0" fontId="0" fillId="33" borderId="21" xfId="0" applyFill="1" applyBorder="1"/>
    <xf numFmtId="0" fontId="0" fillId="33" borderId="19" xfId="0" applyFill="1" applyBorder="1" applyAlignment="1">
      <alignment horizontal="center"/>
    </xf>
    <xf numFmtId="2" fontId="0" fillId="33" borderId="19" xfId="0" applyNumberFormat="1" applyFill="1" applyBorder="1" applyAlignment="1">
      <alignment horizontal="center"/>
    </xf>
    <xf numFmtId="166" fontId="0" fillId="33" borderId="19" xfId="0" applyNumberFormat="1" applyFill="1" applyBorder="1" applyAlignment="1">
      <alignment horizontal="center"/>
    </xf>
    <xf numFmtId="170" fontId="0" fillId="0" borderId="0" xfId="0" applyNumberFormat="1"/>
    <xf numFmtId="0" fontId="0" fillId="33" borderId="20" xfId="0" applyFill="1" applyBorder="1"/>
    <xf numFmtId="2" fontId="0" fillId="33" borderId="20" xfId="0" applyNumberFormat="1" applyFill="1" applyBorder="1"/>
    <xf numFmtId="0" fontId="0" fillId="33" borderId="52" xfId="0" applyFill="1" applyBorder="1"/>
    <xf numFmtId="166" fontId="0" fillId="33" borderId="25" xfId="0" applyNumberFormat="1" applyFill="1" applyBorder="1"/>
    <xf numFmtId="0" fontId="0" fillId="33" borderId="19" xfId="0" applyFill="1" applyBorder="1" applyAlignment="1">
      <alignment horizontal="left" vertical="center"/>
    </xf>
    <xf numFmtId="2" fontId="0" fillId="33" borderId="19" xfId="0" applyNumberFormat="1" applyFill="1" applyBorder="1" applyAlignment="1">
      <alignment horizontal="center" vertical="center"/>
    </xf>
    <xf numFmtId="0" fontId="0" fillId="33" borderId="19" xfId="0" applyFill="1" applyBorder="1"/>
    <xf numFmtId="0" fontId="16" fillId="33" borderId="0" xfId="0" applyFont="1" applyFill="1" applyAlignment="1">
      <alignment vertical="center"/>
    </xf>
    <xf numFmtId="0" fontId="16" fillId="34" borderId="30" xfId="0" applyFont="1" applyFill="1" applyBorder="1" applyAlignment="1" applyProtection="1">
      <alignment horizontal="right" vertical="center"/>
      <protection hidden="1"/>
    </xf>
    <xf numFmtId="0" fontId="16" fillId="34" borderId="19" xfId="0" applyFont="1" applyFill="1" applyBorder="1" applyAlignment="1" applyProtection="1">
      <alignment horizontal="right" vertical="center"/>
      <protection hidden="1"/>
    </xf>
    <xf numFmtId="0" fontId="16" fillId="34" borderId="13" xfId="0" applyFont="1" applyFill="1" applyBorder="1" applyAlignment="1" applyProtection="1">
      <alignment horizontal="right" vertical="center"/>
      <protection hidden="1"/>
    </xf>
    <xf numFmtId="0" fontId="16" fillId="0" borderId="19" xfId="0" applyFont="1" applyBorder="1" applyAlignment="1">
      <alignment horizontal="center"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0" borderId="19" xfId="0" applyFont="1" applyBorder="1"/>
    <xf numFmtId="165" fontId="27" fillId="0" borderId="0" xfId="0" applyNumberFormat="1" applyFont="1" applyAlignment="1" applyProtection="1">
      <alignment horizontal="center"/>
      <protection hidden="1"/>
    </xf>
    <xf numFmtId="165" fontId="27" fillId="0" borderId="19" xfId="0" applyNumberFormat="1" applyFont="1" applyBorder="1" applyAlignment="1" applyProtection="1">
      <alignment horizontal="center"/>
      <protection hidden="1"/>
    </xf>
    <xf numFmtId="0" fontId="40" fillId="36" borderId="10" xfId="0" applyFont="1" applyFill="1" applyBorder="1" applyAlignment="1" applyProtection="1">
      <alignment horizontal="left" vertical="center"/>
      <protection hidden="1"/>
    </xf>
    <xf numFmtId="0" fontId="40" fillId="36" borderId="30" xfId="0" applyFont="1" applyFill="1" applyBorder="1" applyAlignment="1" applyProtection="1">
      <alignment horizontal="left" vertical="center"/>
      <protection hidden="1"/>
    </xf>
    <xf numFmtId="0" fontId="40" fillId="36" borderId="12" xfId="0" applyFont="1" applyFill="1" applyBorder="1" applyAlignment="1" applyProtection="1">
      <alignment horizontal="left" vertical="center"/>
      <protection hidden="1"/>
    </xf>
    <xf numFmtId="0" fontId="16" fillId="0" borderId="19" xfId="0" applyFont="1" applyBorder="1" applyAlignment="1">
      <alignment horizontal="center" vertical="center"/>
    </xf>
    <xf numFmtId="2" fontId="14" fillId="0" borderId="19" xfId="0" applyNumberFormat="1" applyFont="1" applyBorder="1" applyAlignment="1">
      <alignment horizontal="center" vertical="center"/>
    </xf>
    <xf numFmtId="0" fontId="0" fillId="33" borderId="0" xfId="0" applyFill="1" applyAlignment="1">
      <alignment vertical="top"/>
    </xf>
    <xf numFmtId="0" fontId="0" fillId="33" borderId="0" xfId="0" applyFill="1" applyAlignment="1">
      <alignment vertical="center"/>
    </xf>
    <xf numFmtId="0" fontId="14" fillId="0" borderId="19" xfId="0" applyFont="1" applyBorder="1" applyAlignment="1" applyProtection="1">
      <alignment horizontal="center" vertical="center"/>
      <protection hidden="1"/>
    </xf>
    <xf numFmtId="0" fontId="14" fillId="0" borderId="19" xfId="0" applyFont="1" applyBorder="1" applyAlignment="1" applyProtection="1">
      <alignment horizontal="center" vertical="center"/>
      <protection locked="0"/>
    </xf>
    <xf numFmtId="0" fontId="29" fillId="0" borderId="32" xfId="0" applyFont="1" applyBorder="1" applyAlignment="1">
      <alignment horizontal="center"/>
    </xf>
    <xf numFmtId="166" fontId="25" fillId="0" borderId="0" xfId="0" applyNumberFormat="1" applyFont="1"/>
    <xf numFmtId="164" fontId="0" fillId="0" borderId="0" xfId="0" applyNumberFormat="1"/>
    <xf numFmtId="2" fontId="0" fillId="35" borderId="19" xfId="0" applyNumberFormat="1" applyFill="1" applyBorder="1" applyAlignment="1" applyProtection="1">
      <alignment horizontal="center" vertical="center"/>
      <protection hidden="1"/>
    </xf>
    <xf numFmtId="0" fontId="0" fillId="35" borderId="33" xfId="0" applyFill="1" applyBorder="1" applyAlignment="1" applyProtection="1">
      <alignment vertical="center"/>
      <protection hidden="1"/>
    </xf>
    <xf numFmtId="0" fontId="0" fillId="35" borderId="11" xfId="0" applyFill="1" applyBorder="1" applyAlignment="1" applyProtection="1">
      <alignment horizontal="center" vertical="center"/>
      <protection hidden="1"/>
    </xf>
    <xf numFmtId="2" fontId="0" fillId="35" borderId="11" xfId="0" applyNumberFormat="1" applyFill="1" applyBorder="1" applyAlignment="1" applyProtection="1">
      <alignment horizontal="center" vertical="center"/>
      <protection hidden="1"/>
    </xf>
    <xf numFmtId="0" fontId="0" fillId="35" borderId="11" xfId="0" applyFill="1" applyBorder="1" applyAlignment="1" applyProtection="1">
      <alignment vertical="center"/>
      <protection hidden="1"/>
    </xf>
    <xf numFmtId="0" fontId="0" fillId="0" borderId="11" xfId="0" applyBorder="1" applyAlignment="1" applyProtection="1">
      <alignment horizontal="center" vertical="center"/>
      <protection locked="0"/>
    </xf>
    <xf numFmtId="166" fontId="0" fillId="33" borderId="11" xfId="0" applyNumberFormat="1" applyFill="1" applyBorder="1" applyAlignment="1" applyProtection="1">
      <alignment horizontal="center" vertical="center"/>
      <protection locked="0"/>
    </xf>
    <xf numFmtId="166" fontId="0" fillId="35" borderId="11" xfId="0" applyNumberFormat="1" applyFill="1" applyBorder="1" applyAlignment="1" applyProtection="1">
      <alignment horizontal="center" vertical="center"/>
      <protection hidden="1"/>
    </xf>
    <xf numFmtId="9" fontId="0" fillId="35" borderId="11" xfId="42" applyFont="1" applyFill="1" applyBorder="1" applyAlignment="1" applyProtection="1">
      <alignment horizontal="center" vertical="center"/>
      <protection hidden="1"/>
    </xf>
    <xf numFmtId="165" fontId="0" fillId="35" borderId="11" xfId="0" applyNumberFormat="1" applyFill="1" applyBorder="1" applyAlignment="1" applyProtection="1">
      <alignment horizontal="center" vertical="center"/>
      <protection hidden="1"/>
    </xf>
    <xf numFmtId="165" fontId="0" fillId="35" borderId="50" xfId="0" applyNumberFormat="1" applyFill="1" applyBorder="1" applyAlignment="1" applyProtection="1">
      <alignment horizontal="center" vertical="center"/>
      <protection hidden="1"/>
    </xf>
    <xf numFmtId="0" fontId="0" fillId="35" borderId="19" xfId="0" applyFill="1" applyBorder="1" applyAlignment="1" applyProtection="1">
      <alignment vertical="center"/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165" fontId="0" fillId="35" borderId="19" xfId="0" applyNumberFormat="1" applyFill="1" applyBorder="1" applyAlignment="1" applyProtection="1">
      <alignment horizontal="center" vertical="center"/>
      <protection hidden="1"/>
    </xf>
    <xf numFmtId="166" fontId="0" fillId="33" borderId="19" xfId="0" applyNumberFormat="1" applyFill="1" applyBorder="1" applyAlignment="1" applyProtection="1">
      <alignment horizontal="center" vertical="center"/>
      <protection locked="0"/>
    </xf>
    <xf numFmtId="166" fontId="0" fillId="35" borderId="19" xfId="0" applyNumberFormat="1" applyFill="1" applyBorder="1" applyAlignment="1" applyProtection="1">
      <alignment horizontal="center" vertical="center"/>
      <protection hidden="1"/>
    </xf>
    <xf numFmtId="9" fontId="0" fillId="35" borderId="19" xfId="42" applyFont="1" applyFill="1" applyBorder="1" applyAlignment="1" applyProtection="1">
      <alignment horizontal="center" vertical="center"/>
      <protection hidden="1"/>
    </xf>
    <xf numFmtId="165" fontId="0" fillId="35" borderId="31" xfId="0" applyNumberFormat="1" applyFill="1" applyBorder="1" applyAlignment="1" applyProtection="1">
      <alignment horizontal="center" vertical="center"/>
      <protection hidden="1"/>
    </xf>
    <xf numFmtId="166" fontId="0" fillId="33" borderId="19" xfId="0" applyNumberFormat="1" applyFill="1" applyBorder="1" applyAlignment="1" applyProtection="1">
      <alignment horizontal="center" vertical="center"/>
      <protection hidden="1"/>
    </xf>
    <xf numFmtId="2" fontId="0" fillId="35" borderId="13" xfId="0" applyNumberFormat="1" applyFill="1" applyBorder="1" applyAlignment="1" applyProtection="1">
      <alignment horizontal="center" vertical="center"/>
      <protection hidden="1"/>
    </xf>
    <xf numFmtId="0" fontId="0" fillId="35" borderId="13" xfId="0" applyFill="1" applyBorder="1" applyAlignment="1" applyProtection="1">
      <alignment vertical="center"/>
      <protection hidden="1"/>
    </xf>
    <xf numFmtId="165" fontId="0" fillId="35" borderId="13" xfId="0" applyNumberFormat="1" applyFill="1" applyBorder="1" applyAlignment="1" applyProtection="1">
      <alignment horizontal="center" vertical="center"/>
      <protection hidden="1"/>
    </xf>
    <xf numFmtId="166" fontId="0" fillId="35" borderId="13" xfId="0" applyNumberFormat="1" applyFill="1" applyBorder="1" applyAlignment="1" applyProtection="1">
      <alignment horizontal="center" vertical="center"/>
      <protection hidden="1"/>
    </xf>
    <xf numFmtId="165" fontId="0" fillId="35" borderId="43" xfId="0" applyNumberFormat="1" applyFill="1" applyBorder="1" applyAlignment="1" applyProtection="1">
      <alignment horizontal="center" vertical="center"/>
      <protection hidden="1"/>
    </xf>
    <xf numFmtId="0" fontId="0" fillId="35" borderId="26" xfId="0" applyFill="1" applyBorder="1" applyAlignment="1" applyProtection="1">
      <alignment vertical="center"/>
      <protection hidden="1"/>
    </xf>
    <xf numFmtId="0" fontId="0" fillId="35" borderId="27" xfId="0" applyFill="1" applyBorder="1" applyAlignment="1">
      <alignment vertical="center"/>
    </xf>
    <xf numFmtId="0" fontId="0" fillId="35" borderId="28" xfId="0" applyFill="1" applyBorder="1" applyAlignment="1">
      <alignment vertical="center"/>
    </xf>
    <xf numFmtId="0" fontId="0" fillId="35" borderId="34" xfId="0" applyFill="1" applyBorder="1" applyAlignment="1">
      <alignment vertical="center"/>
    </xf>
    <xf numFmtId="0" fontId="0" fillId="35" borderId="33" xfId="0" applyFill="1" applyBorder="1" applyAlignment="1">
      <alignment vertical="center"/>
    </xf>
    <xf numFmtId="0" fontId="0" fillId="0" borderId="34" xfId="0" applyBorder="1" applyAlignment="1" applyProtection="1">
      <alignment vertical="center"/>
      <protection hidden="1"/>
    </xf>
    <xf numFmtId="0" fontId="0" fillId="0" borderId="33" xfId="0" applyBorder="1" applyAlignment="1" applyProtection="1">
      <alignment vertical="center"/>
      <protection hidden="1"/>
    </xf>
    <xf numFmtId="0" fontId="0" fillId="0" borderId="35" xfId="0" applyBorder="1" applyAlignment="1" applyProtection="1">
      <alignment vertical="center"/>
      <protection hidden="1"/>
    </xf>
    <xf numFmtId="0" fontId="21" fillId="35" borderId="0" xfId="0" applyFont="1" applyFill="1" applyAlignment="1" applyProtection="1">
      <alignment vertical="center"/>
      <protection hidden="1"/>
    </xf>
    <xf numFmtId="0" fontId="0" fillId="33" borderId="45" xfId="0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40" xfId="0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 applyProtection="1">
      <alignment vertical="center"/>
      <protection hidden="1"/>
    </xf>
    <xf numFmtId="0" fontId="25" fillId="0" borderId="29" xfId="0" applyFont="1" applyBorder="1" applyAlignment="1" applyProtection="1">
      <alignment vertical="center"/>
      <protection hidden="1"/>
    </xf>
    <xf numFmtId="0" fontId="0" fillId="35" borderId="0" xfId="0" applyFill="1"/>
    <xf numFmtId="0" fontId="25" fillId="34" borderId="30" xfId="0" applyFont="1" applyFill="1" applyBorder="1" applyAlignment="1" applyProtection="1">
      <alignment horizontal="right" vertical="center"/>
      <protection hidden="1"/>
    </xf>
    <xf numFmtId="0" fontId="25" fillId="34" borderId="12" xfId="0" applyFont="1" applyFill="1" applyBorder="1" applyAlignment="1" applyProtection="1">
      <alignment horizontal="right" vertical="center"/>
      <protection hidden="1"/>
    </xf>
    <xf numFmtId="0" fontId="16" fillId="35" borderId="0" xfId="0" applyFont="1" applyFill="1" applyAlignment="1" applyProtection="1">
      <alignment vertical="center"/>
      <protection hidden="1"/>
    </xf>
    <xf numFmtId="174" fontId="0" fillId="33" borderId="31" xfId="0" applyNumberFormat="1" applyFill="1" applyBorder="1" applyAlignment="1" applyProtection="1">
      <alignment horizontal="center" vertical="center"/>
      <protection locked="0"/>
    </xf>
    <xf numFmtId="174" fontId="0" fillId="33" borderId="43" xfId="0" applyNumberFormat="1" applyFill="1" applyBorder="1" applyAlignment="1" applyProtection="1">
      <alignment horizontal="center" vertical="center"/>
      <protection locked="0"/>
    </xf>
    <xf numFmtId="0" fontId="32" fillId="33" borderId="63" xfId="0" applyFont="1" applyFill="1" applyBorder="1" applyAlignment="1">
      <alignment horizontal="center"/>
    </xf>
    <xf numFmtId="0" fontId="32" fillId="33" borderId="64" xfId="0" applyFont="1" applyFill="1" applyBorder="1" applyAlignment="1">
      <alignment horizontal="center"/>
    </xf>
    <xf numFmtId="0" fontId="16" fillId="0" borderId="50" xfId="0" applyFont="1" applyBorder="1" applyAlignment="1">
      <alignment horizontal="center" vertical="center"/>
    </xf>
    <xf numFmtId="0" fontId="0" fillId="33" borderId="68" xfId="0" applyFill="1" applyBorder="1" applyAlignment="1">
      <alignment horizontal="right" vertical="center"/>
    </xf>
    <xf numFmtId="0" fontId="0" fillId="33" borderId="71" xfId="0" applyFill="1" applyBorder="1" applyAlignment="1">
      <alignment horizontal="right" vertical="center"/>
    </xf>
    <xf numFmtId="0" fontId="0" fillId="33" borderId="41" xfId="0" applyFill="1" applyBorder="1" applyAlignment="1">
      <alignment horizontal="right" vertical="center"/>
    </xf>
    <xf numFmtId="0" fontId="0" fillId="33" borderId="72" xfId="0" applyFill="1" applyBorder="1" applyAlignment="1">
      <alignment horizontal="right" vertical="center"/>
    </xf>
    <xf numFmtId="0" fontId="0" fillId="33" borderId="30" xfId="0" applyFill="1" applyBorder="1" applyAlignment="1">
      <alignment horizontal="right" vertical="center"/>
    </xf>
    <xf numFmtId="0" fontId="0" fillId="33" borderId="12" xfId="0" applyFill="1" applyBorder="1" applyAlignment="1">
      <alignment horizontal="right" vertical="center"/>
    </xf>
    <xf numFmtId="0" fontId="0" fillId="33" borderId="65" xfId="0" applyFill="1" applyBorder="1" applyAlignment="1">
      <alignment horizontal="right" vertical="center"/>
    </xf>
    <xf numFmtId="171" fontId="0" fillId="0" borderId="0" xfId="0" applyNumberFormat="1"/>
    <xf numFmtId="171" fontId="0" fillId="0" borderId="0" xfId="0" applyNumberFormat="1" applyProtection="1">
      <protection hidden="1"/>
    </xf>
    <xf numFmtId="0" fontId="0" fillId="33" borderId="13" xfId="0" applyFill="1" applyBorder="1" applyAlignment="1">
      <alignment horizontal="center" vertical="center"/>
    </xf>
    <xf numFmtId="0" fontId="0" fillId="33" borderId="10" xfId="0" applyFill="1" applyBorder="1"/>
    <xf numFmtId="0" fontId="0" fillId="33" borderId="11" xfId="0" applyFill="1" applyBorder="1" applyAlignment="1">
      <alignment horizontal="center"/>
    </xf>
    <xf numFmtId="2" fontId="0" fillId="33" borderId="11" xfId="0" applyNumberFormat="1" applyFill="1" applyBorder="1" applyAlignment="1">
      <alignment horizontal="center"/>
    </xf>
    <xf numFmtId="165" fontId="0" fillId="33" borderId="11" xfId="0" applyNumberFormat="1" applyFill="1" applyBorder="1" applyAlignment="1">
      <alignment horizontal="center"/>
    </xf>
    <xf numFmtId="166" fontId="0" fillId="33" borderId="11" xfId="0" applyNumberFormat="1" applyFill="1" applyBorder="1" applyAlignment="1">
      <alignment horizontal="center"/>
    </xf>
    <xf numFmtId="165" fontId="0" fillId="33" borderId="50" xfId="0" applyNumberFormat="1" applyFill="1" applyBorder="1" applyAlignment="1">
      <alignment horizontal="center"/>
    </xf>
    <xf numFmtId="0" fontId="0" fillId="33" borderId="65" xfId="0" applyFill="1" applyBorder="1"/>
    <xf numFmtId="165" fontId="0" fillId="33" borderId="31" xfId="0" applyNumberFormat="1" applyFill="1" applyBorder="1" applyAlignment="1">
      <alignment horizontal="center"/>
    </xf>
    <xf numFmtId="0" fontId="0" fillId="33" borderId="12" xfId="0" applyFill="1" applyBorder="1"/>
    <xf numFmtId="0" fontId="0" fillId="33" borderId="13" xfId="0" applyFill="1" applyBorder="1"/>
    <xf numFmtId="2" fontId="0" fillId="33" borderId="13" xfId="0" applyNumberFormat="1" applyFill="1" applyBorder="1"/>
    <xf numFmtId="0" fontId="0" fillId="33" borderId="73" xfId="0" applyFill="1" applyBorder="1"/>
    <xf numFmtId="166" fontId="0" fillId="33" borderId="60" xfId="0" applyNumberFormat="1" applyFill="1" applyBorder="1"/>
    <xf numFmtId="0" fontId="0" fillId="33" borderId="10" xfId="0" applyFill="1" applyBorder="1" applyAlignment="1">
      <alignment horizontal="left" vertical="center"/>
    </xf>
    <xf numFmtId="2" fontId="0" fillId="33" borderId="11" xfId="0" applyNumberFormat="1" applyFill="1" applyBorder="1" applyAlignment="1">
      <alignment horizontal="center" vertical="center"/>
    </xf>
    <xf numFmtId="0" fontId="0" fillId="33" borderId="30" xfId="0" applyFill="1" applyBorder="1" applyAlignment="1">
      <alignment horizontal="left" vertical="center"/>
    </xf>
    <xf numFmtId="2" fontId="0" fillId="33" borderId="13" xfId="0" applyNumberFormat="1" applyFill="1" applyBorder="1" applyAlignment="1">
      <alignment horizontal="center"/>
    </xf>
    <xf numFmtId="0" fontId="44" fillId="0" borderId="0" xfId="0" applyFont="1" applyAlignment="1" applyProtection="1">
      <alignment vertical="center"/>
      <protection hidden="1"/>
    </xf>
    <xf numFmtId="0" fontId="0" fillId="0" borderId="40" xfId="0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27" xfId="0" applyBorder="1" applyProtection="1">
      <protection hidden="1"/>
    </xf>
    <xf numFmtId="0" fontId="0" fillId="0" borderId="28" xfId="0" applyBorder="1" applyProtection="1">
      <protection hidden="1"/>
    </xf>
    <xf numFmtId="0" fontId="43" fillId="0" borderId="70" xfId="0" applyFont="1" applyBorder="1" applyAlignment="1" applyProtection="1">
      <alignment horizontal="center" vertical="center"/>
      <protection hidden="1"/>
    </xf>
    <xf numFmtId="0" fontId="43" fillId="0" borderId="63" xfId="0" applyFont="1" applyBorder="1" applyAlignment="1" applyProtection="1">
      <alignment horizontal="center" vertical="center"/>
      <protection hidden="1"/>
    </xf>
    <xf numFmtId="0" fontId="45" fillId="0" borderId="63" xfId="0" applyFont="1" applyBorder="1" applyAlignment="1" applyProtection="1">
      <alignment horizontal="center" vertical="center"/>
      <protection hidden="1"/>
    </xf>
    <xf numFmtId="0" fontId="43" fillId="0" borderId="0" xfId="0" applyFont="1" applyAlignment="1" applyProtection="1">
      <alignment vertical="center"/>
      <protection hidden="1"/>
    </xf>
    <xf numFmtId="0" fontId="46" fillId="0" borderId="0" xfId="0" applyFont="1" applyAlignment="1" applyProtection="1">
      <alignment vertical="center"/>
      <protection hidden="1"/>
    </xf>
    <xf numFmtId="2" fontId="46" fillId="0" borderId="0" xfId="0" applyNumberFormat="1" applyFont="1" applyAlignment="1" applyProtection="1">
      <alignment vertical="center"/>
      <protection hidden="1"/>
    </xf>
    <xf numFmtId="2" fontId="25" fillId="0" borderId="0" xfId="0" applyNumberFormat="1" applyFont="1"/>
    <xf numFmtId="0" fontId="38" fillId="0" borderId="0" xfId="0" applyFont="1" applyAlignment="1">
      <alignment vertical="center"/>
    </xf>
    <xf numFmtId="0" fontId="25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  <xf numFmtId="1" fontId="0" fillId="0" borderId="0" xfId="0" applyNumberFormat="1"/>
    <xf numFmtId="0" fontId="16" fillId="33" borderId="7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4" fontId="51" fillId="0" borderId="0" xfId="0" applyNumberFormat="1" applyFont="1" applyProtection="1">
      <protection hidden="1"/>
    </xf>
    <xf numFmtId="0" fontId="49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wrapText="1"/>
      <protection hidden="1"/>
    </xf>
    <xf numFmtId="0" fontId="0" fillId="0" borderId="19" xfId="0" applyBorder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locked="0" hidden="1"/>
    </xf>
    <xf numFmtId="0" fontId="16" fillId="34" borderId="84" xfId="0" applyFont="1" applyFill="1" applyBorder="1" applyAlignment="1" applyProtection="1">
      <alignment vertical="center"/>
      <protection hidden="1"/>
    </xf>
    <xf numFmtId="179" fontId="0" fillId="33" borderId="19" xfId="0" applyNumberFormat="1" applyFill="1" applyBorder="1" applyAlignment="1" applyProtection="1">
      <alignment horizontal="center" vertical="center"/>
      <protection locked="0"/>
    </xf>
    <xf numFmtId="179" fontId="0" fillId="35" borderId="13" xfId="0" applyNumberFormat="1" applyFill="1" applyBorder="1" applyAlignment="1" applyProtection="1">
      <alignment horizontal="center" vertical="center"/>
      <protection hidden="1"/>
    </xf>
    <xf numFmtId="0" fontId="16" fillId="34" borderId="70" xfId="0" applyFont="1" applyFill="1" applyBorder="1" applyAlignment="1" applyProtection="1">
      <alignment horizontal="center" vertical="center"/>
      <protection hidden="1"/>
    </xf>
    <xf numFmtId="0" fontId="16" fillId="34" borderId="63" xfId="0" applyFont="1" applyFill="1" applyBorder="1" applyAlignment="1" applyProtection="1">
      <alignment horizontal="center" vertical="center"/>
      <protection hidden="1"/>
    </xf>
    <xf numFmtId="0" fontId="16" fillId="34" borderId="64" xfId="0" applyFont="1" applyFill="1" applyBorder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179" fontId="0" fillId="35" borderId="21" xfId="0" applyNumberFormat="1" applyFill="1" applyBorder="1" applyAlignment="1" applyProtection="1">
      <alignment horizontal="center" vertical="center"/>
      <protection hidden="1"/>
    </xf>
    <xf numFmtId="179" fontId="0" fillId="35" borderId="67" xfId="0" applyNumberFormat="1" applyFill="1" applyBorder="1" applyAlignment="1" applyProtection="1">
      <alignment horizontal="center" vertical="center"/>
      <protection hidden="1"/>
    </xf>
    <xf numFmtId="179" fontId="0" fillId="35" borderId="66" xfId="0" applyNumberFormat="1" applyFill="1" applyBorder="1" applyAlignment="1" applyProtection="1">
      <alignment horizontal="center" vertical="center"/>
      <protection hidden="1"/>
    </xf>
    <xf numFmtId="179" fontId="0" fillId="33" borderId="23" xfId="0" applyNumberFormat="1" applyFill="1" applyBorder="1" applyAlignment="1" applyProtection="1">
      <alignment horizontal="center" vertical="center"/>
      <protection hidden="1"/>
    </xf>
    <xf numFmtId="179" fontId="0" fillId="33" borderId="31" xfId="0" applyNumberFormat="1" applyFill="1" applyBorder="1" applyAlignment="1" applyProtection="1">
      <alignment horizontal="center" vertical="center"/>
      <protection hidden="1"/>
    </xf>
    <xf numFmtId="0" fontId="25" fillId="35" borderId="0" xfId="0" applyFont="1" applyFill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hidden="1"/>
    </xf>
    <xf numFmtId="0" fontId="16" fillId="34" borderId="84" xfId="0" applyFont="1" applyFill="1" applyBorder="1" applyAlignment="1" applyProtection="1">
      <alignment horizontal="center" vertical="center"/>
      <protection hidden="1"/>
    </xf>
    <xf numFmtId="0" fontId="16" fillId="34" borderId="44" xfId="0" applyFont="1" applyFill="1" applyBorder="1" applyAlignment="1" applyProtection="1">
      <alignment horizontal="right" vertical="center"/>
      <protection hidden="1"/>
    </xf>
    <xf numFmtId="165" fontId="0" fillId="35" borderId="67" xfId="0" applyNumberFormat="1" applyFill="1" applyBorder="1" applyAlignment="1" applyProtection="1">
      <alignment horizontal="center" vertical="center"/>
      <protection hidden="1"/>
    </xf>
    <xf numFmtId="165" fontId="0" fillId="35" borderId="21" xfId="0" applyNumberFormat="1" applyFill="1" applyBorder="1" applyAlignment="1" applyProtection="1">
      <alignment horizontal="center" vertical="center"/>
      <protection hidden="1"/>
    </xf>
    <xf numFmtId="165" fontId="0" fillId="35" borderId="66" xfId="0" applyNumberFormat="1" applyFill="1" applyBorder="1" applyAlignment="1" applyProtection="1">
      <alignment horizontal="center" vertical="center"/>
      <protection hidden="1"/>
    </xf>
    <xf numFmtId="165" fontId="0" fillId="35" borderId="23" xfId="0" applyNumberFormat="1" applyFill="1" applyBorder="1" applyAlignment="1" applyProtection="1">
      <alignment horizontal="center" vertical="center"/>
      <protection hidden="1"/>
    </xf>
    <xf numFmtId="165" fontId="0" fillId="35" borderId="46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65" fontId="0" fillId="33" borderId="21" xfId="0" applyNumberFormat="1" applyFill="1" applyBorder="1" applyAlignment="1" applyProtection="1">
      <alignment horizontal="center" vertical="center"/>
      <protection hidden="1"/>
    </xf>
    <xf numFmtId="165" fontId="0" fillId="33" borderId="66" xfId="0" applyNumberFormat="1" applyFill="1" applyBorder="1" applyAlignment="1" applyProtection="1">
      <alignment horizontal="center" vertical="center"/>
      <protection hidden="1"/>
    </xf>
    <xf numFmtId="165" fontId="0" fillId="33" borderId="19" xfId="0" applyNumberFormat="1" applyFill="1" applyBorder="1" applyAlignment="1" applyProtection="1">
      <alignment horizontal="center" vertical="center"/>
      <protection hidden="1"/>
    </xf>
    <xf numFmtId="165" fontId="0" fillId="33" borderId="31" xfId="0" applyNumberFormat="1" applyFill="1" applyBorder="1" applyAlignment="1" applyProtection="1">
      <alignment horizontal="center" vertical="center"/>
      <protection hidden="1"/>
    </xf>
    <xf numFmtId="165" fontId="0" fillId="33" borderId="13" xfId="0" applyNumberFormat="1" applyFill="1" applyBorder="1" applyAlignment="1" applyProtection="1">
      <alignment horizontal="center" vertical="center"/>
      <protection hidden="1"/>
    </xf>
    <xf numFmtId="165" fontId="0" fillId="33" borderId="43" xfId="0" applyNumberFormat="1" applyFill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>
      <alignment horizontal="center" vertical="center"/>
    </xf>
    <xf numFmtId="165" fontId="0" fillId="0" borderId="46" xfId="0" applyNumberFormat="1" applyBorder="1" applyAlignment="1">
      <alignment horizontal="center" vertical="center"/>
    </xf>
    <xf numFmtId="0" fontId="32" fillId="33" borderId="49" xfId="0" applyFont="1" applyFill="1" applyBorder="1" applyAlignment="1">
      <alignment horizontal="center"/>
    </xf>
    <xf numFmtId="0" fontId="32" fillId="33" borderId="82" xfId="0" applyFont="1" applyFill="1" applyBorder="1" applyAlignment="1">
      <alignment horizontal="center"/>
    </xf>
    <xf numFmtId="165" fontId="0" fillId="33" borderId="11" xfId="0" applyNumberFormat="1" applyFill="1" applyBorder="1" applyAlignment="1" applyProtection="1">
      <alignment horizontal="center" vertical="center"/>
      <protection hidden="1"/>
    </xf>
    <xf numFmtId="165" fontId="0" fillId="33" borderId="50" xfId="0" applyNumberFormat="1" applyFill="1" applyBorder="1" applyAlignment="1" applyProtection="1">
      <alignment horizontal="center" vertical="center"/>
      <protection hidden="1"/>
    </xf>
    <xf numFmtId="165" fontId="0" fillId="33" borderId="67" xfId="0" applyNumberFormat="1" applyFill="1" applyBorder="1" applyAlignment="1" applyProtection="1">
      <alignment horizontal="center" vertical="center"/>
      <protection hidden="1"/>
    </xf>
    <xf numFmtId="165" fontId="0" fillId="33" borderId="23" xfId="0" applyNumberFormat="1" applyFill="1" applyBorder="1" applyAlignment="1" applyProtection="1">
      <alignment horizontal="center" vertical="center"/>
      <protection hidden="1"/>
    </xf>
    <xf numFmtId="165" fontId="0" fillId="33" borderId="46" xfId="0" applyNumberFormat="1" applyFill="1" applyBorder="1" applyAlignment="1" applyProtection="1">
      <alignment horizontal="center" vertical="center"/>
      <protection hidden="1"/>
    </xf>
    <xf numFmtId="0" fontId="16" fillId="33" borderId="85" xfId="0" applyFont="1" applyFill="1" applyBorder="1" applyAlignment="1">
      <alignment horizontal="center" vertical="center"/>
    </xf>
    <xf numFmtId="165" fontId="0" fillId="33" borderId="15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16" fillId="0" borderId="71" xfId="0" applyFont="1" applyBorder="1" applyAlignment="1">
      <alignment vertical="center"/>
    </xf>
    <xf numFmtId="0" fontId="16" fillId="35" borderId="41" xfId="0" applyFont="1" applyFill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59" xfId="0" applyFont="1" applyBorder="1" applyAlignment="1">
      <alignment vertical="center"/>
    </xf>
    <xf numFmtId="0" fontId="17" fillId="0" borderId="0" xfId="0" applyFont="1"/>
    <xf numFmtId="0" fontId="30" fillId="0" borderId="0" xfId="0" applyFont="1" applyAlignment="1">
      <alignment horizontal="left" vertical="center"/>
    </xf>
    <xf numFmtId="0" fontId="0" fillId="35" borderId="19" xfId="0" applyFill="1" applyBorder="1" applyAlignment="1">
      <alignment horizontal="right" vertical="center"/>
    </xf>
    <xf numFmtId="49" fontId="30" fillId="0" borderId="0" xfId="0" applyNumberFormat="1" applyFont="1" applyAlignment="1">
      <alignment vertical="center"/>
    </xf>
    <xf numFmtId="0" fontId="0" fillId="0" borderId="47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65" fontId="0" fillId="0" borderId="21" xfId="0" applyNumberFormat="1" applyBorder="1" applyAlignment="1" applyProtection="1">
      <alignment horizontal="center" vertical="center"/>
      <protection locked="0" hidden="1"/>
    </xf>
    <xf numFmtId="165" fontId="0" fillId="0" borderId="67" xfId="0" applyNumberFormat="1" applyBorder="1" applyAlignment="1" applyProtection="1">
      <alignment horizontal="center" vertical="center"/>
      <protection locked="0" hidden="1"/>
    </xf>
    <xf numFmtId="165" fontId="0" fillId="0" borderId="0" xfId="0" applyNumberFormat="1" applyProtection="1">
      <protection hidden="1"/>
    </xf>
    <xf numFmtId="0" fontId="14" fillId="0" borderId="0" xfId="0" applyFont="1" applyAlignment="1" applyProtection="1">
      <alignment horizontal="left" vertical="top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65" fontId="25" fillId="0" borderId="67" xfId="0" applyNumberFormat="1" applyFont="1" applyBorder="1" applyAlignment="1" applyProtection="1">
      <alignment horizontal="center" vertical="center"/>
      <protection locked="0" hidden="1"/>
    </xf>
    <xf numFmtId="165" fontId="25" fillId="0" borderId="21" xfId="0" applyNumberFormat="1" applyFont="1" applyBorder="1" applyAlignment="1" applyProtection="1">
      <alignment horizontal="center" vertical="center"/>
      <protection locked="0" hidden="1"/>
    </xf>
    <xf numFmtId="165" fontId="25" fillId="0" borderId="23" xfId="0" applyNumberFormat="1" applyFont="1" applyBorder="1" applyAlignment="1" applyProtection="1">
      <alignment horizontal="center" vertical="center"/>
      <protection locked="0" hidden="1"/>
    </xf>
    <xf numFmtId="165" fontId="25" fillId="0" borderId="19" xfId="0" applyNumberFormat="1" applyFont="1" applyBorder="1" applyAlignment="1" applyProtection="1">
      <alignment horizontal="center" vertical="center"/>
      <protection locked="0" hidden="1"/>
    </xf>
    <xf numFmtId="165" fontId="25" fillId="0" borderId="46" xfId="0" applyNumberFormat="1" applyFont="1" applyBorder="1" applyAlignment="1" applyProtection="1">
      <alignment horizontal="center" vertical="center"/>
      <protection locked="0" hidden="1"/>
    </xf>
    <xf numFmtId="165" fontId="25" fillId="0" borderId="13" xfId="0" applyNumberFormat="1" applyFont="1" applyBorder="1" applyAlignment="1" applyProtection="1">
      <alignment horizontal="center" vertical="center"/>
      <protection locked="0" hidden="1"/>
    </xf>
    <xf numFmtId="165" fontId="0" fillId="0" borderId="19" xfId="0" applyNumberFormat="1" applyBorder="1" applyAlignment="1" applyProtection="1">
      <alignment horizontal="center" vertical="center"/>
      <protection locked="0" hidden="1"/>
    </xf>
    <xf numFmtId="165" fontId="0" fillId="0" borderId="23" xfId="0" applyNumberFormat="1" applyBorder="1" applyAlignment="1" applyProtection="1">
      <alignment horizontal="center" vertical="center"/>
      <protection locked="0" hidden="1"/>
    </xf>
    <xf numFmtId="166" fontId="0" fillId="0" borderId="46" xfId="0" applyNumberFormat="1" applyBorder="1" applyAlignment="1" applyProtection="1">
      <alignment horizontal="center" vertical="center"/>
      <protection locked="0" hidden="1"/>
    </xf>
    <xf numFmtId="166" fontId="0" fillId="0" borderId="13" xfId="0" applyNumberFormat="1" applyBorder="1" applyAlignment="1" applyProtection="1">
      <alignment horizontal="center" vertical="center"/>
      <protection locked="0" hidden="1"/>
    </xf>
    <xf numFmtId="1" fontId="25" fillId="0" borderId="0" xfId="0" applyNumberFormat="1" applyFont="1"/>
    <xf numFmtId="0" fontId="0" fillId="35" borderId="63" xfId="0" applyFill="1" applyBorder="1" applyAlignment="1">
      <alignment horizontal="right" vertical="center"/>
    </xf>
    <xf numFmtId="49" fontId="0" fillId="35" borderId="63" xfId="0" applyNumberFormat="1" applyFill="1" applyBorder="1" applyAlignment="1">
      <alignment horizontal="right" vertical="center"/>
    </xf>
    <xf numFmtId="0" fontId="16" fillId="0" borderId="86" xfId="0" applyFont="1" applyBorder="1" applyAlignment="1">
      <alignment horizontal="center" vertical="center" wrapText="1"/>
    </xf>
    <xf numFmtId="0" fontId="16" fillId="0" borderId="87" xfId="0" applyFont="1" applyBorder="1" applyAlignment="1">
      <alignment horizontal="center" vertical="center" wrapText="1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vertical="center"/>
    </xf>
    <xf numFmtId="0" fontId="0" fillId="0" borderId="73" xfId="0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49" fontId="0" fillId="35" borderId="19" xfId="0" applyNumberFormat="1" applyFill="1" applyBorder="1" applyAlignment="1">
      <alignment horizontal="right" vertical="center"/>
    </xf>
    <xf numFmtId="0" fontId="0" fillId="35" borderId="63" xfId="0" applyFill="1" applyBorder="1" applyAlignment="1">
      <alignment vertical="center"/>
    </xf>
    <xf numFmtId="0" fontId="0" fillId="0" borderId="72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32" fillId="0" borderId="62" xfId="0" applyFont="1" applyBorder="1" applyAlignment="1">
      <alignment horizontal="center" vertical="center" textRotation="90"/>
    </xf>
    <xf numFmtId="2" fontId="16" fillId="35" borderId="11" xfId="0" applyNumberFormat="1" applyFont="1" applyFill="1" applyBorder="1" applyAlignment="1">
      <alignment horizontal="center" vertical="center"/>
    </xf>
    <xf numFmtId="2" fontId="16" fillId="35" borderId="50" xfId="0" applyNumberFormat="1" applyFont="1" applyFill="1" applyBorder="1" applyAlignment="1">
      <alignment horizontal="center" vertical="center"/>
    </xf>
    <xf numFmtId="2" fontId="16" fillId="35" borderId="13" xfId="0" applyNumberFormat="1" applyFont="1" applyFill="1" applyBorder="1" applyAlignment="1">
      <alignment horizontal="center" vertical="center"/>
    </xf>
    <xf numFmtId="2" fontId="16" fillId="35" borderId="43" xfId="0" applyNumberFormat="1" applyFont="1" applyFill="1" applyBorder="1" applyAlignment="1">
      <alignment horizontal="center" vertical="center"/>
    </xf>
    <xf numFmtId="0" fontId="16" fillId="0" borderId="88" xfId="0" applyFont="1" applyBorder="1" applyAlignment="1">
      <alignment horizontal="center" vertical="center" wrapText="1"/>
    </xf>
    <xf numFmtId="14" fontId="25" fillId="0" borderId="0" xfId="0" applyNumberFormat="1" applyFont="1" applyProtection="1">
      <protection hidden="1"/>
    </xf>
    <xf numFmtId="0" fontId="25" fillId="0" borderId="0" xfId="0" applyFont="1" applyAlignment="1" applyProtection="1">
      <alignment wrapText="1"/>
      <protection hidden="1"/>
    </xf>
    <xf numFmtId="1" fontId="53" fillId="0" borderId="0" xfId="0" applyNumberFormat="1" applyFont="1"/>
    <xf numFmtId="164" fontId="53" fillId="0" borderId="0" xfId="0" applyNumberFormat="1" applyFont="1"/>
    <xf numFmtId="2" fontId="36" fillId="0" borderId="0" xfId="0" applyNumberFormat="1" applyFont="1" applyAlignment="1">
      <alignment horizontal="center"/>
    </xf>
    <xf numFmtId="2" fontId="34" fillId="0" borderId="0" xfId="0" applyNumberFormat="1" applyFont="1" applyAlignment="1">
      <alignment horizontal="center"/>
    </xf>
    <xf numFmtId="0" fontId="54" fillId="35" borderId="33" xfId="0" applyFont="1" applyFill="1" applyBorder="1" applyAlignment="1" applyProtection="1">
      <alignment vertical="center"/>
      <protection hidden="1"/>
    </xf>
    <xf numFmtId="0" fontId="0" fillId="0" borderId="13" xfId="0" applyBorder="1" applyAlignment="1" applyProtection="1">
      <alignment horizontal="center" vertical="center" wrapText="1"/>
      <protection locked="0" hidden="1"/>
    </xf>
    <xf numFmtId="15" fontId="49" fillId="0" borderId="0" xfId="0" applyNumberFormat="1" applyFont="1" applyAlignment="1" applyProtection="1">
      <alignment horizontal="center" vertical="center"/>
      <protection hidden="1"/>
    </xf>
    <xf numFmtId="177" fontId="16" fillId="0" borderId="11" xfId="0" applyNumberFormat="1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62" xfId="0" applyBorder="1" applyAlignment="1">
      <alignment wrapText="1"/>
    </xf>
    <xf numFmtId="0" fontId="0" fillId="0" borderId="65" xfId="0" applyBorder="1" applyProtection="1">
      <protection hidden="1"/>
    </xf>
    <xf numFmtId="0" fontId="0" fillId="0" borderId="30" xfId="0" applyBorder="1" applyProtection="1">
      <protection hidden="1"/>
    </xf>
    <xf numFmtId="0" fontId="0" fillId="0" borderId="12" xfId="0" applyBorder="1" applyProtection="1">
      <protection hidden="1"/>
    </xf>
    <xf numFmtId="2" fontId="0" fillId="0" borderId="0" xfId="4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65" xfId="0" applyBorder="1" applyAlignment="1" applyProtection="1">
      <alignment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35" borderId="30" xfId="0" applyFill="1" applyBorder="1" applyAlignment="1" applyProtection="1">
      <alignment horizontal="center" vertical="center"/>
      <protection locked="0"/>
    </xf>
    <xf numFmtId="0" fontId="0" fillId="35" borderId="31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1" fontId="0" fillId="0" borderId="10" xfId="0" applyNumberFormat="1" applyBorder="1" applyAlignment="1" applyProtection="1">
      <alignment horizontal="center" vertical="center"/>
      <protection locked="0"/>
    </xf>
    <xf numFmtId="1" fontId="0" fillId="35" borderId="19" xfId="0" applyNumberFormat="1" applyFill="1" applyBorder="1" applyAlignment="1" applyProtection="1">
      <alignment horizontal="center" vertical="center"/>
      <protection locked="0"/>
    </xf>
    <xf numFmtId="2" fontId="0" fillId="35" borderId="19" xfId="0" applyNumberFormat="1" applyFill="1" applyBorder="1" applyAlignment="1" applyProtection="1">
      <alignment horizontal="center" vertical="center"/>
      <protection locked="0"/>
    </xf>
    <xf numFmtId="2" fontId="0" fillId="35" borderId="22" xfId="0" applyNumberFormat="1" applyFill="1" applyBorder="1" applyAlignment="1" applyProtection="1">
      <alignment horizontal="center" vertical="center"/>
      <protection locked="0"/>
    </xf>
    <xf numFmtId="1" fontId="0" fillId="0" borderId="19" xfId="0" applyNumberFormat="1" applyBorder="1" applyAlignment="1" applyProtection="1">
      <alignment horizontal="center" vertical="center"/>
      <protection locked="0"/>
    </xf>
    <xf numFmtId="2" fontId="0" fillId="0" borderId="19" xfId="0" applyNumberFormat="1" applyBorder="1" applyAlignment="1" applyProtection="1">
      <alignment horizontal="center" vertical="center"/>
      <protection locked="0"/>
    </xf>
    <xf numFmtId="2" fontId="0" fillId="0" borderId="22" xfId="0" applyNumberFormat="1" applyBorder="1" applyAlignment="1" applyProtection="1">
      <alignment horizontal="center" vertical="center"/>
      <protection locked="0"/>
    </xf>
    <xf numFmtId="1" fontId="0" fillId="0" borderId="13" xfId="0" applyNumberFormat="1" applyBorder="1" applyAlignment="1" applyProtection="1">
      <alignment horizontal="center" vertical="center"/>
      <protection locked="0"/>
    </xf>
    <xf numFmtId="2" fontId="0" fillId="0" borderId="13" xfId="0" applyNumberFormat="1" applyBorder="1" applyAlignment="1" applyProtection="1">
      <alignment horizontal="center" vertical="center"/>
      <protection locked="0"/>
    </xf>
    <xf numFmtId="2" fontId="0" fillId="0" borderId="73" xfId="0" applyNumberFormat="1" applyBorder="1" applyAlignment="1" applyProtection="1">
      <alignment horizontal="center" vertical="center"/>
      <protection locked="0"/>
    </xf>
    <xf numFmtId="1" fontId="0" fillId="0" borderId="89" xfId="0" applyNumberFormat="1" applyBorder="1" applyAlignment="1" applyProtection="1">
      <alignment horizontal="center" vertical="center"/>
      <protection hidden="1"/>
    </xf>
    <xf numFmtId="1" fontId="0" fillId="35" borderId="90" xfId="0" applyNumberFormat="1" applyFill="1" applyBorder="1" applyAlignment="1" applyProtection="1">
      <alignment horizontal="center" vertical="center"/>
      <protection hidden="1"/>
    </xf>
    <xf numFmtId="2" fontId="0" fillId="35" borderId="42" xfId="0" applyNumberFormat="1" applyFill="1" applyBorder="1" applyAlignment="1" applyProtection="1">
      <alignment horizontal="center" vertical="center"/>
      <protection hidden="1"/>
    </xf>
    <xf numFmtId="1" fontId="0" fillId="0" borderId="90" xfId="0" applyNumberFormat="1" applyBorder="1" applyAlignment="1" applyProtection="1">
      <alignment horizontal="center" vertical="center"/>
      <protection hidden="1"/>
    </xf>
    <xf numFmtId="2" fontId="0" fillId="0" borderId="42" xfId="0" applyNumberFormat="1" applyBorder="1" applyAlignment="1" applyProtection="1">
      <alignment horizontal="center" vertical="center"/>
      <protection hidden="1"/>
    </xf>
    <xf numFmtId="1" fontId="0" fillId="0" borderId="91" xfId="0" applyNumberFormat="1" applyBorder="1" applyAlignment="1" applyProtection="1">
      <alignment horizontal="center" vertical="center"/>
      <protection hidden="1"/>
    </xf>
    <xf numFmtId="2" fontId="0" fillId="0" borderId="74" xfId="0" applyNumberFormat="1" applyBorder="1" applyAlignment="1" applyProtection="1">
      <alignment horizontal="center" vertical="center"/>
      <protection hidden="1"/>
    </xf>
    <xf numFmtId="2" fontId="0" fillId="0" borderId="10" xfId="0" applyNumberFormat="1" applyBorder="1" applyAlignment="1" applyProtection="1">
      <alignment horizontal="center" vertical="center"/>
      <protection locked="0"/>
    </xf>
    <xf numFmtId="2" fontId="0" fillId="35" borderId="30" xfId="0" applyNumberFormat="1" applyFill="1" applyBorder="1" applyAlignment="1" applyProtection="1">
      <alignment horizontal="center" vertical="center"/>
      <protection locked="0"/>
    </xf>
    <xf numFmtId="2" fontId="0" fillId="0" borderId="30" xfId="0" applyNumberFormat="1" applyBorder="1" applyAlignment="1" applyProtection="1">
      <alignment horizontal="center" vertical="center"/>
      <protection locked="0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35" borderId="19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75" xfId="0" applyBorder="1" applyAlignment="1" applyProtection="1">
      <alignment horizontal="center" vertical="center"/>
      <protection hidden="1"/>
    </xf>
    <xf numFmtId="0" fontId="0" fillId="0" borderId="87" xfId="0" applyBorder="1" applyAlignment="1" applyProtection="1">
      <alignment horizontal="center" vertical="center"/>
      <protection hidden="1"/>
    </xf>
    <xf numFmtId="0" fontId="0" fillId="35" borderId="22" xfId="0" applyFill="1" applyBorder="1" applyAlignment="1" applyProtection="1">
      <alignment horizontal="center" vertical="center"/>
      <protection hidden="1"/>
    </xf>
    <xf numFmtId="0" fontId="0" fillId="35" borderId="90" xfId="0" applyFill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9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52" xfId="0" applyBorder="1" applyAlignment="1" applyProtection="1">
      <alignment horizontal="center" vertical="center"/>
      <protection hidden="1"/>
    </xf>
    <xf numFmtId="0" fontId="0" fillId="0" borderId="91" xfId="0" applyBorder="1" applyAlignment="1" applyProtection="1">
      <alignment horizontal="center" vertical="center"/>
      <protection hidden="1"/>
    </xf>
    <xf numFmtId="0" fontId="0" fillId="0" borderId="83" xfId="0" applyBorder="1" applyAlignment="1" applyProtection="1">
      <alignment horizontal="center" vertical="center" wrapText="1"/>
      <protection locked="0"/>
    </xf>
    <xf numFmtId="0" fontId="0" fillId="35" borderId="75" xfId="0" applyFill="1" applyBorder="1" applyAlignment="1" applyProtection="1">
      <alignment horizontal="center" vertical="center"/>
      <protection hidden="1"/>
    </xf>
    <xf numFmtId="0" fontId="0" fillId="35" borderId="21" xfId="0" applyFill="1" applyBorder="1" applyAlignment="1" applyProtection="1">
      <alignment horizontal="center" vertical="center"/>
      <protection hidden="1"/>
    </xf>
    <xf numFmtId="1" fontId="0" fillId="0" borderId="11" xfId="0" applyNumberFormat="1" applyBorder="1" applyAlignment="1" applyProtection="1">
      <alignment horizontal="center" vertical="center"/>
      <protection locked="0"/>
    </xf>
    <xf numFmtId="1" fontId="0" fillId="0" borderId="14" xfId="0" applyNumberFormat="1" applyBorder="1" applyAlignment="1" applyProtection="1">
      <alignment horizontal="center" vertical="center"/>
      <protection locked="0"/>
    </xf>
    <xf numFmtId="1" fontId="0" fillId="0" borderId="58" xfId="0" applyNumberFormat="1" applyBorder="1" applyAlignment="1" applyProtection="1">
      <alignment horizontal="center" vertical="center"/>
      <protection hidden="1"/>
    </xf>
    <xf numFmtId="20" fontId="0" fillId="0" borderId="66" xfId="0" applyNumberFormat="1" applyBorder="1" applyAlignment="1" applyProtection="1">
      <alignment horizontal="center" vertical="center"/>
      <protection locked="0" hidden="1"/>
    </xf>
    <xf numFmtId="165" fontId="58" fillId="39" borderId="0" xfId="0" applyNumberFormat="1" applyFont="1" applyFill="1" applyAlignment="1">
      <alignment horizontal="right" vertical="top" wrapText="1"/>
    </xf>
    <xf numFmtId="0" fontId="18" fillId="0" borderId="0" xfId="0" applyFont="1"/>
    <xf numFmtId="165" fontId="58" fillId="39" borderId="0" xfId="0" applyNumberFormat="1" applyFont="1" applyFill="1" applyAlignment="1">
      <alignment horizontal="right" vertical="center" wrapText="1"/>
    </xf>
    <xf numFmtId="165" fontId="58" fillId="0" borderId="0" xfId="0" applyNumberFormat="1" applyFont="1"/>
    <xf numFmtId="1" fontId="0" fillId="0" borderId="19" xfId="0" applyNumberFormat="1" applyBorder="1" applyAlignment="1" applyProtection="1">
      <alignment horizontal="center"/>
      <protection hidden="1"/>
    </xf>
    <xf numFmtId="0" fontId="59" fillId="0" borderId="0" xfId="0" applyFont="1"/>
    <xf numFmtId="180" fontId="60" fillId="37" borderId="0" xfId="0" applyNumberFormat="1" applyFont="1" applyFill="1" applyAlignment="1">
      <alignment horizontal="right" vertical="top" wrapText="1"/>
    </xf>
    <xf numFmtId="180" fontId="60" fillId="37" borderId="0" xfId="0" applyNumberFormat="1" applyFont="1" applyFill="1" applyAlignment="1">
      <alignment horizontal="right" vertical="center" wrapText="1"/>
    </xf>
    <xf numFmtId="0" fontId="40" fillId="36" borderId="19" xfId="0" applyFont="1" applyFill="1" applyBorder="1" applyAlignment="1" applyProtection="1">
      <alignment horizontal="left" vertical="center"/>
      <protection hidden="1"/>
    </xf>
    <xf numFmtId="0" fontId="13" fillId="33" borderId="19" xfId="0" applyFont="1" applyFill="1" applyBorder="1" applyAlignment="1" applyProtection="1">
      <alignment horizontal="left" vertical="center"/>
      <protection hidden="1"/>
    </xf>
    <xf numFmtId="0" fontId="0" fillId="33" borderId="19" xfId="0" applyFill="1" applyBorder="1" applyAlignment="1" applyProtection="1">
      <alignment vertical="center"/>
      <protection hidden="1"/>
    </xf>
    <xf numFmtId="0" fontId="0" fillId="33" borderId="19" xfId="0" applyFill="1" applyBorder="1" applyAlignment="1" applyProtection="1">
      <alignment horizontal="center" vertical="center"/>
      <protection hidden="1"/>
    </xf>
    <xf numFmtId="0" fontId="40" fillId="36" borderId="11" xfId="0" applyFont="1" applyFill="1" applyBorder="1" applyAlignment="1" applyProtection="1">
      <alignment horizontal="left" vertical="center"/>
      <protection hidden="1"/>
    </xf>
    <xf numFmtId="0" fontId="40" fillId="36" borderId="13" xfId="0" applyFont="1" applyFill="1" applyBorder="1" applyAlignment="1" applyProtection="1">
      <alignment horizontal="left" vertical="center"/>
      <protection hidden="1"/>
    </xf>
    <xf numFmtId="9" fontId="0" fillId="35" borderId="13" xfId="42" applyFont="1" applyFill="1" applyBorder="1" applyAlignment="1" applyProtection="1">
      <alignment horizontal="center" vertical="center"/>
      <protection hidden="1"/>
    </xf>
    <xf numFmtId="166" fontId="0" fillId="0" borderId="19" xfId="0" applyNumberFormat="1" applyBorder="1" applyAlignment="1" applyProtection="1">
      <alignment horizontal="center" vertical="center"/>
      <protection hidden="1"/>
    </xf>
    <xf numFmtId="166" fontId="0" fillId="35" borderId="19" xfId="0" applyNumberFormat="1" applyFill="1" applyBorder="1" applyAlignment="1" applyProtection="1">
      <alignment horizontal="center" vertical="center"/>
      <protection locked="0"/>
    </xf>
    <xf numFmtId="165" fontId="25" fillId="40" borderId="0" xfId="0" applyNumberFormat="1" applyFont="1" applyFill="1"/>
    <xf numFmtId="2" fontId="25" fillId="40" borderId="0" xfId="0" applyNumberFormat="1" applyFont="1" applyFill="1"/>
    <xf numFmtId="1" fontId="25" fillId="40" borderId="0" xfId="0" applyNumberFormat="1" applyFont="1" applyFill="1" applyAlignment="1">
      <alignment horizontal="right"/>
    </xf>
    <xf numFmtId="0" fontId="25" fillId="40" borderId="0" xfId="0" applyFont="1" applyFill="1" applyAlignment="1">
      <alignment horizontal="right"/>
    </xf>
    <xf numFmtId="1" fontId="25" fillId="40" borderId="0" xfId="0" applyNumberFormat="1" applyFont="1" applyFill="1"/>
    <xf numFmtId="1" fontId="25" fillId="40" borderId="0" xfId="0" applyNumberFormat="1" applyFont="1" applyFill="1" applyAlignment="1">
      <alignment horizontal="right" vertical="center"/>
    </xf>
    <xf numFmtId="2" fontId="25" fillId="38" borderId="0" xfId="0" applyNumberFormat="1" applyFont="1" applyFill="1" applyAlignment="1">
      <alignment horizontal="center" vertical="center"/>
    </xf>
    <xf numFmtId="2" fontId="27" fillId="0" borderId="19" xfId="0" applyNumberFormat="1" applyFont="1" applyBorder="1" applyAlignment="1" applyProtection="1">
      <alignment horizontal="center"/>
      <protection hidden="1"/>
    </xf>
    <xf numFmtId="0" fontId="27" fillId="0" borderId="19" xfId="0" applyFont="1" applyBorder="1" applyAlignment="1" applyProtection="1">
      <alignment horizontal="center"/>
      <protection hidden="1"/>
    </xf>
    <xf numFmtId="172" fontId="27" fillId="0" borderId="19" xfId="0" applyNumberFormat="1" applyFont="1" applyBorder="1" applyAlignment="1" applyProtection="1">
      <alignment horizontal="center"/>
      <protection hidden="1"/>
    </xf>
    <xf numFmtId="0" fontId="27" fillId="0" borderId="19" xfId="0" applyFont="1" applyBorder="1" applyProtection="1">
      <protection hidden="1"/>
    </xf>
    <xf numFmtId="0" fontId="27" fillId="0" borderId="0" xfId="0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hidden="1"/>
    </xf>
    <xf numFmtId="0" fontId="27" fillId="0" borderId="16" xfId="0" applyFont="1" applyBorder="1" applyAlignment="1" applyProtection="1">
      <alignment horizontal="center" vertical="center"/>
      <protection hidden="1"/>
    </xf>
    <xf numFmtId="0" fontId="27" fillId="0" borderId="17" xfId="0" applyFont="1" applyBorder="1" applyAlignment="1" applyProtection="1">
      <alignment horizontal="center" vertical="center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17" xfId="0" applyFont="1" applyBorder="1" applyAlignment="1" applyProtection="1">
      <alignment horizontal="center" wrapText="1"/>
      <protection hidden="1"/>
    </xf>
    <xf numFmtId="0" fontId="27" fillId="0" borderId="17" xfId="0" applyFont="1" applyBorder="1" applyAlignment="1" applyProtection="1">
      <alignment horizontal="center"/>
      <protection hidden="1"/>
    </xf>
    <xf numFmtId="0" fontId="27" fillId="0" borderId="18" xfId="0" applyFont="1" applyBorder="1" applyAlignment="1" applyProtection="1">
      <alignment horizontal="center"/>
      <protection hidden="1"/>
    </xf>
    <xf numFmtId="0" fontId="27" fillId="0" borderId="55" xfId="0" applyFont="1" applyBorder="1" applyAlignment="1" applyProtection="1">
      <alignment horizontal="center" vertical="center"/>
      <protection hidden="1"/>
    </xf>
    <xf numFmtId="0" fontId="27" fillId="0" borderId="56" xfId="0" applyFont="1" applyBorder="1" applyAlignment="1" applyProtection="1">
      <alignment horizontal="center" vertical="center"/>
      <protection hidden="1"/>
    </xf>
    <xf numFmtId="0" fontId="27" fillId="0" borderId="56" xfId="0" applyFont="1" applyBorder="1" applyAlignment="1" applyProtection="1">
      <alignment horizontal="center" vertical="center" wrapText="1"/>
      <protection hidden="1"/>
    </xf>
    <xf numFmtId="0" fontId="27" fillId="0" borderId="56" xfId="0" applyFont="1" applyBorder="1" applyAlignment="1" applyProtection="1">
      <alignment horizontal="center" wrapText="1"/>
      <protection hidden="1"/>
    </xf>
    <xf numFmtId="0" fontId="27" fillId="0" borderId="56" xfId="0" applyFont="1" applyBorder="1" applyAlignment="1" applyProtection="1">
      <alignment horizontal="center"/>
      <protection hidden="1"/>
    </xf>
    <xf numFmtId="0" fontId="27" fillId="0" borderId="57" xfId="0" applyFont="1" applyBorder="1" applyAlignment="1" applyProtection="1">
      <alignment horizont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Alignment="1" applyProtection="1">
      <alignment horizontal="center"/>
      <protection hidden="1"/>
    </xf>
    <xf numFmtId="172" fontId="27" fillId="0" borderId="0" xfId="0" applyNumberFormat="1" applyFont="1" applyAlignment="1" applyProtection="1">
      <alignment horizontal="center"/>
      <protection hidden="1"/>
    </xf>
    <xf numFmtId="0" fontId="37" fillId="0" borderId="0" xfId="0" applyFont="1" applyAlignment="1">
      <alignment vertical="center"/>
    </xf>
    <xf numFmtId="165" fontId="0" fillId="0" borderId="0" xfId="0" applyNumberFormat="1" applyAlignment="1">
      <alignment vertical="top"/>
    </xf>
    <xf numFmtId="0" fontId="0" fillId="0" borderId="0" xfId="0" applyAlignment="1">
      <alignment vertical="top"/>
    </xf>
    <xf numFmtId="2" fontId="38" fillId="38" borderId="0" xfId="0" applyNumberFormat="1" applyFont="1" applyFill="1" applyAlignment="1">
      <alignment horizontal="center" vertical="center"/>
    </xf>
    <xf numFmtId="0" fontId="25" fillId="38" borderId="0" xfId="0" applyFont="1" applyFill="1" applyAlignment="1">
      <alignment horizontal="center" vertical="top"/>
    </xf>
    <xf numFmtId="0" fontId="25" fillId="38" borderId="0" xfId="0" applyFont="1" applyFill="1" applyAlignment="1">
      <alignment horizontal="center"/>
    </xf>
    <xf numFmtId="0" fontId="38" fillId="38" borderId="0" xfId="0" applyFont="1" applyFill="1" applyAlignment="1">
      <alignment horizontal="center" vertical="top"/>
    </xf>
    <xf numFmtId="0" fontId="38" fillId="0" borderId="0" xfId="0" applyFont="1" applyAlignment="1">
      <alignment vertical="top"/>
    </xf>
    <xf numFmtId="165" fontId="58" fillId="37" borderId="0" xfId="0" applyNumberFormat="1" applyFont="1" applyFill="1" applyAlignment="1">
      <alignment vertical="top" wrapText="1"/>
    </xf>
    <xf numFmtId="165" fontId="18" fillId="0" borderId="0" xfId="0" applyNumberFormat="1" applyFont="1"/>
    <xf numFmtId="165" fontId="58" fillId="37" borderId="0" xfId="0" applyNumberFormat="1" applyFont="1" applyFill="1" applyAlignment="1">
      <alignment vertical="center" wrapText="1"/>
    </xf>
    <xf numFmtId="1" fontId="34" fillId="0" borderId="0" xfId="0" applyNumberFormat="1" applyFont="1" applyAlignment="1">
      <alignment vertical="center"/>
    </xf>
    <xf numFmtId="167" fontId="26" fillId="0" borderId="0" xfId="0" applyNumberFormat="1" applyFont="1" applyAlignment="1">
      <alignment vertical="top" wrapText="1"/>
    </xf>
    <xf numFmtId="1" fontId="36" fillId="0" borderId="0" xfId="0" applyNumberFormat="1" applyFont="1"/>
    <xf numFmtId="165" fontId="25" fillId="0" borderId="0" xfId="0" applyNumberFormat="1" applyFont="1" applyAlignment="1">
      <alignment wrapText="1"/>
    </xf>
    <xf numFmtId="2" fontId="18" fillId="0" borderId="0" xfId="0" applyNumberFormat="1" applyFont="1"/>
    <xf numFmtId="165" fontId="25" fillId="37" borderId="0" xfId="0" applyNumberFormat="1" applyFont="1" applyFill="1" applyAlignment="1">
      <alignment horizontal="right" vertical="top"/>
    </xf>
    <xf numFmtId="165" fontId="56" fillId="37" borderId="0" xfId="0" applyNumberFormat="1" applyFont="1" applyFill="1" applyAlignment="1">
      <alignment horizontal="right" vertical="top"/>
    </xf>
    <xf numFmtId="1" fontId="25" fillId="0" borderId="0" xfId="0" applyNumberFormat="1" applyFont="1" applyAlignment="1">
      <alignment horizontal="right" vertical="top"/>
    </xf>
    <xf numFmtId="1" fontId="57" fillId="0" borderId="0" xfId="0" applyNumberFormat="1" applyFont="1" applyAlignment="1">
      <alignment vertical="top" wrapText="1"/>
    </xf>
    <xf numFmtId="1" fontId="25" fillId="0" borderId="0" xfId="0" applyNumberFormat="1" applyFont="1" applyAlignment="1">
      <alignment vertical="top"/>
    </xf>
    <xf numFmtId="167" fontId="26" fillId="0" borderId="0" xfId="0" applyNumberFormat="1" applyFont="1" applyAlignment="1">
      <alignment horizontal="right" vertical="top" wrapText="1"/>
    </xf>
    <xf numFmtId="165" fontId="25" fillId="0" borderId="0" xfId="0" applyNumberFormat="1" applyFont="1" applyAlignment="1">
      <alignment horizontal="right"/>
    </xf>
    <xf numFmtId="0" fontId="36" fillId="0" borderId="0" xfId="0" applyFont="1" applyAlignment="1">
      <alignment horizontal="right" vertical="center"/>
    </xf>
    <xf numFmtId="165" fontId="34" fillId="0" borderId="0" xfId="0" applyNumberFormat="1" applyFont="1" applyAlignment="1">
      <alignment horizontal="right" vertical="center"/>
    </xf>
    <xf numFmtId="2" fontId="0" fillId="33" borderId="21" xfId="0" applyNumberFormat="1" applyFill="1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165" fontId="0" fillId="33" borderId="21" xfId="0" applyNumberFormat="1" applyFill="1" applyBorder="1" applyAlignment="1">
      <alignment horizontal="center"/>
    </xf>
    <xf numFmtId="166" fontId="0" fillId="33" borderId="21" xfId="0" applyNumberFormat="1" applyFill="1" applyBorder="1" applyAlignment="1">
      <alignment horizontal="center"/>
    </xf>
    <xf numFmtId="165" fontId="0" fillId="33" borderId="66" xfId="0" applyNumberFormat="1" applyFill="1" applyBorder="1" applyAlignment="1">
      <alignment horizontal="center"/>
    </xf>
    <xf numFmtId="181" fontId="25" fillId="0" borderId="43" xfId="0" applyNumberFormat="1" applyFont="1" applyBorder="1" applyAlignment="1">
      <alignment horizontal="center" vertical="center"/>
    </xf>
    <xf numFmtId="1" fontId="0" fillId="33" borderId="11" xfId="0" applyNumberFormat="1" applyFill="1" applyBorder="1" applyAlignment="1">
      <alignment horizontal="center"/>
    </xf>
    <xf numFmtId="1" fontId="0" fillId="33" borderId="19" xfId="0" applyNumberFormat="1" applyFill="1" applyBorder="1" applyAlignment="1">
      <alignment horizontal="center"/>
    </xf>
    <xf numFmtId="1" fontId="0" fillId="33" borderId="21" xfId="0" applyNumberFormat="1" applyFill="1" applyBorder="1" applyAlignment="1">
      <alignment horizontal="center"/>
    </xf>
    <xf numFmtId="0" fontId="0" fillId="0" borderId="0" xfId="0" applyAlignment="1">
      <alignment horizontal="left" vertical="top"/>
    </xf>
    <xf numFmtId="165" fontId="53" fillId="0" borderId="0" xfId="0" applyNumberFormat="1" applyFont="1"/>
    <xf numFmtId="165" fontId="0" fillId="0" borderId="0" xfId="0" applyNumberFormat="1" applyAlignment="1">
      <alignment horizontal="center"/>
    </xf>
    <xf numFmtId="0" fontId="0" fillId="38" borderId="19" xfId="0" applyFill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61" fillId="0" borderId="0" xfId="0" applyFont="1" applyAlignment="1">
      <alignment horizontal="right" vertical="top"/>
    </xf>
    <xf numFmtId="2" fontId="53" fillId="0" borderId="0" xfId="0" applyNumberFormat="1" applyFont="1"/>
    <xf numFmtId="2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right" vertical="top"/>
    </xf>
    <xf numFmtId="0" fontId="0" fillId="33" borderId="0" xfId="0" applyFill="1" applyAlignment="1" applyProtection="1">
      <alignment vertical="center" wrapText="1"/>
      <protection locked="0"/>
    </xf>
    <xf numFmtId="176" fontId="17" fillId="0" borderId="0" xfId="0" applyNumberFormat="1" applyFont="1" applyProtection="1">
      <protection hidden="1"/>
    </xf>
    <xf numFmtId="20" fontId="17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15" fontId="17" fillId="0" borderId="0" xfId="0" applyNumberFormat="1" applyFont="1" applyAlignment="1" applyProtection="1">
      <alignment vertical="center"/>
      <protection hidden="1"/>
    </xf>
    <xf numFmtId="0" fontId="17" fillId="0" borderId="0" xfId="0" applyFont="1" applyAlignment="1" applyProtection="1">
      <alignment vertical="center"/>
      <protection hidden="1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Alignment="1">
      <alignment horizontal="left"/>
    </xf>
    <xf numFmtId="0" fontId="17" fillId="0" borderId="0" xfId="0" applyFont="1" applyAlignment="1" applyProtection="1">
      <alignment horizontal="center" vertical="center"/>
      <protection hidden="1"/>
    </xf>
    <xf numFmtId="0" fontId="67" fillId="0" borderId="0" xfId="0" applyFont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165" fontId="17" fillId="0" borderId="0" xfId="0" applyNumberFormat="1" applyFont="1" applyAlignment="1">
      <alignment horizontal="left"/>
    </xf>
    <xf numFmtId="2" fontId="17" fillId="0" borderId="0" xfId="0" applyNumberFormat="1" applyFont="1" applyAlignment="1">
      <alignment horizontal="left"/>
    </xf>
    <xf numFmtId="0" fontId="17" fillId="0" borderId="0" xfId="42" applyNumberFormat="1" applyFont="1" applyFill="1" applyBorder="1" applyProtection="1">
      <protection hidden="1"/>
    </xf>
    <xf numFmtId="166" fontId="17" fillId="0" borderId="0" xfId="0" applyNumberFormat="1" applyFont="1" applyProtection="1">
      <protection hidden="1"/>
    </xf>
    <xf numFmtId="166" fontId="17" fillId="0" borderId="0" xfId="0" applyNumberFormat="1" applyFont="1"/>
    <xf numFmtId="1" fontId="17" fillId="0" borderId="0" xfId="0" applyNumberFormat="1" applyFont="1" applyAlignment="1">
      <alignment horizontal="center"/>
    </xf>
    <xf numFmtId="2" fontId="17" fillId="0" borderId="0" xfId="0" applyNumberFormat="1" applyFont="1" applyProtection="1">
      <protection hidden="1"/>
    </xf>
    <xf numFmtId="171" fontId="17" fillId="0" borderId="0" xfId="0" applyNumberFormat="1" applyFont="1" applyProtection="1">
      <protection hidden="1"/>
    </xf>
    <xf numFmtId="0" fontId="17" fillId="0" borderId="0" xfId="0" applyFont="1" applyAlignment="1">
      <alignment horizontal="center" vertical="center"/>
    </xf>
    <xf numFmtId="9" fontId="17" fillId="0" borderId="0" xfId="0" applyNumberFormat="1" applyFont="1" applyAlignment="1">
      <alignment horizontal="center" vertical="center"/>
    </xf>
    <xf numFmtId="165" fontId="17" fillId="0" borderId="0" xfId="0" applyNumberFormat="1" applyFont="1"/>
    <xf numFmtId="2" fontId="17" fillId="0" borderId="0" xfId="0" applyNumberFormat="1" applyFont="1"/>
    <xf numFmtId="0" fontId="17" fillId="0" borderId="0" xfId="42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1" fontId="17" fillId="0" borderId="0" xfId="0" applyNumberFormat="1" applyFont="1"/>
    <xf numFmtId="178" fontId="17" fillId="0" borderId="0" xfId="0" applyNumberFormat="1" applyFont="1" applyAlignment="1">
      <alignment horizontal="right"/>
    </xf>
    <xf numFmtId="2" fontId="17" fillId="0" borderId="0" xfId="0" applyNumberFormat="1" applyFont="1" applyAlignment="1">
      <alignment horizontal="right"/>
    </xf>
    <xf numFmtId="169" fontId="17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169" fontId="17" fillId="0" borderId="0" xfId="0" applyNumberFormat="1" applyFont="1"/>
    <xf numFmtId="0" fontId="16" fillId="34" borderId="10" xfId="0" applyFont="1" applyFill="1" applyBorder="1" applyAlignment="1" applyProtection="1">
      <alignment horizontal="right" vertical="center"/>
      <protection hidden="1"/>
    </xf>
    <xf numFmtId="0" fontId="16" fillId="34" borderId="12" xfId="0" applyFont="1" applyFill="1" applyBorder="1" applyAlignment="1" applyProtection="1">
      <alignment horizontal="right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14" fillId="0" borderId="0" xfId="0" applyFont="1"/>
    <xf numFmtId="0" fontId="14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68" fillId="0" borderId="0" xfId="0" applyFont="1" applyAlignment="1" applyProtection="1">
      <alignment horizontal="center"/>
      <protection hidden="1"/>
    </xf>
    <xf numFmtId="166" fontId="14" fillId="0" borderId="0" xfId="0" applyNumberFormat="1" applyFont="1" applyProtection="1">
      <protection hidden="1"/>
    </xf>
    <xf numFmtId="1" fontId="14" fillId="0" borderId="0" xfId="0" applyNumberFormat="1" applyFont="1" applyProtection="1">
      <protection hidden="1"/>
    </xf>
    <xf numFmtId="2" fontId="14" fillId="0" borderId="0" xfId="0" applyNumberFormat="1" applyFont="1" applyProtection="1">
      <protection hidden="1"/>
    </xf>
    <xf numFmtId="166" fontId="14" fillId="0" borderId="0" xfId="0" applyNumberFormat="1" applyFont="1"/>
    <xf numFmtId="0" fontId="68" fillId="0" borderId="0" xfId="0" applyFont="1" applyProtection="1">
      <protection hidden="1"/>
    </xf>
    <xf numFmtId="0" fontId="0" fillId="34" borderId="12" xfId="0" applyFill="1" applyBorder="1" applyAlignment="1" applyProtection="1">
      <alignment horizontal="center" vertical="center"/>
      <protection hidden="1"/>
    </xf>
    <xf numFmtId="0" fontId="0" fillId="34" borderId="43" xfId="0" applyFill="1" applyBorder="1" applyAlignment="1" applyProtection="1">
      <alignment horizontal="center" vertical="center"/>
      <protection hidden="1"/>
    </xf>
    <xf numFmtId="0" fontId="25" fillId="33" borderId="19" xfId="0" applyFont="1" applyFill="1" applyBorder="1" applyAlignment="1" applyProtection="1">
      <alignment horizontal="center" vertical="center"/>
      <protection locked="0"/>
    </xf>
    <xf numFmtId="0" fontId="16" fillId="34" borderId="19" xfId="0" applyFont="1" applyFill="1" applyBorder="1" applyAlignment="1" applyProtection="1">
      <alignment horizontal="center" vertical="center"/>
      <protection hidden="1"/>
    </xf>
    <xf numFmtId="0" fontId="16" fillId="34" borderId="49" xfId="0" applyFont="1" applyFill="1" applyBorder="1" applyAlignment="1" applyProtection="1">
      <alignment horizontal="center" vertical="center"/>
      <protection hidden="1"/>
    </xf>
    <xf numFmtId="0" fontId="16" fillId="34" borderId="24" xfId="0" applyFont="1" applyFill="1" applyBorder="1" applyAlignment="1" applyProtection="1">
      <alignment horizontal="center" vertical="center"/>
      <protection hidden="1"/>
    </xf>
    <xf numFmtId="0" fontId="16" fillId="34" borderId="51" xfId="0" applyFont="1" applyFill="1" applyBorder="1" applyAlignment="1" applyProtection="1">
      <alignment horizontal="center" vertical="center"/>
      <protection hidden="1"/>
    </xf>
    <xf numFmtId="0" fontId="16" fillId="34" borderId="58" xfId="0" applyFont="1" applyFill="1" applyBorder="1" applyAlignment="1" applyProtection="1">
      <alignment horizontal="center" vertical="center"/>
      <protection hidden="1"/>
    </xf>
    <xf numFmtId="0" fontId="16" fillId="34" borderId="62" xfId="0" applyFont="1" applyFill="1" applyBorder="1" applyAlignment="1" applyProtection="1">
      <alignment horizontal="center" vertical="center"/>
      <protection hidden="1"/>
    </xf>
    <xf numFmtId="0" fontId="16" fillId="34" borderId="64" xfId="0" applyFont="1" applyFill="1" applyBorder="1" applyAlignment="1" applyProtection="1">
      <alignment horizontal="center" vertical="center"/>
      <protection hidden="1"/>
    </xf>
    <xf numFmtId="0" fontId="0" fillId="34" borderId="65" xfId="0" applyFill="1" applyBorder="1" applyAlignment="1" applyProtection="1">
      <alignment horizontal="center" vertical="center"/>
      <protection hidden="1"/>
    </xf>
    <xf numFmtId="0" fontId="0" fillId="34" borderId="66" xfId="0" applyFill="1" applyBorder="1" applyAlignment="1" applyProtection="1">
      <alignment horizontal="center" vertical="center"/>
      <protection hidden="1"/>
    </xf>
    <xf numFmtId="0" fontId="0" fillId="34" borderId="30" xfId="0" applyFill="1" applyBorder="1" applyAlignment="1" applyProtection="1">
      <alignment horizontal="center" vertical="center"/>
      <protection hidden="1"/>
    </xf>
    <xf numFmtId="0" fontId="0" fillId="34" borderId="31" xfId="0" applyFill="1" applyBorder="1" applyAlignment="1" applyProtection="1">
      <alignment horizontal="center" vertical="center"/>
      <protection hidden="1"/>
    </xf>
    <xf numFmtId="0" fontId="16" fillId="34" borderId="10" xfId="0" applyFont="1" applyFill="1" applyBorder="1" applyAlignment="1" applyProtection="1">
      <alignment horizontal="center" vertical="center"/>
      <protection hidden="1"/>
    </xf>
    <xf numFmtId="0" fontId="16" fillId="34" borderId="47" xfId="0" applyFont="1" applyFill="1" applyBorder="1" applyAlignment="1" applyProtection="1">
      <alignment horizontal="center" vertical="center"/>
      <protection hidden="1"/>
    </xf>
    <xf numFmtId="0" fontId="16" fillId="34" borderId="50" xfId="0" applyFont="1" applyFill="1" applyBorder="1" applyAlignment="1" applyProtection="1">
      <alignment horizontal="center" vertical="center" wrapText="1"/>
      <protection hidden="1"/>
    </xf>
    <xf numFmtId="0" fontId="16" fillId="34" borderId="48" xfId="0" applyFont="1" applyFill="1" applyBorder="1" applyAlignment="1" applyProtection="1">
      <alignment horizontal="center" vertical="center" wrapText="1"/>
      <protection hidden="1"/>
    </xf>
    <xf numFmtId="0" fontId="16" fillId="34" borderId="14" xfId="0" applyFont="1" applyFill="1" applyBorder="1" applyAlignment="1" applyProtection="1">
      <alignment horizontal="center" vertical="center"/>
      <protection hidden="1"/>
    </xf>
    <xf numFmtId="0" fontId="16" fillId="34" borderId="15" xfId="0" applyFont="1" applyFill="1" applyBorder="1" applyAlignment="1" applyProtection="1">
      <alignment horizontal="center" vertical="center"/>
      <protection hidden="1"/>
    </xf>
    <xf numFmtId="0" fontId="16" fillId="34" borderId="11" xfId="0" applyFont="1" applyFill="1" applyBorder="1" applyAlignment="1" applyProtection="1">
      <alignment horizontal="center" vertical="center" wrapText="1"/>
      <protection hidden="1"/>
    </xf>
    <xf numFmtId="0" fontId="16" fillId="34" borderId="20" xfId="0" applyFont="1" applyFill="1" applyBorder="1" applyAlignment="1" applyProtection="1">
      <alignment horizontal="center" vertical="center" wrapText="1"/>
      <protection hidden="1"/>
    </xf>
    <xf numFmtId="0" fontId="16" fillId="34" borderId="49" xfId="0" applyFont="1" applyFill="1" applyBorder="1" applyAlignment="1" applyProtection="1">
      <alignment horizontal="center" vertical="center" wrapText="1"/>
      <protection hidden="1"/>
    </xf>
    <xf numFmtId="0" fontId="16" fillId="34" borderId="24" xfId="0" applyFont="1" applyFill="1" applyBorder="1" applyAlignment="1" applyProtection="1">
      <alignment horizontal="center" vertical="center" wrapText="1"/>
      <protection hidden="1"/>
    </xf>
    <xf numFmtId="0" fontId="16" fillId="34" borderId="11" xfId="0" applyFont="1" applyFill="1" applyBorder="1" applyAlignment="1" applyProtection="1">
      <alignment horizontal="center" vertical="center"/>
      <protection hidden="1"/>
    </xf>
    <xf numFmtId="0" fontId="16" fillId="34" borderId="20" xfId="0" applyFont="1" applyFill="1" applyBorder="1" applyAlignment="1" applyProtection="1">
      <alignment horizontal="center" vertical="center"/>
      <protection hidden="1"/>
    </xf>
    <xf numFmtId="0" fontId="24" fillId="35" borderId="27" xfId="0" applyFont="1" applyFill="1" applyBorder="1" applyAlignment="1" applyProtection="1">
      <alignment horizontal="center" vertical="center"/>
      <protection hidden="1"/>
    </xf>
    <xf numFmtId="0" fontId="18" fillId="35" borderId="0" xfId="0" applyFont="1" applyFill="1" applyAlignment="1" applyProtection="1">
      <alignment horizontal="center" vertical="center"/>
      <protection hidden="1"/>
    </xf>
    <xf numFmtId="175" fontId="0" fillId="33" borderId="22" xfId="0" applyNumberFormat="1" applyFill="1" applyBorder="1" applyAlignment="1" applyProtection="1">
      <alignment horizontal="left" vertical="center"/>
      <protection locked="0"/>
    </xf>
    <xf numFmtId="175" fontId="0" fillId="33" borderId="36" xfId="0" applyNumberFormat="1" applyFill="1" applyBorder="1" applyAlignment="1" applyProtection="1">
      <alignment horizontal="left" vertical="center"/>
      <protection locked="0"/>
    </xf>
    <xf numFmtId="175" fontId="0" fillId="33" borderId="42" xfId="0" applyNumberFormat="1" applyFill="1" applyBorder="1" applyAlignment="1" applyProtection="1">
      <alignment horizontal="left" vertical="center"/>
      <protection locked="0"/>
    </xf>
    <xf numFmtId="0" fontId="0" fillId="33" borderId="13" xfId="0" applyFill="1" applyBorder="1" applyAlignment="1" applyProtection="1">
      <alignment horizontal="left" vertical="center"/>
      <protection locked="0"/>
    </xf>
    <xf numFmtId="0" fontId="0" fillId="33" borderId="43" xfId="0" applyFill="1" applyBorder="1" applyAlignment="1" applyProtection="1">
      <alignment horizontal="left" vertical="center"/>
      <protection locked="0"/>
    </xf>
    <xf numFmtId="171" fontId="0" fillId="33" borderId="19" xfId="0" applyNumberFormat="1" applyFill="1" applyBorder="1" applyAlignment="1" applyProtection="1">
      <alignment horizontal="left" vertical="center"/>
      <protection locked="0"/>
    </xf>
    <xf numFmtId="171" fontId="0" fillId="33" borderId="31" xfId="0" applyNumberFormat="1" applyFill="1" applyBorder="1" applyAlignment="1" applyProtection="1">
      <alignment horizontal="left" vertical="center"/>
      <protection locked="0"/>
    </xf>
    <xf numFmtId="0" fontId="25" fillId="33" borderId="11" xfId="0" applyFont="1" applyFill="1" applyBorder="1" applyAlignment="1" applyProtection="1">
      <alignment horizontal="center" vertical="center"/>
      <protection locked="0"/>
    </xf>
    <xf numFmtId="0" fontId="25" fillId="33" borderId="50" xfId="0" applyFont="1" applyFill="1" applyBorder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center" vertical="center"/>
      <protection hidden="1"/>
    </xf>
    <xf numFmtId="0" fontId="0" fillId="34" borderId="59" xfId="0" applyFill="1" applyBorder="1" applyAlignment="1" applyProtection="1">
      <alignment horizontal="center" vertical="center"/>
      <protection hidden="1"/>
    </xf>
    <xf numFmtId="0" fontId="0" fillId="34" borderId="74" xfId="0" applyFill="1" applyBorder="1" applyAlignment="1" applyProtection="1">
      <alignment horizontal="center" vertical="center"/>
      <protection hidden="1"/>
    </xf>
    <xf numFmtId="0" fontId="16" fillId="34" borderId="80" xfId="0" applyFont="1" applyFill="1" applyBorder="1" applyAlignment="1" applyProtection="1">
      <alignment horizontal="center" vertical="center"/>
      <protection hidden="1"/>
    </xf>
    <xf numFmtId="0" fontId="16" fillId="34" borderId="68" xfId="0" applyFont="1" applyFill="1" applyBorder="1" applyAlignment="1" applyProtection="1">
      <alignment horizontal="center" vertical="center"/>
      <protection hidden="1"/>
    </xf>
    <xf numFmtId="0" fontId="16" fillId="34" borderId="76" xfId="0" applyFont="1" applyFill="1" applyBorder="1" applyAlignment="1" applyProtection="1">
      <alignment horizontal="center" vertical="center"/>
      <protection hidden="1"/>
    </xf>
    <xf numFmtId="0" fontId="0" fillId="34" borderId="71" xfId="0" applyFill="1" applyBorder="1" applyAlignment="1" applyProtection="1">
      <alignment horizontal="center" vertical="center"/>
      <protection hidden="1"/>
    </xf>
    <xf numFmtId="0" fontId="0" fillId="34" borderId="78" xfId="0" applyFill="1" applyBorder="1" applyAlignment="1" applyProtection="1">
      <alignment horizontal="center" vertical="center"/>
      <protection hidden="1"/>
    </xf>
    <xf numFmtId="0" fontId="0" fillId="34" borderId="41" xfId="0" applyFill="1" applyBorder="1" applyAlignment="1" applyProtection="1">
      <alignment horizontal="center" vertical="center"/>
      <protection hidden="1"/>
    </xf>
    <xf numFmtId="0" fontId="0" fillId="34" borderId="42" xfId="0" applyFill="1" applyBorder="1" applyAlignment="1" applyProtection="1">
      <alignment horizontal="center" vertical="center"/>
      <protection hidden="1"/>
    </xf>
    <xf numFmtId="0" fontId="41" fillId="35" borderId="37" xfId="0" applyFont="1" applyFill="1" applyBorder="1" applyAlignment="1" applyProtection="1">
      <alignment horizontal="center" vertical="center"/>
      <protection hidden="1"/>
    </xf>
    <xf numFmtId="0" fontId="41" fillId="35" borderId="38" xfId="0" applyFont="1" applyFill="1" applyBorder="1" applyAlignment="1" applyProtection="1">
      <alignment horizontal="center" vertical="center"/>
      <protection hidden="1"/>
    </xf>
    <xf numFmtId="0" fontId="41" fillId="35" borderId="39" xfId="0" applyFont="1" applyFill="1" applyBorder="1" applyAlignment="1" applyProtection="1">
      <alignment horizontal="center" vertical="center"/>
      <protection hidden="1"/>
    </xf>
    <xf numFmtId="0" fontId="41" fillId="35" borderId="53" xfId="0" applyFont="1" applyFill="1" applyBorder="1" applyAlignment="1" applyProtection="1">
      <alignment horizontal="center" vertical="center"/>
      <protection hidden="1"/>
    </xf>
    <xf numFmtId="0" fontId="41" fillId="35" borderId="33" xfId="0" applyFont="1" applyFill="1" applyBorder="1" applyAlignment="1" applyProtection="1">
      <alignment horizontal="center" vertical="center"/>
      <protection hidden="1"/>
    </xf>
    <xf numFmtId="0" fontId="41" fillId="35" borderId="54" xfId="0" applyFont="1" applyFill="1" applyBorder="1" applyAlignment="1" applyProtection="1">
      <alignment horizontal="center" vertical="center"/>
      <protection hidden="1"/>
    </xf>
    <xf numFmtId="0" fontId="16" fillId="0" borderId="11" xfId="0" applyFont="1" applyBorder="1" applyAlignment="1">
      <alignment horizontal="center" vertical="center"/>
    </xf>
    <xf numFmtId="0" fontId="16" fillId="0" borderId="50" xfId="0" applyFont="1" applyBorder="1" applyAlignment="1">
      <alignment horizontal="center" vertical="center"/>
    </xf>
    <xf numFmtId="173" fontId="25" fillId="0" borderId="13" xfId="0" applyNumberFormat="1" applyFont="1" applyBorder="1" applyAlignment="1">
      <alignment horizontal="center" vertical="center"/>
    </xf>
    <xf numFmtId="173" fontId="25" fillId="0" borderId="43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63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33" borderId="65" xfId="0" applyFill="1" applyBorder="1" applyAlignment="1">
      <alignment horizontal="center" vertical="center"/>
    </xf>
    <xf numFmtId="0" fontId="0" fillId="33" borderId="21" xfId="0" applyFill="1" applyBorder="1" applyAlignment="1">
      <alignment horizontal="center" vertical="center"/>
    </xf>
    <xf numFmtId="0" fontId="0" fillId="33" borderId="66" xfId="0" applyFill="1" applyBorder="1" applyAlignment="1">
      <alignment horizontal="center" vertical="center"/>
    </xf>
    <xf numFmtId="0" fontId="0" fillId="33" borderId="30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/>
    </xf>
    <xf numFmtId="0" fontId="0" fillId="33" borderId="31" xfId="0" applyFill="1" applyBorder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43" xfId="0" applyFill="1" applyBorder="1" applyAlignment="1">
      <alignment horizontal="center" vertical="center"/>
    </xf>
    <xf numFmtId="0" fontId="16" fillId="33" borderId="62" xfId="0" applyFont="1" applyFill="1" applyBorder="1" applyAlignment="1">
      <alignment horizontal="center" vertical="center"/>
    </xf>
    <xf numFmtId="0" fontId="16" fillId="33" borderId="63" xfId="0" applyFont="1" applyFill="1" applyBorder="1" applyAlignment="1">
      <alignment horizontal="center" vertical="center"/>
    </xf>
    <xf numFmtId="0" fontId="16" fillId="33" borderId="64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181" fontId="25" fillId="0" borderId="13" xfId="0" applyNumberFormat="1" applyFont="1" applyBorder="1" applyAlignment="1">
      <alignment horizontal="center" vertical="center"/>
    </xf>
    <xf numFmtId="0" fontId="0" fillId="33" borderId="0" xfId="0" applyFill="1" applyAlignment="1">
      <alignment horizontal="left" vertical="center"/>
    </xf>
    <xf numFmtId="0" fontId="0" fillId="33" borderId="0" xfId="0" applyFill="1" applyAlignment="1">
      <alignment horizontal="right" vertical="center"/>
    </xf>
    <xf numFmtId="0" fontId="16" fillId="33" borderId="68" xfId="0" applyFont="1" applyFill="1" applyBorder="1" applyAlignment="1">
      <alignment horizontal="center" vertical="center"/>
    </xf>
    <xf numFmtId="0" fontId="16" fillId="33" borderId="69" xfId="0" applyFont="1" applyFill="1" applyBorder="1" applyAlignment="1">
      <alignment horizontal="center" vertical="center"/>
    </xf>
    <xf numFmtId="0" fontId="16" fillId="33" borderId="70" xfId="0" applyFont="1" applyFill="1" applyBorder="1" applyAlignment="1">
      <alignment horizontal="center" vertical="center"/>
    </xf>
    <xf numFmtId="0" fontId="0" fillId="33" borderId="82" xfId="0" applyFill="1" applyBorder="1" applyAlignment="1">
      <alignment horizontal="center" vertical="center" wrapText="1"/>
    </xf>
    <xf numFmtId="0" fontId="0" fillId="33" borderId="83" xfId="0" applyFill="1" applyBorder="1" applyAlignment="1">
      <alignment horizontal="center" vertical="center" wrapText="1"/>
    </xf>
    <xf numFmtId="0" fontId="0" fillId="33" borderId="14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0" fillId="33" borderId="49" xfId="0" applyFill="1" applyBorder="1" applyAlignment="1">
      <alignment horizontal="center" vertical="center" wrapText="1"/>
    </xf>
    <xf numFmtId="0" fontId="0" fillId="33" borderId="80" xfId="0" applyFill="1" applyBorder="1" applyAlignment="1">
      <alignment horizontal="center" vertical="center" wrapText="1"/>
    </xf>
    <xf numFmtId="0" fontId="0" fillId="33" borderId="50" xfId="0" applyFill="1" applyBorder="1" applyAlignment="1">
      <alignment horizontal="center" vertical="center" wrapText="1"/>
    </xf>
    <xf numFmtId="0" fontId="0" fillId="33" borderId="43" xfId="0" applyFill="1" applyBorder="1" applyAlignment="1">
      <alignment horizontal="center" vertical="center" wrapText="1"/>
    </xf>
    <xf numFmtId="166" fontId="0" fillId="33" borderId="11" xfId="0" applyNumberFormat="1" applyFill="1" applyBorder="1" applyAlignment="1">
      <alignment horizontal="center" vertical="center" wrapText="1"/>
    </xf>
    <xf numFmtId="166" fontId="0" fillId="33" borderId="13" xfId="0" applyNumberFormat="1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0" fillId="33" borderId="13" xfId="0" applyFill="1" applyBorder="1" applyAlignment="1">
      <alignment horizontal="center" vertical="center" wrapText="1"/>
    </xf>
    <xf numFmtId="0" fontId="0" fillId="33" borderId="73" xfId="0" applyFill="1" applyBorder="1" applyAlignment="1">
      <alignment horizontal="center"/>
    </xf>
    <xf numFmtId="0" fontId="0" fillId="33" borderId="60" xfId="0" applyFill="1" applyBorder="1" applyAlignment="1">
      <alignment horizontal="center"/>
    </xf>
    <xf numFmtId="0" fontId="0" fillId="33" borderId="74" xfId="0" applyFill="1" applyBorder="1" applyAlignment="1">
      <alignment horizontal="center"/>
    </xf>
    <xf numFmtId="165" fontId="0" fillId="33" borderId="13" xfId="0" applyNumberFormat="1" applyFill="1" applyBorder="1" applyAlignment="1">
      <alignment horizontal="center"/>
    </xf>
    <xf numFmtId="165" fontId="0" fillId="33" borderId="43" xfId="0" applyNumberFormat="1" applyFill="1" applyBorder="1" applyAlignment="1">
      <alignment horizontal="center"/>
    </xf>
    <xf numFmtId="0" fontId="16" fillId="35" borderId="62" xfId="0" applyFont="1" applyFill="1" applyBorder="1" applyAlignment="1">
      <alignment horizontal="center"/>
    </xf>
    <xf numFmtId="0" fontId="16" fillId="35" borderId="63" xfId="0" applyFont="1" applyFill="1" applyBorder="1" applyAlignment="1">
      <alignment horizontal="center"/>
    </xf>
    <xf numFmtId="0" fontId="16" fillId="35" borderId="64" xfId="0" applyFont="1" applyFill="1" applyBorder="1" applyAlignment="1">
      <alignment horizontal="center"/>
    </xf>
    <xf numFmtId="0" fontId="0" fillId="33" borderId="79" xfId="0" applyFill="1" applyBorder="1" applyAlignment="1">
      <alignment horizontal="center" vertical="center"/>
    </xf>
    <xf numFmtId="0" fontId="0" fillId="33" borderId="81" xfId="0" applyFill="1" applyBorder="1" applyAlignment="1">
      <alignment horizontal="center" vertical="center"/>
    </xf>
    <xf numFmtId="0" fontId="30" fillId="33" borderId="0" xfId="0" applyFont="1" applyFill="1" applyAlignment="1">
      <alignment horizontal="center"/>
    </xf>
    <xf numFmtId="0" fontId="0" fillId="33" borderId="0" xfId="0" applyFill="1" applyAlignment="1">
      <alignment horizontal="left"/>
    </xf>
    <xf numFmtId="15" fontId="0" fillId="33" borderId="0" xfId="0" applyNumberFormat="1" applyFill="1" applyAlignment="1">
      <alignment horizontal="left" vertical="center"/>
    </xf>
    <xf numFmtId="0" fontId="0" fillId="33" borderId="0" xfId="0" applyFill="1" applyAlignment="1">
      <alignment horizontal="left" vertical="top"/>
    </xf>
    <xf numFmtId="0" fontId="16" fillId="33" borderId="0" xfId="0" applyFont="1" applyFill="1" applyAlignment="1">
      <alignment horizontal="center"/>
    </xf>
    <xf numFmtId="20" fontId="0" fillId="33" borderId="0" xfId="0" applyNumberFormat="1" applyFill="1" applyAlignment="1">
      <alignment horizontal="left" vertical="center"/>
    </xf>
    <xf numFmtId="2" fontId="0" fillId="33" borderId="73" xfId="0" applyNumberFormat="1" applyFill="1" applyBorder="1" applyAlignment="1">
      <alignment horizontal="center" vertical="center"/>
    </xf>
    <xf numFmtId="2" fontId="0" fillId="33" borderId="60" xfId="0" applyNumberForma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 vertical="center"/>
    </xf>
    <xf numFmtId="173" fontId="0" fillId="33" borderId="22" xfId="0" applyNumberFormat="1" applyFill="1" applyBorder="1" applyAlignment="1">
      <alignment horizontal="center"/>
    </xf>
    <xf numFmtId="173" fontId="0" fillId="33" borderId="42" xfId="0" applyNumberFormat="1" applyFill="1" applyBorder="1" applyAlignment="1">
      <alignment horizontal="center"/>
    </xf>
    <xf numFmtId="174" fontId="0" fillId="33" borderId="36" xfId="0" applyNumberFormat="1" applyFill="1" applyBorder="1" applyAlignment="1">
      <alignment horizontal="center" vertical="center"/>
    </xf>
    <xf numFmtId="174" fontId="0" fillId="33" borderId="23" xfId="0" applyNumberFormat="1" applyFill="1" applyBorder="1" applyAlignment="1">
      <alignment horizontal="center" vertical="center"/>
    </xf>
    <xf numFmtId="0" fontId="0" fillId="33" borderId="63" xfId="0" applyFill="1" applyBorder="1" applyAlignment="1">
      <alignment horizontal="center"/>
    </xf>
    <xf numFmtId="0" fontId="0" fillId="33" borderId="64" xfId="0" applyFill="1" applyBorder="1" applyAlignment="1">
      <alignment horizontal="center"/>
    </xf>
    <xf numFmtId="0" fontId="16" fillId="35" borderId="68" xfId="0" applyFont="1" applyFill="1" applyBorder="1" applyAlignment="1">
      <alignment horizontal="center"/>
    </xf>
    <xf numFmtId="0" fontId="16" fillId="35" borderId="69" xfId="0" applyFont="1" applyFill="1" applyBorder="1" applyAlignment="1">
      <alignment horizontal="center"/>
    </xf>
    <xf numFmtId="0" fontId="16" fillId="35" borderId="76" xfId="0" applyFont="1" applyFill="1" applyBorder="1" applyAlignment="1">
      <alignment horizontal="center"/>
    </xf>
    <xf numFmtId="174" fontId="0" fillId="33" borderId="22" xfId="0" applyNumberFormat="1" applyFill="1" applyBorder="1" applyAlignment="1">
      <alignment horizontal="center"/>
    </xf>
    <xf numFmtId="174" fontId="0" fillId="33" borderId="42" xfId="0" applyNumberFormat="1" applyFill="1" applyBorder="1" applyAlignment="1">
      <alignment horizontal="center"/>
    </xf>
    <xf numFmtId="174" fontId="0" fillId="33" borderId="73" xfId="0" applyNumberFormat="1" applyFill="1" applyBorder="1" applyAlignment="1">
      <alignment horizontal="center"/>
    </xf>
    <xf numFmtId="174" fontId="0" fillId="33" borderId="74" xfId="0" applyNumberFormat="1" applyFill="1" applyBorder="1" applyAlignment="1">
      <alignment horizontal="center"/>
    </xf>
    <xf numFmtId="174" fontId="0" fillId="33" borderId="21" xfId="0" applyNumberFormat="1" applyFill="1" applyBorder="1" applyAlignment="1">
      <alignment horizontal="center" vertical="center"/>
    </xf>
    <xf numFmtId="174" fontId="0" fillId="33" borderId="66" xfId="0" applyNumberForma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74" fontId="0" fillId="33" borderId="60" xfId="0" applyNumberFormat="1" applyFill="1" applyBorder="1" applyAlignment="1">
      <alignment horizontal="center" vertical="center"/>
    </xf>
    <xf numFmtId="174" fontId="0" fillId="33" borderId="46" xfId="0" applyNumberFormat="1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174" fontId="0" fillId="33" borderId="69" xfId="0" applyNumberFormat="1" applyFill="1" applyBorder="1" applyAlignment="1">
      <alignment horizontal="center" vertical="center"/>
    </xf>
    <xf numFmtId="174" fontId="0" fillId="33" borderId="70" xfId="0" applyNumberFormat="1" applyFill="1" applyBorder="1" applyAlignment="1">
      <alignment horizontal="center" vertical="center"/>
    </xf>
    <xf numFmtId="173" fontId="0" fillId="33" borderId="63" xfId="0" applyNumberFormat="1" applyFill="1" applyBorder="1" applyAlignment="1">
      <alignment horizontal="center"/>
    </xf>
    <xf numFmtId="173" fontId="0" fillId="33" borderId="64" xfId="0" applyNumberFormat="1" applyFill="1" applyBorder="1" applyAlignment="1">
      <alignment horizontal="center"/>
    </xf>
    <xf numFmtId="173" fontId="0" fillId="33" borderId="21" xfId="0" applyNumberFormat="1" applyFill="1" applyBorder="1" applyAlignment="1">
      <alignment horizontal="center"/>
    </xf>
    <xf numFmtId="173" fontId="0" fillId="33" borderId="66" xfId="0" applyNumberFormat="1" applyFill="1" applyBorder="1" applyAlignment="1">
      <alignment horizontal="center"/>
    </xf>
    <xf numFmtId="174" fontId="0" fillId="33" borderId="61" xfId="0" applyNumberFormat="1" applyFill="1" applyBorder="1" applyAlignment="1">
      <alignment horizontal="center" vertical="center"/>
    </xf>
    <xf numFmtId="174" fontId="0" fillId="33" borderId="67" xfId="0" applyNumberForma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center"/>
    </xf>
    <xf numFmtId="0" fontId="0" fillId="33" borderId="22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 wrapText="1"/>
    </xf>
    <xf numFmtId="2" fontId="0" fillId="33" borderId="19" xfId="0" applyNumberFormat="1" applyFill="1" applyBorder="1" applyAlignment="1">
      <alignment horizontal="center" vertical="center"/>
    </xf>
    <xf numFmtId="165" fontId="0" fillId="33" borderId="19" xfId="0" applyNumberFormat="1" applyFill="1" applyBorder="1" applyAlignment="1">
      <alignment horizontal="center"/>
    </xf>
    <xf numFmtId="166" fontId="0" fillId="33" borderId="19" xfId="0" applyNumberFormat="1" applyFill="1" applyBorder="1" applyAlignment="1">
      <alignment horizontal="center" vertical="center" wrapText="1"/>
    </xf>
    <xf numFmtId="0" fontId="16" fillId="33" borderId="79" xfId="0" applyFont="1" applyFill="1" applyBorder="1" applyAlignment="1">
      <alignment horizontal="center" vertical="center"/>
    </xf>
    <xf numFmtId="0" fontId="16" fillId="33" borderId="49" xfId="0" applyFont="1" applyFill="1" applyBorder="1" applyAlignment="1">
      <alignment horizontal="center" vertical="center"/>
    </xf>
    <xf numFmtId="0" fontId="16" fillId="33" borderId="82" xfId="0" applyFont="1" applyFill="1" applyBorder="1" applyAlignment="1">
      <alignment horizontal="center" vertical="center"/>
    </xf>
    <xf numFmtId="0" fontId="0" fillId="33" borderId="50" xfId="0" applyFill="1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4" xfId="0" applyBorder="1" applyAlignment="1">
      <alignment horizontal="center"/>
    </xf>
    <xf numFmtId="0" fontId="43" fillId="0" borderId="62" xfId="0" applyFont="1" applyBorder="1" applyAlignment="1" applyProtection="1">
      <alignment horizontal="right" vertical="center"/>
      <protection hidden="1"/>
    </xf>
    <xf numFmtId="0" fontId="43" fillId="0" borderId="63" xfId="0" applyFont="1" applyBorder="1" applyAlignment="1" applyProtection="1">
      <alignment horizontal="right" vertical="center"/>
      <protection hidden="1"/>
    </xf>
    <xf numFmtId="0" fontId="43" fillId="0" borderId="63" xfId="0" applyFont="1" applyBorder="1" applyAlignment="1" applyProtection="1">
      <alignment horizontal="right" vertical="top"/>
      <protection locked="0" hidden="1"/>
    </xf>
    <xf numFmtId="0" fontId="25" fillId="0" borderId="63" xfId="0" applyFont="1" applyBorder="1" applyAlignment="1" applyProtection="1">
      <alignment horizontal="center" vertical="center"/>
      <protection hidden="1"/>
    </xf>
    <xf numFmtId="0" fontId="14" fillId="0" borderId="63" xfId="0" applyFont="1" applyBorder="1" applyAlignment="1" applyProtection="1">
      <alignment horizontal="center" vertical="top"/>
      <protection locked="0" hidden="1"/>
    </xf>
    <xf numFmtId="0" fontId="14" fillId="0" borderId="64" xfId="0" applyFont="1" applyBorder="1" applyAlignment="1" applyProtection="1">
      <alignment horizontal="center" vertical="top"/>
      <protection locked="0" hidden="1"/>
    </xf>
    <xf numFmtId="0" fontId="44" fillId="0" borderId="0" xfId="0" applyFont="1" applyAlignment="1" applyProtection="1">
      <alignment horizontal="center" vertical="center"/>
      <protection locked="0" hidden="1"/>
    </xf>
    <xf numFmtId="0" fontId="44" fillId="0" borderId="33" xfId="0" applyFont="1" applyBorder="1" applyAlignment="1" applyProtection="1">
      <alignment horizontal="center" vertical="center"/>
      <protection locked="0" hidden="1"/>
    </xf>
    <xf numFmtId="0" fontId="0" fillId="0" borderId="10" xfId="0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right"/>
      <protection hidden="1"/>
    </xf>
    <xf numFmtId="0" fontId="0" fillId="0" borderId="14" xfId="0" applyBorder="1" applyAlignment="1" applyProtection="1">
      <alignment horizontal="right"/>
      <protection hidden="1"/>
    </xf>
    <xf numFmtId="0" fontId="0" fillId="0" borderId="10" xfId="0" applyBorder="1" applyAlignment="1" applyProtection="1">
      <alignment horizontal="center"/>
      <protection locked="0" hidden="1"/>
    </xf>
    <xf numFmtId="0" fontId="0" fillId="0" borderId="11" xfId="0" applyBorder="1" applyAlignment="1" applyProtection="1">
      <alignment horizontal="center"/>
      <protection locked="0" hidden="1"/>
    </xf>
    <xf numFmtId="0" fontId="0" fillId="0" borderId="50" xfId="0" applyBorder="1" applyAlignment="1" applyProtection="1">
      <alignment horizontal="center"/>
      <protection locked="0" hidden="1"/>
    </xf>
    <xf numFmtId="0" fontId="43" fillId="0" borderId="27" xfId="0" applyFont="1" applyBorder="1" applyAlignment="1" applyProtection="1">
      <alignment horizontal="center"/>
      <protection hidden="1"/>
    </xf>
    <xf numFmtId="0" fontId="43" fillId="0" borderId="28" xfId="0" applyFont="1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right"/>
      <protection hidden="1"/>
    </xf>
    <xf numFmtId="0" fontId="0" fillId="0" borderId="19" xfId="0" applyBorder="1" applyAlignment="1" applyProtection="1">
      <alignment horizontal="right"/>
      <protection hidden="1"/>
    </xf>
    <xf numFmtId="0" fontId="0" fillId="0" borderId="22" xfId="0" applyBorder="1" applyAlignment="1" applyProtection="1">
      <alignment horizontal="right"/>
      <protection hidden="1"/>
    </xf>
    <xf numFmtId="0" fontId="0" fillId="0" borderId="30" xfId="0" applyBorder="1" applyAlignment="1" applyProtection="1">
      <alignment horizontal="center"/>
      <protection locked="0" hidden="1"/>
    </xf>
    <xf numFmtId="0" fontId="0" fillId="0" borderId="19" xfId="0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right"/>
      <protection hidden="1"/>
    </xf>
    <xf numFmtId="0" fontId="0" fillId="0" borderId="50" xfId="0" applyBorder="1" applyAlignment="1" applyProtection="1">
      <alignment horizontal="right"/>
      <protection hidden="1"/>
    </xf>
    <xf numFmtId="0" fontId="0" fillId="0" borderId="15" xfId="0" applyBorder="1" applyAlignment="1" applyProtection="1">
      <alignment horizontal="center"/>
      <protection locked="0" hidden="1"/>
    </xf>
    <xf numFmtId="177" fontId="0" fillId="0" borderId="30" xfId="0" applyNumberFormat="1" applyBorder="1" applyAlignment="1" applyProtection="1">
      <alignment horizontal="center"/>
      <protection locked="0" hidden="1"/>
    </xf>
    <xf numFmtId="177" fontId="0" fillId="0" borderId="19" xfId="0" applyNumberFormat="1" applyBorder="1" applyAlignment="1" applyProtection="1">
      <alignment horizontal="center"/>
      <protection locked="0" hidden="1"/>
    </xf>
    <xf numFmtId="177" fontId="0" fillId="0" borderId="31" xfId="0" applyNumberFormat="1" applyBorder="1" applyAlignment="1" applyProtection="1">
      <alignment horizontal="center"/>
      <protection locked="0" hidden="1"/>
    </xf>
    <xf numFmtId="0" fontId="0" fillId="0" borderId="23" xfId="0" applyBorder="1" applyAlignment="1" applyProtection="1">
      <alignment horizontal="right"/>
      <protection hidden="1"/>
    </xf>
    <xf numFmtId="0" fontId="0" fillId="0" borderId="31" xfId="0" applyBorder="1" applyAlignment="1" applyProtection="1">
      <alignment horizontal="right"/>
      <protection hidden="1"/>
    </xf>
    <xf numFmtId="0" fontId="0" fillId="0" borderId="23" xfId="0" applyBorder="1" applyAlignment="1" applyProtection="1">
      <alignment horizontal="center"/>
      <protection locked="0" hidden="1"/>
    </xf>
    <xf numFmtId="0" fontId="0" fillId="0" borderId="30" xfId="0" applyBorder="1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31" xfId="0" applyBorder="1" applyAlignment="1" applyProtection="1">
      <alignment horizontal="center" vertical="center"/>
      <protection locked="0" hidden="1"/>
    </xf>
    <xf numFmtId="0" fontId="0" fillId="0" borderId="46" xfId="0" applyBorder="1" applyAlignment="1" applyProtection="1">
      <alignment horizontal="right"/>
      <protection hidden="1"/>
    </xf>
    <xf numFmtId="0" fontId="0" fillId="0" borderId="43" xfId="0" applyBorder="1" applyAlignment="1" applyProtection="1">
      <alignment horizontal="right"/>
      <protection hidden="1"/>
    </xf>
    <xf numFmtId="0" fontId="0" fillId="0" borderId="46" xfId="0" applyBorder="1" applyAlignment="1" applyProtection="1">
      <alignment horizontal="center"/>
      <protection locked="0" hidden="1"/>
    </xf>
    <xf numFmtId="0" fontId="0" fillId="0" borderId="13" xfId="0" applyBorder="1" applyAlignment="1" applyProtection="1">
      <alignment horizontal="center"/>
      <protection locked="0" hidden="1"/>
    </xf>
    <xf numFmtId="0" fontId="0" fillId="0" borderId="43" xfId="0" applyBorder="1" applyAlignment="1" applyProtection="1">
      <alignment horizontal="center"/>
      <protection locked="0" hidden="1"/>
    </xf>
    <xf numFmtId="0" fontId="0" fillId="0" borderId="30" xfId="0" applyBorder="1" applyAlignment="1" applyProtection="1">
      <alignment horizontal="center" vertical="top"/>
      <protection locked="0" hidden="1"/>
    </xf>
    <xf numFmtId="0" fontId="0" fillId="0" borderId="19" xfId="0" applyBorder="1" applyAlignment="1" applyProtection="1">
      <alignment horizontal="center" vertical="top"/>
      <protection locked="0" hidden="1"/>
    </xf>
    <xf numFmtId="0" fontId="0" fillId="0" borderId="31" xfId="0" applyBorder="1" applyAlignment="1" applyProtection="1">
      <alignment horizontal="center" vertical="top"/>
      <protection locked="0" hidden="1"/>
    </xf>
    <xf numFmtId="0" fontId="0" fillId="0" borderId="65" xfId="0" applyBorder="1" applyAlignment="1" applyProtection="1">
      <alignment horizontal="right"/>
      <protection hidden="1"/>
    </xf>
    <xf numFmtId="0" fontId="0" fillId="0" borderId="21" xfId="0" applyBorder="1" applyAlignment="1" applyProtection="1">
      <alignment horizontal="right"/>
      <protection hidden="1"/>
    </xf>
    <xf numFmtId="0" fontId="0" fillId="0" borderId="75" xfId="0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right"/>
      <protection hidden="1"/>
    </xf>
    <xf numFmtId="0" fontId="0" fillId="0" borderId="13" xfId="0" applyBorder="1" applyAlignment="1" applyProtection="1">
      <alignment horizontal="right"/>
      <protection hidden="1"/>
    </xf>
    <xf numFmtId="0" fontId="0" fillId="0" borderId="73" xfId="0" applyBorder="1" applyAlignment="1" applyProtection="1">
      <alignment horizontal="right"/>
      <protection hidden="1"/>
    </xf>
    <xf numFmtId="0" fontId="0" fillId="0" borderId="12" xfId="0" applyBorder="1" applyAlignment="1" applyProtection="1">
      <alignment horizontal="center" vertical="center"/>
      <protection locked="0" hidden="1"/>
    </xf>
    <xf numFmtId="0" fontId="0" fillId="0" borderId="13" xfId="0" applyBorder="1" applyAlignment="1" applyProtection="1">
      <alignment horizontal="center" vertical="center"/>
      <protection locked="0" hidden="1"/>
    </xf>
    <xf numFmtId="0" fontId="0" fillId="0" borderId="43" xfId="0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right"/>
      <protection hidden="1"/>
    </xf>
    <xf numFmtId="15" fontId="0" fillId="0" borderId="67" xfId="0" applyNumberFormat="1" applyBorder="1" applyAlignment="1" applyProtection="1">
      <alignment horizontal="center" vertical="center"/>
      <protection locked="0" hidden="1"/>
    </xf>
    <xf numFmtId="0" fontId="0" fillId="0" borderId="21" xfId="0" applyBorder="1" applyAlignment="1" applyProtection="1">
      <alignment horizontal="center" vertical="center"/>
      <protection locked="0" hidden="1"/>
    </xf>
    <xf numFmtId="15" fontId="0" fillId="0" borderId="23" xfId="0" applyNumberFormat="1" applyBorder="1" applyAlignment="1" applyProtection="1">
      <alignment horizontal="center" vertical="center"/>
      <protection locked="0" hidden="1"/>
    </xf>
    <xf numFmtId="0" fontId="0" fillId="0" borderId="46" xfId="0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14" fillId="0" borderId="40" xfId="0" applyFont="1" applyBorder="1" applyAlignment="1" applyProtection="1">
      <alignment horizontal="left" vertical="top"/>
      <protection locked="0" hidden="1"/>
    </xf>
    <xf numFmtId="0" fontId="14" fillId="0" borderId="0" xfId="0" applyFont="1" applyAlignment="1" applyProtection="1">
      <alignment horizontal="left" vertical="top"/>
      <protection locked="0" hidden="1"/>
    </xf>
    <xf numFmtId="0" fontId="14" fillId="0" borderId="29" xfId="0" applyFont="1" applyBorder="1" applyAlignment="1" applyProtection="1">
      <alignment horizontal="left" vertical="top"/>
      <protection locked="0" hidden="1"/>
    </xf>
    <xf numFmtId="0" fontId="14" fillId="0" borderId="34" xfId="0" applyFont="1" applyBorder="1" applyAlignment="1" applyProtection="1">
      <alignment horizontal="left" vertical="top"/>
      <protection locked="0" hidden="1"/>
    </xf>
    <xf numFmtId="0" fontId="14" fillId="0" borderId="33" xfId="0" applyFont="1" applyBorder="1" applyAlignment="1" applyProtection="1">
      <alignment horizontal="left" vertical="top"/>
      <protection locked="0" hidden="1"/>
    </xf>
    <xf numFmtId="0" fontId="14" fillId="0" borderId="35" xfId="0" applyFont="1" applyBorder="1" applyAlignment="1" applyProtection="1">
      <alignment horizontal="left" vertical="top"/>
      <protection locked="0" hidden="1"/>
    </xf>
    <xf numFmtId="0" fontId="0" fillId="0" borderId="46" xfId="0" applyBorder="1" applyAlignment="1" applyProtection="1">
      <alignment horizontal="center" vertical="center"/>
      <protection locked="0" hidden="1"/>
    </xf>
    <xf numFmtId="0" fontId="0" fillId="0" borderId="73" xfId="0" applyBorder="1" applyAlignment="1" applyProtection="1">
      <alignment horizontal="center" vertical="center"/>
      <protection locked="0" hidden="1"/>
    </xf>
    <xf numFmtId="0" fontId="0" fillId="0" borderId="59" xfId="0" applyBorder="1" applyAlignment="1" applyProtection="1">
      <alignment horizontal="right" vertical="center"/>
      <protection hidden="1"/>
    </xf>
    <xf numFmtId="0" fontId="0" fillId="0" borderId="60" xfId="0" applyBorder="1" applyAlignment="1" applyProtection="1">
      <alignment horizontal="right" vertical="center"/>
      <protection hidden="1"/>
    </xf>
    <xf numFmtId="0" fontId="0" fillId="0" borderId="74" xfId="0" applyBorder="1" applyAlignment="1" applyProtection="1">
      <alignment horizontal="right" vertical="center"/>
      <protection hidden="1"/>
    </xf>
    <xf numFmtId="166" fontId="43" fillId="0" borderId="13" xfId="0" applyNumberFormat="1" applyFont="1" applyBorder="1" applyAlignment="1" applyProtection="1">
      <alignment horizontal="center" vertical="center"/>
      <protection hidden="1"/>
    </xf>
    <xf numFmtId="166" fontId="43" fillId="0" borderId="43" xfId="0" applyNumberFormat="1" applyFont="1" applyBorder="1" applyAlignment="1" applyProtection="1">
      <alignment horizontal="center" vertical="center"/>
      <protection hidden="1"/>
    </xf>
    <xf numFmtId="0" fontId="43" fillId="0" borderId="68" xfId="0" applyFont="1" applyBorder="1" applyAlignment="1" applyProtection="1">
      <alignment horizontal="center"/>
      <protection hidden="1"/>
    </xf>
    <xf numFmtId="0" fontId="43" fillId="0" borderId="69" xfId="0" applyFont="1" applyBorder="1" applyAlignment="1" applyProtection="1">
      <alignment horizontal="center"/>
      <protection hidden="1"/>
    </xf>
    <xf numFmtId="0" fontId="43" fillId="0" borderId="76" xfId="0" applyFont="1" applyBorder="1" applyAlignment="1" applyProtection="1">
      <alignment horizontal="center"/>
      <protection hidden="1"/>
    </xf>
    <xf numFmtId="0" fontId="43" fillId="0" borderId="77" xfId="0" applyFont="1" applyBorder="1" applyAlignment="1" applyProtection="1">
      <alignment horizontal="center" vertical="center"/>
      <protection hidden="1"/>
    </xf>
    <xf numFmtId="0" fontId="43" fillId="0" borderId="76" xfId="0" applyFont="1" applyBorder="1" applyAlignment="1" applyProtection="1">
      <alignment horizontal="center" vertical="center"/>
      <protection hidden="1"/>
    </xf>
    <xf numFmtId="0" fontId="0" fillId="0" borderId="71" xfId="0" applyBorder="1" applyAlignment="1" applyProtection="1">
      <alignment horizontal="right" vertical="center"/>
      <protection hidden="1"/>
    </xf>
    <xf numFmtId="0" fontId="0" fillId="0" borderId="61" xfId="0" applyBorder="1" applyAlignment="1" applyProtection="1">
      <alignment horizontal="right" vertical="center"/>
      <protection hidden="1"/>
    </xf>
    <xf numFmtId="0" fontId="0" fillId="0" borderId="78" xfId="0" applyBorder="1" applyAlignment="1" applyProtection="1">
      <alignment horizontal="right" vertical="center"/>
      <protection hidden="1"/>
    </xf>
    <xf numFmtId="165" fontId="43" fillId="0" borderId="21" xfId="0" applyNumberFormat="1" applyFont="1" applyBorder="1" applyAlignment="1" applyProtection="1">
      <alignment horizontal="center" vertical="center"/>
      <protection hidden="1"/>
    </xf>
    <xf numFmtId="165" fontId="43" fillId="0" borderId="66" xfId="0" applyNumberFormat="1" applyFont="1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right" vertical="center"/>
      <protection hidden="1"/>
    </xf>
    <xf numFmtId="0" fontId="0" fillId="0" borderId="36" xfId="0" applyBorder="1" applyAlignment="1" applyProtection="1">
      <alignment horizontal="right" vertical="center"/>
      <protection hidden="1"/>
    </xf>
    <xf numFmtId="0" fontId="0" fillId="0" borderId="42" xfId="0" applyBorder="1" applyAlignment="1" applyProtection="1">
      <alignment horizontal="right" vertical="center"/>
      <protection hidden="1"/>
    </xf>
    <xf numFmtId="165" fontId="43" fillId="0" borderId="19" xfId="0" applyNumberFormat="1" applyFont="1" applyBorder="1" applyAlignment="1" applyProtection="1">
      <alignment horizontal="center" vertical="center"/>
      <protection hidden="1"/>
    </xf>
    <xf numFmtId="165" fontId="43" fillId="0" borderId="31" xfId="0" applyNumberFormat="1" applyFont="1" applyBorder="1" applyAlignment="1" applyProtection="1">
      <alignment horizontal="center" vertical="center"/>
      <protection hidden="1"/>
    </xf>
    <xf numFmtId="165" fontId="25" fillId="0" borderId="13" xfId="0" applyNumberFormat="1" applyFont="1" applyBorder="1" applyAlignment="1" applyProtection="1">
      <alignment horizontal="center" vertical="center"/>
      <protection hidden="1"/>
    </xf>
    <xf numFmtId="165" fontId="25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65" fontId="25" fillId="0" borderId="21" xfId="0" applyNumberFormat="1" applyFont="1" applyBorder="1" applyAlignment="1" applyProtection="1">
      <alignment horizontal="center" vertical="center"/>
      <protection hidden="1"/>
    </xf>
    <xf numFmtId="165" fontId="25" fillId="0" borderId="66" xfId="0" applyNumberFormat="1" applyFont="1" applyBorder="1" applyAlignment="1" applyProtection="1">
      <alignment horizontal="center" vertical="center"/>
      <protection hidden="1"/>
    </xf>
    <xf numFmtId="165" fontId="25" fillId="0" borderId="19" xfId="0" applyNumberFormat="1" applyFont="1" applyBorder="1" applyAlignment="1" applyProtection="1">
      <alignment horizontal="center" vertical="center"/>
      <protection hidden="1"/>
    </xf>
    <xf numFmtId="165" fontId="25" fillId="0" borderId="31" xfId="0" applyNumberFormat="1" applyFont="1" applyBorder="1" applyAlignment="1" applyProtection="1">
      <alignment horizontal="center" vertical="center"/>
      <protection hidden="1"/>
    </xf>
    <xf numFmtId="10" fontId="0" fillId="0" borderId="13" xfId="0" applyNumberFormat="1" applyBorder="1" applyAlignment="1" applyProtection="1">
      <alignment horizontal="center" vertical="center"/>
      <protection locked="0" hidden="1"/>
    </xf>
    <xf numFmtId="49" fontId="0" fillId="0" borderId="12" xfId="0" applyNumberFormat="1" applyBorder="1" applyAlignment="1" applyProtection="1">
      <alignment horizontal="center" vertical="center"/>
      <protection hidden="1"/>
    </xf>
    <xf numFmtId="49" fontId="0" fillId="0" borderId="13" xfId="0" applyNumberForma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 wrapText="1"/>
      <protection locked="0" hidden="1"/>
    </xf>
    <xf numFmtId="0" fontId="16" fillId="0" borderId="0" xfId="0" applyFont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 vertical="center" wrapText="1"/>
      <protection hidden="1"/>
    </xf>
    <xf numFmtId="0" fontId="0" fillId="0" borderId="85" xfId="0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/>
      <protection locked="0" hidden="1"/>
    </xf>
    <xf numFmtId="10" fontId="0" fillId="0" borderId="11" xfId="0" applyNumberFormat="1" applyBorder="1" applyAlignment="1" applyProtection="1">
      <alignment horizontal="center" vertical="center"/>
      <protection locked="0" hidden="1"/>
    </xf>
    <xf numFmtId="0" fontId="0" fillId="0" borderId="50" xfId="0" applyBorder="1" applyAlignment="1" applyProtection="1">
      <alignment horizontal="center" vertical="center"/>
      <protection locked="0" hidden="1"/>
    </xf>
    <xf numFmtId="10" fontId="0" fillId="0" borderId="19" xfId="0" applyNumberFormat="1" applyBorder="1" applyAlignment="1" applyProtection="1">
      <alignment horizontal="center" vertical="center"/>
      <protection locked="0" hidden="1"/>
    </xf>
    <xf numFmtId="0" fontId="50" fillId="0" borderId="0" xfId="0" applyFont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locked="0" hidden="1"/>
    </xf>
    <xf numFmtId="0" fontId="0" fillId="0" borderId="50" xfId="0" applyBorder="1" applyAlignment="1" applyProtection="1">
      <alignment horizontal="center" vertical="center" wrapText="1"/>
      <protection locked="0" hidden="1"/>
    </xf>
    <xf numFmtId="0" fontId="0" fillId="0" borderId="43" xfId="0" applyBorder="1" applyAlignment="1" applyProtection="1">
      <alignment horizontal="center" vertical="center" wrapText="1"/>
      <protection locked="0" hidden="1"/>
    </xf>
    <xf numFmtId="0" fontId="0" fillId="0" borderId="19" xfId="0" applyBorder="1" applyAlignment="1" applyProtection="1">
      <alignment horizontal="right" vertical="center" wrapText="1"/>
      <protection hidden="1"/>
    </xf>
    <xf numFmtId="0" fontId="0" fillId="0" borderId="13" xfId="0" applyBorder="1" applyAlignment="1" applyProtection="1">
      <alignment horizontal="right"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locked="0" hidden="1"/>
    </xf>
    <xf numFmtId="0" fontId="0" fillId="0" borderId="11" xfId="0" applyBorder="1" applyAlignment="1" applyProtection="1">
      <alignment horizontal="righ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49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26" xfId="0" applyBorder="1" applyAlignment="1" applyProtection="1">
      <alignment horizontal="center" vertical="center" wrapText="1"/>
      <protection hidden="1"/>
    </xf>
    <xf numFmtId="49" fontId="0" fillId="0" borderId="10" xfId="0" applyNumberFormat="1" applyBorder="1" applyAlignment="1" applyProtection="1">
      <alignment horizontal="center" vertical="center"/>
      <protection hidden="1"/>
    </xf>
    <xf numFmtId="49" fontId="0" fillId="0" borderId="11" xfId="0" applyNumberFormat="1" applyBorder="1" applyAlignment="1" applyProtection="1">
      <alignment horizontal="center" vertical="center"/>
      <protection hidden="1"/>
    </xf>
    <xf numFmtId="49" fontId="0" fillId="0" borderId="30" xfId="0" applyNumberFormat="1" applyBorder="1" applyAlignment="1" applyProtection="1">
      <alignment horizontal="center" vertical="center"/>
      <protection hidden="1"/>
    </xf>
    <xf numFmtId="49" fontId="0" fillId="0" borderId="19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 wrapText="1"/>
      <protection locked="0" hidden="1"/>
    </xf>
    <xf numFmtId="0" fontId="0" fillId="0" borderId="31" xfId="0" applyBorder="1" applyAlignment="1" applyProtection="1">
      <alignment horizontal="center" vertical="center" wrapText="1"/>
      <protection locked="0" hidden="1"/>
    </xf>
    <xf numFmtId="0" fontId="0" fillId="0" borderId="10" xfId="0" applyBorder="1" applyAlignment="1" applyProtection="1">
      <alignment horizontal="right" vertical="center" wrapText="1"/>
      <protection hidden="1"/>
    </xf>
    <xf numFmtId="0" fontId="0" fillId="0" borderId="30" xfId="0" applyBorder="1" applyAlignment="1" applyProtection="1">
      <alignment horizontal="right" vertical="center" wrapText="1"/>
      <protection hidden="1"/>
    </xf>
    <xf numFmtId="0" fontId="0" fillId="0" borderId="12" xfId="0" applyBorder="1" applyAlignment="1" applyProtection="1">
      <alignment horizontal="right" vertical="center" wrapText="1"/>
      <protection hidden="1"/>
    </xf>
    <xf numFmtId="0" fontId="0" fillId="0" borderId="27" xfId="0" applyBorder="1" applyAlignment="1" applyProtection="1">
      <alignment horizontal="center" vertical="center" wrapText="1"/>
      <protection hidden="1"/>
    </xf>
    <xf numFmtId="0" fontId="0" fillId="0" borderId="63" xfId="0" applyBorder="1" applyAlignment="1">
      <alignment horizontal="center" vertical="center" wrapText="1"/>
    </xf>
    <xf numFmtId="0" fontId="55" fillId="0" borderId="63" xfId="0" applyFont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35" borderId="21" xfId="0" applyFill="1" applyBorder="1" applyAlignment="1" applyProtection="1">
      <alignment horizontal="center" vertical="center" wrapText="1"/>
      <protection hidden="1"/>
    </xf>
    <xf numFmtId="0" fontId="55" fillId="35" borderId="22" xfId="0" applyFont="1" applyFill="1" applyBorder="1" applyAlignment="1" applyProtection="1">
      <alignment horizontal="center" vertical="center" wrapText="1"/>
      <protection locked="0"/>
    </xf>
    <xf numFmtId="0" fontId="55" fillId="35" borderId="36" xfId="0" applyFont="1" applyFill="1" applyBorder="1" applyAlignment="1" applyProtection="1">
      <alignment horizontal="center" vertical="center" wrapText="1"/>
      <protection locked="0"/>
    </xf>
    <xf numFmtId="0" fontId="55" fillId="35" borderId="23" xfId="0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 wrapText="1"/>
      <protection hidden="1"/>
    </xf>
    <xf numFmtId="0" fontId="0" fillId="0" borderId="42" xfId="0" applyBorder="1" applyAlignment="1" applyProtection="1">
      <alignment horizontal="center" vertical="center" wrapText="1"/>
      <protection hidden="1"/>
    </xf>
    <xf numFmtId="0" fontId="55" fillId="35" borderId="19" xfId="0" applyFont="1" applyFill="1" applyBorder="1" applyAlignment="1" applyProtection="1">
      <alignment horizontal="center" vertical="center" wrapText="1"/>
      <protection locked="0"/>
    </xf>
    <xf numFmtId="0" fontId="0" fillId="35" borderId="19" xfId="0" applyFill="1" applyBorder="1" applyAlignment="1" applyProtection="1">
      <alignment horizontal="center" vertical="center" wrapText="1"/>
      <protection locked="0"/>
    </xf>
    <xf numFmtId="0" fontId="0" fillId="35" borderId="22" xfId="0" applyFill="1" applyBorder="1" applyAlignment="1" applyProtection="1">
      <alignment horizontal="center" vertical="center" wrapText="1"/>
      <protection hidden="1"/>
    </xf>
    <xf numFmtId="0" fontId="0" fillId="35" borderId="36" xfId="0" applyFill="1" applyBorder="1" applyAlignment="1" applyProtection="1">
      <alignment horizontal="center" vertical="center" wrapText="1"/>
      <protection hidden="1"/>
    </xf>
    <xf numFmtId="0" fontId="0" fillId="35" borderId="23" xfId="0" applyFill="1" applyBorder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 wrapText="1"/>
      <protection hidden="1"/>
    </xf>
    <xf numFmtId="0" fontId="0" fillId="0" borderId="92" xfId="0" applyBorder="1" applyAlignment="1" applyProtection="1">
      <alignment horizontal="center" vertical="center" wrapText="1"/>
      <protection hidden="1"/>
    </xf>
    <xf numFmtId="0" fontId="0" fillId="0" borderId="58" xfId="0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55" fillId="35" borderId="14" xfId="0" applyFont="1" applyFill="1" applyBorder="1" applyAlignment="1" applyProtection="1">
      <alignment horizontal="center" vertical="center" wrapText="1"/>
      <protection locked="0"/>
    </xf>
    <xf numFmtId="0" fontId="55" fillId="35" borderId="92" xfId="0" applyFont="1" applyFill="1" applyBorder="1" applyAlignment="1" applyProtection="1">
      <alignment horizontal="center" vertical="center" wrapText="1"/>
      <protection locked="0"/>
    </xf>
    <xf numFmtId="0" fontId="55" fillId="35" borderId="15" xfId="0" applyFont="1" applyFill="1" applyBorder="1" applyAlignment="1" applyProtection="1">
      <alignment horizontal="center" vertical="center" wrapText="1"/>
      <protection locked="0"/>
    </xf>
    <xf numFmtId="0" fontId="55" fillId="35" borderId="21" xfId="0" applyFont="1" applyFill="1" applyBorder="1" applyAlignment="1" applyProtection="1">
      <alignment horizontal="center" vertical="center" wrapText="1"/>
      <protection locked="0"/>
    </xf>
    <xf numFmtId="0" fontId="0" fillId="35" borderId="21" xfId="0" applyFill="1" applyBorder="1" applyAlignment="1" applyProtection="1">
      <alignment horizontal="center" vertical="center" wrapText="1"/>
      <protection locked="0"/>
    </xf>
    <xf numFmtId="0" fontId="55" fillId="35" borderId="13" xfId="0" applyFont="1" applyFill="1" applyBorder="1" applyAlignment="1" applyProtection="1">
      <alignment horizontal="center" vertical="center" wrapText="1"/>
      <protection locked="0"/>
    </xf>
    <xf numFmtId="0" fontId="0" fillId="35" borderId="13" xfId="0" applyFill="1" applyBorder="1" applyAlignment="1" applyProtection="1">
      <alignment horizontal="center" vertical="center" wrapText="1"/>
      <protection locked="0"/>
    </xf>
    <xf numFmtId="0" fontId="0" fillId="35" borderId="73" xfId="0" applyFill="1" applyBorder="1" applyAlignment="1" applyProtection="1">
      <alignment horizontal="center" vertical="center" wrapText="1"/>
      <protection hidden="1"/>
    </xf>
    <xf numFmtId="0" fontId="0" fillId="35" borderId="60" xfId="0" applyFill="1" applyBorder="1" applyAlignment="1" applyProtection="1">
      <alignment horizontal="center" vertical="center" wrapText="1"/>
      <protection hidden="1"/>
    </xf>
    <xf numFmtId="0" fontId="0" fillId="35" borderId="46" xfId="0" applyFill="1" applyBorder="1" applyAlignment="1" applyProtection="1">
      <alignment horizontal="center" vertical="center" wrapText="1"/>
      <protection hidden="1"/>
    </xf>
    <xf numFmtId="0" fontId="0" fillId="0" borderId="73" xfId="0" applyBorder="1" applyAlignment="1" applyProtection="1">
      <alignment horizontal="center" vertical="center" wrapText="1"/>
      <protection hidden="1"/>
    </xf>
    <xf numFmtId="0" fontId="0" fillId="0" borderId="60" xfId="0" applyBorder="1" applyAlignment="1" applyProtection="1">
      <alignment horizontal="center" vertical="center" wrapText="1"/>
      <protection hidden="1"/>
    </xf>
    <xf numFmtId="0" fontId="0" fillId="0" borderId="74" xfId="0" applyBorder="1" applyAlignment="1" applyProtection="1">
      <alignment horizontal="center" vertical="center" wrapText="1"/>
      <protection hidden="1"/>
    </xf>
    <xf numFmtId="0" fontId="63" fillId="0" borderId="23" xfId="0" applyFont="1" applyBorder="1" applyAlignment="1">
      <alignment horizontal="right" vertical="center" wrapText="1"/>
    </xf>
    <xf numFmtId="0" fontId="63" fillId="0" borderId="19" xfId="0" applyFont="1" applyBorder="1" applyAlignment="1">
      <alignment horizontal="right" vertical="center" wrapText="1"/>
    </xf>
    <xf numFmtId="0" fontId="64" fillId="0" borderId="19" xfId="0" applyFont="1" applyBorder="1" applyAlignment="1" applyProtection="1">
      <alignment horizontal="center" vertical="center" wrapText="1"/>
      <protection hidden="1"/>
    </xf>
    <xf numFmtId="0" fontId="64" fillId="0" borderId="31" xfId="0" applyFont="1" applyBorder="1" applyAlignment="1" applyProtection="1">
      <alignment horizontal="center" vertical="center" wrapText="1"/>
      <protection hidden="1"/>
    </xf>
    <xf numFmtId="0" fontId="0" fillId="35" borderId="31" xfId="0" applyFill="1" applyBorder="1" applyAlignment="1" applyProtection="1">
      <alignment horizontal="center" vertical="center" wrapText="1"/>
      <protection locked="0"/>
    </xf>
    <xf numFmtId="0" fontId="14" fillId="0" borderId="10" xfId="0" applyFont="1" applyBorder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3" xfId="0" applyFont="1" applyBorder="1" applyAlignment="1">
      <alignment horizontal="right" vertical="center"/>
    </xf>
    <xf numFmtId="0" fontId="0" fillId="0" borderId="10" xfId="0" applyBorder="1" applyAlignment="1">
      <alignment horizontal="right" vertical="center" wrapText="1"/>
    </xf>
    <xf numFmtId="0" fontId="0" fillId="0" borderId="11" xfId="0" applyBorder="1" applyAlignment="1">
      <alignment horizontal="right" vertical="center" wrapText="1"/>
    </xf>
    <xf numFmtId="0" fontId="0" fillId="35" borderId="11" xfId="0" applyFill="1" applyBorder="1" applyAlignment="1" applyProtection="1">
      <alignment horizontal="center" vertical="center" wrapText="1"/>
      <protection locked="0"/>
    </xf>
    <xf numFmtId="0" fontId="0" fillId="35" borderId="50" xfId="0" applyFill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0" fontId="40" fillId="0" borderId="19" xfId="0" applyFont="1" applyBorder="1" applyAlignment="1" applyProtection="1">
      <alignment horizontal="center" vertical="center"/>
      <protection hidden="1"/>
    </xf>
    <xf numFmtId="0" fontId="40" fillId="0" borderId="31" xfId="0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40" fillId="0" borderId="13" xfId="0" applyFont="1" applyBorder="1" applyAlignment="1" applyProtection="1">
      <alignment horizontal="center" vertical="center"/>
      <protection hidden="1"/>
    </xf>
    <xf numFmtId="0" fontId="40" fillId="0" borderId="43" xfId="0" applyFont="1" applyBorder="1" applyAlignment="1" applyProtection="1">
      <alignment horizontal="center" vertical="center"/>
      <protection hidden="1"/>
    </xf>
    <xf numFmtId="0" fontId="0" fillId="0" borderId="47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65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40" fillId="0" borderId="21" xfId="0" applyFont="1" applyBorder="1" applyAlignment="1" applyProtection="1">
      <alignment horizontal="center" vertical="center"/>
      <protection hidden="1"/>
    </xf>
    <xf numFmtId="0" fontId="40" fillId="0" borderId="66" xfId="0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right" vertical="center" wrapText="1"/>
    </xf>
    <xf numFmtId="0" fontId="0" fillId="0" borderId="13" xfId="0" applyBorder="1" applyAlignment="1">
      <alignment horizontal="right" vertical="center" wrapText="1"/>
    </xf>
    <xf numFmtId="0" fontId="0" fillId="0" borderId="15" xfId="0" applyBorder="1" applyAlignment="1">
      <alignment horizontal="right" vertical="center" wrapText="1"/>
    </xf>
    <xf numFmtId="0" fontId="0" fillId="0" borderId="23" xfId="0" applyBorder="1" applyAlignment="1">
      <alignment horizontal="right" vertical="center" wrapText="1"/>
    </xf>
    <xf numFmtId="0" fontId="0" fillId="0" borderId="19" xfId="0" applyBorder="1" applyAlignment="1">
      <alignment horizontal="right" vertical="center" wrapText="1"/>
    </xf>
    <xf numFmtId="0" fontId="43" fillId="0" borderId="11" xfId="0" applyFont="1" applyBorder="1" applyAlignment="1" applyProtection="1">
      <alignment horizontal="center" vertical="center" wrapText="1"/>
      <protection hidden="1"/>
    </xf>
    <xf numFmtId="0" fontId="43" fillId="0" borderId="50" xfId="0" applyFont="1" applyBorder="1" applyAlignment="1" applyProtection="1">
      <alignment horizontal="center" vertical="center" wrapText="1"/>
      <protection hidden="1"/>
    </xf>
    <xf numFmtId="0" fontId="43" fillId="0" borderId="19" xfId="0" applyFont="1" applyBorder="1" applyAlignment="1" applyProtection="1">
      <alignment horizontal="center" vertical="center" wrapText="1"/>
      <protection hidden="1"/>
    </xf>
    <xf numFmtId="0" fontId="43" fillId="0" borderId="31" xfId="0" applyFont="1" applyBorder="1" applyAlignment="1" applyProtection="1">
      <alignment horizontal="center" vertical="center" wrapText="1"/>
      <protection hidden="1"/>
    </xf>
    <xf numFmtId="0" fontId="5" fillId="0" borderId="21" xfId="0" applyFont="1" applyBorder="1" applyAlignment="1" applyProtection="1">
      <alignment horizontal="center" vertical="center" wrapText="1"/>
      <protection hidden="1"/>
    </xf>
    <xf numFmtId="0" fontId="5" fillId="0" borderId="66" xfId="0" applyFont="1" applyBorder="1" applyAlignment="1" applyProtection="1">
      <alignment horizontal="center" vertical="center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5" fillId="0" borderId="43" xfId="0" applyFont="1" applyBorder="1" applyAlignment="1" applyProtection="1">
      <alignment horizontal="center" vertical="center" wrapText="1"/>
      <protection hidden="1"/>
    </xf>
    <xf numFmtId="0" fontId="62" fillId="0" borderId="67" xfId="0" applyFont="1" applyBorder="1" applyAlignment="1">
      <alignment horizontal="right" vertical="center" wrapText="1"/>
    </xf>
    <xf numFmtId="0" fontId="62" fillId="0" borderId="21" xfId="0" applyFont="1" applyBorder="1" applyAlignment="1">
      <alignment horizontal="right" vertical="center" wrapText="1"/>
    </xf>
    <xf numFmtId="0" fontId="62" fillId="0" borderId="46" xfId="0" applyFont="1" applyBorder="1" applyAlignment="1">
      <alignment horizontal="right" vertical="center" wrapText="1"/>
    </xf>
    <xf numFmtId="0" fontId="62" fillId="0" borderId="13" xfId="0" applyFont="1" applyBorder="1" applyAlignment="1">
      <alignment horizontal="right" vertical="center" wrapText="1"/>
    </xf>
    <xf numFmtId="0" fontId="43" fillId="0" borderId="93" xfId="0" applyFont="1" applyBorder="1" applyAlignment="1" applyProtection="1">
      <alignment horizontal="center" vertical="center" wrapText="1"/>
      <protection hidden="1"/>
    </xf>
    <xf numFmtId="0" fontId="43" fillId="0" borderId="27" xfId="0" applyFont="1" applyBorder="1" applyAlignment="1" applyProtection="1">
      <alignment horizontal="center" vertical="center" wrapText="1"/>
      <protection hidden="1"/>
    </xf>
    <xf numFmtId="0" fontId="43" fillId="0" borderId="28" xfId="0" applyFont="1" applyBorder="1" applyAlignment="1" applyProtection="1">
      <alignment horizontal="center" vertical="center" wrapText="1"/>
      <protection hidden="1"/>
    </xf>
    <xf numFmtId="0" fontId="43" fillId="0" borderId="94" xfId="0" applyFont="1" applyBorder="1" applyAlignment="1" applyProtection="1">
      <alignment horizontal="center" vertical="center" wrapText="1"/>
      <protection hidden="1"/>
    </xf>
    <xf numFmtId="0" fontId="43" fillId="0" borderId="33" xfId="0" applyFont="1" applyBorder="1" applyAlignment="1" applyProtection="1">
      <alignment horizontal="center" vertical="center" wrapText="1"/>
      <protection hidden="1"/>
    </xf>
    <xf numFmtId="0" fontId="43" fillId="0" borderId="35" xfId="0" applyFont="1" applyBorder="1" applyAlignment="1" applyProtection="1">
      <alignment horizontal="center" vertical="center" wrapText="1"/>
      <protection hidden="1"/>
    </xf>
    <xf numFmtId="0" fontId="0" fillId="0" borderId="30" xfId="0" applyBorder="1" applyAlignment="1">
      <alignment horizontal="right" vertical="center" wrapText="1"/>
    </xf>
    <xf numFmtId="0" fontId="0" fillId="0" borderId="21" xfId="0" applyBorder="1" applyAlignment="1" applyProtection="1">
      <alignment horizontal="center" vertical="center" wrapText="1"/>
      <protection hidden="1"/>
    </xf>
    <xf numFmtId="0" fontId="0" fillId="0" borderId="66" xfId="0" applyBorder="1" applyAlignment="1" applyProtection="1">
      <alignment horizontal="center" vertical="center" wrapText="1"/>
      <protection hidden="1"/>
    </xf>
    <xf numFmtId="0" fontId="0" fillId="35" borderId="73" xfId="0" applyFill="1" applyBorder="1" applyAlignment="1">
      <alignment horizontal="center"/>
    </xf>
    <xf numFmtId="0" fontId="0" fillId="35" borderId="60" xfId="0" applyFill="1" applyBorder="1" applyAlignment="1">
      <alignment horizontal="center"/>
    </xf>
    <xf numFmtId="0" fontId="0" fillId="35" borderId="74" xfId="0" applyFill="1" applyBorder="1" applyAlignment="1">
      <alignment horizontal="center"/>
    </xf>
    <xf numFmtId="0" fontId="14" fillId="35" borderId="11" xfId="0" applyFont="1" applyFill="1" applyBorder="1" applyAlignment="1" applyProtection="1">
      <alignment horizontal="center" vertical="center" wrapText="1"/>
      <protection locked="0"/>
    </xf>
    <xf numFmtId="0" fontId="14" fillId="35" borderId="50" xfId="0" applyFont="1" applyFill="1" applyBorder="1" applyAlignment="1" applyProtection="1">
      <alignment horizontal="center" vertical="center" wrapText="1"/>
      <protection locked="0"/>
    </xf>
    <xf numFmtId="0" fontId="14" fillId="35" borderId="13" xfId="0" applyFont="1" applyFill="1" applyBorder="1" applyAlignment="1" applyProtection="1">
      <alignment horizontal="center" vertical="center" wrapText="1"/>
      <protection locked="0"/>
    </xf>
    <xf numFmtId="0" fontId="14" fillId="35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/>
    </xf>
    <xf numFmtId="0" fontId="14" fillId="0" borderId="15" xfId="0" applyFont="1" applyBorder="1" applyAlignment="1">
      <alignment horizontal="right" vertical="center"/>
    </xf>
    <xf numFmtId="0" fontId="14" fillId="0" borderId="46" xfId="0" applyFont="1" applyBorder="1" applyAlignment="1">
      <alignment horizontal="right" vertical="center"/>
    </xf>
    <xf numFmtId="0" fontId="43" fillId="0" borderId="13" xfId="0" applyFont="1" applyBorder="1" applyAlignment="1" applyProtection="1">
      <alignment horizontal="center" vertical="center" wrapText="1"/>
      <protection hidden="1"/>
    </xf>
    <xf numFmtId="0" fontId="43" fillId="0" borderId="43" xfId="0" applyFont="1" applyBorder="1" applyAlignment="1" applyProtection="1">
      <alignment horizontal="center" vertical="center" wrapText="1"/>
      <protection hidden="1"/>
    </xf>
    <xf numFmtId="0" fontId="25" fillId="0" borderId="13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44" fillId="0" borderId="0" xfId="0" applyFont="1" applyAlignment="1" applyProtection="1">
      <alignment horizontal="center" vertical="center"/>
      <protection hidden="1"/>
    </xf>
    <xf numFmtId="15" fontId="0" fillId="34" borderId="0" xfId="0" applyNumberFormat="1" applyFill="1" applyAlignment="1" applyProtection="1">
      <alignment horizontal="center"/>
      <protection locked="0"/>
    </xf>
    <xf numFmtId="0" fontId="0" fillId="34" borderId="0" xfId="0" applyFill="1" applyAlignment="1" applyProtection="1">
      <alignment horizontal="center"/>
      <protection locked="0"/>
    </xf>
    <xf numFmtId="0" fontId="0" fillId="35" borderId="20" xfId="0" applyFill="1" applyBorder="1" applyAlignment="1">
      <alignment horizontal="center"/>
    </xf>
    <xf numFmtId="0" fontId="0" fillId="35" borderId="48" xfId="0" applyFill="1" applyBorder="1" applyAlignment="1">
      <alignment horizontal="center"/>
    </xf>
    <xf numFmtId="0" fontId="39" fillId="0" borderId="0" xfId="0" applyFont="1" applyAlignment="1">
      <alignment horizontal="center" wrapText="1"/>
    </xf>
    <xf numFmtId="0" fontId="36" fillId="0" borderId="0" xfId="0" applyFont="1" applyAlignment="1">
      <alignment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3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/>
    </xf>
    <xf numFmtId="2" fontId="14" fillId="0" borderId="22" xfId="0" applyNumberFormat="1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0" fontId="43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50" fillId="0" borderId="0" xfId="0" applyFont="1" applyAlignment="1">
      <alignment horizontal="center"/>
    </xf>
    <xf numFmtId="0" fontId="0" fillId="35" borderId="63" xfId="0" applyFill="1" applyBorder="1" applyAlignment="1">
      <alignment horizontal="right" vertical="center"/>
    </xf>
    <xf numFmtId="0" fontId="0" fillId="35" borderId="62" xfId="0" applyFill="1" applyBorder="1" applyAlignment="1">
      <alignment horizontal="center" vertical="center"/>
    </xf>
    <xf numFmtId="0" fontId="0" fillId="35" borderId="63" xfId="0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49" fontId="0" fillId="35" borderId="63" xfId="0" applyNumberFormat="1" applyFill="1" applyBorder="1" applyAlignment="1">
      <alignment horizontal="right" vertical="center"/>
    </xf>
    <xf numFmtId="0" fontId="16" fillId="0" borderId="10" xfId="0" applyFont="1" applyBorder="1" applyAlignment="1">
      <alignment horizontal="center" vertical="center" wrapText="1"/>
    </xf>
    <xf numFmtId="0" fontId="16" fillId="0" borderId="50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32" fillId="0" borderId="51" xfId="0" applyFont="1" applyBorder="1" applyAlignment="1">
      <alignment horizontal="center" vertical="center" textRotation="90"/>
    </xf>
    <xf numFmtId="0" fontId="32" fillId="0" borderId="41" xfId="0" applyFont="1" applyBorder="1" applyAlignment="1">
      <alignment horizontal="center" vertical="center" textRotation="90"/>
    </xf>
    <xf numFmtId="0" fontId="32" fillId="0" borderId="59" xfId="0" applyFont="1" applyBorder="1" applyAlignment="1">
      <alignment horizontal="center" vertical="center" textRotation="90"/>
    </xf>
    <xf numFmtId="0" fontId="30" fillId="0" borderId="0" xfId="0" applyFont="1" applyAlignment="1">
      <alignment horizontal="right" vertical="center"/>
    </xf>
    <xf numFmtId="0" fontId="16" fillId="0" borderId="26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71" xfId="0" applyFont="1" applyBorder="1" applyAlignment="1">
      <alignment horizontal="center" vertical="center" wrapText="1"/>
    </xf>
    <xf numFmtId="0" fontId="16" fillId="0" borderId="78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40" fillId="0" borderId="10" xfId="0" applyFont="1" applyBorder="1" applyAlignment="1">
      <alignment horizontal="center" vertical="center" wrapText="1"/>
    </xf>
    <xf numFmtId="0" fontId="40" fillId="0" borderId="50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27" xfId="0" applyFont="1" applyBorder="1" applyAlignment="1" applyProtection="1">
      <alignment horizontal="center"/>
      <protection hidden="1"/>
    </xf>
    <xf numFmtId="0" fontId="16" fillId="0" borderId="86" xfId="0" applyFont="1" applyBorder="1" applyAlignment="1">
      <alignment horizontal="center" vertical="center" wrapText="1"/>
    </xf>
    <xf numFmtId="0" fontId="16" fillId="0" borderId="87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16" fillId="0" borderId="10" xfId="0" applyFont="1" applyBorder="1" applyAlignment="1">
      <alignment horizontal="right"/>
    </xf>
    <xf numFmtId="0" fontId="16" fillId="0" borderId="11" xfId="0" applyFont="1" applyBorder="1" applyAlignment="1">
      <alignment horizontal="right"/>
    </xf>
    <xf numFmtId="0" fontId="16" fillId="0" borderId="12" xfId="0" applyFont="1" applyBorder="1" applyAlignment="1">
      <alignment horizontal="right"/>
    </xf>
    <xf numFmtId="0" fontId="16" fillId="0" borderId="13" xfId="0" applyFont="1" applyBorder="1" applyAlignment="1">
      <alignment horizontal="right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32" fillId="0" borderId="72" xfId="0" applyFont="1" applyBorder="1" applyAlignment="1">
      <alignment horizontal="center" vertical="center" textRotation="90"/>
    </xf>
    <xf numFmtId="0" fontId="16" fillId="0" borderId="27" xfId="0" applyFont="1" applyBorder="1" applyAlignment="1">
      <alignment horizontal="center" vertical="center" wrapText="1"/>
    </xf>
    <xf numFmtId="0" fontId="16" fillId="0" borderId="61" xfId="0" applyFont="1" applyBorder="1" applyAlignment="1">
      <alignment horizontal="center" vertical="center" wrapText="1"/>
    </xf>
    <xf numFmtId="0" fontId="0" fillId="33" borderId="63" xfId="0" applyFill="1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20" fontId="0" fillId="0" borderId="31" xfId="0" applyNumberFormat="1" applyBorder="1" applyAlignment="1" applyProtection="1">
      <alignment horizontal="center" vertical="center"/>
      <protection locked="0" hidden="1"/>
    </xf>
    <xf numFmtId="20" fontId="0" fillId="0" borderId="22" xfId="0" applyNumberFormat="1" applyBorder="1" applyAlignment="1" applyProtection="1">
      <alignment horizontal="center" vertical="center"/>
      <protection locked="0" hidden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CC"/>
      <color rgb="FFFF5050"/>
      <color rgb="FFA88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7" dropStyle="combo" dx="22" fmlaLink="$Y$10" fmlaRange="$Y$3:$Y$9" sel="3" val="0"/>
</file>

<file path=xl/ctrlProps/ctrlProp2.xml><?xml version="1.0" encoding="utf-8"?>
<formControlPr xmlns="http://schemas.microsoft.com/office/spreadsheetml/2009/9/main" objectType="Drop" dropLines="9" dropStyle="combo" dx="22" fmlaLink="$W$12" fmlaRange="$W$3:$W$11" sel="5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2" dropStyle="combo" dx="22" fmlaLink="$V$11" fmlaRange="$V$7:$V$8" sel="2" val="0"/>
</file>

<file path=xl/ctrlProps/ctrlProp6.xml><?xml version="1.0" encoding="utf-8"?>
<formControlPr xmlns="http://schemas.microsoft.com/office/spreadsheetml/2009/9/main" objectType="Drop" dropLines="2" dropStyle="combo" dx="22" fmlaLink="$V$12" fmlaRange="$V$7:$V$8" sel="2" val="0"/>
</file>

<file path=xl/ctrlProps/ctrlProp7.xml><?xml version="1.0" encoding="utf-8"?>
<formControlPr xmlns="http://schemas.microsoft.com/office/spreadsheetml/2009/9/main" objectType="Drop" dropLines="2" dropStyle="combo" dx="22" fmlaLink="$V$13" fmlaRange="$V$7:$V$8" sel="1" val="0"/>
</file>

<file path=xl/ctrlProps/ctrlProp8.xml><?xml version="1.0" encoding="utf-8"?>
<formControlPr xmlns="http://schemas.microsoft.com/office/spreadsheetml/2009/9/main" objectType="Drop" dropLines="2" dropStyle="combo" dx="22" fmlaLink="$V$14" fmlaRange="$V$7:$V$8" sel="1" val="0"/>
</file>

<file path=xl/ctrlProps/ctrlProp9.xml><?xml version="1.0" encoding="utf-8"?>
<formControlPr xmlns="http://schemas.microsoft.com/office/spreadsheetml/2009/9/main" objectType="Drop" dropLines="2" dropStyle="combo" dx="22" fmlaLink="$V$15" fmlaRange="$V$7:$V$8" sel="1" val="0"/>
</file>

<file path=xl/ctrlProps/ctrlProp10.xml><?xml version="1.0" encoding="utf-8"?>
<formControlPr xmlns="http://schemas.microsoft.com/office/spreadsheetml/2009/9/main" objectType="CheckBox" fmlaLink="$U$11" lockText="1"/>
</file>

<file path=xl/ctrlProps/ctrlProp11.xml><?xml version="1.0" encoding="utf-8"?>
<formControlPr xmlns="http://schemas.microsoft.com/office/spreadsheetml/2009/9/main" objectType="CheckBox" fmlaLink="$U$12" lockText="1"/>
</file>

<file path=xl/ctrlProps/ctrlProp12.xml><?xml version="1.0" encoding="utf-8"?>
<formControlPr xmlns="http://schemas.microsoft.com/office/spreadsheetml/2009/9/main" objectType="CheckBox" fmlaLink="$U$13" lockText="1"/>
</file>

<file path=xl/ctrlProps/ctrlProp13.xml><?xml version="1.0" encoding="utf-8"?>
<formControlPr xmlns="http://schemas.microsoft.com/office/spreadsheetml/2009/9/main" objectType="Drop" dropLines="2" dropStyle="combo" dx="22" fmlaLink="$V$21" fmlaRange="$V$7:$V$8" sel="1" val="0"/>
</file>

<file path=xl/ctrlProps/ctrlProp14.xml><?xml version="1.0" encoding="utf-8"?>
<formControlPr xmlns="http://schemas.microsoft.com/office/spreadsheetml/2009/9/main" objectType="Drop" dropLines="2" dropStyle="combo" dx="22" fmlaLink="$V$22" fmlaRange="$V$7:$V$8" sel="1" val="0"/>
</file>

<file path=xl/ctrlProps/ctrlProp15.xml><?xml version="1.0" encoding="utf-8"?>
<formControlPr xmlns="http://schemas.microsoft.com/office/spreadsheetml/2009/9/main" objectType="CheckBox" fmlaLink="$U$22" lockText="1"/>
</file>

<file path=xl/ctrlProps/ctrlProp16.xml><?xml version="1.0" encoding="utf-8"?>
<formControlPr xmlns="http://schemas.microsoft.com/office/spreadsheetml/2009/9/main" objectType="CheckBox" fmlaLink="$U$14" lockText="1"/>
</file>

<file path=xl/ctrlProps/ctrlProp17.xml><?xml version="1.0" encoding="utf-8"?>
<formControlPr xmlns="http://schemas.microsoft.com/office/spreadsheetml/2009/9/main" objectType="CheckBox" fmlaLink="$U$18" lockText="1"/>
</file>

<file path=xl/ctrlProps/ctrlProp18.xml><?xml version="1.0" encoding="utf-8"?>
<formControlPr xmlns="http://schemas.microsoft.com/office/spreadsheetml/2009/9/main" objectType="Drop" dropLines="2" dropStyle="combo" dx="22" fmlaLink="$V$16" fmlaRange="$V$7:$V$8" sel="1" val="0"/>
</file>

<file path=xl/ctrlProps/ctrlProp19.xml><?xml version="1.0" encoding="utf-8"?>
<formControlPr xmlns="http://schemas.microsoft.com/office/spreadsheetml/2009/9/main" objectType="Drop" dropLines="2" dropStyle="combo" dx="22" fmlaLink="$V$17" fmlaRange="$V$7:$V$8" sel="2" val="0"/>
</file>

<file path=xl/ctrlProps/ctrlProp20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21.xml><?xml version="1.0" encoding="utf-8"?>
<formControlPr xmlns="http://schemas.microsoft.com/office/spreadsheetml/2009/9/main" objectType="CheckBox" fmlaLink="$U$15" lockText="1"/>
</file>

<file path=xl/ctrlProps/ctrlProp22.xml><?xml version="1.0" encoding="utf-8"?>
<formControlPr xmlns="http://schemas.microsoft.com/office/spreadsheetml/2009/9/main" objectType="CheckBox" checked="Checked" fmlaLink="$U$16" lockText="1"/>
</file>

<file path=xl/ctrlProps/ctrlProp23.xml><?xml version="1.0" encoding="utf-8"?>
<formControlPr xmlns="http://schemas.microsoft.com/office/spreadsheetml/2009/9/main" objectType="Drop" dropLines="2" dropStyle="combo" dx="22" fmlaLink="$V$19" fmlaRange="$V$7:$V$8" sel="2" val="0"/>
</file>

<file path=xl/ctrlProps/ctrlProp24.xml><?xml version="1.0" encoding="utf-8"?>
<formControlPr xmlns="http://schemas.microsoft.com/office/spreadsheetml/2009/9/main" objectType="CheckBox" checked="Checked" fmlaLink="$U$20" lockText="1"/>
</file>

<file path=xl/ctrlProps/ctrlProp25.xml><?xml version="1.0" encoding="utf-8"?>
<formControlPr xmlns="http://schemas.microsoft.com/office/spreadsheetml/2009/9/main" objectType="Drop" dropLines="2" dropStyle="combo" dx="22" fmlaLink="$V$20" fmlaRange="$V$7:$V$8" sel="2" val="0"/>
</file>

<file path=xl/ctrlProps/ctrlProp26.xml><?xml version="1.0" encoding="utf-8"?>
<formControlPr xmlns="http://schemas.microsoft.com/office/spreadsheetml/2009/9/main" objectType="Drop" dropLines="2" dropStyle="combo" dx="22" fmlaLink="$V$23" fmlaRange="$V$7:$V$8" sel="1" val="0"/>
</file>

<file path=xl/ctrlProps/ctrlProp27.xml><?xml version="1.0" encoding="utf-8"?>
<formControlPr xmlns="http://schemas.microsoft.com/office/spreadsheetml/2009/9/main" objectType="CheckBox" fmlaLink="$U$23" lockText="1"/>
</file>

<file path=xl/ctrlProps/ctrlProp28.xml><?xml version="1.0" encoding="utf-8"?>
<formControlPr xmlns="http://schemas.microsoft.com/office/spreadsheetml/2009/9/main" objectType="Drop" dropLines="2" dropStyle="combo" dx="22" fmlaLink="$V$24" fmlaRange="$V$7:$V$8" sel="1" val="0"/>
</file>

<file path=xl/ctrlProps/ctrlProp29.xml><?xml version="1.0" encoding="utf-8"?>
<formControlPr xmlns="http://schemas.microsoft.com/office/spreadsheetml/2009/9/main" objectType="Drop" dropLines="4" dropStyle="combo" dx="22" fmlaLink="$AD$12" fmlaRange="typeOfFuel" sel="2" val="0"/>
</file>

<file path=xl/ctrlProps/ctrlProp30.xml><?xml version="1.0" encoding="utf-8"?>
<formControlPr xmlns="http://schemas.microsoft.com/office/spreadsheetml/2009/9/main" objectType="Drop" dropLines="2" dropStyle="combo" dx="22" fmlaLink="$V$25" fmlaRange="$V$7:$V$8" sel="1" val="0"/>
</file>

<file path=xl/ctrlProps/ctrlProp31.xml><?xml version="1.0" encoding="utf-8"?>
<formControlPr xmlns="http://schemas.microsoft.com/office/spreadsheetml/2009/9/main" objectType="Drop" dropLines="2" dropStyle="combo" dx="22" fmlaLink="$V$26" fmlaRange="$V$7:$V$8" sel="1" val="0"/>
</file>

<file path=xl/ctrlProps/ctrlProp32.xml><?xml version="1.0" encoding="utf-8"?>
<formControlPr xmlns="http://schemas.microsoft.com/office/spreadsheetml/2009/9/main" objectType="Drop" dropLines="2" dropStyle="combo" dx="22" fmlaLink="$V$27" fmlaRange="$V$7:$V$8" sel="1" val="0"/>
</file>

<file path=xl/ctrlProps/ctrlProp33.xml><?xml version="1.0" encoding="utf-8"?>
<formControlPr xmlns="http://schemas.microsoft.com/office/spreadsheetml/2009/9/main" objectType="Drop" dropLines="4" dropStyle="combo" dx="22" fmlaLink="$AD$12" fmlaRange="typeOfFuel" sel="2" val="0"/>
</file>

<file path=xl/ctrlProps/ctrlProp34.xml><?xml version="1.0" encoding="utf-8"?>
<formControlPr xmlns="http://schemas.microsoft.com/office/spreadsheetml/2009/9/main" objectType="Drop" dropLines="4" dropStyle="combo" dx="22" fmlaLink="$AD$13" fmlaRange="typeOfFuel" sel="2" val="0"/>
</file>

<file path=xl/ctrlProps/ctrlProp35.xml><?xml version="1.0" encoding="utf-8"?>
<formControlPr xmlns="http://schemas.microsoft.com/office/spreadsheetml/2009/9/main" objectType="Drop" dropLines="4" dropStyle="combo" dx="22" fmlaLink="$AD$15" fmlaRange="typeOfFuel" sel="2" val="0"/>
</file>

<file path=xl/ctrlProps/ctrlProp36.xml><?xml version="1.0" encoding="utf-8"?>
<formControlPr xmlns="http://schemas.microsoft.com/office/spreadsheetml/2009/9/main" objectType="Drop" dropLines="4" dropStyle="combo" dx="22" fmlaLink="$AD$16" fmlaRange="typeOfFuel" sel="2" val="0"/>
</file>

<file path=xl/ctrlProps/ctrlProp37.xml><?xml version="1.0" encoding="utf-8"?>
<formControlPr xmlns="http://schemas.microsoft.com/office/spreadsheetml/2009/9/main" objectType="Drop" dropLines="4" dropStyle="combo" dx="22" fmlaLink="$AD$17" fmlaRange="typeOfFuel" sel="2" val="0"/>
</file>

<file path=xl/ctrlProps/ctrlProp38.xml><?xml version="1.0" encoding="utf-8"?>
<formControlPr xmlns="http://schemas.microsoft.com/office/spreadsheetml/2009/9/main" objectType="Drop" dropLines="4" dropStyle="combo" dx="22" fmlaLink="$AD$18" fmlaRange="typeOfFuel" sel="2" val="0"/>
</file>

<file path=xl/ctrlProps/ctrlProp39.xml><?xml version="1.0" encoding="utf-8"?>
<formControlPr xmlns="http://schemas.microsoft.com/office/spreadsheetml/2009/9/main" objectType="Drop" dropLines="4" dropStyle="combo" dx="22" fmlaLink="$AD$19" fmlaRange="typeOfFuel" sel="2" val="0"/>
</file>

<file path=xl/ctrlProps/ctrlProp40.xml><?xml version="1.0" encoding="utf-8"?>
<formControlPr xmlns="http://schemas.microsoft.com/office/spreadsheetml/2009/9/main" objectType="Drop" dropLines="4" dropStyle="combo" dx="22" fmlaLink="$AD$20" fmlaRange="typeOfFuel" sel="2" val="0"/>
</file>

<file path=xl/ctrlProps/ctrlProp41.xml><?xml version="1.0" encoding="utf-8"?>
<formControlPr xmlns="http://schemas.microsoft.com/office/spreadsheetml/2009/9/main" objectType="Drop" dropLines="4" dropStyle="combo" dx="22" fmlaLink="$AD$21" fmlaRange="typeOfFuel" sel="2" val="0"/>
</file>

<file path=xl/ctrlProps/ctrlProp42.xml><?xml version="1.0" encoding="utf-8"?>
<formControlPr xmlns="http://schemas.microsoft.com/office/spreadsheetml/2009/9/main" objectType="Drop" dropLines="4" dropStyle="combo" dx="22" fmlaLink="$AD$22" fmlaRange="typeOfFuel" sel="4" val="0"/>
</file>

<file path=xl/ctrlProps/ctrlProp43.xml><?xml version="1.0" encoding="utf-8"?>
<formControlPr xmlns="http://schemas.microsoft.com/office/spreadsheetml/2009/9/main" objectType="Drop" dropLines="4" dropStyle="combo" dx="22" fmlaLink="$AD$23" fmlaRange="typeOfFuel" sel="4" val="0"/>
</file>

<file path=xl/ctrlProps/ctrlProp44.xml><?xml version="1.0" encoding="utf-8"?>
<formControlPr xmlns="http://schemas.microsoft.com/office/spreadsheetml/2009/9/main" objectType="Drop" dropLines="4" dropStyle="combo" dx="22" fmlaLink="$AD$24" fmlaRange="typeOfFuel" sel="4" val="0"/>
</file>

<file path=xl/ctrlProps/ctrlProp45.xml><?xml version="1.0" encoding="utf-8"?>
<formControlPr xmlns="http://schemas.microsoft.com/office/spreadsheetml/2009/9/main" objectType="Drop" dropLines="4" dropStyle="combo" dx="22" fmlaLink="$AD$25" fmlaRange="typeOfFuel" sel="4" val="0"/>
</file>

<file path=xl/ctrlProps/ctrlProp46.xml><?xml version="1.0" encoding="utf-8"?>
<formControlPr xmlns="http://schemas.microsoft.com/office/spreadsheetml/2009/9/main" objectType="Drop" dropLines="4" dropStyle="combo" dx="22" fmlaLink="$AD$26" fmlaRange="typeOfFuel" sel="4" val="0"/>
</file>

<file path=xl/ctrlProps/ctrlProp47.xml><?xml version="1.0" encoding="utf-8"?>
<formControlPr xmlns="http://schemas.microsoft.com/office/spreadsheetml/2009/9/main" objectType="Drop" dropLines="4" dropStyle="combo" dx="22" fmlaLink="$AD$27" fmlaRange="typeOfFuel" sel="4" val="0"/>
</file>

<file path=xl/ctrlProps/ctrlProp48.xml><?xml version="1.0" encoding="utf-8"?>
<formControlPr xmlns="http://schemas.microsoft.com/office/spreadsheetml/2009/9/main" objectType="CheckBox" fmlaLink="$U$24" lockText="1"/>
</file>

<file path=xl/ctrlProps/ctrlProp49.xml><?xml version="1.0" encoding="utf-8"?>
<formControlPr xmlns="http://schemas.microsoft.com/office/spreadsheetml/2009/9/main" objectType="CheckBox" checked="Checked" fmlaLink="$U$26" lockText="1"/>
</file>

<file path=xl/ctrlProps/ctrlProp50.xml><?xml version="1.0" encoding="utf-8"?>
<formControlPr xmlns="http://schemas.microsoft.com/office/spreadsheetml/2009/9/main" objectType="Drop" dropLines="4" dropStyle="combo" dx="22" fmlaLink="$AD$14" fmlaRange="typeOfFuel" sel="2" val="0"/>
</file>

<file path=xl/ctrlProps/ctrlProp51.xml><?xml version="1.0" encoding="utf-8"?>
<formControlPr xmlns="http://schemas.microsoft.com/office/spreadsheetml/2009/9/main" objectType="CheckBox" fmlaLink="$U$17" lockText="1"/>
</file>

<file path=xl/ctrlProps/ctrlProp52.xml><?xml version="1.0" encoding="utf-8"?>
<formControlPr xmlns="http://schemas.microsoft.com/office/spreadsheetml/2009/9/main" objectType="CheckBox" fmlaLink="$U$19" lockText="1"/>
</file>

<file path=xl/ctrlProps/ctrlProp53.xml><?xml version="1.0" encoding="utf-8"?>
<formControlPr xmlns="http://schemas.microsoft.com/office/spreadsheetml/2009/9/main" objectType="CheckBox" fmlaLink="$U$21" lockText="1"/>
</file>

<file path=xl/ctrlProps/ctrlProp54.xml><?xml version="1.0" encoding="utf-8"?>
<formControlPr xmlns="http://schemas.microsoft.com/office/spreadsheetml/2009/9/main" objectType="CheckBox" fmlaLink="$U$25" lockText="1"/>
</file>

<file path=xl/ctrlProps/ctrlProp55.xml><?xml version="1.0" encoding="utf-8"?>
<formControlPr xmlns="http://schemas.microsoft.com/office/spreadsheetml/2009/9/main" objectType="CheckBox" checked="Checked" fmlaLink="$U$27" lockText="1"/>
</file>

<file path=xl/ctrlProps/ctrlProp56.xml><?xml version="1.0" encoding="utf-8"?>
<formControlPr xmlns="http://schemas.microsoft.com/office/spreadsheetml/2009/9/main" objectType="Drop" dropLines="4" dropStyle="combo" dx="22" fmlaLink="$T$12" fmlaRange="$T$7:$T$10" sel="4" val="0"/>
</file>

<file path=xl/ctrlProps/ctrlProp57.xml><?xml version="1.0" encoding="utf-8"?>
<formControlPr xmlns="http://schemas.microsoft.com/office/spreadsheetml/2009/9/main" objectType="Drop" dropLines="4" dropStyle="combo" dx="22" fmlaLink="$T$13" fmlaRange="$T$7:$T$10" sel="4" val="0"/>
</file>

<file path=xl/ctrlProps/ctrlProp58.xml><?xml version="1.0" encoding="utf-8"?>
<formControlPr xmlns="http://schemas.microsoft.com/office/spreadsheetml/2009/9/main" objectType="Drop" dropLines="4" dropStyle="combo" dx="22" fmlaLink="$T$14" fmlaRange="$T$7:$T$10" sel="4" val="0"/>
</file>

<file path=xl/ctrlProps/ctrlProp59.xml><?xml version="1.0" encoding="utf-8"?>
<formControlPr xmlns="http://schemas.microsoft.com/office/spreadsheetml/2009/9/main" objectType="Drop" dropLines="4" dropStyle="combo" dx="22" fmlaLink="$T$23" fmlaRange="$T$7:$T$10" sel="4" val="0"/>
</file>

<file path=xl/ctrlProps/ctrlProp60.xml><?xml version="1.0" encoding="utf-8"?>
<formControlPr xmlns="http://schemas.microsoft.com/office/spreadsheetml/2009/9/main" objectType="Drop" dropLines="4" dropStyle="combo" dx="22" fmlaLink="$T$26" fmlaRange="$T$7:$T$10" sel="4" val="0"/>
</file>

<file path=xl/ctrlProps/ctrlProp61.xml><?xml version="1.0" encoding="utf-8"?>
<formControlPr xmlns="http://schemas.microsoft.com/office/spreadsheetml/2009/9/main" objectType="Drop" dropLines="4" dropStyle="combo" dx="22" fmlaLink="$T$11" fmlaRange="$T$7:$T$10" sel="4" val="0"/>
</file>

<file path=xl/ctrlProps/ctrlProp62.xml><?xml version="1.0" encoding="utf-8"?>
<formControlPr xmlns="http://schemas.microsoft.com/office/spreadsheetml/2009/9/main" objectType="Drop" dropLines="4" dropStyle="combo" dx="22" fmlaLink="$T$15" fmlaRange="$T$7:$T$10" sel="4" val="0"/>
</file>

<file path=xl/ctrlProps/ctrlProp63.xml><?xml version="1.0" encoding="utf-8"?>
<formControlPr xmlns="http://schemas.microsoft.com/office/spreadsheetml/2009/9/main" objectType="Drop" dropLines="4" dropStyle="combo" dx="22" fmlaLink="$T$16" fmlaRange="$T$7:$T$10" sel="4" val="0"/>
</file>

<file path=xl/ctrlProps/ctrlProp64.xml><?xml version="1.0" encoding="utf-8"?>
<formControlPr xmlns="http://schemas.microsoft.com/office/spreadsheetml/2009/9/main" objectType="Drop" dropLines="4" dropStyle="combo" dx="22" fmlaLink="$T$22" fmlaRange="$T$7:$T$10" sel="4" val="0"/>
</file>

<file path=xl/ctrlProps/ctrlProp65.xml><?xml version="1.0" encoding="utf-8"?>
<formControlPr xmlns="http://schemas.microsoft.com/office/spreadsheetml/2009/9/main" objectType="Drop" dropLines="4" dropStyle="combo" dx="22" fmlaLink="$T$17" fmlaRange="$T$7:$T$10" sel="4" val="0"/>
</file>

<file path=xl/ctrlProps/ctrlProp66.xml><?xml version="1.0" encoding="utf-8"?>
<formControlPr xmlns="http://schemas.microsoft.com/office/spreadsheetml/2009/9/main" objectType="Drop" dropLines="4" dropStyle="combo" dx="22" fmlaLink="$T$20" fmlaRange="$T$7:$T$10" sel="4" val="0"/>
</file>

<file path=xl/ctrlProps/ctrlProp67.xml><?xml version="1.0" encoding="utf-8"?>
<formControlPr xmlns="http://schemas.microsoft.com/office/spreadsheetml/2009/9/main" objectType="Drop" dropLines="4" dropStyle="combo" dx="22" fmlaLink="$T$25" fmlaRange="$T$7:$T$10" sel="4" val="0"/>
</file>

<file path=xl/ctrlProps/ctrlProp68.xml><?xml version="1.0" encoding="utf-8"?>
<formControlPr xmlns="http://schemas.microsoft.com/office/spreadsheetml/2009/9/main" objectType="Drop" dropLines="4" dropStyle="combo" dx="22" fmlaLink="$T$18" fmlaRange="$T$7:$T$10" sel="4" val="0"/>
</file>

<file path=xl/ctrlProps/ctrlProp69.xml><?xml version="1.0" encoding="utf-8"?>
<formControlPr xmlns="http://schemas.microsoft.com/office/spreadsheetml/2009/9/main" objectType="Drop" dropLines="4" dropStyle="combo" dx="22" fmlaLink="$T$19" fmlaRange="$T$7:$T$10" sel="4" val="0"/>
</file>

<file path=xl/ctrlProps/ctrlProp70.xml><?xml version="1.0" encoding="utf-8"?>
<formControlPr xmlns="http://schemas.microsoft.com/office/spreadsheetml/2009/9/main" objectType="Drop" dropLines="4" dropStyle="combo" dx="22" fmlaLink="$T$21" fmlaRange="$T$7:$T$10" sel="4" val="0"/>
</file>

<file path=xl/ctrlProps/ctrlProp71.xml><?xml version="1.0" encoding="utf-8"?>
<formControlPr xmlns="http://schemas.microsoft.com/office/spreadsheetml/2009/9/main" objectType="Drop" dropLines="4" dropStyle="combo" dx="22" fmlaLink="$T$24" fmlaRange="$T$7:$T$10" sel="4" val="0"/>
</file>

<file path=xl/ctrlProps/ctrlProp72.xml><?xml version="1.0" encoding="utf-8"?>
<formControlPr xmlns="http://schemas.microsoft.com/office/spreadsheetml/2009/9/main" objectType="Drop" dropLines="4" dropStyle="combo" dx="22" fmlaLink="$T$27" fmlaRange="$T$7:$T$10" sel="4" val="0"/>
</file>

<file path=xl/ctrlProps/ctrlProp73.xml><?xml version="1.0" encoding="utf-8"?>
<formControlPr xmlns="http://schemas.microsoft.com/office/spreadsheetml/2009/9/main" objectType="Drop" dropLines="9" dropStyle="combo" dx="22" fmlaLink="$W$12" fmlaRange="$W$3:$W$11" sel="5" val="0"/>
</file>

<file path=xl/ctrlProps/ctrlProp74.xml><?xml version="1.0" encoding="utf-8"?>
<formControlPr xmlns="http://schemas.microsoft.com/office/spreadsheetml/2009/9/main" objectType="Drop" dropLines="2" dropStyle="combo" dx="22" fmlaLink="$V$11" fmlaRange="$V$7:$V$8" sel="2" val="0"/>
</file>

<file path=xl/ctrlProps/ctrlProp75.xml><?xml version="1.0" encoding="utf-8"?>
<formControlPr xmlns="http://schemas.microsoft.com/office/spreadsheetml/2009/9/main" objectType="Drop" dropLines="2" dropStyle="combo" dx="22" fmlaLink="$V$12" fmlaRange="$V$7:$V$8" sel="2" val="0"/>
</file>

<file path=xl/ctrlProps/ctrlProp76.xml><?xml version="1.0" encoding="utf-8"?>
<formControlPr xmlns="http://schemas.microsoft.com/office/spreadsheetml/2009/9/main" objectType="Drop" dropLines="2" dropStyle="combo" dx="22" fmlaLink="$V$13" fmlaRange="$V$7:$V$8" sel="1" val="0"/>
</file>

<file path=xl/ctrlProps/ctrlProp77.xml><?xml version="1.0" encoding="utf-8"?>
<formControlPr xmlns="http://schemas.microsoft.com/office/spreadsheetml/2009/9/main" objectType="Drop" dropLines="2" dropStyle="combo" dx="22" fmlaLink="$V$14" fmlaRange="$V$7:$V$8" sel="1" val="0"/>
</file>

<file path=xl/ctrlProps/ctrlProp78.xml><?xml version="1.0" encoding="utf-8"?>
<formControlPr xmlns="http://schemas.microsoft.com/office/spreadsheetml/2009/9/main" objectType="Drop" dropLines="2" dropStyle="combo" dx="22" fmlaLink="$V$15" fmlaRange="$V$7:$V$8" sel="1" val="0"/>
</file>

<file path=xl/ctrlProps/ctrlProp79.xml><?xml version="1.0" encoding="utf-8"?>
<formControlPr xmlns="http://schemas.microsoft.com/office/spreadsheetml/2009/9/main" objectType="CheckBox" fmlaLink="$U$11" lockText="1"/>
</file>

<file path=xl/ctrlProps/ctrlProp80.xml><?xml version="1.0" encoding="utf-8"?>
<formControlPr xmlns="http://schemas.microsoft.com/office/spreadsheetml/2009/9/main" objectType="CheckBox" fmlaLink="$U$12" lockText="1"/>
</file>

<file path=xl/ctrlProps/ctrlProp81.xml><?xml version="1.0" encoding="utf-8"?>
<formControlPr xmlns="http://schemas.microsoft.com/office/spreadsheetml/2009/9/main" objectType="CheckBox" checked="Checked" fmlaLink="$U$13" lockText="1"/>
</file>

<file path=xl/ctrlProps/ctrlProp82.xml><?xml version="1.0" encoding="utf-8"?>
<formControlPr xmlns="http://schemas.microsoft.com/office/spreadsheetml/2009/9/main" objectType="Drop" dropLines="4" dropStyle="combo" dx="22" fmlaLink="$T$12" fmlaRange="$T$7:$T$10" sel="4" val="0"/>
</file>

<file path=xl/ctrlProps/ctrlProp83.xml><?xml version="1.0" encoding="utf-8"?>
<formControlPr xmlns="http://schemas.microsoft.com/office/spreadsheetml/2009/9/main" objectType="Drop" dropLines="4" dropStyle="combo" dx="22" fmlaLink="$T$13" fmlaRange="$T$7:$T$10" sel="4" val="0"/>
</file>

<file path=xl/ctrlProps/ctrlProp84.xml><?xml version="1.0" encoding="utf-8"?>
<formControlPr xmlns="http://schemas.microsoft.com/office/spreadsheetml/2009/9/main" objectType="Drop" dropLines="4" dropStyle="combo" dx="22" fmlaLink="$T$14" fmlaRange="$T$7:$T$10" sel="4" val="0"/>
</file>

<file path=xl/ctrlProps/ctrlProp85.xml><?xml version="1.0" encoding="utf-8"?>
<formControlPr xmlns="http://schemas.microsoft.com/office/spreadsheetml/2009/9/main" objectType="Drop" dropLines="2" dropStyle="combo" dx="22" fmlaLink="$V$21" fmlaRange="$V$7:$V$8" sel="1" val="0"/>
</file>

<file path=xl/ctrlProps/ctrlProp86.xml><?xml version="1.0" encoding="utf-8"?>
<formControlPr xmlns="http://schemas.microsoft.com/office/spreadsheetml/2009/9/main" objectType="Drop" dropLines="4" dropStyle="combo" dx="22" fmlaLink="$T$22" fmlaRange="$T$7:$T$10" sel="4" val="0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Drop" dropLines="2" dropStyle="combo" dx="22" fmlaLink="$V$22" fmlaRange="$V$7:$V$8" sel="1" val="0"/>
</file>

<file path=xl/ctrlProps/ctrlProp89.xml><?xml version="1.0" encoding="utf-8"?>
<formControlPr xmlns="http://schemas.microsoft.com/office/spreadsheetml/2009/9/main" objectType="CheckBox" fmlaLink="$U$22" lockText="1"/>
</file>

<file path=xl/ctrlProps/ctrlProp90.xml><?xml version="1.0" encoding="utf-8"?>
<formControlPr xmlns="http://schemas.microsoft.com/office/spreadsheetml/2009/9/main" objectType="Drop" dropLines="4" dropStyle="combo" dx="22" fmlaLink="$T$23" fmlaRange="$T$7:$T$10" sel="4" val="0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93.xml><?xml version="1.0" encoding="utf-8"?>
<formControlPr xmlns="http://schemas.microsoft.com/office/spreadsheetml/2009/9/main" objectType="Drop" dropLines="4" dropStyle="combo" dx="22" fmlaLink="$T$11" fmlaRange="$T$7:$T$10" sel="4" val="0"/>
</file>

<file path=xl/ctrlProps/ctrlProp94.xml><?xml version="1.0" encoding="utf-8"?>
<formControlPr xmlns="http://schemas.microsoft.com/office/spreadsheetml/2009/9/main" objectType="CheckBox" fmlaLink="$U$14" lockText="1"/>
</file>

<file path=xl/ctrlProps/ctrlProp95.xml><?xml version="1.0" encoding="utf-8"?>
<formControlPr xmlns="http://schemas.microsoft.com/office/spreadsheetml/2009/9/main" objectType="CheckBox" checked="Checked" fmlaLink="$U$26" lockText="1"/>
</file>

<file path=xl/ctrlProps/ctrlProp96.xml><?xml version="1.0" encoding="utf-8"?>
<formControlPr xmlns="http://schemas.microsoft.com/office/spreadsheetml/2009/9/main" objectType="CheckBox" fmlaLink="$U$17" lockText="1"/>
</file>

<file path=xl/ctrlProps/ctrlProp97.xml><?xml version="1.0" encoding="utf-8"?>
<formControlPr xmlns="http://schemas.microsoft.com/office/spreadsheetml/2009/9/main" objectType="Drop" dropLines="2" dropStyle="combo" dx="22" fmlaLink="$V$16" fmlaRange="$V$7:$V$8" sel="2" val="0"/>
</file>

<file path=xl/ctrlProps/ctrlProp98.xml><?xml version="1.0" encoding="utf-8"?>
<formControlPr xmlns="http://schemas.microsoft.com/office/spreadsheetml/2009/9/main" objectType="Drop" dropLines="2" dropStyle="combo" dx="22" fmlaLink="$V$17" fmlaRange="$V$7:$V$8" sel="2" val="0"/>
</file>

<file path=xl/ctrlProps/ctrlProp99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100.xml><?xml version="1.0" encoding="utf-8"?>
<formControlPr xmlns="http://schemas.microsoft.com/office/spreadsheetml/2009/9/main" objectType="CheckBox" fmlaLink="$U$15" lockText="1"/>
</file>

<file path=xl/ctrlProps/ctrlProp101.xml><?xml version="1.0" encoding="utf-8"?>
<formControlPr xmlns="http://schemas.microsoft.com/office/spreadsheetml/2009/9/main" objectType="CheckBox" fmlaLink="$U$16" lockText="1"/>
</file>

<file path=xl/ctrlProps/ctrlProp102.xml><?xml version="1.0" encoding="utf-8"?>
<formControlPr xmlns="http://schemas.microsoft.com/office/spreadsheetml/2009/9/main" objectType="Drop" dropLines="2" dropStyle="combo" dx="22" fmlaLink="$V$18" fmlaRange="$V$7:$V$8" sel="2" val="0"/>
</file>

<file path=xl/ctrlProps/ctrlProp103.xml><?xml version="1.0" encoding="utf-8"?>
<formControlPr xmlns="http://schemas.microsoft.com/office/spreadsheetml/2009/9/main" objectType="Drop" dropLines="2" dropStyle="combo" dx="22" fmlaLink="$V$19" fmlaRange="$V$7:$V$8" sel="2" val="0"/>
</file>

<file path=xl/ctrlProps/ctrlProp104.xml><?xml version="1.0" encoding="utf-8"?>
<formControlPr xmlns="http://schemas.microsoft.com/office/spreadsheetml/2009/9/main" objectType="Drop" dropLines="2" dropStyle="combo" dx="22" fmlaLink="$V$25" fmlaRange="$V$7:$V$8" sel="1" val="0"/>
</file>

<file path=xl/ctrlProps/ctrlProp105.xml><?xml version="1.0" encoding="utf-8"?>
<formControlPr xmlns="http://schemas.microsoft.com/office/spreadsheetml/2009/9/main" objectType="CheckBox" checked="Checked" fmlaLink="$U$20" lockText="1"/>
</file>

<file path=xl/ctrlProps/ctrlProp106.xml><?xml version="1.0" encoding="utf-8"?>
<formControlPr xmlns="http://schemas.microsoft.com/office/spreadsheetml/2009/9/main" objectType="Drop" dropLines="4" dropStyle="combo" dx="22" fmlaLink="$T$15" fmlaRange="$T$7:$T$10" sel="4" val="0"/>
</file>

<file path=xl/ctrlProps/ctrlProp107.xml><?xml version="1.0" encoding="utf-8"?>
<formControlPr xmlns="http://schemas.microsoft.com/office/spreadsheetml/2009/9/main" objectType="Drop" dropLines="2" dropStyle="combo" dx="22" fmlaLink="$V$23" fmlaRange="$V$7:$V$8" sel="1" val="0"/>
</file>

<file path=xl/ctrlProps/ctrlProp108.xml><?xml version="1.0" encoding="utf-8"?>
<formControlPr xmlns="http://schemas.microsoft.com/office/spreadsheetml/2009/9/main" objectType="CheckBox" fmlaLink="$U$23" lockText="1"/>
</file>

<file path=xl/ctrlProps/ctrlProp109.xml><?xml version="1.0" encoding="utf-8"?>
<formControlPr xmlns="http://schemas.microsoft.com/office/spreadsheetml/2009/9/main" objectType="Drop" dropLines="2" dropStyle="combo" dx="22" fmlaLink="$V$24" fmlaRange="$V$7:$V$8" sel="1" val="0"/>
</file>

<file path=xl/ctrlProps/ctrlProp110.xml><?xml version="1.0" encoding="utf-8"?>
<formControlPr xmlns="http://schemas.microsoft.com/office/spreadsheetml/2009/9/main" objectType="CheckBox" fmlaLink="$U$25" lockText="1"/>
</file>

<file path=xl/ctrlProps/ctrlProp111.xml><?xml version="1.0" encoding="utf-8"?>
<formControlPr xmlns="http://schemas.microsoft.com/office/spreadsheetml/2009/9/main" objectType="Drop" dropLines="4" dropStyle="combo" dx="22" fmlaLink="$T$16" fmlaRange="$T$7:$T$10" sel="4" val="0"/>
</file>

<file path=xl/ctrlProps/ctrlProp112.xml><?xml version="1.0" encoding="utf-8"?>
<formControlPr xmlns="http://schemas.microsoft.com/office/spreadsheetml/2009/9/main" objectType="Drop" dropLines="4" dropStyle="combo" dx="22" fmlaLink="$T$17" fmlaRange="$T$7:$T$10" sel="4" val="0"/>
</file>

<file path=xl/ctrlProps/ctrlProp113.xml><?xml version="1.0" encoding="utf-8"?>
<formControlPr xmlns="http://schemas.microsoft.com/office/spreadsheetml/2009/9/main" objectType="Drop" dropLines="4" dropStyle="combo" dx="22" fmlaLink="$AH$11" fmlaRange="typeOfFuel" sel="2" val="0"/>
</file>

<file path=xl/ctrlProps/ctrlProp114.xml><?xml version="1.0" encoding="utf-8"?>
<formControlPr xmlns="http://schemas.microsoft.com/office/spreadsheetml/2009/9/main" objectType="Drop" dropLines="4" dropStyle="combo" dx="22" fmlaLink="$AH$12" fmlaRange="typeOfFuel" sel="2" val="0"/>
</file>

<file path=xl/ctrlProps/ctrlProp115.xml><?xml version="1.0" encoding="utf-8"?>
<formControlPr xmlns="http://schemas.microsoft.com/office/spreadsheetml/2009/9/main" objectType="Drop" dropLines="4" dropStyle="combo" dx="22" fmlaLink="$AH$13" fmlaRange="typeOfFuel" sel="2" val="0"/>
</file>

<file path=xl/ctrlProps/ctrlProp116.xml><?xml version="1.0" encoding="utf-8"?>
<formControlPr xmlns="http://schemas.microsoft.com/office/spreadsheetml/2009/9/main" objectType="Drop" dropLines="4" dropStyle="combo" dx="22" fmlaLink="$AH$14" fmlaRange="typeOfFuel" sel="2" val="0"/>
</file>

<file path=xl/ctrlProps/ctrlProp117.xml><?xml version="1.0" encoding="utf-8"?>
<formControlPr xmlns="http://schemas.microsoft.com/office/spreadsheetml/2009/9/main" objectType="Drop" dropLines="4" dropStyle="combo" dx="22" fmlaLink="$AH$15" fmlaRange="typeOfFuel" sel="2" val="0"/>
</file>

<file path=xl/ctrlProps/ctrlProp118.xml><?xml version="1.0" encoding="utf-8"?>
<formControlPr xmlns="http://schemas.microsoft.com/office/spreadsheetml/2009/9/main" objectType="Drop" dropLines="4" dropStyle="combo" dx="22" fmlaLink="$AH$16" fmlaRange="typeOfFuel" sel="2" val="0"/>
</file>

<file path=xl/ctrlProps/ctrlProp119.xml><?xml version="1.0" encoding="utf-8"?>
<formControlPr xmlns="http://schemas.microsoft.com/office/spreadsheetml/2009/9/main" objectType="Drop" dropLines="4" dropStyle="combo" dx="22" fmlaLink="$AH$17" fmlaRange="typeOfFuel" sel="2" val="0"/>
</file>

<file path=xl/ctrlProps/ctrlProp120.xml><?xml version="1.0" encoding="utf-8"?>
<formControlPr xmlns="http://schemas.microsoft.com/office/spreadsheetml/2009/9/main" objectType="Drop" dropLines="4" dropStyle="combo" dx="22" fmlaLink="$AH$18" fmlaRange="typeOfFuel" sel="2" val="0"/>
</file>

<file path=xl/ctrlProps/ctrlProp121.xml><?xml version="1.0" encoding="utf-8"?>
<formControlPr xmlns="http://schemas.microsoft.com/office/spreadsheetml/2009/9/main" objectType="Drop" dropLines="4" dropStyle="combo" dx="22" fmlaLink="$AH$22" fmlaRange="typeOfFuel" sel="4" val="0"/>
</file>

<file path=xl/ctrlProps/ctrlProp122.xml><?xml version="1.0" encoding="utf-8"?>
<formControlPr xmlns="http://schemas.microsoft.com/office/spreadsheetml/2009/9/main" objectType="Drop" dropLines="4" dropStyle="combo" dx="22" fmlaLink="$AH$23" fmlaRange="typeOfFuel" sel="4" val="0"/>
</file>

<file path=xl/ctrlProps/ctrlProp123.xml><?xml version="1.0" encoding="utf-8"?>
<formControlPr xmlns="http://schemas.microsoft.com/office/spreadsheetml/2009/9/main" objectType="Drop" dropLines="4" dropStyle="combo" dx="22" fmlaLink="$AH$24" fmlaRange="typeOfFuel" sel="4" val="0"/>
</file>

<file path=xl/ctrlProps/ctrlProp124.xml><?xml version="1.0" encoding="utf-8"?>
<formControlPr xmlns="http://schemas.microsoft.com/office/spreadsheetml/2009/9/main" objectType="Drop" dropLines="4" dropStyle="combo" dx="22" fmlaLink="$AH$25" fmlaRange="typeOfFuel" sel="4" val="0"/>
</file>

<file path=xl/ctrlProps/ctrlProp125.xml><?xml version="1.0" encoding="utf-8"?>
<formControlPr xmlns="http://schemas.microsoft.com/office/spreadsheetml/2009/9/main" objectType="Drop" dropLines="4" dropStyle="combo" dx="22" fmlaLink="$AH$26" fmlaRange="typeOfFuel" sel="4" val="0"/>
</file>

<file path=xl/ctrlProps/ctrlProp126.xml><?xml version="1.0" encoding="utf-8"?>
<formControlPr xmlns="http://schemas.microsoft.com/office/spreadsheetml/2009/9/main" objectType="Drop" dropLines="4" dropStyle="combo" dx="22" fmlaLink="$AH$27" fmlaRange="typeOfFuel" sel="4" val="0"/>
</file>

<file path=xl/ctrlProps/ctrlProp127.xml><?xml version="1.0" encoding="utf-8"?>
<formControlPr xmlns="http://schemas.microsoft.com/office/spreadsheetml/2009/9/main" objectType="Drop" dropLines="4" dropStyle="combo" dx="22" fmlaLink="$AH$19" fmlaRange="typeOfFuel" sel="2" val="0"/>
</file>

<file path=xl/ctrlProps/ctrlProp128.xml><?xml version="1.0" encoding="utf-8"?>
<formControlPr xmlns="http://schemas.microsoft.com/office/spreadsheetml/2009/9/main" objectType="Drop" dropLines="4" dropStyle="combo" dx="22" fmlaLink="$AH$20" fmlaRange="typeOfFuel" sel="2" val="0"/>
</file>

<file path=xl/ctrlProps/ctrlProp129.xml><?xml version="1.0" encoding="utf-8"?>
<formControlPr xmlns="http://schemas.microsoft.com/office/spreadsheetml/2009/9/main" objectType="Drop" dropLines="4" dropStyle="combo" dx="22" fmlaLink="$AH$21" fmlaRange="typeOfFuel" sel="2" val="0"/>
</file>

<file path=xl/ctrlProps/ctrlProp130.xml><?xml version="1.0" encoding="utf-8"?>
<formControlPr xmlns="http://schemas.microsoft.com/office/spreadsheetml/2009/9/main" objectType="Drop" dropLines="4" dropStyle="combo" dx="22" fmlaLink="$AH$11" fmlaRange="typeOfFuel" sel="2" val="0"/>
</file>

<file path=xl/ctrlProps/ctrlProp131.xml><?xml version="1.0" encoding="utf-8"?>
<formControlPr xmlns="http://schemas.microsoft.com/office/spreadsheetml/2009/9/main" objectType="Drop" dropLines="4" dropStyle="combo" dx="22" fmlaLink="$T$20" fmlaRange="$T$7:$T$10" sel="4" val="0"/>
</file>

<file path=xl/ctrlProps/ctrlProp132.xml><?xml version="1.0" encoding="utf-8"?>
<formControlPr xmlns="http://schemas.microsoft.com/office/spreadsheetml/2009/9/main" objectType="Drop" dropLines="4" dropStyle="combo" dx="22" fmlaLink="$T$25" fmlaRange="$T$7:$T$10" sel="4" val="0"/>
</file>

<file path=xl/ctrlProps/ctrlProp133.xml><?xml version="1.0" encoding="utf-8"?>
<formControlPr xmlns="http://schemas.microsoft.com/office/spreadsheetml/2009/9/main" objectType="Drop" dropLines="4" dropStyle="combo" dx="22" fmlaLink="$T$26" fmlaRange="$T$7:$T$10" sel="4" val="0"/>
</file>

<file path=xl/ctrlProps/ctrlProp134.xml><?xml version="1.0" encoding="utf-8"?>
<formControlPr xmlns="http://schemas.microsoft.com/office/spreadsheetml/2009/9/main" objectType="Drop" dropLines="2" dropStyle="combo" dx="22" fmlaLink="$V$20" fmlaRange="$V$7:$V$8" sel="2" val="0"/>
</file>

<file path=xl/ctrlProps/ctrlProp135.xml><?xml version="1.0" encoding="utf-8"?>
<formControlPr xmlns="http://schemas.microsoft.com/office/spreadsheetml/2009/9/main" objectType="Drop" dropLines="2" dropStyle="combo" dx="22" fmlaLink="$V$26" fmlaRange="$V$7:$V$8" sel="1" val="0"/>
</file>

<file path=xl/ctrlProps/ctrlProp136.xml><?xml version="1.0" encoding="utf-8"?>
<formControlPr xmlns="http://schemas.microsoft.com/office/spreadsheetml/2009/9/main" objectType="Drop" dropLines="2" dropStyle="combo" dx="22" fmlaLink="$V$27" fmlaRange="$V$7:$V$8" sel="1" val="0"/>
</file>

<file path=xl/ctrlProps/ctrlProp137.xml><?xml version="1.0" encoding="utf-8"?>
<formControlPr xmlns="http://schemas.microsoft.com/office/spreadsheetml/2009/9/main" objectType="CheckBox" fmlaLink="$U$18" lockText="1"/>
</file>

<file path=xl/ctrlProps/ctrlProp138.xml><?xml version="1.0" encoding="utf-8"?>
<formControlPr xmlns="http://schemas.microsoft.com/office/spreadsheetml/2009/9/main" objectType="CheckBox" fmlaLink="$U$19" lockText="1"/>
</file>

<file path=xl/ctrlProps/ctrlProp139.xml><?xml version="1.0" encoding="utf-8"?>
<formControlPr xmlns="http://schemas.microsoft.com/office/spreadsheetml/2009/9/main" objectType="CheckBox" fmlaLink="$U$21" lockText="1"/>
</file>

<file path=xl/ctrlProps/ctrlProp140.xml><?xml version="1.0" encoding="utf-8"?>
<formControlPr xmlns="http://schemas.microsoft.com/office/spreadsheetml/2009/9/main" objectType="CheckBox" fmlaLink="$U$24" lockText="1"/>
</file>

<file path=xl/ctrlProps/ctrlProp141.xml><?xml version="1.0" encoding="utf-8"?>
<formControlPr xmlns="http://schemas.microsoft.com/office/spreadsheetml/2009/9/main" objectType="CheckBox" checked="Checked" fmlaLink="$U$27" lockText="1"/>
</file>

<file path=xl/ctrlProps/ctrlProp142.xml><?xml version="1.0" encoding="utf-8"?>
<formControlPr xmlns="http://schemas.microsoft.com/office/spreadsheetml/2009/9/main" objectType="Drop" dropLines="4" dropStyle="combo" dx="22" fmlaLink="$T$18" fmlaRange="$T$7:$T$10" sel="4" val="0"/>
</file>

<file path=xl/ctrlProps/ctrlProp143.xml><?xml version="1.0" encoding="utf-8"?>
<formControlPr xmlns="http://schemas.microsoft.com/office/spreadsheetml/2009/9/main" objectType="Drop" dropLines="4" dropStyle="combo" dx="22" fmlaLink="$T$19" fmlaRange="$T$7:$T$10" sel="4" val="0"/>
</file>

<file path=xl/ctrlProps/ctrlProp144.xml><?xml version="1.0" encoding="utf-8"?>
<formControlPr xmlns="http://schemas.microsoft.com/office/spreadsheetml/2009/9/main" objectType="Drop" dropLines="4" dropStyle="combo" dx="22" fmlaLink="$T$21" fmlaRange="$T$7:$T$10" sel="4" val="0"/>
</file>

<file path=xl/ctrlProps/ctrlProp145.xml><?xml version="1.0" encoding="utf-8"?>
<formControlPr xmlns="http://schemas.microsoft.com/office/spreadsheetml/2009/9/main" objectType="Drop" dropLines="4" dropStyle="combo" dx="22" fmlaLink="$T$24" fmlaRange="$T$7:$T$10" sel="4" val="0"/>
</file>

<file path=xl/ctrlProps/ctrlProp146.xml><?xml version="1.0" encoding="utf-8"?>
<formControlPr xmlns="http://schemas.microsoft.com/office/spreadsheetml/2009/9/main" objectType="Drop" dropLines="4" dropStyle="combo" dx="22" fmlaLink="$T$27" fmlaRange="$T$7:$T$10" sel="4" val="0"/>
</file>

<file path=xl/ctrlProps/ctrlProp147.xml><?xml version="1.0" encoding="utf-8"?>
<formControlPr xmlns="http://schemas.microsoft.com/office/spreadsheetml/2009/9/main" objectType="Drop" dropLines="2" dropStyle="combo" dx="22" fmlaLink="$Y$10" fmlaRange="Bunkering!$Y$7:$Y$8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40821</xdr:colOff>
      <xdr:row>44</xdr:row>
      <xdr:rowOff>136070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D8C2E3-4947-76E1-5BB2-30713EF47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798142" cy="8518070"/>
        </a:xfrm>
        <a:prstGeom prst="rect">
          <a:avLst/>
        </a:prstGeom>
      </xdr:spPr>
    </xdr:pic>
    <xdr:clientData/>
  </xdr:twoCellAnchor>
  <xdr:twoCellAnchor>
    <xdr:from>
      <xdr:col>0</xdr:col>
      <xdr:colOff>245744</xdr:colOff>
      <xdr:row>16</xdr:row>
      <xdr:rowOff>161924</xdr:rowOff>
    </xdr:from>
    <xdr:to>
      <xdr:col>5</xdr:col>
      <xdr:colOff>226695</xdr:colOff>
      <xdr:row>33</xdr:row>
      <xdr:rowOff>49529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45744" y="3209924"/>
          <a:ext cx="3028951" cy="31261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/>
            <a:t>Please</a:t>
          </a:r>
          <a:r>
            <a:rPr lang="en-PH" sz="1100" baseline="0"/>
            <a:t> ENABLE Macro Setting to use this program.</a:t>
          </a:r>
        </a:p>
        <a:p>
          <a:endParaRPr lang="en-PH" sz="1100" baseline="0"/>
        </a:p>
        <a:p>
          <a:r>
            <a:rPr lang="en-PH" sz="1100" baseline="0"/>
            <a:t>Go to </a:t>
          </a:r>
        </a:p>
        <a:p>
          <a:endParaRPr lang="en-PH" sz="1100" baseline="0"/>
        </a:p>
        <a:p>
          <a:r>
            <a:rPr lang="en-PH" sz="1100" baseline="0"/>
            <a:t>File &gt;</a:t>
          </a:r>
        </a:p>
        <a:p>
          <a:r>
            <a:rPr lang="en-PH" sz="1100" baseline="0"/>
            <a:t>Excel Option &gt;</a:t>
          </a:r>
        </a:p>
        <a:p>
          <a:r>
            <a:rPr lang="en-PH" sz="1100" baseline="0"/>
            <a:t>Trust Center &gt;</a:t>
          </a:r>
        </a:p>
        <a:p>
          <a:r>
            <a:rPr lang="en-PH" sz="1100" baseline="0"/>
            <a:t>Macro Setting &gt;</a:t>
          </a:r>
        </a:p>
        <a:p>
          <a:endParaRPr lang="en-PH" sz="1100" baseline="0"/>
        </a:p>
        <a:p>
          <a:r>
            <a:rPr lang="en-PH" sz="1100" baseline="0"/>
            <a:t>and tick </a:t>
          </a:r>
        </a:p>
        <a:p>
          <a:pPr marL="171450" indent="-171450">
            <a:buFont typeface="Wingdings" panose="05000000000000000000" pitchFamily="2" charset="2"/>
            <a:buChar char="§"/>
          </a:pPr>
          <a:r>
            <a:rPr lang="en-PH" sz="1100" baseline="0"/>
            <a:t>     Enable all Macros</a:t>
          </a:r>
        </a:p>
        <a:p>
          <a:pPr marL="171450" indent="-171450">
            <a:buFont typeface="Wingdings" panose="05000000000000000000" pitchFamily="2" charset="2"/>
            <a:buChar char="§"/>
          </a:pPr>
          <a:r>
            <a:rPr lang="en-PH" sz="1100" baseline="0"/>
            <a:t>     Trust access to the VBA Project</a:t>
          </a:r>
        </a:p>
        <a:p>
          <a:endParaRPr lang="en-PH" sz="1100" baseline="0"/>
        </a:p>
        <a:p>
          <a:r>
            <a:rPr lang="en-PH" sz="1100" baseline="0"/>
            <a:t>then click Ok and Ok to save settings.</a:t>
          </a:r>
        </a:p>
        <a:p>
          <a:endParaRPr lang="en-PH" sz="1100" baseline="0"/>
        </a:p>
        <a:p>
          <a:r>
            <a:rPr lang="en-PH" sz="1100" baseline="0"/>
            <a:t>Close Excel and Open the File again.</a:t>
          </a:r>
        </a:p>
        <a:p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4</xdr:col>
          <xdr:colOff>0</xdr:colOff>
          <xdr:row>3</xdr:row>
          <xdr:rowOff>247650</xdr:rowOff>
        </xdr:to>
        <xdr:sp macro="" textlink="">
          <xdr:nvSpPr>
            <xdr:cNvPr id="1025" name="surveyKin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6" name="tankHe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6</xdr:col>
          <xdr:colOff>9525</xdr:colOff>
          <xdr:row>10</xdr:row>
          <xdr:rowOff>200025</xdr:rowOff>
        </xdr:to>
        <xdr:sp macro="" textlink="">
          <xdr:nvSpPr>
            <xdr:cNvPr id="1028" name="method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9525</xdr:colOff>
          <xdr:row>11</xdr:row>
          <xdr:rowOff>200025</xdr:rowOff>
        </xdr:to>
        <xdr:sp macro="" textlink="">
          <xdr:nvSpPr>
            <xdr:cNvPr id="1029" name="method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209550</xdr:rowOff>
        </xdr:from>
        <xdr:to>
          <xdr:col>6</xdr:col>
          <xdr:colOff>9525</xdr:colOff>
          <xdr:row>12</xdr:row>
          <xdr:rowOff>190500</xdr:rowOff>
        </xdr:to>
        <xdr:sp macro="" textlink="">
          <xdr:nvSpPr>
            <xdr:cNvPr id="1030" name="method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209550</xdr:rowOff>
        </xdr:from>
        <xdr:to>
          <xdr:col>6</xdr:col>
          <xdr:colOff>9525</xdr:colOff>
          <xdr:row>13</xdr:row>
          <xdr:rowOff>190500</xdr:rowOff>
        </xdr:to>
        <xdr:sp macro="" textlink="">
          <xdr:nvSpPr>
            <xdr:cNvPr id="1031" name="method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209550</xdr:rowOff>
        </xdr:from>
        <xdr:to>
          <xdr:col>6</xdr:col>
          <xdr:colOff>9525</xdr:colOff>
          <xdr:row>14</xdr:row>
          <xdr:rowOff>190500</xdr:rowOff>
        </xdr:to>
        <xdr:sp macro="" textlink="">
          <xdr:nvSpPr>
            <xdr:cNvPr id="1032" name="method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10</xdr:row>
          <xdr:rowOff>9525</xdr:rowOff>
        </xdr:from>
        <xdr:to>
          <xdr:col>6</xdr:col>
          <xdr:colOff>390525</xdr:colOff>
          <xdr:row>10</xdr:row>
          <xdr:rowOff>200025</xdr:rowOff>
        </xdr:to>
        <xdr:sp macro="" textlink="">
          <xdr:nvSpPr>
            <xdr:cNvPr id="1039" name="foTank0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11</xdr:row>
          <xdr:rowOff>0</xdr:rowOff>
        </xdr:from>
        <xdr:to>
          <xdr:col>6</xdr:col>
          <xdr:colOff>400050</xdr:colOff>
          <xdr:row>11</xdr:row>
          <xdr:rowOff>190500</xdr:rowOff>
        </xdr:to>
        <xdr:sp macro="" textlink="">
          <xdr:nvSpPr>
            <xdr:cNvPr id="1040" name="foTank0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12</xdr:row>
          <xdr:rowOff>0</xdr:rowOff>
        </xdr:from>
        <xdr:to>
          <xdr:col>6</xdr:col>
          <xdr:colOff>400050</xdr:colOff>
          <xdr:row>12</xdr:row>
          <xdr:rowOff>190500</xdr:rowOff>
        </xdr:to>
        <xdr:sp macro="" textlink="">
          <xdr:nvSpPr>
            <xdr:cNvPr id="1041" name="foTank0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19050</xdr:rowOff>
        </xdr:from>
        <xdr:to>
          <xdr:col>11</xdr:col>
          <xdr:colOff>0</xdr:colOff>
          <xdr:row>11</xdr:row>
          <xdr:rowOff>200025</xdr:rowOff>
        </xdr:to>
        <xdr:sp macro="" textlink="">
          <xdr:nvSpPr>
            <xdr:cNvPr id="1047" name="unit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19050</xdr:rowOff>
        </xdr:from>
        <xdr:to>
          <xdr:col>11</xdr:col>
          <xdr:colOff>0</xdr:colOff>
          <xdr:row>12</xdr:row>
          <xdr:rowOff>200025</xdr:rowOff>
        </xdr:to>
        <xdr:sp macro="" textlink="">
          <xdr:nvSpPr>
            <xdr:cNvPr id="1048" name="unit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19050</xdr:rowOff>
        </xdr:from>
        <xdr:to>
          <xdr:col>11</xdr:col>
          <xdr:colOff>0</xdr:colOff>
          <xdr:row>13</xdr:row>
          <xdr:rowOff>200025</xdr:rowOff>
        </xdr:to>
        <xdr:sp macro="" textlink="">
          <xdr:nvSpPr>
            <xdr:cNvPr id="1049" name="unit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9525</xdr:colOff>
          <xdr:row>20</xdr:row>
          <xdr:rowOff>200025</xdr:rowOff>
        </xdr:to>
        <xdr:sp macro="" textlink="">
          <xdr:nvSpPr>
            <xdr:cNvPr id="1053" name="method1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19050</xdr:rowOff>
        </xdr:from>
        <xdr:to>
          <xdr:col>11</xdr:col>
          <xdr:colOff>0</xdr:colOff>
          <xdr:row>22</xdr:row>
          <xdr:rowOff>200025</xdr:rowOff>
        </xdr:to>
        <xdr:sp macro="" textlink="">
          <xdr:nvSpPr>
            <xdr:cNvPr id="1054" name="unit1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28</xdr:row>
          <xdr:rowOff>95250</xdr:rowOff>
        </xdr:from>
        <xdr:to>
          <xdr:col>9</xdr:col>
          <xdr:colOff>638175</xdr:colOff>
          <xdr:row>30</xdr:row>
          <xdr:rowOff>57150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Preview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9525</xdr:colOff>
          <xdr:row>21</xdr:row>
          <xdr:rowOff>200025</xdr:rowOff>
        </xdr:to>
        <xdr:sp macro="" textlink="">
          <xdr:nvSpPr>
            <xdr:cNvPr id="1056" name="method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21</xdr:row>
          <xdr:rowOff>9525</xdr:rowOff>
        </xdr:from>
        <xdr:to>
          <xdr:col>6</xdr:col>
          <xdr:colOff>400050</xdr:colOff>
          <xdr:row>21</xdr:row>
          <xdr:rowOff>200025</xdr:rowOff>
        </xdr:to>
        <xdr:sp macro="" textlink="">
          <xdr:nvSpPr>
            <xdr:cNvPr id="1058" name="foTank0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9525</xdr:rowOff>
        </xdr:from>
        <xdr:to>
          <xdr:col>11</xdr:col>
          <xdr:colOff>0</xdr:colOff>
          <xdr:row>25</xdr:row>
          <xdr:rowOff>190500</xdr:rowOff>
        </xdr:to>
        <xdr:sp macro="" textlink="">
          <xdr:nvSpPr>
            <xdr:cNvPr id="1059" name="unit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30</xdr:row>
          <xdr:rowOff>161925</xdr:rowOff>
        </xdr:from>
        <xdr:to>
          <xdr:col>9</xdr:col>
          <xdr:colOff>628650</xdr:colOff>
          <xdr:row>32</xdr:row>
          <xdr:rowOff>171450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Print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28575</xdr:rowOff>
        </xdr:from>
        <xdr:to>
          <xdr:col>11</xdr:col>
          <xdr:colOff>0</xdr:colOff>
          <xdr:row>10</xdr:row>
          <xdr:rowOff>209550</xdr:rowOff>
        </xdr:to>
        <xdr:sp macro="" textlink="">
          <xdr:nvSpPr>
            <xdr:cNvPr id="1069" name="unit1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13</xdr:row>
          <xdr:rowOff>0</xdr:rowOff>
        </xdr:from>
        <xdr:to>
          <xdr:col>6</xdr:col>
          <xdr:colOff>400050</xdr:colOff>
          <xdr:row>13</xdr:row>
          <xdr:rowOff>190500</xdr:rowOff>
        </xdr:to>
        <xdr:sp macro="" textlink="">
          <xdr:nvSpPr>
            <xdr:cNvPr id="1070" name="foTank04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17</xdr:row>
          <xdr:rowOff>9525</xdr:rowOff>
        </xdr:from>
        <xdr:to>
          <xdr:col>6</xdr:col>
          <xdr:colOff>400050</xdr:colOff>
          <xdr:row>17</xdr:row>
          <xdr:rowOff>200025</xdr:rowOff>
        </xdr:to>
        <xdr:sp macro="" textlink="">
          <xdr:nvSpPr>
            <xdr:cNvPr id="1072" name="foTank0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209550</xdr:rowOff>
        </xdr:from>
        <xdr:to>
          <xdr:col>6</xdr:col>
          <xdr:colOff>9525</xdr:colOff>
          <xdr:row>15</xdr:row>
          <xdr:rowOff>190500</xdr:rowOff>
        </xdr:to>
        <xdr:sp macro="" textlink="">
          <xdr:nvSpPr>
            <xdr:cNvPr id="1128" name="method6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9525</xdr:rowOff>
        </xdr:from>
        <xdr:to>
          <xdr:col>6</xdr:col>
          <xdr:colOff>9525</xdr:colOff>
          <xdr:row>16</xdr:row>
          <xdr:rowOff>209550</xdr:rowOff>
        </xdr:to>
        <xdr:sp macro="" textlink="">
          <xdr:nvSpPr>
            <xdr:cNvPr id="1129" name="method7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6</xdr:col>
          <xdr:colOff>9525</xdr:colOff>
          <xdr:row>17</xdr:row>
          <xdr:rowOff>209550</xdr:rowOff>
        </xdr:to>
        <xdr:sp macro="" textlink="">
          <xdr:nvSpPr>
            <xdr:cNvPr id="1130" name="method8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14</xdr:row>
          <xdr:rowOff>0</xdr:rowOff>
        </xdr:from>
        <xdr:to>
          <xdr:col>6</xdr:col>
          <xdr:colOff>400050</xdr:colOff>
          <xdr:row>14</xdr:row>
          <xdr:rowOff>190500</xdr:rowOff>
        </xdr:to>
        <xdr:sp macro="" textlink="">
          <xdr:nvSpPr>
            <xdr:cNvPr id="1131" name="foTank0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15</xdr:row>
          <xdr:rowOff>19050</xdr:rowOff>
        </xdr:from>
        <xdr:to>
          <xdr:col>6</xdr:col>
          <xdr:colOff>400050</xdr:colOff>
          <xdr:row>15</xdr:row>
          <xdr:rowOff>209550</xdr:rowOff>
        </xdr:to>
        <xdr:sp macro="" textlink="">
          <xdr:nvSpPr>
            <xdr:cNvPr id="1132" name="foTank06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9525</xdr:rowOff>
        </xdr:from>
        <xdr:to>
          <xdr:col>6</xdr:col>
          <xdr:colOff>9525</xdr:colOff>
          <xdr:row>18</xdr:row>
          <xdr:rowOff>209550</xdr:rowOff>
        </xdr:to>
        <xdr:sp macro="" textlink="">
          <xdr:nvSpPr>
            <xdr:cNvPr id="1135" name="method9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19</xdr:row>
          <xdr:rowOff>9525</xdr:rowOff>
        </xdr:from>
        <xdr:to>
          <xdr:col>6</xdr:col>
          <xdr:colOff>400050</xdr:colOff>
          <xdr:row>19</xdr:row>
          <xdr:rowOff>200025</xdr:rowOff>
        </xdr:to>
        <xdr:sp macro="" textlink="">
          <xdr:nvSpPr>
            <xdr:cNvPr id="1137" name="foTank010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9525</xdr:rowOff>
        </xdr:from>
        <xdr:to>
          <xdr:col>6</xdr:col>
          <xdr:colOff>9525</xdr:colOff>
          <xdr:row>19</xdr:row>
          <xdr:rowOff>209550</xdr:rowOff>
        </xdr:to>
        <xdr:sp macro="" textlink="">
          <xdr:nvSpPr>
            <xdr:cNvPr id="1138" name="method10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19050</xdr:rowOff>
        </xdr:from>
        <xdr:to>
          <xdr:col>11</xdr:col>
          <xdr:colOff>0</xdr:colOff>
          <xdr:row>14</xdr:row>
          <xdr:rowOff>200025</xdr:rowOff>
        </xdr:to>
        <xdr:sp macro="" textlink="">
          <xdr:nvSpPr>
            <xdr:cNvPr id="1143" name="unit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9525</xdr:rowOff>
        </xdr:from>
        <xdr:to>
          <xdr:col>6</xdr:col>
          <xdr:colOff>9525</xdr:colOff>
          <xdr:row>22</xdr:row>
          <xdr:rowOff>209550</xdr:rowOff>
        </xdr:to>
        <xdr:sp macro="" textlink="">
          <xdr:nvSpPr>
            <xdr:cNvPr id="1227" name="method1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22</xdr:row>
          <xdr:rowOff>9525</xdr:rowOff>
        </xdr:from>
        <xdr:to>
          <xdr:col>6</xdr:col>
          <xdr:colOff>400050</xdr:colOff>
          <xdr:row>22</xdr:row>
          <xdr:rowOff>200025</xdr:rowOff>
        </xdr:to>
        <xdr:sp macro="" textlink="">
          <xdr:nvSpPr>
            <xdr:cNvPr id="1228" name="foTank013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9525</xdr:colOff>
          <xdr:row>23</xdr:row>
          <xdr:rowOff>200025</xdr:rowOff>
        </xdr:to>
        <xdr:sp macro="" textlink="">
          <xdr:nvSpPr>
            <xdr:cNvPr id="1230" name="method14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19050</xdr:rowOff>
        </xdr:from>
        <xdr:to>
          <xdr:col>11</xdr:col>
          <xdr:colOff>0</xdr:colOff>
          <xdr:row>15</xdr:row>
          <xdr:rowOff>200025</xdr:rowOff>
        </xdr:to>
        <xdr:sp macro="" textlink="">
          <xdr:nvSpPr>
            <xdr:cNvPr id="1232" name="unit6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19050</xdr:rowOff>
        </xdr:from>
        <xdr:to>
          <xdr:col>11</xdr:col>
          <xdr:colOff>0</xdr:colOff>
          <xdr:row>21</xdr:row>
          <xdr:rowOff>200025</xdr:rowOff>
        </xdr:to>
        <xdr:sp macro="" textlink="">
          <xdr:nvSpPr>
            <xdr:cNvPr id="1233" name="unit12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10</xdr:row>
          <xdr:rowOff>0</xdr:rowOff>
        </xdr:from>
        <xdr:to>
          <xdr:col>3</xdr:col>
          <xdr:colOff>0</xdr:colOff>
          <xdr:row>10</xdr:row>
          <xdr:rowOff>200025</xdr:rowOff>
        </xdr:to>
        <xdr:sp macro="" textlink="">
          <xdr:nvSpPr>
            <xdr:cNvPr id="1431" name="fuelType11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209550</xdr:rowOff>
        </xdr:from>
        <xdr:to>
          <xdr:col>6</xdr:col>
          <xdr:colOff>9525</xdr:colOff>
          <xdr:row>24</xdr:row>
          <xdr:rowOff>190500</xdr:rowOff>
        </xdr:to>
        <xdr:sp macro="" textlink="">
          <xdr:nvSpPr>
            <xdr:cNvPr id="1514" name="method15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19050</xdr:rowOff>
        </xdr:from>
        <xdr:to>
          <xdr:col>6</xdr:col>
          <xdr:colOff>9525</xdr:colOff>
          <xdr:row>26</xdr:row>
          <xdr:rowOff>0</xdr:rowOff>
        </xdr:to>
        <xdr:sp macro="" textlink="">
          <xdr:nvSpPr>
            <xdr:cNvPr id="1515" name="method16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</xdr:rowOff>
        </xdr:from>
        <xdr:to>
          <xdr:col>6</xdr:col>
          <xdr:colOff>9525</xdr:colOff>
          <xdr:row>27</xdr:row>
          <xdr:rowOff>0</xdr:rowOff>
        </xdr:to>
        <xdr:sp macro="" textlink="">
          <xdr:nvSpPr>
            <xdr:cNvPr id="1516" name="method17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11</xdr:row>
          <xdr:rowOff>0</xdr:rowOff>
        </xdr:from>
        <xdr:to>
          <xdr:col>3</xdr:col>
          <xdr:colOff>0</xdr:colOff>
          <xdr:row>11</xdr:row>
          <xdr:rowOff>200025</xdr:rowOff>
        </xdr:to>
        <xdr:sp macro="" textlink="">
          <xdr:nvSpPr>
            <xdr:cNvPr id="1520" name="fuelType12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12</xdr:row>
          <xdr:rowOff>0</xdr:rowOff>
        </xdr:from>
        <xdr:to>
          <xdr:col>3</xdr:col>
          <xdr:colOff>0</xdr:colOff>
          <xdr:row>12</xdr:row>
          <xdr:rowOff>209550</xdr:rowOff>
        </xdr:to>
        <xdr:sp macro="" textlink="">
          <xdr:nvSpPr>
            <xdr:cNvPr id="1521" name="fuelType13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14</xdr:row>
          <xdr:rowOff>0</xdr:rowOff>
        </xdr:from>
        <xdr:to>
          <xdr:col>3</xdr:col>
          <xdr:colOff>0</xdr:colOff>
          <xdr:row>14</xdr:row>
          <xdr:rowOff>209550</xdr:rowOff>
        </xdr:to>
        <xdr:sp macro="" textlink="">
          <xdr:nvSpPr>
            <xdr:cNvPr id="1523" name="fuelType15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15</xdr:row>
          <xdr:rowOff>0</xdr:rowOff>
        </xdr:from>
        <xdr:to>
          <xdr:col>3</xdr:col>
          <xdr:colOff>0</xdr:colOff>
          <xdr:row>15</xdr:row>
          <xdr:rowOff>209550</xdr:rowOff>
        </xdr:to>
        <xdr:sp macro="" textlink="">
          <xdr:nvSpPr>
            <xdr:cNvPr id="1524" name="fuelType16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16</xdr:row>
          <xdr:rowOff>0</xdr:rowOff>
        </xdr:from>
        <xdr:to>
          <xdr:col>3</xdr:col>
          <xdr:colOff>0</xdr:colOff>
          <xdr:row>16</xdr:row>
          <xdr:rowOff>209550</xdr:rowOff>
        </xdr:to>
        <xdr:sp macro="" textlink="">
          <xdr:nvSpPr>
            <xdr:cNvPr id="1525" name="fuelType17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17</xdr:row>
          <xdr:rowOff>0</xdr:rowOff>
        </xdr:from>
        <xdr:to>
          <xdr:col>3</xdr:col>
          <xdr:colOff>0</xdr:colOff>
          <xdr:row>17</xdr:row>
          <xdr:rowOff>209550</xdr:rowOff>
        </xdr:to>
        <xdr:sp macro="" textlink="">
          <xdr:nvSpPr>
            <xdr:cNvPr id="1526" name="fuelType18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18</xdr:row>
          <xdr:rowOff>0</xdr:rowOff>
        </xdr:from>
        <xdr:to>
          <xdr:col>3</xdr:col>
          <xdr:colOff>0</xdr:colOff>
          <xdr:row>18</xdr:row>
          <xdr:rowOff>209550</xdr:rowOff>
        </xdr:to>
        <xdr:sp macro="" textlink="">
          <xdr:nvSpPr>
            <xdr:cNvPr id="1527" name="fuelType19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19</xdr:row>
          <xdr:rowOff>9525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528" name="fuelType110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20</xdr:row>
          <xdr:rowOff>0</xdr:rowOff>
        </xdr:from>
        <xdr:to>
          <xdr:col>3</xdr:col>
          <xdr:colOff>0</xdr:colOff>
          <xdr:row>20</xdr:row>
          <xdr:rowOff>209550</xdr:rowOff>
        </xdr:to>
        <xdr:sp macro="" textlink="">
          <xdr:nvSpPr>
            <xdr:cNvPr id="1529" name="fuelType111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21</xdr:row>
          <xdr:rowOff>0</xdr:rowOff>
        </xdr:from>
        <xdr:to>
          <xdr:col>3</xdr:col>
          <xdr:colOff>0</xdr:colOff>
          <xdr:row>21</xdr:row>
          <xdr:rowOff>209550</xdr:rowOff>
        </xdr:to>
        <xdr:sp macro="" textlink="">
          <xdr:nvSpPr>
            <xdr:cNvPr id="1530" name="fuelType112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22</xdr:row>
          <xdr:rowOff>0</xdr:rowOff>
        </xdr:from>
        <xdr:to>
          <xdr:col>3</xdr:col>
          <xdr:colOff>0</xdr:colOff>
          <xdr:row>22</xdr:row>
          <xdr:rowOff>200025</xdr:rowOff>
        </xdr:to>
        <xdr:sp macro="" textlink="">
          <xdr:nvSpPr>
            <xdr:cNvPr id="1531" name="fuelType113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23</xdr:row>
          <xdr:rowOff>0</xdr:rowOff>
        </xdr:from>
        <xdr:to>
          <xdr:col>3</xdr:col>
          <xdr:colOff>0</xdr:colOff>
          <xdr:row>23</xdr:row>
          <xdr:rowOff>209550</xdr:rowOff>
        </xdr:to>
        <xdr:sp macro="" textlink="">
          <xdr:nvSpPr>
            <xdr:cNvPr id="1532" name="fuelType114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1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24</xdr:row>
          <xdr:rowOff>0</xdr:rowOff>
        </xdr:from>
        <xdr:to>
          <xdr:col>3</xdr:col>
          <xdr:colOff>0</xdr:colOff>
          <xdr:row>24</xdr:row>
          <xdr:rowOff>209550</xdr:rowOff>
        </xdr:to>
        <xdr:sp macro="" textlink="">
          <xdr:nvSpPr>
            <xdr:cNvPr id="1533" name="fuelType115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1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25</xdr:row>
          <xdr:rowOff>9525</xdr:rowOff>
        </xdr:from>
        <xdr:to>
          <xdr:col>3</xdr:col>
          <xdr:colOff>0</xdr:colOff>
          <xdr:row>25</xdr:row>
          <xdr:rowOff>209550</xdr:rowOff>
        </xdr:to>
        <xdr:sp macro="" textlink="">
          <xdr:nvSpPr>
            <xdr:cNvPr id="1534" name="fuelType116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1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26</xdr:row>
          <xdr:rowOff>9525</xdr:rowOff>
        </xdr:from>
        <xdr:to>
          <xdr:col>3</xdr:col>
          <xdr:colOff>0</xdr:colOff>
          <xdr:row>26</xdr:row>
          <xdr:rowOff>209550</xdr:rowOff>
        </xdr:to>
        <xdr:sp macro="" textlink="">
          <xdr:nvSpPr>
            <xdr:cNvPr id="1535" name="fuelType117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1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9525</xdr:rowOff>
        </xdr:from>
        <xdr:to>
          <xdr:col>11</xdr:col>
          <xdr:colOff>0</xdr:colOff>
          <xdr:row>16</xdr:row>
          <xdr:rowOff>190500</xdr:rowOff>
        </xdr:to>
        <xdr:sp macro="" textlink="">
          <xdr:nvSpPr>
            <xdr:cNvPr id="1771" name="unit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19050</xdr:rowOff>
        </xdr:from>
        <xdr:to>
          <xdr:col>11</xdr:col>
          <xdr:colOff>0</xdr:colOff>
          <xdr:row>19</xdr:row>
          <xdr:rowOff>200025</xdr:rowOff>
        </xdr:to>
        <xdr:sp macro="" textlink="">
          <xdr:nvSpPr>
            <xdr:cNvPr id="1772" name="unit10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23</xdr:row>
          <xdr:rowOff>38100</xdr:rowOff>
        </xdr:from>
        <xdr:to>
          <xdr:col>6</xdr:col>
          <xdr:colOff>400050</xdr:colOff>
          <xdr:row>24</xdr:row>
          <xdr:rowOff>9525</xdr:rowOff>
        </xdr:to>
        <xdr:sp macro="" textlink="">
          <xdr:nvSpPr>
            <xdr:cNvPr id="1773" name="foTank014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25</xdr:row>
          <xdr:rowOff>0</xdr:rowOff>
        </xdr:from>
        <xdr:to>
          <xdr:col>6</xdr:col>
          <xdr:colOff>400050</xdr:colOff>
          <xdr:row>25</xdr:row>
          <xdr:rowOff>190500</xdr:rowOff>
        </xdr:to>
        <xdr:sp macro="" textlink="">
          <xdr:nvSpPr>
            <xdr:cNvPr id="1774" name="foTank016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19050</xdr:rowOff>
        </xdr:from>
        <xdr:to>
          <xdr:col>11</xdr:col>
          <xdr:colOff>0</xdr:colOff>
          <xdr:row>24</xdr:row>
          <xdr:rowOff>200025</xdr:rowOff>
        </xdr:to>
        <xdr:sp macro="" textlink="">
          <xdr:nvSpPr>
            <xdr:cNvPr id="1782" name="unit15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790" name="fuelType14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16</xdr:row>
          <xdr:rowOff>9525</xdr:rowOff>
        </xdr:from>
        <xdr:to>
          <xdr:col>6</xdr:col>
          <xdr:colOff>400050</xdr:colOff>
          <xdr:row>16</xdr:row>
          <xdr:rowOff>200025</xdr:rowOff>
        </xdr:to>
        <xdr:sp macro="" textlink="">
          <xdr:nvSpPr>
            <xdr:cNvPr id="1792" name="foTank07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18</xdr:row>
          <xdr:rowOff>9525</xdr:rowOff>
        </xdr:from>
        <xdr:to>
          <xdr:col>6</xdr:col>
          <xdr:colOff>400050</xdr:colOff>
          <xdr:row>18</xdr:row>
          <xdr:rowOff>200025</xdr:rowOff>
        </xdr:to>
        <xdr:sp macro="" textlink="">
          <xdr:nvSpPr>
            <xdr:cNvPr id="1793" name="foTank0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20</xdr:row>
          <xdr:rowOff>9525</xdr:rowOff>
        </xdr:from>
        <xdr:to>
          <xdr:col>6</xdr:col>
          <xdr:colOff>400050</xdr:colOff>
          <xdr:row>20</xdr:row>
          <xdr:rowOff>200025</xdr:rowOff>
        </xdr:to>
        <xdr:sp macro="" textlink="">
          <xdr:nvSpPr>
            <xdr:cNvPr id="1794" name="foTank011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24</xdr:row>
          <xdr:rowOff>9525</xdr:rowOff>
        </xdr:from>
        <xdr:to>
          <xdr:col>6</xdr:col>
          <xdr:colOff>400050</xdr:colOff>
          <xdr:row>24</xdr:row>
          <xdr:rowOff>200025</xdr:rowOff>
        </xdr:to>
        <xdr:sp macro="" textlink="">
          <xdr:nvSpPr>
            <xdr:cNvPr id="1796" name="foTank015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26</xdr:row>
          <xdr:rowOff>0</xdr:rowOff>
        </xdr:from>
        <xdr:to>
          <xdr:col>6</xdr:col>
          <xdr:colOff>400050</xdr:colOff>
          <xdr:row>26</xdr:row>
          <xdr:rowOff>190500</xdr:rowOff>
        </xdr:to>
        <xdr:sp macro="" textlink="">
          <xdr:nvSpPr>
            <xdr:cNvPr id="1797" name="foTank017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9525</xdr:rowOff>
        </xdr:from>
        <xdr:to>
          <xdr:col>11</xdr:col>
          <xdr:colOff>0</xdr:colOff>
          <xdr:row>17</xdr:row>
          <xdr:rowOff>190500</xdr:rowOff>
        </xdr:to>
        <xdr:sp macro="" textlink="">
          <xdr:nvSpPr>
            <xdr:cNvPr id="1798" name="unit8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9525</xdr:rowOff>
        </xdr:from>
        <xdr:to>
          <xdr:col>11</xdr:col>
          <xdr:colOff>0</xdr:colOff>
          <xdr:row>18</xdr:row>
          <xdr:rowOff>190500</xdr:rowOff>
        </xdr:to>
        <xdr:sp macro="" textlink="">
          <xdr:nvSpPr>
            <xdr:cNvPr id="1799" name="unit9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</xdr:rowOff>
        </xdr:from>
        <xdr:to>
          <xdr:col>11</xdr:col>
          <xdr:colOff>0</xdr:colOff>
          <xdr:row>20</xdr:row>
          <xdr:rowOff>190500</xdr:rowOff>
        </xdr:to>
        <xdr:sp macro="" textlink="">
          <xdr:nvSpPr>
            <xdr:cNvPr id="1800" name="unit11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9525</xdr:rowOff>
        </xdr:from>
        <xdr:to>
          <xdr:col>11</xdr:col>
          <xdr:colOff>0</xdr:colOff>
          <xdr:row>23</xdr:row>
          <xdr:rowOff>190500</xdr:rowOff>
        </xdr:to>
        <xdr:sp macro="" textlink="">
          <xdr:nvSpPr>
            <xdr:cNvPr id="1801" name="unit14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9525</xdr:rowOff>
        </xdr:from>
        <xdr:to>
          <xdr:col>11</xdr:col>
          <xdr:colOff>0</xdr:colOff>
          <xdr:row>26</xdr:row>
          <xdr:rowOff>190500</xdr:rowOff>
        </xdr:to>
        <xdr:sp macro="" textlink="">
          <xdr:nvSpPr>
            <xdr:cNvPr id="1802" name="unit17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0</xdr:rowOff>
        </xdr:from>
        <xdr:to>
          <xdr:col>12</xdr:col>
          <xdr:colOff>0</xdr:colOff>
          <xdr:row>6</xdr:row>
          <xdr:rowOff>238125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6</xdr:col>
          <xdr:colOff>28575</xdr:colOff>
          <xdr:row>11</xdr:row>
          <xdr:rowOff>0</xdr:rowOff>
        </xdr:to>
        <xdr:sp macro="" textlink="">
          <xdr:nvSpPr>
            <xdr:cNvPr id="25603" name="method31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2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0</xdr:rowOff>
        </xdr:from>
        <xdr:to>
          <xdr:col>6</xdr:col>
          <xdr:colOff>19050</xdr:colOff>
          <xdr:row>11</xdr:row>
          <xdr:rowOff>200025</xdr:rowOff>
        </xdr:to>
        <xdr:sp macro="" textlink="">
          <xdr:nvSpPr>
            <xdr:cNvPr id="25604" name="method32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2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209550</xdr:rowOff>
        </xdr:from>
        <xdr:to>
          <xdr:col>6</xdr:col>
          <xdr:colOff>19050</xdr:colOff>
          <xdr:row>12</xdr:row>
          <xdr:rowOff>190500</xdr:rowOff>
        </xdr:to>
        <xdr:sp macro="" textlink="">
          <xdr:nvSpPr>
            <xdr:cNvPr id="25605" name="method33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2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209550</xdr:rowOff>
        </xdr:from>
        <xdr:to>
          <xdr:col>6</xdr:col>
          <xdr:colOff>19050</xdr:colOff>
          <xdr:row>13</xdr:row>
          <xdr:rowOff>190500</xdr:rowOff>
        </xdr:to>
        <xdr:sp macro="" textlink="">
          <xdr:nvSpPr>
            <xdr:cNvPr id="25606" name="method34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2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209550</xdr:rowOff>
        </xdr:from>
        <xdr:to>
          <xdr:col>6</xdr:col>
          <xdr:colOff>19050</xdr:colOff>
          <xdr:row>14</xdr:row>
          <xdr:rowOff>190500</xdr:rowOff>
        </xdr:to>
        <xdr:sp macro="" textlink="">
          <xdr:nvSpPr>
            <xdr:cNvPr id="25607" name="method35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2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</xdr:row>
          <xdr:rowOff>9525</xdr:rowOff>
        </xdr:from>
        <xdr:to>
          <xdr:col>6</xdr:col>
          <xdr:colOff>419100</xdr:colOff>
          <xdr:row>10</xdr:row>
          <xdr:rowOff>200025</xdr:rowOff>
        </xdr:to>
        <xdr:sp macro="" textlink="">
          <xdr:nvSpPr>
            <xdr:cNvPr id="25608" name="foTank11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2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11</xdr:row>
          <xdr:rowOff>0</xdr:rowOff>
        </xdr:from>
        <xdr:to>
          <xdr:col>6</xdr:col>
          <xdr:colOff>419100</xdr:colOff>
          <xdr:row>11</xdr:row>
          <xdr:rowOff>190500</xdr:rowOff>
        </xdr:to>
        <xdr:sp macro="" textlink="">
          <xdr:nvSpPr>
            <xdr:cNvPr id="25609" name="foTank12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2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12</xdr:row>
          <xdr:rowOff>0</xdr:rowOff>
        </xdr:from>
        <xdr:to>
          <xdr:col>6</xdr:col>
          <xdr:colOff>419100</xdr:colOff>
          <xdr:row>12</xdr:row>
          <xdr:rowOff>190500</xdr:rowOff>
        </xdr:to>
        <xdr:sp macro="" textlink="">
          <xdr:nvSpPr>
            <xdr:cNvPr id="25610" name="foTank13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2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11</xdr:row>
          <xdr:rowOff>19050</xdr:rowOff>
        </xdr:from>
        <xdr:to>
          <xdr:col>11</xdr:col>
          <xdr:colOff>19050</xdr:colOff>
          <xdr:row>11</xdr:row>
          <xdr:rowOff>200025</xdr:rowOff>
        </xdr:to>
        <xdr:sp macro="" textlink="">
          <xdr:nvSpPr>
            <xdr:cNvPr id="25611" name="unit32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2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12</xdr:row>
          <xdr:rowOff>19050</xdr:rowOff>
        </xdr:from>
        <xdr:to>
          <xdr:col>11</xdr:col>
          <xdr:colOff>19050</xdr:colOff>
          <xdr:row>12</xdr:row>
          <xdr:rowOff>200025</xdr:rowOff>
        </xdr:to>
        <xdr:sp macro="" textlink="">
          <xdr:nvSpPr>
            <xdr:cNvPr id="25612" name="unit33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2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19050</xdr:rowOff>
        </xdr:from>
        <xdr:to>
          <xdr:col>11</xdr:col>
          <xdr:colOff>19050</xdr:colOff>
          <xdr:row>13</xdr:row>
          <xdr:rowOff>200025</xdr:rowOff>
        </xdr:to>
        <xdr:sp macro="" textlink="">
          <xdr:nvSpPr>
            <xdr:cNvPr id="25613" name="unit34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2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9525</xdr:rowOff>
        </xdr:from>
        <xdr:to>
          <xdr:col>6</xdr:col>
          <xdr:colOff>9525</xdr:colOff>
          <xdr:row>20</xdr:row>
          <xdr:rowOff>209550</xdr:rowOff>
        </xdr:to>
        <xdr:sp macro="" textlink="">
          <xdr:nvSpPr>
            <xdr:cNvPr id="25614" name="method31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2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9525</xdr:rowOff>
        </xdr:from>
        <xdr:to>
          <xdr:col>11</xdr:col>
          <xdr:colOff>0</xdr:colOff>
          <xdr:row>21</xdr:row>
          <xdr:rowOff>190500</xdr:rowOff>
        </xdr:to>
        <xdr:sp macro="" textlink="">
          <xdr:nvSpPr>
            <xdr:cNvPr id="25615" name="unit312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28</xdr:row>
          <xdr:rowOff>95250</xdr:rowOff>
        </xdr:from>
        <xdr:to>
          <xdr:col>11</xdr:col>
          <xdr:colOff>180975</xdr:colOff>
          <xdr:row>30</xdr:row>
          <xdr:rowOff>57150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2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Preview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19050</xdr:rowOff>
        </xdr:from>
        <xdr:to>
          <xdr:col>6</xdr:col>
          <xdr:colOff>9525</xdr:colOff>
          <xdr:row>22</xdr:row>
          <xdr:rowOff>0</xdr:rowOff>
        </xdr:to>
        <xdr:sp macro="" textlink="">
          <xdr:nvSpPr>
            <xdr:cNvPr id="25617" name="method312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2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20</xdr:row>
          <xdr:rowOff>219075</xdr:rowOff>
        </xdr:from>
        <xdr:to>
          <xdr:col>6</xdr:col>
          <xdr:colOff>409575</xdr:colOff>
          <xdr:row>21</xdr:row>
          <xdr:rowOff>190500</xdr:rowOff>
        </xdr:to>
        <xdr:sp macro="" textlink="">
          <xdr:nvSpPr>
            <xdr:cNvPr id="25619" name="foTank112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2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9525</xdr:rowOff>
        </xdr:from>
        <xdr:to>
          <xdr:col>11</xdr:col>
          <xdr:colOff>0</xdr:colOff>
          <xdr:row>22</xdr:row>
          <xdr:rowOff>190500</xdr:rowOff>
        </xdr:to>
        <xdr:sp macro="" textlink="">
          <xdr:nvSpPr>
            <xdr:cNvPr id="25620" name="unit313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2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30</xdr:row>
          <xdr:rowOff>161925</xdr:rowOff>
        </xdr:from>
        <xdr:to>
          <xdr:col>11</xdr:col>
          <xdr:colOff>171450</xdr:colOff>
          <xdr:row>32</xdr:row>
          <xdr:rowOff>171450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2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Print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209550</xdr:rowOff>
        </xdr:from>
        <xdr:to>
          <xdr:col>6</xdr:col>
          <xdr:colOff>19050</xdr:colOff>
          <xdr:row>17</xdr:row>
          <xdr:rowOff>190500</xdr:rowOff>
        </xdr:to>
        <xdr:sp macro="" textlink="">
          <xdr:nvSpPr>
            <xdr:cNvPr id="25622" name="Drop Dow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2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10</xdr:row>
          <xdr:rowOff>28575</xdr:rowOff>
        </xdr:from>
        <xdr:to>
          <xdr:col>11</xdr:col>
          <xdr:colOff>19050</xdr:colOff>
          <xdr:row>10</xdr:row>
          <xdr:rowOff>209550</xdr:rowOff>
        </xdr:to>
        <xdr:sp macro="" textlink="">
          <xdr:nvSpPr>
            <xdr:cNvPr id="25623" name="unit31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2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13</xdr:row>
          <xdr:rowOff>0</xdr:rowOff>
        </xdr:from>
        <xdr:to>
          <xdr:col>6</xdr:col>
          <xdr:colOff>419100</xdr:colOff>
          <xdr:row>13</xdr:row>
          <xdr:rowOff>190500</xdr:rowOff>
        </xdr:to>
        <xdr:sp macro="" textlink="">
          <xdr:nvSpPr>
            <xdr:cNvPr id="25624" name="foTank1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2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25</xdr:row>
          <xdr:rowOff>19050</xdr:rowOff>
        </xdr:from>
        <xdr:to>
          <xdr:col>6</xdr:col>
          <xdr:colOff>409575</xdr:colOff>
          <xdr:row>25</xdr:row>
          <xdr:rowOff>209550</xdr:rowOff>
        </xdr:to>
        <xdr:sp macro="" textlink="">
          <xdr:nvSpPr>
            <xdr:cNvPr id="25625" name="foTank116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2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16</xdr:row>
          <xdr:rowOff>0</xdr:rowOff>
        </xdr:from>
        <xdr:to>
          <xdr:col>6</xdr:col>
          <xdr:colOff>419100</xdr:colOff>
          <xdr:row>16</xdr:row>
          <xdr:rowOff>190500</xdr:rowOff>
        </xdr:to>
        <xdr:sp macro="" textlink="">
          <xdr:nvSpPr>
            <xdr:cNvPr id="25626" name="foTank17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2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209550</xdr:rowOff>
        </xdr:from>
        <xdr:to>
          <xdr:col>6</xdr:col>
          <xdr:colOff>19050</xdr:colOff>
          <xdr:row>15</xdr:row>
          <xdr:rowOff>190500</xdr:rowOff>
        </xdr:to>
        <xdr:sp macro="" textlink="">
          <xdr:nvSpPr>
            <xdr:cNvPr id="25627" name="method36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2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209550</xdr:rowOff>
        </xdr:from>
        <xdr:to>
          <xdr:col>6</xdr:col>
          <xdr:colOff>19050</xdr:colOff>
          <xdr:row>16</xdr:row>
          <xdr:rowOff>190500</xdr:rowOff>
        </xdr:to>
        <xdr:sp macro="" textlink="">
          <xdr:nvSpPr>
            <xdr:cNvPr id="25628" name="method37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2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209550</xdr:rowOff>
        </xdr:from>
        <xdr:to>
          <xdr:col>6</xdr:col>
          <xdr:colOff>19050</xdr:colOff>
          <xdr:row>17</xdr:row>
          <xdr:rowOff>190500</xdr:rowOff>
        </xdr:to>
        <xdr:sp macro="" textlink="">
          <xdr:nvSpPr>
            <xdr:cNvPr id="25629" name="method38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2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0</xdr:rowOff>
        </xdr:from>
        <xdr:to>
          <xdr:col>6</xdr:col>
          <xdr:colOff>419100</xdr:colOff>
          <xdr:row>14</xdr:row>
          <xdr:rowOff>190500</xdr:rowOff>
        </xdr:to>
        <xdr:sp macro="" textlink="">
          <xdr:nvSpPr>
            <xdr:cNvPr id="25630" name="foTank15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2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15</xdr:row>
          <xdr:rowOff>0</xdr:rowOff>
        </xdr:from>
        <xdr:to>
          <xdr:col>6</xdr:col>
          <xdr:colOff>419100</xdr:colOff>
          <xdr:row>15</xdr:row>
          <xdr:rowOff>190500</xdr:rowOff>
        </xdr:to>
        <xdr:sp macro="" textlink="">
          <xdr:nvSpPr>
            <xdr:cNvPr id="25631" name="foTank16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2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209550</xdr:rowOff>
        </xdr:from>
        <xdr:to>
          <xdr:col>6</xdr:col>
          <xdr:colOff>19050</xdr:colOff>
          <xdr:row>18</xdr:row>
          <xdr:rowOff>190500</xdr:rowOff>
        </xdr:to>
        <xdr:sp macro="" textlink="">
          <xdr:nvSpPr>
            <xdr:cNvPr id="25632" name="Drop Dow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2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209550</xdr:rowOff>
        </xdr:from>
        <xdr:to>
          <xdr:col>6</xdr:col>
          <xdr:colOff>19050</xdr:colOff>
          <xdr:row>18</xdr:row>
          <xdr:rowOff>190500</xdr:rowOff>
        </xdr:to>
        <xdr:sp macro="" textlink="">
          <xdr:nvSpPr>
            <xdr:cNvPr id="25634" name="method39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2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19050</xdr:rowOff>
        </xdr:from>
        <xdr:to>
          <xdr:col>6</xdr:col>
          <xdr:colOff>9525</xdr:colOff>
          <xdr:row>25</xdr:row>
          <xdr:rowOff>0</xdr:rowOff>
        </xdr:to>
        <xdr:sp macro="" textlink="">
          <xdr:nvSpPr>
            <xdr:cNvPr id="25635" name="method31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2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19</xdr:row>
          <xdr:rowOff>0</xdr:rowOff>
        </xdr:from>
        <xdr:to>
          <xdr:col>6</xdr:col>
          <xdr:colOff>400050</xdr:colOff>
          <xdr:row>19</xdr:row>
          <xdr:rowOff>190500</xdr:rowOff>
        </xdr:to>
        <xdr:sp macro="" textlink="">
          <xdr:nvSpPr>
            <xdr:cNvPr id="25636" name="foTank110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2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19050</xdr:rowOff>
        </xdr:from>
        <xdr:to>
          <xdr:col>11</xdr:col>
          <xdr:colOff>19050</xdr:colOff>
          <xdr:row>14</xdr:row>
          <xdr:rowOff>200025</xdr:rowOff>
        </xdr:to>
        <xdr:sp macro="" textlink="">
          <xdr:nvSpPr>
            <xdr:cNvPr id="25638" name="unit35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2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19050</xdr:rowOff>
        </xdr:from>
        <xdr:to>
          <xdr:col>6</xdr:col>
          <xdr:colOff>9525</xdr:colOff>
          <xdr:row>23</xdr:row>
          <xdr:rowOff>0</xdr:rowOff>
        </xdr:to>
        <xdr:sp macro="" textlink="">
          <xdr:nvSpPr>
            <xdr:cNvPr id="25639" name="method313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2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22</xdr:row>
          <xdr:rowOff>9525</xdr:rowOff>
        </xdr:from>
        <xdr:to>
          <xdr:col>6</xdr:col>
          <xdr:colOff>419100</xdr:colOff>
          <xdr:row>22</xdr:row>
          <xdr:rowOff>200025</xdr:rowOff>
        </xdr:to>
        <xdr:sp macro="" textlink="">
          <xdr:nvSpPr>
            <xdr:cNvPr id="25640" name="foTank113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2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19050</xdr:rowOff>
        </xdr:from>
        <xdr:to>
          <xdr:col>6</xdr:col>
          <xdr:colOff>9525</xdr:colOff>
          <xdr:row>24</xdr:row>
          <xdr:rowOff>0</xdr:rowOff>
        </xdr:to>
        <xdr:sp macro="" textlink="">
          <xdr:nvSpPr>
            <xdr:cNvPr id="25641" name="method314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2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23</xdr:row>
          <xdr:rowOff>200025</xdr:rowOff>
        </xdr:from>
        <xdr:to>
          <xdr:col>6</xdr:col>
          <xdr:colOff>409575</xdr:colOff>
          <xdr:row>24</xdr:row>
          <xdr:rowOff>171450</xdr:rowOff>
        </xdr:to>
        <xdr:sp macro="" textlink="">
          <xdr:nvSpPr>
            <xdr:cNvPr id="25642" name="foTank115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2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19050</xdr:rowOff>
        </xdr:from>
        <xdr:to>
          <xdr:col>11</xdr:col>
          <xdr:colOff>19050</xdr:colOff>
          <xdr:row>15</xdr:row>
          <xdr:rowOff>200025</xdr:rowOff>
        </xdr:to>
        <xdr:sp macro="" textlink="">
          <xdr:nvSpPr>
            <xdr:cNvPr id="25643" name="unit36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2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9525</xdr:rowOff>
        </xdr:from>
        <xdr:to>
          <xdr:col>11</xdr:col>
          <xdr:colOff>0</xdr:colOff>
          <xdr:row>16</xdr:row>
          <xdr:rowOff>190500</xdr:rowOff>
        </xdr:to>
        <xdr:sp macro="" textlink="">
          <xdr:nvSpPr>
            <xdr:cNvPr id="25644" name="unit37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2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0</xdr:rowOff>
        </xdr:from>
        <xdr:to>
          <xdr:col>3</xdr:col>
          <xdr:colOff>28575</xdr:colOff>
          <xdr:row>10</xdr:row>
          <xdr:rowOff>209550</xdr:rowOff>
        </xdr:to>
        <xdr:sp macro="" textlink="">
          <xdr:nvSpPr>
            <xdr:cNvPr id="25645" name="fuelType21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2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0</xdr:rowOff>
        </xdr:from>
        <xdr:to>
          <xdr:col>3</xdr:col>
          <xdr:colOff>28575</xdr:colOff>
          <xdr:row>11</xdr:row>
          <xdr:rowOff>209550</xdr:rowOff>
        </xdr:to>
        <xdr:sp macro="" textlink="">
          <xdr:nvSpPr>
            <xdr:cNvPr id="25646" name="fuelType22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2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0</xdr:rowOff>
        </xdr:from>
        <xdr:to>
          <xdr:col>3</xdr:col>
          <xdr:colOff>28575</xdr:colOff>
          <xdr:row>12</xdr:row>
          <xdr:rowOff>209550</xdr:rowOff>
        </xdr:to>
        <xdr:sp macro="" textlink="">
          <xdr:nvSpPr>
            <xdr:cNvPr id="25647" name="fuelType23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2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3</xdr:col>
          <xdr:colOff>28575</xdr:colOff>
          <xdr:row>13</xdr:row>
          <xdr:rowOff>209550</xdr:rowOff>
        </xdr:to>
        <xdr:sp macro="" textlink="">
          <xdr:nvSpPr>
            <xdr:cNvPr id="25648" name="fuelType24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2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0</xdr:rowOff>
        </xdr:from>
        <xdr:to>
          <xdr:col>3</xdr:col>
          <xdr:colOff>28575</xdr:colOff>
          <xdr:row>14</xdr:row>
          <xdr:rowOff>209550</xdr:rowOff>
        </xdr:to>
        <xdr:sp macro="" textlink="">
          <xdr:nvSpPr>
            <xdr:cNvPr id="25649" name="fuelType25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2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0</xdr:rowOff>
        </xdr:from>
        <xdr:to>
          <xdr:col>3</xdr:col>
          <xdr:colOff>28575</xdr:colOff>
          <xdr:row>15</xdr:row>
          <xdr:rowOff>209550</xdr:rowOff>
        </xdr:to>
        <xdr:sp macro="" textlink="">
          <xdr:nvSpPr>
            <xdr:cNvPr id="25650" name="fuelType26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2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3</xdr:col>
          <xdr:colOff>28575</xdr:colOff>
          <xdr:row>16</xdr:row>
          <xdr:rowOff>209550</xdr:rowOff>
        </xdr:to>
        <xdr:sp macro="" textlink="">
          <xdr:nvSpPr>
            <xdr:cNvPr id="25651" name="fuelType27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2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0</xdr:rowOff>
        </xdr:from>
        <xdr:to>
          <xdr:col>3</xdr:col>
          <xdr:colOff>28575</xdr:colOff>
          <xdr:row>17</xdr:row>
          <xdr:rowOff>209550</xdr:rowOff>
        </xdr:to>
        <xdr:sp macro="" textlink="">
          <xdr:nvSpPr>
            <xdr:cNvPr id="25652" name="fuelType28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2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0</xdr:rowOff>
        </xdr:from>
        <xdr:to>
          <xdr:col>3</xdr:col>
          <xdr:colOff>28575</xdr:colOff>
          <xdr:row>21</xdr:row>
          <xdr:rowOff>209550</xdr:rowOff>
        </xdr:to>
        <xdr:sp macro="" textlink="">
          <xdr:nvSpPr>
            <xdr:cNvPr id="25653" name="fuelType212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2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28575</xdr:colOff>
          <xdr:row>22</xdr:row>
          <xdr:rowOff>209550</xdr:rowOff>
        </xdr:to>
        <xdr:sp macro="" textlink="">
          <xdr:nvSpPr>
            <xdr:cNvPr id="25654" name="fuelType213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2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0</xdr:rowOff>
        </xdr:from>
        <xdr:to>
          <xdr:col>3</xdr:col>
          <xdr:colOff>28575</xdr:colOff>
          <xdr:row>23</xdr:row>
          <xdr:rowOff>209550</xdr:rowOff>
        </xdr:to>
        <xdr:sp macro="" textlink="">
          <xdr:nvSpPr>
            <xdr:cNvPr id="25655" name="fuelType214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2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28575</xdr:colOff>
          <xdr:row>24</xdr:row>
          <xdr:rowOff>209550</xdr:rowOff>
        </xdr:to>
        <xdr:sp macro="" textlink="">
          <xdr:nvSpPr>
            <xdr:cNvPr id="25656" name="fuelType215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2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0</xdr:rowOff>
        </xdr:from>
        <xdr:to>
          <xdr:col>3</xdr:col>
          <xdr:colOff>28575</xdr:colOff>
          <xdr:row>25</xdr:row>
          <xdr:rowOff>209550</xdr:rowOff>
        </xdr:to>
        <xdr:sp macro="" textlink="">
          <xdr:nvSpPr>
            <xdr:cNvPr id="25657" name="fuelType216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2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0</xdr:rowOff>
        </xdr:from>
        <xdr:to>
          <xdr:col>3</xdr:col>
          <xdr:colOff>28575</xdr:colOff>
          <xdr:row>26</xdr:row>
          <xdr:rowOff>209550</xdr:rowOff>
        </xdr:to>
        <xdr:sp macro="" textlink="">
          <xdr:nvSpPr>
            <xdr:cNvPr id="25658" name="fuelType217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2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0</xdr:rowOff>
        </xdr:from>
        <xdr:to>
          <xdr:col>3</xdr:col>
          <xdr:colOff>28575</xdr:colOff>
          <xdr:row>18</xdr:row>
          <xdr:rowOff>209550</xdr:rowOff>
        </xdr:to>
        <xdr:sp macro="" textlink="">
          <xdr:nvSpPr>
            <xdr:cNvPr id="25740" name="fuelType29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2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0</xdr:rowOff>
        </xdr:from>
        <xdr:to>
          <xdr:col>3</xdr:col>
          <xdr:colOff>28575</xdr:colOff>
          <xdr:row>19</xdr:row>
          <xdr:rowOff>209550</xdr:rowOff>
        </xdr:to>
        <xdr:sp macro="" textlink="">
          <xdr:nvSpPr>
            <xdr:cNvPr id="25741" name="fuelType210" hidden="1">
              <a:extLst>
                <a:ext uri="{63B3BB69-23CF-44E3-9099-C40C66FF867C}">
                  <a14:compatExt spid="_x0000_s25741"/>
                </a:ext>
                <a:ext uri="{FF2B5EF4-FFF2-40B4-BE49-F238E27FC236}">
                  <a16:creationId xmlns:a16="http://schemas.microsoft.com/office/drawing/2014/main" id="{00000000-0008-0000-0200-00008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3</xdr:col>
          <xdr:colOff>28575</xdr:colOff>
          <xdr:row>20</xdr:row>
          <xdr:rowOff>209550</xdr:rowOff>
        </xdr:to>
        <xdr:sp macro="" textlink="">
          <xdr:nvSpPr>
            <xdr:cNvPr id="25742" name="fuelType211" hidden="1">
              <a:extLst>
                <a:ext uri="{63B3BB69-23CF-44E3-9099-C40C66FF867C}">
                  <a14:compatExt spid="_x0000_s25742"/>
                </a:ext>
                <a:ext uri="{FF2B5EF4-FFF2-40B4-BE49-F238E27FC236}">
                  <a16:creationId xmlns:a16="http://schemas.microsoft.com/office/drawing/2014/main" id="{00000000-0008-0000-0200-00008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5746" name="fuelType21" hidden="1">
              <a:extLst>
                <a:ext uri="{63B3BB69-23CF-44E3-9099-C40C66FF867C}">
                  <a14:compatExt spid="_x0000_s25746"/>
                </a:ext>
                <a:ext uri="{FF2B5EF4-FFF2-40B4-BE49-F238E27FC236}">
                  <a16:creationId xmlns:a16="http://schemas.microsoft.com/office/drawing/2014/main" id="{00000000-0008-0000-0200-00009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19050</xdr:rowOff>
        </xdr:from>
        <xdr:to>
          <xdr:col>11</xdr:col>
          <xdr:colOff>19050</xdr:colOff>
          <xdr:row>19</xdr:row>
          <xdr:rowOff>200025</xdr:rowOff>
        </xdr:to>
        <xdr:sp macro="" textlink="">
          <xdr:nvSpPr>
            <xdr:cNvPr id="25750" name="unit310" hidden="1">
              <a:extLst>
                <a:ext uri="{63B3BB69-23CF-44E3-9099-C40C66FF867C}">
                  <a14:compatExt spid="_x0000_s25750"/>
                </a:ext>
                <a:ext uri="{FF2B5EF4-FFF2-40B4-BE49-F238E27FC236}">
                  <a16:creationId xmlns:a16="http://schemas.microsoft.com/office/drawing/2014/main" id="{00000000-0008-0000-0200-00009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9525</xdr:rowOff>
        </xdr:from>
        <xdr:to>
          <xdr:col>11</xdr:col>
          <xdr:colOff>0</xdr:colOff>
          <xdr:row>24</xdr:row>
          <xdr:rowOff>190500</xdr:rowOff>
        </xdr:to>
        <xdr:sp macro="" textlink="">
          <xdr:nvSpPr>
            <xdr:cNvPr id="25751" name="unit315" hidden="1">
              <a:extLst>
                <a:ext uri="{63B3BB69-23CF-44E3-9099-C40C66FF867C}">
                  <a14:compatExt spid="_x0000_s25751"/>
                </a:ext>
                <a:ext uri="{FF2B5EF4-FFF2-40B4-BE49-F238E27FC236}">
                  <a16:creationId xmlns:a16="http://schemas.microsoft.com/office/drawing/2014/main" id="{00000000-0008-0000-0200-00009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9525</xdr:rowOff>
        </xdr:from>
        <xdr:to>
          <xdr:col>11</xdr:col>
          <xdr:colOff>0</xdr:colOff>
          <xdr:row>25</xdr:row>
          <xdr:rowOff>190500</xdr:rowOff>
        </xdr:to>
        <xdr:sp macro="" textlink="">
          <xdr:nvSpPr>
            <xdr:cNvPr id="25752" name="unit316" hidden="1">
              <a:extLst>
                <a:ext uri="{63B3BB69-23CF-44E3-9099-C40C66FF867C}">
                  <a14:compatExt spid="_x0000_s25752"/>
                </a:ext>
                <a:ext uri="{FF2B5EF4-FFF2-40B4-BE49-F238E27FC236}">
                  <a16:creationId xmlns:a16="http://schemas.microsoft.com/office/drawing/2014/main" id="{00000000-0008-0000-0200-00009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0</xdr:rowOff>
        </xdr:from>
        <xdr:to>
          <xdr:col>6</xdr:col>
          <xdr:colOff>19050</xdr:colOff>
          <xdr:row>19</xdr:row>
          <xdr:rowOff>200025</xdr:rowOff>
        </xdr:to>
        <xdr:sp macro="" textlink="">
          <xdr:nvSpPr>
            <xdr:cNvPr id="25753" name="method310" hidden="1">
              <a:extLst>
                <a:ext uri="{63B3BB69-23CF-44E3-9099-C40C66FF867C}">
                  <a14:compatExt spid="_x0000_s25753"/>
                </a:ext>
                <a:ext uri="{FF2B5EF4-FFF2-40B4-BE49-F238E27FC236}">
                  <a16:creationId xmlns:a16="http://schemas.microsoft.com/office/drawing/2014/main" id="{00000000-0008-0000-0200-00009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19050</xdr:rowOff>
        </xdr:from>
        <xdr:to>
          <xdr:col>6</xdr:col>
          <xdr:colOff>9525</xdr:colOff>
          <xdr:row>26</xdr:row>
          <xdr:rowOff>0</xdr:rowOff>
        </xdr:to>
        <xdr:sp macro="" textlink="">
          <xdr:nvSpPr>
            <xdr:cNvPr id="25754" name="method316" hidden="1">
              <a:extLst>
                <a:ext uri="{63B3BB69-23CF-44E3-9099-C40C66FF867C}">
                  <a14:compatExt spid="_x0000_s25754"/>
                </a:ext>
                <a:ext uri="{FF2B5EF4-FFF2-40B4-BE49-F238E27FC236}">
                  <a16:creationId xmlns:a16="http://schemas.microsoft.com/office/drawing/2014/main" id="{00000000-0008-0000-0200-00009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19050</xdr:rowOff>
        </xdr:from>
        <xdr:to>
          <xdr:col>6</xdr:col>
          <xdr:colOff>9525</xdr:colOff>
          <xdr:row>27</xdr:row>
          <xdr:rowOff>0</xdr:rowOff>
        </xdr:to>
        <xdr:sp macro="" textlink="">
          <xdr:nvSpPr>
            <xdr:cNvPr id="25755" name="method317" hidden="1">
              <a:extLst>
                <a:ext uri="{63B3BB69-23CF-44E3-9099-C40C66FF867C}">
                  <a14:compatExt spid="_x0000_s25755"/>
                </a:ext>
                <a:ext uri="{FF2B5EF4-FFF2-40B4-BE49-F238E27FC236}">
                  <a16:creationId xmlns:a16="http://schemas.microsoft.com/office/drawing/2014/main" id="{00000000-0008-0000-0200-00009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17</xdr:row>
          <xdr:rowOff>0</xdr:rowOff>
        </xdr:from>
        <xdr:to>
          <xdr:col>6</xdr:col>
          <xdr:colOff>419100</xdr:colOff>
          <xdr:row>17</xdr:row>
          <xdr:rowOff>190500</xdr:rowOff>
        </xdr:to>
        <xdr:sp macro="" textlink="">
          <xdr:nvSpPr>
            <xdr:cNvPr id="25756" name="foTank18" hidden="1">
              <a:extLst>
                <a:ext uri="{63B3BB69-23CF-44E3-9099-C40C66FF867C}">
                  <a14:compatExt spid="_x0000_s25756"/>
                </a:ext>
                <a:ext uri="{FF2B5EF4-FFF2-40B4-BE49-F238E27FC236}">
                  <a16:creationId xmlns:a16="http://schemas.microsoft.com/office/drawing/2014/main" id="{00000000-0008-0000-0200-00009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18</xdr:row>
          <xdr:rowOff>0</xdr:rowOff>
        </xdr:from>
        <xdr:to>
          <xdr:col>6</xdr:col>
          <xdr:colOff>419100</xdr:colOff>
          <xdr:row>18</xdr:row>
          <xdr:rowOff>190500</xdr:rowOff>
        </xdr:to>
        <xdr:sp macro="" textlink="">
          <xdr:nvSpPr>
            <xdr:cNvPr id="25757" name="foTank19" hidden="1">
              <a:extLst>
                <a:ext uri="{63B3BB69-23CF-44E3-9099-C40C66FF867C}">
                  <a14:compatExt spid="_x0000_s25757"/>
                </a:ext>
                <a:ext uri="{FF2B5EF4-FFF2-40B4-BE49-F238E27FC236}">
                  <a16:creationId xmlns:a16="http://schemas.microsoft.com/office/drawing/2014/main" id="{00000000-0008-0000-0200-00009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20</xdr:row>
          <xdr:rowOff>0</xdr:rowOff>
        </xdr:from>
        <xdr:to>
          <xdr:col>6</xdr:col>
          <xdr:colOff>419100</xdr:colOff>
          <xdr:row>20</xdr:row>
          <xdr:rowOff>190500</xdr:rowOff>
        </xdr:to>
        <xdr:sp macro="" textlink="">
          <xdr:nvSpPr>
            <xdr:cNvPr id="25758" name="foTank111" hidden="1">
              <a:extLst>
                <a:ext uri="{63B3BB69-23CF-44E3-9099-C40C66FF867C}">
                  <a14:compatExt spid="_x0000_s25758"/>
                </a:ext>
                <a:ext uri="{FF2B5EF4-FFF2-40B4-BE49-F238E27FC236}">
                  <a16:creationId xmlns:a16="http://schemas.microsoft.com/office/drawing/2014/main" id="{00000000-0008-0000-0200-00009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23</xdr:row>
          <xdr:rowOff>0</xdr:rowOff>
        </xdr:from>
        <xdr:to>
          <xdr:col>6</xdr:col>
          <xdr:colOff>419100</xdr:colOff>
          <xdr:row>23</xdr:row>
          <xdr:rowOff>190500</xdr:rowOff>
        </xdr:to>
        <xdr:sp macro="" textlink="">
          <xdr:nvSpPr>
            <xdr:cNvPr id="25759" name="foTank114" hidden="1">
              <a:extLst>
                <a:ext uri="{63B3BB69-23CF-44E3-9099-C40C66FF867C}">
                  <a14:compatExt spid="_x0000_s25759"/>
                </a:ext>
                <a:ext uri="{FF2B5EF4-FFF2-40B4-BE49-F238E27FC236}">
                  <a16:creationId xmlns:a16="http://schemas.microsoft.com/office/drawing/2014/main" id="{00000000-0008-0000-0200-00009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26</xdr:row>
          <xdr:rowOff>0</xdr:rowOff>
        </xdr:from>
        <xdr:to>
          <xdr:col>6</xdr:col>
          <xdr:colOff>419100</xdr:colOff>
          <xdr:row>26</xdr:row>
          <xdr:rowOff>190500</xdr:rowOff>
        </xdr:to>
        <xdr:sp macro="" textlink="">
          <xdr:nvSpPr>
            <xdr:cNvPr id="25760" name="foTank117" hidden="1">
              <a:extLst>
                <a:ext uri="{63B3BB69-23CF-44E3-9099-C40C66FF867C}">
                  <a14:compatExt spid="_x0000_s25760"/>
                </a:ext>
                <a:ext uri="{FF2B5EF4-FFF2-40B4-BE49-F238E27FC236}">
                  <a16:creationId xmlns:a16="http://schemas.microsoft.com/office/drawing/2014/main" id="{00000000-0008-0000-0200-0000A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9525</xdr:rowOff>
        </xdr:from>
        <xdr:to>
          <xdr:col>11</xdr:col>
          <xdr:colOff>0</xdr:colOff>
          <xdr:row>17</xdr:row>
          <xdr:rowOff>190500</xdr:rowOff>
        </xdr:to>
        <xdr:sp macro="" textlink="">
          <xdr:nvSpPr>
            <xdr:cNvPr id="25761" name="unit38" hidden="1">
              <a:extLst>
                <a:ext uri="{63B3BB69-23CF-44E3-9099-C40C66FF867C}">
                  <a14:compatExt spid="_x0000_s25761"/>
                </a:ext>
                <a:ext uri="{FF2B5EF4-FFF2-40B4-BE49-F238E27FC236}">
                  <a16:creationId xmlns:a16="http://schemas.microsoft.com/office/drawing/2014/main" id="{00000000-0008-0000-0200-0000A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9525</xdr:rowOff>
        </xdr:from>
        <xdr:to>
          <xdr:col>11</xdr:col>
          <xdr:colOff>0</xdr:colOff>
          <xdr:row>18</xdr:row>
          <xdr:rowOff>190500</xdr:rowOff>
        </xdr:to>
        <xdr:sp macro="" textlink="">
          <xdr:nvSpPr>
            <xdr:cNvPr id="25762" name="unit39" hidden="1">
              <a:extLst>
                <a:ext uri="{63B3BB69-23CF-44E3-9099-C40C66FF867C}">
                  <a14:compatExt spid="_x0000_s25762"/>
                </a:ext>
                <a:ext uri="{FF2B5EF4-FFF2-40B4-BE49-F238E27FC236}">
                  <a16:creationId xmlns:a16="http://schemas.microsoft.com/office/drawing/2014/main" id="{00000000-0008-0000-0200-0000A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</xdr:rowOff>
        </xdr:from>
        <xdr:to>
          <xdr:col>11</xdr:col>
          <xdr:colOff>0</xdr:colOff>
          <xdr:row>20</xdr:row>
          <xdr:rowOff>190500</xdr:rowOff>
        </xdr:to>
        <xdr:sp macro="" textlink="">
          <xdr:nvSpPr>
            <xdr:cNvPr id="25763" name="unit311" hidden="1">
              <a:extLst>
                <a:ext uri="{63B3BB69-23CF-44E3-9099-C40C66FF867C}">
                  <a14:compatExt spid="_x0000_s25763"/>
                </a:ext>
                <a:ext uri="{FF2B5EF4-FFF2-40B4-BE49-F238E27FC236}">
                  <a16:creationId xmlns:a16="http://schemas.microsoft.com/office/drawing/2014/main" id="{00000000-0008-0000-0200-0000A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9525</xdr:rowOff>
        </xdr:from>
        <xdr:to>
          <xdr:col>11</xdr:col>
          <xdr:colOff>0</xdr:colOff>
          <xdr:row>23</xdr:row>
          <xdr:rowOff>190500</xdr:rowOff>
        </xdr:to>
        <xdr:sp macro="" textlink="">
          <xdr:nvSpPr>
            <xdr:cNvPr id="25764" name="unit314" hidden="1">
              <a:extLst>
                <a:ext uri="{63B3BB69-23CF-44E3-9099-C40C66FF867C}">
                  <a14:compatExt spid="_x0000_s25764"/>
                </a:ext>
                <a:ext uri="{FF2B5EF4-FFF2-40B4-BE49-F238E27FC236}">
                  <a16:creationId xmlns:a16="http://schemas.microsoft.com/office/drawing/2014/main" id="{00000000-0008-0000-0200-0000A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9525</xdr:rowOff>
        </xdr:from>
        <xdr:to>
          <xdr:col>11</xdr:col>
          <xdr:colOff>0</xdr:colOff>
          <xdr:row>26</xdr:row>
          <xdr:rowOff>190500</xdr:rowOff>
        </xdr:to>
        <xdr:sp macro="" textlink="">
          <xdr:nvSpPr>
            <xdr:cNvPr id="25765" name="unit317" hidden="1">
              <a:extLst>
                <a:ext uri="{63B3BB69-23CF-44E3-9099-C40C66FF867C}">
                  <a14:compatExt spid="_x0000_s25765"/>
                </a:ext>
                <a:ext uri="{FF2B5EF4-FFF2-40B4-BE49-F238E27FC236}">
                  <a16:creationId xmlns:a16="http://schemas.microsoft.com/office/drawing/2014/main" id="{00000000-0008-0000-0200-0000A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895350</xdr:colOff>
          <xdr:row>4</xdr:row>
          <xdr:rowOff>0</xdr:rowOff>
        </xdr:to>
        <xdr:sp macro="" textlink="">
          <xdr:nvSpPr>
            <xdr:cNvPr id="25767" name="surveyType1" hidden="1">
              <a:extLst>
                <a:ext uri="{63B3BB69-23CF-44E3-9099-C40C66FF867C}">
                  <a14:compatExt spid="_x0000_s25767"/>
                </a:ext>
                <a:ext uri="{FF2B5EF4-FFF2-40B4-BE49-F238E27FC236}">
                  <a16:creationId xmlns:a16="http://schemas.microsoft.com/office/drawing/2014/main" id="{00000000-0008-0000-0200-0000A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ts0gs\Desktop\VOY%201-B%20CANAKKALE%20TURKEY%20TO%20YUZHNE%20UKRAINE\1-B%20CANAKKALE%20TURKEY%20TO%20YUZHNE%20UKRA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IGATION"/>
      <sheetName val="CALCULATIONS"/>
      <sheetName val="DATA"/>
      <sheetName val="CONSUMPTION"/>
      <sheetName val="ROB"/>
      <sheetName val="TALLY"/>
      <sheetName val="ABSTRACT"/>
      <sheetName val="SUMMARY"/>
      <sheetName val="REMAIN"/>
      <sheetName val="AVERAGE"/>
      <sheetName val="REPORT1"/>
      <sheetName val="REPORT2"/>
      <sheetName val="REPORT3"/>
      <sheetName val="REPORT4"/>
      <sheetName val="INSERT"/>
    </sheetNames>
    <sheetDataSet>
      <sheetData sheetId="0">
        <row r="3">
          <cell r="A3" t="str">
            <v>DUAL</v>
          </cell>
        </row>
      </sheetData>
      <sheetData sheetId="1"/>
      <sheetData sheetId="2"/>
      <sheetData sheetId="3"/>
      <sheetData sheetId="4"/>
      <sheetData sheetId="5">
        <row r="1">
          <cell r="V1">
            <v>91.5</v>
          </cell>
          <cell r="X1">
            <v>5.1749999999999998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5.xml"/><Relationship Id="rId21" Type="http://schemas.openxmlformats.org/officeDocument/2006/relationships/ctrlProp" Target="../ctrlProps/ctrlProp90.xml"/><Relationship Id="rId42" Type="http://schemas.openxmlformats.org/officeDocument/2006/relationships/ctrlProp" Target="../ctrlProps/ctrlProp111.xml"/><Relationship Id="rId47" Type="http://schemas.openxmlformats.org/officeDocument/2006/relationships/ctrlProp" Target="../ctrlProps/ctrlProp116.xml"/><Relationship Id="rId63" Type="http://schemas.openxmlformats.org/officeDocument/2006/relationships/ctrlProp" Target="../ctrlProps/ctrlProp132.xml"/><Relationship Id="rId68" Type="http://schemas.openxmlformats.org/officeDocument/2006/relationships/ctrlProp" Target="../ctrlProps/ctrlProp137.xml"/><Relationship Id="rId16" Type="http://schemas.openxmlformats.org/officeDocument/2006/relationships/ctrlProp" Target="../ctrlProps/ctrlProp8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45" Type="http://schemas.openxmlformats.org/officeDocument/2006/relationships/ctrlProp" Target="../ctrlProps/ctrlProp114.xml"/><Relationship Id="rId53" Type="http://schemas.openxmlformats.org/officeDocument/2006/relationships/ctrlProp" Target="../ctrlProps/ctrlProp122.xml"/><Relationship Id="rId58" Type="http://schemas.openxmlformats.org/officeDocument/2006/relationships/ctrlProp" Target="../ctrlProps/ctrlProp127.xml"/><Relationship Id="rId66" Type="http://schemas.openxmlformats.org/officeDocument/2006/relationships/ctrlProp" Target="../ctrlProps/ctrlProp135.xml"/><Relationship Id="rId74" Type="http://schemas.openxmlformats.org/officeDocument/2006/relationships/ctrlProp" Target="../ctrlProps/ctrlProp143.xml"/><Relationship Id="rId5" Type="http://schemas.openxmlformats.org/officeDocument/2006/relationships/ctrlProp" Target="../ctrlProps/ctrlProp74.xml"/><Relationship Id="rId61" Type="http://schemas.openxmlformats.org/officeDocument/2006/relationships/ctrlProp" Target="../ctrlProps/ctrlProp130.xml"/><Relationship Id="rId19" Type="http://schemas.openxmlformats.org/officeDocument/2006/relationships/ctrlProp" Target="../ctrlProps/ctrlProp8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43" Type="http://schemas.openxmlformats.org/officeDocument/2006/relationships/ctrlProp" Target="../ctrlProps/ctrlProp112.xml"/><Relationship Id="rId48" Type="http://schemas.openxmlformats.org/officeDocument/2006/relationships/ctrlProp" Target="../ctrlProps/ctrlProp117.xml"/><Relationship Id="rId56" Type="http://schemas.openxmlformats.org/officeDocument/2006/relationships/ctrlProp" Target="../ctrlProps/ctrlProp125.xml"/><Relationship Id="rId64" Type="http://schemas.openxmlformats.org/officeDocument/2006/relationships/ctrlProp" Target="../ctrlProps/ctrlProp133.xml"/><Relationship Id="rId69" Type="http://schemas.openxmlformats.org/officeDocument/2006/relationships/ctrlProp" Target="../ctrlProps/ctrlProp138.xml"/><Relationship Id="rId77" Type="http://schemas.openxmlformats.org/officeDocument/2006/relationships/ctrlProp" Target="../ctrlProps/ctrlProp146.xml"/><Relationship Id="rId8" Type="http://schemas.openxmlformats.org/officeDocument/2006/relationships/ctrlProp" Target="../ctrlProps/ctrlProp77.xml"/><Relationship Id="rId51" Type="http://schemas.openxmlformats.org/officeDocument/2006/relationships/ctrlProp" Target="../ctrlProps/ctrlProp120.xml"/><Relationship Id="rId72" Type="http://schemas.openxmlformats.org/officeDocument/2006/relationships/ctrlProp" Target="../ctrlProps/ctrlProp14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46" Type="http://schemas.openxmlformats.org/officeDocument/2006/relationships/ctrlProp" Target="../ctrlProps/ctrlProp115.xml"/><Relationship Id="rId59" Type="http://schemas.openxmlformats.org/officeDocument/2006/relationships/ctrlProp" Target="../ctrlProps/ctrlProp128.xml"/><Relationship Id="rId67" Type="http://schemas.openxmlformats.org/officeDocument/2006/relationships/ctrlProp" Target="../ctrlProps/ctrlProp136.xml"/><Relationship Id="rId20" Type="http://schemas.openxmlformats.org/officeDocument/2006/relationships/ctrlProp" Target="../ctrlProps/ctrlProp89.xml"/><Relationship Id="rId41" Type="http://schemas.openxmlformats.org/officeDocument/2006/relationships/ctrlProp" Target="../ctrlProps/ctrlProp110.xml"/><Relationship Id="rId54" Type="http://schemas.openxmlformats.org/officeDocument/2006/relationships/ctrlProp" Target="../ctrlProps/ctrlProp123.xml"/><Relationship Id="rId62" Type="http://schemas.openxmlformats.org/officeDocument/2006/relationships/ctrlProp" Target="../ctrlProps/ctrlProp131.xml"/><Relationship Id="rId70" Type="http://schemas.openxmlformats.org/officeDocument/2006/relationships/ctrlProp" Target="../ctrlProps/ctrlProp139.xml"/><Relationship Id="rId75" Type="http://schemas.openxmlformats.org/officeDocument/2006/relationships/ctrlProp" Target="../ctrlProps/ctrlProp14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49" Type="http://schemas.openxmlformats.org/officeDocument/2006/relationships/ctrlProp" Target="../ctrlProps/ctrlProp118.xml"/><Relationship Id="rId57" Type="http://schemas.openxmlformats.org/officeDocument/2006/relationships/ctrlProp" Target="../ctrlProps/ctrlProp126.xml"/><Relationship Id="rId10" Type="http://schemas.openxmlformats.org/officeDocument/2006/relationships/ctrlProp" Target="../ctrlProps/ctrlProp79.xml"/><Relationship Id="rId31" Type="http://schemas.openxmlformats.org/officeDocument/2006/relationships/ctrlProp" Target="../ctrlProps/ctrlProp100.xml"/><Relationship Id="rId44" Type="http://schemas.openxmlformats.org/officeDocument/2006/relationships/ctrlProp" Target="../ctrlProps/ctrlProp113.xml"/><Relationship Id="rId52" Type="http://schemas.openxmlformats.org/officeDocument/2006/relationships/ctrlProp" Target="../ctrlProps/ctrlProp121.xml"/><Relationship Id="rId60" Type="http://schemas.openxmlformats.org/officeDocument/2006/relationships/ctrlProp" Target="../ctrlProps/ctrlProp129.xml"/><Relationship Id="rId65" Type="http://schemas.openxmlformats.org/officeDocument/2006/relationships/ctrlProp" Target="../ctrlProps/ctrlProp134.xml"/><Relationship Id="rId73" Type="http://schemas.openxmlformats.org/officeDocument/2006/relationships/ctrlProp" Target="../ctrlProps/ctrlProp142.xml"/><Relationship Id="rId78" Type="http://schemas.openxmlformats.org/officeDocument/2006/relationships/ctrlProp" Target="../ctrlProps/ctrlProp147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39" Type="http://schemas.openxmlformats.org/officeDocument/2006/relationships/ctrlProp" Target="../ctrlProps/ctrlProp108.xml"/><Relationship Id="rId34" Type="http://schemas.openxmlformats.org/officeDocument/2006/relationships/ctrlProp" Target="../ctrlProps/ctrlProp103.xml"/><Relationship Id="rId50" Type="http://schemas.openxmlformats.org/officeDocument/2006/relationships/ctrlProp" Target="../ctrlProps/ctrlProp119.xml"/><Relationship Id="rId55" Type="http://schemas.openxmlformats.org/officeDocument/2006/relationships/ctrlProp" Target="../ctrlProps/ctrlProp124.xml"/><Relationship Id="rId76" Type="http://schemas.openxmlformats.org/officeDocument/2006/relationships/ctrlProp" Target="../ctrlProps/ctrlProp145.xml"/><Relationship Id="rId7" Type="http://schemas.openxmlformats.org/officeDocument/2006/relationships/ctrlProp" Target="../ctrlProps/ctrlProp76.xml"/><Relationship Id="rId71" Type="http://schemas.openxmlformats.org/officeDocument/2006/relationships/ctrlProp" Target="../ctrlProps/ctrlProp1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"/>
  <sheetViews>
    <sheetView showGridLines="0" showRuler="0" view="pageBreakPreview" zoomScaleNormal="100" zoomScaleSheetLayoutView="100" workbookViewId="0">
      <selection activeCell="E5" sqref="E5"/>
    </sheetView>
  </sheetViews>
  <sheetFormatPr defaultRowHeight="15"/>
  <sheetData/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T36"/>
  <sheetViews>
    <sheetView showGridLines="0" showRuler="0" view="pageLayout" topLeftCell="K2" zoomScaleNormal="100" zoomScaleSheetLayoutView="100" workbookViewId="0">
      <selection activeCell="U28" sqref="U28"/>
    </sheetView>
  </sheetViews>
  <sheetFormatPr defaultRowHeight="15"/>
  <cols>
    <col min="1" max="1" width="1.5703125" customWidth="1"/>
    <col min="2" max="2" width="23.5703125" customWidth="1"/>
    <col min="3" max="6" width="12.7109375" customWidth="1"/>
    <col min="7" max="7" width="8.85546875" customWidth="1"/>
    <col min="8" max="18" width="12.7109375" customWidth="1"/>
    <col min="19" max="19" width="20.140625" hidden="1" customWidth="1"/>
    <col min="20" max="20" width="18.42578125" hidden="1" customWidth="1"/>
    <col min="21" max="21" width="20.42578125" hidden="1" customWidth="1"/>
    <col min="22" max="26" width="9.140625" hidden="1" customWidth="1"/>
    <col min="27" max="27" width="10.140625" hidden="1" customWidth="1"/>
    <col min="28" max="29" width="9.140625" hidden="1" customWidth="1"/>
    <col min="30" max="30" width="9.140625" style="8" hidden="1" customWidth="1"/>
    <col min="31" max="31" width="13.140625" style="221" hidden="1" customWidth="1"/>
    <col min="32" max="32" width="12.85546875" style="221" hidden="1" customWidth="1"/>
    <col min="33" max="33" width="12.5703125" style="221" hidden="1" customWidth="1"/>
    <col min="34" max="34" width="9.7109375" style="221" hidden="1" customWidth="1"/>
    <col min="35" max="35" width="0" style="221" hidden="1" customWidth="1"/>
    <col min="36" max="45" width="0" hidden="1" customWidth="1"/>
  </cols>
  <sheetData>
    <row r="1" spans="1:46" ht="3.95" customHeight="1" thickBot="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55"/>
      <c r="U1" s="156">
        <f>DATE(YEAR(T2),MONTH(T2),DAY(T2))</f>
        <v>45786</v>
      </c>
    </row>
    <row r="2" spans="1:46" ht="15.75">
      <c r="A2" s="134"/>
      <c r="B2" s="122"/>
      <c r="C2" s="50"/>
      <c r="D2" s="50"/>
      <c r="E2" s="50"/>
      <c r="F2" s="50"/>
      <c r="G2" s="50"/>
      <c r="H2" s="526" t="s">
        <v>445</v>
      </c>
      <c r="I2" s="526"/>
      <c r="J2" s="526"/>
      <c r="K2" s="526"/>
      <c r="L2" s="526"/>
      <c r="M2" s="50"/>
      <c r="N2" s="50"/>
      <c r="O2" s="123"/>
      <c r="P2" s="123"/>
      <c r="Q2" s="123"/>
      <c r="R2" s="124"/>
      <c r="S2" s="454">
        <v>45786.5</v>
      </c>
      <c r="T2" s="454">
        <v>45786.5</v>
      </c>
      <c r="U2" s="455">
        <f>TIME(HOUR(T2),MINUTE(T2),SECOND(T2))</f>
        <v>0.5</v>
      </c>
      <c r="V2" s="456"/>
      <c r="W2" s="456"/>
      <c r="X2" s="456"/>
      <c r="Y2" s="456"/>
      <c r="Z2" s="456"/>
      <c r="AA2" s="456"/>
      <c r="AB2" s="252"/>
      <c r="AC2" s="252"/>
      <c r="AD2" s="457"/>
      <c r="AE2" s="458"/>
      <c r="AF2" s="458"/>
      <c r="AG2" s="458"/>
      <c r="AH2" s="458"/>
      <c r="AI2" s="458"/>
      <c r="AJ2" s="252"/>
      <c r="AK2" s="252"/>
      <c r="AL2" s="252"/>
      <c r="AM2" s="252"/>
      <c r="AN2" s="252"/>
      <c r="AO2" s="252"/>
      <c r="AP2" s="252"/>
      <c r="AQ2" s="252"/>
      <c r="AR2" s="252"/>
      <c r="AS2" s="252"/>
      <c r="AT2" s="252"/>
    </row>
    <row r="3" spans="1:46" ht="18.75" customHeight="1">
      <c r="A3" s="134"/>
      <c r="B3" s="78" t="s">
        <v>12</v>
      </c>
      <c r="C3" s="502" t="s">
        <v>444</v>
      </c>
      <c r="D3" s="502"/>
      <c r="E3" s="212"/>
      <c r="F3" s="55"/>
      <c r="G3" s="55"/>
      <c r="H3" s="527" t="s">
        <v>73</v>
      </c>
      <c r="I3" s="527"/>
      <c r="J3" s="527"/>
      <c r="K3" s="527"/>
      <c r="L3" s="527"/>
      <c r="M3" s="55"/>
      <c r="N3" s="55"/>
      <c r="O3" s="79" t="s">
        <v>21</v>
      </c>
      <c r="P3" s="533">
        <v>45786</v>
      </c>
      <c r="Q3" s="533"/>
      <c r="R3" s="534"/>
      <c r="S3" s="459">
        <v>45785</v>
      </c>
      <c r="T3" s="460"/>
      <c r="U3" s="456"/>
      <c r="V3" s="456"/>
      <c r="W3" s="252" t="s">
        <v>454</v>
      </c>
      <c r="X3" s="456"/>
      <c r="Y3" s="456" t="s">
        <v>31</v>
      </c>
      <c r="Z3" s="456"/>
      <c r="AA3" s="456"/>
      <c r="AB3" s="252"/>
      <c r="AC3" s="252" t="s">
        <v>195</v>
      </c>
      <c r="AD3" s="457"/>
      <c r="AE3" s="461" t="s">
        <v>197</v>
      </c>
      <c r="AF3" s="462" t="s">
        <v>197</v>
      </c>
      <c r="AG3" s="458" t="s">
        <v>68</v>
      </c>
      <c r="AH3" s="458"/>
      <c r="AI3" s="458" t="s">
        <v>68</v>
      </c>
      <c r="AJ3" s="458" t="s">
        <v>198</v>
      </c>
      <c r="AK3" s="252" t="s">
        <v>199</v>
      </c>
      <c r="AL3" s="252" t="s">
        <v>201</v>
      </c>
      <c r="AM3" s="252" t="s">
        <v>202</v>
      </c>
      <c r="AN3" s="252" t="s">
        <v>204</v>
      </c>
      <c r="AO3" s="252" t="s">
        <v>93</v>
      </c>
      <c r="AP3" s="252" t="s">
        <v>198</v>
      </c>
      <c r="AQ3" s="252" t="s">
        <v>208</v>
      </c>
      <c r="AR3" s="252" t="s">
        <v>11</v>
      </c>
      <c r="AS3" s="252" t="s">
        <v>211</v>
      </c>
      <c r="AT3" s="252"/>
    </row>
    <row r="4" spans="1:46" ht="20.25" customHeight="1">
      <c r="A4" s="134"/>
      <c r="B4" s="78" t="s">
        <v>451</v>
      </c>
      <c r="C4" s="503"/>
      <c r="D4" s="503"/>
      <c r="E4" s="55"/>
      <c r="F4" s="55"/>
      <c r="G4" s="55"/>
      <c r="H4" s="139"/>
      <c r="I4" s="139"/>
      <c r="J4" s="139"/>
      <c r="K4" s="139"/>
      <c r="L4" s="139"/>
      <c r="M4" s="55"/>
      <c r="N4" s="55"/>
      <c r="O4" s="79" t="s">
        <v>22</v>
      </c>
      <c r="P4" s="528">
        <v>0.5</v>
      </c>
      <c r="Q4" s="529"/>
      <c r="R4" s="530"/>
      <c r="S4" s="455">
        <v>8.3333333333333301E-2</v>
      </c>
      <c r="T4" s="456"/>
      <c r="U4" s="456"/>
      <c r="V4" s="456"/>
      <c r="W4" s="463" t="s">
        <v>161</v>
      </c>
      <c r="X4" s="456"/>
      <c r="Y4" s="456" t="s">
        <v>32</v>
      </c>
      <c r="Z4" s="456"/>
      <c r="AA4" s="456"/>
      <c r="AB4" s="252"/>
      <c r="AC4" s="252" t="s">
        <v>213</v>
      </c>
      <c r="AD4" s="457"/>
      <c r="AE4" s="461">
        <v>1</v>
      </c>
      <c r="AF4" s="462">
        <v>0.85</v>
      </c>
      <c r="AG4" s="458" t="s">
        <v>214</v>
      </c>
      <c r="AH4" s="458"/>
      <c r="AI4" s="458" t="s">
        <v>196</v>
      </c>
      <c r="AJ4" s="458" t="s">
        <v>197</v>
      </c>
      <c r="AK4" s="252" t="s">
        <v>200</v>
      </c>
      <c r="AL4" s="252" t="s">
        <v>202</v>
      </c>
      <c r="AM4" s="252" t="s">
        <v>203</v>
      </c>
      <c r="AN4" s="252" t="s">
        <v>205</v>
      </c>
      <c r="AO4" s="252" t="s">
        <v>206</v>
      </c>
      <c r="AP4" s="252" t="s">
        <v>207</v>
      </c>
      <c r="AQ4" s="252" t="s">
        <v>209</v>
      </c>
      <c r="AR4" s="252" t="s">
        <v>210</v>
      </c>
      <c r="AS4" s="252" t="s">
        <v>212</v>
      </c>
      <c r="AT4" s="252"/>
    </row>
    <row r="5" spans="1:46" ht="18.75" customHeight="1" thickBot="1">
      <c r="A5" s="134"/>
      <c r="B5" s="125"/>
      <c r="C5" s="126"/>
      <c r="D5" s="126"/>
      <c r="E5" s="126"/>
      <c r="F5" s="99"/>
      <c r="G5" s="99"/>
      <c r="H5" s="139"/>
      <c r="I5" s="139"/>
      <c r="J5" s="139"/>
      <c r="K5" s="139"/>
      <c r="L5" s="139"/>
      <c r="M5" s="299"/>
      <c r="N5" s="99"/>
      <c r="O5" s="80" t="s">
        <v>20</v>
      </c>
      <c r="P5" s="531" t="s">
        <v>498</v>
      </c>
      <c r="Q5" s="531"/>
      <c r="R5" s="532"/>
      <c r="S5" s="456"/>
      <c r="T5" s="456"/>
      <c r="U5" s="456"/>
      <c r="V5" s="456"/>
      <c r="W5" s="463" t="s">
        <v>83</v>
      </c>
      <c r="X5" s="456"/>
      <c r="Y5" s="464" t="s">
        <v>452</v>
      </c>
      <c r="Z5" s="456"/>
      <c r="AA5" s="252"/>
      <c r="AB5" s="252"/>
      <c r="AC5" s="252"/>
      <c r="AD5" s="457"/>
      <c r="AE5" s="458"/>
      <c r="AF5" s="458"/>
      <c r="AG5" s="458"/>
      <c r="AH5" s="458"/>
      <c r="AI5" s="458"/>
      <c r="AJ5" s="252"/>
      <c r="AK5" s="252"/>
      <c r="AL5" s="252"/>
      <c r="AM5" s="252"/>
      <c r="AN5" s="252"/>
      <c r="AO5" s="252"/>
      <c r="AP5" s="252"/>
      <c r="AQ5" s="252"/>
      <c r="AR5" s="252"/>
      <c r="AS5" s="252"/>
      <c r="AT5" s="252"/>
    </row>
    <row r="6" spans="1:46" ht="3.95" customHeight="1" thickBot="1">
      <c r="A6" s="134"/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9"/>
      <c r="S6" s="456"/>
      <c r="T6" s="456"/>
      <c r="U6" s="456"/>
      <c r="V6" s="456"/>
      <c r="W6" s="252" t="s">
        <v>117</v>
      </c>
      <c r="X6" s="456"/>
      <c r="Y6" s="464" t="s">
        <v>141</v>
      </c>
      <c r="Z6" s="456"/>
      <c r="AA6" s="456"/>
      <c r="AB6" s="252"/>
      <c r="AC6" s="252"/>
      <c r="AD6" s="457"/>
      <c r="AE6" s="458"/>
      <c r="AF6" s="458"/>
      <c r="AG6" s="458"/>
      <c r="AH6" s="458"/>
      <c r="AI6" s="458"/>
      <c r="AJ6" s="252"/>
      <c r="AK6" s="252"/>
      <c r="AL6" s="252"/>
      <c r="AM6" s="252"/>
      <c r="AN6" s="252"/>
      <c r="AO6" s="252"/>
      <c r="AP6" s="252"/>
      <c r="AQ6" s="252"/>
      <c r="AR6" s="252"/>
      <c r="AS6" s="252"/>
      <c r="AT6" s="252"/>
    </row>
    <row r="7" spans="1:46" ht="18.75" thickBot="1">
      <c r="A7" s="134"/>
      <c r="B7" s="215" t="s">
        <v>295</v>
      </c>
      <c r="C7" s="214" t="s">
        <v>296</v>
      </c>
      <c r="D7" s="13">
        <v>11.98</v>
      </c>
      <c r="E7" s="48" t="s">
        <v>26</v>
      </c>
      <c r="F7" s="13">
        <v>12.34</v>
      </c>
      <c r="G7" s="48" t="s">
        <v>30</v>
      </c>
      <c r="H7" s="14">
        <f>(D7+F7)/2</f>
        <v>12.16</v>
      </c>
      <c r="I7" s="48" t="s">
        <v>28</v>
      </c>
      <c r="J7" s="15">
        <f>draftFwd-draftAft</f>
        <v>-0.36</v>
      </c>
      <c r="K7" s="48" t="s">
        <v>29</v>
      </c>
      <c r="L7" s="130"/>
      <c r="M7" s="505" t="s">
        <v>42</v>
      </c>
      <c r="N7" s="505"/>
      <c r="O7" s="16">
        <v>33</v>
      </c>
      <c r="P7" s="505" t="s">
        <v>297</v>
      </c>
      <c r="Q7" s="505"/>
      <c r="R7" s="131">
        <v>20</v>
      </c>
      <c r="S7" s="465"/>
      <c r="T7" s="465" t="s">
        <v>38</v>
      </c>
      <c r="U7" s="456"/>
      <c r="V7" s="456" t="s">
        <v>34</v>
      </c>
      <c r="W7" s="463">
        <v>0</v>
      </c>
      <c r="X7" s="456"/>
      <c r="Y7" s="465" t="s">
        <v>453</v>
      </c>
      <c r="Z7" s="456"/>
      <c r="AA7" s="456"/>
      <c r="AB7" s="252"/>
      <c r="AC7" s="252"/>
      <c r="AD7" s="457" t="s">
        <v>133</v>
      </c>
      <c r="AE7" s="458"/>
      <c r="AF7" s="458"/>
      <c r="AG7" s="458"/>
      <c r="AH7" s="458"/>
      <c r="AI7" s="458"/>
      <c r="AJ7" s="252"/>
      <c r="AK7" s="252"/>
      <c r="AL7" s="252"/>
      <c r="AM7" s="252"/>
      <c r="AN7" s="252"/>
      <c r="AO7" s="252"/>
      <c r="AP7" s="252"/>
      <c r="AQ7" s="252"/>
      <c r="AR7" s="252"/>
      <c r="AS7" s="252"/>
      <c r="AT7" s="252"/>
    </row>
    <row r="8" spans="1:46" ht="3.95" customHeight="1" thickBot="1">
      <c r="A8" s="134"/>
      <c r="B8" s="213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  <c r="S8" s="456"/>
      <c r="T8" s="456" t="s">
        <v>39</v>
      </c>
      <c r="U8" s="456"/>
      <c r="V8" s="456" t="s">
        <v>35</v>
      </c>
      <c r="W8" s="463" t="s">
        <v>162</v>
      </c>
      <c r="X8" s="456"/>
      <c r="Y8" s="252" t="s">
        <v>142</v>
      </c>
      <c r="Z8" s="456"/>
      <c r="AA8" s="456"/>
      <c r="AB8" s="252"/>
      <c r="AC8" s="252"/>
      <c r="AD8" s="457" t="s">
        <v>134</v>
      </c>
      <c r="AE8" s="458"/>
      <c r="AF8" s="458"/>
      <c r="AG8" s="458"/>
      <c r="AH8" s="458"/>
      <c r="AI8" s="458"/>
      <c r="AJ8" s="252"/>
      <c r="AK8" s="252"/>
      <c r="AL8" s="252"/>
      <c r="AM8" s="252"/>
      <c r="AN8" s="252"/>
      <c r="AO8" s="252"/>
      <c r="AP8" s="252"/>
      <c r="AQ8" s="252"/>
      <c r="AR8" s="252"/>
      <c r="AS8" s="252"/>
      <c r="AT8" s="252"/>
    </row>
    <row r="9" spans="1:46" ht="20.25" customHeight="1">
      <c r="A9" s="135"/>
      <c r="B9" s="514" t="s">
        <v>13</v>
      </c>
      <c r="C9" s="504" t="s">
        <v>294</v>
      </c>
      <c r="D9" s="518" t="s">
        <v>14</v>
      </c>
      <c r="E9" s="519"/>
      <c r="F9" s="522" t="s">
        <v>15</v>
      </c>
      <c r="G9" s="522" t="s">
        <v>114</v>
      </c>
      <c r="H9" s="520" t="s">
        <v>115</v>
      </c>
      <c r="I9" s="520" t="s">
        <v>116</v>
      </c>
      <c r="J9" s="524" t="s">
        <v>36</v>
      </c>
      <c r="K9" s="522" t="s">
        <v>24</v>
      </c>
      <c r="L9" s="522" t="s">
        <v>25</v>
      </c>
      <c r="M9" s="520" t="s">
        <v>145</v>
      </c>
      <c r="N9" s="520" t="s">
        <v>17</v>
      </c>
      <c r="O9" s="520" t="s">
        <v>46</v>
      </c>
      <c r="P9" s="520" t="s">
        <v>18</v>
      </c>
      <c r="Q9" s="520" t="s">
        <v>148</v>
      </c>
      <c r="R9" s="516" t="s">
        <v>118</v>
      </c>
      <c r="S9" s="466"/>
      <c r="T9" s="456" t="s">
        <v>37</v>
      </c>
      <c r="U9" s="456"/>
      <c r="V9" s="456"/>
      <c r="W9" s="463" t="s">
        <v>163</v>
      </c>
      <c r="X9" s="456"/>
      <c r="Y9" s="252" t="s">
        <v>143</v>
      </c>
      <c r="Z9" s="456"/>
      <c r="AA9" s="456"/>
      <c r="AB9" s="252"/>
      <c r="AC9" s="252"/>
      <c r="AD9" s="457" t="s">
        <v>191</v>
      </c>
      <c r="AE9" s="458"/>
      <c r="AF9" s="467"/>
      <c r="AG9" s="458">
        <f>-1*J7</f>
        <v>0.36</v>
      </c>
      <c r="AH9" s="458"/>
      <c r="AI9" s="458"/>
      <c r="AJ9" s="252"/>
      <c r="AK9" s="252"/>
      <c r="AL9" s="252"/>
      <c r="AM9" s="252"/>
      <c r="AN9" s="252"/>
      <c r="AO9" s="252"/>
      <c r="AP9" s="252"/>
      <c r="AQ9" s="252"/>
      <c r="AR9" s="252"/>
      <c r="AS9" s="252"/>
      <c r="AT9" s="252"/>
    </row>
    <row r="10" spans="1:46" ht="33" customHeight="1" thickBot="1">
      <c r="A10" s="135"/>
      <c r="B10" s="515"/>
      <c r="C10" s="505"/>
      <c r="D10" s="49" t="s">
        <v>149</v>
      </c>
      <c r="E10" s="49" t="s">
        <v>150</v>
      </c>
      <c r="F10" s="523"/>
      <c r="G10" s="523"/>
      <c r="H10" s="521"/>
      <c r="I10" s="521"/>
      <c r="J10" s="525"/>
      <c r="K10" s="523"/>
      <c r="L10" s="523"/>
      <c r="M10" s="521"/>
      <c r="N10" s="521"/>
      <c r="O10" s="521"/>
      <c r="P10" s="521"/>
      <c r="Q10" s="521"/>
      <c r="R10" s="517"/>
      <c r="S10" s="466"/>
      <c r="T10" s="456" t="s">
        <v>40</v>
      </c>
      <c r="U10" s="456"/>
      <c r="V10" s="456"/>
      <c r="W10" s="463" t="s">
        <v>84</v>
      </c>
      <c r="X10" s="456"/>
      <c r="Y10" s="465">
        <v>3</v>
      </c>
      <c r="Z10" s="456"/>
      <c r="AA10" s="456"/>
      <c r="AB10" s="252"/>
      <c r="AC10" s="252"/>
      <c r="AD10" s="457" t="s">
        <v>72</v>
      </c>
      <c r="AE10" s="468" t="s">
        <v>133</v>
      </c>
      <c r="AF10" s="467" t="s">
        <v>134</v>
      </c>
      <c r="AG10" s="458" t="s">
        <v>191</v>
      </c>
      <c r="AH10" s="458" t="s">
        <v>72</v>
      </c>
      <c r="AI10" s="458"/>
      <c r="AJ10" s="252"/>
      <c r="AK10" s="252"/>
      <c r="AL10" s="252"/>
      <c r="AM10" s="252"/>
      <c r="AN10" s="252"/>
      <c r="AO10" s="252"/>
      <c r="AP10" s="252"/>
      <c r="AQ10" s="252"/>
      <c r="AR10" s="252"/>
      <c r="AS10" s="252"/>
      <c r="AT10" s="252"/>
    </row>
    <row r="11" spans="1:46" ht="17.25" customHeight="1">
      <c r="A11" s="135"/>
      <c r="B11" s="86" t="str">
        <f>IF(Setup!A2="","",Setup!A2)</f>
        <v>NO.1 HFO TANK (P)</v>
      </c>
      <c r="C11" s="376"/>
      <c r="D11" s="100">
        <f>IF(ISBLANK(Setup!I2),"",Setup!I2)</f>
        <v>463.5</v>
      </c>
      <c r="E11" s="101">
        <f>IF(D11="","",D11*0.85)</f>
        <v>393.98</v>
      </c>
      <c r="F11" s="102" t="str">
        <f>methodValue11</f>
        <v>Ullage</v>
      </c>
      <c r="G11" s="102"/>
      <c r="H11" s="103">
        <v>1820</v>
      </c>
      <c r="I11" s="107">
        <f>IF(ISBLANK(H11),"",soundTank1)</f>
        <v>249.10400000000001</v>
      </c>
      <c r="J11" s="17">
        <v>30</v>
      </c>
      <c r="K11" s="102" t="str">
        <f>unitValue11</f>
        <v>DEN @ 15 C</v>
      </c>
      <c r="L11" s="104">
        <v>0.9496</v>
      </c>
      <c r="M11" s="105">
        <f>IF(OR(ISBLANK(H11),ISBLANK(L11)),"",IF(T11=4,L11,IF(T11=1,Conversion!U4,IF(OR(Data!T11=2,Data!T11=3),Conversion!X4))))</f>
        <v>0.9496</v>
      </c>
      <c r="N11" s="105">
        <f>IF(H11="","",IF(L11="","",'ASTM Tables'!W5))</f>
        <v>0.98919999999999997</v>
      </c>
      <c r="O11" s="106">
        <f>IF(H11="","",IF(L11="","",I11/D11))</f>
        <v>0.54</v>
      </c>
      <c r="P11" s="107">
        <f>IF(H11="","",IF(L11="","",I11*N11))</f>
        <v>246.41399999999999</v>
      </c>
      <c r="Q11" s="105">
        <f>IF(H11="","",IF(L11="","",'ASTM Tables'!H5))</f>
        <v>0.94850000000000001</v>
      </c>
      <c r="R11" s="108">
        <f>IF(H11="","",IF(L11="","",P11*Q11))</f>
        <v>233.72399999999999</v>
      </c>
      <c r="S11" s="469" t="str">
        <f>IF(V11=1,"Dip","Ullage")</f>
        <v>Ullage</v>
      </c>
      <c r="T11" s="456">
        <v>4</v>
      </c>
      <c r="U11" s="456" t="b">
        <v>0</v>
      </c>
      <c r="V11" s="456">
        <v>2</v>
      </c>
      <c r="W11" s="463" t="s">
        <v>455</v>
      </c>
      <c r="X11" s="456" t="s">
        <v>376</v>
      </c>
      <c r="Y11" s="470">
        <f>IF(Z11=TRUE,L11,0)</f>
        <v>0</v>
      </c>
      <c r="Z11" s="465" t="b">
        <f>IF(H11="","",U11)</f>
        <v>0</v>
      </c>
      <c r="AA11" s="470">
        <f>IF(T11=1,Conversion!U4,IF(OR(Data!T11=2,Data!T11=3),Conversion!X4,Data!L11))</f>
        <v>0.9496</v>
      </c>
      <c r="AB11" s="471">
        <f>IF(unit21=4,specGrav1,ROUND(dens1+(((J11-15)*AC11)+0.0011),4))</f>
        <v>0.9496</v>
      </c>
      <c r="AC11" s="252">
        <f>IF(AND(Data!M11&gt;0.81-0.001,Data!M11&lt;0.827+0.001),0.00068,IF(AND(Data!M11&gt;0.828-0.001,Data!M11&lt;0.838+0.001),0.00067,IF(AND(Data!M11&gt;0.839-0.001,Data!M11&lt;0.853+0.001),0.00066,IF(AND(Data!M11&gt;0.854-0.001,Data!M11&lt;0.871+0.001),0.00065,IF(AND(Data!M11&gt;0.872-0.001,Data!M11&lt;0.911+0.001),0.00064,IF(AND(Data!M11&gt;0.912-0.001,Data!M11&lt;0.978+0.001),0.00063,IF(AND(Data!M11&gt;0.979-0.001,Data!M11&lt;1.03+0.001),0.00062,"")))))))</f>
        <v>6.3000000000000003E-4</v>
      </c>
      <c r="AD11" s="472">
        <v>2</v>
      </c>
      <c r="AE11" s="467" t="str">
        <f>IF(AD11=1, tons1,"")</f>
        <v/>
      </c>
      <c r="AF11" s="467">
        <f>IF(AD11=2, tons1,"")</f>
        <v>233.72399999999999</v>
      </c>
      <c r="AG11" s="467" t="str">
        <f>IF(AD11=3, tons1,"")</f>
        <v/>
      </c>
      <c r="AH11" s="467" t="str">
        <f>IF(AD11=4, tons1,"")</f>
        <v/>
      </c>
      <c r="AI11" s="467" t="s">
        <v>134</v>
      </c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</row>
    <row r="12" spans="1:46" ht="17.25" customHeight="1">
      <c r="A12" s="135"/>
      <c r="B12" s="87" t="str">
        <f>IF(Setup!A3="","",Setup!A3)</f>
        <v>NO.1 HFO TANK (S)</v>
      </c>
      <c r="C12" s="372"/>
      <c r="D12" s="52">
        <f>IF(ISBLANK(Setup!I3),"",Setup!I3)</f>
        <v>463.5</v>
      </c>
      <c r="E12" s="98">
        <f t="shared" ref="E12:E27" si="0">IF(D12="","",D12*0.85)</f>
        <v>393.98</v>
      </c>
      <c r="F12" s="109" t="str">
        <f>methodValue12</f>
        <v>Ullage</v>
      </c>
      <c r="G12" s="109"/>
      <c r="H12" s="110">
        <v>1120</v>
      </c>
      <c r="I12" s="111">
        <f>IF(ISBLANK(H12),"",soundTank2)</f>
        <v>358.35700000000003</v>
      </c>
      <c r="J12" s="9">
        <v>30</v>
      </c>
      <c r="K12" s="109" t="str">
        <f>unitValue12</f>
        <v>DEN @ 15 C</v>
      </c>
      <c r="L12" s="112">
        <v>0.9496</v>
      </c>
      <c r="M12" s="113">
        <f>IF(OR(ISBLANK(H12),ISBLANK(L12)),"",IF(T12=4,L12,IF(T12=1,Conversion!U5,IF(OR(Data!T12=2,Data!T12=3),Conversion!X5))))</f>
        <v>0.9496</v>
      </c>
      <c r="N12" s="113">
        <f>IF(H12="","",IF(L12="","",'ASTM Tables'!W6))</f>
        <v>0.98919999999999997</v>
      </c>
      <c r="O12" s="114">
        <f t="shared" ref="O12:O27" si="1">IF(H12="","",IF(L12="","",I12/D12))</f>
        <v>0.77</v>
      </c>
      <c r="P12" s="111">
        <f t="shared" ref="P12:P27" si="2">IF(H12="","",IF(L12="","",I12*N12))</f>
        <v>354.48700000000002</v>
      </c>
      <c r="Q12" s="113">
        <f>IF(H12="","",IF(L12="","",'ASTM Tables'!H6))</f>
        <v>0.94850000000000001</v>
      </c>
      <c r="R12" s="115">
        <f t="shared" ref="R12:R27" si="3">IF(H12="","",IF(L12="","",P12*Q12))</f>
        <v>336.23099999999999</v>
      </c>
      <c r="S12" s="469" t="str">
        <f>IF(V12=1,"Dip","Ullage")</f>
        <v>Ullage</v>
      </c>
      <c r="T12" s="456">
        <v>4</v>
      </c>
      <c r="U12" s="456" t="b">
        <v>0</v>
      </c>
      <c r="V12" s="456">
        <v>2</v>
      </c>
      <c r="W12" s="465">
        <v>5</v>
      </c>
      <c r="X12" s="456" t="s">
        <v>376</v>
      </c>
      <c r="Y12" s="470">
        <f t="shared" ref="Y12:Y21" si="4">IF(Z12=TRUE,L12,0)</f>
        <v>0</v>
      </c>
      <c r="Z12" s="465" t="b">
        <f t="shared" ref="Z12:Z27" si="5">IF(H12="","",U12)</f>
        <v>0</v>
      </c>
      <c r="AA12" s="470">
        <f>IF(T12=1,Conversion!U5,IF(OR(Data!T12=2,Data!T12=3),Conversion!X5,Data!L12))</f>
        <v>0.9496</v>
      </c>
      <c r="AB12" s="471">
        <f>IF(unit22=4,specGrav2,ROUND(dens2+(((J12-15)*AC12)+0.0011),4))</f>
        <v>0.9496</v>
      </c>
      <c r="AC12" s="252">
        <f>IF(AND(Data!M12&gt;0.81-0.001,Data!M12&lt;0.827+0.001),0.00068,IF(AND(Data!M12&gt;0.828-0.001,Data!M12&lt;0.838+0.001),0.00067,IF(AND(Data!M12&gt;0.839-0.001,Data!M12&lt;0.853+0.001),0.00066,IF(AND(Data!M12&gt;0.854-0.001,Data!M12&lt;0.871+0.001),0.00065,IF(AND(Data!M12&gt;0.872-0.001,Data!M12&lt;0.911+0.001),0.00064,IF(AND(Data!M12&gt;0.912-0.001,Data!M12&lt;0.978+0.001),0.00063,IF(AND(Data!M12&gt;0.979-0.001,Data!M12&lt;1.03+0.001),0.00062,"")))))))</f>
        <v>6.3000000000000003E-4</v>
      </c>
      <c r="AD12" s="472">
        <v>2</v>
      </c>
      <c r="AE12" s="467" t="str">
        <f>IF(AD12=1, tons2,"")</f>
        <v/>
      </c>
      <c r="AF12" s="467">
        <f>IF(AD12=2, tons2,"")</f>
        <v>336.23099999999999</v>
      </c>
      <c r="AG12" s="467" t="str">
        <f>IF(AD12=3, tons2,"")</f>
        <v/>
      </c>
      <c r="AH12" s="467" t="str">
        <f>IF(AD12=4, tons2,"")</f>
        <v/>
      </c>
      <c r="AI12" s="467" t="s">
        <v>134</v>
      </c>
      <c r="AJ12" s="252"/>
      <c r="AK12" s="252"/>
      <c r="AL12" s="252"/>
      <c r="AM12" s="252"/>
      <c r="AN12" s="252"/>
      <c r="AO12" s="252"/>
      <c r="AP12" s="252"/>
      <c r="AQ12" s="252"/>
      <c r="AR12" s="252"/>
      <c r="AS12" s="252"/>
      <c r="AT12" s="252"/>
    </row>
    <row r="13" spans="1:46" ht="17.25" customHeight="1">
      <c r="A13" s="135"/>
      <c r="B13" s="87" t="str">
        <f>IF(Setup!A4="","",Setup!A4)</f>
        <v>NO.2 HFO TANK (P)</v>
      </c>
      <c r="C13" s="372"/>
      <c r="D13" s="52">
        <f>IF(ISBLANK(Setup!I4),"",Setup!I4)</f>
        <v>463.5</v>
      </c>
      <c r="E13" s="98">
        <f t="shared" si="0"/>
        <v>393.98</v>
      </c>
      <c r="F13" s="109" t="str">
        <f>methodValue13</f>
        <v>Dip</v>
      </c>
      <c r="G13" s="109"/>
      <c r="H13" s="110">
        <v>0</v>
      </c>
      <c r="I13" s="111">
        <f>IF(ISBLANK(H13),"",soundTank3)</f>
        <v>0.96499999999999997</v>
      </c>
      <c r="J13" s="9">
        <v>31</v>
      </c>
      <c r="K13" s="109" t="str">
        <f>unitValue13</f>
        <v>DEN @ 15 C</v>
      </c>
      <c r="L13" s="112">
        <v>0.98299999999999998</v>
      </c>
      <c r="M13" s="113">
        <f>IF(OR(ISBLANK(H13),ISBLANK(L13)),"",IF(T13=4,L13,IF(T13=1,Conversion!U6,IF(OR(Data!T13=2,Data!T13=3),Conversion!X6))))</f>
        <v>0.98299999999999998</v>
      </c>
      <c r="N13" s="113">
        <f>IF(H13="","",IF(L13="","",'ASTM Tables'!W7))</f>
        <v>0.98899999999999999</v>
      </c>
      <c r="O13" s="114">
        <f t="shared" si="1"/>
        <v>0</v>
      </c>
      <c r="P13" s="111">
        <f t="shared" si="2"/>
        <v>0.95399999999999996</v>
      </c>
      <c r="Q13" s="113">
        <f>IF(H13="","",IF(L13="","",'ASTM Tables'!H7))</f>
        <v>0.9819</v>
      </c>
      <c r="R13" s="115">
        <f t="shared" si="3"/>
        <v>0.93700000000000006</v>
      </c>
      <c r="S13" s="469" t="str">
        <f>IF(V13=1,"Dip","Ullage")</f>
        <v>Dip</v>
      </c>
      <c r="T13" s="456">
        <v>4</v>
      </c>
      <c r="U13" s="456" t="b">
        <v>0</v>
      </c>
      <c r="V13" s="456">
        <v>1</v>
      </c>
      <c r="W13" s="465">
        <f>IF(W12=1,-4,IF(W12=2,-3,IF(W12=3,-2,IF(W12=4,-1,IF(W12=5,0,IF(W12=6,1,IF(W12=7,2,IF(W12=5,3,IF(W12=9,4)))))))))</f>
        <v>0</v>
      </c>
      <c r="X13" s="456" t="s">
        <v>376</v>
      </c>
      <c r="Y13" s="470">
        <f t="shared" si="4"/>
        <v>0</v>
      </c>
      <c r="Z13" s="465" t="b">
        <f t="shared" si="5"/>
        <v>0</v>
      </c>
      <c r="AA13" s="470">
        <f>IF(T13=1,Conversion!U6,IF(OR(Data!T13=2,Data!T13=3),Conversion!X6,Data!L13))</f>
        <v>0.98299999999999998</v>
      </c>
      <c r="AB13" s="471">
        <f>IF(unit23=3,specGrav3,ROUND(dens3+(((J13-15)*AC13)+0.0011),4))</f>
        <v>0.99399999999999999</v>
      </c>
      <c r="AC13" s="252">
        <f>IF(AND(Data!M13&gt;0.81-0.001,Data!M13&lt;0.827+0.001),0.00068,IF(AND(Data!M13&gt;0.828-0.001,Data!M13&lt;0.838+0.001),0.00067,IF(AND(Data!M13&gt;0.839-0.001,Data!M13&lt;0.853+0.001),0.00066,IF(AND(Data!M13&gt;0.854-0.001,Data!M13&lt;0.871+0.001),0.00065,IF(AND(Data!M13&gt;0.872-0.001,Data!M13&lt;0.911+0.001),0.00064,IF(AND(Data!M13&gt;0.912-0.001,Data!M13&lt;0.978+0.001),0.00063,IF(AND(Data!M13&gt;0.979-0.001,Data!M13&lt;1.03+0.001),0.00062,"")))))))</f>
        <v>6.2E-4</v>
      </c>
      <c r="AD13" s="472">
        <v>2</v>
      </c>
      <c r="AE13" s="467" t="str">
        <f>IF(AD13=1, tons3,"")</f>
        <v/>
      </c>
      <c r="AF13" s="467">
        <f>IF(AD13=2, tons3,"")</f>
        <v>0.93700000000000006</v>
      </c>
      <c r="AG13" s="467" t="str">
        <f>IF(AD13=3, tons3,"")</f>
        <v/>
      </c>
      <c r="AH13" s="467" t="str">
        <f>IF(AD13=4, tons3,"")</f>
        <v/>
      </c>
      <c r="AI13" s="467" t="s">
        <v>134</v>
      </c>
      <c r="AJ13" s="252"/>
      <c r="AK13" s="252"/>
      <c r="AL13" s="252"/>
      <c r="AM13" s="252"/>
      <c r="AN13" s="252"/>
      <c r="AO13" s="252"/>
      <c r="AP13" s="252"/>
      <c r="AQ13" s="252"/>
      <c r="AR13" s="252"/>
      <c r="AS13" s="252"/>
      <c r="AT13" s="252"/>
    </row>
    <row r="14" spans="1:46" ht="17.25" customHeight="1">
      <c r="A14" s="135"/>
      <c r="B14" s="87" t="str">
        <f>IF(Setup!A5="","",Setup!A5)</f>
        <v>NO.2 HFO TANK (S)</v>
      </c>
      <c r="C14" s="372"/>
      <c r="D14" s="52">
        <f>IF(ISBLANK(Setup!I5),"",Setup!I5)</f>
        <v>463.5</v>
      </c>
      <c r="E14" s="98">
        <f t="shared" si="0"/>
        <v>393.98</v>
      </c>
      <c r="F14" s="109" t="str">
        <f>methodValue14</f>
        <v>Dip</v>
      </c>
      <c r="G14" s="109"/>
      <c r="H14" s="110">
        <v>70</v>
      </c>
      <c r="I14" s="111">
        <f>IF(ISBLANK(H14),"",soundTank4)</f>
        <v>1.7789999999999999</v>
      </c>
      <c r="J14" s="9">
        <v>35</v>
      </c>
      <c r="K14" s="109" t="str">
        <f>unitValue14</f>
        <v>DEN @ 15 C</v>
      </c>
      <c r="L14" s="112">
        <v>0.98299999999999998</v>
      </c>
      <c r="M14" s="113">
        <f>IF(OR(ISBLANK(H14),ISBLANK(L14)),"",IF(T14=4,L14,IF(T14=1,Conversion!U7,IF(OR(Data!T14=2,Data!T14=3),Conversion!X7))))</f>
        <v>0.98299999999999998</v>
      </c>
      <c r="N14" s="113">
        <f>IF(H14="","",IF(L14="","",'ASTM Tables'!W8))</f>
        <v>0.98619999999999997</v>
      </c>
      <c r="O14" s="114">
        <f t="shared" si="1"/>
        <v>0</v>
      </c>
      <c r="P14" s="111">
        <f t="shared" si="2"/>
        <v>1.754</v>
      </c>
      <c r="Q14" s="113">
        <f>IF(H14="","",IF(L14="","",'ASTM Tables'!H8))</f>
        <v>0.9819</v>
      </c>
      <c r="R14" s="115">
        <f t="shared" si="3"/>
        <v>1.722</v>
      </c>
      <c r="S14" s="469" t="str">
        <f>IF(V14=1,"Dip","Ullage")</f>
        <v>Dip</v>
      </c>
      <c r="T14" s="456">
        <v>4</v>
      </c>
      <c r="U14" s="456" t="b">
        <v>0</v>
      </c>
      <c r="V14" s="456">
        <v>1</v>
      </c>
      <c r="W14" s="456">
        <f>IF(W12=1,W3,IF(W12=2,W4,IF(W12=3,W5,IF(W12=4,W6,IF(W12=5,W7,IF(W12=6,W8,IF(W12=7,W9,IF(W12=8,W10,IF(W12=9,W11)))))))))</f>
        <v>0</v>
      </c>
      <c r="X14" s="456" t="s">
        <v>376</v>
      </c>
      <c r="Y14" s="470">
        <f t="shared" si="4"/>
        <v>0</v>
      </c>
      <c r="Z14" s="465" t="b">
        <f t="shared" si="5"/>
        <v>0</v>
      </c>
      <c r="AA14" s="470">
        <f>IF(T14=1,Conversion!U7,IF(OR(Data!T14=2,Data!T14=3),Conversion!X7,Data!L14))</f>
        <v>0.98299999999999998</v>
      </c>
      <c r="AB14" s="471">
        <f>IF(unit24=3,specGrav4,ROUND(dens4+(((J14-15)*AC14)+0.0011),4))</f>
        <v>0.99650000000000005</v>
      </c>
      <c r="AC14" s="252">
        <f>IF(AND(Data!M14&gt;0.81-0.001,Data!M14&lt;0.827+0.001),0.00068,IF(AND(Data!M14&gt;0.828-0.001,Data!M14&lt;0.838+0.001),0.00067,IF(AND(Data!M14&gt;0.839-0.001,Data!M14&lt;0.853+0.001),0.00066,IF(AND(Data!M14&gt;0.854-0.001,Data!M14&lt;0.871+0.001),0.00065,IF(AND(Data!M14&gt;0.872-0.001,Data!M14&lt;0.911+0.001),0.00064,IF(AND(Data!M14&gt;0.912-0.001,Data!M14&lt;0.978+0.001),0.00063,IF(AND(Data!M14&gt;0.979-0.001,Data!M14&lt;1.03+0.001),0.00062,"")))))))</f>
        <v>6.2E-4</v>
      </c>
      <c r="AD14" s="472">
        <v>2</v>
      </c>
      <c r="AE14" s="467" t="str">
        <f>IF(AD14=1, tons4,"")</f>
        <v/>
      </c>
      <c r="AF14" s="467">
        <f>IF(AD14=2, tons4,"")</f>
        <v>1.722</v>
      </c>
      <c r="AG14" s="467" t="str">
        <f>IF(AD14=3, tons4,"")</f>
        <v/>
      </c>
      <c r="AH14" s="467" t="str">
        <f>IF(AD14=4, tons4,"")</f>
        <v/>
      </c>
      <c r="AI14" s="467" t="s">
        <v>134</v>
      </c>
      <c r="AJ14" s="252"/>
      <c r="AK14" s="252"/>
      <c r="AL14" s="252"/>
      <c r="AM14" s="252"/>
      <c r="AN14" s="252"/>
      <c r="AO14" s="252"/>
      <c r="AP14" s="252"/>
      <c r="AQ14" s="252"/>
      <c r="AR14" s="252"/>
      <c r="AS14" s="252"/>
      <c r="AT14" s="252"/>
    </row>
    <row r="15" spans="1:46" ht="17.25" customHeight="1">
      <c r="A15" s="135"/>
      <c r="B15" s="87" t="str">
        <f>IF(Setup!A6="","",Setup!A6)</f>
        <v>NO.3 HFO TANK (P)</v>
      </c>
      <c r="C15" s="372"/>
      <c r="D15" s="52">
        <f>IF(ISBLANK(Setup!I6),"",Setup!I6)</f>
        <v>110.7</v>
      </c>
      <c r="E15" s="98">
        <f t="shared" si="0"/>
        <v>94.1</v>
      </c>
      <c r="F15" s="109" t="str">
        <f>methodValue15</f>
        <v>Dip</v>
      </c>
      <c r="G15" s="109"/>
      <c r="H15" s="110">
        <v>60</v>
      </c>
      <c r="I15" s="111">
        <f>IF(ISBLANK(H15),"",soundTank5)</f>
        <v>0.93</v>
      </c>
      <c r="J15" s="9">
        <v>31</v>
      </c>
      <c r="K15" s="109" t="str">
        <f>unitValue15</f>
        <v>DEN @ 15 C</v>
      </c>
      <c r="L15" s="112">
        <v>0.98299999999999998</v>
      </c>
      <c r="M15" s="113">
        <f>IF(OR(ISBLANK(H15),ISBLANK(L15)),"",IF(T15=4,L15,IF(T15=1,Conversion!U8,IF(OR(Data!T15=2,Data!T15=3),Conversion!X8))))</f>
        <v>0.98299999999999998</v>
      </c>
      <c r="N15" s="113">
        <f>IF(H15="","",IF(L15="","",'ASTM Tables'!W9))</f>
        <v>0.98899999999999999</v>
      </c>
      <c r="O15" s="114">
        <f t="shared" si="1"/>
        <v>0.01</v>
      </c>
      <c r="P15" s="111">
        <f t="shared" si="2"/>
        <v>0.92</v>
      </c>
      <c r="Q15" s="113">
        <f>IF(H15="","",IF(L15="","",'ASTM Tables'!H9))</f>
        <v>0.9819</v>
      </c>
      <c r="R15" s="115">
        <f t="shared" si="3"/>
        <v>0.90300000000000002</v>
      </c>
      <c r="S15" s="469" t="str">
        <f>IF(V15=1,"Dip","Ullage")</f>
        <v>Dip</v>
      </c>
      <c r="T15" s="456">
        <v>4</v>
      </c>
      <c r="U15" s="456" t="b">
        <v>0</v>
      </c>
      <c r="V15" s="456">
        <v>1</v>
      </c>
      <c r="W15" s="456"/>
      <c r="X15" s="456" t="s">
        <v>376</v>
      </c>
      <c r="Y15" s="470">
        <f t="shared" si="4"/>
        <v>0</v>
      </c>
      <c r="Z15" s="465" t="b">
        <f t="shared" si="5"/>
        <v>0</v>
      </c>
      <c r="AA15" s="470">
        <f>IF(T15=1,Conversion!U8,IF(OR(Data!T15=2,Data!T15=3),Conversion!X8,Data!L15))</f>
        <v>0.98299999999999998</v>
      </c>
      <c r="AB15" s="471">
        <f>IF(unit25=3,specGrav5,ROUND(dens5+(((J15-15)*AC15)+0.0011),4))</f>
        <v>0.99399999999999999</v>
      </c>
      <c r="AC15" s="252">
        <f>IF(AND(Data!M15&gt;0.81-0.001,Data!M15&lt;0.827+0.001),0.00068,IF(AND(Data!M15&gt;0.828-0.001,Data!M15&lt;0.838+0.001),0.00067,IF(AND(Data!M15&gt;0.839-0.001,Data!M15&lt;0.853+0.001),0.00066,IF(AND(Data!M15&gt;0.854-0.001,Data!M15&lt;0.871+0.001),0.00065,IF(AND(Data!M15&gt;0.872-0.001,Data!M15&lt;0.911+0.001),0.00064,IF(AND(Data!M15&gt;0.912-0.001,Data!M15&lt;0.978+0.001),0.00063,IF(AND(Data!M15&gt;0.979-0.001,Data!M15&lt;1.03+0.001),0.00062,"")))))))</f>
        <v>6.2E-4</v>
      </c>
      <c r="AD15" s="472">
        <v>2</v>
      </c>
      <c r="AE15" s="467" t="str">
        <f>IF(AD15=1, tons5,"")</f>
        <v/>
      </c>
      <c r="AF15" s="467">
        <f>IF(AD15=2, tons5,"")</f>
        <v>0.90300000000000002</v>
      </c>
      <c r="AG15" s="467" t="str">
        <f>IF(AD15=3, tons5,"")</f>
        <v/>
      </c>
      <c r="AH15" s="467" t="str">
        <f>IF(AD15=4, tons5,"")</f>
        <v/>
      </c>
      <c r="AI15" s="467" t="s">
        <v>134</v>
      </c>
      <c r="AJ15" s="252"/>
      <c r="AK15" s="252"/>
      <c r="AL15" s="252"/>
      <c r="AM15" s="252"/>
      <c r="AN15" s="252"/>
      <c r="AO15" s="252"/>
      <c r="AP15" s="252"/>
      <c r="AQ15" s="252"/>
      <c r="AR15" s="252"/>
      <c r="AS15" s="252"/>
      <c r="AT15" s="252"/>
    </row>
    <row r="16" spans="1:46" ht="17.25" customHeight="1">
      <c r="A16" s="135"/>
      <c r="B16" s="87" t="str">
        <f>IF(Setup!A7="","",Setup!A7)</f>
        <v>NO.3 HFO TANK (S)</v>
      </c>
      <c r="C16" s="372"/>
      <c r="D16" s="52">
        <f>IF(ISBLANK(Setup!I7),"",Setup!I7)</f>
        <v>238.5</v>
      </c>
      <c r="E16" s="98">
        <f t="shared" si="0"/>
        <v>202.73</v>
      </c>
      <c r="F16" s="109"/>
      <c r="G16" s="109"/>
      <c r="H16" s="110">
        <v>800</v>
      </c>
      <c r="I16" s="111">
        <f>IF(ISBLANK(H16),"",soundTank6)</f>
        <v>22.309000000000001</v>
      </c>
      <c r="J16" s="9">
        <v>38</v>
      </c>
      <c r="K16" s="109"/>
      <c r="L16" s="112">
        <v>0.98299999999999998</v>
      </c>
      <c r="M16" s="113">
        <f>IF(OR(ISBLANK(H16),ISBLANK(L16)),"",IF(T16=4,L16,IF(T16=1,Conversion!U9,IF(OR(Data!T16=2,Data!T16=3),Conversion!X9))))</f>
        <v>0.98299999999999998</v>
      </c>
      <c r="N16" s="113">
        <f>IF(H16="","",IF(L16="","",'ASTM Tables'!W10))</f>
        <v>0.98409999999999997</v>
      </c>
      <c r="O16" s="114">
        <f t="shared" si="1"/>
        <v>0.09</v>
      </c>
      <c r="P16" s="111">
        <f t="shared" si="2"/>
        <v>21.954000000000001</v>
      </c>
      <c r="Q16" s="113">
        <f>IF(H16="","",IF(L16="","",'ASTM Tables'!H10))</f>
        <v>0.9819</v>
      </c>
      <c r="R16" s="115">
        <f t="shared" si="3"/>
        <v>21.556999999999999</v>
      </c>
      <c r="S16" s="469" t="str">
        <f t="shared" ref="S16:S24" si="6">IF(V16=1,"Dip","Ullage")</f>
        <v>Dip</v>
      </c>
      <c r="T16" s="456">
        <v>4</v>
      </c>
      <c r="U16" s="456" t="b">
        <v>1</v>
      </c>
      <c r="V16" s="456">
        <v>1</v>
      </c>
      <c r="W16" s="456"/>
      <c r="X16" s="456" t="s">
        <v>376</v>
      </c>
      <c r="Y16" s="470">
        <f t="shared" si="4"/>
        <v>0.98299999999999998</v>
      </c>
      <c r="Z16" s="465" t="b">
        <f t="shared" si="5"/>
        <v>1</v>
      </c>
      <c r="AA16" s="470">
        <f>IF(T16=1,Conversion!U9,IF(OR(Data!T16=2,Data!T16=3),Conversion!X9,Data!L16))</f>
        <v>0.98299999999999998</v>
      </c>
      <c r="AB16" s="471">
        <f>IF(unit26=3,specGrav6,ROUND(dens6+(((J17-15)*AC17)+0.0011),4))</f>
        <v>1.0099</v>
      </c>
      <c r="AC16" s="252">
        <f>IF(AND(Data!M16&gt;0.81-0.001,Data!M16&lt;0.827+0.001),0.00068,IF(AND(Data!M16&gt;0.828-0.001,Data!M16&lt;0.838+0.001),0.00067,IF(AND(Data!M16&gt;0.839-0.001,Data!M16&lt;0.853+0.001),0.00066,IF(AND(Data!M16&gt;0.854-0.001,Data!M16&lt;0.871+0.001),0.00065,IF(AND(Data!M16&gt;0.872-0.001,Data!M16&lt;0.911+0.001),0.00064,IF(AND(Data!M16&gt;0.912-0.001,Data!M16&lt;0.978+0.001),0.00063,IF(AND(Data!M16&gt;0.979-0.001,Data!M16&lt;1.03+0.001),0.00062,"")))))))</f>
        <v>6.2E-4</v>
      </c>
      <c r="AD16" s="472">
        <v>2</v>
      </c>
      <c r="AE16" s="467" t="str">
        <f>IF(AD16=1, tons6,"")</f>
        <v/>
      </c>
      <c r="AF16" s="467">
        <f>IF(AD16=2, tons6,"")</f>
        <v>21.556999999999999</v>
      </c>
      <c r="AG16" s="467" t="str">
        <f>IF(AD16=3, tons6,"")</f>
        <v/>
      </c>
      <c r="AH16" s="467" t="str">
        <f>IF(AD16=4, tons6,"")</f>
        <v/>
      </c>
      <c r="AI16" s="467" t="s">
        <v>134</v>
      </c>
      <c r="AJ16" s="252"/>
      <c r="AK16" s="252"/>
      <c r="AL16" s="252"/>
      <c r="AM16" s="252"/>
      <c r="AN16" s="252"/>
      <c r="AO16" s="252"/>
      <c r="AP16" s="252"/>
      <c r="AQ16" s="252"/>
      <c r="AR16" s="252"/>
      <c r="AS16" s="252"/>
      <c r="AT16" s="252"/>
    </row>
    <row r="17" spans="1:46" ht="17.25" customHeight="1">
      <c r="A17" s="135"/>
      <c r="B17" s="87" t="str">
        <f>IF(Setup!A8="","",Setup!A8)</f>
        <v>HFO SETTLING TK</v>
      </c>
      <c r="C17" s="372"/>
      <c r="D17" s="52">
        <f>IF(ISBLANK(Setup!I9),"",Setup!I9)</f>
        <v>51.2</v>
      </c>
      <c r="E17" s="98">
        <f t="shared" si="0"/>
        <v>43.52</v>
      </c>
      <c r="F17" s="109"/>
      <c r="G17" s="109"/>
      <c r="H17" s="110">
        <v>9830</v>
      </c>
      <c r="I17" s="111">
        <f>IF(ISBLANK(H17),"",soundTank7)</f>
        <v>6.5279999999999996</v>
      </c>
      <c r="J17" s="9">
        <v>56</v>
      </c>
      <c r="K17" s="109"/>
      <c r="L17" s="116">
        <v>0.95569999999999999</v>
      </c>
      <c r="M17" s="113">
        <f>IF(OR(ISBLANK(H17),ISBLANK(L17)),"",IF(T17=4,L17,IF(T17=1,Conversion!U10,IF(OR(Data!T17=2,Data!T17=3),Conversion!X10))))</f>
        <v>0.95569999999999999</v>
      </c>
      <c r="N17" s="113">
        <f>IF(H17="","",IF(L17="","",'ASTM Tables'!W11))</f>
        <v>0.97050000000000003</v>
      </c>
      <c r="O17" s="114">
        <f t="shared" si="1"/>
        <v>0.13</v>
      </c>
      <c r="P17" s="111">
        <f t="shared" si="2"/>
        <v>6.335</v>
      </c>
      <c r="Q17" s="113">
        <f>IF(H17="","",IF(L17="","",'ASTM Tables'!H11))</f>
        <v>0.9546</v>
      </c>
      <c r="R17" s="115">
        <f t="shared" si="3"/>
        <v>6.0469999999999997</v>
      </c>
      <c r="S17" s="469" t="str">
        <f t="shared" si="6"/>
        <v>Ullage</v>
      </c>
      <c r="T17" s="456">
        <v>4</v>
      </c>
      <c r="U17" s="456" t="b">
        <v>0</v>
      </c>
      <c r="V17" s="456">
        <v>2</v>
      </c>
      <c r="W17" s="456"/>
      <c r="X17" s="456"/>
      <c r="Y17" s="470">
        <f t="shared" si="4"/>
        <v>0</v>
      </c>
      <c r="Z17" s="465" t="b">
        <f t="shared" si="5"/>
        <v>0</v>
      </c>
      <c r="AA17" s="470">
        <f>IF(T17=1,Conversion!U10,IF(OR(Data!T17=2,Data!T17=3),Conversion!X10,Data!L17))</f>
        <v>0.95569999999999999</v>
      </c>
      <c r="AB17" s="471">
        <f>IF(unit27=3,specGrav7,ROUND(dens7+(((J18-15)*AC18)+0.0011),4))</f>
        <v>0.98770000000000002</v>
      </c>
      <c r="AC17" s="252">
        <f>IF(AND(Data!M17&gt;0.81-0.001,Data!M17&lt;0.827+0.001),0.00068,IF(AND(Data!M17&gt;0.828-0.001,Data!M17&lt;0.838+0.001),0.00067,IF(AND(Data!M17&gt;0.839-0.001,Data!M17&lt;0.853+0.001),0.00066,IF(AND(Data!M17&gt;0.854-0.001,Data!M17&lt;0.871+0.001),0.00065,IF(AND(Data!M17&gt;0.872-0.001,Data!M17&lt;0.911+0.001),0.00064,IF(AND(Data!M17&gt;0.912-0.001,Data!M17&lt;0.978+0.001),0.00063,IF(AND(Data!M17&gt;0.979-0.001,Data!M17&lt;1.03+0.001),0.00062,"")))))))</f>
        <v>6.3000000000000003E-4</v>
      </c>
      <c r="AD17" s="472">
        <v>2</v>
      </c>
      <c r="AE17" s="467" t="str">
        <f>IF(AD17=1, tons7,"")</f>
        <v/>
      </c>
      <c r="AF17" s="467">
        <f>IF(AD17=2, tons7,"")</f>
        <v>6.0469999999999997</v>
      </c>
      <c r="AG17" s="467" t="str">
        <f>IF(AD17=3, tons7,"")</f>
        <v/>
      </c>
      <c r="AH17" s="467" t="str">
        <f>IF(AD17=4, tons7,"")</f>
        <v/>
      </c>
      <c r="AI17" s="467" t="s">
        <v>134</v>
      </c>
      <c r="AJ17" s="252"/>
      <c r="AK17" s="252"/>
      <c r="AL17" s="252"/>
      <c r="AM17" s="252"/>
      <c r="AN17" s="252"/>
      <c r="AO17" s="252"/>
      <c r="AP17" s="252"/>
      <c r="AQ17" s="252"/>
      <c r="AR17" s="252"/>
      <c r="AS17" s="252"/>
      <c r="AT17" s="252"/>
    </row>
    <row r="18" spans="1:46" ht="17.25" customHeight="1">
      <c r="A18" s="135"/>
      <c r="B18" s="87" t="str">
        <f>IF(Setup!A9="","",Setup!A9)</f>
        <v>HFO SERVICE TK</v>
      </c>
      <c r="C18" s="372"/>
      <c r="D18" s="52">
        <f>IF(ISBLANK(Setup!I8),"",Setup!I8)</f>
        <v>51.2</v>
      </c>
      <c r="E18" s="98">
        <f t="shared" si="0"/>
        <v>43.52</v>
      </c>
      <c r="F18" s="109" t="str">
        <f>methodValue17</f>
        <v>Ullage</v>
      </c>
      <c r="G18" s="109"/>
      <c r="H18" s="110">
        <v>2090</v>
      </c>
      <c r="I18" s="111">
        <f>IF(ISBLANK(H18),"",soundTank8)</f>
        <v>48.07</v>
      </c>
      <c r="J18" s="9">
        <v>64</v>
      </c>
      <c r="K18" s="109"/>
      <c r="L18" s="113">
        <v>0.95569999999999999</v>
      </c>
      <c r="M18" s="113">
        <f>IF(OR(ISBLANK(H18),ISBLANK(L18)),"",IF(T18=4,L18,IF(T18=1,Conversion!U11,IF(OR(Data!T18=2,Data!T18=3),Conversion!X11))))</f>
        <v>0.95569999999999999</v>
      </c>
      <c r="N18" s="113">
        <f>IF(H18="","",IF(L18="","",'ASTM Tables'!W12))</f>
        <v>0.9647</v>
      </c>
      <c r="O18" s="114">
        <f t="shared" si="1"/>
        <v>0.94</v>
      </c>
      <c r="P18" s="111">
        <f t="shared" si="2"/>
        <v>46.372999999999998</v>
      </c>
      <c r="Q18" s="113">
        <f>IF(H18="","",IF(L18="","",'ASTM Tables'!H12))</f>
        <v>0.9546</v>
      </c>
      <c r="R18" s="115">
        <f t="shared" si="3"/>
        <v>44.268000000000001</v>
      </c>
      <c r="S18" s="469" t="str">
        <f t="shared" si="6"/>
        <v>Ullage</v>
      </c>
      <c r="T18" s="456">
        <v>4</v>
      </c>
      <c r="U18" s="456" t="b">
        <v>0</v>
      </c>
      <c r="V18" s="456">
        <v>2</v>
      </c>
      <c r="W18" s="456"/>
      <c r="X18" s="456" t="s">
        <v>376</v>
      </c>
      <c r="Y18" s="470">
        <f t="shared" si="4"/>
        <v>0</v>
      </c>
      <c r="Z18" s="465" t="b">
        <f t="shared" si="5"/>
        <v>0</v>
      </c>
      <c r="AA18" s="470">
        <f>IF(T18=1,Conversion!U11,IF(OR(Data!T18=2,Data!T18=3),Conversion!X11,Data!L18))</f>
        <v>0.95569999999999999</v>
      </c>
      <c r="AB18" s="471">
        <f>IF(unit28=3,specGrav8,ROUND(dens8+(((J19-15)*AC19)+0.0011),4))</f>
        <v>1.0002</v>
      </c>
      <c r="AC18" s="252">
        <f>IF(AND(Data!M18&gt;0.81-0.001,Data!M18&lt;0.827+0.001),0.00068,IF(AND(Data!M18&gt;0.828-0.001,Data!M18&lt;0.838+0.001),0.00067,IF(AND(Data!M18&gt;0.839-0.001,Data!M18&lt;0.853+0.001),0.00066,IF(AND(Data!M18&gt;0.854-0.001,Data!M18&lt;0.871+0.001),0.00065,IF(AND(Data!M18&gt;0.872-0.001,Data!M18&lt;0.911+0.001),0.00064,IF(AND(Data!M18&gt;0.912-0.001,Data!M18&lt;0.978+0.001),0.00063,IF(AND(Data!M18&gt;0.979-0.001,Data!M18&lt;1.03+0.001),0.00062,"")))))))</f>
        <v>6.3000000000000003E-4</v>
      </c>
      <c r="AD18" s="472">
        <v>2</v>
      </c>
      <c r="AE18" s="467" t="str">
        <f>IF(AD18=1, tons8,"")</f>
        <v/>
      </c>
      <c r="AF18" s="467">
        <f>IF(AD18=2, tons8,"")</f>
        <v>44.268000000000001</v>
      </c>
      <c r="AG18" s="467" t="str">
        <f>IF(AD18=3, tons8,"")</f>
        <v/>
      </c>
      <c r="AH18" s="467" t="str">
        <f>IF(AD18=4, tons8,"")</f>
        <v/>
      </c>
      <c r="AI18" s="467" t="s">
        <v>134</v>
      </c>
      <c r="AJ18" s="252"/>
      <c r="AK18" s="252"/>
      <c r="AL18" s="252"/>
      <c r="AM18" s="252"/>
      <c r="AN18" s="252"/>
      <c r="AO18" s="252"/>
      <c r="AP18" s="252"/>
      <c r="AQ18" s="252"/>
      <c r="AR18" s="252"/>
      <c r="AS18" s="252"/>
      <c r="AT18" s="252"/>
    </row>
    <row r="19" spans="1:46" ht="17.25" customHeight="1">
      <c r="A19" s="135"/>
      <c r="B19" s="87" t="str">
        <f>IF(Setup!A10="","",Setup!A10)</f>
        <v>LS HFO SERVICE TK</v>
      </c>
      <c r="C19" s="372"/>
      <c r="D19" s="52">
        <f>IF(ISBLANK(Setup!I10),"",Setup!I10)</f>
        <v>51.2</v>
      </c>
      <c r="E19" s="98">
        <f t="shared" si="0"/>
        <v>43.52</v>
      </c>
      <c r="F19" s="109" t="str">
        <f>methodValue18</f>
        <v>Ullage</v>
      </c>
      <c r="G19" s="109"/>
      <c r="H19" s="110">
        <v>1750</v>
      </c>
      <c r="I19" s="111">
        <f>IF(ISBLANK(H19),"",soundTank9)</f>
        <v>50.033999999999999</v>
      </c>
      <c r="J19" s="9">
        <v>85</v>
      </c>
      <c r="K19" s="109"/>
      <c r="L19" s="113">
        <v>0.98299999999999998</v>
      </c>
      <c r="M19" s="113">
        <f>IF(OR(ISBLANK(H19),ISBLANK(L19)),"",IF(T19=4,L19,IF(T19=1,Conversion!U12,IF(OR(Data!T19=2,Data!T19=3),Conversion!X12))))</f>
        <v>0.98299999999999998</v>
      </c>
      <c r="N19" s="113">
        <f>IF(H19="","",IF(L19="","",'ASTM Tables'!W13))</f>
        <v>0.95120000000000005</v>
      </c>
      <c r="O19" s="114">
        <f t="shared" si="1"/>
        <v>0.98</v>
      </c>
      <c r="P19" s="111">
        <f t="shared" si="2"/>
        <v>47.591999999999999</v>
      </c>
      <c r="Q19" s="113">
        <f>IF(H19="","",IF(L19="","",'ASTM Tables'!H13))</f>
        <v>0.9819</v>
      </c>
      <c r="R19" s="115">
        <f t="shared" si="3"/>
        <v>46.731000000000002</v>
      </c>
      <c r="S19" s="469" t="str">
        <f t="shared" si="6"/>
        <v>Ullage</v>
      </c>
      <c r="T19" s="456">
        <v>4</v>
      </c>
      <c r="U19" s="456" t="b">
        <v>0</v>
      </c>
      <c r="V19" s="456">
        <v>2</v>
      </c>
      <c r="W19" s="456"/>
      <c r="X19" s="456"/>
      <c r="Y19" s="470">
        <f t="shared" si="4"/>
        <v>0</v>
      </c>
      <c r="Z19" s="465" t="b">
        <f t="shared" si="5"/>
        <v>0</v>
      </c>
      <c r="AA19" s="470">
        <f>IF(T19=1,Conversion!U12,IF(OR(Data!T19=2,Data!T19=3),Conversion!X12,Data!L19))</f>
        <v>0.98299999999999998</v>
      </c>
      <c r="AB19" s="471">
        <f>IF(unit29=3,specGrav9,ROUND(dens9+(((J20-15)*AC20)+0.0011),4))</f>
        <v>1.0268999999999999</v>
      </c>
      <c r="AC19" s="252">
        <f>IF(AND(Data!M19&gt;0.81-0.001,Data!M19&lt;0.827+0.001),0.00068,IF(AND(Data!M19&gt;0.828-0.001,Data!M19&lt;0.838+0.001),0.00067,IF(AND(Data!M19&gt;0.839-0.001,Data!M19&lt;0.853+0.001),0.00066,IF(AND(Data!M19&gt;0.854-0.001,Data!M19&lt;0.871+0.001),0.00065,IF(AND(Data!M19&gt;0.872-0.001,Data!M19&lt;0.911+0.001),0.00064,IF(AND(Data!M19&gt;0.912-0.001,Data!M19&lt;0.978+0.001),0.00063,IF(AND(Data!M19&gt;0.979-0.001,Data!M19&lt;1.03+0.001),0.00062,"")))))))</f>
        <v>6.2E-4</v>
      </c>
      <c r="AD19" s="472">
        <v>2</v>
      </c>
      <c r="AE19" s="467" t="str">
        <f>IF(AD19=1, tons9,"")</f>
        <v/>
      </c>
      <c r="AF19" s="467">
        <f>IF(AD19=2, tons9,"")</f>
        <v>46.731000000000002</v>
      </c>
      <c r="AG19" s="467" t="str">
        <f>IF(AD19=3, tons9,"")</f>
        <v/>
      </c>
      <c r="AH19" s="467" t="str">
        <f>IF(AD19=4, tons9,"")</f>
        <v/>
      </c>
      <c r="AI19" s="467" t="s">
        <v>134</v>
      </c>
      <c r="AJ19" s="252"/>
      <c r="AK19" s="252"/>
      <c r="AL19" s="252"/>
      <c r="AM19" s="252"/>
      <c r="AN19" s="252"/>
      <c r="AO19" s="252"/>
      <c r="AP19" s="252"/>
      <c r="AQ19" s="252"/>
      <c r="AR19" s="252"/>
      <c r="AS19" s="252"/>
      <c r="AT19" s="252"/>
    </row>
    <row r="20" spans="1:46" ht="17.25" customHeight="1">
      <c r="A20" s="135"/>
      <c r="B20" s="87" t="str">
        <f>IF(Setup!A11="","",Setup!A11)</f>
        <v>LS HFO SETTLING TK</v>
      </c>
      <c r="C20" s="372"/>
      <c r="D20" s="52">
        <f>IF(ISBLANK(Setup!I11),"",Setup!I11)</f>
        <v>51.2</v>
      </c>
      <c r="E20" s="98">
        <f t="shared" si="0"/>
        <v>43.52</v>
      </c>
      <c r="F20" s="109" t="str">
        <f>methodValue19</f>
        <v>Ullage</v>
      </c>
      <c r="G20" s="109"/>
      <c r="H20" s="110">
        <v>3510</v>
      </c>
      <c r="I20" s="111">
        <f>IF(ISBLANK(H20),"",soundTank10)</f>
        <v>40.265000000000001</v>
      </c>
      <c r="J20" s="9">
        <v>84</v>
      </c>
      <c r="K20" s="109"/>
      <c r="L20" s="379">
        <v>0.98299999999999998</v>
      </c>
      <c r="M20" s="113">
        <f>IF(OR(ISBLANK(H20),ISBLANK(L20)),"",IF(T20=4,L20,IF(T20=1,Conversion!U13,IF(OR(Data!T20=2,Data!T20=3),Conversion!X13))))</f>
        <v>0.98299999999999998</v>
      </c>
      <c r="N20" s="113">
        <f>IF(H20="","",IF(L20="","",'ASTM Tables'!W14))</f>
        <v>0.95189999999999997</v>
      </c>
      <c r="O20" s="114">
        <f t="shared" si="1"/>
        <v>0.79</v>
      </c>
      <c r="P20" s="111">
        <f t="shared" si="2"/>
        <v>38.328000000000003</v>
      </c>
      <c r="Q20" s="113">
        <f>IF(H20="","",IF(L20="","",'ASTM Tables'!H14))</f>
        <v>0.9819</v>
      </c>
      <c r="R20" s="115">
        <f t="shared" si="3"/>
        <v>37.634</v>
      </c>
      <c r="S20" s="469" t="str">
        <f t="shared" si="6"/>
        <v>Ullage</v>
      </c>
      <c r="T20" s="456">
        <v>4</v>
      </c>
      <c r="U20" s="456" t="b">
        <v>1</v>
      </c>
      <c r="V20" s="456">
        <v>2</v>
      </c>
      <c r="W20" s="456"/>
      <c r="X20" s="456" t="s">
        <v>376</v>
      </c>
      <c r="Y20" s="470">
        <f t="shared" si="4"/>
        <v>0.98299999999999998</v>
      </c>
      <c r="Z20" s="465" t="b">
        <f t="shared" si="5"/>
        <v>1</v>
      </c>
      <c r="AA20" s="470">
        <f>IF(T20=1,Conversion!U13,IF(OR(Data!T20=2,Data!T20=3),Conversion!X13,Data!L20))</f>
        <v>0.98299999999999998</v>
      </c>
      <c r="AB20" s="471">
        <f>IF(unit210=3,specGrav10,ROUND(dens10+(((J21-15)*AC21)+0.0011),4))</f>
        <v>0.99529999999999996</v>
      </c>
      <c r="AC20" s="252">
        <f>IF(AND(Data!M20&gt;0.81-0.001,Data!M20&lt;0.827+0.001),0.00068,IF(AND(Data!M20&gt;0.828-0.001,Data!M20&lt;0.838+0.001),0.00067,IF(AND(Data!M20&gt;0.839-0.001,Data!M20&lt;0.853+0.001),0.00066,IF(AND(Data!M20&gt;0.854-0.001,Data!M20&lt;0.871+0.001),0.00065,IF(AND(Data!M20&gt;0.872-0.001,Data!M20&lt;0.911+0.001),0.00064,IF(AND(Data!M20&gt;0.912-0.001,Data!M20&lt;0.978+0.001),0.00063,IF(AND(Data!M20&gt;0.979-0.001,Data!M20&lt;1.03+0.001),0.00062,"")))))))</f>
        <v>6.2E-4</v>
      </c>
      <c r="AD20" s="472">
        <v>2</v>
      </c>
      <c r="AE20" s="467" t="str">
        <f>IF(AD20=1, tons10,"")</f>
        <v/>
      </c>
      <c r="AF20" s="467">
        <f>IF(AD20=2, tons10,"")</f>
        <v>37.634</v>
      </c>
      <c r="AG20" s="467" t="str">
        <f>IF(AD20=3, tons10,"")</f>
        <v/>
      </c>
      <c r="AH20" s="467" t="str">
        <f>IF(AD20=4, tons10,"")</f>
        <v/>
      </c>
      <c r="AI20" s="467" t="s">
        <v>134</v>
      </c>
      <c r="AJ20" s="252"/>
      <c r="AK20" s="252"/>
      <c r="AL20" s="252"/>
      <c r="AM20" s="252"/>
      <c r="AN20" s="252"/>
      <c r="AO20" s="252"/>
      <c r="AP20" s="252"/>
      <c r="AQ20" s="252"/>
      <c r="AR20" s="252"/>
      <c r="AS20" s="252"/>
      <c r="AT20" s="252"/>
    </row>
    <row r="21" spans="1:46" ht="17.25" customHeight="1">
      <c r="A21" s="135"/>
      <c r="B21" s="87" t="str">
        <f>IF(Setup!A12="","",Setup!A12)</f>
        <v>HFO OVERFLOW TK</v>
      </c>
      <c r="C21" s="372"/>
      <c r="D21" s="52">
        <f>IF(ISBLANK(Setup!I12),"",Setup!I12)</f>
        <v>32.200000000000003</v>
      </c>
      <c r="E21" s="98">
        <f t="shared" si="0"/>
        <v>27.37</v>
      </c>
      <c r="F21" s="109" t="str">
        <f>methodValue110</f>
        <v>Ullage</v>
      </c>
      <c r="G21" s="109"/>
      <c r="H21" s="110">
        <v>600</v>
      </c>
      <c r="I21" s="111">
        <f>IF(ISBLANK(H21),"",soundTank11)</f>
        <v>8.4689999999999994</v>
      </c>
      <c r="J21" s="9">
        <v>33</v>
      </c>
      <c r="K21" s="109"/>
      <c r="L21" s="113">
        <v>0.98299999999999998</v>
      </c>
      <c r="M21" s="113">
        <f>IF(OR(ISBLANK(H21),ISBLANK(L21)),"",IF(T21=4,L21,IF(T21=1,Conversion!U14,IF(OR(Data!T21=2,Data!T21=3),Conversion!X14))))</f>
        <v>0.98299999999999998</v>
      </c>
      <c r="N21" s="113">
        <f>IF(H21="","",IF(L21="","",'ASTM Tables'!W15))</f>
        <v>0.98760000000000003</v>
      </c>
      <c r="O21" s="114">
        <f t="shared" si="1"/>
        <v>0.26</v>
      </c>
      <c r="P21" s="111">
        <f t="shared" si="2"/>
        <v>8.3640000000000008</v>
      </c>
      <c r="Q21" s="113">
        <f>IF(H21="","",IF(L21="","",'ASTM Tables'!H15))</f>
        <v>0.9819</v>
      </c>
      <c r="R21" s="115">
        <f t="shared" si="3"/>
        <v>8.2129999999999992</v>
      </c>
      <c r="S21" s="469" t="str">
        <f t="shared" si="6"/>
        <v>Dip</v>
      </c>
      <c r="T21" s="456">
        <v>4</v>
      </c>
      <c r="U21" s="456" t="b">
        <v>0</v>
      </c>
      <c r="V21" s="456">
        <v>1</v>
      </c>
      <c r="W21" s="456"/>
      <c r="X21" s="456"/>
      <c r="Y21" s="470">
        <f t="shared" si="4"/>
        <v>0</v>
      </c>
      <c r="Z21" s="465" t="b">
        <f t="shared" si="5"/>
        <v>0</v>
      </c>
      <c r="AA21" s="470">
        <f>IF(T21=1,Conversion!U14,IF(OR(Data!T21=2,Data!T21=3),Conversion!X14,Data!L21))</f>
        <v>0.98299999999999998</v>
      </c>
      <c r="AB21" s="471">
        <f>IF(unit211=3,specGrav11,ROUND(dens11+(((J23-15)*AC23)+0.0011),4))</f>
        <v>0.99519999999999997</v>
      </c>
      <c r="AC21" s="252">
        <f>IF(AND(Data!M21&gt;0.81-0.001,Data!M21&lt;0.827+0.001),0.00068,IF(AND(Data!M21&gt;0.828-0.001,Data!M21&lt;0.838+0.001),0.00067,IF(AND(Data!M21&gt;0.839-0.001,Data!M21&lt;0.853+0.001),0.00066,IF(AND(Data!M21&gt;0.854-0.001,Data!M21&lt;0.871+0.001),0.00065,IF(AND(Data!M21&gt;0.872-0.001,Data!M21&lt;0.911+0.001),0.00064,IF(AND(Data!M21&gt;0.912-0.001,Data!M21&lt;0.978+0.001),0.00063,IF(AND(Data!M21&gt;0.979-0.001,Data!M21&lt;1.03+0.001),0.00062,"")))))))</f>
        <v>6.2E-4</v>
      </c>
      <c r="AD21" s="472">
        <v>2</v>
      </c>
      <c r="AE21" s="467" t="str">
        <f>IF(AD21=1, tons11,"")</f>
        <v/>
      </c>
      <c r="AF21" s="467">
        <f>IF(AD21=2, tons11,"")</f>
        <v>8.2129999999999992</v>
      </c>
      <c r="AG21" s="467" t="str">
        <f>IF(AD21=3, tons11,"")</f>
        <v/>
      </c>
      <c r="AH21" s="467" t="str">
        <f>IF(AD21=4, tons11,"")</f>
        <v/>
      </c>
      <c r="AI21" s="467" t="s">
        <v>72</v>
      </c>
      <c r="AJ21" s="252"/>
      <c r="AK21" s="252"/>
      <c r="AL21" s="252"/>
      <c r="AM21" s="252"/>
      <c r="AN21" s="252"/>
      <c r="AO21" s="252"/>
      <c r="AP21" s="252"/>
      <c r="AQ21" s="252"/>
      <c r="AR21" s="252"/>
      <c r="AS21" s="252"/>
      <c r="AT21" s="252"/>
    </row>
    <row r="22" spans="1:46" ht="17.25" customHeight="1">
      <c r="A22" s="134"/>
      <c r="B22" s="87" t="str">
        <f>IF(Setup!A13="","",Setup!A13)</f>
        <v>MDO TANK (P)</v>
      </c>
      <c r="C22" s="373"/>
      <c r="D22" s="52">
        <f>IF(ISBLANK(Setup!I13),"",Setup!I13)</f>
        <v>70.400000000000006</v>
      </c>
      <c r="E22" s="98">
        <f t="shared" si="0"/>
        <v>59.84</v>
      </c>
      <c r="F22" s="374"/>
      <c r="G22" s="109"/>
      <c r="H22" s="375">
        <v>2290</v>
      </c>
      <c r="I22" s="111">
        <f>IF(ISBLANK(H22),"",soundtank12)</f>
        <v>68.183999999999997</v>
      </c>
      <c r="J22" s="375">
        <v>32</v>
      </c>
      <c r="K22" s="109"/>
      <c r="L22" s="116">
        <v>0.88319999999999999</v>
      </c>
      <c r="M22" s="113">
        <f>IF(OR(ISBLANK(H22),ISBLANK(L22)),"",IF(T22=4,L22,IF(T22=1,Conversion!U15,IF(OR(Data!T22=2,Data!T22=3),Conversion!X15))))</f>
        <v>0.88319999999999999</v>
      </c>
      <c r="N22" s="113">
        <f>IF(H22="","",IF(L22="","",'ASTM Tables'!W16))</f>
        <v>0.98650000000000004</v>
      </c>
      <c r="O22" s="114">
        <f t="shared" si="1"/>
        <v>0.97</v>
      </c>
      <c r="P22" s="111">
        <f t="shared" si="2"/>
        <v>67.263999999999996</v>
      </c>
      <c r="Q22" s="113">
        <f>IF(H22="","",IF(L22="","",'ASTM Tables'!H16))</f>
        <v>0.8821</v>
      </c>
      <c r="R22" s="115">
        <f>IF(H22="","",IF(L22="","",P22*Q22))</f>
        <v>59.334000000000003</v>
      </c>
      <c r="S22" s="469" t="str">
        <f t="shared" si="6"/>
        <v>Dip</v>
      </c>
      <c r="T22" s="456">
        <v>4</v>
      </c>
      <c r="U22" s="456" t="b">
        <v>0</v>
      </c>
      <c r="V22" s="456">
        <v>1</v>
      </c>
      <c r="W22" s="456"/>
      <c r="X22" s="456" t="s">
        <v>376</v>
      </c>
      <c r="Y22" s="470">
        <f t="shared" ref="Y22:Y27" si="7">IF(Z22=TRUE,L22,0)</f>
        <v>0</v>
      </c>
      <c r="Z22" s="465" t="b">
        <f t="shared" si="5"/>
        <v>0</v>
      </c>
      <c r="AA22" s="470">
        <f>IF(T22=1,Conversion!U15,IF(OR(Data!T22=2,Data!T22=3),Conversion!X15,Data!L22))</f>
        <v>0.88319999999999999</v>
      </c>
      <c r="AB22" s="471">
        <f>IF(unit212=3,specGrav12,ROUND(dens12+(((J24-15)*AC24)+0.0011),4))</f>
        <v>0.89539999999999997</v>
      </c>
      <c r="AC22" s="252">
        <f>IF(AND(Data!M22&gt;0.81-0.001,Data!M22&lt;0.827+0.001),0.00068,IF(AND(Data!M22&gt;0.828-0.001,Data!M22&lt;0.838+0.001),0.00067,IF(AND(Data!M22&gt;0.839-0.001,Data!M22&lt;0.853+0.001),0.00066,IF(AND(Data!M22&gt;0.854-0.001,Data!M22&lt;0.871+0.001),0.00065,IF(AND(Data!M22&gt;0.872-0.001,Data!M22&lt;0.911+0.001),0.00064,IF(AND(Data!M22&gt;0.912-0.001,Data!M22&lt;0.978+0.001),0.00063,IF(AND(Data!M22&gt;0.979-0.001,Data!M22&lt;1.03+0.001),0.00062,"")))))))</f>
        <v>6.4000000000000005E-4</v>
      </c>
      <c r="AD22" s="472">
        <v>4</v>
      </c>
      <c r="AE22" s="467" t="str">
        <f>IF(AD22=1, tons12,"")</f>
        <v/>
      </c>
      <c r="AF22" s="467" t="str">
        <f>IF(AD22=2, tons12,"")</f>
        <v/>
      </c>
      <c r="AG22" s="467" t="str">
        <f>IF(AD22=3, tons12,"")</f>
        <v/>
      </c>
      <c r="AH22" s="467">
        <f>IF(AD22=4, tons12,"")</f>
        <v>59.334000000000003</v>
      </c>
      <c r="AI22" s="467" t="s">
        <v>72</v>
      </c>
      <c r="AJ22" s="252"/>
      <c r="AK22" s="252"/>
      <c r="AL22" s="252"/>
      <c r="AM22" s="252"/>
      <c r="AN22" s="252"/>
      <c r="AO22" s="252"/>
      <c r="AP22" s="252"/>
      <c r="AQ22" s="252"/>
      <c r="AR22" s="252"/>
      <c r="AS22" s="252"/>
      <c r="AT22" s="252"/>
    </row>
    <row r="23" spans="1:46" ht="17.25" customHeight="1">
      <c r="A23" s="135"/>
      <c r="B23" s="87" t="str">
        <f>IF(Setup!A14="","",Setup!A14)</f>
        <v>MDO TANK (S)</v>
      </c>
      <c r="C23" s="372"/>
      <c r="D23" s="52">
        <f>IF(ISBLANK(Setup!I14),"",Setup!I14)</f>
        <v>125.7</v>
      </c>
      <c r="E23" s="98">
        <f t="shared" si="0"/>
        <v>106.85</v>
      </c>
      <c r="F23" s="109" t="str">
        <f>methodValue111</f>
        <v>Dip</v>
      </c>
      <c r="G23" s="109"/>
      <c r="H23" s="110">
        <v>1540</v>
      </c>
      <c r="I23" s="111">
        <f>IF(ISBLANK(H23),"",soundTank13)</f>
        <v>79.924000000000007</v>
      </c>
      <c r="J23" s="9">
        <v>32</v>
      </c>
      <c r="K23" s="109">
        <f>unitValue111</f>
        <v>0</v>
      </c>
      <c r="L23" s="112">
        <v>0.871</v>
      </c>
      <c r="M23" s="113">
        <f>IF(OR(ISBLANK(H23),ISBLANK(L23)),"",IF(T23=4,L23,IF(T23=1,Conversion!U16,IF(OR(Data!T23=2,Data!T23=3),Conversion!X16))))</f>
        <v>0.871</v>
      </c>
      <c r="N23" s="113">
        <f>IF(H23="","",IF(L23="","",'ASTM Tables'!W17))</f>
        <v>0.98629999999999995</v>
      </c>
      <c r="O23" s="114">
        <f t="shared" si="1"/>
        <v>0.64</v>
      </c>
      <c r="P23" s="111">
        <f t="shared" si="2"/>
        <v>78.828999999999994</v>
      </c>
      <c r="Q23" s="113">
        <f>IF(H23="","",IF(L23="","",'ASTM Tables'!H17))</f>
        <v>0.86990000000000001</v>
      </c>
      <c r="R23" s="115">
        <f t="shared" si="3"/>
        <v>68.572999999999993</v>
      </c>
      <c r="S23" s="469" t="str">
        <f t="shared" si="6"/>
        <v>Dip</v>
      </c>
      <c r="T23" s="456">
        <v>4</v>
      </c>
      <c r="U23" s="456" t="b">
        <v>0</v>
      </c>
      <c r="V23" s="456">
        <v>1</v>
      </c>
      <c r="W23" s="463"/>
      <c r="X23" s="456" t="s">
        <v>376</v>
      </c>
      <c r="Y23" s="470">
        <f t="shared" si="7"/>
        <v>0</v>
      </c>
      <c r="Z23" s="465" t="b">
        <f t="shared" si="5"/>
        <v>0</v>
      </c>
      <c r="AA23" s="470">
        <f>IF(T23=1,Conversion!U16,IF(OR(Data!T23=2,Data!T23=3),Conversion!X16,Data!L23))</f>
        <v>0.871</v>
      </c>
      <c r="AB23" s="471">
        <f>IF(unit213=3,specGrav13,ROUND(dens13+(((J25-15)*AC25)+0.0011),4))</f>
        <v>0.88319999999999999</v>
      </c>
      <c r="AC23" s="252">
        <f>IF(AND(Data!M23&gt;0.81-0.001,Data!M23&lt;0.827+0.001),0.00068,IF(AND(Data!M23&gt;0.828-0.001,Data!M23&lt;0.838+0.001),0.00067,IF(AND(Data!M23&gt;0.839-0.001,Data!M23&lt;0.853+0.001),0.00066,IF(AND(Data!M23&gt;0.854-0.001,Data!M23&lt;0.871+0.001),0.00065,IF(AND(Data!M23&gt;0.872-0.001,Data!M23&lt;0.911+0.001),0.00064,IF(AND(Data!M23&gt;0.912-0.001,Data!M23&lt;0.978+0.001),0.00063,IF(AND(Data!M23&gt;0.979-0.001,Data!M23&lt;1.03+0.001),0.00062,"")))))))</f>
        <v>6.4999999999999997E-4</v>
      </c>
      <c r="AD23" s="472">
        <v>4</v>
      </c>
      <c r="AE23" s="467" t="str">
        <f>IF(AD23=1, tons13,"")</f>
        <v/>
      </c>
      <c r="AF23" s="467" t="str">
        <f>IF(AD23=2, tons13,"")</f>
        <v/>
      </c>
      <c r="AG23" s="467" t="str">
        <f>IF(AD23=3, tons13,"")</f>
        <v/>
      </c>
      <c r="AH23" s="467">
        <f>IF(AD23=4, tons13,"")</f>
        <v>68.572999999999993</v>
      </c>
      <c r="AI23" s="467" t="s">
        <v>72</v>
      </c>
      <c r="AJ23" s="252"/>
      <c r="AK23" s="252"/>
      <c r="AL23" s="252"/>
      <c r="AM23" s="252"/>
      <c r="AN23" s="252"/>
      <c r="AO23" s="252"/>
      <c r="AP23" s="252"/>
      <c r="AQ23" s="252"/>
      <c r="AR23" s="252"/>
      <c r="AS23" s="252"/>
      <c r="AT23" s="252"/>
    </row>
    <row r="24" spans="1:46" ht="17.25" customHeight="1">
      <c r="A24" s="135"/>
      <c r="B24" s="87" t="str">
        <f>IF(Setup!A15="","",Setup!A15)</f>
        <v>MDO SERVICE TK</v>
      </c>
      <c r="C24" s="372"/>
      <c r="D24" s="52">
        <f>IF(ISBLANK(Setup!I15),"",Setup!I15)</f>
        <v>25.3</v>
      </c>
      <c r="E24" s="98">
        <f t="shared" si="0"/>
        <v>21.51</v>
      </c>
      <c r="F24" s="109" t="str">
        <f>methodValue112</f>
        <v>Dip</v>
      </c>
      <c r="G24" s="109"/>
      <c r="H24" s="110">
        <v>3000</v>
      </c>
      <c r="I24" s="111">
        <f>IF(ISBLANK(H24),"",soundTank14)</f>
        <v>17.175000000000001</v>
      </c>
      <c r="J24" s="9">
        <v>32</v>
      </c>
      <c r="K24" s="109"/>
      <c r="L24" s="52">
        <v>0.86599999999999999</v>
      </c>
      <c r="M24" s="113">
        <f>IF(OR(ISBLANK(H24),ISBLANK(L24)),"",IF(T24=4,L24,IF(T24=1,Conversion!U17,IF(OR(Data!T24=2,Data!T24=3),Conversion!X17))))</f>
        <v>0.86599999999999999</v>
      </c>
      <c r="N24" s="113">
        <f>IF(H24="","",IF(L24="","",'ASTM Tables'!W18))</f>
        <v>0.98619999999999997</v>
      </c>
      <c r="O24" s="114">
        <f t="shared" si="1"/>
        <v>0.68</v>
      </c>
      <c r="P24" s="111">
        <f t="shared" si="2"/>
        <v>16.937999999999999</v>
      </c>
      <c r="Q24" s="113">
        <f>IF(H24="","",IF(L24="","",'ASTM Tables'!H18))</f>
        <v>0.8649</v>
      </c>
      <c r="R24" s="115">
        <f t="shared" si="3"/>
        <v>14.65</v>
      </c>
      <c r="S24" s="469" t="str">
        <f t="shared" si="6"/>
        <v>Dip</v>
      </c>
      <c r="T24" s="456">
        <v>4</v>
      </c>
      <c r="U24" s="456" t="b">
        <v>0</v>
      </c>
      <c r="V24" s="456">
        <v>1</v>
      </c>
      <c r="W24" s="463"/>
      <c r="X24" s="456"/>
      <c r="Y24" s="470">
        <f t="shared" si="7"/>
        <v>0</v>
      </c>
      <c r="Z24" s="465" t="b">
        <f t="shared" si="5"/>
        <v>0</v>
      </c>
      <c r="AA24" s="470">
        <f>IF(T24=1,Conversion!U17,IF(OR(Data!T24=2,Data!T24=3),Conversion!X17,Data!L24))</f>
        <v>0.86599999999999999</v>
      </c>
      <c r="AB24" s="471">
        <f>IF(unit214=4,specGrav14,ROUND(dens14+(((J27-15)*AC27)+0.0011),4))</f>
        <v>0.86599999999999999</v>
      </c>
      <c r="AC24" s="252">
        <f>IF(AND(Data!M24&gt;0.81-0.001,Data!M24&lt;0.827+0.001),0.00068,IF(AND(Data!M24&gt;0.828-0.001,Data!M24&lt;0.838+0.001),0.00067,IF(AND(Data!M24&gt;0.839-0.001,Data!M24&lt;0.853+0.001),0.00066,IF(AND(Data!M24&gt;0.854-0.001,Data!M24&lt;0.871+0.001),0.00065,IF(AND(Data!M24&gt;0.872-0.001,Data!M24&lt;0.911+0.001),0.00064,IF(AND(Data!M24&gt;0.912-0.001,Data!M24&lt;0.978+0.001),0.00063,IF(AND(Data!M24&gt;0.979-0.001,Data!M24&lt;1.03+0.001),0.00062,"")))))))</f>
        <v>6.4999999999999997E-4</v>
      </c>
      <c r="AD24" s="472">
        <v>4</v>
      </c>
      <c r="AE24" s="467" t="str">
        <f>IF(AD24=1, tons14,"")</f>
        <v/>
      </c>
      <c r="AF24" s="467" t="str">
        <f>IF(AD24=2, tons14,"")</f>
        <v/>
      </c>
      <c r="AG24" s="467" t="str">
        <f>IF(AD24=3, tons14,"")</f>
        <v/>
      </c>
      <c r="AH24" s="467">
        <f>IF(AD24=4, tons14,"")</f>
        <v>14.65</v>
      </c>
      <c r="AI24" s="467" t="s">
        <v>72</v>
      </c>
      <c r="AJ24" s="252"/>
      <c r="AK24" s="252"/>
      <c r="AL24" s="252"/>
      <c r="AM24" s="252"/>
      <c r="AN24" s="252"/>
      <c r="AO24" s="252"/>
      <c r="AP24" s="252"/>
      <c r="AQ24" s="252"/>
      <c r="AR24" s="252"/>
      <c r="AS24" s="252"/>
      <c r="AT24" s="252"/>
    </row>
    <row r="25" spans="1:46" ht="17.25" customHeight="1">
      <c r="A25" s="135"/>
      <c r="B25" s="87" t="str">
        <f>IF(Setup!A16="","",Setup!A16)</f>
        <v>MDO SETTLING TK</v>
      </c>
      <c r="C25" s="372"/>
      <c r="D25" s="52">
        <f>IF(ISBLANK(Setup!I16),"",Setup!I16)</f>
        <v>25.3</v>
      </c>
      <c r="E25" s="98">
        <f t="shared" si="0"/>
        <v>21.51</v>
      </c>
      <c r="F25" s="109" t="str">
        <f>methodValue113</f>
        <v>Dip</v>
      </c>
      <c r="G25" s="109"/>
      <c r="H25" s="110">
        <v>3540</v>
      </c>
      <c r="I25" s="111">
        <f>IF(ISBLANK(H25),"",soundTank15)</f>
        <v>20.212</v>
      </c>
      <c r="J25" s="9">
        <v>32</v>
      </c>
      <c r="K25" s="109"/>
      <c r="L25" s="351">
        <v>0.86599999999999999</v>
      </c>
      <c r="M25" s="113">
        <f>IF(OR(ISBLANK(H25),ISBLANK(L25)),"",IF(T25=4,L25,IF(T25=1,Conversion!U18,IF(OR(Data!T25=2,Data!T25=3),Conversion!X18))))</f>
        <v>0.86599999999999999</v>
      </c>
      <c r="N25" s="113">
        <f>IF(H25="","",IF(L25="","",'ASTM Tables'!W19))</f>
        <v>0.98619999999999997</v>
      </c>
      <c r="O25" s="114">
        <f t="shared" si="1"/>
        <v>0.8</v>
      </c>
      <c r="P25" s="111">
        <f t="shared" si="2"/>
        <v>19.933</v>
      </c>
      <c r="Q25" s="113">
        <f>IF(H25="","",IF(L25="","",'ASTM Tables'!H19))</f>
        <v>0.8649</v>
      </c>
      <c r="R25" s="115">
        <f t="shared" si="3"/>
        <v>17.239999999999998</v>
      </c>
      <c r="S25" s="469" t="str">
        <f>IF(V25=1,"Dip","Ullage")</f>
        <v>Dip</v>
      </c>
      <c r="T25" s="456">
        <v>4</v>
      </c>
      <c r="U25" s="456" t="b">
        <v>0</v>
      </c>
      <c r="V25" s="252">
        <v>1</v>
      </c>
      <c r="W25" s="252"/>
      <c r="X25" s="456" t="s">
        <v>376</v>
      </c>
      <c r="Y25" s="470">
        <f t="shared" si="7"/>
        <v>0</v>
      </c>
      <c r="Z25" s="465" t="b">
        <f t="shared" si="5"/>
        <v>0</v>
      </c>
      <c r="AA25" s="470">
        <f>IF(T25=1,Conversion!U18,IF(OR(Data!T25=2,Data!T25=3),Conversion!X18,Data!L25))</f>
        <v>0.86599999999999999</v>
      </c>
      <c r="AB25" s="471">
        <f>IF(unit215=4,specGrav15,ROUND(dens15+(((J28-15)*AC28)+0.0011),4))</f>
        <v>0.86599999999999999</v>
      </c>
      <c r="AC25" s="252">
        <f>IF(AND(Data!M25&gt;0.81-0.001,Data!M25&lt;0.827+0.001),0.00068,IF(AND(Data!M25&gt;0.828-0.001,Data!M25&lt;0.838+0.001),0.00067,IF(AND(Data!M25&gt;0.839-0.001,Data!M25&lt;0.853+0.001),0.00066,IF(AND(Data!M25&gt;0.854-0.001,Data!M25&lt;0.871+0.001),0.00065,IF(AND(Data!M25&gt;0.872-0.001,Data!M25&lt;0.911+0.001),0.00064,IF(AND(Data!M25&gt;0.912-0.001,Data!M25&lt;0.978+0.001),0.00063,IF(AND(Data!M25&gt;0.979-0.001,Data!M25&lt;1.03+0.001),0.00062,"")))))))</f>
        <v>6.4999999999999997E-4</v>
      </c>
      <c r="AD25" s="457">
        <v>4</v>
      </c>
      <c r="AE25" s="467" t="str">
        <f>IF(AD25=1, tons15,"")</f>
        <v/>
      </c>
      <c r="AF25" s="467" t="str">
        <f>IF(AD25=2, tons15,"")</f>
        <v/>
      </c>
      <c r="AG25" s="467" t="str">
        <f>IF(AD25=3, tons15,"")</f>
        <v/>
      </c>
      <c r="AH25" s="467">
        <f>IF(AD25=4, tons15,"")</f>
        <v>17.239999999999998</v>
      </c>
      <c r="AI25" s="467" t="s">
        <v>72</v>
      </c>
      <c r="AJ25" s="252"/>
      <c r="AK25" s="252"/>
      <c r="AL25" s="252"/>
      <c r="AM25" s="252"/>
      <c r="AN25" s="252"/>
      <c r="AO25" s="252"/>
      <c r="AP25" s="252"/>
      <c r="AQ25" s="252"/>
      <c r="AR25" s="252"/>
      <c r="AS25" s="252"/>
      <c r="AT25" s="252"/>
    </row>
    <row r="26" spans="1:46" ht="17.25" customHeight="1">
      <c r="A26" s="135"/>
      <c r="B26" s="87" t="str">
        <f>IF(Setup!A17="","",Setup!A17)</f>
        <v>MGO STOR. TK (S)</v>
      </c>
      <c r="C26" s="372"/>
      <c r="D26" s="52">
        <f>IF(ISBLANK(Setup!I17),"",Setup!I17)</f>
        <v>102.2</v>
      </c>
      <c r="E26" s="98">
        <f t="shared" si="0"/>
        <v>86.87</v>
      </c>
      <c r="F26" s="109"/>
      <c r="G26" s="109"/>
      <c r="H26" s="110">
        <v>3310</v>
      </c>
      <c r="I26" s="111">
        <f>IF(ISBLANK(H26),"",soundTank16)</f>
        <v>73.489999999999995</v>
      </c>
      <c r="J26" s="9">
        <v>32</v>
      </c>
      <c r="K26" s="109"/>
      <c r="L26" s="112">
        <v>0.871</v>
      </c>
      <c r="M26" s="113">
        <f>IF(OR(ISBLANK(H26),ISBLANK(L26)),"",IF(T26=4,L26,IF(T26=1,Conversion!U19,IF(OR(Data!T26=2,Data!T26=3),Conversion!X19))))</f>
        <v>0.871</v>
      </c>
      <c r="N26" s="113">
        <f>IF(H26="","",IF(L26="","",'ASTM Tables'!W20))</f>
        <v>0.98629999999999995</v>
      </c>
      <c r="O26" s="114">
        <f t="shared" si="1"/>
        <v>0.72</v>
      </c>
      <c r="P26" s="111">
        <f t="shared" si="2"/>
        <v>72.483000000000004</v>
      </c>
      <c r="Q26" s="113">
        <f>IF(H26="","",IF(L26="","",'ASTM Tables'!H20))</f>
        <v>0.86990000000000001</v>
      </c>
      <c r="R26" s="115">
        <f t="shared" si="3"/>
        <v>63.052999999999997</v>
      </c>
      <c r="S26" s="469" t="str">
        <f>IF(V26=1,"Dip","Ullage")</f>
        <v>Dip</v>
      </c>
      <c r="T26" s="456">
        <v>4</v>
      </c>
      <c r="U26" s="456" t="b">
        <v>1</v>
      </c>
      <c r="V26" s="252">
        <v>1</v>
      </c>
      <c r="W26" s="463"/>
      <c r="X26" s="456" t="s">
        <v>376</v>
      </c>
      <c r="Y26" s="470">
        <f t="shared" si="7"/>
        <v>0.871</v>
      </c>
      <c r="Z26" s="465" t="b">
        <f t="shared" si="5"/>
        <v>1</v>
      </c>
      <c r="AA26" s="470">
        <f>IF(T26=1,Conversion!U19,IF(OR(Data!T26=2,Data!T26=3),Conversion!X19,Data!L26))</f>
        <v>0.871</v>
      </c>
      <c r="AB26" s="471">
        <f>IF(unit216=4,specGrav16,ROUND(dens16+(((J29-15)*AC29)+0.0011),4))</f>
        <v>0.871</v>
      </c>
      <c r="AC26" s="252">
        <f>IF(AND(Data!M26&gt;0.81-0.001,Data!M26&lt;0.827+0.001),0.00068,IF(AND(Data!M26&gt;0.828-0.001,Data!M26&lt;0.838+0.001),0.00067,IF(AND(Data!M26&gt;0.839-0.001,Data!M26&lt;0.853+0.001),0.00066,IF(AND(Data!M26&gt;0.854-0.001,Data!M26&lt;0.871+0.001),0.00065,IF(AND(Data!M26&gt;0.872-0.001,Data!M26&lt;0.911+0.001),0.00064,IF(AND(Data!M26&gt;0.912-0.001,Data!M26&lt;0.978+0.001),0.00063,IF(AND(Data!M26&gt;0.979-0.001,Data!M26&lt;1.03+0.001),0.00062,"")))))))</f>
        <v>6.4999999999999997E-4</v>
      </c>
      <c r="AD26" s="457">
        <v>4</v>
      </c>
      <c r="AE26" s="467" t="str">
        <f>IF(AD26=1, tons16,"")</f>
        <v/>
      </c>
      <c r="AF26" s="467" t="str">
        <f>IF(AD26=2, tons16,"")</f>
        <v/>
      </c>
      <c r="AG26" s="467" t="str">
        <f>IF(AD26=3, tons16,"")</f>
        <v/>
      </c>
      <c r="AH26" s="467">
        <f>IF(AD26=4, tons16,"")</f>
        <v>63.052999999999997</v>
      </c>
      <c r="AI26" s="467" t="s">
        <v>72</v>
      </c>
      <c r="AJ26" s="252"/>
      <c r="AK26" s="252"/>
      <c r="AL26" s="252"/>
      <c r="AM26" s="252"/>
      <c r="AN26" s="252"/>
      <c r="AO26" s="252"/>
      <c r="AP26" s="252"/>
      <c r="AQ26" s="252"/>
      <c r="AR26" s="252"/>
      <c r="AS26" s="252"/>
      <c r="AT26" s="252"/>
    </row>
    <row r="27" spans="1:46" ht="17.25" customHeight="1" thickBot="1">
      <c r="A27" s="135"/>
      <c r="B27" s="88" t="str">
        <f>IF(Setup!A18="","",Setup!A18)</f>
        <v>MGO SERVICE TK</v>
      </c>
      <c r="C27" s="377"/>
      <c r="D27" s="59">
        <f>IF(ISBLANK(Setup!I18),"",Setup!I18)</f>
        <v>25.3</v>
      </c>
      <c r="E27" s="117">
        <f t="shared" si="0"/>
        <v>21.51</v>
      </c>
      <c r="F27" s="118" t="str">
        <f>methodValue114</f>
        <v>Dip</v>
      </c>
      <c r="G27" s="118"/>
      <c r="H27" s="342">
        <v>3540</v>
      </c>
      <c r="I27" s="119">
        <f>IF(ISBLANK(H27),"",soundTank17)</f>
        <v>20.2</v>
      </c>
      <c r="J27" s="58">
        <v>32</v>
      </c>
      <c r="K27" s="118"/>
      <c r="L27" s="59">
        <v>0.86599999999999999</v>
      </c>
      <c r="M27" s="120">
        <f>IF(OR(ISBLANK(H27),ISBLANK(L27)),"",IF(T27=4,L27,IF(T27=1,Conversion!U20,IF(OR(Data!T27=2,Data!T27=3),Conversion!X20))))</f>
        <v>0.86599999999999999</v>
      </c>
      <c r="N27" s="120">
        <f>IF(H27="","",IF(L27="","",'ASTM Tables'!W21))</f>
        <v>0.98619999999999997</v>
      </c>
      <c r="O27" s="378">
        <f t="shared" si="1"/>
        <v>0.8</v>
      </c>
      <c r="P27" s="119">
        <f t="shared" si="2"/>
        <v>19.920999999999999</v>
      </c>
      <c r="Q27" s="120">
        <f>IF(H27="","",IF(L27="","",'ASTM Tables'!H21))</f>
        <v>0.8649</v>
      </c>
      <c r="R27" s="121">
        <f t="shared" si="3"/>
        <v>17.23</v>
      </c>
      <c r="S27" s="469" t="str">
        <f>IF(V27=1,"Dip","Ullage")</f>
        <v>Dip</v>
      </c>
      <c r="T27" s="456">
        <v>4</v>
      </c>
      <c r="U27" s="456" t="b">
        <v>1</v>
      </c>
      <c r="V27" s="252">
        <v>1</v>
      </c>
      <c r="W27" s="252"/>
      <c r="X27" s="252"/>
      <c r="Y27" s="470">
        <f t="shared" si="7"/>
        <v>0.86599999999999999</v>
      </c>
      <c r="Z27" s="465" t="b">
        <f t="shared" si="5"/>
        <v>1</v>
      </c>
      <c r="AA27" s="470">
        <f>IF(T27=1,Conversion!U20,IF(OR(Data!T27=2,Data!T27=3),Conversion!X20,Data!L27))</f>
        <v>0.86599999999999999</v>
      </c>
      <c r="AB27" s="471">
        <f>IF(unit217=4,specGrav17,ROUND(dens17+(((J30-15)*AC30)+0.0011),4))</f>
        <v>0.86599999999999999</v>
      </c>
      <c r="AC27" s="252">
        <f>IF(AND(Data!M27&gt;0.81-0.001,Data!M27&lt;0.827+0.001),0.00068,IF(AND(Data!M27&gt;0.828-0.001,Data!M27&lt;0.838+0.001),0.00067,IF(AND(Data!M27&gt;0.839-0.001,Data!M27&lt;0.853+0.001),0.00066,IF(AND(Data!M27&gt;0.854-0.001,Data!M27&lt;0.871+0.001),0.00065,IF(AND(Data!M27&gt;0.872-0.001,Data!M27&lt;0.911+0.001),0.00064,IF(AND(Data!M27&gt;0.912-0.001,Data!M27&lt;0.978+0.001),0.00063,IF(AND(Data!M27&gt;0.979-0.001,Data!M27&lt;1.03+0.001),0.00062,"")))))))</f>
        <v>6.4999999999999997E-4</v>
      </c>
      <c r="AD27" s="457">
        <v>4</v>
      </c>
      <c r="AE27" s="467" t="str">
        <f>IF(AD27=1, tons17,"")</f>
        <v/>
      </c>
      <c r="AF27" s="467" t="str">
        <f>IF(AD27=2, tons17,"")</f>
        <v/>
      </c>
      <c r="AG27" s="467" t="str">
        <f>IF(AD27=3, tons17,"")</f>
        <v/>
      </c>
      <c r="AH27" s="467">
        <f>IF(AD27=4, tons17,"")</f>
        <v>17.23</v>
      </c>
      <c r="AI27" s="467" t="s">
        <v>72</v>
      </c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</row>
    <row r="28" spans="1:46" ht="17.25" customHeight="1" thickBot="1">
      <c r="A28" s="136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  <c r="S28" s="456"/>
      <c r="T28" s="473"/>
      <c r="U28" s="456" t="str">
        <f>IF(Y10=1,"Arrival",IF(Y10=2,"Departure", IF(Y10=3,"Monitoring",   IF(Y10=4,"Pre-Bunkering", IF(Y10=5,"Bunker Survey",IF(Y10=6,"Bunker Survey - Charterer", "Bunker Survey - Owner"))))))</f>
        <v>Monitoring</v>
      </c>
      <c r="V28" s="456"/>
      <c r="W28" s="252"/>
      <c r="X28" s="456">
        <f>SUM(Y11:Y21)/(11-(COUNTIF(Y11:Y21,0)))</f>
        <v>0.98299999999999998</v>
      </c>
      <c r="Y28" s="471">
        <f>SUM(Y22:Y27)/(6-(COUNTIF(Y22:Y27,0)))</f>
        <v>0.86850000000000005</v>
      </c>
      <c r="Z28" s="252"/>
      <c r="AA28" s="470"/>
      <c r="AB28" s="252"/>
      <c r="AC28" s="252"/>
      <c r="AD28" s="457"/>
      <c r="AE28" s="467" t="str">
        <f>IF(SUM(AE11:AE27)=0,"",SUM(AE11:AE27))</f>
        <v/>
      </c>
      <c r="AF28" s="467">
        <f>IF(SUM(AF11:AF27)=0,"",SUM(AF11:AF27))</f>
        <v>737.96699999999998</v>
      </c>
      <c r="AG28" s="467" t="str">
        <f>IF(SUM(AG11:AG27)=0,"",SUM(AG11:AG27))</f>
        <v/>
      </c>
      <c r="AH28" s="467">
        <f>IF(SUM(AH11:AH27)=0,"",SUM(AH11:AH27))</f>
        <v>240.08</v>
      </c>
      <c r="AI28" s="458"/>
      <c r="AJ28" s="252"/>
      <c r="AK28" s="252"/>
      <c r="AL28" s="252"/>
      <c r="AM28" s="252"/>
      <c r="AN28" s="252"/>
      <c r="AO28" s="252"/>
      <c r="AP28" s="252"/>
      <c r="AQ28" s="252"/>
      <c r="AR28" s="252"/>
      <c r="AS28" s="252"/>
      <c r="AT28" s="252"/>
    </row>
    <row r="29" spans="1:46" ht="17.25" customHeight="1" thickBot="1">
      <c r="A29" s="136"/>
      <c r="B29" s="506" t="s">
        <v>81</v>
      </c>
      <c r="C29" s="507"/>
      <c r="D29" s="506" t="s">
        <v>82</v>
      </c>
      <c r="E29" s="507"/>
      <c r="F29" s="139"/>
      <c r="G29" s="142"/>
      <c r="H29" s="139"/>
      <c r="I29" s="142"/>
      <c r="J29" s="55"/>
      <c r="K29" s="55"/>
      <c r="L29" s="139"/>
      <c r="M29" s="508" t="s">
        <v>160</v>
      </c>
      <c r="N29" s="509"/>
      <c r="O29" s="203" t="s">
        <v>133</v>
      </c>
      <c r="P29" s="204" t="s">
        <v>134</v>
      </c>
      <c r="Q29" s="204" t="s">
        <v>191</v>
      </c>
      <c r="R29" s="205" t="s">
        <v>72</v>
      </c>
      <c r="S29" s="456"/>
      <c r="T29" s="456"/>
      <c r="U29" s="456"/>
      <c r="V29" s="456"/>
      <c r="W29" s="252"/>
      <c r="X29" s="456">
        <f>COUNTIF(Y11:Y21,0)</f>
        <v>9</v>
      </c>
      <c r="Y29" s="456">
        <f>COUNTIF(Y22:Y27,0)</f>
        <v>4</v>
      </c>
      <c r="Z29" s="456"/>
      <c r="AA29" s="456"/>
      <c r="AB29" s="252"/>
      <c r="AC29" s="252"/>
      <c r="AD29" s="457"/>
      <c r="AE29" s="458"/>
      <c r="AF29" s="458"/>
      <c r="AG29" s="458"/>
      <c r="AH29" s="458"/>
      <c r="AI29" s="458"/>
      <c r="AJ29" s="252"/>
      <c r="AK29" s="252"/>
      <c r="AL29" s="252"/>
      <c r="AM29" s="252"/>
      <c r="AN29" s="252"/>
      <c r="AO29" s="252"/>
      <c r="AP29" s="252"/>
      <c r="AQ29" s="252"/>
      <c r="AR29" s="252"/>
      <c r="AS29" s="252"/>
      <c r="AT29" s="252"/>
    </row>
    <row r="30" spans="1:46" ht="17.25" customHeight="1">
      <c r="A30" s="134"/>
      <c r="B30" s="140" t="s">
        <v>107</v>
      </c>
      <c r="C30" s="143">
        <v>17635</v>
      </c>
      <c r="D30" s="140" t="s">
        <v>111</v>
      </c>
      <c r="E30" s="143"/>
      <c r="F30" s="139"/>
      <c r="G30" s="139"/>
      <c r="H30" s="139"/>
      <c r="I30" s="55"/>
      <c r="J30" s="55"/>
      <c r="K30" s="55"/>
      <c r="L30" s="139"/>
      <c r="M30" s="510" t="str">
        <f>IF(Y10=1,"ARRIVAL",IF(Y10=2,"DEPARTURE", IF(Y10=3,"MONITORING",   IF(Y10=4,"BUNKERING", IF(Y10=5,"BUNKER SURVEY",IF(Y10=6,"BUNKER SURVEY-CHARTERER", "BUNKER SURVEY-OWNER"))))))</f>
        <v>MONITORING</v>
      </c>
      <c r="N30" s="511"/>
      <c r="O30" s="208" t="str">
        <f>totalHfoMt</f>
        <v/>
      </c>
      <c r="P30" s="207">
        <f>totalLfoMt</f>
        <v>737.96699999999998</v>
      </c>
      <c r="Q30" s="207" t="str">
        <f>totalMdoMt</f>
        <v/>
      </c>
      <c r="R30" s="209">
        <f>totalMgoMt</f>
        <v>240.08</v>
      </c>
      <c r="S30" s="456"/>
      <c r="T30" s="456"/>
      <c r="U30" s="252"/>
      <c r="V30" s="456"/>
      <c r="W30" s="252"/>
      <c r="X30" s="456"/>
      <c r="Y30" s="470"/>
      <c r="Z30" s="456"/>
      <c r="AA30" s="456"/>
      <c r="AB30" s="252"/>
      <c r="AC30" s="252"/>
      <c r="AD30" s="457"/>
      <c r="AE30" s="458"/>
      <c r="AF30" s="458"/>
      <c r="AG30" s="458"/>
      <c r="AH30" s="458"/>
      <c r="AI30" s="458"/>
      <c r="AJ30" s="252"/>
      <c r="AK30" s="252"/>
      <c r="AL30" s="252"/>
      <c r="AM30" s="252"/>
      <c r="AN30" s="252"/>
      <c r="AO30" s="252"/>
      <c r="AP30" s="252"/>
      <c r="AQ30" s="252"/>
      <c r="AR30" s="252"/>
      <c r="AS30" s="252"/>
      <c r="AT30" s="252"/>
    </row>
    <row r="31" spans="1:46" ht="17.25" customHeight="1">
      <c r="A31" s="134"/>
      <c r="B31" s="140" t="s">
        <v>108</v>
      </c>
      <c r="C31" s="143"/>
      <c r="D31" s="140" t="s">
        <v>112</v>
      </c>
      <c r="E31" s="143"/>
      <c r="F31" s="139"/>
      <c r="G31" s="139"/>
      <c r="H31" s="139"/>
      <c r="I31" s="55"/>
      <c r="J31" s="55"/>
      <c r="K31" s="55"/>
      <c r="L31" s="139"/>
      <c r="M31" s="512" t="s">
        <v>132</v>
      </c>
      <c r="N31" s="513"/>
      <c r="O31" s="210"/>
      <c r="P31" s="201">
        <v>749.38599999999997</v>
      </c>
      <c r="Q31" s="201"/>
      <c r="R31" s="211">
        <v>238.34</v>
      </c>
      <c r="S31" s="456"/>
      <c r="T31" s="456"/>
      <c r="U31" s="252"/>
      <c r="V31" s="456"/>
      <c r="W31" s="252"/>
      <c r="X31" s="456"/>
      <c r="Y31" s="470"/>
      <c r="Z31" s="456"/>
      <c r="AA31" s="456"/>
      <c r="AB31" s="252"/>
      <c r="AC31" s="252"/>
      <c r="AD31" s="457"/>
      <c r="AE31" s="468"/>
      <c r="AF31" s="458"/>
      <c r="AG31" s="458"/>
      <c r="AH31" s="458"/>
      <c r="AI31" s="458"/>
      <c r="AJ31" s="252"/>
      <c r="AK31" s="252"/>
      <c r="AL31" s="252"/>
      <c r="AM31" s="252"/>
      <c r="AN31" s="252"/>
      <c r="AO31" s="252"/>
      <c r="AP31" s="252"/>
      <c r="AQ31" s="252"/>
      <c r="AR31" s="252"/>
      <c r="AS31" s="252"/>
      <c r="AT31" s="252"/>
    </row>
    <row r="32" spans="1:46" ht="17.25" customHeight="1" thickBot="1">
      <c r="A32" s="134"/>
      <c r="B32" s="140" t="s">
        <v>109</v>
      </c>
      <c r="C32" s="143">
        <v>14000</v>
      </c>
      <c r="D32" s="140" t="s">
        <v>113</v>
      </c>
      <c r="E32" s="143"/>
      <c r="F32" s="139"/>
      <c r="G32" s="139"/>
      <c r="H32" s="139"/>
      <c r="I32" s="55"/>
      <c r="J32" s="55"/>
      <c r="K32" s="55"/>
      <c r="L32" s="139"/>
      <c r="M32" s="500" t="s">
        <v>80</v>
      </c>
      <c r="N32" s="501"/>
      <c r="O32" s="202" t="str">
        <f>IFERROR(O30-O31,"")</f>
        <v/>
      </c>
      <c r="P32" s="202">
        <f>IFERROR(P30-P31,"")</f>
        <v>-11.419</v>
      </c>
      <c r="Q32" s="202" t="str">
        <f>IFERROR(Q30-Q31,"")</f>
        <v/>
      </c>
      <c r="R32" s="202">
        <f>IFERROR(R30-R31,"")</f>
        <v>1.74</v>
      </c>
      <c r="S32" s="456"/>
      <c r="T32" s="456"/>
      <c r="U32" s="252"/>
      <c r="V32" s="456"/>
      <c r="W32" s="252"/>
      <c r="X32" s="456"/>
      <c r="Y32" s="470"/>
      <c r="Z32" s="456"/>
      <c r="AA32" s="456"/>
      <c r="AB32" s="252"/>
      <c r="AC32" s="252"/>
      <c r="AD32" s="457"/>
      <c r="AE32" s="458"/>
      <c r="AF32" s="458"/>
      <c r="AG32" s="458"/>
      <c r="AH32" s="458"/>
      <c r="AI32" s="458"/>
      <c r="AJ32" s="252"/>
      <c r="AK32" s="252"/>
      <c r="AL32" s="252"/>
      <c r="AM32" s="252"/>
      <c r="AN32" s="252"/>
      <c r="AO32" s="252"/>
      <c r="AP32" s="252"/>
      <c r="AQ32" s="252"/>
      <c r="AR32" s="252"/>
      <c r="AS32" s="252"/>
      <c r="AT32" s="252"/>
    </row>
    <row r="33" spans="1:46" ht="17.25" customHeight="1" thickBot="1">
      <c r="A33" s="134"/>
      <c r="B33" s="141" t="s">
        <v>110</v>
      </c>
      <c r="C33" s="144">
        <v>11000</v>
      </c>
      <c r="D33" s="141" t="s">
        <v>154</v>
      </c>
      <c r="E33" s="144"/>
      <c r="F33" s="139"/>
      <c r="G33" s="139"/>
      <c r="H33" s="139"/>
      <c r="I33" s="55"/>
      <c r="J33" s="55"/>
      <c r="K33" s="55"/>
      <c r="L33" s="139"/>
      <c r="M33" s="139"/>
      <c r="N33" s="139"/>
      <c r="O33" s="139"/>
      <c r="P33" s="139"/>
      <c r="Q33" s="139"/>
      <c r="R33" s="139"/>
      <c r="S33" s="456"/>
      <c r="T33" s="456"/>
      <c r="U33" s="252"/>
      <c r="V33" s="456"/>
      <c r="W33" s="252"/>
      <c r="X33" s="456"/>
      <c r="Y33" s="470"/>
      <c r="Z33" s="456"/>
      <c r="AA33" s="456"/>
      <c r="AB33" s="252"/>
      <c r="AC33" s="252"/>
      <c r="AD33" s="457"/>
      <c r="AE33" s="468"/>
      <c r="AF33" s="458"/>
      <c r="AG33" s="458"/>
      <c r="AH33" s="458"/>
      <c r="AI33" s="458"/>
      <c r="AJ33" s="252"/>
      <c r="AK33" s="252"/>
      <c r="AL33" s="252"/>
      <c r="AM33" s="252"/>
      <c r="AN33" s="252"/>
      <c r="AO33" s="252"/>
      <c r="AP33" s="252"/>
      <c r="AQ33" s="252"/>
      <c r="AR33" s="252"/>
      <c r="AS33" s="252"/>
      <c r="AT33" s="252"/>
    </row>
    <row r="34" spans="1:46" ht="17.25" customHeight="1">
      <c r="A34" s="92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139"/>
      <c r="M34" s="139"/>
      <c r="N34" s="139"/>
      <c r="O34" s="139"/>
      <c r="P34" s="55"/>
      <c r="Q34" s="55"/>
      <c r="R34" s="55"/>
      <c r="S34" s="46"/>
      <c r="AA34" s="46"/>
      <c r="AE34" s="222"/>
    </row>
    <row r="35" spans="1:46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AA35" s="46"/>
    </row>
    <row r="36" spans="1:46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AA36" s="46"/>
    </row>
  </sheetData>
  <sheetProtection selectLockedCells="1"/>
  <mergeCells count="31">
    <mergeCell ref="H2:L2"/>
    <mergeCell ref="H3:L3"/>
    <mergeCell ref="M7:N7"/>
    <mergeCell ref="P7:Q7"/>
    <mergeCell ref="P4:R4"/>
    <mergeCell ref="P5:R5"/>
    <mergeCell ref="P3:R3"/>
    <mergeCell ref="R9:R10"/>
    <mergeCell ref="D9:E9"/>
    <mergeCell ref="O9:O10"/>
    <mergeCell ref="F9:F10"/>
    <mergeCell ref="G9:G10"/>
    <mergeCell ref="K9:K10"/>
    <mergeCell ref="Q9:Q10"/>
    <mergeCell ref="M9:M10"/>
    <mergeCell ref="N9:N10"/>
    <mergeCell ref="H9:H10"/>
    <mergeCell ref="I9:I10"/>
    <mergeCell ref="J9:J10"/>
    <mergeCell ref="P9:P10"/>
    <mergeCell ref="L9:L10"/>
    <mergeCell ref="M32:N32"/>
    <mergeCell ref="C3:D3"/>
    <mergeCell ref="C4:D4"/>
    <mergeCell ref="C9:C10"/>
    <mergeCell ref="B29:C29"/>
    <mergeCell ref="D29:E29"/>
    <mergeCell ref="M29:N29"/>
    <mergeCell ref="M30:N30"/>
    <mergeCell ref="M31:N31"/>
    <mergeCell ref="B9:B10"/>
  </mergeCells>
  <phoneticPr fontId="33" type="noConversion"/>
  <conditionalFormatting sqref="O11:O27">
    <cfRule type="cellIs" dxfId="1" priority="2" operator="greaterThanOrEqual">
      <formula>0.85</formula>
    </cfRule>
  </conditionalFormatting>
  <pageMargins left="0.25" right="0.25" top="0.75" bottom="0.75" header="0.3" footer="0.3"/>
  <pageSetup paperSize="9"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urveyKind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4</xdr:col>
                    <xdr:colOff>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ankHeel">
              <controlPr defaultSize="0" autoLine="0" autoPict="0">
                <anchor mov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Button31_Click">
                <anchor moveWithCells="1" sizeWithCells="1">
                  <from>
                    <xdr:col>7</xdr:col>
                    <xdr:colOff>114300</xdr:colOff>
                    <xdr:row>28</xdr:row>
                    <xdr:rowOff>95250</xdr:rowOff>
                  </from>
                  <to>
                    <xdr:col>9</xdr:col>
                    <xdr:colOff>638175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Button41_Click">
                <anchor moveWithCells="1" sizeWithCells="1">
                  <from>
                    <xdr:col>7</xdr:col>
                    <xdr:colOff>114300</xdr:colOff>
                    <xdr:row>30</xdr:row>
                    <xdr:rowOff>161925</xdr:rowOff>
                  </from>
                  <to>
                    <xdr:col>9</xdr:col>
                    <xdr:colOff>628650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method1">
              <controlPr defaultSize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6</xdr:col>
                    <xdr:colOff>9525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method2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9525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method3">
              <controlPr defaultSize="0" autoLine="0" autoPict="0">
                <anchor moveWithCells="1">
                  <from>
                    <xdr:col>5</xdr:col>
                    <xdr:colOff>0</xdr:colOff>
                    <xdr:row>11</xdr:row>
                    <xdr:rowOff>209550</xdr:rowOff>
                  </from>
                  <to>
                    <xdr:col>6</xdr:col>
                    <xdr:colOff>9525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method4">
              <controlPr defaultSize="0" autoLine="0" autoPict="0">
                <anchor moveWithCells="1">
                  <from>
                    <xdr:col>5</xdr:col>
                    <xdr:colOff>0</xdr:colOff>
                    <xdr:row>12</xdr:row>
                    <xdr:rowOff>209550</xdr:rowOff>
                  </from>
                  <to>
                    <xdr:col>6</xdr:col>
                    <xdr:colOff>9525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method5">
              <controlPr defaultSize="0" autoLine="0" autoPict="0">
                <anchor moveWithCells="1">
                  <from>
                    <xdr:col>5</xdr:col>
                    <xdr:colOff>0</xdr:colOff>
                    <xdr:row>13</xdr:row>
                    <xdr:rowOff>209550</xdr:rowOff>
                  </from>
                  <to>
                    <xdr:col>6</xdr:col>
                    <xdr:colOff>9525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foTank01">
              <controlPr defaultSize="0" autoFill="0" autoLine="0" autoPict="0">
                <anchor moveWithCells="1">
                  <from>
                    <xdr:col>6</xdr:col>
                    <xdr:colOff>180975</xdr:colOff>
                    <xdr:row>10</xdr:row>
                    <xdr:rowOff>9525</xdr:rowOff>
                  </from>
                  <to>
                    <xdr:col>6</xdr:col>
                    <xdr:colOff>390525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foTank02">
              <controlPr defaultSize="0" autoFill="0" autoLine="0" autoPict="0">
                <anchor moveWithCells="1">
                  <from>
                    <xdr:col>6</xdr:col>
                    <xdr:colOff>180975</xdr:colOff>
                    <xdr:row>11</xdr:row>
                    <xdr:rowOff>0</xdr:rowOff>
                  </from>
                  <to>
                    <xdr:col>6</xdr:col>
                    <xdr:colOff>400050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foTank03">
              <controlPr defaultSize="0" autoFill="0" autoLine="0" autoPict="0">
                <anchor moveWithCells="1">
                  <from>
                    <xdr:col>6</xdr:col>
                    <xdr:colOff>180975</xdr:colOff>
                    <xdr:row>12</xdr:row>
                    <xdr:rowOff>0</xdr:rowOff>
                  </from>
                  <to>
                    <xdr:col>6</xdr:col>
                    <xdr:colOff>400050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method11">
              <controlPr defaultSize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method12">
              <controlPr defaultSize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foTank012">
              <controlPr defaultSize="0" autoFill="0" autoLine="0" autoPict="0">
                <anchor moveWithCells="1">
                  <from>
                    <xdr:col>6</xdr:col>
                    <xdr:colOff>180975</xdr:colOff>
                    <xdr:row>21</xdr:row>
                    <xdr:rowOff>9525</xdr:rowOff>
                  </from>
                  <to>
                    <xdr:col>6</xdr:col>
                    <xdr:colOff>400050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9" name="foTank04">
              <controlPr defaultSize="0" autoFill="0" autoLine="0" autoPict="0">
                <anchor moveWithCells="1">
                  <from>
                    <xdr:col>6</xdr:col>
                    <xdr:colOff>180975</xdr:colOff>
                    <xdr:row>13</xdr:row>
                    <xdr:rowOff>0</xdr:rowOff>
                  </from>
                  <to>
                    <xdr:col>6</xdr:col>
                    <xdr:colOff>400050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0" name="foTank08">
              <controlPr defaultSize="0" autoFill="0" autoLine="0" autoPict="0">
                <anchor moveWithCells="1">
                  <from>
                    <xdr:col>6</xdr:col>
                    <xdr:colOff>180975</xdr:colOff>
                    <xdr:row>17</xdr:row>
                    <xdr:rowOff>9525</xdr:rowOff>
                  </from>
                  <to>
                    <xdr:col>6</xdr:col>
                    <xdr:colOff>400050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1" name="method6">
              <controlPr defaultSize="0" autoLine="0" autoPict="0">
                <anchor moveWithCells="1">
                  <from>
                    <xdr:col>5</xdr:col>
                    <xdr:colOff>0</xdr:colOff>
                    <xdr:row>14</xdr:row>
                    <xdr:rowOff>209550</xdr:rowOff>
                  </from>
                  <to>
                    <xdr:col>6</xdr:col>
                    <xdr:colOff>9525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2" name="method7">
              <controlPr defaultSize="0" autoLine="0" autoPict="0">
                <anchor moveWithCells="1">
                  <from>
                    <xdr:col>5</xdr:col>
                    <xdr:colOff>0</xdr:colOff>
                    <xdr:row>16</xdr:row>
                    <xdr:rowOff>9525</xdr:rowOff>
                  </from>
                  <to>
                    <xdr:col>6</xdr:col>
                    <xdr:colOff>9525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3" name="method8">
              <controlPr defaultSize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6</xdr:col>
                    <xdr:colOff>9525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4" name="foTank05">
              <controlPr defaultSize="0" autoFill="0" autoLine="0" autoPict="0">
                <anchor moveWithCells="1">
                  <from>
                    <xdr:col>6</xdr:col>
                    <xdr:colOff>180975</xdr:colOff>
                    <xdr:row>14</xdr:row>
                    <xdr:rowOff>0</xdr:rowOff>
                  </from>
                  <to>
                    <xdr:col>6</xdr:col>
                    <xdr:colOff>400050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5" name="foTank06">
              <controlPr defaultSize="0" autoFill="0" autoLine="0" autoPict="0">
                <anchor moveWithCells="1">
                  <from>
                    <xdr:col>6</xdr:col>
                    <xdr:colOff>180975</xdr:colOff>
                    <xdr:row>15</xdr:row>
                    <xdr:rowOff>19050</xdr:rowOff>
                  </from>
                  <to>
                    <xdr:col>6</xdr:col>
                    <xdr:colOff>400050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method9">
              <controlPr defaultSize="0" autoLine="0" autoPict="0">
                <anchor moveWithCells="1">
                  <from>
                    <xdr:col>5</xdr:col>
                    <xdr:colOff>0</xdr:colOff>
                    <xdr:row>18</xdr:row>
                    <xdr:rowOff>9525</xdr:rowOff>
                  </from>
                  <to>
                    <xdr:col>6</xdr:col>
                    <xdr:colOff>9525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foTank010">
              <controlPr defaultSize="0" autoFill="0" autoLine="0" autoPict="0">
                <anchor moveWithCells="1">
                  <from>
                    <xdr:col>6</xdr:col>
                    <xdr:colOff>180975</xdr:colOff>
                    <xdr:row>19</xdr:row>
                    <xdr:rowOff>9525</xdr:rowOff>
                  </from>
                  <to>
                    <xdr:col>6</xdr:col>
                    <xdr:colOff>400050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method10">
              <controlPr defaultSize="0" autoLine="0" autoPict="0">
                <anchor moveWithCells="1">
                  <from>
                    <xdr:col>5</xdr:col>
                    <xdr:colOff>0</xdr:colOff>
                    <xdr:row>19</xdr:row>
                    <xdr:rowOff>9525</xdr:rowOff>
                  </from>
                  <to>
                    <xdr:col>6</xdr:col>
                    <xdr:colOff>9525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9" name="method13">
              <controlPr defaultSize="0" autoLine="0" autoPict="0">
                <anchor moveWithCells="1">
                  <from>
                    <xdr:col>5</xdr:col>
                    <xdr:colOff>0</xdr:colOff>
                    <xdr:row>22</xdr:row>
                    <xdr:rowOff>9525</xdr:rowOff>
                  </from>
                  <to>
                    <xdr:col>6</xdr:col>
                    <xdr:colOff>9525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0" name="foTank013">
              <controlPr defaultSize="0" autoFill="0" autoLine="0" autoPict="0">
                <anchor moveWithCells="1">
                  <from>
                    <xdr:col>6</xdr:col>
                    <xdr:colOff>180975</xdr:colOff>
                    <xdr:row>22</xdr:row>
                    <xdr:rowOff>9525</xdr:rowOff>
                  </from>
                  <to>
                    <xdr:col>6</xdr:col>
                    <xdr:colOff>400050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1" name="method14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2" name="fuelType11">
              <controlPr defaultSize="0" autoLine="0" autoPict="0">
                <anchor moveWithCells="1">
                  <from>
                    <xdr:col>1</xdr:col>
                    <xdr:colOff>1628775</xdr:colOff>
                    <xdr:row>10</xdr:row>
                    <xdr:rowOff>0</xdr:rowOff>
                  </from>
                  <to>
                    <xdr:col>3</xdr:col>
                    <xdr:colOff>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33" name="method15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209550</xdr:rowOff>
                  </from>
                  <to>
                    <xdr:col>6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34" name="method16">
              <controlPr defaultSize="0" autoLine="0" autoPict="0">
                <anchor moveWithCells="1">
                  <from>
                    <xdr:col>5</xdr:col>
                    <xdr:colOff>0</xdr:colOff>
                    <xdr:row>25</xdr:row>
                    <xdr:rowOff>19050</xdr:rowOff>
                  </from>
                  <to>
                    <xdr:col>6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35" name="method17">
              <controlPr defaultSize="0" autoLine="0" autoPict="0">
                <anchor moveWithCells="1">
                  <from>
                    <xdr:col>5</xdr:col>
                    <xdr:colOff>0</xdr:colOff>
                    <xdr:row>26</xdr:row>
                    <xdr:rowOff>19050</xdr:rowOff>
                  </from>
                  <to>
                    <xdr:col>6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36" name="fuelType12">
              <controlPr defaultSize="0" autoLine="0" autoPict="0">
                <anchor moveWithCells="1">
                  <from>
                    <xdr:col>1</xdr:col>
                    <xdr:colOff>1628775</xdr:colOff>
                    <xdr:row>11</xdr:row>
                    <xdr:rowOff>0</xdr:rowOff>
                  </from>
                  <to>
                    <xdr:col>3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37" name="fuelType13">
              <controlPr defaultSize="0" autoLine="0" autoPict="0">
                <anchor moveWithCells="1">
                  <from>
                    <xdr:col>1</xdr:col>
                    <xdr:colOff>1628775</xdr:colOff>
                    <xdr:row>12</xdr:row>
                    <xdr:rowOff>0</xdr:rowOff>
                  </from>
                  <to>
                    <xdr:col>3</xdr:col>
                    <xdr:colOff>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38" name="fuelType15">
              <controlPr defaultSize="0" autoLine="0" autoPict="0">
                <anchor moveWithCells="1">
                  <from>
                    <xdr:col>1</xdr:col>
                    <xdr:colOff>1628775</xdr:colOff>
                    <xdr:row>14</xdr:row>
                    <xdr:rowOff>0</xdr:rowOff>
                  </from>
                  <to>
                    <xdr:col>3</xdr:col>
                    <xdr:colOff>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39" name="fuelType16">
              <controlPr defaultSize="0" autoLine="0" autoPict="0">
                <anchor moveWithCells="1">
                  <from>
                    <xdr:col>1</xdr:col>
                    <xdr:colOff>1628775</xdr:colOff>
                    <xdr:row>15</xdr:row>
                    <xdr:rowOff>0</xdr:rowOff>
                  </from>
                  <to>
                    <xdr:col>3</xdr:col>
                    <xdr:colOff>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0" name="fuelType17">
              <controlPr defaultSize="0" autoLine="0" autoPict="0">
                <anchor moveWithCells="1">
                  <from>
                    <xdr:col>1</xdr:col>
                    <xdr:colOff>1628775</xdr:colOff>
                    <xdr:row>16</xdr:row>
                    <xdr:rowOff>0</xdr:rowOff>
                  </from>
                  <to>
                    <xdr:col>3</xdr:col>
                    <xdr:colOff>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1" name="fuelType18">
              <controlPr defaultSize="0" autoLine="0" autoPict="0">
                <anchor moveWithCells="1">
                  <from>
                    <xdr:col>1</xdr:col>
                    <xdr:colOff>1628775</xdr:colOff>
                    <xdr:row>17</xdr:row>
                    <xdr:rowOff>0</xdr:rowOff>
                  </from>
                  <to>
                    <xdr:col>3</xdr:col>
                    <xdr:colOff>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2" name="fuelType19">
              <controlPr defaultSize="0" autoLine="0" autoPict="0">
                <anchor moveWithCells="1">
                  <from>
                    <xdr:col>1</xdr:col>
                    <xdr:colOff>1628775</xdr:colOff>
                    <xdr:row>18</xdr:row>
                    <xdr:rowOff>0</xdr:rowOff>
                  </from>
                  <to>
                    <xdr:col>3</xdr:col>
                    <xdr:colOff>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" name="fuelType110">
              <controlPr defaultSize="0" autoLine="0" autoPict="0">
                <anchor moveWithCells="1">
                  <from>
                    <xdr:col>1</xdr:col>
                    <xdr:colOff>1628775</xdr:colOff>
                    <xdr:row>19</xdr:row>
                    <xdr:rowOff>9525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4" name="fuelType111">
              <controlPr defaultSize="0" autoLine="0" autoPict="0">
                <anchor moveWithCells="1">
                  <from>
                    <xdr:col>1</xdr:col>
                    <xdr:colOff>1628775</xdr:colOff>
                    <xdr:row>20</xdr:row>
                    <xdr:rowOff>0</xdr:rowOff>
                  </from>
                  <to>
                    <xdr:col>3</xdr:col>
                    <xdr:colOff>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5" name="fuelType112">
              <controlPr defaultSize="0" autoLine="0" autoPict="0">
                <anchor moveWithCells="1">
                  <from>
                    <xdr:col>1</xdr:col>
                    <xdr:colOff>1628775</xdr:colOff>
                    <xdr:row>21</xdr:row>
                    <xdr:rowOff>0</xdr:rowOff>
                  </from>
                  <to>
                    <xdr:col>3</xdr:col>
                    <xdr:colOff>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6" name="fuelType113">
              <controlPr defaultSize="0" autoLine="0" autoPict="0">
                <anchor moveWithCells="1">
                  <from>
                    <xdr:col>1</xdr:col>
                    <xdr:colOff>1628775</xdr:colOff>
                    <xdr:row>22</xdr:row>
                    <xdr:rowOff>0</xdr:rowOff>
                  </from>
                  <to>
                    <xdr:col>3</xdr:col>
                    <xdr:colOff>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7" name="fuelType114">
              <controlPr defaultSize="0" autoLine="0" autoPict="0">
                <anchor moveWithCells="1">
                  <from>
                    <xdr:col>1</xdr:col>
                    <xdr:colOff>1628775</xdr:colOff>
                    <xdr:row>23</xdr:row>
                    <xdr:rowOff>0</xdr:rowOff>
                  </from>
                  <to>
                    <xdr:col>3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8" name="fuelType115">
              <controlPr defaultSize="0" autoLine="0" autoPict="0">
                <anchor moveWithCells="1">
                  <from>
                    <xdr:col>1</xdr:col>
                    <xdr:colOff>1628775</xdr:colOff>
                    <xdr:row>24</xdr:row>
                    <xdr:rowOff>0</xdr:rowOff>
                  </from>
                  <to>
                    <xdr:col>3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9" name="fuelType116">
              <controlPr defaultSize="0" autoLine="0" autoPict="0">
                <anchor moveWithCells="1">
                  <from>
                    <xdr:col>1</xdr:col>
                    <xdr:colOff>1628775</xdr:colOff>
                    <xdr:row>25</xdr:row>
                    <xdr:rowOff>9525</xdr:rowOff>
                  </from>
                  <to>
                    <xdr:col>3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0" name="fuelType117">
              <controlPr defaultSize="0" autoLine="0" autoPict="0">
                <anchor moveWithCells="1">
                  <from>
                    <xdr:col>1</xdr:col>
                    <xdr:colOff>1628775</xdr:colOff>
                    <xdr:row>26</xdr:row>
                    <xdr:rowOff>9525</xdr:rowOff>
                  </from>
                  <to>
                    <xdr:col>3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51" name="foTank014">
              <controlPr defaultSize="0" autoFill="0" autoLine="0" autoPict="0">
                <anchor moveWithCells="1">
                  <from>
                    <xdr:col>6</xdr:col>
                    <xdr:colOff>180975</xdr:colOff>
                    <xdr:row>23</xdr:row>
                    <xdr:rowOff>38100</xdr:rowOff>
                  </from>
                  <to>
                    <xdr:col>6</xdr:col>
                    <xdr:colOff>400050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52" name="foTank016">
              <controlPr defaultSize="0" autoFill="0" autoLine="0" autoPict="0">
                <anchor moveWithCells="1">
                  <from>
                    <xdr:col>6</xdr:col>
                    <xdr:colOff>180975</xdr:colOff>
                    <xdr:row>25</xdr:row>
                    <xdr:rowOff>0</xdr:rowOff>
                  </from>
                  <to>
                    <xdr:col>6</xdr:col>
                    <xdr:colOff>400050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53" name="fuelType14">
              <controlPr defaultSize="0" autoLine="0" autoPict="0">
                <anchor moveWithCells="1">
                  <from>
                    <xdr:col>1</xdr:col>
                    <xdr:colOff>1628775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54" name="foTank07">
              <controlPr defaultSize="0" autoFill="0" autoLine="0" autoPict="0">
                <anchor moveWithCells="1">
                  <from>
                    <xdr:col>6</xdr:col>
                    <xdr:colOff>180975</xdr:colOff>
                    <xdr:row>16</xdr:row>
                    <xdr:rowOff>9525</xdr:rowOff>
                  </from>
                  <to>
                    <xdr:col>6</xdr:col>
                    <xdr:colOff>400050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55" name="foTank09">
              <controlPr defaultSize="0" autoFill="0" autoLine="0" autoPict="0">
                <anchor moveWithCells="1">
                  <from>
                    <xdr:col>6</xdr:col>
                    <xdr:colOff>180975</xdr:colOff>
                    <xdr:row>18</xdr:row>
                    <xdr:rowOff>9525</xdr:rowOff>
                  </from>
                  <to>
                    <xdr:col>6</xdr:col>
                    <xdr:colOff>400050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56" name="foTank011">
              <controlPr defaultSize="0" autoFill="0" autoLine="0" autoPict="0">
                <anchor moveWithCells="1">
                  <from>
                    <xdr:col>6</xdr:col>
                    <xdr:colOff>180975</xdr:colOff>
                    <xdr:row>20</xdr:row>
                    <xdr:rowOff>9525</xdr:rowOff>
                  </from>
                  <to>
                    <xdr:col>6</xdr:col>
                    <xdr:colOff>400050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57" name="foTank015">
              <controlPr defaultSize="0" autoFill="0" autoLine="0" autoPict="0">
                <anchor moveWithCells="1">
                  <from>
                    <xdr:col>6</xdr:col>
                    <xdr:colOff>180975</xdr:colOff>
                    <xdr:row>24</xdr:row>
                    <xdr:rowOff>9525</xdr:rowOff>
                  </from>
                  <to>
                    <xdr:col>6</xdr:col>
                    <xdr:colOff>400050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58" name="foTank017">
              <controlPr defaultSize="0" autoFill="0" autoLine="0" autoPict="0">
                <anchor moveWithCells="1">
                  <from>
                    <xdr:col>6</xdr:col>
                    <xdr:colOff>180975</xdr:colOff>
                    <xdr:row>26</xdr:row>
                    <xdr:rowOff>0</xdr:rowOff>
                  </from>
                  <to>
                    <xdr:col>6</xdr:col>
                    <xdr:colOff>400050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9" name="unit2">
              <controlPr defaultSize="0" autoLine="0" autoPict="0">
                <anchor moveWithCells="1">
                  <from>
                    <xdr:col>10</xdr:col>
                    <xdr:colOff>0</xdr:colOff>
                    <xdr:row>11</xdr:row>
                    <xdr:rowOff>19050</xdr:rowOff>
                  </from>
                  <to>
                    <xdr:col>11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0" name="unit3">
              <controlPr defaultSize="0" autoLine="0" autoPict="0">
                <anchor moveWithCells="1">
                  <from>
                    <xdr:col>10</xdr:col>
                    <xdr:colOff>0</xdr:colOff>
                    <xdr:row>12</xdr:row>
                    <xdr:rowOff>19050</xdr:rowOff>
                  </from>
                  <to>
                    <xdr:col>11</xdr:col>
                    <xdr:colOff>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1" name="unit4">
              <controlPr defaultSize="0" autoLine="0" autoPict="0">
                <anchor moveWithCells="1">
                  <from>
                    <xdr:col>10</xdr:col>
                    <xdr:colOff>0</xdr:colOff>
                    <xdr:row>13</xdr:row>
                    <xdr:rowOff>19050</xdr:rowOff>
                  </from>
                  <to>
                    <xdr:col>11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2" name="unit13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19050</xdr:rowOff>
                  </from>
                  <to>
                    <xdr:col>11</xdr:col>
                    <xdr:colOff>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3" name="unit16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11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4" name="unit1">
              <controlPr defaultSize="0" autoLine="0" autoPict="0">
                <anchor moveWithCells="1">
                  <from>
                    <xdr:col>10</xdr:col>
                    <xdr:colOff>0</xdr:colOff>
                    <xdr:row>10</xdr:row>
                    <xdr:rowOff>28575</xdr:rowOff>
                  </from>
                  <to>
                    <xdr:col>11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65" name="unit5">
              <controlPr defaultSize="0" autoLine="0" autoPict="0">
                <anchor moveWithCells="1">
                  <from>
                    <xdr:col>10</xdr:col>
                    <xdr:colOff>0</xdr:colOff>
                    <xdr:row>14</xdr:row>
                    <xdr:rowOff>19050</xdr:rowOff>
                  </from>
                  <to>
                    <xdr:col>11</xdr:col>
                    <xdr:colOff>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66" name="unit6">
              <controlPr defaultSize="0" autoLine="0" autoPict="0">
                <anchor moveWithCells="1">
                  <from>
                    <xdr:col>10</xdr:col>
                    <xdr:colOff>0</xdr:colOff>
                    <xdr:row>15</xdr:row>
                    <xdr:rowOff>19050</xdr:rowOff>
                  </from>
                  <to>
                    <xdr:col>11</xdr:col>
                    <xdr:colOff>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67" name="unit12">
              <controlPr defaultSize="0" autoLine="0" autoPict="0">
                <anchor moveWithCells="1">
                  <from>
                    <xdr:col>10</xdr:col>
                    <xdr:colOff>0</xdr:colOff>
                    <xdr:row>21</xdr:row>
                    <xdr:rowOff>19050</xdr:rowOff>
                  </from>
                  <to>
                    <xdr:col>11</xdr:col>
                    <xdr:colOff>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68" name="unit7">
              <controlPr defaultSize="0" autoLine="0" autoPict="0">
                <anchor mov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11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69" name="unit10">
              <controlPr defaultSize="0" autoLine="0" autoPict="0">
                <anchor moveWithCells="1">
                  <from>
                    <xdr:col>10</xdr:col>
                    <xdr:colOff>0</xdr:colOff>
                    <xdr:row>19</xdr:row>
                    <xdr:rowOff>19050</xdr:rowOff>
                  </from>
                  <to>
                    <xdr:col>11</xdr:col>
                    <xdr:colOff>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70" name="unit15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19050</xdr:rowOff>
                  </from>
                  <to>
                    <xdr:col>11</xdr:col>
                    <xdr:colOff>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71" name="unit8">
              <controlPr defaultSize="0" autoLine="0" autoPict="0">
                <anchor mov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11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72" name="unit9">
              <controlPr defaultSize="0" autoLine="0" autoPict="0">
                <anchor mov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11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73" name="unit11">
              <controlPr defaultSize="0" autoLine="0" autoPict="0">
                <anchor mov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11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74" name="unit14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11</xdr:col>
                    <xdr:colOff>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75" name="unit17">
              <controlPr defaultSize="0" autoLine="0" autoPict="0">
                <anchor mov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11</xdr:col>
                    <xdr:colOff>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S36"/>
  <sheetViews>
    <sheetView showGridLines="0" showRuler="0" view="pageLayout" topLeftCell="C4" zoomScaleNormal="100" zoomScaleSheetLayoutView="100" workbookViewId="0">
      <selection activeCell="U29" sqref="U29"/>
    </sheetView>
  </sheetViews>
  <sheetFormatPr defaultRowHeight="15"/>
  <cols>
    <col min="1" max="1" width="1.5703125" customWidth="1"/>
    <col min="2" max="2" width="23.5703125" customWidth="1"/>
    <col min="3" max="6" width="12.7109375" customWidth="1"/>
    <col min="7" max="7" width="8.85546875" customWidth="1"/>
    <col min="8" max="18" width="12.7109375" customWidth="1"/>
    <col min="19" max="19" width="11.28515625" style="252" customWidth="1"/>
    <col min="20" max="20" width="9.28515625" style="252" customWidth="1"/>
    <col min="21" max="21" width="12.28515625" style="252" customWidth="1"/>
    <col min="22" max="26" width="9.140625" style="252" customWidth="1"/>
    <col min="27" max="27" width="10.140625" style="252" customWidth="1"/>
    <col min="28" max="31" width="9.140625" style="252" customWidth="1"/>
    <col min="32" max="32" width="20.85546875" style="252" customWidth="1"/>
    <col min="33" max="33" width="19" style="252" customWidth="1"/>
    <col min="34" max="45" width="9.140625" style="252" customWidth="1"/>
  </cols>
  <sheetData>
    <row r="1" spans="1:45" ht="3.95" customHeight="1" thickBot="1">
      <c r="U1" s="474">
        <f>DATE(YEAR(T2),MONTH(T2),DAY(T2))</f>
        <v>0</v>
      </c>
    </row>
    <row r="2" spans="1:45" ht="16.5" thickBot="1">
      <c r="B2" s="122"/>
      <c r="C2" s="50"/>
      <c r="D2" s="50"/>
      <c r="E2" s="50"/>
      <c r="F2" s="50"/>
      <c r="G2" s="50"/>
      <c r="H2" s="526" t="s">
        <v>445</v>
      </c>
      <c r="I2" s="526"/>
      <c r="J2" s="526"/>
      <c r="K2" s="526"/>
      <c r="L2" s="526"/>
      <c r="M2" s="50"/>
      <c r="N2" s="50"/>
      <c r="O2" s="123"/>
      <c r="P2" s="123"/>
      <c r="Q2" s="123"/>
      <c r="R2" s="124"/>
      <c r="S2" s="456"/>
      <c r="T2" s="456"/>
      <c r="U2" s="455">
        <f>TIME(HOUR(T2),MINUTE(T2),SECOND(T2))</f>
        <v>0</v>
      </c>
      <c r="V2" s="456"/>
      <c r="W2" s="456"/>
      <c r="X2" s="456"/>
      <c r="Y2" s="456"/>
      <c r="Z2" s="456"/>
      <c r="AA2" s="456"/>
    </row>
    <row r="3" spans="1:45" ht="18.75" customHeight="1" thickBot="1">
      <c r="B3" s="487" t="s">
        <v>12</v>
      </c>
      <c r="C3" s="535" t="s">
        <v>444</v>
      </c>
      <c r="D3" s="536"/>
      <c r="E3" s="212"/>
      <c r="F3" s="55"/>
      <c r="G3" s="55"/>
      <c r="H3" s="527" t="s">
        <v>73</v>
      </c>
      <c r="I3" s="527"/>
      <c r="J3" s="527"/>
      <c r="K3" s="527"/>
      <c r="L3" s="527"/>
      <c r="M3" s="55"/>
      <c r="N3" s="55"/>
      <c r="O3" s="79" t="s">
        <v>21</v>
      </c>
      <c r="P3" s="533">
        <v>45785</v>
      </c>
      <c r="Q3" s="533"/>
      <c r="R3" s="534"/>
      <c r="S3" s="459">
        <v>44812</v>
      </c>
      <c r="T3" s="489"/>
      <c r="U3" s="490"/>
      <c r="V3" s="490"/>
      <c r="W3" s="490" t="s">
        <v>454</v>
      </c>
      <c r="X3" s="490"/>
      <c r="Y3" s="490"/>
      <c r="Z3" s="490"/>
      <c r="AA3" s="490"/>
      <c r="AB3" s="491"/>
      <c r="AC3" s="475" t="s">
        <v>195</v>
      </c>
      <c r="AD3" s="475"/>
      <c r="AE3" s="476" t="s">
        <v>197</v>
      </c>
      <c r="AF3" s="476" t="s">
        <v>197</v>
      </c>
      <c r="AG3" s="475" t="s">
        <v>68</v>
      </c>
      <c r="AH3" s="475"/>
      <c r="AI3" s="475" t="s">
        <v>68</v>
      </c>
      <c r="AJ3" s="475" t="s">
        <v>198</v>
      </c>
      <c r="AK3" s="475" t="s">
        <v>199</v>
      </c>
      <c r="AL3" s="475" t="s">
        <v>201</v>
      </c>
      <c r="AM3" s="475" t="s">
        <v>202</v>
      </c>
      <c r="AN3" s="475" t="s">
        <v>204</v>
      </c>
      <c r="AO3" s="475" t="s">
        <v>93</v>
      </c>
      <c r="AP3" s="475" t="s">
        <v>198</v>
      </c>
      <c r="AQ3" s="475" t="s">
        <v>208</v>
      </c>
      <c r="AR3" s="475" t="s">
        <v>11</v>
      </c>
      <c r="AS3" s="475" t="s">
        <v>211</v>
      </c>
    </row>
    <row r="4" spans="1:45" ht="20.25" customHeight="1" thickTop="1" thickBot="1">
      <c r="B4" s="488" t="s">
        <v>41</v>
      </c>
      <c r="E4" s="537"/>
      <c r="F4" s="537"/>
      <c r="G4" s="55"/>
      <c r="H4" s="547" t="s">
        <v>23</v>
      </c>
      <c r="I4" s="548"/>
      <c r="J4" s="548"/>
      <c r="K4" s="548"/>
      <c r="L4" s="549"/>
      <c r="M4" s="55"/>
      <c r="N4" s="55"/>
      <c r="O4" s="79" t="s">
        <v>22</v>
      </c>
      <c r="P4" s="528">
        <v>0.29166666666666702</v>
      </c>
      <c r="Q4" s="529"/>
      <c r="R4" s="530"/>
      <c r="S4" s="455">
        <v>0.5</v>
      </c>
      <c r="T4" s="490"/>
      <c r="U4" s="490"/>
      <c r="V4" s="490"/>
      <c r="W4" s="492" t="s">
        <v>161</v>
      </c>
      <c r="X4" s="490"/>
      <c r="Y4" s="490"/>
      <c r="Z4" s="490"/>
      <c r="AA4" s="490"/>
      <c r="AB4" s="491"/>
      <c r="AC4" s="475" t="s">
        <v>213</v>
      </c>
      <c r="AD4" s="475"/>
      <c r="AE4" s="476">
        <v>1</v>
      </c>
      <c r="AF4" s="476">
        <v>0.85</v>
      </c>
      <c r="AG4" s="475" t="s">
        <v>214</v>
      </c>
      <c r="AH4" s="475"/>
      <c r="AI4" s="475" t="s">
        <v>196</v>
      </c>
      <c r="AJ4" s="475" t="s">
        <v>197</v>
      </c>
      <c r="AK4" s="475" t="s">
        <v>200</v>
      </c>
      <c r="AL4" s="475" t="s">
        <v>202</v>
      </c>
      <c r="AM4" s="475" t="s">
        <v>203</v>
      </c>
      <c r="AN4" s="475" t="s">
        <v>205</v>
      </c>
      <c r="AO4" s="475" t="s">
        <v>206</v>
      </c>
      <c r="AP4" s="475" t="s">
        <v>207</v>
      </c>
      <c r="AQ4" s="475" t="s">
        <v>209</v>
      </c>
      <c r="AR4" s="475" t="s">
        <v>210</v>
      </c>
      <c r="AS4" s="475" t="s">
        <v>212</v>
      </c>
    </row>
    <row r="5" spans="1:45" ht="18.75" customHeight="1" thickBot="1">
      <c r="B5" s="125"/>
      <c r="C5" s="126"/>
      <c r="D5" s="126"/>
      <c r="E5" s="126"/>
      <c r="F5" s="99"/>
      <c r="G5" s="99"/>
      <c r="H5" s="550"/>
      <c r="I5" s="551"/>
      <c r="J5" s="551"/>
      <c r="K5" s="551"/>
      <c r="L5" s="552"/>
      <c r="M5" s="99"/>
      <c r="N5" s="99"/>
      <c r="O5" s="80" t="s">
        <v>20</v>
      </c>
      <c r="P5" s="531" t="s">
        <v>489</v>
      </c>
      <c r="Q5" s="531"/>
      <c r="R5" s="532"/>
      <c r="S5" s="456"/>
      <c r="T5" s="490"/>
      <c r="U5" s="490"/>
      <c r="V5" s="490"/>
      <c r="W5" s="492" t="s">
        <v>83</v>
      </c>
      <c r="X5" s="490"/>
      <c r="Y5" s="490" t="s">
        <v>31</v>
      </c>
      <c r="Z5" s="490"/>
      <c r="AA5" s="490"/>
      <c r="AB5" s="491"/>
    </row>
    <row r="6" spans="1:45" ht="3.95" customHeight="1" thickBot="1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9"/>
      <c r="S6" s="456"/>
      <c r="T6" s="490"/>
      <c r="U6" s="490"/>
      <c r="V6" s="490"/>
      <c r="W6" s="491" t="s">
        <v>117</v>
      </c>
      <c r="X6" s="490"/>
      <c r="Y6" s="490" t="s">
        <v>32</v>
      </c>
      <c r="Z6" s="490"/>
      <c r="AA6" s="490"/>
      <c r="AB6" s="491"/>
    </row>
    <row r="7" spans="1:45" ht="19.5" thickBot="1">
      <c r="B7" s="47" t="s">
        <v>27</v>
      </c>
      <c r="C7" s="200"/>
      <c r="D7" s="13">
        <v>11.98</v>
      </c>
      <c r="E7" s="48" t="s">
        <v>26</v>
      </c>
      <c r="F7" s="13">
        <v>12.34</v>
      </c>
      <c r="G7" s="48" t="s">
        <v>30</v>
      </c>
      <c r="H7" s="14">
        <f>(D7+F7)/2</f>
        <v>12.16</v>
      </c>
      <c r="I7" s="48" t="s">
        <v>28</v>
      </c>
      <c r="J7" s="15">
        <f>draftFwd1-draftAft</f>
        <v>-0.36</v>
      </c>
      <c r="K7" s="48" t="s">
        <v>29</v>
      </c>
      <c r="L7" s="130"/>
      <c r="M7" s="505" t="s">
        <v>42</v>
      </c>
      <c r="N7" s="505"/>
      <c r="O7" s="16">
        <v>33</v>
      </c>
      <c r="P7" s="505" t="s">
        <v>43</v>
      </c>
      <c r="Q7" s="505"/>
      <c r="R7" s="131">
        <v>20</v>
      </c>
      <c r="S7" s="465"/>
      <c r="T7" s="493" t="s">
        <v>38</v>
      </c>
      <c r="U7" s="490"/>
      <c r="V7" s="490" t="s">
        <v>34</v>
      </c>
      <c r="W7" s="492">
        <v>0</v>
      </c>
      <c r="X7" s="490"/>
      <c r="Y7" s="494" t="s">
        <v>499</v>
      </c>
      <c r="Z7" s="490"/>
      <c r="AA7" s="490"/>
      <c r="AB7" s="491"/>
    </row>
    <row r="8" spans="1:45" ht="3.95" customHeight="1" thickBot="1"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  <c r="S8" s="456"/>
      <c r="T8" s="490" t="s">
        <v>39</v>
      </c>
      <c r="U8" s="490"/>
      <c r="V8" s="490" t="s">
        <v>35</v>
      </c>
      <c r="W8" s="492" t="s">
        <v>162</v>
      </c>
      <c r="X8" s="490"/>
      <c r="Y8" s="494" t="s">
        <v>500</v>
      </c>
      <c r="Z8" s="490"/>
      <c r="AA8" s="490"/>
      <c r="AB8" s="491"/>
    </row>
    <row r="9" spans="1:45" ht="20.25" customHeight="1">
      <c r="A9" s="57"/>
      <c r="B9" s="514" t="s">
        <v>13</v>
      </c>
      <c r="C9" s="504" t="s">
        <v>294</v>
      </c>
      <c r="D9" s="518" t="s">
        <v>14</v>
      </c>
      <c r="E9" s="519"/>
      <c r="F9" s="522" t="s">
        <v>15</v>
      </c>
      <c r="G9" s="522" t="s">
        <v>114</v>
      </c>
      <c r="H9" s="520" t="s">
        <v>115</v>
      </c>
      <c r="I9" s="520" t="s">
        <v>116</v>
      </c>
      <c r="J9" s="524" t="s">
        <v>36</v>
      </c>
      <c r="K9" s="522" t="s">
        <v>24</v>
      </c>
      <c r="L9" s="522" t="s">
        <v>25</v>
      </c>
      <c r="M9" s="520" t="s">
        <v>145</v>
      </c>
      <c r="N9" s="520" t="s">
        <v>17</v>
      </c>
      <c r="O9" s="520" t="s">
        <v>46</v>
      </c>
      <c r="P9" s="520" t="s">
        <v>18</v>
      </c>
      <c r="Q9" s="520" t="s">
        <v>146</v>
      </c>
      <c r="R9" s="516" t="s">
        <v>118</v>
      </c>
      <c r="S9" s="466"/>
      <c r="T9" s="490" t="s">
        <v>37</v>
      </c>
      <c r="U9" s="490"/>
      <c r="V9" s="490"/>
      <c r="W9" s="492" t="s">
        <v>163</v>
      </c>
      <c r="X9" s="490"/>
      <c r="Y9" s="493" t="s">
        <v>33</v>
      </c>
      <c r="Z9" s="490"/>
      <c r="AA9" s="490"/>
      <c r="AB9" s="491"/>
      <c r="AF9" s="477"/>
      <c r="AG9" s="252">
        <f>-1*J7</f>
        <v>0.36</v>
      </c>
    </row>
    <row r="10" spans="1:45" ht="33" customHeight="1" thickBot="1">
      <c r="A10" s="57"/>
      <c r="B10" s="515"/>
      <c r="C10" s="540"/>
      <c r="D10" s="49" t="s">
        <v>151</v>
      </c>
      <c r="E10" s="49" t="s">
        <v>152</v>
      </c>
      <c r="F10" s="523"/>
      <c r="G10" s="523"/>
      <c r="H10" s="521"/>
      <c r="I10" s="521"/>
      <c r="J10" s="525"/>
      <c r="K10" s="523"/>
      <c r="L10" s="523"/>
      <c r="M10" s="521"/>
      <c r="N10" s="521"/>
      <c r="O10" s="521"/>
      <c r="P10" s="521"/>
      <c r="Q10" s="521"/>
      <c r="R10" s="517"/>
      <c r="S10" s="466"/>
      <c r="T10" s="490" t="s">
        <v>40</v>
      </c>
      <c r="U10" s="490"/>
      <c r="V10" s="490"/>
      <c r="W10" s="492" t="s">
        <v>84</v>
      </c>
      <c r="X10" s="490"/>
      <c r="Y10" s="493">
        <v>1</v>
      </c>
      <c r="Z10" s="490"/>
      <c r="AA10" s="490"/>
      <c r="AB10" s="491"/>
      <c r="AE10" s="478"/>
      <c r="AF10" s="477"/>
      <c r="AI10" s="478" t="s">
        <v>133</v>
      </c>
      <c r="AJ10" s="477" t="s">
        <v>134</v>
      </c>
      <c r="AK10" s="252" t="s">
        <v>191</v>
      </c>
      <c r="AL10" s="252" t="s">
        <v>72</v>
      </c>
    </row>
    <row r="11" spans="1:45" ht="17.25" customHeight="1">
      <c r="A11" s="57"/>
      <c r="B11" s="86" t="str">
        <f>IF(Setup!A2="","",Setup!A2)</f>
        <v>NO.1 HFO TANK (P)</v>
      </c>
      <c r="C11" s="376"/>
      <c r="D11" s="100">
        <f>IF(ISBLANK(Setup!I2),"",Setup!I2)</f>
        <v>463.5</v>
      </c>
      <c r="E11" s="101">
        <f>IF(D11="","",D11*0.85)</f>
        <v>393.98</v>
      </c>
      <c r="F11" s="102"/>
      <c r="G11" s="102"/>
      <c r="H11" s="103">
        <v>1830</v>
      </c>
      <c r="I11" s="107">
        <f>IF(ISBLANK(H11),"",soundTank21)</f>
        <v>247.667</v>
      </c>
      <c r="J11" s="17">
        <v>40</v>
      </c>
      <c r="K11" s="102" t="str">
        <f>unitValue21</f>
        <v>DEN @ 15 C</v>
      </c>
      <c r="L11" s="104">
        <v>0.9496</v>
      </c>
      <c r="M11" s="105">
        <f>IF(OR(ISBLANK(H11),ISBLANK(L11)),"",IF(T11=4,L11,IF(T11=1,Conversion!AA4,IF(OR(T11=2,T11=3),Conversion!AD4))))</f>
        <v>0.9496</v>
      </c>
      <c r="N11" s="105">
        <f>IF(OR(ISBLANK(H11),ISBLANK(L11)),"",'ASTM Tables'!W23)</f>
        <v>0.9819</v>
      </c>
      <c r="O11" s="106">
        <f>IF(OR(ISBLANK(H11),ISBLANK(L11)),"",I11/D11)</f>
        <v>0.53</v>
      </c>
      <c r="P11" s="107">
        <f>IF(OR(ISBLANK(H11),ISBLANK(L11)),"",I11*N11)</f>
        <v>243.184</v>
      </c>
      <c r="Q11" s="105">
        <f>IF(OR(ISBLANK(H11),ISBLANK(L11)),"",'ASTM Tables'!H23)</f>
        <v>0.94850000000000001</v>
      </c>
      <c r="R11" s="108">
        <f>IF(OR(ISBLANK(H11),ISBLANK(L11)),"",P11*Q11)</f>
        <v>230.66</v>
      </c>
      <c r="S11" s="469" t="str">
        <f>IF(V11=1,"Dip","Ullage")</f>
        <v>Ullage</v>
      </c>
      <c r="T11" s="490">
        <v>4</v>
      </c>
      <c r="U11" s="490" t="b">
        <v>0</v>
      </c>
      <c r="V11" s="490">
        <v>2</v>
      </c>
      <c r="W11" s="492" t="s">
        <v>455</v>
      </c>
      <c r="X11" s="490" t="str">
        <f>IF(T11=1,"API @ 60 F",IF(T11=2,"RD @ 60 F", IF(T11=3,"SG @ 15 C","DEN @ 15 C")))</f>
        <v>DEN @ 15 C</v>
      </c>
      <c r="Y11" s="495">
        <f>IF(Z11=TRUE,L11,0)</f>
        <v>0</v>
      </c>
      <c r="Z11" s="493" t="b">
        <f>IF(H11="","",U11)</f>
        <v>0</v>
      </c>
      <c r="AA11" s="495">
        <f>IF(T11=1,Conversion!AA4,IF(OR(T11=2,T11=3),Conversion!AD4,L11))</f>
        <v>0.9496</v>
      </c>
      <c r="AB11" s="491">
        <f>IF(T11=3,L11,ROUND(M11+(((J11-15)*AC11)+0.0011),4))</f>
        <v>0.96650000000000003</v>
      </c>
      <c r="AC11" s="252">
        <f>IF(AND(Bunkering!M11&gt;0.81-0.001,Bunkering!M11&lt;0.827+0.001),0.00068,IF(AND(Bunkering!M11&gt;0.828-0.001,Bunkering!M11&lt;0.838+0.001),0.00067,IF(AND(Bunkering!M11&gt;0.839-0.001,Bunkering!M11&lt;0.853+0.001),0.00066,IF(AND(Bunkering!M11&gt;0.854-0.001,Bunkering!M11&lt;0.871+0.001),0.00065,IF(AND(Bunkering!M11&gt;0.872-0.001,Bunkering!M11&lt;0.911+0.001),0.00064,IF(AND(Bunkering!M11&gt;0.912-0.001,Bunkering!M11&lt;0.978+0.001),0.00063,IF(AND(Bunkering!M11&gt;0.979-0.001,Bunkering!M11&lt;1.03+0.001),0.00062,"")))))))</f>
        <v>6.3000000000000003E-4</v>
      </c>
      <c r="AE11" s="477"/>
      <c r="AF11" s="479">
        <v>300</v>
      </c>
      <c r="AG11" s="480" t="s">
        <v>134</v>
      </c>
      <c r="AH11" s="481">
        <v>2</v>
      </c>
      <c r="AI11" s="477" t="str">
        <f>IF(AH11=1, tons21,"")</f>
        <v/>
      </c>
      <c r="AJ11" s="477">
        <f>IF(AH11=2, tons21,"")</f>
        <v>230.66</v>
      </c>
      <c r="AK11" s="477" t="str">
        <f>IF(AH11=3, tons21,"")</f>
        <v/>
      </c>
      <c r="AL11" s="477" t="str">
        <f>IF(AH11=4, tons21,"")</f>
        <v/>
      </c>
      <c r="AM11" s="252" t="s">
        <v>134</v>
      </c>
    </row>
    <row r="12" spans="1:45" ht="17.25" customHeight="1">
      <c r="A12" s="57"/>
      <c r="B12" s="87" t="str">
        <f>IF(Setup!A3="","",Setup!A3)</f>
        <v>NO.1 HFO TANK (S)</v>
      </c>
      <c r="C12" s="372"/>
      <c r="D12" s="52">
        <f>IF(ISBLANK(Setup!I3),"",Setup!I3)</f>
        <v>463.5</v>
      </c>
      <c r="E12" s="98">
        <f t="shared" ref="E12:E27" si="0">IF(D12="","",D12*0.85)</f>
        <v>393.98</v>
      </c>
      <c r="F12" s="109"/>
      <c r="G12" s="109"/>
      <c r="H12" s="110">
        <v>1100</v>
      </c>
      <c r="I12" s="111">
        <f>IF(ISBLANK(H12),"",soundTank22)</f>
        <v>361.80700000000002</v>
      </c>
      <c r="J12" s="9">
        <v>40</v>
      </c>
      <c r="K12" s="109" t="str">
        <f>unitValue22</f>
        <v>DEN @ 15 C</v>
      </c>
      <c r="L12" s="112">
        <v>0.9496</v>
      </c>
      <c r="M12" s="113">
        <f>IF(OR(ISBLANK(H12),ISBLANK(L12)),"",IF(T12=4,L12,IF(T12=1,Conversion!AA5,IF(OR(T12=2,T12=3),Conversion!AD5))))</f>
        <v>0.9496</v>
      </c>
      <c r="N12" s="113">
        <f>IF(OR(ISBLANK(H12),ISBLANK(L12)),"",'ASTM Tables'!W24)</f>
        <v>0.9819</v>
      </c>
      <c r="O12" s="114">
        <f t="shared" ref="O12:O27" si="1">IF(OR(ISBLANK(H12),ISBLANK(L12)),"",I12/D12)</f>
        <v>0.78</v>
      </c>
      <c r="P12" s="111">
        <f t="shared" ref="P12:P27" si="2">IF(OR(ISBLANK(H12),ISBLANK(L12)),"",I12*N12)</f>
        <v>355.25799999999998</v>
      </c>
      <c r="Q12" s="113">
        <f>IF(OR(ISBLANK(H12),ISBLANK(L12)),"",'ASTM Tables'!H24)</f>
        <v>0.94850000000000001</v>
      </c>
      <c r="R12" s="115">
        <f t="shared" ref="R12:R27" si="3">IF(OR(ISBLANK(H12),ISBLANK(L12)),"",P12*Q12)</f>
        <v>336.96199999999999</v>
      </c>
      <c r="S12" s="469" t="str">
        <f t="shared" ref="S12:S27" si="4">IF(V12=1,"Dip","Ullage")</f>
        <v>Ullage</v>
      </c>
      <c r="T12" s="490">
        <v>4</v>
      </c>
      <c r="U12" s="490" t="b">
        <v>0</v>
      </c>
      <c r="V12" s="490">
        <v>2</v>
      </c>
      <c r="W12" s="493">
        <v>5</v>
      </c>
      <c r="X12" s="490" t="str">
        <f t="shared" ref="X12:X22" si="5">IF(T12=1,"API @ 60 F",IF(T12=2,"RD @ 60 F", IF(T12=3,"SG @ 15 C","DEN @ 15 C")))</f>
        <v>DEN @ 15 C</v>
      </c>
      <c r="Y12" s="495">
        <f t="shared" ref="Y12:Y27" si="6">IF(Z12=TRUE,L12,0)</f>
        <v>0</v>
      </c>
      <c r="Z12" s="493" t="b">
        <f t="shared" ref="Z12:Z27" si="7">IF(H12="","",U12)</f>
        <v>0</v>
      </c>
      <c r="AA12" s="495">
        <f>IF(T12=1,Conversion!AA5,IF(OR(T12=2,T12=3),Conversion!AD5,L12))</f>
        <v>0.9496</v>
      </c>
      <c r="AB12" s="491">
        <f t="shared" ref="AB12:AB27" si="8">IF(T12=3,L12,ROUND(M12+(((J12-15)*AC12)+0.0011),4))</f>
        <v>0.96650000000000003</v>
      </c>
      <c r="AC12" s="252">
        <f>IF(AND(Bunkering!M12&gt;0.81-0.001,Bunkering!M12&lt;0.827+0.001),0.00068,IF(AND(Bunkering!M12&gt;0.828-0.001,Bunkering!M12&lt;0.838+0.001),0.00067,IF(AND(Bunkering!M12&gt;0.839-0.001,Bunkering!M12&lt;0.853+0.001),0.00066,IF(AND(Bunkering!M12&gt;0.854-0.001,Bunkering!M12&lt;0.871+0.001),0.00065,IF(AND(Bunkering!M12&gt;0.872-0.001,Bunkering!M12&lt;0.911+0.001),0.00064,IF(AND(Bunkering!M12&gt;0.912-0.001,Bunkering!M12&lt;0.978+0.001),0.00063,IF(AND(Bunkering!M12&gt;0.979-0.001,Bunkering!M12&lt;1.03+0.001),0.00062,"")))))))</f>
        <v>6.3000000000000003E-4</v>
      </c>
      <c r="AD12" s="478"/>
      <c r="AE12" s="477"/>
      <c r="AF12" s="482">
        <v>580</v>
      </c>
      <c r="AG12" s="483"/>
      <c r="AH12" s="481">
        <v>2</v>
      </c>
      <c r="AI12" s="477" t="str">
        <f>IF(AH12=1, tons22,"")</f>
        <v/>
      </c>
      <c r="AJ12" s="477">
        <f>IF(AH12=2, tons22,"")</f>
        <v>336.96199999999999</v>
      </c>
      <c r="AK12" s="477" t="str">
        <f>IF(AH12=3, tons22,"")</f>
        <v/>
      </c>
      <c r="AL12" s="477" t="str">
        <f>IF(AH12=4, tons22,"")</f>
        <v/>
      </c>
      <c r="AM12" s="252" t="s">
        <v>134</v>
      </c>
    </row>
    <row r="13" spans="1:45" ht="17.25" customHeight="1">
      <c r="A13" s="57"/>
      <c r="B13" s="87" t="str">
        <f>IF(Setup!A4="","",Setup!A4)</f>
        <v>NO.2 HFO TANK (P)</v>
      </c>
      <c r="C13" s="372"/>
      <c r="D13" s="52">
        <f>IF(ISBLANK(Setup!I4),"",Setup!I4)</f>
        <v>463.5</v>
      </c>
      <c r="E13" s="98">
        <f t="shared" si="0"/>
        <v>393.98</v>
      </c>
      <c r="F13" s="109"/>
      <c r="G13" s="109"/>
      <c r="H13" s="110">
        <v>0</v>
      </c>
      <c r="I13" s="111">
        <f>IF(ISBLANK(H13),"",soundTank23)</f>
        <v>0.96499999999999997</v>
      </c>
      <c r="J13" s="9">
        <v>36</v>
      </c>
      <c r="K13" s="109" t="str">
        <f>unitValue23</f>
        <v>DEN @ 15 C</v>
      </c>
      <c r="L13" s="112">
        <v>0.98299999999999998</v>
      </c>
      <c r="M13" s="113">
        <f>IF(OR(ISBLANK(H13),ISBLANK(L13)),"",IF(T13=4,L13,IF(T13=1,Conversion!AA6,IF(OR(T13=2,T13=3),Conversion!AD6))))</f>
        <v>0.98299999999999998</v>
      </c>
      <c r="N13" s="113">
        <f>IF(OR(ISBLANK(H13),ISBLANK(L13)),"",'ASTM Tables'!W25)</f>
        <v>0.98550000000000004</v>
      </c>
      <c r="O13" s="114">
        <f t="shared" si="1"/>
        <v>0</v>
      </c>
      <c r="P13" s="111">
        <f t="shared" si="2"/>
        <v>0.95099999999999996</v>
      </c>
      <c r="Q13" s="113">
        <f>IF(OR(ISBLANK(H13),ISBLANK(L13)),"",'ASTM Tables'!H25)</f>
        <v>0.9819</v>
      </c>
      <c r="R13" s="115">
        <f t="shared" si="3"/>
        <v>0.93400000000000005</v>
      </c>
      <c r="S13" s="469" t="str">
        <f t="shared" si="4"/>
        <v>Dip</v>
      </c>
      <c r="T13" s="490">
        <v>4</v>
      </c>
      <c r="U13" s="490" t="b">
        <v>1</v>
      </c>
      <c r="V13" s="490">
        <v>1</v>
      </c>
      <c r="W13" s="493">
        <f>IF(W12=1,-4,IF(W12=2,-3,IF(W12=3,-2,IF(W12=4,-1,IF(W12=5,0,IF(W12=6,1,IF(W12=7,2,IF(W12=5,3,IF(W12=9,4)))))))))</f>
        <v>0</v>
      </c>
      <c r="X13" s="490" t="str">
        <f t="shared" si="5"/>
        <v>DEN @ 15 C</v>
      </c>
      <c r="Y13" s="495">
        <f t="shared" si="6"/>
        <v>0.98299999999999998</v>
      </c>
      <c r="Z13" s="493" t="b">
        <f t="shared" si="7"/>
        <v>1</v>
      </c>
      <c r="AA13" s="495">
        <f>IF(T13=1,Conversion!AA6,IF(OR(T13=2,T13=3),Conversion!AD6,L13))</f>
        <v>0.98299999999999998</v>
      </c>
      <c r="AB13" s="491">
        <f t="shared" si="8"/>
        <v>0.99709999999999999</v>
      </c>
      <c r="AC13" s="252">
        <f>IF(AND(Bunkering!M13&gt;0.81-0.001,Bunkering!M13&lt;0.827+0.001),0.00068,IF(AND(Bunkering!M13&gt;0.828-0.001,Bunkering!M13&lt;0.838+0.001),0.00067,IF(AND(Bunkering!M13&gt;0.839-0.001,Bunkering!M13&lt;0.853+0.001),0.00066,IF(AND(Bunkering!M13&gt;0.854-0.001,Bunkering!M13&lt;0.871+0.001),0.00065,IF(AND(Bunkering!M13&gt;0.872-0.001,Bunkering!M13&lt;0.911+0.001),0.00064,IF(AND(Bunkering!M13&gt;0.912-0.001,Bunkering!M13&lt;0.978+0.001),0.00063,IF(AND(Bunkering!M13&gt;0.979-0.001,Bunkering!M13&lt;1.03+0.001),0.00062,"")))))))</f>
        <v>6.2E-4</v>
      </c>
      <c r="AD13" s="478"/>
      <c r="AE13" s="477"/>
      <c r="AF13" s="483">
        <f>IFERROR(bunkerQuantity/fuelRate,0)</f>
        <v>1.93</v>
      </c>
      <c r="AG13" s="483"/>
      <c r="AH13" s="481">
        <v>2</v>
      </c>
      <c r="AI13" s="477" t="str">
        <f>IF(AH13=1, tons23,"")</f>
        <v/>
      </c>
      <c r="AJ13" s="477">
        <f>IF(AH13=2, tons23,"")</f>
        <v>0.93400000000000005</v>
      </c>
      <c r="AK13" s="477" t="str">
        <f>IF(AH13=3, tons23,"")</f>
        <v/>
      </c>
      <c r="AL13" s="477" t="str">
        <f>IF(AH13=4, tons23,"")</f>
        <v/>
      </c>
      <c r="AM13" s="252" t="s">
        <v>134</v>
      </c>
    </row>
    <row r="14" spans="1:45" ht="17.25" customHeight="1">
      <c r="A14" s="57"/>
      <c r="B14" s="87" t="str">
        <f>IF(Setup!A5="","",Setup!A5)</f>
        <v>NO.2 HFO TANK (S)</v>
      </c>
      <c r="C14" s="372"/>
      <c r="D14" s="52">
        <f>IF(ISBLANK(Setup!I5),"",Setup!I5)</f>
        <v>463.5</v>
      </c>
      <c r="E14" s="98">
        <f t="shared" si="0"/>
        <v>393.98</v>
      </c>
      <c r="F14" s="109"/>
      <c r="G14" s="109"/>
      <c r="H14" s="110">
        <v>90</v>
      </c>
      <c r="I14" s="111">
        <f>IF(ISBLANK(H14),"",soundTank24)</f>
        <v>2.0369999999999999</v>
      </c>
      <c r="J14" s="9">
        <v>34</v>
      </c>
      <c r="K14" s="109" t="str">
        <f>unitValue24</f>
        <v>DEN @ 15 C</v>
      </c>
      <c r="L14" s="112">
        <v>0.98299999999999998</v>
      </c>
      <c r="M14" s="113">
        <f>IF(OR(ISBLANK(H14),ISBLANK(L14)),"",IF(T14=4,L14,IF(T14=1,Conversion!AA7,IF(OR(T14=2,T14=3),Conversion!AD7))))</f>
        <v>0.98299999999999998</v>
      </c>
      <c r="N14" s="113">
        <f>IF(OR(ISBLANK(H14),ISBLANK(L14)),"",'ASTM Tables'!W26)</f>
        <v>0.9869</v>
      </c>
      <c r="O14" s="114">
        <f t="shared" si="1"/>
        <v>0</v>
      </c>
      <c r="P14" s="111">
        <f t="shared" si="2"/>
        <v>2.0099999999999998</v>
      </c>
      <c r="Q14" s="113">
        <f>IF(OR(ISBLANK(H14),ISBLANK(L14)),"",'ASTM Tables'!H26)</f>
        <v>0.9819</v>
      </c>
      <c r="R14" s="115">
        <f t="shared" si="3"/>
        <v>1.974</v>
      </c>
      <c r="S14" s="469" t="str">
        <f t="shared" si="4"/>
        <v>Dip</v>
      </c>
      <c r="T14" s="490">
        <v>4</v>
      </c>
      <c r="U14" s="490" t="b">
        <v>0</v>
      </c>
      <c r="V14" s="490">
        <v>1</v>
      </c>
      <c r="W14" s="490">
        <f>IF(W12=1,W3,IF(W12=2,W4,IF(W12=3,W5,IF(W12=4,W6,IF(W12=5,W7,IF(W12=6,W8,IF(W12=7,W9,IF(W12=8,W10,IF(W12=9,W11)))))))))</f>
        <v>0</v>
      </c>
      <c r="X14" s="490" t="str">
        <f t="shared" si="5"/>
        <v>DEN @ 15 C</v>
      </c>
      <c r="Y14" s="495">
        <f t="shared" si="6"/>
        <v>0</v>
      </c>
      <c r="Z14" s="493" t="b">
        <f t="shared" si="7"/>
        <v>0</v>
      </c>
      <c r="AA14" s="495">
        <f>IF(T14=1,Conversion!AA7,IF(OR(T14=2,T14=3),Conversion!AD7,L14))</f>
        <v>0.98299999999999998</v>
      </c>
      <c r="AB14" s="491">
        <f t="shared" si="8"/>
        <v>0.99590000000000001</v>
      </c>
      <c r="AC14" s="252">
        <f>IF(AND(Bunkering!M14&gt;0.81-0.001,Bunkering!M14&lt;0.827+0.001),0.00068,IF(AND(Bunkering!M14&gt;0.828-0.001,Bunkering!M14&lt;0.838+0.001),0.00067,IF(AND(Bunkering!M14&gt;0.839-0.001,Bunkering!M14&lt;0.853+0.001),0.00066,IF(AND(Bunkering!M14&gt;0.854-0.001,Bunkering!M14&lt;0.871+0.001),0.00065,IF(AND(Bunkering!M14&gt;0.872-0.001,Bunkering!M14&lt;0.911+0.001),0.00064,IF(AND(Bunkering!M14&gt;0.912-0.001,Bunkering!M14&lt;0.978+0.001),0.00063,IF(AND(Bunkering!M14&gt;0.979-0.001,Bunkering!M14&lt;1.03+0.001),0.00062,"")))))))</f>
        <v>6.2E-4</v>
      </c>
      <c r="AD14" s="478"/>
      <c r="AE14" s="477"/>
      <c r="AF14" s="484">
        <f>bunkerQuantity-totalAdd</f>
        <v>580</v>
      </c>
      <c r="AG14" s="483"/>
      <c r="AH14" s="481">
        <v>2</v>
      </c>
      <c r="AI14" s="477" t="str">
        <f>IF(AH14=1, tons24,"")</f>
        <v/>
      </c>
      <c r="AJ14" s="477">
        <f>IF(AH14=2, tons24,"")</f>
        <v>1.974</v>
      </c>
      <c r="AK14" s="477" t="str">
        <f>IF(AH14=3, tons24,"")</f>
        <v/>
      </c>
      <c r="AL14" s="477" t="str">
        <f>IF(AH14=4, tons24,"")</f>
        <v/>
      </c>
      <c r="AM14" s="252" t="s">
        <v>134</v>
      </c>
    </row>
    <row r="15" spans="1:45" ht="17.25" customHeight="1">
      <c r="A15" s="57"/>
      <c r="B15" s="87" t="str">
        <f>IF(Setup!A6="","",Setup!A6)</f>
        <v>NO.3 HFO TANK (P)</v>
      </c>
      <c r="C15" s="372"/>
      <c r="D15" s="52">
        <f>IF(ISBLANK(Setup!I6),"",Setup!I6)</f>
        <v>110.7</v>
      </c>
      <c r="E15" s="98">
        <f t="shared" si="0"/>
        <v>94.1</v>
      </c>
      <c r="F15" s="109"/>
      <c r="G15" s="109"/>
      <c r="H15" s="110">
        <v>90</v>
      </c>
      <c r="I15" s="111">
        <f>IF(ISBLANK(H15),"",soundTank25)</f>
        <v>1.1850000000000001</v>
      </c>
      <c r="J15" s="9">
        <v>42</v>
      </c>
      <c r="K15" s="109" t="str">
        <f>unitValue25</f>
        <v>DEN @ 15 C</v>
      </c>
      <c r="L15" s="112">
        <v>0.98299999999999998</v>
      </c>
      <c r="M15" s="113">
        <f>IF(OR(ISBLANK(H15),ISBLANK(L15)),"",IF(T15=4,L15,IF(T15=1,Conversion!AA8,IF(OR(T15=2,T15=3),Conversion!AD8))))</f>
        <v>0.98299999999999998</v>
      </c>
      <c r="N15" s="113">
        <f>IF(OR(ISBLANK(H15),ISBLANK(L15)),"",'ASTM Tables'!W27)</f>
        <v>0.98129999999999995</v>
      </c>
      <c r="O15" s="114">
        <f t="shared" si="1"/>
        <v>0.01</v>
      </c>
      <c r="P15" s="111">
        <f t="shared" si="2"/>
        <v>1.163</v>
      </c>
      <c r="Q15" s="113">
        <f>IF(OR(ISBLANK(H15),ISBLANK(L15)),"",'ASTM Tables'!H27)</f>
        <v>0.9819</v>
      </c>
      <c r="R15" s="115">
        <f t="shared" si="3"/>
        <v>1.1419999999999999</v>
      </c>
      <c r="S15" s="469" t="str">
        <f t="shared" si="4"/>
        <v>Dip</v>
      </c>
      <c r="T15" s="490">
        <v>4</v>
      </c>
      <c r="U15" s="490" t="b">
        <v>0</v>
      </c>
      <c r="V15" s="490">
        <v>1</v>
      </c>
      <c r="W15" s="490"/>
      <c r="X15" s="490" t="str">
        <f t="shared" si="5"/>
        <v>DEN @ 15 C</v>
      </c>
      <c r="Y15" s="495">
        <f t="shared" si="6"/>
        <v>0</v>
      </c>
      <c r="Z15" s="493" t="b">
        <f t="shared" si="7"/>
        <v>0</v>
      </c>
      <c r="AA15" s="495">
        <f>IF(T15=1,Conversion!AA8,IF(OR(T15=2,T15=3),Conversion!AD8,L15))</f>
        <v>0.98299999999999998</v>
      </c>
      <c r="AB15" s="491">
        <f t="shared" si="8"/>
        <v>1.0007999999999999</v>
      </c>
      <c r="AC15" s="252">
        <f>IF(AND(Bunkering!M15&gt;0.81-0.001,Bunkering!M15&lt;0.827+0.001),0.00068,IF(AND(Bunkering!M15&gt;0.828-0.001,Bunkering!M15&lt;0.838+0.001),0.00067,IF(AND(Bunkering!M15&gt;0.839-0.001,Bunkering!M15&lt;0.853+0.001),0.00066,IF(AND(Bunkering!M15&gt;0.854-0.001,Bunkering!M15&lt;0.871+0.001),0.00065,IF(AND(Bunkering!M15&gt;0.872-0.001,Bunkering!M15&lt;0.911+0.001),0.00064,IF(AND(Bunkering!M15&gt;0.912-0.001,Bunkering!M15&lt;0.978+0.001),0.00063,IF(AND(Bunkering!M15&gt;0.979-0.001,Bunkering!M15&lt;1.03+0.001),0.00062,"")))))))</f>
        <v>6.2E-4</v>
      </c>
      <c r="AD15" s="478"/>
      <c r="AE15" s="477"/>
      <c r="AF15" s="484">
        <f>IFERROR(quantityRemain/fuelRate,0)</f>
        <v>1.93</v>
      </c>
      <c r="AG15" s="483"/>
      <c r="AH15" s="481">
        <v>2</v>
      </c>
      <c r="AI15" s="477" t="str">
        <f>IF(AH15=1, tons25,"")</f>
        <v/>
      </c>
      <c r="AJ15" s="477">
        <f>IF(AH15=2, tons25,"")</f>
        <v>1.1419999999999999</v>
      </c>
      <c r="AK15" s="477" t="str">
        <f>IF(AH15=3, tons25,"")</f>
        <v/>
      </c>
      <c r="AL15" s="477" t="str">
        <f>IF(AH15=4, tons25,"")</f>
        <v/>
      </c>
      <c r="AM15" s="252" t="s">
        <v>134</v>
      </c>
    </row>
    <row r="16" spans="1:45" ht="17.25" customHeight="1">
      <c r="A16" s="57"/>
      <c r="B16" s="87" t="str">
        <f>IF(Setup!A7="","",Setup!A7)</f>
        <v>NO.3 HFO TANK (S)</v>
      </c>
      <c r="C16" s="372"/>
      <c r="D16" s="52">
        <f>IF(ISBLANK(Setup!I7),"",Setup!I7)</f>
        <v>238.5</v>
      </c>
      <c r="E16" s="98">
        <f t="shared" si="0"/>
        <v>202.73</v>
      </c>
      <c r="F16" s="109"/>
      <c r="G16" s="109"/>
      <c r="H16" s="110">
        <v>10230</v>
      </c>
      <c r="I16" s="111">
        <f>IF(ISBLANK(H16),"",soundTank26)</f>
        <v>38.232999999999997</v>
      </c>
      <c r="J16" s="9">
        <v>39</v>
      </c>
      <c r="K16" s="109" t="str">
        <f>unitValue26</f>
        <v>DEN @ 15 C</v>
      </c>
      <c r="L16" s="112">
        <v>0.98299999999999998</v>
      </c>
      <c r="M16" s="113">
        <f>IF(OR(ISBLANK(H16),ISBLANK(L16)),"",IF(T16=4,L16,IF(T16=1,Conversion!AA9,IF(OR(T16=2,T16=3),Conversion!AD9))))</f>
        <v>0.98299999999999998</v>
      </c>
      <c r="N16" s="113">
        <f>IF(OR(ISBLANK(H16),ISBLANK(L16)),"",'ASTM Tables'!W28)</f>
        <v>0.98340000000000005</v>
      </c>
      <c r="O16" s="114">
        <f t="shared" si="1"/>
        <v>0.16</v>
      </c>
      <c r="P16" s="111">
        <f t="shared" si="2"/>
        <v>37.597999999999999</v>
      </c>
      <c r="Q16" s="113">
        <f>IF(OR(ISBLANK(H16),ISBLANK(L16)),"",'ASTM Tables'!H28)</f>
        <v>0.9819</v>
      </c>
      <c r="R16" s="115">
        <f t="shared" si="3"/>
        <v>36.917000000000002</v>
      </c>
      <c r="S16" s="469" t="str">
        <f t="shared" si="4"/>
        <v>Ullage</v>
      </c>
      <c r="T16" s="490">
        <v>4</v>
      </c>
      <c r="U16" s="490" t="b">
        <v>0</v>
      </c>
      <c r="V16" s="490">
        <v>2</v>
      </c>
      <c r="W16" s="490"/>
      <c r="X16" s="490" t="str">
        <f t="shared" si="5"/>
        <v>DEN @ 15 C</v>
      </c>
      <c r="Y16" s="495">
        <f t="shared" si="6"/>
        <v>0</v>
      </c>
      <c r="Z16" s="493" t="b">
        <f t="shared" si="7"/>
        <v>0</v>
      </c>
      <c r="AA16" s="495">
        <f>IF(T16=1,Conversion!AA9,IF(OR(T16=2,T16=3),Conversion!AD9,L16))</f>
        <v>0.98299999999999998</v>
      </c>
      <c r="AB16" s="491">
        <f t="shared" si="8"/>
        <v>0.999</v>
      </c>
      <c r="AC16" s="252">
        <f>IF(AND(Bunkering!M16&gt;0.81-0.001,Bunkering!M16&lt;0.827+0.001),0.00068,IF(AND(Bunkering!M16&gt;0.828-0.001,Bunkering!M16&lt;0.838+0.001),0.00067,IF(AND(Bunkering!M16&gt;0.839-0.001,Bunkering!M16&lt;0.853+0.001),0.00066,IF(AND(Bunkering!M16&gt;0.854-0.001,Bunkering!M16&lt;0.871+0.001),0.00065,IF(AND(Bunkering!M16&gt;0.872-0.001,Bunkering!M16&lt;0.911+0.001),0.00064,IF(AND(Bunkering!M16&gt;0.912-0.001,Bunkering!M16&lt;0.978+0.001),0.00063,IF(AND(Bunkering!M16&gt;0.979-0.001,Bunkering!M16&lt;1.03+0.001),0.00062,"")))))))</f>
        <v>6.2E-4</v>
      </c>
      <c r="AD16" s="478"/>
      <c r="AE16" s="477"/>
      <c r="AF16" s="485"/>
      <c r="AG16" s="483"/>
      <c r="AH16" s="481">
        <v>2</v>
      </c>
      <c r="AI16" s="477" t="str">
        <f>IF(AH16=1, tons26,"")</f>
        <v/>
      </c>
      <c r="AJ16" s="477">
        <f>IF(AH16=2, tons26,"")</f>
        <v>36.917000000000002</v>
      </c>
      <c r="AK16" s="477" t="str">
        <f>IF(AH16=3, tons26,"")</f>
        <v/>
      </c>
      <c r="AL16" s="477" t="str">
        <f>IF(AH16=4, tons26,"")</f>
        <v/>
      </c>
      <c r="AM16" s="252" t="s">
        <v>134</v>
      </c>
    </row>
    <row r="17" spans="1:39" ht="17.25" customHeight="1">
      <c r="A17" s="57"/>
      <c r="B17" s="87" t="str">
        <f>IF(Setup!A8="","",Setup!A8)</f>
        <v>HFO SETTLING TK</v>
      </c>
      <c r="C17" s="372"/>
      <c r="D17" s="52">
        <f>IF(ISBLANK(Setup!I8),"",Setup!I8)</f>
        <v>51.2</v>
      </c>
      <c r="E17" s="98">
        <f t="shared" si="0"/>
        <v>43.52</v>
      </c>
      <c r="F17" s="109"/>
      <c r="G17" s="109"/>
      <c r="H17" s="110">
        <v>9830</v>
      </c>
      <c r="I17" s="111">
        <f>IF(ISBLANK(H17),"",soundTank27)</f>
        <v>6.5279999999999996</v>
      </c>
      <c r="J17" s="9">
        <v>60</v>
      </c>
      <c r="K17" s="109"/>
      <c r="L17" s="116">
        <v>0.95569999999999999</v>
      </c>
      <c r="M17" s="113">
        <f>IF(OR(ISBLANK(H17),ISBLANK(L17)),"",IF(T17=4,L17,IF(T17=1,Conversion!AA10,IF(OR(T17=2,T17=3),Conversion!AD10))))</f>
        <v>0.95569999999999999</v>
      </c>
      <c r="N17" s="113">
        <f>IF(OR(ISBLANK(H17),ISBLANK(L17)),"",'ASTM Tables'!W29)</f>
        <v>0.96760000000000002</v>
      </c>
      <c r="O17" s="114">
        <f t="shared" si="1"/>
        <v>0.13</v>
      </c>
      <c r="P17" s="111">
        <f t="shared" si="2"/>
        <v>6.3159999999999998</v>
      </c>
      <c r="Q17" s="113">
        <f>IF(OR(ISBLANK(H17),ISBLANK(L17)),"",'ASTM Tables'!H29)</f>
        <v>0.9546</v>
      </c>
      <c r="R17" s="115">
        <f t="shared" si="3"/>
        <v>6.0289999999999999</v>
      </c>
      <c r="S17" s="469" t="str">
        <f t="shared" si="4"/>
        <v>Ullage</v>
      </c>
      <c r="T17" s="490">
        <f>T16</f>
        <v>4</v>
      </c>
      <c r="U17" s="490" t="b">
        <v>0</v>
      </c>
      <c r="V17" s="490">
        <v>2</v>
      </c>
      <c r="W17" s="490"/>
      <c r="X17" s="490" t="str">
        <f t="shared" si="5"/>
        <v>DEN @ 15 C</v>
      </c>
      <c r="Y17" s="495">
        <f t="shared" si="6"/>
        <v>0</v>
      </c>
      <c r="Z17" s="493" t="b">
        <f t="shared" si="7"/>
        <v>0</v>
      </c>
      <c r="AA17" s="495">
        <f>IF(T17=1,Conversion!AA10,IF(OR(T17=2,T17=3),Conversion!AD10,L17))</f>
        <v>0.95569999999999999</v>
      </c>
      <c r="AB17" s="491">
        <f t="shared" si="8"/>
        <v>0.98519999999999996</v>
      </c>
      <c r="AC17" s="252">
        <f>IF(AND(Bunkering!M17&gt;0.81-0.001,Bunkering!M17&lt;0.827+0.001),0.00068,IF(AND(Bunkering!M17&gt;0.828-0.001,Bunkering!M17&lt;0.838+0.001),0.00067,IF(AND(Bunkering!M17&gt;0.839-0.001,Bunkering!M17&lt;0.853+0.001),0.00066,IF(AND(Bunkering!M17&gt;0.854-0.001,Bunkering!M17&lt;0.871+0.001),0.00065,IF(AND(Bunkering!M17&gt;0.872-0.001,Bunkering!M17&lt;0.911+0.001),0.00064,IF(AND(Bunkering!M17&gt;0.912-0.001,Bunkering!M17&lt;0.978+0.001),0.00063,IF(AND(Bunkering!M17&gt;0.979-0.001,Bunkering!M17&lt;1.03+0.001),0.00062,"")))))))</f>
        <v>6.3000000000000003E-4</v>
      </c>
      <c r="AD17" s="478"/>
      <c r="AE17" s="477">
        <f>SUM(AE11:AE16)</f>
        <v>0</v>
      </c>
      <c r="AF17" s="478"/>
      <c r="AG17" s="483"/>
      <c r="AH17" s="481">
        <v>2</v>
      </c>
      <c r="AI17" s="477" t="str">
        <f>IF(AH17=1, tons27,"")</f>
        <v/>
      </c>
      <c r="AJ17" s="477">
        <f>IF(AH17=2, tons27,"")</f>
        <v>6.0289999999999999</v>
      </c>
      <c r="AK17" s="477" t="str">
        <f>IF(AH17=3, tons27,"")</f>
        <v/>
      </c>
      <c r="AL17" s="477" t="str">
        <f>IF(AH17=4, tons27,"")</f>
        <v/>
      </c>
      <c r="AM17" s="252" t="s">
        <v>134</v>
      </c>
    </row>
    <row r="18" spans="1:39" ht="17.25" customHeight="1">
      <c r="A18" s="57"/>
      <c r="B18" s="87" t="str">
        <f>IF(Setup!A9="","",Setup!A9)</f>
        <v>HFO SERVICE TK</v>
      </c>
      <c r="C18" s="372"/>
      <c r="D18" s="52">
        <f>IF(ISBLANK(Setup!I9),"",Setup!I9)</f>
        <v>51.2</v>
      </c>
      <c r="E18" s="98">
        <f t="shared" si="0"/>
        <v>43.52</v>
      </c>
      <c r="F18" s="109"/>
      <c r="G18" s="109"/>
      <c r="H18" s="110">
        <v>2100</v>
      </c>
      <c r="I18" s="111">
        <f>IF(ISBLANK(H18),"",soundTank28)</f>
        <v>48.014000000000003</v>
      </c>
      <c r="J18" s="9">
        <v>67</v>
      </c>
      <c r="K18" s="109"/>
      <c r="L18" s="113">
        <v>0.95569999999999999</v>
      </c>
      <c r="M18" s="113">
        <f>IF(OR(ISBLANK(H18),ISBLANK(L18)),"",IF(T18=4,L18,IF(T18=1,Conversion!AA11,IF(OR(T18=2,T18=3),Conversion!AD11))))</f>
        <v>0.95569999999999999</v>
      </c>
      <c r="N18" s="113">
        <f>IF(OR(ISBLANK(H18),ISBLANK(L18)),"",'ASTM Tables'!W30)</f>
        <v>0.96250000000000002</v>
      </c>
      <c r="O18" s="114">
        <f t="shared" si="1"/>
        <v>0.94</v>
      </c>
      <c r="P18" s="111">
        <f t="shared" si="2"/>
        <v>46.213000000000001</v>
      </c>
      <c r="Q18" s="113">
        <f>IF(OR(ISBLANK(H18),ISBLANK(L18)),"",'ASTM Tables'!H30)</f>
        <v>0.9546</v>
      </c>
      <c r="R18" s="115">
        <f t="shared" si="3"/>
        <v>44.115000000000002</v>
      </c>
      <c r="S18" s="469" t="str">
        <f t="shared" si="4"/>
        <v>Ullage</v>
      </c>
      <c r="T18" s="490">
        <v>4</v>
      </c>
      <c r="U18" s="490" t="b">
        <v>0</v>
      </c>
      <c r="V18" s="490">
        <v>2</v>
      </c>
      <c r="W18" s="490"/>
      <c r="X18" s="490" t="str">
        <f t="shared" si="5"/>
        <v>DEN @ 15 C</v>
      </c>
      <c r="Y18" s="495">
        <f t="shared" si="6"/>
        <v>0</v>
      </c>
      <c r="Z18" s="493" t="b">
        <f t="shared" si="7"/>
        <v>0</v>
      </c>
      <c r="AA18" s="495">
        <f>IF(T18=1,Conversion!AA11,IF(OR(T18=2,T18=3),Conversion!AD11,L18))</f>
        <v>0.95569999999999999</v>
      </c>
      <c r="AB18" s="491">
        <f t="shared" si="8"/>
        <v>0.98960000000000004</v>
      </c>
      <c r="AC18" s="252">
        <f>IF(AND(Bunkering!M18&gt;0.81-0.001,Bunkering!M18&lt;0.827+0.001),0.00068,IF(AND(Bunkering!M18&gt;0.828-0.001,Bunkering!M18&lt;0.838+0.001),0.00067,IF(AND(Bunkering!M18&gt;0.839-0.001,Bunkering!M18&lt;0.853+0.001),0.00066,IF(AND(Bunkering!M18&gt;0.854-0.001,Bunkering!M18&lt;0.871+0.001),0.00065,IF(AND(Bunkering!M18&gt;0.872-0.001,Bunkering!M18&lt;0.911+0.001),0.00064,IF(AND(Bunkering!M18&gt;0.912-0.001,Bunkering!M18&lt;0.978+0.001),0.00063,IF(AND(Bunkering!M18&gt;0.979-0.001,Bunkering!M18&lt;1.03+0.001),0.00062,"")))))))</f>
        <v>6.3000000000000003E-4</v>
      </c>
      <c r="AD18" s="478"/>
      <c r="AE18" s="478"/>
      <c r="AF18" s="486"/>
      <c r="AG18" s="478"/>
      <c r="AH18" s="481">
        <v>2</v>
      </c>
      <c r="AI18" s="477" t="str">
        <f>IF(AH18=1, tons28,"")</f>
        <v/>
      </c>
      <c r="AJ18" s="477">
        <f>IF(AH18=2, tons28,"")</f>
        <v>44.115000000000002</v>
      </c>
      <c r="AK18" s="477" t="str">
        <f>IF(AH18=3, tons28,"")</f>
        <v/>
      </c>
      <c r="AL18" s="477" t="str">
        <f>IF(AH18=4, tons28,"")</f>
        <v/>
      </c>
      <c r="AM18" s="252" t="s">
        <v>134</v>
      </c>
    </row>
    <row r="19" spans="1:39" ht="17.25" customHeight="1">
      <c r="A19" s="57"/>
      <c r="B19" s="87" t="str">
        <f>IF(Setup!A10="","",Setup!A10)</f>
        <v>LS HFO SERVICE TK</v>
      </c>
      <c r="C19" s="372"/>
      <c r="D19" s="52">
        <f>IF(ISBLANK(Setup!I10),"",Setup!I10)</f>
        <v>51.2</v>
      </c>
      <c r="E19" s="98">
        <f t="shared" si="0"/>
        <v>43.52</v>
      </c>
      <c r="F19" s="109"/>
      <c r="G19" s="109"/>
      <c r="H19" s="110">
        <v>1780</v>
      </c>
      <c r="I19" s="111">
        <f>IF(ISBLANK(H19),"",soundTank29)</f>
        <v>49.871000000000002</v>
      </c>
      <c r="J19" s="9">
        <v>85</v>
      </c>
      <c r="K19" s="109"/>
      <c r="L19" s="113">
        <v>0.98299999999999998</v>
      </c>
      <c r="M19" s="113">
        <f>IF(OR(ISBLANK(H19),ISBLANK(L19)),"",IF(T19=4,L19,IF(T19=1,Conversion!AA12,IF(OR(T19=2,T19=3),Conversion!AD12))))</f>
        <v>0.98299999999999998</v>
      </c>
      <c r="N19" s="113">
        <f>IF(OR(ISBLANK(H19),ISBLANK(L19)),"",'ASTM Tables'!W31)</f>
        <v>0.95120000000000005</v>
      </c>
      <c r="O19" s="114">
        <f t="shared" si="1"/>
        <v>0.97</v>
      </c>
      <c r="P19" s="111">
        <f t="shared" si="2"/>
        <v>47.436999999999998</v>
      </c>
      <c r="Q19" s="113">
        <f>IF(OR(ISBLANK(H19),ISBLANK(L19)),"",'ASTM Tables'!H31)</f>
        <v>0.9819</v>
      </c>
      <c r="R19" s="115">
        <f t="shared" si="3"/>
        <v>46.578000000000003</v>
      </c>
      <c r="S19" s="469" t="str">
        <f t="shared" si="4"/>
        <v>Ullage</v>
      </c>
      <c r="T19" s="490">
        <f>T18</f>
        <v>4</v>
      </c>
      <c r="U19" s="490" t="b">
        <v>0</v>
      </c>
      <c r="V19" s="490">
        <v>2</v>
      </c>
      <c r="W19" s="490"/>
      <c r="X19" s="490" t="str">
        <f t="shared" si="5"/>
        <v>DEN @ 15 C</v>
      </c>
      <c r="Y19" s="495">
        <f t="shared" si="6"/>
        <v>0</v>
      </c>
      <c r="Z19" s="493" t="b">
        <f t="shared" si="7"/>
        <v>0</v>
      </c>
      <c r="AA19" s="495">
        <f>IF(T19=1,Conversion!AA12,IF(OR(T19=2,T19=3),Conversion!AD12,L19))</f>
        <v>0.98299999999999998</v>
      </c>
      <c r="AB19" s="491">
        <f t="shared" si="8"/>
        <v>1.0275000000000001</v>
      </c>
      <c r="AC19" s="252">
        <f>IF(AND(Bunkering!M19&gt;0.81-0.001,Bunkering!M19&lt;0.827+0.001),0.00068,IF(AND(Bunkering!M19&gt;0.828-0.001,Bunkering!M19&lt;0.838+0.001),0.00067,IF(AND(Bunkering!M19&gt;0.839-0.001,Bunkering!M19&lt;0.853+0.001),0.00066,IF(AND(Bunkering!M19&gt;0.854-0.001,Bunkering!M19&lt;0.871+0.001),0.00065,IF(AND(Bunkering!M19&gt;0.872-0.001,Bunkering!M19&lt;0.911+0.001),0.00064,IF(AND(Bunkering!M19&gt;0.912-0.001,Bunkering!M19&lt;0.978+0.001),0.00063,IF(AND(Bunkering!M19&gt;0.979-0.001,Bunkering!M19&lt;1.03+0.001),0.00062,"")))))))</f>
        <v>6.2E-4</v>
      </c>
      <c r="AD19" s="478"/>
      <c r="AE19" s="478"/>
      <c r="AF19" s="486"/>
      <c r="AG19" s="478"/>
      <c r="AH19" s="481">
        <v>2</v>
      </c>
      <c r="AI19" s="477" t="str">
        <f>IF(AH19=1, tons29,"")</f>
        <v/>
      </c>
      <c r="AJ19" s="477">
        <f>IF(AH19=2, tons29,"")</f>
        <v>46.578000000000003</v>
      </c>
      <c r="AK19" s="477" t="str">
        <f>IF(AH19=3, tons29,"")</f>
        <v/>
      </c>
      <c r="AL19" s="477" t="str">
        <f>IF(AH19=4, tons29,"")</f>
        <v/>
      </c>
      <c r="AM19" s="252" t="s">
        <v>134</v>
      </c>
    </row>
    <row r="20" spans="1:39" ht="17.25" customHeight="1">
      <c r="A20" s="57"/>
      <c r="B20" s="87" t="str">
        <f>IF(Setup!A11="","",Setup!A11)</f>
        <v>LS HFO SETTLING TK</v>
      </c>
      <c r="C20" s="372"/>
      <c r="D20" s="52">
        <f>IF(ISBLANK(Setup!I11),"",Setup!I11)</f>
        <v>51.2</v>
      </c>
      <c r="E20" s="98">
        <f t="shared" si="0"/>
        <v>43.52</v>
      </c>
      <c r="F20" s="109"/>
      <c r="G20" s="109"/>
      <c r="H20" s="110">
        <v>4070</v>
      </c>
      <c r="I20" s="111">
        <f>IF(ISBLANK(H20),"",soundTank210)</f>
        <v>37.128</v>
      </c>
      <c r="J20" s="9">
        <v>83</v>
      </c>
      <c r="K20" s="109"/>
      <c r="L20" s="379">
        <v>0.98299999999999998</v>
      </c>
      <c r="M20" s="113">
        <f>IF(OR(ISBLANK(H20),ISBLANK(L20)),"",IF(T20=4,L20,IF(T20=1,Conversion!AA13,IF(OR(T20=2,T20=3),Conversion!AD13))))</f>
        <v>0.98299999999999998</v>
      </c>
      <c r="N20" s="113">
        <f>IF(OR(ISBLANK(H20),ISBLANK(L20)),"",'ASTM Tables'!W32)</f>
        <v>0.9526</v>
      </c>
      <c r="O20" s="114">
        <f t="shared" si="1"/>
        <v>0.73</v>
      </c>
      <c r="P20" s="111">
        <f t="shared" si="2"/>
        <v>35.368000000000002</v>
      </c>
      <c r="Q20" s="113">
        <f>IF(OR(ISBLANK(H20),ISBLANK(L20)),"",'ASTM Tables'!H32)</f>
        <v>0.9819</v>
      </c>
      <c r="R20" s="115">
        <f t="shared" si="3"/>
        <v>34.728000000000002</v>
      </c>
      <c r="S20" s="469" t="str">
        <f t="shared" si="4"/>
        <v>Ullage</v>
      </c>
      <c r="T20" s="490">
        <f>T18</f>
        <v>4</v>
      </c>
      <c r="U20" s="490" t="b">
        <v>1</v>
      </c>
      <c r="V20" s="490">
        <v>2</v>
      </c>
      <c r="W20" s="490"/>
      <c r="X20" s="490" t="str">
        <f t="shared" si="5"/>
        <v>DEN @ 15 C</v>
      </c>
      <c r="Y20" s="495">
        <f t="shared" si="6"/>
        <v>0.98299999999999998</v>
      </c>
      <c r="Z20" s="493" t="b">
        <f t="shared" si="7"/>
        <v>1</v>
      </c>
      <c r="AA20" s="495">
        <f>IF(T20=1,Conversion!AA13,IF(OR(T20=2,T20=3),Conversion!AD13,L20))</f>
        <v>0.98299999999999998</v>
      </c>
      <c r="AB20" s="491">
        <f t="shared" si="8"/>
        <v>1.0263</v>
      </c>
      <c r="AC20" s="252">
        <f>IF(AND(Bunkering!M20&gt;0.81-0.001,Bunkering!M20&lt;0.827+0.001),0.00068,IF(AND(Bunkering!M20&gt;0.828-0.001,Bunkering!M20&lt;0.838+0.001),0.00067,IF(AND(Bunkering!M20&gt;0.839-0.001,Bunkering!M20&lt;0.853+0.001),0.00066,IF(AND(Bunkering!M20&gt;0.854-0.001,Bunkering!M20&lt;0.871+0.001),0.00065,IF(AND(Bunkering!M20&gt;0.872-0.001,Bunkering!M20&lt;0.911+0.001),0.00064,IF(AND(Bunkering!M20&gt;0.912-0.001,Bunkering!M20&lt;0.978+0.001),0.00063,IF(AND(Bunkering!M20&gt;0.979-0.001,Bunkering!M20&lt;1.03+0.001),0.00062,"")))))))</f>
        <v>6.2E-4</v>
      </c>
      <c r="AD20" s="478"/>
      <c r="AE20" s="477"/>
      <c r="AF20" s="486"/>
      <c r="AG20" s="478"/>
      <c r="AH20" s="481">
        <v>2</v>
      </c>
      <c r="AI20" s="477" t="str">
        <f>IF(AH20=1, tons210,"")</f>
        <v/>
      </c>
      <c r="AJ20" s="477">
        <f>IF(AH20=2, tons210,"")</f>
        <v>34.728000000000002</v>
      </c>
      <c r="AK20" s="477" t="str">
        <f>IF(AH20=3, tons210,"")</f>
        <v/>
      </c>
      <c r="AL20" s="477" t="str">
        <f>IF(AH20=4, tons210,"")</f>
        <v/>
      </c>
      <c r="AM20" s="252" t="s">
        <v>134</v>
      </c>
    </row>
    <row r="21" spans="1:39" ht="17.25" customHeight="1">
      <c r="A21" s="57"/>
      <c r="B21" s="87" t="str">
        <f>IF(Setup!A12="","",Setup!A12)</f>
        <v>HFO OVERFLOW TK</v>
      </c>
      <c r="C21" s="372"/>
      <c r="D21" s="52">
        <f>IF(ISBLANK(Setup!I12),"",Setup!I12)</f>
        <v>32.200000000000003</v>
      </c>
      <c r="E21" s="98">
        <f t="shared" si="0"/>
        <v>27.37</v>
      </c>
      <c r="F21" s="109"/>
      <c r="G21" s="109"/>
      <c r="H21" s="110">
        <v>1390</v>
      </c>
      <c r="I21" s="111">
        <f>IF(ISBLANK(H21),"",soundTank211)</f>
        <v>22.303000000000001</v>
      </c>
      <c r="J21" s="9">
        <v>38</v>
      </c>
      <c r="K21" s="109"/>
      <c r="L21" s="113">
        <v>0.98299999999999998</v>
      </c>
      <c r="M21" s="113">
        <f>IF(OR(ISBLANK(H21),ISBLANK(L21)),"",IF(T21=4,L21,IF(T21=1,Conversion!AA14,IF(OR(T21=2,T21=3),Conversion!AD14))))</f>
        <v>0.98299999999999998</v>
      </c>
      <c r="N21" s="113">
        <f>IF(OR(ISBLANK(H21),ISBLANK(L21)),"",'ASTM Tables'!W33)</f>
        <v>0.98409999999999997</v>
      </c>
      <c r="O21" s="114">
        <f t="shared" si="1"/>
        <v>0.69</v>
      </c>
      <c r="P21" s="111">
        <f t="shared" si="2"/>
        <v>21.948</v>
      </c>
      <c r="Q21" s="113">
        <f>IF(OR(ISBLANK(H21),ISBLANK(L21)),"",'ASTM Tables'!H33)</f>
        <v>0.9819</v>
      </c>
      <c r="R21" s="115">
        <f t="shared" si="3"/>
        <v>21.550999999999998</v>
      </c>
      <c r="S21" s="469" t="str">
        <f t="shared" si="4"/>
        <v>Dip</v>
      </c>
      <c r="T21" s="490">
        <v>4</v>
      </c>
      <c r="U21" s="490" t="b">
        <v>0</v>
      </c>
      <c r="V21" s="490">
        <v>1</v>
      </c>
      <c r="W21" s="490"/>
      <c r="X21" s="490" t="str">
        <f t="shared" si="5"/>
        <v>DEN @ 15 C</v>
      </c>
      <c r="Y21" s="495">
        <f t="shared" si="6"/>
        <v>0</v>
      </c>
      <c r="Z21" s="493" t="b">
        <f t="shared" si="7"/>
        <v>0</v>
      </c>
      <c r="AA21" s="495">
        <f>IF(T21=1,Conversion!AA14,IF(OR(T21=2,T21=3),Conversion!AD14,L21))</f>
        <v>0.98299999999999998</v>
      </c>
      <c r="AB21" s="491">
        <f t="shared" si="8"/>
        <v>0.99839999999999995</v>
      </c>
      <c r="AC21" s="252">
        <f>IF(AND(Bunkering!M21&gt;0.81-0.001,Bunkering!M21&lt;0.827+0.001),0.00068,IF(AND(Bunkering!M21&gt;0.828-0.001,Bunkering!M21&lt;0.838+0.001),0.00067,IF(AND(Bunkering!M21&gt;0.839-0.001,Bunkering!M21&lt;0.853+0.001),0.00066,IF(AND(Bunkering!M21&gt;0.854-0.001,Bunkering!M21&lt;0.871+0.001),0.00065,IF(AND(Bunkering!M21&gt;0.872-0.001,Bunkering!M21&lt;0.911+0.001),0.00064,IF(AND(Bunkering!M21&gt;0.912-0.001,Bunkering!M21&lt;0.978+0.001),0.00063,IF(AND(Bunkering!M21&gt;0.979-0.001,Bunkering!M21&lt;1.03+0.001),0.00062,"")))))))</f>
        <v>6.2E-4</v>
      </c>
      <c r="AD21" s="477"/>
      <c r="AH21" s="481">
        <v>2</v>
      </c>
      <c r="AI21" s="477" t="str">
        <f>IF(AH21=1, tons211,"")</f>
        <v/>
      </c>
      <c r="AJ21" s="477">
        <f>IF(AH21=2, tons211,"")</f>
        <v>21.550999999999998</v>
      </c>
      <c r="AK21" s="477" t="str">
        <f>IF(AH21=3, tons211,"")</f>
        <v/>
      </c>
      <c r="AL21" s="477" t="str">
        <f>IF(AH21=4, tons211,"")</f>
        <v/>
      </c>
      <c r="AM21" s="252" t="s">
        <v>134</v>
      </c>
    </row>
    <row r="22" spans="1:39" ht="17.25" customHeight="1">
      <c r="A22" s="57"/>
      <c r="B22" s="87" t="str">
        <f>IF(Setup!A13="","",Setup!A13)</f>
        <v>MDO TANK (P)</v>
      </c>
      <c r="C22" s="373"/>
      <c r="D22" s="52">
        <f>IF(ISBLANK(Setup!I13),"",Setup!I13)</f>
        <v>70.400000000000006</v>
      </c>
      <c r="E22" s="98">
        <f t="shared" si="0"/>
        <v>59.84</v>
      </c>
      <c r="F22" s="374"/>
      <c r="G22" s="109"/>
      <c r="H22" s="375">
        <v>1780</v>
      </c>
      <c r="I22" s="111">
        <f>IF(ISBLANK(H22),"",soundTank212)</f>
        <v>47.83</v>
      </c>
      <c r="J22" s="375">
        <v>32</v>
      </c>
      <c r="K22" s="109"/>
      <c r="L22" s="116">
        <v>0.88319999999999999</v>
      </c>
      <c r="M22" s="113">
        <f>IF(OR(ISBLANK(H22),ISBLANK(L22)),"",IF(T22=4,L22,IF(T22=1,Conversion!AA15,IF(OR(T22=2,T22=3),Conversion!AD15))))</f>
        <v>0.88319999999999999</v>
      </c>
      <c r="N22" s="113">
        <f>IF(OR(ISBLANK(H22),ISBLANK(L22)),"",'ASTM Tables'!W34)</f>
        <v>0.98650000000000004</v>
      </c>
      <c r="O22" s="114">
        <f t="shared" si="1"/>
        <v>0.68</v>
      </c>
      <c r="P22" s="111">
        <f t="shared" si="2"/>
        <v>47.183999999999997</v>
      </c>
      <c r="Q22" s="113">
        <f>IF(OR(ISBLANK(H22),ISBLANK(L22)),"",'ASTM Tables'!H34)</f>
        <v>0.8821</v>
      </c>
      <c r="R22" s="115">
        <f t="shared" si="3"/>
        <v>41.621000000000002</v>
      </c>
      <c r="S22" s="469" t="str">
        <f t="shared" si="4"/>
        <v>Dip</v>
      </c>
      <c r="T22" s="490">
        <v>4</v>
      </c>
      <c r="U22" s="490" t="b">
        <v>0</v>
      </c>
      <c r="V22" s="490">
        <v>1</v>
      </c>
      <c r="W22" s="490"/>
      <c r="X22" s="490" t="str">
        <f t="shared" si="5"/>
        <v>DEN @ 15 C</v>
      </c>
      <c r="Y22" s="495">
        <f t="shared" si="6"/>
        <v>0</v>
      </c>
      <c r="Z22" s="493" t="b">
        <f t="shared" si="7"/>
        <v>0</v>
      </c>
      <c r="AA22" s="495">
        <f>IF(T22=1,Conversion!AA15,IF(OR(T22=2,T22=3),Conversion!AD15,L22))</f>
        <v>0.88319999999999999</v>
      </c>
      <c r="AB22" s="491">
        <f t="shared" si="8"/>
        <v>0.8952</v>
      </c>
      <c r="AC22" s="252">
        <f>IF(AND(Bunkering!M22&gt;0.81-0.001,Bunkering!M22&lt;0.827+0.001),0.00068,IF(AND(Bunkering!M22&gt;0.828-0.001,Bunkering!M22&lt;0.838+0.001),0.00067,IF(AND(Bunkering!M22&gt;0.839-0.001,Bunkering!M22&lt;0.853+0.001),0.00066,IF(AND(Bunkering!M22&gt;0.854-0.001,Bunkering!M22&lt;0.871+0.001),0.00065,IF(AND(Bunkering!M22&gt;0.872-0.001,Bunkering!M22&lt;0.911+0.001),0.00064,IF(AND(Bunkering!M22&gt;0.912-0.001,Bunkering!M22&lt;0.978+0.001),0.00063,IF(AND(Bunkering!M22&gt;0.979-0.001,Bunkering!M22&lt;1.03+0.001),0.00062,"")))))))</f>
        <v>6.4000000000000005E-4</v>
      </c>
      <c r="AD22" s="477"/>
      <c r="AF22" s="477"/>
      <c r="AG22" s="477"/>
      <c r="AH22" s="481">
        <v>4</v>
      </c>
      <c r="AI22" s="477" t="str">
        <f>IF(AH22=1, tons212,"")</f>
        <v/>
      </c>
      <c r="AJ22" s="477" t="str">
        <f>IF(AH22=2, tons212,"")</f>
        <v/>
      </c>
      <c r="AK22" s="477" t="str">
        <f>IF(AH22=3, tons212,"")</f>
        <v/>
      </c>
      <c r="AL22" s="477">
        <f>IF(AH22=4, tons212,"")</f>
        <v>41.621000000000002</v>
      </c>
      <c r="AM22" s="252" t="s">
        <v>134</v>
      </c>
    </row>
    <row r="23" spans="1:39" ht="17.25" customHeight="1">
      <c r="A23" s="57"/>
      <c r="B23" s="87" t="str">
        <f>IF(Setup!A14="","",Setup!A14)</f>
        <v>MDO TANK (S)</v>
      </c>
      <c r="C23" s="372"/>
      <c r="D23" s="52">
        <f>IF(ISBLANK(Setup!I14),"",Setup!I14)</f>
        <v>125.7</v>
      </c>
      <c r="E23" s="98">
        <f t="shared" si="0"/>
        <v>106.85</v>
      </c>
      <c r="F23" s="109"/>
      <c r="G23" s="109"/>
      <c r="H23" s="110">
        <v>1540</v>
      </c>
      <c r="I23" s="111">
        <f>IF(ISBLANK(H23),"",soundTank213)</f>
        <v>79.924000000000007</v>
      </c>
      <c r="J23" s="9">
        <v>32</v>
      </c>
      <c r="K23" s="109"/>
      <c r="L23" s="112">
        <v>0.871</v>
      </c>
      <c r="M23" s="113">
        <f>IF(OR(ISBLANK(H23),ISBLANK(L23)),"",IF(T23=4,L23,IF(T23=1,Conversion!AA16,IF(OR(T23=2,T23=3),Conversion!AD16))))</f>
        <v>0.871</v>
      </c>
      <c r="N23" s="113">
        <f>IF(OR(ISBLANK(H23),ISBLANK(L23)),"",'ASTM Tables'!W35)</f>
        <v>0.98629999999999995</v>
      </c>
      <c r="O23" s="114">
        <f t="shared" si="1"/>
        <v>0.64</v>
      </c>
      <c r="P23" s="111">
        <f t="shared" si="2"/>
        <v>78.828999999999994</v>
      </c>
      <c r="Q23" s="113">
        <f>IF(OR(ISBLANK(H23),ISBLANK(L23)),"",'ASTM Tables'!H35)</f>
        <v>0.86990000000000001</v>
      </c>
      <c r="R23" s="115">
        <f t="shared" si="3"/>
        <v>68.572999999999993</v>
      </c>
      <c r="S23" s="469" t="str">
        <f t="shared" si="4"/>
        <v>Dip</v>
      </c>
      <c r="T23" s="496">
        <v>4</v>
      </c>
      <c r="U23" s="490" t="b">
        <v>0</v>
      </c>
      <c r="V23" s="490">
        <v>1</v>
      </c>
      <c r="W23" s="490"/>
      <c r="X23" s="490" t="str">
        <f>IF(T23=1,"API @ 60 F",IF(T23=2,"RD @ 60 F", IF(T23=3,"SG @ 15 C","DEN @ 15 C")))</f>
        <v>DEN @ 15 C</v>
      </c>
      <c r="Y23" s="495">
        <f t="shared" si="6"/>
        <v>0</v>
      </c>
      <c r="Z23" s="493" t="b">
        <f t="shared" si="7"/>
        <v>0</v>
      </c>
      <c r="AA23" s="495">
        <f>IF(T23=1,Conversion!AA16,IF(OR(T23=2,T23=3),Conversion!AD16,L23))</f>
        <v>0.871</v>
      </c>
      <c r="AB23" s="491">
        <f t="shared" si="8"/>
        <v>0.88319999999999999</v>
      </c>
      <c r="AC23" s="252">
        <f>IF(AND(Bunkering!M23&gt;0.81-0.001,Bunkering!M23&lt;0.827+0.001),0.00068,IF(AND(Bunkering!M23&gt;0.828-0.001,Bunkering!M23&lt;0.838+0.001),0.00067,IF(AND(Bunkering!M23&gt;0.839-0.001,Bunkering!M23&lt;0.853+0.001),0.00066,IF(AND(Bunkering!M23&gt;0.854-0.001,Bunkering!M23&lt;0.871+0.001),0.00065,IF(AND(Bunkering!M23&gt;0.872-0.001,Bunkering!M23&lt;0.911+0.001),0.00064,IF(AND(Bunkering!M23&gt;0.912-0.001,Bunkering!M23&lt;0.978+0.001),0.00063,IF(AND(Bunkering!M23&gt;0.979-0.001,Bunkering!M23&lt;1.03+0.001),0.00062,"")))))))</f>
        <v>6.4999999999999997E-4</v>
      </c>
      <c r="AE23" s="477">
        <f>SUM(AE20:AE22)</f>
        <v>0</v>
      </c>
      <c r="AH23" s="481">
        <v>4</v>
      </c>
      <c r="AI23" s="477" t="str">
        <f>IF(AH23=1, tons213,"")</f>
        <v/>
      </c>
      <c r="AJ23" s="477" t="str">
        <f>IF(AH23=2, tons213,"")</f>
        <v/>
      </c>
      <c r="AK23" s="477" t="str">
        <f>IF(AH23=3, tons213,"")</f>
        <v/>
      </c>
      <c r="AL23" s="477">
        <f>IF(AH23=4, tons213,"")</f>
        <v>68.572999999999993</v>
      </c>
      <c r="AM23" s="252" t="s">
        <v>134</v>
      </c>
    </row>
    <row r="24" spans="1:39" ht="17.25" customHeight="1">
      <c r="A24" s="57"/>
      <c r="B24" s="87" t="str">
        <f>IF(Setup!A15="","",Setup!A15)</f>
        <v>MDO SERVICE TK</v>
      </c>
      <c r="C24" s="372"/>
      <c r="D24" s="52">
        <f>IF(ISBLANK(Setup!I15),"",Setup!I15)</f>
        <v>25.3</v>
      </c>
      <c r="E24" s="98">
        <f t="shared" si="0"/>
        <v>21.51</v>
      </c>
      <c r="F24" s="109"/>
      <c r="G24" s="109"/>
      <c r="H24" s="110">
        <v>3150</v>
      </c>
      <c r="I24" s="111">
        <f>IF(ISBLANK(H24),"",soundTank214)</f>
        <v>18.018999999999998</v>
      </c>
      <c r="J24" s="9">
        <v>32</v>
      </c>
      <c r="K24" s="109"/>
      <c r="L24" s="380">
        <v>0.86599999999999999</v>
      </c>
      <c r="M24" s="113">
        <f>IF(OR(ISBLANK(H24),ISBLANK(L24)),"",IF(T24=4,L24,IF(T24=1,Conversion!AA17,IF(OR(T24=2,T24=3),Conversion!AD17))))</f>
        <v>0.86599999999999999</v>
      </c>
      <c r="N24" s="113">
        <f>IF(OR(ISBLANK(H24),ISBLANK(L24)),"",'ASTM Tables'!W36)</f>
        <v>0.98619999999999997</v>
      </c>
      <c r="O24" s="114">
        <f t="shared" si="1"/>
        <v>0.71</v>
      </c>
      <c r="P24" s="111">
        <f t="shared" si="2"/>
        <v>17.77</v>
      </c>
      <c r="Q24" s="113">
        <f>IF(OR(ISBLANK(H24),ISBLANK(L24)),"",'ASTM Tables'!H36)</f>
        <v>0.8649</v>
      </c>
      <c r="R24" s="115">
        <f t="shared" si="3"/>
        <v>15.369</v>
      </c>
      <c r="S24" s="469" t="str">
        <f t="shared" si="4"/>
        <v>Dip</v>
      </c>
      <c r="T24" s="490">
        <v>4</v>
      </c>
      <c r="U24" s="490" t="b">
        <v>0</v>
      </c>
      <c r="V24" s="490">
        <v>1</v>
      </c>
      <c r="W24" s="492"/>
      <c r="X24" s="490" t="str">
        <f>IF(T24=1,"API @ 60 F",IF(T24=2,"RD @ 60 F", IF(T24=3,"SG @ 15 C","DEN @ 15 C")))</f>
        <v>DEN @ 15 C</v>
      </c>
      <c r="Y24" s="495">
        <f t="shared" si="6"/>
        <v>0</v>
      </c>
      <c r="Z24" s="493" t="b">
        <f t="shared" si="7"/>
        <v>0</v>
      </c>
      <c r="AA24" s="495">
        <f>IF(T24=1,Conversion!AA17,IF(OR(T24=2,T24=3),Conversion!AD17,L24))</f>
        <v>0.86599999999999999</v>
      </c>
      <c r="AB24" s="491">
        <f t="shared" si="8"/>
        <v>0.87819999999999998</v>
      </c>
      <c r="AC24" s="252">
        <f>IF(AND(Bunkering!M24&gt;0.81-0.001,Bunkering!M24&lt;0.827+0.001),0.00068,IF(AND(Bunkering!M24&gt;0.828-0.001,Bunkering!M24&lt;0.838+0.001),0.00067,IF(AND(Bunkering!M24&gt;0.839-0.001,Bunkering!M24&lt;0.853+0.001),0.00066,IF(AND(Bunkering!M24&gt;0.854-0.001,Bunkering!M24&lt;0.871+0.001),0.00065,IF(AND(Bunkering!M24&gt;0.872-0.001,Bunkering!M24&lt;0.911+0.001),0.00064,IF(AND(Bunkering!M24&gt;0.912-0.001,Bunkering!M24&lt;0.978+0.001),0.00063,IF(AND(Bunkering!M24&gt;0.979-0.001,Bunkering!M24&lt;1.03+0.001),0.00062,"")))))))</f>
        <v>6.4999999999999997E-4</v>
      </c>
      <c r="AH24" s="481">
        <v>4</v>
      </c>
      <c r="AI24" s="477" t="str">
        <f>IF(AH24=1, tons214,"")</f>
        <v/>
      </c>
      <c r="AJ24" s="477" t="str">
        <f>IF(AH24=2, tons214,"")</f>
        <v/>
      </c>
      <c r="AK24" s="477" t="str">
        <f>IF(AH24=3, tons214,"")</f>
        <v/>
      </c>
      <c r="AL24" s="477">
        <f>IF(AH24=4, tons214,"")</f>
        <v>15.369</v>
      </c>
      <c r="AM24" s="252" t="s">
        <v>134</v>
      </c>
    </row>
    <row r="25" spans="1:39" ht="17.25" customHeight="1">
      <c r="A25" s="57"/>
      <c r="B25" s="87" t="str">
        <f>IF(Setup!A16="","",Setup!A16)</f>
        <v>MDO SETTLING TK</v>
      </c>
      <c r="C25" s="372"/>
      <c r="D25" s="52">
        <f>IF(ISBLANK(Setup!I16),"",Setup!I16)</f>
        <v>25.3</v>
      </c>
      <c r="E25" s="98">
        <f t="shared" si="0"/>
        <v>21.51</v>
      </c>
      <c r="F25" s="109"/>
      <c r="G25" s="109"/>
      <c r="H25" s="110">
        <v>3550</v>
      </c>
      <c r="I25" s="111">
        <f>IF(ISBLANK(H25),"",soundTank215)</f>
        <v>20.266999999999999</v>
      </c>
      <c r="J25" s="9">
        <v>32</v>
      </c>
      <c r="K25" s="109"/>
      <c r="L25" s="112">
        <v>0.86599999999999999</v>
      </c>
      <c r="M25" s="113">
        <f>IF(OR(ISBLANK(H25),ISBLANK(L25)),"",IF(T25=4,L25,IF(T25=1,Conversion!AA18,IF(OR(T25=2,T25=3),Conversion!AD18))))</f>
        <v>0.86599999999999999</v>
      </c>
      <c r="N25" s="113">
        <f>IF(OR(ISBLANK(H25),ISBLANK(L25)),"",'ASTM Tables'!W37)</f>
        <v>0.98619999999999997</v>
      </c>
      <c r="O25" s="114">
        <f t="shared" si="1"/>
        <v>0.8</v>
      </c>
      <c r="P25" s="111">
        <f t="shared" si="2"/>
        <v>19.986999999999998</v>
      </c>
      <c r="Q25" s="113">
        <f>IF(OR(ISBLANK(H25),ISBLANK(L25)),"",'ASTM Tables'!H37)</f>
        <v>0.8649</v>
      </c>
      <c r="R25" s="115">
        <f t="shared" si="3"/>
        <v>17.286999999999999</v>
      </c>
      <c r="S25" s="469" t="str">
        <f t="shared" si="4"/>
        <v>Dip</v>
      </c>
      <c r="T25" s="491">
        <v>4</v>
      </c>
      <c r="U25" s="490" t="b">
        <v>0</v>
      </c>
      <c r="V25" s="491">
        <v>1</v>
      </c>
      <c r="W25" s="492"/>
      <c r="X25" s="490" t="str">
        <f>IF(T25=1,"API @ 60 F",IF(T25=2,"RD @ 60 F", IF(T25=3,"SG @ 15 C","DEN @ 15 C")))</f>
        <v>DEN @ 15 C</v>
      </c>
      <c r="Y25" s="495">
        <f t="shared" si="6"/>
        <v>0</v>
      </c>
      <c r="Z25" s="493" t="b">
        <f t="shared" si="7"/>
        <v>0</v>
      </c>
      <c r="AA25" s="495">
        <f>IF(T25=1,Conversion!AA18,IF(OR(T25=2,T25=3),Conversion!AD18,L25))</f>
        <v>0.86599999999999999</v>
      </c>
      <c r="AB25" s="491">
        <f t="shared" si="8"/>
        <v>0.87819999999999998</v>
      </c>
      <c r="AC25" s="252">
        <f>IF(AND(Bunkering!M25&gt;0.81-0.001,Bunkering!M25&lt;0.827+0.001),0.00068,IF(AND(Bunkering!M25&gt;0.828-0.001,Bunkering!M25&lt;0.838+0.001),0.00067,IF(AND(Bunkering!M25&gt;0.839-0.001,Bunkering!M25&lt;0.853+0.001),0.00066,IF(AND(Bunkering!M25&gt;0.854-0.001,Bunkering!M25&lt;0.871+0.001),0.00065,IF(AND(Bunkering!M25&gt;0.872-0.001,Bunkering!M25&lt;0.911+0.001),0.00064,IF(AND(Bunkering!M25&gt;0.912-0.001,Bunkering!M25&lt;0.978+0.001),0.00063,IF(AND(Bunkering!M25&gt;0.979-0.001,Bunkering!M25&lt;1.03+0.001),0.00062,"")))))))</f>
        <v>6.4999999999999997E-4</v>
      </c>
      <c r="AH25" s="252">
        <v>4</v>
      </c>
      <c r="AI25" s="477" t="str">
        <f>IF(AH25=1, tons215,"")</f>
        <v/>
      </c>
      <c r="AJ25" s="477" t="str">
        <f>IF(AH25=2, tons215,"")</f>
        <v/>
      </c>
      <c r="AK25" s="477" t="str">
        <f>IF(AH25=3, tons215,"")</f>
        <v/>
      </c>
      <c r="AL25" s="477">
        <f>IF(AH25=4, tons215,"")</f>
        <v>17.286999999999999</v>
      </c>
      <c r="AM25" s="252" t="s">
        <v>134</v>
      </c>
    </row>
    <row r="26" spans="1:39" ht="17.25" customHeight="1">
      <c r="A26" s="57"/>
      <c r="B26" s="87" t="str">
        <f>IF(Setup!A17="","",Setup!A17)</f>
        <v>MGO STOR. TK (S)</v>
      </c>
      <c r="C26" s="372"/>
      <c r="D26" s="52">
        <f>IF(ISBLANK(Setup!I17),"",Setup!I17)</f>
        <v>102.2</v>
      </c>
      <c r="E26" s="98">
        <f t="shared" si="0"/>
        <v>86.87</v>
      </c>
      <c r="F26" s="109"/>
      <c r="G26" s="109"/>
      <c r="H26" s="110">
        <v>3310</v>
      </c>
      <c r="I26" s="111">
        <f>IF(ISBLANK(H26),"",soundTank216)</f>
        <v>73.489999999999995</v>
      </c>
      <c r="J26" s="9">
        <v>32</v>
      </c>
      <c r="K26" s="109"/>
      <c r="L26" s="112">
        <v>0.871</v>
      </c>
      <c r="M26" s="113">
        <f>IF(OR(ISBLANK(H26),ISBLANK(L26)),"",IF(T26=4,L26,IF(T26=1,Conversion!AA19,IF(OR(T26=2,T26=3),Conversion!AD19))))</f>
        <v>0.871</v>
      </c>
      <c r="N26" s="113">
        <f>IF(OR(ISBLANK(H26),ISBLANK(L26)),"",'ASTM Tables'!W38)</f>
        <v>0.98629999999999995</v>
      </c>
      <c r="O26" s="114">
        <f t="shared" si="1"/>
        <v>0.72</v>
      </c>
      <c r="P26" s="111">
        <f t="shared" si="2"/>
        <v>72.483000000000004</v>
      </c>
      <c r="Q26" s="113">
        <f>IF(OR(ISBLANK(H26),ISBLANK(L26)),"",'ASTM Tables'!H38)</f>
        <v>0.86990000000000001</v>
      </c>
      <c r="R26" s="115">
        <f t="shared" si="3"/>
        <v>63.052999999999997</v>
      </c>
      <c r="S26" s="469" t="str">
        <f t="shared" si="4"/>
        <v>Dip</v>
      </c>
      <c r="T26" s="491">
        <v>4</v>
      </c>
      <c r="U26" s="490" t="b">
        <v>1</v>
      </c>
      <c r="V26" s="491">
        <v>1</v>
      </c>
      <c r="W26" s="491"/>
      <c r="X26" s="490" t="str">
        <f>IF(T26=1,"API @ 60 F",IF(T26=2,"RD @ 60 F", IF(T26=3,"SG @ 15 C","DEN @ 15 C")))</f>
        <v>DEN @ 15 C</v>
      </c>
      <c r="Y26" s="495">
        <f t="shared" si="6"/>
        <v>0.871</v>
      </c>
      <c r="Z26" s="493" t="b">
        <f t="shared" si="7"/>
        <v>1</v>
      </c>
      <c r="AA26" s="495">
        <f>IF(T26=1,Conversion!AA19,IF(OR(T26=2,T26=3),Conversion!AD19,L26))</f>
        <v>0.871</v>
      </c>
      <c r="AB26" s="491">
        <f t="shared" si="8"/>
        <v>0.88319999999999999</v>
      </c>
      <c r="AC26" s="252">
        <f>IF(AND(Bunkering!M26&gt;0.81-0.001,Bunkering!M26&lt;0.827+0.001),0.00068,IF(AND(Bunkering!M26&gt;0.828-0.001,Bunkering!M26&lt;0.838+0.001),0.00067,IF(AND(Bunkering!M26&gt;0.839-0.001,Bunkering!M26&lt;0.853+0.001),0.00066,IF(AND(Bunkering!M26&gt;0.854-0.001,Bunkering!M26&lt;0.871+0.001),0.00065,IF(AND(Bunkering!M26&gt;0.872-0.001,Bunkering!M26&lt;0.911+0.001),0.00064,IF(AND(Bunkering!M26&gt;0.912-0.001,Bunkering!M26&lt;0.978+0.001),0.00063,IF(AND(Bunkering!M26&gt;0.979-0.001,Bunkering!M26&lt;1.03+0.001),0.00062,"")))))))</f>
        <v>6.4999999999999997E-4</v>
      </c>
      <c r="AH26" s="252">
        <v>4</v>
      </c>
      <c r="AI26" s="477" t="str">
        <f>IF(AH26=1, tons216,"")</f>
        <v/>
      </c>
      <c r="AJ26" s="477" t="str">
        <f>IF(AH26=2, tons216,"")</f>
        <v/>
      </c>
      <c r="AK26" s="477" t="str">
        <f>IF(AH26=3, tons216,"")</f>
        <v/>
      </c>
      <c r="AL26" s="477">
        <f>IF(AH26=4, tons216,"")</f>
        <v>63.052999999999997</v>
      </c>
      <c r="AM26" s="252" t="s">
        <v>134</v>
      </c>
    </row>
    <row r="27" spans="1:39" ht="17.25" customHeight="1" thickBot="1">
      <c r="A27" s="57"/>
      <c r="B27" s="88" t="str">
        <f>IF(Setup!A18="","",Setup!A18)</f>
        <v>MGO SERVICE TK</v>
      </c>
      <c r="C27" s="377"/>
      <c r="D27" s="59">
        <f>IF(ISBLANK(Setup!I18),"",Setup!I18)</f>
        <v>25.3</v>
      </c>
      <c r="E27" s="117">
        <f t="shared" si="0"/>
        <v>21.51</v>
      </c>
      <c r="F27" s="118"/>
      <c r="G27" s="118"/>
      <c r="H27" s="342">
        <v>3540</v>
      </c>
      <c r="I27" s="119">
        <f>IF(ISBLANK(H27),"",soundTank217)</f>
        <v>20.2</v>
      </c>
      <c r="J27" s="58">
        <v>32</v>
      </c>
      <c r="K27" s="118"/>
      <c r="L27" s="59">
        <v>0.86599999999999999</v>
      </c>
      <c r="M27" s="120">
        <f>IF(OR(ISBLANK(H27),ISBLANK(L27)),"",IF(T27=4,L27,IF(T27=1,Conversion!AA20,IF(OR(T27=2,T27=3),Conversion!AD20))))</f>
        <v>0.86599999999999999</v>
      </c>
      <c r="N27" s="120">
        <f>IF(OR(ISBLANK(H27),ISBLANK(L27)),"",'ASTM Tables'!W39)</f>
        <v>0.98619999999999997</v>
      </c>
      <c r="O27" s="378">
        <f t="shared" si="1"/>
        <v>0.8</v>
      </c>
      <c r="P27" s="119">
        <f t="shared" si="2"/>
        <v>19.920999999999999</v>
      </c>
      <c r="Q27" s="120">
        <f>IF(OR(ISBLANK(H27),ISBLANK(L27)),"",'ASTM Tables'!H39)</f>
        <v>0.8649</v>
      </c>
      <c r="R27" s="121">
        <f t="shared" si="3"/>
        <v>17.23</v>
      </c>
      <c r="S27" s="469" t="str">
        <f t="shared" si="4"/>
        <v>Dip</v>
      </c>
      <c r="T27" s="491">
        <v>4</v>
      </c>
      <c r="U27" s="490" t="b">
        <v>1</v>
      </c>
      <c r="V27" s="491">
        <v>1</v>
      </c>
      <c r="W27" s="491"/>
      <c r="X27" s="490" t="str">
        <f>IF(T27=1,"API @ 60 F",IF(T27=2,"RD @ 60 F", IF(T27=3,"SG @ 15 C","DEN @ 15 C")))</f>
        <v>DEN @ 15 C</v>
      </c>
      <c r="Y27" s="495">
        <f t="shared" si="6"/>
        <v>0.86599999999999999</v>
      </c>
      <c r="Z27" s="493" t="b">
        <f t="shared" si="7"/>
        <v>1</v>
      </c>
      <c r="AA27" s="495">
        <f>IF(T27=1,Conversion!AA20,IF(OR(T27=2,T27=3),Conversion!AD20,L27))</f>
        <v>0.86599999999999999</v>
      </c>
      <c r="AB27" s="491">
        <f t="shared" si="8"/>
        <v>0.87819999999999998</v>
      </c>
      <c r="AC27" s="252">
        <f>IF(AND(Bunkering!M27&gt;0.81-0.001,Bunkering!M27&lt;0.827+0.001),0.00068,IF(AND(Bunkering!M27&gt;0.828-0.001,Bunkering!M27&lt;0.838+0.001),0.00067,IF(AND(Bunkering!M27&gt;0.839-0.001,Bunkering!M27&lt;0.853+0.001),0.00066,IF(AND(Bunkering!M27&gt;0.854-0.001,Bunkering!M27&lt;0.871+0.001),0.00065,IF(AND(Bunkering!M27&gt;0.872-0.001,Bunkering!M27&lt;0.911+0.001),0.00064,IF(AND(Bunkering!M27&gt;0.912-0.001,Bunkering!M27&lt;0.978+0.001),0.00063,IF(AND(Bunkering!M27&gt;0.979-0.001,Bunkering!M27&lt;1.03+0.001),0.00062,"")))))))</f>
        <v>6.4999999999999997E-4</v>
      </c>
      <c r="AH27" s="252">
        <v>4</v>
      </c>
      <c r="AI27" s="477" t="str">
        <f>IF(AH27=1, tons217,"")</f>
        <v/>
      </c>
      <c r="AJ27" s="477" t="str">
        <f>IF(AH27=2, tons217,"")</f>
        <v/>
      </c>
      <c r="AK27" s="477" t="str">
        <f>IF(AH27=3, tons217,"")</f>
        <v/>
      </c>
      <c r="AL27" s="477">
        <f>IF(AH27=4, tons217,"")</f>
        <v>17.23</v>
      </c>
      <c r="AM27" s="252" t="s">
        <v>134</v>
      </c>
    </row>
    <row r="28" spans="1:39" ht="18.75" customHeight="1" thickBot="1">
      <c r="A28" s="1"/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456"/>
      <c r="T28" s="497"/>
      <c r="U28" s="499" t="str">
        <f>IF(Y10=1,"Bunkering - Charterer","Bunkering - Owner")</f>
        <v>Bunkering - Charterer</v>
      </c>
      <c r="V28" s="490">
        <f>IF(S28="Dip",1,2)</f>
        <v>2</v>
      </c>
      <c r="W28" s="491"/>
      <c r="X28" s="490"/>
      <c r="Y28" s="490"/>
      <c r="Z28" s="490"/>
      <c r="AA28" s="495"/>
      <c r="AB28" s="491"/>
      <c r="AI28" s="477" t="str">
        <f>IF(SUM(AI11:AI27)=0,"",SUM(AI11:AI27))</f>
        <v/>
      </c>
      <c r="AJ28" s="477">
        <f>IF(SUM(AJ11:AJ27)=0,"",SUM(AJ11:AJ27))</f>
        <v>761.59</v>
      </c>
      <c r="AK28" s="477" t="str">
        <f>IF(SUM(AK11:AK27)=0,"",SUM(AK11:AK27))</f>
        <v/>
      </c>
      <c r="AL28" s="477">
        <f>IF(SUM(AL11:AL27)=0,"",SUM(AL11:AL27))</f>
        <v>223.13300000000001</v>
      </c>
    </row>
    <row r="29" spans="1:39" ht="17.25" customHeight="1" thickBot="1">
      <c r="A29" s="136"/>
      <c r="B29" s="506" t="s">
        <v>81</v>
      </c>
      <c r="C29" s="507"/>
      <c r="D29" s="506" t="s">
        <v>82</v>
      </c>
      <c r="E29" s="507"/>
      <c r="F29" s="139"/>
      <c r="G29" s="142"/>
      <c r="H29" s="139"/>
      <c r="I29" s="142"/>
      <c r="J29" s="55"/>
      <c r="K29" s="55"/>
      <c r="L29" s="139"/>
      <c r="M29" s="541" t="s">
        <v>364</v>
      </c>
      <c r="N29" s="542"/>
      <c r="O29" s="203" t="s">
        <v>133</v>
      </c>
      <c r="P29" s="204" t="s">
        <v>134</v>
      </c>
      <c r="Q29" s="204" t="s">
        <v>191</v>
      </c>
      <c r="R29" s="205" t="s">
        <v>72</v>
      </c>
      <c r="S29" s="456"/>
      <c r="T29" s="490"/>
      <c r="U29" s="490"/>
      <c r="V29" s="490"/>
      <c r="W29" s="491"/>
      <c r="X29" s="490">
        <f>SUM(Y11:Y21)/(11-(COUNTIF(Y11:Y21,0)))</f>
        <v>0.98299999999999998</v>
      </c>
      <c r="Y29" s="490">
        <f>COUNTIF(Y11:Y21,0)</f>
        <v>9</v>
      </c>
      <c r="Z29" s="490"/>
      <c r="AA29" s="490"/>
      <c r="AB29" s="491"/>
    </row>
    <row r="30" spans="1:39" ht="17.25" customHeight="1">
      <c r="A30" s="134"/>
      <c r="B30" s="140" t="s">
        <v>107</v>
      </c>
      <c r="C30" s="143">
        <v>17635</v>
      </c>
      <c r="D30" s="140" t="s">
        <v>111</v>
      </c>
      <c r="E30" s="143">
        <v>0</v>
      </c>
      <c r="F30" s="139"/>
      <c r="G30" s="139"/>
      <c r="H30" s="139"/>
      <c r="I30" s="55"/>
      <c r="J30" s="55"/>
      <c r="K30" s="55"/>
      <c r="L30" s="139"/>
      <c r="M30" s="543" t="s">
        <v>123</v>
      </c>
      <c r="N30" s="544"/>
      <c r="O30" s="216" t="str">
        <f>totalHfoMt2</f>
        <v/>
      </c>
      <c r="P30" s="217">
        <f>totalLfoMt2</f>
        <v>761.59</v>
      </c>
      <c r="Q30" s="217" t="str">
        <f>totalMdoMt2</f>
        <v/>
      </c>
      <c r="R30" s="218">
        <f>totalMgoMt2</f>
        <v>223.13300000000001</v>
      </c>
      <c r="S30" s="456"/>
      <c r="T30" s="490"/>
      <c r="U30" s="491"/>
      <c r="V30" s="490"/>
      <c r="W30" s="491"/>
      <c r="X30" s="498">
        <f>SUM(Y22:Y27)/(6-(COUNTIF(Y22:Y27,0)))</f>
        <v>0.86850000000000005</v>
      </c>
      <c r="Y30" s="496">
        <f>COUNTIF(Y22:Y27,0)</f>
        <v>4</v>
      </c>
      <c r="Z30" s="490"/>
      <c r="AA30" s="490"/>
      <c r="AB30" s="491"/>
    </row>
    <row r="31" spans="1:39" ht="17.25" customHeight="1">
      <c r="A31" s="134"/>
      <c r="B31" s="140" t="s">
        <v>108</v>
      </c>
      <c r="C31" s="143"/>
      <c r="D31" s="140" t="s">
        <v>112</v>
      </c>
      <c r="E31" s="143">
        <v>0</v>
      </c>
      <c r="F31" s="139"/>
      <c r="G31" s="139"/>
      <c r="H31" s="139"/>
      <c r="I31" s="55"/>
      <c r="J31" s="55"/>
      <c r="K31" s="55"/>
      <c r="L31" s="139"/>
      <c r="M31" s="545" t="s">
        <v>153</v>
      </c>
      <c r="N31" s="546"/>
      <c r="O31" s="219" t="str">
        <f>total1</f>
        <v/>
      </c>
      <c r="P31" s="111">
        <f>total2</f>
        <v>737.96699999999998</v>
      </c>
      <c r="Q31" s="111" t="str">
        <f>total3</f>
        <v/>
      </c>
      <c r="R31" s="115">
        <f>total4</f>
        <v>240.08</v>
      </c>
      <c r="S31" s="456"/>
      <c r="T31" s="490"/>
      <c r="U31" s="491"/>
      <c r="V31" s="490"/>
      <c r="W31" s="491"/>
      <c r="X31" s="490"/>
      <c r="Y31" s="495"/>
      <c r="Z31" s="490"/>
      <c r="AA31" s="490"/>
      <c r="AB31" s="491"/>
      <c r="AE31" s="478"/>
    </row>
    <row r="32" spans="1:39" ht="17.25" customHeight="1" thickBot="1">
      <c r="A32" s="134"/>
      <c r="B32" s="140" t="s">
        <v>109</v>
      </c>
      <c r="C32" s="143">
        <v>14000</v>
      </c>
      <c r="D32" s="140" t="s">
        <v>113</v>
      </c>
      <c r="E32" s="143">
        <v>0</v>
      </c>
      <c r="F32" s="139"/>
      <c r="G32" s="139"/>
      <c r="H32" s="139"/>
      <c r="I32" s="55"/>
      <c r="J32" s="55"/>
      <c r="K32" s="55"/>
      <c r="L32" s="139"/>
      <c r="M32" s="538" t="s">
        <v>365</v>
      </c>
      <c r="N32" s="539"/>
      <c r="O32" s="220" t="str">
        <f>IFERROR(total21-logbook21,"")</f>
        <v/>
      </c>
      <c r="P32" s="119">
        <f>IFERROR(total22-logbook22,"")</f>
        <v>23.623000000000001</v>
      </c>
      <c r="Q32" s="119" t="str">
        <f>IFERROR(total23-logbook23,"")</f>
        <v/>
      </c>
      <c r="R32" s="121">
        <f>IFERROR(total24-logbook24,"")</f>
        <v>-16.946999999999999</v>
      </c>
      <c r="S32" s="456"/>
      <c r="T32" s="490"/>
      <c r="U32" s="491"/>
      <c r="V32" s="490"/>
      <c r="W32" s="491"/>
      <c r="X32" s="490"/>
      <c r="Y32" s="495"/>
      <c r="Z32" s="490"/>
      <c r="AA32" s="490"/>
      <c r="AB32" s="491"/>
    </row>
    <row r="33" spans="1:31" ht="17.25" customHeight="1" thickBot="1">
      <c r="A33" s="134"/>
      <c r="B33" s="141" t="s">
        <v>110</v>
      </c>
      <c r="C33" s="144">
        <v>11000</v>
      </c>
      <c r="D33" s="141" t="s">
        <v>154</v>
      </c>
      <c r="E33" s="144">
        <v>0</v>
      </c>
      <c r="F33" s="139"/>
      <c r="G33" s="139"/>
      <c r="H33" s="139"/>
      <c r="I33" s="55"/>
      <c r="J33" s="55"/>
      <c r="K33" s="55"/>
      <c r="L33" s="139"/>
      <c r="M33" s="139"/>
      <c r="N33" s="139"/>
      <c r="O33" s="139"/>
      <c r="P33" s="139"/>
      <c r="Q33" s="139"/>
      <c r="R33" s="139"/>
      <c r="S33" s="456"/>
      <c r="T33" s="490"/>
      <c r="U33" s="491"/>
      <c r="V33" s="490"/>
      <c r="W33" s="491"/>
      <c r="X33" s="490"/>
      <c r="Y33" s="495"/>
      <c r="Z33" s="490"/>
      <c r="AA33" s="490"/>
      <c r="AB33" s="491"/>
      <c r="AE33" s="478"/>
    </row>
    <row r="34" spans="1:31" ht="17.25" customHeight="1">
      <c r="A34" s="92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139"/>
      <c r="M34" s="139"/>
      <c r="N34" s="139"/>
      <c r="O34" s="139"/>
      <c r="P34" s="55"/>
      <c r="Q34" s="55"/>
      <c r="R34" s="55"/>
      <c r="S34" s="456"/>
      <c r="AA34" s="456"/>
      <c r="AE34" s="478"/>
    </row>
    <row r="35" spans="1:3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56"/>
      <c r="M35" s="56"/>
      <c r="N35" s="56"/>
      <c r="O35" s="56"/>
      <c r="P35" s="56"/>
      <c r="Q35" s="56"/>
      <c r="R35" s="46"/>
      <c r="S35" s="456"/>
      <c r="AA35" s="456"/>
    </row>
    <row r="36" spans="1:3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56"/>
      <c r="AA36" s="456"/>
    </row>
  </sheetData>
  <sheetProtection selectLockedCells="1"/>
  <mergeCells count="32">
    <mergeCell ref="P7:Q7"/>
    <mergeCell ref="I9:I10"/>
    <mergeCell ref="J9:J10"/>
    <mergeCell ref="K9:K10"/>
    <mergeCell ref="R9:R10"/>
    <mergeCell ref="L9:L10"/>
    <mergeCell ref="M9:M10"/>
    <mergeCell ref="N9:N10"/>
    <mergeCell ref="O9:O10"/>
    <mergeCell ref="P9:P10"/>
    <mergeCell ref="Q9:Q10"/>
    <mergeCell ref="H2:L2"/>
    <mergeCell ref="H3:L3"/>
    <mergeCell ref="P3:R3"/>
    <mergeCell ref="H4:L5"/>
    <mergeCell ref="P4:R4"/>
    <mergeCell ref="P5:R5"/>
    <mergeCell ref="C3:D3"/>
    <mergeCell ref="E4:F4"/>
    <mergeCell ref="M32:N32"/>
    <mergeCell ref="B29:C29"/>
    <mergeCell ref="D29:E29"/>
    <mergeCell ref="C9:C10"/>
    <mergeCell ref="M29:N29"/>
    <mergeCell ref="M30:N30"/>
    <mergeCell ref="M31:N31"/>
    <mergeCell ref="M7:N7"/>
    <mergeCell ref="B9:B10"/>
    <mergeCell ref="D9:E9"/>
    <mergeCell ref="F9:F10"/>
    <mergeCell ref="G9:G10"/>
    <mergeCell ref="H9:H10"/>
  </mergeCells>
  <conditionalFormatting sqref="O11:O27">
    <cfRule type="cellIs" dxfId="0" priority="1" operator="greaterThanOrEqual">
      <formula>0.85</formula>
    </cfRule>
  </conditionalFormatting>
  <pageMargins left="0.7" right="0.7" top="0.75" bottom="0.75" header="0.3" footer="0.3"/>
  <pageSetup paperSize="9" scale="2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Drop Down 2">
              <controlPr defaultSize="0" autoLine="0" autoPict="0">
                <anchor mov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method31">
              <controlPr defaultSize="0" autoLine="0" autoPict="0">
                <anchor moveWithCells="1">
                  <from>
                    <xdr:col>5</xdr:col>
                    <xdr:colOff>9525</xdr:colOff>
                    <xdr:row>10</xdr:row>
                    <xdr:rowOff>9525</xdr:rowOff>
                  </from>
                  <to>
                    <xdr:col>6</xdr:col>
                    <xdr:colOff>28575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method32">
              <controlPr defaultSize="0" autoLine="0" autoPict="0">
                <anchor moveWithCells="1">
                  <from>
                    <xdr:col>5</xdr:col>
                    <xdr:colOff>9525</xdr:colOff>
                    <xdr:row>11</xdr:row>
                    <xdr:rowOff>0</xdr:rowOff>
                  </from>
                  <to>
                    <xdr:col>6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method33">
              <controlPr defaultSize="0" autoLine="0" autoPict="0">
                <anchor moveWithCells="1">
                  <from>
                    <xdr:col>5</xdr:col>
                    <xdr:colOff>9525</xdr:colOff>
                    <xdr:row>11</xdr:row>
                    <xdr:rowOff>209550</xdr:rowOff>
                  </from>
                  <to>
                    <xdr:col>6</xdr:col>
                    <xdr:colOff>19050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method34">
              <controlPr defaultSize="0" autoLine="0" autoPict="0">
                <anchor moveWithCells="1">
                  <from>
                    <xdr:col>5</xdr:col>
                    <xdr:colOff>9525</xdr:colOff>
                    <xdr:row>12</xdr:row>
                    <xdr:rowOff>209550</xdr:rowOff>
                  </from>
                  <to>
                    <xdr:col>6</xdr:col>
                    <xdr:colOff>19050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method35">
              <controlPr defaultSize="0" autoLine="0" autoPict="0">
                <anchor moveWithCells="1">
                  <from>
                    <xdr:col>5</xdr:col>
                    <xdr:colOff>9525</xdr:colOff>
                    <xdr:row>13</xdr:row>
                    <xdr:rowOff>209550</xdr:rowOff>
                  </from>
                  <to>
                    <xdr:col>6</xdr:col>
                    <xdr:colOff>19050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foTank11">
              <controlPr defaultSize="0" autoFill="0" autoLine="0" autoPict="0">
                <anchor moveWithCells="1">
                  <from>
                    <xdr:col>6</xdr:col>
                    <xdr:colOff>209550</xdr:colOff>
                    <xdr:row>10</xdr:row>
                    <xdr:rowOff>9525</xdr:rowOff>
                  </from>
                  <to>
                    <xdr:col>6</xdr:col>
                    <xdr:colOff>419100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foTank12">
              <controlPr defaultSize="0" autoFill="0" autoLine="0" autoPict="0">
                <anchor moveWithCells="1">
                  <from>
                    <xdr:col>6</xdr:col>
                    <xdr:colOff>200025</xdr:colOff>
                    <xdr:row>11</xdr:row>
                    <xdr:rowOff>0</xdr:rowOff>
                  </from>
                  <to>
                    <xdr:col>6</xdr:col>
                    <xdr:colOff>419100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foTank13">
              <controlPr defaultSize="0" autoFill="0" autoLine="0" autoPict="0">
                <anchor moveWithCells="1">
                  <from>
                    <xdr:col>6</xdr:col>
                    <xdr:colOff>200025</xdr:colOff>
                    <xdr:row>12</xdr:row>
                    <xdr:rowOff>0</xdr:rowOff>
                  </from>
                  <to>
                    <xdr:col>6</xdr:col>
                    <xdr:colOff>419100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3" name="unit32">
              <controlPr defaultSize="0" autoLine="0" autoPict="0">
                <anchor moveWithCells="1">
                  <from>
                    <xdr:col>10</xdr:col>
                    <xdr:colOff>19050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4" name="unit33">
              <controlPr defaultSize="0" autoLine="0" autoPict="0">
                <anchor moveWithCells="1">
                  <from>
                    <xdr:col>10</xdr:col>
                    <xdr:colOff>19050</xdr:colOff>
                    <xdr:row>12</xdr:row>
                    <xdr:rowOff>19050</xdr:rowOff>
                  </from>
                  <to>
                    <xdr:col>11</xdr:col>
                    <xdr:colOff>19050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5" name="unit34">
              <controlPr defaultSize="0" autoLine="0" autoPict="0">
                <anchor moveWithCells="1">
                  <from>
                    <xdr:col>10</xdr:col>
                    <xdr:colOff>19050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6" name="method311">
              <controlPr defaultSize="0" autoLine="0" autoPict="0">
                <anchor moveWithCells="1">
                  <from>
                    <xdr:col>5</xdr:col>
                    <xdr:colOff>0</xdr:colOff>
                    <xdr:row>20</xdr:row>
                    <xdr:rowOff>9525</xdr:rowOff>
                  </from>
                  <to>
                    <xdr:col>6</xdr:col>
                    <xdr:colOff>9525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7" name="unit312">
              <controlPr defaultSize="0" autoLine="0" autoPict="0">
                <anchor mov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11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8" name="Button 16">
              <controlPr defaultSize="0" print="0" autoFill="0" autoPict="0" macro="[0]!Button31_Click">
                <anchor moveWithCells="1" sizeWithCells="1">
                  <from>
                    <xdr:col>7</xdr:col>
                    <xdr:colOff>171450</xdr:colOff>
                    <xdr:row>28</xdr:row>
                    <xdr:rowOff>95250</xdr:rowOff>
                  </from>
                  <to>
                    <xdr:col>11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9" name="method312">
              <controlPr defaultSize="0" autoLine="0" autoPict="0">
                <anchor moveWithCells="1">
                  <from>
                    <xdr:col>5</xdr:col>
                    <xdr:colOff>0</xdr:colOff>
                    <xdr:row>21</xdr:row>
                    <xdr:rowOff>19050</xdr:rowOff>
                  </from>
                  <to>
                    <xdr:col>6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0" name="foTank112">
              <controlPr defaultSize="0" autoFill="0" autoLine="0" autoPict="0">
                <anchor moveWithCells="1">
                  <from>
                    <xdr:col>6</xdr:col>
                    <xdr:colOff>190500</xdr:colOff>
                    <xdr:row>20</xdr:row>
                    <xdr:rowOff>219075</xdr:rowOff>
                  </from>
                  <to>
                    <xdr:col>6</xdr:col>
                    <xdr:colOff>409575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1" name="unit313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2" name="Button 21">
              <controlPr defaultSize="0" print="0" autoFill="0" autoPict="0" macro="[0]!Button41_Click">
                <anchor moveWithCells="1" sizeWithCells="1">
                  <from>
                    <xdr:col>7</xdr:col>
                    <xdr:colOff>171450</xdr:colOff>
                    <xdr:row>30</xdr:row>
                    <xdr:rowOff>161925</xdr:rowOff>
                  </from>
                  <to>
                    <xdr:col>11</xdr:col>
                    <xdr:colOff>171450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3" name="Drop Down 22">
              <controlPr defaultSize="0" autoLine="0" autoPict="0">
                <anchor moveWithCells="1">
                  <from>
                    <xdr:col>5</xdr:col>
                    <xdr:colOff>9525</xdr:colOff>
                    <xdr:row>16</xdr:row>
                    <xdr:rowOff>209550</xdr:rowOff>
                  </from>
                  <to>
                    <xdr:col>6</xdr:col>
                    <xdr:colOff>19050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4" name="unit31">
              <controlPr defaultSize="0" autoLine="0" autoPict="0">
                <anchor moveWithCells="1">
                  <from>
                    <xdr:col>10</xdr:col>
                    <xdr:colOff>19050</xdr:colOff>
                    <xdr:row>10</xdr:row>
                    <xdr:rowOff>28575</xdr:rowOff>
                  </from>
                  <to>
                    <xdr:col>11</xdr:col>
                    <xdr:colOff>19050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5" name="foTank14">
              <controlPr defaultSize="0" autoFill="0" autoLine="0" autoPict="0">
                <anchor moveWithCells="1">
                  <from>
                    <xdr:col>6</xdr:col>
                    <xdr:colOff>200025</xdr:colOff>
                    <xdr:row>13</xdr:row>
                    <xdr:rowOff>0</xdr:rowOff>
                  </from>
                  <to>
                    <xdr:col>6</xdr:col>
                    <xdr:colOff>419100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6" name="foTank116">
              <controlPr defaultSize="0" autoFill="0" autoLine="0" autoPict="0">
                <anchor moveWithCells="1">
                  <from>
                    <xdr:col>6</xdr:col>
                    <xdr:colOff>190500</xdr:colOff>
                    <xdr:row>25</xdr:row>
                    <xdr:rowOff>19050</xdr:rowOff>
                  </from>
                  <to>
                    <xdr:col>6</xdr:col>
                    <xdr:colOff>409575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7" name="foTank17">
              <controlPr defaultSize="0" autoFill="0" autoLine="0" autoPict="0">
                <anchor moveWithCells="1">
                  <from>
                    <xdr:col>6</xdr:col>
                    <xdr:colOff>200025</xdr:colOff>
                    <xdr:row>16</xdr:row>
                    <xdr:rowOff>0</xdr:rowOff>
                  </from>
                  <to>
                    <xdr:col>6</xdr:col>
                    <xdr:colOff>419100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8" name="method36">
              <controlPr defaultSize="0" autoLine="0" autoPict="0">
                <anchor moveWithCells="1">
                  <from>
                    <xdr:col>5</xdr:col>
                    <xdr:colOff>9525</xdr:colOff>
                    <xdr:row>14</xdr:row>
                    <xdr:rowOff>209550</xdr:rowOff>
                  </from>
                  <to>
                    <xdr:col>6</xdr:col>
                    <xdr:colOff>19050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9" name="method37">
              <controlPr defaultSize="0" autoLine="0" autoPict="0">
                <anchor moveWithCells="1">
                  <from>
                    <xdr:col>5</xdr:col>
                    <xdr:colOff>9525</xdr:colOff>
                    <xdr:row>15</xdr:row>
                    <xdr:rowOff>209550</xdr:rowOff>
                  </from>
                  <to>
                    <xdr:col>6</xdr:col>
                    <xdr:colOff>19050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0" name="method38">
              <controlPr defaultSize="0" autoLine="0" autoPict="0">
                <anchor moveWithCells="1">
                  <from>
                    <xdr:col>5</xdr:col>
                    <xdr:colOff>9525</xdr:colOff>
                    <xdr:row>16</xdr:row>
                    <xdr:rowOff>209550</xdr:rowOff>
                  </from>
                  <to>
                    <xdr:col>6</xdr:col>
                    <xdr:colOff>19050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1" name="foTank15">
              <controlPr defaultSize="0" autoFill="0" autoLine="0" autoPict="0">
                <anchor moveWithCells="1">
                  <from>
                    <xdr:col>6</xdr:col>
                    <xdr:colOff>200025</xdr:colOff>
                    <xdr:row>14</xdr:row>
                    <xdr:rowOff>0</xdr:rowOff>
                  </from>
                  <to>
                    <xdr:col>6</xdr:col>
                    <xdr:colOff>419100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2" name="foTank16">
              <controlPr defaultSize="0" autoFill="0" autoLine="0" autoPict="0">
                <anchor moveWithCells="1">
                  <from>
                    <xdr:col>6</xdr:col>
                    <xdr:colOff>200025</xdr:colOff>
                    <xdr:row>15</xdr:row>
                    <xdr:rowOff>0</xdr:rowOff>
                  </from>
                  <to>
                    <xdr:col>6</xdr:col>
                    <xdr:colOff>419100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3" name="Drop Down 32">
              <controlPr defaultSize="0" autoLine="0" autoPict="0">
                <anchor moveWithCells="1">
                  <from>
                    <xdr:col>5</xdr:col>
                    <xdr:colOff>9525</xdr:colOff>
                    <xdr:row>17</xdr:row>
                    <xdr:rowOff>209550</xdr:rowOff>
                  </from>
                  <to>
                    <xdr:col>6</xdr:col>
                    <xdr:colOff>19050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4" name="method39">
              <controlPr defaultSize="0" autoLine="0" autoPict="0">
                <anchor moveWithCells="1">
                  <from>
                    <xdr:col>5</xdr:col>
                    <xdr:colOff>9525</xdr:colOff>
                    <xdr:row>17</xdr:row>
                    <xdr:rowOff>209550</xdr:rowOff>
                  </from>
                  <to>
                    <xdr:col>6</xdr:col>
                    <xdr:colOff>19050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5" name="method315">
              <controlPr defaultSize="0" autoLine="0" autoPict="0">
                <anchor moveWithCells="1">
                  <from>
                    <xdr:col>5</xdr:col>
                    <xdr:colOff>0</xdr:colOff>
                    <xdr:row>24</xdr:row>
                    <xdr:rowOff>19050</xdr:rowOff>
                  </from>
                  <to>
                    <xdr:col>6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6" name="foTank110">
              <controlPr defaultSize="0" autoFill="0" autoLine="0" autoPict="0">
                <anchor moveWithCells="1">
                  <from>
                    <xdr:col>6</xdr:col>
                    <xdr:colOff>180975</xdr:colOff>
                    <xdr:row>19</xdr:row>
                    <xdr:rowOff>0</xdr:rowOff>
                  </from>
                  <to>
                    <xdr:col>6</xdr:col>
                    <xdr:colOff>400050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7" name="unit35">
              <controlPr defaultSize="0" autoLine="0" autoPict="0">
                <anchor moveWithCells="1">
                  <from>
                    <xdr:col>10</xdr:col>
                    <xdr:colOff>19050</xdr:colOff>
                    <xdr:row>14</xdr:row>
                    <xdr:rowOff>19050</xdr:rowOff>
                  </from>
                  <to>
                    <xdr:col>11</xdr:col>
                    <xdr:colOff>19050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8" name="method313">
              <controlPr defaultSize="0" autoLine="0" autoPict="0">
                <anchor moveWithCells="1">
                  <from>
                    <xdr:col>5</xdr:col>
                    <xdr:colOff>0</xdr:colOff>
                    <xdr:row>22</xdr:row>
                    <xdr:rowOff>19050</xdr:rowOff>
                  </from>
                  <to>
                    <xdr:col>6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9" name="foTank113">
              <controlPr defaultSize="0" autoFill="0" autoLine="0" autoPict="0">
                <anchor moveWithCells="1">
                  <from>
                    <xdr:col>6</xdr:col>
                    <xdr:colOff>200025</xdr:colOff>
                    <xdr:row>22</xdr:row>
                    <xdr:rowOff>9525</xdr:rowOff>
                  </from>
                  <to>
                    <xdr:col>6</xdr:col>
                    <xdr:colOff>419100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0" name="method314">
              <controlPr defaultSize="0" autoLine="0" autoPict="0">
                <anchor moveWithCells="1">
                  <from>
                    <xdr:col>5</xdr:col>
                    <xdr:colOff>0</xdr:colOff>
                    <xdr:row>23</xdr:row>
                    <xdr:rowOff>19050</xdr:rowOff>
                  </from>
                  <to>
                    <xdr:col>6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1" name="foTank115">
              <controlPr defaultSize="0" autoFill="0" autoLine="0" autoPict="0">
                <anchor moveWithCells="1">
                  <from>
                    <xdr:col>6</xdr:col>
                    <xdr:colOff>190500</xdr:colOff>
                    <xdr:row>23</xdr:row>
                    <xdr:rowOff>200025</xdr:rowOff>
                  </from>
                  <to>
                    <xdr:col>6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2" name="unit36">
              <controlPr defaultSize="0" autoLine="0" autoPict="0">
                <anchor moveWithCells="1">
                  <from>
                    <xdr:col>10</xdr:col>
                    <xdr:colOff>19050</xdr:colOff>
                    <xdr:row>15</xdr:row>
                    <xdr:rowOff>19050</xdr:rowOff>
                  </from>
                  <to>
                    <xdr:col>11</xdr:col>
                    <xdr:colOff>19050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3" name="unit37">
              <controlPr defaultSize="0" autoLine="0" autoPict="0">
                <anchor mov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11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4" name="fuelType21">
              <controlPr defaultSize="0" autoLine="0" autoPict="0">
                <anchor mov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3</xdr:col>
                    <xdr:colOff>28575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5" name="fuelType22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3</xdr:col>
                    <xdr:colOff>28575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6" name="fuelType23">
              <controlPr defaultSize="0" autoLine="0" autoPict="0">
                <anchor mov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3</xdr:col>
                    <xdr:colOff>28575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7" name="fuelType24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3</xdr:col>
                    <xdr:colOff>28575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48" name="fuelType25">
              <controlPr defaultSize="0" autoLine="0" autoPict="0">
                <anchor moveWithCells="1">
                  <from>
                    <xdr:col>2</xdr:col>
                    <xdr:colOff>9525</xdr:colOff>
                    <xdr:row>14</xdr:row>
                    <xdr:rowOff>0</xdr:rowOff>
                  </from>
                  <to>
                    <xdr:col>3</xdr:col>
                    <xdr:colOff>28575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49" name="fuelType26">
              <controlPr defaultSize="0" autoLine="0" autoPict="0">
                <anchor moveWithCells="1">
                  <from>
                    <xdr:col>2</xdr:col>
                    <xdr:colOff>9525</xdr:colOff>
                    <xdr:row>15</xdr:row>
                    <xdr:rowOff>0</xdr:rowOff>
                  </from>
                  <to>
                    <xdr:col>3</xdr:col>
                    <xdr:colOff>28575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0" name="fuelType27">
              <controlPr defaultSize="0" autoLine="0" autoPict="0">
                <anchor moveWithCells="1">
                  <from>
                    <xdr:col>2</xdr:col>
                    <xdr:colOff>9525</xdr:colOff>
                    <xdr:row>16</xdr:row>
                    <xdr:rowOff>0</xdr:rowOff>
                  </from>
                  <to>
                    <xdr:col>3</xdr:col>
                    <xdr:colOff>28575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1" name="fuelType28">
              <controlPr defaultSize="0" autoLine="0" autoPict="0">
                <anchor moveWithCells="1">
                  <from>
                    <xdr:col>2</xdr:col>
                    <xdr:colOff>9525</xdr:colOff>
                    <xdr:row>17</xdr:row>
                    <xdr:rowOff>0</xdr:rowOff>
                  </from>
                  <to>
                    <xdr:col>3</xdr:col>
                    <xdr:colOff>28575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2" name="fuelType212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0</xdr:rowOff>
                  </from>
                  <to>
                    <xdr:col>3</xdr:col>
                    <xdr:colOff>28575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3" name="fuelType213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3</xdr:col>
                    <xdr:colOff>28575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4" name="fuelType214">
              <controlPr defaultSize="0" autoLine="0" autoPict="0">
                <anchor mov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28575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5" name="fuelType215">
              <controlPr defaultSize="0" autoLine="0" autoPict="0">
                <anchor moveWithCells="1">
                  <from>
                    <xdr:col>2</xdr:col>
                    <xdr:colOff>9525</xdr:colOff>
                    <xdr:row>24</xdr:row>
                    <xdr:rowOff>0</xdr:rowOff>
                  </from>
                  <to>
                    <xdr:col>3</xdr:col>
                    <xdr:colOff>28575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56" name="fuelType216">
              <controlPr defaultSize="0" autoLine="0" autoPict="0">
                <anchor moveWithCells="1">
                  <from>
                    <xdr:col>2</xdr:col>
                    <xdr:colOff>9525</xdr:colOff>
                    <xdr:row>25</xdr:row>
                    <xdr:rowOff>0</xdr:rowOff>
                  </from>
                  <to>
                    <xdr:col>3</xdr:col>
                    <xdr:colOff>28575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57" name="fuelType217">
              <controlPr defaultSize="0" autoLine="0" autoPict="0">
                <anchor moveWithCells="1">
                  <from>
                    <xdr:col>2</xdr:col>
                    <xdr:colOff>9525</xdr:colOff>
                    <xdr:row>26</xdr:row>
                    <xdr:rowOff>0</xdr:rowOff>
                  </from>
                  <to>
                    <xdr:col>3</xdr:col>
                    <xdr:colOff>28575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58" name="fuelType29">
              <controlPr defaultSize="0" autoLine="0" autoPict="0">
                <anchor moveWithCells="1">
                  <from>
                    <xdr:col>2</xdr:col>
                    <xdr:colOff>9525</xdr:colOff>
                    <xdr:row>18</xdr:row>
                    <xdr:rowOff>0</xdr:rowOff>
                  </from>
                  <to>
                    <xdr:col>3</xdr:col>
                    <xdr:colOff>28575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1" r:id="rId59" name="fuelType210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0</xdr:rowOff>
                  </from>
                  <to>
                    <xdr:col>3</xdr:col>
                    <xdr:colOff>28575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2" r:id="rId60" name="fuelType211">
              <controlPr defaultSize="0" autoLine="0" autoPict="0">
                <anchor mov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3</xdr:col>
                    <xdr:colOff>28575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6" r:id="rId61" name="Drop Down 146">
              <controlPr defaultSize="0" autoLine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0" r:id="rId62" name="unit310">
              <controlPr defaultSize="0" autoLine="0" autoPict="0">
                <anchor moveWithCells="1">
                  <from>
                    <xdr:col>10</xdr:col>
                    <xdr:colOff>19050</xdr:colOff>
                    <xdr:row>19</xdr:row>
                    <xdr:rowOff>19050</xdr:rowOff>
                  </from>
                  <to>
                    <xdr:col>11</xdr:col>
                    <xdr:colOff>19050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1" r:id="rId63" name="unit315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2" r:id="rId64" name="unit316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11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3" r:id="rId65" name="method310">
              <controlPr defaultSize="0" autoLine="0" autoPict="0">
                <anchor moveWithCells="1">
                  <from>
                    <xdr:col>5</xdr:col>
                    <xdr:colOff>9525</xdr:colOff>
                    <xdr:row>19</xdr:row>
                    <xdr:rowOff>0</xdr:rowOff>
                  </from>
                  <to>
                    <xdr:col>6</xdr:col>
                    <xdr:colOff>19050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4" r:id="rId66" name="method316">
              <controlPr defaultSize="0" autoLine="0" autoPict="0">
                <anchor moveWithCells="1">
                  <from>
                    <xdr:col>5</xdr:col>
                    <xdr:colOff>0</xdr:colOff>
                    <xdr:row>25</xdr:row>
                    <xdr:rowOff>19050</xdr:rowOff>
                  </from>
                  <to>
                    <xdr:col>6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5" r:id="rId67" name="method317">
              <controlPr defaultSize="0" autoLine="0" autoPict="0">
                <anchor moveWithCells="1">
                  <from>
                    <xdr:col>5</xdr:col>
                    <xdr:colOff>0</xdr:colOff>
                    <xdr:row>26</xdr:row>
                    <xdr:rowOff>19050</xdr:rowOff>
                  </from>
                  <to>
                    <xdr:col>6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6" r:id="rId68" name="foTank18">
              <controlPr defaultSize="0" autoFill="0" autoLine="0" autoPict="0">
                <anchor moveWithCells="1">
                  <from>
                    <xdr:col>6</xdr:col>
                    <xdr:colOff>200025</xdr:colOff>
                    <xdr:row>17</xdr:row>
                    <xdr:rowOff>0</xdr:rowOff>
                  </from>
                  <to>
                    <xdr:col>6</xdr:col>
                    <xdr:colOff>419100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7" r:id="rId69" name="foTank19">
              <controlPr defaultSize="0" autoFill="0" autoLine="0" autoPict="0">
                <anchor moveWithCells="1">
                  <from>
                    <xdr:col>6</xdr:col>
                    <xdr:colOff>200025</xdr:colOff>
                    <xdr:row>18</xdr:row>
                    <xdr:rowOff>0</xdr:rowOff>
                  </from>
                  <to>
                    <xdr:col>6</xdr:col>
                    <xdr:colOff>419100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8" r:id="rId70" name="foTank111">
              <controlPr defaultSize="0" autoFill="0" autoLine="0" autoPict="0">
                <anchor moveWithCells="1">
                  <from>
                    <xdr:col>6</xdr:col>
                    <xdr:colOff>200025</xdr:colOff>
                    <xdr:row>20</xdr:row>
                    <xdr:rowOff>0</xdr:rowOff>
                  </from>
                  <to>
                    <xdr:col>6</xdr:col>
                    <xdr:colOff>419100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9" r:id="rId71" name="foTank114">
              <controlPr defaultSize="0" autoFill="0" autoLine="0" autoPict="0">
                <anchor moveWithCells="1">
                  <from>
                    <xdr:col>6</xdr:col>
                    <xdr:colOff>200025</xdr:colOff>
                    <xdr:row>23</xdr:row>
                    <xdr:rowOff>0</xdr:rowOff>
                  </from>
                  <to>
                    <xdr:col>6</xdr:col>
                    <xdr:colOff>419100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0" r:id="rId72" name="foTank117">
              <controlPr defaultSize="0" autoFill="0" autoLine="0" autoPict="0">
                <anchor moveWithCells="1">
                  <from>
                    <xdr:col>6</xdr:col>
                    <xdr:colOff>200025</xdr:colOff>
                    <xdr:row>26</xdr:row>
                    <xdr:rowOff>0</xdr:rowOff>
                  </from>
                  <to>
                    <xdr:col>6</xdr:col>
                    <xdr:colOff>419100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1" r:id="rId73" name="unit38">
              <controlPr defaultSize="0" autoLine="0" autoPict="0">
                <anchor mov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11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2" r:id="rId74" name="unit39">
              <controlPr defaultSize="0" autoLine="0" autoPict="0">
                <anchor mov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11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3" r:id="rId75" name="unit311">
              <controlPr defaultSize="0" autoLine="0" autoPict="0">
                <anchor mov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11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4" r:id="rId76" name="unit314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11</xdr:col>
                    <xdr:colOff>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5" r:id="rId77" name="unit317">
              <controlPr defaultSize="0" autoLine="0" autoPict="0">
                <anchor mov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11</xdr:col>
                    <xdr:colOff>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7" r:id="rId78" name="surveyType1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3</xdr:col>
                    <xdr:colOff>895350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A50"/>
  <sheetViews>
    <sheetView showGridLines="0" showRuler="0" view="pageBreakPreview" topLeftCell="A14" zoomScale="115" zoomScaleNormal="100" zoomScaleSheetLayoutView="115" workbookViewId="0">
      <selection activeCell="J43" sqref="J43"/>
    </sheetView>
  </sheetViews>
  <sheetFormatPr defaultRowHeight="15"/>
  <cols>
    <col min="1" max="1" width="20.85546875" customWidth="1"/>
    <col min="2" max="12" width="8.7109375" customWidth="1"/>
    <col min="15" max="15" width="16.7109375" bestFit="1" customWidth="1"/>
  </cols>
  <sheetData>
    <row r="1" spans="1:27" ht="18.75">
      <c r="A1" s="607" t="s">
        <v>56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7"/>
    </row>
    <row r="2" spans="1:27" ht="12" customHeight="1">
      <c r="A2" s="611" t="s">
        <v>445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611"/>
    </row>
    <row r="3" spans="1:27" ht="15.75" customHeight="1">
      <c r="A3" s="1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27" ht="15.75" customHeight="1">
      <c r="A4" s="62" t="s">
        <v>12</v>
      </c>
      <c r="B4" s="608" t="str">
        <f>Data!C3</f>
        <v>61-L</v>
      </c>
      <c r="C4" s="608"/>
      <c r="D4" s="61"/>
      <c r="E4" s="63" t="s">
        <v>64</v>
      </c>
      <c r="F4" s="580" t="str">
        <f>CONCATENATE(ABS(Data!J7)," ",IF(Data!J7=0,"even keel",IF(Data!J7&gt;0,"by stern","by fore")))</f>
        <v>0.36 by fore</v>
      </c>
      <c r="G4" s="580"/>
      <c r="H4" s="580"/>
      <c r="I4" s="63" t="s">
        <v>21</v>
      </c>
      <c r="J4" s="609">
        <f>Data!P3</f>
        <v>45786</v>
      </c>
      <c r="K4" s="609"/>
      <c r="L4" s="609"/>
    </row>
    <row r="5" spans="1:27" ht="15.75" customHeight="1">
      <c r="A5" s="62" t="s">
        <v>57</v>
      </c>
      <c r="B5" s="608" t="str">
        <f>Data!U28</f>
        <v>Monitoring</v>
      </c>
      <c r="C5" s="608"/>
      <c r="D5" s="61"/>
      <c r="E5" s="63" t="s">
        <v>65</v>
      </c>
      <c r="F5" s="580" t="str">
        <f>CONCATENATE(heeling," ",IF(heeling&lt;0,"port",IF(heeling&gt;0,"starboard","")))</f>
        <v xml:space="preserve">0 </v>
      </c>
      <c r="G5" s="580"/>
      <c r="H5" s="580"/>
      <c r="I5" s="63" t="s">
        <v>22</v>
      </c>
      <c r="J5" s="612">
        <f>Data!P4</f>
        <v>0.5</v>
      </c>
      <c r="K5" s="612"/>
      <c r="L5" s="612"/>
    </row>
    <row r="6" spans="1:27" ht="15.75" customHeight="1">
      <c r="A6" s="62" t="s">
        <v>20</v>
      </c>
      <c r="B6" s="610" t="str">
        <f>Data!P5</f>
        <v>AT SEA</v>
      </c>
      <c r="C6" s="610"/>
      <c r="D6" s="610"/>
      <c r="E6" s="610"/>
      <c r="F6" s="610"/>
      <c r="G6" s="610"/>
      <c r="H6" s="610"/>
      <c r="I6" s="610"/>
      <c r="J6" s="610"/>
      <c r="K6" s="610"/>
    </row>
    <row r="7" spans="1:27" ht="15.75" customHeight="1" thickBot="1">
      <c r="B7" s="91"/>
      <c r="C7" s="91"/>
      <c r="D7" s="91"/>
      <c r="E7" s="61"/>
      <c r="F7" s="61"/>
      <c r="G7" s="61"/>
      <c r="H7" s="61"/>
      <c r="P7" s="581"/>
      <c r="Q7" s="581"/>
      <c r="R7" s="581"/>
      <c r="S7" s="581"/>
      <c r="T7" s="581"/>
      <c r="U7" s="581"/>
      <c r="V7" s="581"/>
      <c r="W7" s="92"/>
      <c r="X7" s="580"/>
      <c r="Y7" s="580"/>
      <c r="Z7" s="61"/>
      <c r="AA7" s="61"/>
    </row>
    <row r="8" spans="1:27" ht="15.75" thickBot="1">
      <c r="A8" s="622" t="s">
        <v>58</v>
      </c>
      <c r="B8" s="623"/>
      <c r="C8" s="623"/>
      <c r="D8" s="623"/>
      <c r="E8" s="623"/>
      <c r="F8" s="623"/>
      <c r="G8" s="623"/>
      <c r="H8" s="623"/>
      <c r="I8" s="623"/>
      <c r="J8" s="623"/>
      <c r="K8" s="623"/>
      <c r="L8" s="624"/>
      <c r="P8" s="581"/>
      <c r="Q8" s="581"/>
      <c r="R8" s="581"/>
      <c r="S8" s="581"/>
      <c r="T8" s="581"/>
      <c r="U8" s="581"/>
      <c r="V8" s="581"/>
      <c r="W8" s="92"/>
      <c r="X8" s="580"/>
      <c r="Y8" s="580"/>
      <c r="Z8" s="61"/>
      <c r="AA8" s="61"/>
    </row>
    <row r="9" spans="1:27" ht="23.25" customHeight="1">
      <c r="A9" s="605" t="s">
        <v>13</v>
      </c>
      <c r="B9" s="587" t="s">
        <v>59</v>
      </c>
      <c r="C9" s="588"/>
      <c r="D9" s="587" t="s">
        <v>16</v>
      </c>
      <c r="E9" s="588"/>
      <c r="F9" s="589" t="s">
        <v>61</v>
      </c>
      <c r="G9" s="589" t="s">
        <v>119</v>
      </c>
      <c r="H9" s="589" t="s">
        <v>491</v>
      </c>
      <c r="I9" s="589" t="s">
        <v>17</v>
      </c>
      <c r="J9" s="589" t="s">
        <v>124</v>
      </c>
      <c r="K9" s="589" t="s">
        <v>19</v>
      </c>
      <c r="L9" s="585" t="s">
        <v>62</v>
      </c>
    </row>
    <row r="10" spans="1:27" ht="28.5" customHeight="1" thickBot="1">
      <c r="A10" s="606"/>
      <c r="B10" s="157" t="s">
        <v>60</v>
      </c>
      <c r="C10" s="157" t="s">
        <v>55</v>
      </c>
      <c r="D10" s="157" t="s">
        <v>35</v>
      </c>
      <c r="E10" s="157" t="s">
        <v>34</v>
      </c>
      <c r="F10" s="590"/>
      <c r="G10" s="590"/>
      <c r="H10" s="590"/>
      <c r="I10" s="590"/>
      <c r="J10" s="590"/>
      <c r="K10" s="590"/>
      <c r="L10" s="586"/>
    </row>
    <row r="11" spans="1:27">
      <c r="A11" s="158" t="str">
        <f>Data!B11</f>
        <v>NO.1 HFO TANK (P)</v>
      </c>
      <c r="B11" s="159">
        <f>Data!D11</f>
        <v>463.5</v>
      </c>
      <c r="C11" s="160">
        <f>IF(B11="","",B11*0.96)</f>
        <v>444.96</v>
      </c>
      <c r="D11" s="441">
        <f>IF(ISBLANK(Setup!E2),"",IF(Data!V11=2,Setup!E2,""))</f>
        <v>1820</v>
      </c>
      <c r="E11" s="159" t="str">
        <f>IF(ISBLANK(Setup!F2),"",IF(Data!V11=1,Setup!E2,""))</f>
        <v/>
      </c>
      <c r="F11" s="161">
        <f>Data!I11</f>
        <v>249.10400000000001</v>
      </c>
      <c r="G11" s="159">
        <f>IF(ISBLANK(Data!J11),"",Data!J11)</f>
        <v>30</v>
      </c>
      <c r="H11" s="159">
        <f>Data!M11</f>
        <v>0.9496</v>
      </c>
      <c r="I11" s="162">
        <f>Data!N11</f>
        <v>0.98919999999999997</v>
      </c>
      <c r="J11" s="161">
        <f>Data!P11</f>
        <v>246.41399999999999</v>
      </c>
      <c r="K11" s="159">
        <f>Data!Q11</f>
        <v>0.94850000000000001</v>
      </c>
      <c r="L11" s="163">
        <f>Data!R11</f>
        <v>233.72399999999999</v>
      </c>
      <c r="M11" s="11"/>
      <c r="N11" s="12"/>
    </row>
    <row r="12" spans="1:27">
      <c r="A12" s="164" t="str">
        <f>Data!B12</f>
        <v>NO.1 HFO TANK (S)</v>
      </c>
      <c r="B12" s="66">
        <f>Data!D12</f>
        <v>463.5</v>
      </c>
      <c r="C12" s="67">
        <f t="shared" ref="C12:C21" si="0">IF(B12="","",B12*0.96)</f>
        <v>444.96</v>
      </c>
      <c r="D12" s="442">
        <f>IF(ISBLANK(Setup!E3),"",IF(Data!V12=2,Setup!E3,""))</f>
        <v>1120</v>
      </c>
      <c r="E12" s="66" t="str">
        <f>IF(ISBLANK(Setup!F3),"",IF(Data!V12=1,Setup!E3,""))</f>
        <v/>
      </c>
      <c r="F12" s="60">
        <f>Data!I12</f>
        <v>358.35700000000003</v>
      </c>
      <c r="G12" s="66">
        <f>IF(ISBLANK(Data!J12),"",Data!J12)</f>
        <v>30</v>
      </c>
      <c r="H12" s="66">
        <f>Data!M12</f>
        <v>0.9496</v>
      </c>
      <c r="I12" s="68">
        <f>Data!N12</f>
        <v>0.98919999999999997</v>
      </c>
      <c r="J12" s="60">
        <f>Data!P12</f>
        <v>354.48700000000002</v>
      </c>
      <c r="K12" s="66">
        <f>Data!Q12</f>
        <v>0.94850000000000001</v>
      </c>
      <c r="L12" s="165">
        <f>Data!R12</f>
        <v>336.23099999999999</v>
      </c>
      <c r="N12" s="12"/>
    </row>
    <row r="13" spans="1:27">
      <c r="A13" s="164" t="str">
        <f>Data!B13</f>
        <v>NO.2 HFO TANK (P)</v>
      </c>
      <c r="B13" s="66">
        <f>Data!D13</f>
        <v>463.5</v>
      </c>
      <c r="C13" s="67">
        <f t="shared" si="0"/>
        <v>444.96</v>
      </c>
      <c r="D13" s="442" t="str">
        <f>IF(ISBLANK(Setup!E4),"",IF(Data!V13=2,Setup!E4,""))</f>
        <v/>
      </c>
      <c r="E13" s="66">
        <f>IF(ISBLANK(Setup!F4),"",IF(Data!V13=1,Setup!E4,""))</f>
        <v>0</v>
      </c>
      <c r="F13" s="60">
        <f>Data!I13</f>
        <v>0.96499999999999997</v>
      </c>
      <c r="G13" s="66">
        <f>IF(ISBLANK(Data!J13),"",Data!J13)</f>
        <v>31</v>
      </c>
      <c r="H13" s="66">
        <f>Data!M13</f>
        <v>0.98299999999999998</v>
      </c>
      <c r="I13" s="68">
        <f>Data!N13</f>
        <v>0.98899999999999999</v>
      </c>
      <c r="J13" s="60">
        <f>Data!P13</f>
        <v>0.95399999999999996</v>
      </c>
      <c r="K13" s="66">
        <f>Data!Q13</f>
        <v>0.9819</v>
      </c>
      <c r="L13" s="165">
        <f>Data!R13</f>
        <v>0.93700000000000006</v>
      </c>
      <c r="N13" s="12"/>
    </row>
    <row r="14" spans="1:27">
      <c r="A14" s="164" t="str">
        <f>Data!B14</f>
        <v>NO.2 HFO TANK (S)</v>
      </c>
      <c r="B14" s="66">
        <f>Data!D14</f>
        <v>463.5</v>
      </c>
      <c r="C14" s="67">
        <f t="shared" si="0"/>
        <v>444.96</v>
      </c>
      <c r="D14" s="442" t="str">
        <f>IF(ISBLANK(Setup!E5),"",IF(Data!V14=2,Setup!E5,""))</f>
        <v/>
      </c>
      <c r="E14" s="66">
        <f>IF(ISBLANK(Setup!F5),"",IF(Data!V14=1,Setup!E5,""))</f>
        <v>70</v>
      </c>
      <c r="F14" s="60">
        <f>Data!I14</f>
        <v>1.7789999999999999</v>
      </c>
      <c r="G14" s="66">
        <f>IF(ISBLANK(Data!J14),"",Data!J14)</f>
        <v>35</v>
      </c>
      <c r="H14" s="66">
        <f>Data!M14</f>
        <v>0.98299999999999998</v>
      </c>
      <c r="I14" s="68">
        <f>Data!N14</f>
        <v>0.98619999999999997</v>
      </c>
      <c r="J14" s="60">
        <f>Data!P14</f>
        <v>1.754</v>
      </c>
      <c r="K14" s="66">
        <f>Data!Q14</f>
        <v>0.9819</v>
      </c>
      <c r="L14" s="165">
        <f>Data!R14</f>
        <v>1.722</v>
      </c>
      <c r="N14" s="12"/>
    </row>
    <row r="15" spans="1:27">
      <c r="A15" s="164" t="str">
        <f>Data!B15</f>
        <v>NO.3 HFO TANK (P)</v>
      </c>
      <c r="B15" s="66">
        <f>Data!D15</f>
        <v>110.7</v>
      </c>
      <c r="C15" s="67">
        <f t="shared" si="0"/>
        <v>106.27</v>
      </c>
      <c r="D15" s="442" t="str">
        <f>IF(ISBLANK(Setup!E6),"",IF(Data!V15=2,Setup!E6,""))</f>
        <v/>
      </c>
      <c r="E15" s="66">
        <f>IF(ISBLANK(Setup!F6),"",IF(Data!V15=1,Setup!E6,""))</f>
        <v>60</v>
      </c>
      <c r="F15" s="60">
        <f>Data!I15</f>
        <v>0.93</v>
      </c>
      <c r="G15" s="66">
        <f>IF(ISBLANK(Data!J15),"",Data!J15)</f>
        <v>31</v>
      </c>
      <c r="H15" s="66">
        <f>Data!M15</f>
        <v>0.98299999999999998</v>
      </c>
      <c r="I15" s="68">
        <f>Data!N15</f>
        <v>0.98899999999999999</v>
      </c>
      <c r="J15" s="60">
        <f>Data!P15</f>
        <v>0.92</v>
      </c>
      <c r="K15" s="66">
        <f>Data!Q15</f>
        <v>0.9819</v>
      </c>
      <c r="L15" s="165">
        <f>Data!R15</f>
        <v>0.90300000000000002</v>
      </c>
      <c r="M15" s="11"/>
      <c r="N15" s="12"/>
      <c r="O15" s="69"/>
    </row>
    <row r="16" spans="1:27">
      <c r="A16" s="164" t="str">
        <f>Data!B16</f>
        <v>NO.3 HFO TANK (S)</v>
      </c>
      <c r="B16" s="66">
        <f>Data!D16</f>
        <v>238.5</v>
      </c>
      <c r="C16" s="67">
        <f t="shared" si="0"/>
        <v>228.96</v>
      </c>
      <c r="D16" s="442" t="str">
        <f>IF(ISBLANK(Setup!E7),"",IF(Data!V16=2,Setup!E7,""))</f>
        <v/>
      </c>
      <c r="E16" s="66">
        <f>IF(ISBLANK(Setup!F7),"",IF(Data!V16=1,Setup!E7,""))</f>
        <v>800</v>
      </c>
      <c r="F16" s="60">
        <f>Data!I16</f>
        <v>22.309000000000001</v>
      </c>
      <c r="G16" s="66">
        <f>IF(ISBLANK(Data!J16),"",Data!J16)</f>
        <v>38</v>
      </c>
      <c r="H16" s="66">
        <f>Data!M16</f>
        <v>0.98299999999999998</v>
      </c>
      <c r="I16" s="68">
        <f>Data!N16</f>
        <v>0.98409999999999997</v>
      </c>
      <c r="J16" s="60">
        <f>Data!P16</f>
        <v>21.954000000000001</v>
      </c>
      <c r="K16" s="66">
        <f>Data!Q16</f>
        <v>0.9819</v>
      </c>
      <c r="L16" s="165">
        <f>Data!R16</f>
        <v>21.556999999999999</v>
      </c>
      <c r="M16" s="11"/>
      <c r="N16" s="12"/>
      <c r="O16" s="69"/>
    </row>
    <row r="17" spans="1:16">
      <c r="A17" s="164" t="str">
        <f>Data!B17</f>
        <v>HFO SETTLING TK</v>
      </c>
      <c r="B17" s="66">
        <f>Data!D17</f>
        <v>51.2</v>
      </c>
      <c r="C17" s="67">
        <f t="shared" si="0"/>
        <v>49.15</v>
      </c>
      <c r="D17" s="442">
        <f>IF(ISBLANK(Setup!E8),"",IF(Data!V17=2,Setup!E8,""))</f>
        <v>9830</v>
      </c>
      <c r="E17" s="66" t="str">
        <f>IF(ISBLANK(Setup!F8),"",IF(Data!V17=1,Setup!E8,""))</f>
        <v/>
      </c>
      <c r="F17" s="60">
        <f>Data!I17</f>
        <v>6.5279999999999996</v>
      </c>
      <c r="G17" s="66">
        <f>IF(ISBLANK(Data!J17),"",Data!J17)</f>
        <v>56</v>
      </c>
      <c r="H17" s="66">
        <f>Data!M17</f>
        <v>0.95569999999999999</v>
      </c>
      <c r="I17" s="68">
        <f>Data!N17</f>
        <v>0.97050000000000003</v>
      </c>
      <c r="J17" s="60">
        <f>Data!P17</f>
        <v>6.335</v>
      </c>
      <c r="K17" s="66">
        <f>Data!Q17</f>
        <v>0.9546</v>
      </c>
      <c r="L17" s="165">
        <f>Data!R17</f>
        <v>6.0469999999999997</v>
      </c>
    </row>
    <row r="18" spans="1:16">
      <c r="A18" s="164" t="str">
        <f>Data!B18</f>
        <v>HFO SERVICE TK</v>
      </c>
      <c r="B18" s="66">
        <f>Data!D18</f>
        <v>51.2</v>
      </c>
      <c r="C18" s="67">
        <f t="shared" si="0"/>
        <v>49.15</v>
      </c>
      <c r="D18" s="442">
        <f>IF(ISBLANK(Setup!E9),"",IF(Data!V18=2,Setup!E9,""))</f>
        <v>2090</v>
      </c>
      <c r="E18" s="66" t="str">
        <f>IF(ISBLANK(Setup!F9),"",IF(Data!V18=1,Setup!E9,""))</f>
        <v/>
      </c>
      <c r="F18" s="60">
        <f>Data!I18</f>
        <v>48.07</v>
      </c>
      <c r="G18" s="66">
        <f>IF(ISBLANK(Data!J18),"",Data!J18)</f>
        <v>64</v>
      </c>
      <c r="H18" s="66">
        <f>Data!M18</f>
        <v>0.95569999999999999</v>
      </c>
      <c r="I18" s="68">
        <f>Data!N18</f>
        <v>0.9647</v>
      </c>
      <c r="J18" s="60">
        <f>Data!P18</f>
        <v>46.372999999999998</v>
      </c>
      <c r="K18" s="66">
        <f>Data!Q18</f>
        <v>0.9546</v>
      </c>
      <c r="L18" s="165">
        <f>Data!R18</f>
        <v>44.268000000000001</v>
      </c>
    </row>
    <row r="19" spans="1:16">
      <c r="A19" s="164" t="str">
        <f>Data!B19</f>
        <v>LS HFO SERVICE TK</v>
      </c>
      <c r="B19" s="66">
        <f>Data!D19</f>
        <v>51.2</v>
      </c>
      <c r="C19" s="67">
        <f t="shared" si="0"/>
        <v>49.15</v>
      </c>
      <c r="D19" s="442">
        <f>IF(ISBLANK(Setup!E10),"",IF(Data!V19=2,Setup!E10,""))</f>
        <v>1750</v>
      </c>
      <c r="E19" s="66" t="str">
        <f>IF(ISBLANK(Setup!F10),"",IF(Data!V19=1,Setup!E10,""))</f>
        <v/>
      </c>
      <c r="F19" s="60">
        <f>Data!I19</f>
        <v>50.033999999999999</v>
      </c>
      <c r="G19" s="66">
        <f>IF(ISBLANK(Data!J19),"",Data!J19)</f>
        <v>85</v>
      </c>
      <c r="H19" s="66">
        <f>Data!M19</f>
        <v>0.98299999999999998</v>
      </c>
      <c r="I19" s="68">
        <f>Data!N19</f>
        <v>0.95120000000000005</v>
      </c>
      <c r="J19" s="60">
        <f>Data!P19</f>
        <v>47.591999999999999</v>
      </c>
      <c r="K19" s="66">
        <f>Data!Q19</f>
        <v>0.9819</v>
      </c>
      <c r="L19" s="165">
        <f>Data!R19</f>
        <v>46.731000000000002</v>
      </c>
    </row>
    <row r="20" spans="1:16">
      <c r="A20" s="164" t="str">
        <f>Data!B20</f>
        <v>LS HFO SETTLING TK</v>
      </c>
      <c r="B20" s="66">
        <f>Data!D20</f>
        <v>51.2</v>
      </c>
      <c r="C20" s="67">
        <f t="shared" si="0"/>
        <v>49.15</v>
      </c>
      <c r="D20" s="442">
        <f>IF(ISBLANK(Setup!E11),"",IF(Data!V20=2,Setup!E11,""))</f>
        <v>3510</v>
      </c>
      <c r="E20" s="66" t="str">
        <f>IF(ISBLANK(Setup!F11),"",IF(Data!V20=1,Setup!E11,""))</f>
        <v/>
      </c>
      <c r="F20" s="60">
        <f>Data!I20</f>
        <v>40.265000000000001</v>
      </c>
      <c r="G20" s="66">
        <f>IF(ISBLANK(Data!J20),"",Data!J20)</f>
        <v>84</v>
      </c>
      <c r="H20" s="66">
        <f>Data!M20</f>
        <v>0.98299999999999998</v>
      </c>
      <c r="I20" s="68">
        <f>Data!N20</f>
        <v>0.95189999999999997</v>
      </c>
      <c r="J20" s="60">
        <f>Data!P20</f>
        <v>38.328000000000003</v>
      </c>
      <c r="K20" s="66">
        <f>Data!Q20</f>
        <v>0.9819</v>
      </c>
      <c r="L20" s="165">
        <f>Data!R20</f>
        <v>37.634</v>
      </c>
    </row>
    <row r="21" spans="1:16">
      <c r="A21" s="164" t="str">
        <f>Data!B21</f>
        <v>HFO OVERFLOW TK</v>
      </c>
      <c r="B21" s="66">
        <f>Data!D21</f>
        <v>32.200000000000003</v>
      </c>
      <c r="C21" s="67">
        <f t="shared" si="0"/>
        <v>30.91</v>
      </c>
      <c r="D21" s="442" t="str">
        <f>IF(ISBLANK(Setup!E12),"",IF(Data!V21=2,Setup!E12,""))</f>
        <v/>
      </c>
      <c r="E21" s="66">
        <f>IF(ISBLANK(Setup!F12),"",IF(Data!V21=1,Setup!E12,""))</f>
        <v>600</v>
      </c>
      <c r="F21" s="60">
        <f>Data!I21</f>
        <v>8.4689999999999994</v>
      </c>
      <c r="G21" s="66">
        <f>IF(ISBLANK(Data!J21),"",Data!J21)</f>
        <v>33</v>
      </c>
      <c r="H21" s="66">
        <f>Data!M21</f>
        <v>0.98299999999999998</v>
      </c>
      <c r="I21" s="68">
        <f>Data!N21</f>
        <v>0.98760000000000003</v>
      </c>
      <c r="J21" s="60">
        <f>Data!P21</f>
        <v>8.3640000000000008</v>
      </c>
      <c r="K21" s="66">
        <f>Data!Q21</f>
        <v>0.9819</v>
      </c>
      <c r="L21" s="165">
        <f>Data!R21</f>
        <v>8.2129999999999992</v>
      </c>
      <c r="M21" s="11"/>
    </row>
    <row r="22" spans="1:16" ht="15.75" thickBot="1">
      <c r="A22" s="166" t="s">
        <v>63</v>
      </c>
      <c r="B22" s="167">
        <f>SUM(B11:B21)</f>
        <v>2440.1999999999998</v>
      </c>
      <c r="C22" s="168">
        <f>SUM(C11:C21)</f>
        <v>2342.58</v>
      </c>
      <c r="D22" s="169"/>
      <c r="E22" s="613" t="str">
        <f>CONCATENATE("85% Capacity (MT):"," ",SUM(C22)*0.85)</f>
        <v>85% Capacity (MT): 1991.193</v>
      </c>
      <c r="F22" s="614"/>
      <c r="G22" s="614"/>
      <c r="H22" s="615"/>
      <c r="I22" s="170"/>
      <c r="J22" s="597" t="str">
        <f>CONCATENATE("TOTAL (MT):"," ",SUM(L11:L21))</f>
        <v>TOTAL (MT): 737.967</v>
      </c>
      <c r="K22" s="598"/>
      <c r="L22" s="599"/>
      <c r="M22" s="11"/>
      <c r="N22" s="11"/>
      <c r="O22" s="11"/>
      <c r="P22" s="11"/>
    </row>
    <row r="23" spans="1:16" ht="15.75" thickBot="1">
      <c r="A23" s="602" t="s">
        <v>156</v>
      </c>
      <c r="B23" s="603"/>
      <c r="C23" s="603"/>
      <c r="D23" s="603"/>
      <c r="E23" s="603"/>
      <c r="F23" s="603"/>
      <c r="G23" s="603"/>
      <c r="H23" s="603"/>
      <c r="I23" s="603"/>
      <c r="J23" s="603"/>
      <c r="K23" s="603"/>
      <c r="L23" s="604"/>
      <c r="O23" s="11"/>
    </row>
    <row r="24" spans="1:16" ht="25.5" customHeight="1">
      <c r="A24" s="631" t="s">
        <v>13</v>
      </c>
      <c r="B24" s="634" t="s">
        <v>59</v>
      </c>
      <c r="C24" s="634"/>
      <c r="D24" s="587" t="s">
        <v>16</v>
      </c>
      <c r="E24" s="588"/>
      <c r="F24" s="595" t="s">
        <v>61</v>
      </c>
      <c r="G24" s="595" t="s">
        <v>119</v>
      </c>
      <c r="H24" s="595" t="s">
        <v>491</v>
      </c>
      <c r="I24" s="593" t="s">
        <v>17</v>
      </c>
      <c r="J24" s="595" t="s">
        <v>120</v>
      </c>
      <c r="K24" s="595" t="s">
        <v>19</v>
      </c>
      <c r="L24" s="591" t="s">
        <v>62</v>
      </c>
    </row>
    <row r="25" spans="1:16" ht="25.5" customHeight="1" thickBot="1">
      <c r="A25" s="571"/>
      <c r="B25" s="157" t="s">
        <v>60</v>
      </c>
      <c r="C25" s="157" t="s">
        <v>55</v>
      </c>
      <c r="D25" s="157" t="s">
        <v>35</v>
      </c>
      <c r="E25" s="157" t="s">
        <v>34</v>
      </c>
      <c r="F25" s="596"/>
      <c r="G25" s="596"/>
      <c r="H25" s="596"/>
      <c r="I25" s="594"/>
      <c r="J25" s="596"/>
      <c r="K25" s="596"/>
      <c r="L25" s="592"/>
    </row>
    <row r="26" spans="1:16" ht="17.25" customHeight="1" thickBot="1">
      <c r="A26" s="171" t="str">
        <f>Data!B22</f>
        <v>MDO TANK (P)</v>
      </c>
      <c r="B26" s="172">
        <f>Data!D22</f>
        <v>70.400000000000006</v>
      </c>
      <c r="C26" s="172">
        <f t="shared" ref="C26:C31" si="1">B26*0.85</f>
        <v>59.84</v>
      </c>
      <c r="D26" s="441" t="str">
        <f>IF(Data!V22=2,Setup!E13,"")</f>
        <v/>
      </c>
      <c r="E26" s="441">
        <f>IF(Data!V22=1,Setup!E13,"")</f>
        <v>2290</v>
      </c>
      <c r="F26" s="161">
        <f>Data!I22</f>
        <v>68.183999999999997</v>
      </c>
      <c r="G26" s="159">
        <f>IF(Data!H22=0,"",Data!J22)</f>
        <v>32</v>
      </c>
      <c r="H26" s="159">
        <f>Data!M22</f>
        <v>0.88319999999999999</v>
      </c>
      <c r="I26" s="162">
        <f>Data!N22</f>
        <v>0.98650000000000004</v>
      </c>
      <c r="J26" s="161">
        <f>Data!P22</f>
        <v>67.263999999999996</v>
      </c>
      <c r="K26" s="159">
        <f>Data!Q22</f>
        <v>0.8821</v>
      </c>
      <c r="L26" s="163">
        <f>Data!R22</f>
        <v>59.334000000000003</v>
      </c>
    </row>
    <row r="27" spans="1:16" ht="17.25" customHeight="1">
      <c r="A27" s="171" t="str">
        <f>Data!B23</f>
        <v>MDO TANK (S)</v>
      </c>
      <c r="B27" s="435">
        <f>Data!D23</f>
        <v>125.7</v>
      </c>
      <c r="C27" s="435">
        <f t="shared" si="1"/>
        <v>106.85</v>
      </c>
      <c r="D27" s="443" t="str">
        <f>IF(Data!V23=2,Setup!E14,"")</f>
        <v/>
      </c>
      <c r="E27" s="443">
        <f>IF(Data!V23=1,Setup!E14,"")</f>
        <v>1540</v>
      </c>
      <c r="F27" s="437">
        <f>Data!I23</f>
        <v>79.924000000000007</v>
      </c>
      <c r="G27" s="436">
        <f>IF(Data!H23=0,"",Data!J23)</f>
        <v>32</v>
      </c>
      <c r="H27" s="436">
        <f>Data!M23</f>
        <v>0.871</v>
      </c>
      <c r="I27" s="438">
        <f>Data!N23</f>
        <v>0.98629999999999995</v>
      </c>
      <c r="J27" s="437">
        <f>Data!P23</f>
        <v>78.828999999999994</v>
      </c>
      <c r="K27" s="436">
        <f>Data!Q23</f>
        <v>0.86990000000000001</v>
      </c>
      <c r="L27" s="439">
        <f>Data!R23</f>
        <v>68.572999999999993</v>
      </c>
    </row>
    <row r="28" spans="1:16">
      <c r="A28" s="173" t="str">
        <f>Data!B24</f>
        <v>MDO SERVICE TK</v>
      </c>
      <c r="B28" s="75">
        <f>Data!D24</f>
        <v>25.3</v>
      </c>
      <c r="C28" s="75">
        <f t="shared" si="1"/>
        <v>21.51</v>
      </c>
      <c r="D28" s="442" t="str">
        <f>IF(Data!V24=2,Setup!E15,"")</f>
        <v/>
      </c>
      <c r="E28" s="442">
        <f>IF(Data!V24=1,Setup!E15,"")</f>
        <v>3000</v>
      </c>
      <c r="F28" s="60">
        <f>Data!I24</f>
        <v>17.175000000000001</v>
      </c>
      <c r="G28" s="66">
        <f>IF(Data!H24=0,"",Data!J24)</f>
        <v>32</v>
      </c>
      <c r="H28" s="66">
        <f>Data!M24</f>
        <v>0.86599999999999999</v>
      </c>
      <c r="I28" s="68">
        <f>Data!N24</f>
        <v>0.98619999999999997</v>
      </c>
      <c r="J28" s="60">
        <f>Data!P24</f>
        <v>16.937999999999999</v>
      </c>
      <c r="K28" s="66">
        <f>Data!Q24</f>
        <v>0.8649</v>
      </c>
      <c r="L28" s="165">
        <f>Data!R24</f>
        <v>14.65</v>
      </c>
    </row>
    <row r="29" spans="1:16">
      <c r="A29" s="173" t="str">
        <f>Data!B25</f>
        <v>MDO SETTLING TK</v>
      </c>
      <c r="B29" s="75">
        <f>Data!D25</f>
        <v>25.3</v>
      </c>
      <c r="C29" s="75">
        <f t="shared" si="1"/>
        <v>21.51</v>
      </c>
      <c r="D29" s="442" t="str">
        <f>IF(Data!V25=2,Setup!E16,"")</f>
        <v/>
      </c>
      <c r="E29" s="442">
        <f>IF(Data!V25=1,Setup!E16,"")</f>
        <v>3540</v>
      </c>
      <c r="F29" s="60">
        <f>Data!I25</f>
        <v>20.212</v>
      </c>
      <c r="G29" s="66">
        <f>IF(Data!H25=0,"",Data!J25)</f>
        <v>32</v>
      </c>
      <c r="H29" s="66">
        <f>Data!M25</f>
        <v>0.86599999999999999</v>
      </c>
      <c r="I29" s="68">
        <f>Data!N25</f>
        <v>0.98619999999999997</v>
      </c>
      <c r="J29" s="60">
        <f>Data!P25</f>
        <v>19.933</v>
      </c>
      <c r="K29" s="66">
        <f>Data!Q25</f>
        <v>0.8649</v>
      </c>
      <c r="L29" s="165">
        <f>Data!R25</f>
        <v>17.239999999999998</v>
      </c>
      <c r="M29" s="11"/>
    </row>
    <row r="30" spans="1:16">
      <c r="A30" s="173" t="str">
        <f>Data!B26</f>
        <v>MGO STOR. TK (S)</v>
      </c>
      <c r="B30" s="75">
        <f>Data!D26</f>
        <v>102.2</v>
      </c>
      <c r="C30" s="75">
        <f t="shared" si="1"/>
        <v>86.87</v>
      </c>
      <c r="D30" s="442" t="str">
        <f>IF(Data!V26=2,Setup!E17,"")</f>
        <v/>
      </c>
      <c r="E30" s="442">
        <f>IF(Data!V26=1,Setup!E17,"")</f>
        <v>3310</v>
      </c>
      <c r="F30" s="60">
        <f>Data!I26</f>
        <v>73.489999999999995</v>
      </c>
      <c r="G30" s="66">
        <f>IF(Data!H26=0,"",Data!J26)</f>
        <v>32</v>
      </c>
      <c r="H30" s="66">
        <f>Data!M26</f>
        <v>0.871</v>
      </c>
      <c r="I30" s="68">
        <f>Data!N26</f>
        <v>0.98629999999999995</v>
      </c>
      <c r="J30" s="60">
        <f>Data!P26</f>
        <v>72.483000000000004</v>
      </c>
      <c r="K30" s="66">
        <f>Data!Q26</f>
        <v>0.86990000000000001</v>
      </c>
      <c r="L30" s="165">
        <f>Data!R26</f>
        <v>63.052999999999997</v>
      </c>
      <c r="M30" s="11"/>
    </row>
    <row r="31" spans="1:16">
      <c r="A31" s="173" t="str">
        <f>Data!B27</f>
        <v>MGO SERVICE TK</v>
      </c>
      <c r="B31" s="75">
        <f>Data!D27</f>
        <v>25.3</v>
      </c>
      <c r="C31" s="75">
        <f t="shared" si="1"/>
        <v>21.51</v>
      </c>
      <c r="D31" s="442" t="str">
        <f>IF(Data!V27=2,Setup!E18,"")</f>
        <v/>
      </c>
      <c r="E31" s="442">
        <f>IF(Data!V27=1,Setup!E18,"")</f>
        <v>3540</v>
      </c>
      <c r="F31" s="60">
        <f>Data!I27</f>
        <v>20.2</v>
      </c>
      <c r="G31" s="66">
        <f>IF(Data!H27=0,"",Data!J27)</f>
        <v>32</v>
      </c>
      <c r="H31" s="66">
        <f>Data!M27</f>
        <v>0.86599999999999999</v>
      </c>
      <c r="I31" s="68">
        <f>Data!N27</f>
        <v>0.98619999999999997</v>
      </c>
      <c r="J31" s="60">
        <f>Data!P27</f>
        <v>19.920999999999999</v>
      </c>
      <c r="K31" s="66">
        <f>Data!Q27</f>
        <v>0.8649</v>
      </c>
      <c r="L31" s="165">
        <f>Data!R27</f>
        <v>17.23</v>
      </c>
    </row>
    <row r="32" spans="1:16" ht="15.75" thickBot="1">
      <c r="A32" s="166" t="s">
        <v>63</v>
      </c>
      <c r="B32" s="174">
        <f>SUM(B26:B31)</f>
        <v>374.2</v>
      </c>
      <c r="C32" s="174">
        <f>SUM(C26:C29)</f>
        <v>209.71</v>
      </c>
      <c r="D32" s="167"/>
      <c r="E32" s="572" t="str">
        <f>CONCATENATE("85% Capacity (MT):"," ",SUM(C32)*0.85)</f>
        <v>85% Capacity (MT): 178.2535</v>
      </c>
      <c r="F32" s="572"/>
      <c r="G32" s="572"/>
      <c r="H32" s="572"/>
      <c r="I32" s="167"/>
      <c r="J32" s="600" t="str">
        <f>CONCATENATE("TOTAL (MT):"," ",SUM(L26:L31))</f>
        <v>TOTAL (MT): 240.08</v>
      </c>
      <c r="K32" s="600"/>
      <c r="L32" s="601"/>
    </row>
    <row r="33" spans="1:12" ht="15.75" thickBot="1">
      <c r="F33" s="61"/>
      <c r="G33" s="61"/>
      <c r="H33" s="61"/>
      <c r="I33" s="61"/>
      <c r="J33" s="61"/>
      <c r="K33" s="61"/>
      <c r="L33" s="61"/>
    </row>
    <row r="34" spans="1:12" ht="15.75" thickBot="1">
      <c r="A34" s="582" t="s">
        <v>155</v>
      </c>
      <c r="B34" s="583"/>
      <c r="C34" s="584"/>
      <c r="D34" s="620" t="s">
        <v>55</v>
      </c>
      <c r="E34" s="621"/>
      <c r="G34" s="561" t="s">
        <v>131</v>
      </c>
      <c r="H34" s="562"/>
      <c r="I34" s="562"/>
      <c r="J34" s="562"/>
      <c r="K34" s="562"/>
      <c r="L34" s="563"/>
    </row>
    <row r="35" spans="1:12">
      <c r="A35" s="149" t="str">
        <f>Data!B30</f>
        <v>CYLINDER OIL HS:</v>
      </c>
      <c r="B35" s="641">
        <f>lubeOil1</f>
        <v>17635</v>
      </c>
      <c r="C35" s="642"/>
      <c r="D35" s="639">
        <f>B35*0.882</f>
        <v>15554</v>
      </c>
      <c r="E35" s="640"/>
      <c r="G35" s="557" t="s">
        <v>128</v>
      </c>
      <c r="H35" s="558"/>
      <c r="I35" s="558"/>
      <c r="J35" s="553" t="s">
        <v>127</v>
      </c>
      <c r="K35" s="553"/>
      <c r="L35" s="554"/>
    </row>
    <row r="36" spans="1:12" ht="15.75" thickBot="1">
      <c r="A36" s="150" t="str">
        <f>Data!B31</f>
        <v>CYLINDER OIL LS:</v>
      </c>
      <c r="B36" s="618">
        <f>lubeOil2</f>
        <v>0</v>
      </c>
      <c r="C36" s="619"/>
      <c r="D36" s="616">
        <f>B36*0.882</f>
        <v>0</v>
      </c>
      <c r="E36" s="617"/>
      <c r="G36" s="559"/>
      <c r="H36" s="560"/>
      <c r="I36" s="560"/>
      <c r="J36" s="555">
        <f>ROUND(atSea,2)</f>
        <v>20</v>
      </c>
      <c r="K36" s="555"/>
      <c r="L36" s="556"/>
    </row>
    <row r="37" spans="1:12">
      <c r="A37" s="150" t="str">
        <f>Data!B32</f>
        <v>M/E SYSTEM OIL:</v>
      </c>
      <c r="B37" s="618">
        <f>lubeOil3</f>
        <v>14000</v>
      </c>
      <c r="C37" s="619"/>
      <c r="D37" s="616">
        <f>B37*0.882</f>
        <v>12348</v>
      </c>
      <c r="E37" s="617"/>
      <c r="G37" s="557" t="s">
        <v>129</v>
      </c>
      <c r="H37" s="558"/>
      <c r="I37" s="558"/>
      <c r="J37" s="553" t="s">
        <v>125</v>
      </c>
      <c r="K37" s="553"/>
      <c r="L37" s="147" t="s">
        <v>126</v>
      </c>
    </row>
    <row r="38" spans="1:12" ht="15.75" thickBot="1">
      <c r="A38" s="151" t="s">
        <v>110</v>
      </c>
      <c r="B38" s="632">
        <f>lubeOil4</f>
        <v>11000</v>
      </c>
      <c r="C38" s="633"/>
      <c r="D38" s="616">
        <f>B38*0.882</f>
        <v>9702</v>
      </c>
      <c r="E38" s="617"/>
      <c r="F38" s="92"/>
      <c r="G38" s="559"/>
      <c r="H38" s="560"/>
      <c r="I38" s="560"/>
      <c r="J38" s="579">
        <f>ROUND(atAnchor,2)</f>
        <v>4.5</v>
      </c>
      <c r="K38" s="579"/>
      <c r="L38" s="440">
        <f>ROUND(atPort,2)</f>
        <v>6.5</v>
      </c>
    </row>
    <row r="39" spans="1:12" ht="15.75" thickBot="1">
      <c r="A39" s="148" t="s">
        <v>121</v>
      </c>
      <c r="B39" s="635">
        <f>SUM(B35:C38)</f>
        <v>42635</v>
      </c>
      <c r="C39" s="636"/>
      <c r="D39" s="637">
        <f>SUM(D35:E38)</f>
        <v>37604</v>
      </c>
      <c r="E39" s="638"/>
      <c r="F39" s="92"/>
    </row>
    <row r="40" spans="1:12" ht="15.75" thickBot="1">
      <c r="B40" s="77"/>
      <c r="F40" s="61"/>
      <c r="G40" s="61"/>
      <c r="H40" s="61"/>
      <c r="I40" s="61"/>
      <c r="J40" s="61"/>
      <c r="K40" s="61"/>
      <c r="L40" s="61"/>
    </row>
    <row r="41" spans="1:12" ht="15.75" thickBot="1">
      <c r="A41" s="574" t="s">
        <v>147</v>
      </c>
      <c r="B41" s="575"/>
      <c r="C41" s="576"/>
      <c r="D41" s="77"/>
      <c r="F41" s="574" t="s">
        <v>136</v>
      </c>
      <c r="G41" s="575"/>
      <c r="H41" s="576"/>
      <c r="I41" s="192" t="s">
        <v>133</v>
      </c>
      <c r="J41" s="145" t="s">
        <v>134</v>
      </c>
      <c r="K41" s="145" t="s">
        <v>72</v>
      </c>
      <c r="L41" s="146" t="s">
        <v>135</v>
      </c>
    </row>
    <row r="42" spans="1:12">
      <c r="A42" s="154" t="str">
        <f>Data!D30</f>
        <v>FUEL OIL HS:</v>
      </c>
      <c r="B42" s="629">
        <f>receive1</f>
        <v>0</v>
      </c>
      <c r="C42" s="630"/>
      <c r="D42" s="61"/>
      <c r="F42" s="565" t="str">
        <f>Data!M30</f>
        <v>MONITORING</v>
      </c>
      <c r="G42" s="566"/>
      <c r="H42" s="567"/>
      <c r="I42" s="235" t="str">
        <f>IF(ISBLANK(total1),"",total1)</f>
        <v/>
      </c>
      <c r="J42" s="223">
        <f>IF(ISBLANK(total2),"",total2)</f>
        <v>737.96699999999998</v>
      </c>
      <c r="K42" s="223" t="str">
        <f>IF(ISBLANK(total3),"",total3)</f>
        <v/>
      </c>
      <c r="L42" s="224">
        <f>IF(ISBLANK(total4),"",total4)</f>
        <v>240.08</v>
      </c>
    </row>
    <row r="43" spans="1:12">
      <c r="A43" s="152" t="str">
        <f>Data!D31</f>
        <v>FUEL OIL LS :</v>
      </c>
      <c r="B43" s="625">
        <f>receive2</f>
        <v>0</v>
      </c>
      <c r="C43" s="626"/>
      <c r="D43" s="61"/>
      <c r="F43" s="568" t="str">
        <f>Data!M31</f>
        <v>LOG BOOK</v>
      </c>
      <c r="G43" s="569"/>
      <c r="H43" s="570"/>
      <c r="I43" s="236" t="str">
        <f>IF(ISBLANK(logBook1),"",logBook1)</f>
        <v/>
      </c>
      <c r="J43" s="225">
        <f>IF(ISBLANK(logBook2),"",logBook2)</f>
        <v>749.38599999999997</v>
      </c>
      <c r="K43" s="225" t="str">
        <f>IF(ISBLANK(logBook3),"",logBook3)</f>
        <v/>
      </c>
      <c r="L43" s="226">
        <f>IF(ISBLANK(logBook4),"",logBook4)</f>
        <v>238.34</v>
      </c>
    </row>
    <row r="44" spans="1:12" ht="15.75" thickBot="1">
      <c r="A44" s="152" t="str">
        <f>Data!D32</f>
        <v>MDO/MGO:</v>
      </c>
      <c r="B44" s="625">
        <f>receive3</f>
        <v>0</v>
      </c>
      <c r="C44" s="626"/>
      <c r="D44" s="61"/>
      <c r="F44" s="571" t="str">
        <f>Data!M32</f>
        <v>DIFFERENCE</v>
      </c>
      <c r="G44" s="572"/>
      <c r="H44" s="573"/>
      <c r="I44" s="237" t="str">
        <f>IF(ISBLANK(diff1),"",diff1)</f>
        <v/>
      </c>
      <c r="J44" s="227">
        <f>IF(ISBLANK(diff2),"",diff2)</f>
        <v>-11.419</v>
      </c>
      <c r="K44" s="227" t="str">
        <f>IF(ISBLANK(diff3),"",diff3)</f>
        <v/>
      </c>
      <c r="L44" s="228">
        <f>IF(ISBLANK(diff4),"",diff4)</f>
        <v>1.74</v>
      </c>
    </row>
    <row r="45" spans="1:12" ht="15.75" thickBot="1">
      <c r="A45" s="153" t="str">
        <f>Data!D33</f>
        <v>F. WATER:</v>
      </c>
      <c r="B45" s="627">
        <f>receive4</f>
        <v>0</v>
      </c>
      <c r="C45" s="628"/>
      <c r="D45" s="61"/>
    </row>
    <row r="48" spans="1:12">
      <c r="G48" s="564" t="s">
        <v>66</v>
      </c>
      <c r="H48" s="564"/>
    </row>
    <row r="49" spans="7:12">
      <c r="I49" s="577" t="str">
        <f>chEng</f>
        <v>MARVIN C. ENDOZO</v>
      </c>
      <c r="J49" s="577"/>
      <c r="K49" s="577"/>
      <c r="L49" s="577"/>
    </row>
    <row r="50" spans="7:12">
      <c r="G50" s="61"/>
      <c r="I50" s="578" t="s">
        <v>67</v>
      </c>
      <c r="J50" s="578"/>
      <c r="K50" s="578"/>
      <c r="L50" s="578"/>
    </row>
  </sheetData>
  <mergeCells count="70">
    <mergeCell ref="A8:L8"/>
    <mergeCell ref="B43:C43"/>
    <mergeCell ref="B44:C44"/>
    <mergeCell ref="B45:C45"/>
    <mergeCell ref="B42:C42"/>
    <mergeCell ref="A24:A25"/>
    <mergeCell ref="B38:C38"/>
    <mergeCell ref="B24:C24"/>
    <mergeCell ref="A41:C41"/>
    <mergeCell ref="D38:E38"/>
    <mergeCell ref="B39:C39"/>
    <mergeCell ref="D39:E39"/>
    <mergeCell ref="E32:H32"/>
    <mergeCell ref="D35:E35"/>
    <mergeCell ref="B35:C35"/>
    <mergeCell ref="B36:C36"/>
    <mergeCell ref="D36:E36"/>
    <mergeCell ref="B37:C37"/>
    <mergeCell ref="D37:E37"/>
    <mergeCell ref="D34:E34"/>
    <mergeCell ref="I9:I10"/>
    <mergeCell ref="J9:J10"/>
    <mergeCell ref="K9:K10"/>
    <mergeCell ref="D24:E24"/>
    <mergeCell ref="F24:F25"/>
    <mergeCell ref="G24:G25"/>
    <mergeCell ref="D9:E9"/>
    <mergeCell ref="F9:F10"/>
    <mergeCell ref="J24:J25"/>
    <mergeCell ref="K24:K25"/>
    <mergeCell ref="E22:H22"/>
    <mergeCell ref="A1:L1"/>
    <mergeCell ref="B4:C4"/>
    <mergeCell ref="B5:C5"/>
    <mergeCell ref="J4:L4"/>
    <mergeCell ref="B6:K6"/>
    <mergeCell ref="A2:L2"/>
    <mergeCell ref="J5:L5"/>
    <mergeCell ref="F4:H4"/>
    <mergeCell ref="F5:H5"/>
    <mergeCell ref="X7:Y7"/>
    <mergeCell ref="X8:Y8"/>
    <mergeCell ref="P8:V8"/>
    <mergeCell ref="P7:V7"/>
    <mergeCell ref="A34:C34"/>
    <mergeCell ref="L9:L10"/>
    <mergeCell ref="B9:C9"/>
    <mergeCell ref="G9:G10"/>
    <mergeCell ref="L24:L25"/>
    <mergeCell ref="I24:I25"/>
    <mergeCell ref="H24:H25"/>
    <mergeCell ref="H9:H10"/>
    <mergeCell ref="J22:L22"/>
    <mergeCell ref="J32:L32"/>
    <mergeCell ref="A23:L23"/>
    <mergeCell ref="A9:A10"/>
    <mergeCell ref="I49:L49"/>
    <mergeCell ref="I50:L50"/>
    <mergeCell ref="J37:K37"/>
    <mergeCell ref="J38:K38"/>
    <mergeCell ref="G37:I38"/>
    <mergeCell ref="J35:L35"/>
    <mergeCell ref="J36:L36"/>
    <mergeCell ref="G35:I36"/>
    <mergeCell ref="G34:L34"/>
    <mergeCell ref="G48:H48"/>
    <mergeCell ref="F42:H42"/>
    <mergeCell ref="F43:H43"/>
    <mergeCell ref="F44:H44"/>
    <mergeCell ref="F41:H41"/>
  </mergeCells>
  <phoneticPr fontId="33" type="noConversion"/>
  <pageMargins left="0.35433070866141736" right="0.23622047244094491" top="0.74803149606299213" bottom="0.74803149606299213" header="0.31496062992125984" footer="0.31496062992125984"/>
  <pageSetup paperSize="9" scale="8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1:AA50"/>
  <sheetViews>
    <sheetView showGridLines="0" showRuler="0" view="pageBreakPreview" topLeftCell="A4" zoomScale="115" zoomScaleNormal="100" zoomScaleSheetLayoutView="115" workbookViewId="0">
      <selection activeCell="H11" sqref="H11"/>
    </sheetView>
  </sheetViews>
  <sheetFormatPr defaultRowHeight="15"/>
  <cols>
    <col min="1" max="1" width="20.85546875" customWidth="1"/>
    <col min="2" max="12" width="8.7109375" customWidth="1"/>
    <col min="15" max="15" width="16.7109375" bestFit="1" customWidth="1"/>
  </cols>
  <sheetData>
    <row r="1" spans="1:27" ht="18.75">
      <c r="A1" s="607" t="s">
        <v>56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7"/>
    </row>
    <row r="2" spans="1:27" ht="12" customHeight="1">
      <c r="A2" s="611" t="s">
        <v>445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611"/>
    </row>
    <row r="3" spans="1:27" ht="15.75" customHeight="1">
      <c r="A3" s="1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27" ht="15.75" customHeight="1">
      <c r="A4" s="62" t="s">
        <v>158</v>
      </c>
      <c r="B4" s="608" t="s">
        <v>157</v>
      </c>
      <c r="C4" s="608"/>
      <c r="D4" s="61"/>
      <c r="E4" s="63" t="s">
        <v>64</v>
      </c>
      <c r="F4" s="580" t="str">
        <f>CONCATENATE(ABS(Bunkering!J7)," ",IF(Bunkering!J7=0,"even keel",IF(Bunkering!J7&gt;0,"by stern","by fore")))</f>
        <v>0.36 by fore</v>
      </c>
      <c r="G4" s="580"/>
      <c r="H4" s="580"/>
      <c r="I4" s="63" t="s">
        <v>21</v>
      </c>
      <c r="J4" s="609">
        <f>Bunkering!P3</f>
        <v>45785</v>
      </c>
      <c r="K4" s="609"/>
      <c r="L4" s="609"/>
    </row>
    <row r="5" spans="1:27" ht="15.75" customHeight="1">
      <c r="B5" s="608"/>
      <c r="C5" s="608"/>
      <c r="D5" s="61"/>
      <c r="E5" s="63" t="s">
        <v>65</v>
      </c>
      <c r="F5" s="580" t="str">
        <f>CONCATENATE(Bunkering!heeling1," ",IF(Bunkering!heeling1&lt;0,"port",IF(Bunkering!heeling1&gt;0,"starboard","")))</f>
        <v xml:space="preserve">0 </v>
      </c>
      <c r="G5" s="580"/>
      <c r="H5" s="580"/>
      <c r="I5" s="63" t="s">
        <v>22</v>
      </c>
      <c r="J5" s="612">
        <f>Bunkering!P4</f>
        <v>0.29166666666666702</v>
      </c>
      <c r="K5" s="580"/>
      <c r="L5" s="580"/>
    </row>
    <row r="6" spans="1:27" ht="15.75" customHeight="1">
      <c r="A6" s="62" t="s">
        <v>20</v>
      </c>
      <c r="B6" s="610" t="str">
        <f>Bunkering!P5</f>
        <v>LAS PALMAS, SPAIN</v>
      </c>
      <c r="C6" s="610"/>
      <c r="D6" s="610"/>
      <c r="E6" s="610"/>
      <c r="F6" s="610"/>
      <c r="G6" s="610"/>
      <c r="H6" s="610"/>
      <c r="I6" s="610"/>
      <c r="J6" s="610"/>
      <c r="K6" s="610"/>
    </row>
    <row r="7" spans="1:27" ht="15.75" customHeight="1">
      <c r="B7" s="91"/>
      <c r="C7" s="91"/>
      <c r="D7" s="91"/>
      <c r="E7" s="61"/>
      <c r="F7" s="61"/>
      <c r="G7" s="61"/>
      <c r="H7" s="61"/>
      <c r="P7" s="581"/>
      <c r="Q7" s="581"/>
      <c r="R7" s="581"/>
      <c r="S7" s="581"/>
      <c r="T7" s="581"/>
      <c r="U7" s="581"/>
      <c r="V7" s="581"/>
      <c r="W7" s="92"/>
      <c r="X7" s="580"/>
      <c r="Y7" s="580"/>
      <c r="Z7" s="61"/>
      <c r="AA7" s="61"/>
    </row>
    <row r="8" spans="1:27">
      <c r="A8" s="643" t="s">
        <v>58</v>
      </c>
      <c r="B8" s="643"/>
      <c r="C8" s="643"/>
      <c r="D8" s="643"/>
      <c r="E8" s="643"/>
      <c r="F8" s="643"/>
      <c r="G8" s="643"/>
      <c r="H8" s="643"/>
      <c r="I8" s="643"/>
      <c r="J8" s="643"/>
      <c r="K8" s="643"/>
      <c r="L8" s="643"/>
      <c r="P8" s="581"/>
      <c r="Q8" s="581"/>
      <c r="R8" s="581"/>
      <c r="S8" s="581"/>
      <c r="T8" s="581"/>
      <c r="U8" s="581"/>
      <c r="V8" s="581"/>
      <c r="W8" s="92"/>
      <c r="X8" s="580"/>
      <c r="Y8" s="580"/>
      <c r="Z8" s="61"/>
      <c r="AA8" s="61"/>
    </row>
    <row r="9" spans="1:27" ht="23.25" customHeight="1">
      <c r="A9" s="569" t="s">
        <v>13</v>
      </c>
      <c r="B9" s="569" t="s">
        <v>59</v>
      </c>
      <c r="C9" s="569"/>
      <c r="D9" s="644" t="s">
        <v>16</v>
      </c>
      <c r="E9" s="645"/>
      <c r="F9" s="646" t="s">
        <v>61</v>
      </c>
      <c r="G9" s="646" t="s">
        <v>119</v>
      </c>
      <c r="H9" s="646" t="s">
        <v>491</v>
      </c>
      <c r="I9" s="646" t="s">
        <v>17</v>
      </c>
      <c r="J9" s="646" t="s">
        <v>124</v>
      </c>
      <c r="K9" s="646" t="s">
        <v>19</v>
      </c>
      <c r="L9" s="646" t="s">
        <v>62</v>
      </c>
    </row>
    <row r="10" spans="1:27" ht="28.5" customHeight="1">
      <c r="A10" s="569"/>
      <c r="B10" s="64" t="s">
        <v>60</v>
      </c>
      <c r="C10" s="64" t="s">
        <v>55</v>
      </c>
      <c r="D10" s="64" t="s">
        <v>35</v>
      </c>
      <c r="E10" s="64" t="s">
        <v>34</v>
      </c>
      <c r="F10" s="646"/>
      <c r="G10" s="646"/>
      <c r="H10" s="646"/>
      <c r="I10" s="646"/>
      <c r="J10" s="646"/>
      <c r="K10" s="646"/>
      <c r="L10" s="646"/>
    </row>
    <row r="11" spans="1:27">
      <c r="A11" s="65" t="str">
        <f>Data!B11</f>
        <v>NO.1 HFO TANK (P)</v>
      </c>
      <c r="B11" s="66">
        <f>Bunkering!D11</f>
        <v>463.5</v>
      </c>
      <c r="C11" s="67">
        <f>IF(B11="","",B11*0.96)</f>
        <v>444.96</v>
      </c>
      <c r="D11" s="67">
        <f>IF(ISBLANK(Setup!E2),"",IF(Bunkering!V11=2,Setup!G2,""))</f>
        <v>1830</v>
      </c>
      <c r="E11" s="67" t="str">
        <f>IF(ISBLANK(Setup!F2),"",IF(Bunkering!V11=1,Setup!G2,""))</f>
        <v/>
      </c>
      <c r="F11" s="60">
        <f>Bunkering!I11</f>
        <v>247.667</v>
      </c>
      <c r="G11" s="66">
        <f>IF(ISBLANK(Bunkering!J11),"",Bunkering!J11)</f>
        <v>40</v>
      </c>
      <c r="H11" s="66">
        <f>Bunkering!M11</f>
        <v>0.9496</v>
      </c>
      <c r="I11" s="68">
        <f>Bunkering!N11</f>
        <v>0.9819</v>
      </c>
      <c r="J11" s="60">
        <f>Bunkering!P11</f>
        <v>243.184</v>
      </c>
      <c r="K11" s="66">
        <f>Bunkering!Q11</f>
        <v>0.94850000000000001</v>
      </c>
      <c r="L11" s="60">
        <f>Bunkering!R11</f>
        <v>230.66</v>
      </c>
      <c r="M11" s="11"/>
      <c r="N11" s="12"/>
    </row>
    <row r="12" spans="1:27">
      <c r="A12" s="65" t="str">
        <f>Data!B12</f>
        <v>NO.1 HFO TANK (S)</v>
      </c>
      <c r="B12" s="66">
        <f>Bunkering!D12</f>
        <v>463.5</v>
      </c>
      <c r="C12" s="67">
        <f t="shared" ref="C12:C21" si="0">IF(B12="","",B12*0.96)</f>
        <v>444.96</v>
      </c>
      <c r="D12" s="67">
        <f>IF(ISBLANK(Setup!E3),"",IF(Bunkering!V12=2,Setup!G3,""))</f>
        <v>1100</v>
      </c>
      <c r="E12" s="67" t="str">
        <f>IF(ISBLANK(Setup!F3),"",IF(Bunkering!V12=1,Setup!G3,""))</f>
        <v/>
      </c>
      <c r="F12" s="60">
        <f>Bunkering!I12</f>
        <v>361.80700000000002</v>
      </c>
      <c r="G12" s="66">
        <f>IF(ISBLANK(Bunkering!J12),"",Bunkering!J12)</f>
        <v>40</v>
      </c>
      <c r="H12" s="66">
        <f>Bunkering!M12</f>
        <v>0.9496</v>
      </c>
      <c r="I12" s="68">
        <f>Bunkering!N12</f>
        <v>0.9819</v>
      </c>
      <c r="J12" s="60">
        <f>Bunkering!P12</f>
        <v>355.25799999999998</v>
      </c>
      <c r="K12" s="66">
        <f>Bunkering!Q12</f>
        <v>0.94850000000000001</v>
      </c>
      <c r="L12" s="60">
        <f>Bunkering!R12</f>
        <v>336.96199999999999</v>
      </c>
      <c r="N12" s="12"/>
    </row>
    <row r="13" spans="1:27">
      <c r="A13" s="65" t="str">
        <f>Data!B13</f>
        <v>NO.2 HFO TANK (P)</v>
      </c>
      <c r="B13" s="66">
        <f>Bunkering!D13</f>
        <v>463.5</v>
      </c>
      <c r="C13" s="67">
        <f t="shared" si="0"/>
        <v>444.96</v>
      </c>
      <c r="D13" s="67" t="str">
        <f>IF(ISBLANK(Setup!E4),"",IF(Bunkering!V13=2,Setup!G4,""))</f>
        <v/>
      </c>
      <c r="E13" s="67">
        <f>IF(ISBLANK(Setup!F4),"",IF(Bunkering!V13=1,Setup!G4,""))</f>
        <v>0</v>
      </c>
      <c r="F13" s="60">
        <f>Bunkering!I13</f>
        <v>0.96499999999999997</v>
      </c>
      <c r="G13" s="66">
        <f>IF(ISBLANK(Bunkering!J13),"",Bunkering!J13)</f>
        <v>36</v>
      </c>
      <c r="H13" s="66">
        <f>Bunkering!M13</f>
        <v>0.98299999999999998</v>
      </c>
      <c r="I13" s="68">
        <f>Bunkering!N13</f>
        <v>0.98550000000000004</v>
      </c>
      <c r="J13" s="60">
        <f>Bunkering!P13</f>
        <v>0.95099999999999996</v>
      </c>
      <c r="K13" s="66">
        <f>Bunkering!Q13</f>
        <v>0.9819</v>
      </c>
      <c r="L13" s="60">
        <f>Bunkering!R13</f>
        <v>0.93400000000000005</v>
      </c>
      <c r="N13" s="12"/>
    </row>
    <row r="14" spans="1:27">
      <c r="A14" s="65" t="str">
        <f>Data!B14</f>
        <v>NO.2 HFO TANK (S)</v>
      </c>
      <c r="B14" s="66">
        <f>Bunkering!D14</f>
        <v>463.5</v>
      </c>
      <c r="C14" s="67">
        <f t="shared" si="0"/>
        <v>444.96</v>
      </c>
      <c r="D14" s="67" t="str">
        <f>IF(ISBLANK(Setup!E5),"",IF(Bunkering!V14=2,Setup!G5,""))</f>
        <v/>
      </c>
      <c r="E14" s="67">
        <f>IF(ISBLANK(Setup!F5),"",IF(Bunkering!V14=1,Setup!G5,""))</f>
        <v>90</v>
      </c>
      <c r="F14" s="60">
        <f>Bunkering!I14</f>
        <v>2.0369999999999999</v>
      </c>
      <c r="G14" s="66">
        <f>IF(ISBLANK(Bunkering!J14),"",Bunkering!J14)</f>
        <v>34</v>
      </c>
      <c r="H14" s="66">
        <f>Bunkering!M14</f>
        <v>0.98299999999999998</v>
      </c>
      <c r="I14" s="68">
        <f>Bunkering!N14</f>
        <v>0.9869</v>
      </c>
      <c r="J14" s="60">
        <f>Bunkering!P14</f>
        <v>2.0099999999999998</v>
      </c>
      <c r="K14" s="66">
        <f>Bunkering!Q14</f>
        <v>0.9819</v>
      </c>
      <c r="L14" s="60">
        <f>Bunkering!R14</f>
        <v>1.974</v>
      </c>
      <c r="N14" s="12"/>
    </row>
    <row r="15" spans="1:27">
      <c r="A15" s="65" t="str">
        <f>Data!B15</f>
        <v>NO.3 HFO TANK (P)</v>
      </c>
      <c r="B15" s="66">
        <f>Bunkering!D15</f>
        <v>110.7</v>
      </c>
      <c r="C15" s="67">
        <f t="shared" si="0"/>
        <v>106.27</v>
      </c>
      <c r="D15" s="67" t="str">
        <f>IF(ISBLANK(Setup!E6),"",IF(Bunkering!V15=2,Setup!G6,""))</f>
        <v/>
      </c>
      <c r="E15" s="67">
        <f>IF(ISBLANK(Setup!F6),"",IF(Bunkering!V15=1,Setup!G6,""))</f>
        <v>90</v>
      </c>
      <c r="F15" s="60">
        <f>Bunkering!I15</f>
        <v>1.1850000000000001</v>
      </c>
      <c r="G15" s="66">
        <f>IF(ISBLANK(Bunkering!J15),"",Bunkering!J15)</f>
        <v>42</v>
      </c>
      <c r="H15" s="66">
        <f>Bunkering!M15</f>
        <v>0.98299999999999998</v>
      </c>
      <c r="I15" s="68">
        <f>Bunkering!N15</f>
        <v>0.98129999999999995</v>
      </c>
      <c r="J15" s="60">
        <f>Bunkering!P15</f>
        <v>1.163</v>
      </c>
      <c r="K15" s="66">
        <f>Bunkering!Q15</f>
        <v>0.9819</v>
      </c>
      <c r="L15" s="60">
        <f>Bunkering!R15</f>
        <v>1.1419999999999999</v>
      </c>
      <c r="M15" s="11"/>
      <c r="N15" s="12"/>
      <c r="O15" s="69"/>
    </row>
    <row r="16" spans="1:27">
      <c r="A16" s="65" t="str">
        <f>Data!B16</f>
        <v>NO.3 HFO TANK (S)</v>
      </c>
      <c r="B16" s="66">
        <f>Bunkering!D16</f>
        <v>238.5</v>
      </c>
      <c r="C16" s="67">
        <f t="shared" si="0"/>
        <v>228.96</v>
      </c>
      <c r="D16" s="67">
        <f>IF(ISBLANK(Setup!E7),"",IF(Bunkering!V16=2,Setup!G7,""))</f>
        <v>10230</v>
      </c>
      <c r="E16" s="67" t="str">
        <f>IF(ISBLANK(Setup!F7),"",IF(Bunkering!V16=1,Setup!G7,""))</f>
        <v/>
      </c>
      <c r="F16" s="60">
        <f>Bunkering!I16</f>
        <v>38.232999999999997</v>
      </c>
      <c r="G16" s="66">
        <f>IF(ISBLANK(Bunkering!J16),"",Bunkering!J16)</f>
        <v>39</v>
      </c>
      <c r="H16" s="66">
        <f>Bunkering!M16</f>
        <v>0.98299999999999998</v>
      </c>
      <c r="I16" s="68">
        <f>Bunkering!N16</f>
        <v>0.98340000000000005</v>
      </c>
      <c r="J16" s="60">
        <f>Bunkering!P16</f>
        <v>37.597999999999999</v>
      </c>
      <c r="K16" s="66">
        <f>Bunkering!Q16</f>
        <v>0.9819</v>
      </c>
      <c r="L16" s="60">
        <f>Bunkering!R16</f>
        <v>36.917000000000002</v>
      </c>
      <c r="M16" s="11"/>
      <c r="N16" s="12"/>
      <c r="O16" s="69"/>
    </row>
    <row r="17" spans="1:16">
      <c r="A17" s="65" t="str">
        <f>Data!B17</f>
        <v>HFO SETTLING TK</v>
      </c>
      <c r="B17" s="66">
        <f>Bunkering!D17</f>
        <v>51.2</v>
      </c>
      <c r="C17" s="67">
        <f t="shared" si="0"/>
        <v>49.15</v>
      </c>
      <c r="D17" s="67">
        <f>IF(ISBLANK(Setup!E8),"",IF(Bunkering!V17=2,Setup!G8,""))</f>
        <v>9830</v>
      </c>
      <c r="E17" s="67" t="str">
        <f>IF(ISBLANK(Setup!F8),"",IF(Bunkering!V17=1,Setup!G8,""))</f>
        <v/>
      </c>
      <c r="F17" s="60">
        <f>Bunkering!I17</f>
        <v>6.5279999999999996</v>
      </c>
      <c r="G17" s="66">
        <f>IF(ISBLANK(Bunkering!J17),"",Bunkering!J17)</f>
        <v>60</v>
      </c>
      <c r="H17" s="66">
        <f>Bunkering!M17</f>
        <v>0.95569999999999999</v>
      </c>
      <c r="I17" s="68">
        <f>Bunkering!N17</f>
        <v>0.96760000000000002</v>
      </c>
      <c r="J17" s="60">
        <f>Bunkering!P17</f>
        <v>6.3159999999999998</v>
      </c>
      <c r="K17" s="66">
        <f>Bunkering!Q17</f>
        <v>0.9546</v>
      </c>
      <c r="L17" s="60">
        <f>Bunkering!R17</f>
        <v>6.0289999999999999</v>
      </c>
    </row>
    <row r="18" spans="1:16">
      <c r="A18" s="65" t="str">
        <f>Data!B18</f>
        <v>HFO SERVICE TK</v>
      </c>
      <c r="B18" s="66">
        <f>Bunkering!D18</f>
        <v>51.2</v>
      </c>
      <c r="C18" s="67">
        <f t="shared" si="0"/>
        <v>49.15</v>
      </c>
      <c r="D18" s="67">
        <f>IF(ISBLANK(Setup!E9),"",IF(Bunkering!V18=2,Setup!G9,""))</f>
        <v>2100</v>
      </c>
      <c r="E18" s="67" t="str">
        <f>IF(ISBLANK(Setup!F9),"",IF(Bunkering!V18=1,Setup!G9,""))</f>
        <v/>
      </c>
      <c r="F18" s="60">
        <f>Bunkering!I18</f>
        <v>48.014000000000003</v>
      </c>
      <c r="G18" s="66">
        <f>IF(ISBLANK(Bunkering!J18),"",Bunkering!J18)</f>
        <v>67</v>
      </c>
      <c r="H18" s="66">
        <f>Bunkering!M18</f>
        <v>0.95569999999999999</v>
      </c>
      <c r="I18" s="68">
        <f>Bunkering!N18</f>
        <v>0.96250000000000002</v>
      </c>
      <c r="J18" s="60">
        <f>Bunkering!P18</f>
        <v>46.213000000000001</v>
      </c>
      <c r="K18" s="66">
        <f>Bunkering!Q18</f>
        <v>0.9546</v>
      </c>
      <c r="L18" s="60">
        <f>Bunkering!R18</f>
        <v>44.115000000000002</v>
      </c>
    </row>
    <row r="19" spans="1:16">
      <c r="A19" s="65" t="str">
        <f>Data!B19</f>
        <v>LS HFO SERVICE TK</v>
      </c>
      <c r="B19" s="66">
        <f>Bunkering!D19</f>
        <v>51.2</v>
      </c>
      <c r="C19" s="67">
        <f t="shared" si="0"/>
        <v>49.15</v>
      </c>
      <c r="D19" s="67">
        <f>IF(ISBLANK(Setup!E10),"",IF(Bunkering!V19=2,Setup!G10,""))</f>
        <v>1780</v>
      </c>
      <c r="E19" s="67" t="str">
        <f>IF(ISBLANK(Setup!F10),"",IF(Bunkering!V19=1,Setup!G10,""))</f>
        <v/>
      </c>
      <c r="F19" s="60">
        <f>Bunkering!I19</f>
        <v>49.871000000000002</v>
      </c>
      <c r="G19" s="66">
        <f>IF(ISBLANK(Bunkering!J19),"",Bunkering!J19)</f>
        <v>85</v>
      </c>
      <c r="H19" s="66">
        <f>Bunkering!M19</f>
        <v>0.98299999999999998</v>
      </c>
      <c r="I19" s="68">
        <f>Bunkering!N19</f>
        <v>0.95120000000000005</v>
      </c>
      <c r="J19" s="60">
        <f>Bunkering!P19</f>
        <v>47.436999999999998</v>
      </c>
      <c r="K19" s="66">
        <f>Bunkering!Q19</f>
        <v>0.9819</v>
      </c>
      <c r="L19" s="60">
        <f>Bunkering!R19</f>
        <v>46.578000000000003</v>
      </c>
    </row>
    <row r="20" spans="1:16">
      <c r="A20" s="65" t="str">
        <f>Data!B20</f>
        <v>LS HFO SETTLING TK</v>
      </c>
      <c r="B20" s="66">
        <f>Bunkering!D20</f>
        <v>51.2</v>
      </c>
      <c r="C20" s="67">
        <f t="shared" si="0"/>
        <v>49.15</v>
      </c>
      <c r="D20" s="67">
        <f>IF(ISBLANK(Setup!E11),"",IF(Bunkering!V20=2,Setup!G11,""))</f>
        <v>4070</v>
      </c>
      <c r="E20" s="67" t="str">
        <f>IF(ISBLANK(Setup!F11),"",IF(Bunkering!V20=1,Setup!G11,""))</f>
        <v/>
      </c>
      <c r="F20" s="60">
        <f>Bunkering!I20</f>
        <v>37.128</v>
      </c>
      <c r="G20" s="66">
        <f>IF(ISBLANK(Bunkering!J20),"",Bunkering!J20)</f>
        <v>83</v>
      </c>
      <c r="H20" s="66">
        <f>Bunkering!M20</f>
        <v>0.98299999999999998</v>
      </c>
      <c r="I20" s="68">
        <f>Bunkering!N20</f>
        <v>0.9526</v>
      </c>
      <c r="J20" s="60">
        <f>Bunkering!P20</f>
        <v>35.368000000000002</v>
      </c>
      <c r="K20" s="66">
        <f>Bunkering!Q20</f>
        <v>0.9819</v>
      </c>
      <c r="L20" s="60">
        <f>Bunkering!R20</f>
        <v>34.728000000000002</v>
      </c>
    </row>
    <row r="21" spans="1:16">
      <c r="A21" s="65" t="str">
        <f>Data!B21</f>
        <v>HFO OVERFLOW TK</v>
      </c>
      <c r="B21" s="66">
        <f>Bunkering!D21</f>
        <v>32.200000000000003</v>
      </c>
      <c r="C21" s="67">
        <f t="shared" si="0"/>
        <v>30.91</v>
      </c>
      <c r="D21" s="67" t="str">
        <f>IF(ISBLANK(Setup!E12),"",IF(Bunkering!V21=2,Setup!G12,""))</f>
        <v/>
      </c>
      <c r="E21" s="67">
        <f>IF(ISBLANK(Setup!F12),"",IF(Bunkering!V21=1,Setup!G12,""))</f>
        <v>1390</v>
      </c>
      <c r="F21" s="60">
        <f>Bunkering!I21</f>
        <v>22.303000000000001</v>
      </c>
      <c r="G21" s="66">
        <f>IF(ISBLANK(Bunkering!J21),"",Bunkering!J21)</f>
        <v>38</v>
      </c>
      <c r="H21" s="66">
        <f>Bunkering!M21</f>
        <v>0.98299999999999998</v>
      </c>
      <c r="I21" s="68">
        <f>Bunkering!N21</f>
        <v>0.98409999999999997</v>
      </c>
      <c r="J21" s="60">
        <f>Bunkering!P21</f>
        <v>21.948</v>
      </c>
      <c r="K21" s="66">
        <f>Bunkering!Q21</f>
        <v>0.9819</v>
      </c>
      <c r="L21" s="60">
        <f>Bunkering!R21</f>
        <v>21.550999999999998</v>
      </c>
      <c r="M21" s="11"/>
    </row>
    <row r="22" spans="1:16">
      <c r="A22" s="70" t="s">
        <v>63</v>
      </c>
      <c r="B22" s="70">
        <f>SUM(B11:B21)</f>
        <v>2440.1999999999998</v>
      </c>
      <c r="C22" s="71">
        <f>SUM(C11:C21)</f>
        <v>2342.58</v>
      </c>
      <c r="D22" s="72"/>
      <c r="E22" s="647" t="str">
        <f>CONCATENATE("85% Capacity (MT):"," ",SUM(C22)*0.85)</f>
        <v>85% Capacity (MT): 1991.193</v>
      </c>
      <c r="F22" s="647"/>
      <c r="G22" s="647"/>
      <c r="H22" s="647"/>
      <c r="I22" s="73"/>
      <c r="J22" s="648" t="str">
        <f>CONCATENATE("TOTAL (MT):"," ",SUM(L11:L21))</f>
        <v>TOTAL (MT): 761.59</v>
      </c>
      <c r="K22" s="648"/>
      <c r="L22" s="648"/>
      <c r="M22" s="11"/>
      <c r="N22" s="11"/>
      <c r="O22" s="11"/>
      <c r="P22" s="11"/>
    </row>
    <row r="23" spans="1:16">
      <c r="A23" s="643" t="s">
        <v>156</v>
      </c>
      <c r="B23" s="643"/>
      <c r="C23" s="643"/>
      <c r="D23" s="643"/>
      <c r="E23" s="643"/>
      <c r="F23" s="643"/>
      <c r="G23" s="643"/>
      <c r="H23" s="643"/>
      <c r="I23" s="643"/>
      <c r="J23" s="643"/>
      <c r="K23" s="643"/>
      <c r="L23" s="643"/>
      <c r="O23" s="11"/>
    </row>
    <row r="24" spans="1:16" ht="25.5" customHeight="1">
      <c r="A24" s="569" t="s">
        <v>13</v>
      </c>
      <c r="B24" s="569" t="s">
        <v>59</v>
      </c>
      <c r="C24" s="569"/>
      <c r="D24" s="644" t="s">
        <v>16</v>
      </c>
      <c r="E24" s="645"/>
      <c r="F24" s="646" t="s">
        <v>61</v>
      </c>
      <c r="G24" s="646" t="s">
        <v>119</v>
      </c>
      <c r="H24" s="646" t="s">
        <v>490</v>
      </c>
      <c r="I24" s="649" t="s">
        <v>17</v>
      </c>
      <c r="J24" s="646" t="s">
        <v>120</v>
      </c>
      <c r="K24" s="646" t="s">
        <v>19</v>
      </c>
      <c r="L24" s="646" t="s">
        <v>62</v>
      </c>
    </row>
    <row r="25" spans="1:16" ht="25.5" customHeight="1">
      <c r="A25" s="569"/>
      <c r="B25" s="64" t="s">
        <v>60</v>
      </c>
      <c r="C25" s="64" t="s">
        <v>55</v>
      </c>
      <c r="D25" s="64" t="s">
        <v>35</v>
      </c>
      <c r="E25" s="64" t="s">
        <v>34</v>
      </c>
      <c r="F25" s="646"/>
      <c r="G25" s="646"/>
      <c r="H25" s="646"/>
      <c r="I25" s="649"/>
      <c r="J25" s="646"/>
      <c r="K25" s="646"/>
      <c r="L25" s="646"/>
    </row>
    <row r="26" spans="1:16" ht="17.25" customHeight="1">
      <c r="A26" s="74" t="str">
        <f>Data!B22</f>
        <v>MDO TANK (P)</v>
      </c>
      <c r="B26" s="75">
        <f>Bunkering!D22</f>
        <v>70.400000000000006</v>
      </c>
      <c r="C26" s="75">
        <f t="shared" ref="C26:C31" si="1">B26*0.85</f>
        <v>59.84</v>
      </c>
      <c r="D26" s="67" t="str">
        <f>IF(Bunkering!V22=2,Setup!G13,"")</f>
        <v/>
      </c>
      <c r="E26" s="66">
        <f>IF(Bunkering!V22=1,Setup!G13,"")</f>
        <v>1780</v>
      </c>
      <c r="F26" s="60">
        <f>Bunkering!I22</f>
        <v>47.83</v>
      </c>
      <c r="G26" s="66">
        <f>Bunkering!J22</f>
        <v>32</v>
      </c>
      <c r="H26" s="66">
        <f>Bunkering!M22</f>
        <v>0.88319999999999999</v>
      </c>
      <c r="I26" s="68">
        <f>Bunkering!N22</f>
        <v>0.98650000000000004</v>
      </c>
      <c r="J26" s="60">
        <f>Bunkering!P22</f>
        <v>47.183999999999997</v>
      </c>
      <c r="K26" s="66">
        <f>Bunkering!Q22</f>
        <v>0.8821</v>
      </c>
      <c r="L26" s="60">
        <f>Bunkering!R22</f>
        <v>41.621000000000002</v>
      </c>
    </row>
    <row r="27" spans="1:16" ht="17.25" customHeight="1">
      <c r="A27" s="74" t="str">
        <f>Data!B23</f>
        <v>MDO TANK (S)</v>
      </c>
      <c r="B27" s="75">
        <f>Bunkering!D23</f>
        <v>125.7</v>
      </c>
      <c r="C27" s="75">
        <f t="shared" si="1"/>
        <v>106.85</v>
      </c>
      <c r="D27" s="67" t="str">
        <f>IF(Bunkering!V23=2,Setup!G14,"")</f>
        <v/>
      </c>
      <c r="E27" s="66">
        <f>IF(Bunkering!V23=1,Setup!G14,"")</f>
        <v>1540</v>
      </c>
      <c r="F27" s="60">
        <f>Bunkering!I23</f>
        <v>79.924000000000007</v>
      </c>
      <c r="G27" s="66">
        <f>Bunkering!J23</f>
        <v>32</v>
      </c>
      <c r="H27" s="66">
        <f>Bunkering!M23</f>
        <v>0.871</v>
      </c>
      <c r="I27" s="68">
        <f>Bunkering!N23</f>
        <v>0.98629999999999995</v>
      </c>
      <c r="J27" s="60">
        <f>Bunkering!P23</f>
        <v>78.828999999999994</v>
      </c>
      <c r="K27" s="66">
        <f>Bunkering!Q23</f>
        <v>0.86990000000000001</v>
      </c>
      <c r="L27" s="60">
        <f>Bunkering!R23</f>
        <v>68.572999999999993</v>
      </c>
    </row>
    <row r="28" spans="1:16" ht="17.25" customHeight="1">
      <c r="A28" s="74" t="str">
        <f>Data!B24</f>
        <v>MDO SERVICE TK</v>
      </c>
      <c r="B28" s="75">
        <f>Bunkering!D24</f>
        <v>25.3</v>
      </c>
      <c r="C28" s="75">
        <f t="shared" si="1"/>
        <v>21.51</v>
      </c>
      <c r="D28" s="67" t="str">
        <f>IF(Bunkering!V24=2,Setup!G15,"")</f>
        <v/>
      </c>
      <c r="E28" s="66">
        <f>IF(Bunkering!V24=1,Setup!G15,"")</f>
        <v>3150</v>
      </c>
      <c r="F28" s="60">
        <f>Bunkering!I24</f>
        <v>18.018999999999998</v>
      </c>
      <c r="G28" s="66">
        <f>Bunkering!J24</f>
        <v>32</v>
      </c>
      <c r="H28" s="66">
        <f>Bunkering!M24</f>
        <v>0.86599999999999999</v>
      </c>
      <c r="I28" s="68">
        <f>Bunkering!N24</f>
        <v>0.98619999999999997</v>
      </c>
      <c r="J28" s="60">
        <f>Bunkering!P24</f>
        <v>17.77</v>
      </c>
      <c r="K28" s="66">
        <f>Bunkering!Q24</f>
        <v>0.8649</v>
      </c>
      <c r="L28" s="60">
        <f>Bunkering!R24</f>
        <v>15.369</v>
      </c>
    </row>
    <row r="29" spans="1:16">
      <c r="A29" s="74" t="str">
        <f>Data!B25</f>
        <v>MDO SETTLING TK</v>
      </c>
      <c r="B29" s="75">
        <f>Bunkering!D25</f>
        <v>25.3</v>
      </c>
      <c r="C29" s="75">
        <f t="shared" si="1"/>
        <v>21.51</v>
      </c>
      <c r="D29" s="67" t="str">
        <f>IF(Bunkering!V25=2,Setup!G16,"")</f>
        <v/>
      </c>
      <c r="E29" s="66">
        <f>IF(Bunkering!V25=1,Setup!G16,"")</f>
        <v>3550</v>
      </c>
      <c r="F29" s="60">
        <f>Bunkering!I25</f>
        <v>20.266999999999999</v>
      </c>
      <c r="G29" s="66">
        <f>Bunkering!J25</f>
        <v>32</v>
      </c>
      <c r="H29" s="66">
        <f>Bunkering!M25</f>
        <v>0.86599999999999999</v>
      </c>
      <c r="I29" s="68">
        <f>Bunkering!N25</f>
        <v>0.98619999999999997</v>
      </c>
      <c r="J29" s="60">
        <f>Bunkering!P25</f>
        <v>19.986999999999998</v>
      </c>
      <c r="K29" s="66">
        <f>Bunkering!Q25</f>
        <v>0.8649</v>
      </c>
      <c r="L29" s="60">
        <f>Bunkering!R25</f>
        <v>17.286999999999999</v>
      </c>
    </row>
    <row r="30" spans="1:16">
      <c r="A30" s="74" t="str">
        <f>Data!B26</f>
        <v>MGO STOR. TK (S)</v>
      </c>
      <c r="B30" s="75">
        <f>Bunkering!D26</f>
        <v>102.2</v>
      </c>
      <c r="C30" s="75">
        <f t="shared" si="1"/>
        <v>86.87</v>
      </c>
      <c r="D30" s="67" t="str">
        <f>IF(Bunkering!V26=2,Setup!G17,"")</f>
        <v/>
      </c>
      <c r="E30" s="66">
        <f>IF(Bunkering!V26=1,Setup!G17,"")</f>
        <v>3310</v>
      </c>
      <c r="F30" s="60">
        <f>Bunkering!I26</f>
        <v>73.489999999999995</v>
      </c>
      <c r="G30" s="66">
        <f>Bunkering!J26</f>
        <v>32</v>
      </c>
      <c r="H30" s="66">
        <f>Bunkering!M26</f>
        <v>0.871</v>
      </c>
      <c r="I30" s="68">
        <f>Bunkering!N26</f>
        <v>0.98629999999999995</v>
      </c>
      <c r="J30" s="60">
        <f>Bunkering!P26</f>
        <v>72.483000000000004</v>
      </c>
      <c r="K30" s="66">
        <f>Bunkering!Q26</f>
        <v>0.86990000000000001</v>
      </c>
      <c r="L30" s="60">
        <f>Bunkering!R26</f>
        <v>63.052999999999997</v>
      </c>
      <c r="M30" s="11"/>
    </row>
    <row r="31" spans="1:16">
      <c r="A31" s="74" t="str">
        <f>Data!B27</f>
        <v>MGO SERVICE TK</v>
      </c>
      <c r="B31" s="75">
        <f>Bunkering!D27</f>
        <v>25.3</v>
      </c>
      <c r="C31" s="75">
        <f t="shared" si="1"/>
        <v>21.51</v>
      </c>
      <c r="D31" s="67" t="str">
        <f>IF(Bunkering!V27=2,Setup!G18,"")</f>
        <v/>
      </c>
      <c r="E31" s="66">
        <f>IF(Bunkering!V27=1,Setup!G18,"")</f>
        <v>3540</v>
      </c>
      <c r="F31" s="60">
        <f>Bunkering!I27</f>
        <v>20.2</v>
      </c>
      <c r="G31" s="66">
        <f>Bunkering!J27</f>
        <v>32</v>
      </c>
      <c r="H31" s="66">
        <f>Bunkering!M27</f>
        <v>0.86599999999999999</v>
      </c>
      <c r="I31" s="68">
        <f>Bunkering!N27</f>
        <v>0.98619999999999997</v>
      </c>
      <c r="J31" s="60">
        <f>Bunkering!P27</f>
        <v>19.920999999999999</v>
      </c>
      <c r="K31" s="66">
        <f>Bunkering!Q27</f>
        <v>0.8649</v>
      </c>
      <c r="L31" s="60">
        <f>Bunkering!R27</f>
        <v>17.23</v>
      </c>
    </row>
    <row r="32" spans="1:16">
      <c r="A32" s="76" t="s">
        <v>63</v>
      </c>
      <c r="B32" s="67">
        <f>SUM(B26:B31)</f>
        <v>374.2</v>
      </c>
      <c r="C32" s="67">
        <f>SUM(C26:C30)</f>
        <v>296.58</v>
      </c>
      <c r="D32" s="76"/>
      <c r="E32" s="569" t="str">
        <f>CONCATENATE("85% Capacity (MT):"," ",SUM(C32)*0.85)</f>
        <v>85% Capacity (MT): 252.093</v>
      </c>
      <c r="F32" s="569"/>
      <c r="G32" s="569"/>
      <c r="H32" s="569"/>
      <c r="I32" s="76"/>
      <c r="J32" s="648" t="str">
        <f>CONCATENATE("TOTAL (MT):"," ",SUM(L26:L31))</f>
        <v>TOTAL (MT): 223.133</v>
      </c>
      <c r="K32" s="648"/>
      <c r="L32" s="648"/>
    </row>
    <row r="33" spans="1:12" ht="15.75" thickBot="1">
      <c r="F33" s="61"/>
      <c r="G33" s="61"/>
      <c r="H33" s="61"/>
      <c r="I33" s="61"/>
      <c r="J33" s="61"/>
      <c r="K33" s="61"/>
      <c r="L33" s="61"/>
    </row>
    <row r="34" spans="1:12" ht="15.75" thickBot="1">
      <c r="A34" s="582" t="s">
        <v>155</v>
      </c>
      <c r="B34" s="583"/>
      <c r="C34" s="584"/>
      <c r="D34" s="620" t="s">
        <v>55</v>
      </c>
      <c r="E34" s="621"/>
      <c r="G34" s="561" t="s">
        <v>131</v>
      </c>
      <c r="H34" s="562"/>
      <c r="I34" s="562"/>
      <c r="J34" s="562"/>
      <c r="K34" s="562"/>
      <c r="L34" s="563"/>
    </row>
    <row r="35" spans="1:12">
      <c r="A35" s="149" t="str">
        <f>Data!B30</f>
        <v>CYLINDER OIL HS:</v>
      </c>
      <c r="B35" s="641">
        <f>lubeOil21</f>
        <v>17635</v>
      </c>
      <c r="C35" s="642"/>
      <c r="D35" s="639">
        <f>B35*0.882</f>
        <v>15554</v>
      </c>
      <c r="E35" s="640"/>
      <c r="G35" s="557" t="s">
        <v>128</v>
      </c>
      <c r="H35" s="558"/>
      <c r="I35" s="558"/>
      <c r="J35" s="553" t="s">
        <v>127</v>
      </c>
      <c r="K35" s="553"/>
      <c r="L35" s="554"/>
    </row>
    <row r="36" spans="1:12" ht="15.75" thickBot="1">
      <c r="A36" s="150" t="str">
        <f>Data!B31</f>
        <v>CYLINDER OIL LS:</v>
      </c>
      <c r="B36" s="618">
        <f>lubeOil22</f>
        <v>0</v>
      </c>
      <c r="C36" s="619"/>
      <c r="D36" s="616">
        <f>B36*0.882</f>
        <v>0</v>
      </c>
      <c r="E36" s="617"/>
      <c r="G36" s="559"/>
      <c r="H36" s="560"/>
      <c r="I36" s="560"/>
      <c r="J36" s="555">
        <f>ROUND(atSea,2)</f>
        <v>20</v>
      </c>
      <c r="K36" s="555"/>
      <c r="L36" s="556"/>
    </row>
    <row r="37" spans="1:12">
      <c r="A37" s="150" t="str">
        <f>Data!B32</f>
        <v>M/E SYSTEM OIL:</v>
      </c>
      <c r="B37" s="618">
        <f>lubeOil23</f>
        <v>14000</v>
      </c>
      <c r="C37" s="619"/>
      <c r="D37" s="616">
        <f>B37*0.882</f>
        <v>12348</v>
      </c>
      <c r="E37" s="617"/>
      <c r="G37" s="557" t="s">
        <v>129</v>
      </c>
      <c r="H37" s="558"/>
      <c r="I37" s="558"/>
      <c r="J37" s="553" t="s">
        <v>125</v>
      </c>
      <c r="K37" s="553"/>
      <c r="L37" s="147" t="s">
        <v>126</v>
      </c>
    </row>
    <row r="38" spans="1:12" ht="15.75" thickBot="1">
      <c r="A38" s="151" t="s">
        <v>110</v>
      </c>
      <c r="B38" s="632">
        <f>lubeOil24</f>
        <v>11000</v>
      </c>
      <c r="C38" s="633"/>
      <c r="D38" s="616">
        <f>B38*0.882</f>
        <v>9702</v>
      </c>
      <c r="E38" s="617"/>
      <c r="F38" s="92"/>
      <c r="G38" s="559"/>
      <c r="H38" s="560"/>
      <c r="I38" s="560"/>
      <c r="J38" s="579">
        <f>ROUND(atAnchor,2)</f>
        <v>4.5</v>
      </c>
      <c r="K38" s="579"/>
      <c r="L38" s="440">
        <f>ROUND(atPort,2)</f>
        <v>6.5</v>
      </c>
    </row>
    <row r="39" spans="1:12" ht="15.75" thickBot="1">
      <c r="A39" s="148" t="s">
        <v>121</v>
      </c>
      <c r="B39" s="635">
        <f>SUM(B35:C38)</f>
        <v>42635</v>
      </c>
      <c r="C39" s="636"/>
      <c r="D39" s="637">
        <f>SUM(D35:E38)</f>
        <v>37604</v>
      </c>
      <c r="E39" s="638"/>
      <c r="F39" s="92"/>
    </row>
    <row r="40" spans="1:12" ht="15.75" thickBot="1">
      <c r="B40" s="77"/>
      <c r="F40" s="650" t="s">
        <v>136</v>
      </c>
      <c r="G40" s="651"/>
      <c r="H40" s="652"/>
      <c r="I40" s="238" t="s">
        <v>133</v>
      </c>
      <c r="J40" s="231" t="s">
        <v>134</v>
      </c>
      <c r="K40" s="231" t="s">
        <v>72</v>
      </c>
      <c r="L40" s="232" t="s">
        <v>135</v>
      </c>
    </row>
    <row r="41" spans="1:12" ht="15.75" thickBot="1">
      <c r="A41" s="574" t="s">
        <v>147</v>
      </c>
      <c r="B41" s="575"/>
      <c r="C41" s="576"/>
      <c r="D41" s="77"/>
      <c r="F41" s="631" t="str">
        <f>Bunkering!M31</f>
        <v>PRIOR BUNKERING</v>
      </c>
      <c r="G41" s="634"/>
      <c r="H41" s="653"/>
      <c r="I41" s="239" t="str">
        <f>IF(ISBLANK(total1),"",total1)</f>
        <v/>
      </c>
      <c r="J41" s="233">
        <f>IF(ISBLANK(total2),"",total2)</f>
        <v>737.96699999999998</v>
      </c>
      <c r="K41" s="233" t="str">
        <f>IF(ISBLANK(total3),"",total3)</f>
        <v/>
      </c>
      <c r="L41" s="234">
        <f>IF(ISBLANK(total4),"",total4)</f>
        <v>240.08</v>
      </c>
    </row>
    <row r="42" spans="1:12">
      <c r="A42" s="154" t="str">
        <f>Data!D30</f>
        <v>FUEL OIL HS:</v>
      </c>
      <c r="B42" s="629">
        <f>receive21</f>
        <v>0</v>
      </c>
      <c r="C42" s="630"/>
      <c r="D42" s="61"/>
      <c r="F42" s="568" t="str">
        <f>Data!M31</f>
        <v>LOG BOOK</v>
      </c>
      <c r="G42" s="569"/>
      <c r="H42" s="570"/>
      <c r="I42" s="236" t="str">
        <f>IF(ISBLANK(logBook1),"",logBook1)</f>
        <v/>
      </c>
      <c r="J42" s="236">
        <f>IF(ISBLANK(logBook2),"",logBook2)</f>
        <v>749.38599999999997</v>
      </c>
      <c r="K42" s="236" t="str">
        <f>IF(ISBLANK(logBook3),"",logBook3)</f>
        <v/>
      </c>
      <c r="L42" s="236">
        <f>IF(ISBLANK(logBook4),"",logBook4)</f>
        <v>238.34</v>
      </c>
    </row>
    <row r="43" spans="1:12">
      <c r="A43" s="152" t="str">
        <f>Data!D31</f>
        <v>FUEL OIL LS :</v>
      </c>
      <c r="B43" s="625">
        <f>receive22</f>
        <v>0</v>
      </c>
      <c r="C43" s="626"/>
      <c r="D43" s="61"/>
      <c r="F43" s="568" t="str">
        <f>Data!M32</f>
        <v>DIFFERENCE</v>
      </c>
      <c r="G43" s="569"/>
      <c r="H43" s="570"/>
      <c r="I43" s="236" t="str">
        <f>IF(ISBLANK(diff1),"",diff1)</f>
        <v/>
      </c>
      <c r="J43" s="236">
        <f>IF(ISBLANK(diff2),"",diff2)</f>
        <v>-11.419</v>
      </c>
      <c r="K43" s="236" t="str">
        <f>IF(ISBLANK(diff3),"",diff3)</f>
        <v/>
      </c>
      <c r="L43" s="236">
        <f>IF(ISBLANK(diff4),"",diff4)</f>
        <v>1.74</v>
      </c>
    </row>
    <row r="44" spans="1:12">
      <c r="A44" s="152" t="str">
        <f>Data!D32</f>
        <v>MDO/MGO:</v>
      </c>
      <c r="B44" s="625">
        <f>receive23</f>
        <v>0</v>
      </c>
      <c r="C44" s="626"/>
      <c r="D44" s="61"/>
      <c r="F44" s="654" t="str">
        <f>Bunkering!M30</f>
        <v>AFTER BUNKERING</v>
      </c>
      <c r="G44" s="655"/>
      <c r="H44" s="656"/>
      <c r="I44" s="229" t="str">
        <f>IF(ISBLANK(total21),"",total21)</f>
        <v/>
      </c>
      <c r="J44" s="229">
        <f>IF(ISBLANK(total22),"",total22)</f>
        <v>761.59</v>
      </c>
      <c r="K44" s="229" t="str">
        <f>IF(ISBLANK(total23),"",total23)</f>
        <v/>
      </c>
      <c r="L44" s="229">
        <f>IF(ISBLANK(total24),"",total24)</f>
        <v>223.13300000000001</v>
      </c>
    </row>
    <row r="45" spans="1:12" ht="15.75" thickBot="1">
      <c r="A45" s="153" t="str">
        <f>Data!D33</f>
        <v>F. WATER:</v>
      </c>
      <c r="B45" s="627">
        <f>receive24</f>
        <v>0</v>
      </c>
      <c r="C45" s="628"/>
      <c r="D45" s="61"/>
      <c r="F45" s="657" t="s">
        <v>159</v>
      </c>
      <c r="G45" s="658"/>
      <c r="H45" s="659"/>
      <c r="I45" s="230" t="str">
        <f>IF(ISBLANK(diff21),"",diff21)</f>
        <v/>
      </c>
      <c r="J45" s="230">
        <f>IF(ISBLANK(diff22),"",diff22)</f>
        <v>23.623000000000001</v>
      </c>
      <c r="K45" s="230" t="str">
        <f>IF(ISBLANK(diff23),"",diff23)</f>
        <v/>
      </c>
      <c r="L45" s="230">
        <f>IF(ISBLANK(diff24),"",diff24)</f>
        <v>-16.946999999999999</v>
      </c>
    </row>
    <row r="48" spans="1:12">
      <c r="G48" s="564" t="s">
        <v>66</v>
      </c>
      <c r="H48" s="564"/>
    </row>
    <row r="49" spans="7:12">
      <c r="I49" s="577" t="str">
        <f>chEng</f>
        <v>MARVIN C. ENDOZO</v>
      </c>
      <c r="J49" s="577"/>
      <c r="K49" s="577"/>
      <c r="L49" s="577"/>
    </row>
    <row r="50" spans="7:12">
      <c r="G50" s="61"/>
      <c r="I50" s="578" t="s">
        <v>67</v>
      </c>
      <c r="J50" s="578"/>
      <c r="K50" s="578"/>
      <c r="L50" s="578"/>
    </row>
  </sheetData>
  <mergeCells count="72">
    <mergeCell ref="B45:C45"/>
    <mergeCell ref="G48:H48"/>
    <mergeCell ref="A41:C41"/>
    <mergeCell ref="I49:L49"/>
    <mergeCell ref="I50:L50"/>
    <mergeCell ref="F44:H44"/>
    <mergeCell ref="F45:H45"/>
    <mergeCell ref="B44:C44"/>
    <mergeCell ref="F40:H40"/>
    <mergeCell ref="F41:H41"/>
    <mergeCell ref="B43:C43"/>
    <mergeCell ref="F42:H42"/>
    <mergeCell ref="B38:C38"/>
    <mergeCell ref="D38:E38"/>
    <mergeCell ref="G37:I38"/>
    <mergeCell ref="F43:H43"/>
    <mergeCell ref="B42:C42"/>
    <mergeCell ref="J37:K37"/>
    <mergeCell ref="B39:C39"/>
    <mergeCell ref="D39:E39"/>
    <mergeCell ref="J38:K38"/>
    <mergeCell ref="B36:C36"/>
    <mergeCell ref="D36:E36"/>
    <mergeCell ref="G35:I36"/>
    <mergeCell ref="J35:L35"/>
    <mergeCell ref="B37:C37"/>
    <mergeCell ref="D37:E37"/>
    <mergeCell ref="J36:L36"/>
    <mergeCell ref="B35:C35"/>
    <mergeCell ref="D35:E35"/>
    <mergeCell ref="E32:H32"/>
    <mergeCell ref="J32:L32"/>
    <mergeCell ref="A34:C34"/>
    <mergeCell ref="D34:E34"/>
    <mergeCell ref="G34:L34"/>
    <mergeCell ref="A23:L23"/>
    <mergeCell ref="A24:A25"/>
    <mergeCell ref="B24:C24"/>
    <mergeCell ref="D24:E24"/>
    <mergeCell ref="F24:F25"/>
    <mergeCell ref="G24:G25"/>
    <mergeCell ref="H24:H25"/>
    <mergeCell ref="I24:I25"/>
    <mergeCell ref="J24:J25"/>
    <mergeCell ref="K24:K25"/>
    <mergeCell ref="L24:L25"/>
    <mergeCell ref="I9:I10"/>
    <mergeCell ref="J9:J10"/>
    <mergeCell ref="K9:K10"/>
    <mergeCell ref="L9:L10"/>
    <mergeCell ref="E22:H22"/>
    <mergeCell ref="J22:L22"/>
    <mergeCell ref="H9:H10"/>
    <mergeCell ref="A9:A10"/>
    <mergeCell ref="B9:C9"/>
    <mergeCell ref="D9:E9"/>
    <mergeCell ref="F9:F10"/>
    <mergeCell ref="G9:G10"/>
    <mergeCell ref="B6:K6"/>
    <mergeCell ref="P7:V7"/>
    <mergeCell ref="X7:Y7"/>
    <mergeCell ref="A8:L8"/>
    <mergeCell ref="P8:V8"/>
    <mergeCell ref="X8:Y8"/>
    <mergeCell ref="B5:C5"/>
    <mergeCell ref="F5:H5"/>
    <mergeCell ref="J5:L5"/>
    <mergeCell ref="A1:L1"/>
    <mergeCell ref="A2:L2"/>
    <mergeCell ref="B4:C4"/>
    <mergeCell ref="F4:H4"/>
    <mergeCell ref="J4:L4"/>
  </mergeCells>
  <pageMargins left="0.35433070866141736" right="0.23622047244094491" top="0.74803149606299213" bottom="0.74803149606299213" header="0.31496062992125984" footer="0.31496062992125984"/>
  <pageSetup scale="8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pageSetUpPr fitToPage="1"/>
  </sheetPr>
  <dimension ref="A1:Z52"/>
  <sheetViews>
    <sheetView showGridLines="0" showRuler="0" view="pageBreakPreview" zoomScale="115" zoomScaleNormal="130" zoomScaleSheetLayoutView="115" workbookViewId="0">
      <selection activeCell="B7" sqref="B7:D7"/>
    </sheetView>
  </sheetViews>
  <sheetFormatPr defaultRowHeight="15"/>
  <cols>
    <col min="1" max="1" width="3.7109375" customWidth="1"/>
    <col min="2" max="7" width="6.7109375" customWidth="1"/>
    <col min="8" max="19" width="3.28515625" customWidth="1"/>
    <col min="20" max="22" width="4.7109375" customWidth="1"/>
  </cols>
  <sheetData>
    <row r="1" spans="1:23" ht="15" customHeight="1">
      <c r="A1" s="900" t="s">
        <v>381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</row>
    <row r="2" spans="1:23" ht="15" customHeight="1">
      <c r="A2" s="900"/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</row>
    <row r="3" spans="1:23" ht="15.75">
      <c r="A3" s="777" t="s">
        <v>377</v>
      </c>
      <c r="B3" s="777"/>
      <c r="C3" s="777"/>
      <c r="D3" s="777"/>
      <c r="E3" s="777"/>
      <c r="F3" s="777"/>
      <c r="G3" s="777"/>
      <c r="H3" s="777"/>
      <c r="I3" s="777"/>
      <c r="J3" s="777"/>
      <c r="K3" s="777"/>
      <c r="L3" s="777"/>
      <c r="M3" s="777"/>
      <c r="N3" s="777"/>
      <c r="O3" s="777"/>
      <c r="P3" s="777"/>
      <c r="Q3" s="777"/>
      <c r="R3" s="777"/>
      <c r="S3" s="777"/>
      <c r="T3" s="777"/>
      <c r="U3" s="777"/>
      <c r="V3" s="777"/>
    </row>
    <row r="4" spans="1:23">
      <c r="A4" s="809" t="s">
        <v>382</v>
      </c>
      <c r="B4" s="809"/>
      <c r="C4" s="809"/>
      <c r="D4" s="805" t="s">
        <v>492</v>
      </c>
      <c r="E4" s="805"/>
      <c r="Q4" s="810" t="s">
        <v>21</v>
      </c>
      <c r="R4" s="810"/>
      <c r="S4" s="810"/>
      <c r="T4" s="901">
        <v>45784</v>
      </c>
      <c r="U4" s="902"/>
      <c r="V4" s="902"/>
    </row>
    <row r="5" spans="1:23" ht="15.75" thickBot="1"/>
    <row r="6" spans="1:23" s="303" customFormat="1" ht="30" customHeight="1" thickBot="1">
      <c r="A6" s="305"/>
      <c r="B6" s="790" t="s">
        <v>383</v>
      </c>
      <c r="C6" s="790"/>
      <c r="D6" s="790"/>
      <c r="E6" s="790" t="s">
        <v>384</v>
      </c>
      <c r="F6" s="790"/>
      <c r="G6" s="790"/>
      <c r="H6" s="790" t="s">
        <v>385</v>
      </c>
      <c r="I6" s="790"/>
      <c r="J6" s="790"/>
      <c r="K6" s="790" t="s">
        <v>386</v>
      </c>
      <c r="L6" s="790"/>
      <c r="M6" s="790"/>
      <c r="N6" s="791" t="s">
        <v>397</v>
      </c>
      <c r="O6" s="791"/>
      <c r="P6" s="791"/>
      <c r="Q6" s="790" t="s">
        <v>389</v>
      </c>
      <c r="R6" s="790"/>
      <c r="S6" s="790"/>
      <c r="T6" s="790" t="s">
        <v>387</v>
      </c>
      <c r="U6" s="790"/>
      <c r="V6" s="792"/>
    </row>
    <row r="7" spans="1:23">
      <c r="A7" s="306">
        <f>IF(B7="","",IF(E7="","",1))</f>
        <v>1</v>
      </c>
      <c r="B7" s="811" t="s">
        <v>489</v>
      </c>
      <c r="C7" s="812"/>
      <c r="D7" s="813"/>
      <c r="E7" s="814" t="s">
        <v>493</v>
      </c>
      <c r="F7" s="814"/>
      <c r="G7" s="814"/>
      <c r="H7" s="815">
        <v>1368</v>
      </c>
      <c r="I7" s="815"/>
      <c r="J7" s="815"/>
      <c r="K7" s="815">
        <v>11.5</v>
      </c>
      <c r="L7" s="815"/>
      <c r="M7" s="815"/>
      <c r="N7" s="815">
        <v>22</v>
      </c>
      <c r="O7" s="815"/>
      <c r="P7" s="815"/>
      <c r="Q7" s="793">
        <v>5</v>
      </c>
      <c r="R7" s="793"/>
      <c r="S7" s="793"/>
      <c r="T7" s="806">
        <f>IF(N7="","",IF(Q7="","",IFERROR(N7*Q7,"")))</f>
        <v>110</v>
      </c>
      <c r="U7" s="807"/>
      <c r="V7" s="808"/>
      <c r="W7" s="303"/>
    </row>
    <row r="8" spans="1:23">
      <c r="A8" s="307" t="str">
        <f>IF(A7="","",IF(B7="","",IF(E7="","",IF(H7="","",IF(K7="","",IF(N7="","",IF(B8="","",A7+1)))))))</f>
        <v/>
      </c>
      <c r="B8" s="794"/>
      <c r="C8" s="795"/>
      <c r="D8" s="796"/>
      <c r="E8" s="800"/>
      <c r="F8" s="800"/>
      <c r="G8" s="800"/>
      <c r="H8" s="801"/>
      <c r="I8" s="801"/>
      <c r="J8" s="801"/>
      <c r="K8" s="801"/>
      <c r="L8" s="801"/>
      <c r="M8" s="801"/>
      <c r="N8" s="801"/>
      <c r="O8" s="801"/>
      <c r="P8" s="801"/>
      <c r="Q8" s="802"/>
      <c r="R8" s="803"/>
      <c r="S8" s="804"/>
      <c r="T8" s="797" t="str">
        <f t="shared" ref="T8:T16" si="0">IF(N8="","",IF(Q8="","",IFERROR(N8*Q8,"")))</f>
        <v/>
      </c>
      <c r="U8" s="798"/>
      <c r="V8" s="799"/>
      <c r="W8" s="303"/>
    </row>
    <row r="9" spans="1:23">
      <c r="A9" s="307" t="str">
        <f t="shared" ref="A9:A14" si="1">IF(A8="","",IF(B8="","",IF(E8="","",IF(H8="","",IF(K8="","",IF(N8="","",IF(B9="","",A8+1)))))))</f>
        <v/>
      </c>
      <c r="B9" s="794"/>
      <c r="C9" s="795"/>
      <c r="D9" s="796"/>
      <c r="E9" s="800"/>
      <c r="F9" s="800"/>
      <c r="G9" s="800"/>
      <c r="H9" s="801"/>
      <c r="I9" s="801"/>
      <c r="J9" s="801"/>
      <c r="K9" s="801"/>
      <c r="L9" s="801"/>
      <c r="M9" s="801"/>
      <c r="N9" s="801"/>
      <c r="O9" s="801"/>
      <c r="P9" s="801"/>
      <c r="Q9" s="802"/>
      <c r="R9" s="803"/>
      <c r="S9" s="804"/>
      <c r="T9" s="797" t="str">
        <f>IF(N9="","",IF(Q9="","",IFERROR(N9*Q9,"")))</f>
        <v/>
      </c>
      <c r="U9" s="798"/>
      <c r="V9" s="799"/>
      <c r="W9" s="303"/>
    </row>
    <row r="10" spans="1:23">
      <c r="A10" s="307" t="str">
        <f t="shared" si="1"/>
        <v/>
      </c>
      <c r="B10" s="794"/>
      <c r="C10" s="795"/>
      <c r="D10" s="796"/>
      <c r="E10" s="800"/>
      <c r="F10" s="800"/>
      <c r="G10" s="800"/>
      <c r="H10" s="801"/>
      <c r="I10" s="801"/>
      <c r="J10" s="801"/>
      <c r="K10" s="801"/>
      <c r="L10" s="801"/>
      <c r="M10" s="801"/>
      <c r="N10" s="801"/>
      <c r="O10" s="801"/>
      <c r="P10" s="801"/>
      <c r="Q10" s="802"/>
      <c r="R10" s="803"/>
      <c r="S10" s="804"/>
      <c r="T10" s="797" t="str">
        <f t="shared" si="0"/>
        <v/>
      </c>
      <c r="U10" s="798"/>
      <c r="V10" s="799"/>
      <c r="W10" s="303"/>
    </row>
    <row r="11" spans="1:23">
      <c r="A11" s="307" t="str">
        <f t="shared" si="1"/>
        <v/>
      </c>
      <c r="B11" s="794"/>
      <c r="C11" s="795"/>
      <c r="D11" s="796"/>
      <c r="E11" s="800"/>
      <c r="F11" s="800"/>
      <c r="G11" s="800"/>
      <c r="H11" s="801"/>
      <c r="I11" s="801"/>
      <c r="J11" s="801"/>
      <c r="K11" s="801"/>
      <c r="L11" s="801"/>
      <c r="M11" s="801"/>
      <c r="N11" s="801"/>
      <c r="O11" s="801"/>
      <c r="P11" s="801"/>
      <c r="Q11" s="802"/>
      <c r="R11" s="803"/>
      <c r="S11" s="804"/>
      <c r="T11" s="797" t="str">
        <f t="shared" si="0"/>
        <v/>
      </c>
      <c r="U11" s="798"/>
      <c r="V11" s="799"/>
      <c r="W11" s="303"/>
    </row>
    <row r="12" spans="1:23">
      <c r="A12" s="307" t="str">
        <f t="shared" si="1"/>
        <v/>
      </c>
      <c r="B12" s="794"/>
      <c r="C12" s="795"/>
      <c r="D12" s="796"/>
      <c r="E12" s="800"/>
      <c r="F12" s="800"/>
      <c r="G12" s="800"/>
      <c r="H12" s="801"/>
      <c r="I12" s="801"/>
      <c r="J12" s="801"/>
      <c r="K12" s="801"/>
      <c r="L12" s="801"/>
      <c r="M12" s="801"/>
      <c r="N12" s="801"/>
      <c r="O12" s="801"/>
      <c r="P12" s="801"/>
      <c r="Q12" s="802"/>
      <c r="R12" s="803"/>
      <c r="S12" s="804"/>
      <c r="T12" s="797" t="str">
        <f t="shared" si="0"/>
        <v/>
      </c>
      <c r="U12" s="798"/>
      <c r="V12" s="799"/>
      <c r="W12" s="303"/>
    </row>
    <row r="13" spans="1:23">
      <c r="A13" s="307" t="str">
        <f t="shared" si="1"/>
        <v/>
      </c>
      <c r="B13" s="800"/>
      <c r="C13" s="800"/>
      <c r="D13" s="800"/>
      <c r="E13" s="800"/>
      <c r="F13" s="800"/>
      <c r="G13" s="800"/>
      <c r="H13" s="801"/>
      <c r="I13" s="801"/>
      <c r="J13" s="801"/>
      <c r="K13" s="801"/>
      <c r="L13" s="801"/>
      <c r="M13" s="801"/>
      <c r="N13" s="801"/>
      <c r="O13" s="801"/>
      <c r="P13" s="801"/>
      <c r="Q13" s="802"/>
      <c r="R13" s="803"/>
      <c r="S13" s="804"/>
      <c r="T13" s="797" t="str">
        <f t="shared" si="0"/>
        <v/>
      </c>
      <c r="U13" s="798"/>
      <c r="V13" s="799"/>
      <c r="W13" s="303"/>
    </row>
    <row r="14" spans="1:23">
      <c r="A14" s="307" t="str">
        <f t="shared" si="1"/>
        <v/>
      </c>
      <c r="B14" s="800"/>
      <c r="C14" s="800"/>
      <c r="D14" s="800"/>
      <c r="E14" s="800"/>
      <c r="F14" s="800"/>
      <c r="G14" s="800"/>
      <c r="H14" s="801"/>
      <c r="I14" s="801"/>
      <c r="J14" s="801"/>
      <c r="K14" s="801"/>
      <c r="L14" s="801"/>
      <c r="M14" s="801"/>
      <c r="N14" s="801"/>
      <c r="O14" s="801"/>
      <c r="P14" s="801"/>
      <c r="Q14" s="802"/>
      <c r="R14" s="803"/>
      <c r="S14" s="804"/>
      <c r="T14" s="797" t="str">
        <f t="shared" si="0"/>
        <v/>
      </c>
      <c r="U14" s="798"/>
      <c r="V14" s="799"/>
      <c r="W14" s="303"/>
    </row>
    <row r="15" spans="1:23">
      <c r="A15" s="307" t="str">
        <f>IF(A14="","",IF(B14="","",IF(E14="","",IF(H14="","",IF(K14="","",IF(N14="","",IF(B15="","",A14+1)))))))</f>
        <v/>
      </c>
      <c r="B15" s="800"/>
      <c r="C15" s="800"/>
      <c r="D15" s="800"/>
      <c r="E15" s="800"/>
      <c r="F15" s="800"/>
      <c r="G15" s="800"/>
      <c r="H15" s="801"/>
      <c r="I15" s="801"/>
      <c r="J15" s="801"/>
      <c r="K15" s="801"/>
      <c r="L15" s="801"/>
      <c r="M15" s="801"/>
      <c r="N15" s="801"/>
      <c r="O15" s="801"/>
      <c r="P15" s="801"/>
      <c r="Q15" s="802"/>
      <c r="R15" s="803"/>
      <c r="S15" s="804"/>
      <c r="T15" s="797" t="str">
        <f t="shared" si="0"/>
        <v/>
      </c>
      <c r="U15" s="798"/>
      <c r="V15" s="799"/>
      <c r="W15" s="303"/>
    </row>
    <row r="16" spans="1:23" ht="15.75" thickBot="1">
      <c r="A16" s="308" t="str">
        <f>IF(A15="","",IF(B15="","",IF(E15="","",IF(H15="","",IF(K15="","",IF(N15="","",IF(B16="","",A15+1)))))))</f>
        <v/>
      </c>
      <c r="B16" s="816"/>
      <c r="C16" s="816"/>
      <c r="D16" s="816"/>
      <c r="E16" s="816"/>
      <c r="F16" s="816"/>
      <c r="G16" s="816"/>
      <c r="H16" s="817"/>
      <c r="I16" s="817"/>
      <c r="J16" s="817"/>
      <c r="K16" s="817"/>
      <c r="L16" s="817"/>
      <c r="M16" s="817"/>
      <c r="N16" s="817"/>
      <c r="O16" s="817"/>
      <c r="P16" s="817"/>
      <c r="Q16" s="818"/>
      <c r="R16" s="819"/>
      <c r="S16" s="820"/>
      <c r="T16" s="821" t="str">
        <f t="shared" si="0"/>
        <v/>
      </c>
      <c r="U16" s="822"/>
      <c r="V16" s="823"/>
      <c r="W16" s="303"/>
    </row>
    <row r="17" spans="1:23" ht="15.75" thickBot="1">
      <c r="B17" s="304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304"/>
      <c r="V17" s="304"/>
      <c r="W17" s="303"/>
    </row>
    <row r="18" spans="1:23" ht="15.75" customHeight="1">
      <c r="A18" s="837" t="s">
        <v>395</v>
      </c>
      <c r="B18" s="553"/>
      <c r="C18" s="553"/>
      <c r="D18" s="838"/>
      <c r="E18" s="833" t="s">
        <v>392</v>
      </c>
      <c r="F18" s="834"/>
      <c r="G18" s="834"/>
      <c r="H18" s="835">
        <v>250</v>
      </c>
      <c r="I18" s="835"/>
      <c r="J18" s="836"/>
      <c r="K18" s="861" t="s">
        <v>391</v>
      </c>
      <c r="L18" s="834"/>
      <c r="M18" s="834"/>
      <c r="N18" s="834"/>
      <c r="O18" s="834"/>
      <c r="P18" s="834"/>
      <c r="Q18" s="834"/>
      <c r="R18" s="834"/>
      <c r="S18" s="834"/>
      <c r="T18" s="864">
        <v>132</v>
      </c>
      <c r="U18" s="864"/>
      <c r="V18" s="865"/>
      <c r="W18" s="303"/>
    </row>
    <row r="19" spans="1:23" ht="15.75" customHeight="1">
      <c r="A19" s="839"/>
      <c r="B19" s="840"/>
      <c r="C19" s="840"/>
      <c r="D19" s="841"/>
      <c r="E19" s="882" t="s">
        <v>398</v>
      </c>
      <c r="F19" s="863"/>
      <c r="G19" s="863"/>
      <c r="H19" s="801">
        <v>20</v>
      </c>
      <c r="I19" s="801"/>
      <c r="J19" s="828"/>
      <c r="K19" s="862"/>
      <c r="L19" s="863"/>
      <c r="M19" s="863"/>
      <c r="N19" s="863"/>
      <c r="O19" s="863"/>
      <c r="P19" s="863"/>
      <c r="Q19" s="863"/>
      <c r="R19" s="863"/>
      <c r="S19" s="863"/>
      <c r="T19" s="866"/>
      <c r="U19" s="866"/>
      <c r="V19" s="867"/>
      <c r="W19" s="303"/>
    </row>
    <row r="20" spans="1:23" ht="15" customHeight="1" thickBot="1">
      <c r="A20" s="839"/>
      <c r="B20" s="840"/>
      <c r="C20" s="840"/>
      <c r="D20" s="841"/>
      <c r="E20" s="853" t="s">
        <v>487</v>
      </c>
      <c r="F20" s="854"/>
      <c r="G20" s="854"/>
      <c r="H20" s="903">
        <v>22</v>
      </c>
      <c r="I20" s="903"/>
      <c r="J20" s="904"/>
      <c r="K20" s="824" t="s">
        <v>393</v>
      </c>
      <c r="L20" s="825"/>
      <c r="M20" s="825"/>
      <c r="N20" s="825"/>
      <c r="O20" s="825"/>
      <c r="P20" s="825"/>
      <c r="Q20" s="825"/>
      <c r="R20" s="825"/>
      <c r="S20" s="825"/>
      <c r="T20" s="826">
        <f>IF(H21="","",ROUND(H18-T18,3))</f>
        <v>118</v>
      </c>
      <c r="U20" s="826"/>
      <c r="V20" s="827"/>
      <c r="W20" s="303"/>
    </row>
    <row r="21" spans="1:23" ht="15.75" customHeight="1" thickBot="1">
      <c r="A21" s="839"/>
      <c r="B21" s="840"/>
      <c r="C21" s="840"/>
      <c r="D21" s="841"/>
      <c r="E21" s="833" t="s">
        <v>390</v>
      </c>
      <c r="F21" s="834"/>
      <c r="G21" s="834"/>
      <c r="H21" s="876">
        <f>IF(SUM(T7:V16)=0,"",SUM(T7:V16))</f>
        <v>110</v>
      </c>
      <c r="I21" s="877"/>
      <c r="J21" s="878"/>
      <c r="K21" s="824"/>
      <c r="L21" s="825"/>
      <c r="M21" s="825"/>
      <c r="N21" s="825"/>
      <c r="O21" s="825"/>
      <c r="P21" s="825"/>
      <c r="Q21" s="825"/>
      <c r="R21" s="825"/>
      <c r="S21" s="825"/>
      <c r="T21" s="826"/>
      <c r="U21" s="826"/>
      <c r="V21" s="827"/>
      <c r="W21" s="303"/>
    </row>
    <row r="22" spans="1:23" ht="15.75" customHeight="1" thickBot="1">
      <c r="A22" s="839"/>
      <c r="B22" s="840"/>
      <c r="C22" s="840"/>
      <c r="D22" s="841"/>
      <c r="E22" s="859"/>
      <c r="F22" s="860"/>
      <c r="G22" s="860"/>
      <c r="H22" s="879"/>
      <c r="I22" s="880"/>
      <c r="J22" s="881"/>
      <c r="K22" s="829" t="s">
        <v>488</v>
      </c>
      <c r="L22" s="830"/>
      <c r="M22" s="830"/>
      <c r="N22" s="830"/>
      <c r="O22" s="830"/>
      <c r="P22" s="830"/>
      <c r="Q22" s="830"/>
      <c r="R22" s="830"/>
      <c r="S22" s="830"/>
      <c r="T22" s="888"/>
      <c r="U22" s="888"/>
      <c r="V22" s="889"/>
      <c r="W22" s="303"/>
    </row>
    <row r="23" spans="1:23" ht="15.75" customHeight="1" thickBot="1">
      <c r="A23" s="839"/>
      <c r="B23" s="840"/>
      <c r="C23" s="840"/>
      <c r="D23" s="841"/>
      <c r="E23" s="855" t="s">
        <v>484</v>
      </c>
      <c r="F23" s="856"/>
      <c r="G23" s="856"/>
      <c r="H23" s="857">
        <f>IF(SUM(H7:J16)=0,"",SUM(H7:J16))</f>
        <v>1368</v>
      </c>
      <c r="I23" s="857"/>
      <c r="J23" s="858"/>
      <c r="K23" s="831"/>
      <c r="L23" s="832"/>
      <c r="M23" s="832"/>
      <c r="N23" s="832"/>
      <c r="O23" s="832"/>
      <c r="P23" s="832"/>
      <c r="Q23" s="832"/>
      <c r="R23" s="832"/>
      <c r="S23" s="832"/>
      <c r="T23" s="890"/>
      <c r="U23" s="890"/>
      <c r="V23" s="891"/>
      <c r="W23" s="303"/>
    </row>
    <row r="24" spans="1:23" ht="15.75" customHeight="1">
      <c r="A24" s="839"/>
      <c r="B24" s="840"/>
      <c r="C24" s="840"/>
      <c r="D24" s="841"/>
      <c r="E24" s="847" t="s">
        <v>485</v>
      </c>
      <c r="F24" s="848"/>
      <c r="G24" s="848"/>
      <c r="H24" s="845">
        <v>5</v>
      </c>
      <c r="I24" s="845"/>
      <c r="J24" s="846"/>
      <c r="K24" s="872" t="s">
        <v>394</v>
      </c>
      <c r="L24" s="873"/>
      <c r="M24" s="873"/>
      <c r="N24" s="873"/>
      <c r="O24" s="873"/>
      <c r="P24" s="873"/>
      <c r="Q24" s="873"/>
      <c r="R24" s="873"/>
      <c r="S24" s="873"/>
      <c r="T24" s="868">
        <f>IF(T20="","",ROUND(T20+T22,3))</f>
        <v>118</v>
      </c>
      <c r="U24" s="868"/>
      <c r="V24" s="869"/>
      <c r="W24" s="303"/>
    </row>
    <row r="25" spans="1:23" ht="15.75" customHeight="1" thickBot="1">
      <c r="A25" s="842"/>
      <c r="B25" s="843"/>
      <c r="C25" s="843"/>
      <c r="D25" s="844"/>
      <c r="E25" s="849" t="s">
        <v>486</v>
      </c>
      <c r="F25" s="850"/>
      <c r="G25" s="850"/>
      <c r="H25" s="851">
        <v>0</v>
      </c>
      <c r="I25" s="851"/>
      <c r="J25" s="852"/>
      <c r="K25" s="874"/>
      <c r="L25" s="875"/>
      <c r="M25" s="875"/>
      <c r="N25" s="875"/>
      <c r="O25" s="875"/>
      <c r="P25" s="875"/>
      <c r="Q25" s="875"/>
      <c r="R25" s="875"/>
      <c r="S25" s="875"/>
      <c r="T25" s="870"/>
      <c r="U25" s="870"/>
      <c r="V25" s="871"/>
      <c r="W25" s="303"/>
    </row>
    <row r="26" spans="1:23" ht="15.75" thickBot="1"/>
    <row r="27" spans="1:23" ht="30" customHeight="1" thickBot="1">
      <c r="A27" s="305"/>
      <c r="B27" s="790" t="s">
        <v>383</v>
      </c>
      <c r="C27" s="790"/>
      <c r="D27" s="790"/>
      <c r="E27" s="790" t="s">
        <v>384</v>
      </c>
      <c r="F27" s="790"/>
      <c r="G27" s="790"/>
      <c r="H27" s="790" t="s">
        <v>385</v>
      </c>
      <c r="I27" s="790"/>
      <c r="J27" s="790"/>
      <c r="K27" s="790" t="s">
        <v>386</v>
      </c>
      <c r="L27" s="790"/>
      <c r="M27" s="790"/>
      <c r="N27" s="791" t="s">
        <v>397</v>
      </c>
      <c r="O27" s="791"/>
      <c r="P27" s="791"/>
      <c r="Q27" s="790" t="s">
        <v>389</v>
      </c>
      <c r="R27" s="790"/>
      <c r="S27" s="790"/>
      <c r="T27" s="790" t="s">
        <v>388</v>
      </c>
      <c r="U27" s="790"/>
      <c r="V27" s="792"/>
    </row>
    <row r="28" spans="1:23">
      <c r="A28" s="306" t="str">
        <f>IF(B28="","",IF(E28="","",1))</f>
        <v/>
      </c>
      <c r="B28" s="814"/>
      <c r="C28" s="814"/>
      <c r="D28" s="814"/>
      <c r="E28" s="814"/>
      <c r="F28" s="814"/>
      <c r="G28" s="814"/>
      <c r="H28" s="815"/>
      <c r="I28" s="815"/>
      <c r="J28" s="815"/>
      <c r="K28" s="815"/>
      <c r="L28" s="815"/>
      <c r="M28" s="815"/>
      <c r="N28" s="815"/>
      <c r="O28" s="815"/>
      <c r="P28" s="815"/>
      <c r="Q28" s="793"/>
      <c r="R28" s="793"/>
      <c r="S28" s="793"/>
      <c r="T28" s="883" t="str">
        <f>IF(N28="","",IF(Q28="","",IFERROR(N28*Q28,"")))</f>
        <v/>
      </c>
      <c r="U28" s="883"/>
      <c r="V28" s="884"/>
      <c r="W28">
        <v>1</v>
      </c>
    </row>
    <row r="29" spans="1:23">
      <c r="A29" s="307" t="str">
        <f>IF(A28="","",IF(B28="","",IF(E28="","",IF(H28="","",IF(K28="","",IF(N28="","",IF(B29="","",A28+1)))))))</f>
        <v/>
      </c>
      <c r="B29" s="800"/>
      <c r="C29" s="800"/>
      <c r="D29" s="800"/>
      <c r="E29" s="800"/>
      <c r="F29" s="800"/>
      <c r="G29" s="800"/>
      <c r="H29" s="801"/>
      <c r="I29" s="801"/>
      <c r="J29" s="801"/>
      <c r="K29" s="801"/>
      <c r="L29" s="801"/>
      <c r="M29" s="801"/>
      <c r="N29" s="801"/>
      <c r="O29" s="801"/>
      <c r="P29" s="801"/>
      <c r="Q29" s="802"/>
      <c r="R29" s="803"/>
      <c r="S29" s="804"/>
      <c r="T29" s="797" t="str">
        <f t="shared" ref="T29:T37" si="2">IF(N29="","",IF(Q29="","",IFERROR(N29*Q29,"")))</f>
        <v/>
      </c>
      <c r="U29" s="798"/>
      <c r="V29" s="799"/>
    </row>
    <row r="30" spans="1:23">
      <c r="A30" s="307" t="str">
        <f t="shared" ref="A30:A37" si="3">IF(A29="","",IF(B29="","",IF(E29="","",IF(H29="","",IF(K29="","",IF(N29="","",IF(B30="","",A29+1)))))))</f>
        <v/>
      </c>
      <c r="B30" s="800"/>
      <c r="C30" s="800"/>
      <c r="D30" s="800"/>
      <c r="E30" s="800"/>
      <c r="F30" s="800"/>
      <c r="G30" s="800"/>
      <c r="H30" s="801"/>
      <c r="I30" s="801"/>
      <c r="J30" s="801"/>
      <c r="K30" s="801"/>
      <c r="L30" s="801"/>
      <c r="M30" s="801"/>
      <c r="N30" s="801"/>
      <c r="O30" s="801"/>
      <c r="P30" s="801"/>
      <c r="Q30" s="802"/>
      <c r="R30" s="803"/>
      <c r="S30" s="804"/>
      <c r="T30" s="797" t="str">
        <f t="shared" si="2"/>
        <v/>
      </c>
      <c r="U30" s="798"/>
      <c r="V30" s="799"/>
    </row>
    <row r="31" spans="1:23">
      <c r="A31" s="307" t="str">
        <f t="shared" si="3"/>
        <v/>
      </c>
      <c r="B31" s="800"/>
      <c r="C31" s="800"/>
      <c r="D31" s="800"/>
      <c r="E31" s="800"/>
      <c r="F31" s="800"/>
      <c r="G31" s="800"/>
      <c r="H31" s="801"/>
      <c r="I31" s="801"/>
      <c r="J31" s="801"/>
      <c r="K31" s="801"/>
      <c r="L31" s="801"/>
      <c r="M31" s="801"/>
      <c r="N31" s="801"/>
      <c r="O31" s="801"/>
      <c r="P31" s="801"/>
      <c r="Q31" s="802"/>
      <c r="R31" s="803"/>
      <c r="S31" s="804"/>
      <c r="T31" s="797" t="str">
        <f t="shared" si="2"/>
        <v/>
      </c>
      <c r="U31" s="798"/>
      <c r="V31" s="799"/>
    </row>
    <row r="32" spans="1:23">
      <c r="A32" s="307" t="str">
        <f t="shared" si="3"/>
        <v/>
      </c>
      <c r="B32" s="800"/>
      <c r="C32" s="800"/>
      <c r="D32" s="800"/>
      <c r="E32" s="800"/>
      <c r="F32" s="800"/>
      <c r="G32" s="800"/>
      <c r="H32" s="801"/>
      <c r="I32" s="801"/>
      <c r="J32" s="801"/>
      <c r="K32" s="801"/>
      <c r="L32" s="801"/>
      <c r="M32" s="801"/>
      <c r="N32" s="801"/>
      <c r="O32" s="801"/>
      <c r="P32" s="801"/>
      <c r="Q32" s="802"/>
      <c r="R32" s="803"/>
      <c r="S32" s="804"/>
      <c r="T32" s="797" t="str">
        <f t="shared" si="2"/>
        <v/>
      </c>
      <c r="U32" s="798"/>
      <c r="V32" s="799"/>
    </row>
    <row r="33" spans="1:26">
      <c r="A33" s="307" t="str">
        <f t="shared" si="3"/>
        <v/>
      </c>
      <c r="B33" s="800"/>
      <c r="C33" s="800"/>
      <c r="D33" s="800"/>
      <c r="E33" s="800"/>
      <c r="F33" s="800"/>
      <c r="G33" s="800"/>
      <c r="H33" s="801"/>
      <c r="I33" s="801"/>
      <c r="J33" s="801"/>
      <c r="K33" s="801"/>
      <c r="L33" s="801"/>
      <c r="M33" s="801"/>
      <c r="N33" s="801"/>
      <c r="O33" s="801"/>
      <c r="P33" s="801"/>
      <c r="Q33" s="802"/>
      <c r="R33" s="803"/>
      <c r="S33" s="804"/>
      <c r="T33" s="797" t="str">
        <f t="shared" si="2"/>
        <v/>
      </c>
      <c r="U33" s="798"/>
      <c r="V33" s="799"/>
    </row>
    <row r="34" spans="1:26">
      <c r="A34" s="307" t="str">
        <f t="shared" si="3"/>
        <v/>
      </c>
      <c r="B34" s="800"/>
      <c r="C34" s="800"/>
      <c r="D34" s="800"/>
      <c r="E34" s="800"/>
      <c r="F34" s="800"/>
      <c r="G34" s="800"/>
      <c r="H34" s="801"/>
      <c r="I34" s="801"/>
      <c r="J34" s="801"/>
      <c r="K34" s="801"/>
      <c r="L34" s="801"/>
      <c r="M34" s="801"/>
      <c r="N34" s="801"/>
      <c r="O34" s="801"/>
      <c r="P34" s="801"/>
      <c r="Q34" s="802"/>
      <c r="R34" s="803"/>
      <c r="S34" s="804"/>
      <c r="T34" s="797" t="str">
        <f t="shared" si="2"/>
        <v/>
      </c>
      <c r="U34" s="798"/>
      <c r="V34" s="799"/>
    </row>
    <row r="35" spans="1:26">
      <c r="A35" s="307" t="str">
        <f t="shared" si="3"/>
        <v/>
      </c>
      <c r="B35" s="800"/>
      <c r="C35" s="800"/>
      <c r="D35" s="800"/>
      <c r="E35" s="800"/>
      <c r="F35" s="800"/>
      <c r="G35" s="800"/>
      <c r="H35" s="801"/>
      <c r="I35" s="801"/>
      <c r="J35" s="801"/>
      <c r="K35" s="801"/>
      <c r="L35" s="801"/>
      <c r="M35" s="801"/>
      <c r="N35" s="801"/>
      <c r="O35" s="801"/>
      <c r="P35" s="801"/>
      <c r="Q35" s="802"/>
      <c r="R35" s="803"/>
      <c r="S35" s="804"/>
      <c r="T35" s="797" t="str">
        <f t="shared" si="2"/>
        <v/>
      </c>
      <c r="U35" s="798"/>
      <c r="V35" s="799"/>
    </row>
    <row r="36" spans="1:26">
      <c r="A36" s="307" t="str">
        <f t="shared" si="3"/>
        <v/>
      </c>
      <c r="B36" s="800"/>
      <c r="C36" s="800"/>
      <c r="D36" s="800"/>
      <c r="E36" s="800"/>
      <c r="F36" s="800"/>
      <c r="G36" s="800"/>
      <c r="H36" s="801"/>
      <c r="I36" s="801"/>
      <c r="J36" s="801"/>
      <c r="K36" s="801"/>
      <c r="L36" s="801"/>
      <c r="M36" s="801"/>
      <c r="N36" s="801"/>
      <c r="O36" s="801"/>
      <c r="P36" s="801"/>
      <c r="Q36" s="802"/>
      <c r="R36" s="803"/>
      <c r="S36" s="804"/>
      <c r="T36" s="797" t="str">
        <f t="shared" si="2"/>
        <v/>
      </c>
      <c r="U36" s="798"/>
      <c r="V36" s="799"/>
    </row>
    <row r="37" spans="1:26" ht="15.75" thickBot="1">
      <c r="A37" s="308" t="str">
        <f t="shared" si="3"/>
        <v/>
      </c>
      <c r="B37" s="816"/>
      <c r="C37" s="816"/>
      <c r="D37" s="816"/>
      <c r="E37" s="816"/>
      <c r="F37" s="816"/>
      <c r="G37" s="816"/>
      <c r="H37" s="817"/>
      <c r="I37" s="817"/>
      <c r="J37" s="817"/>
      <c r="K37" s="817"/>
      <c r="L37" s="817"/>
      <c r="M37" s="817"/>
      <c r="N37" s="817"/>
      <c r="O37" s="817"/>
      <c r="P37" s="817"/>
      <c r="Q37" s="818"/>
      <c r="R37" s="819"/>
      <c r="S37" s="820"/>
      <c r="T37" s="821" t="str">
        <f t="shared" si="2"/>
        <v/>
      </c>
      <c r="U37" s="822"/>
      <c r="V37" s="823"/>
    </row>
    <row r="38" spans="1:26" ht="15.75" thickBot="1"/>
    <row r="39" spans="1:26" ht="15" customHeight="1">
      <c r="A39" s="837" t="s">
        <v>396</v>
      </c>
      <c r="B39" s="553"/>
      <c r="C39" s="553"/>
      <c r="D39" s="838"/>
      <c r="E39" s="833" t="s">
        <v>392</v>
      </c>
      <c r="F39" s="834"/>
      <c r="G39" s="834"/>
      <c r="H39" s="835"/>
      <c r="I39" s="835"/>
      <c r="J39" s="836"/>
      <c r="K39" s="861" t="s">
        <v>391</v>
      </c>
      <c r="L39" s="834"/>
      <c r="M39" s="834"/>
      <c r="N39" s="834"/>
      <c r="O39" s="834"/>
      <c r="P39" s="834"/>
      <c r="Q39" s="834"/>
      <c r="R39" s="834"/>
      <c r="S39" s="834"/>
      <c r="T39" s="864">
        <v>0</v>
      </c>
      <c r="U39" s="864"/>
      <c r="V39" s="865"/>
      <c r="Y39" s="453"/>
      <c r="Z39" s="453"/>
    </row>
    <row r="40" spans="1:26" ht="15" customHeight="1">
      <c r="A40" s="839"/>
      <c r="B40" s="840"/>
      <c r="C40" s="840"/>
      <c r="D40" s="841"/>
      <c r="E40" s="882" t="s">
        <v>398</v>
      </c>
      <c r="F40" s="863"/>
      <c r="G40" s="863"/>
      <c r="H40" s="801"/>
      <c r="I40" s="801"/>
      <c r="J40" s="828"/>
      <c r="K40" s="862"/>
      <c r="L40" s="863"/>
      <c r="M40" s="863"/>
      <c r="N40" s="863"/>
      <c r="O40" s="863"/>
      <c r="P40" s="863"/>
      <c r="Q40" s="863"/>
      <c r="R40" s="863"/>
      <c r="S40" s="863"/>
      <c r="T40" s="866"/>
      <c r="U40" s="866"/>
      <c r="V40" s="867"/>
    </row>
    <row r="41" spans="1:26" ht="15.75" customHeight="1" thickBot="1">
      <c r="A41" s="839"/>
      <c r="B41" s="840"/>
      <c r="C41" s="840"/>
      <c r="D41" s="841"/>
      <c r="E41" s="853" t="s">
        <v>487</v>
      </c>
      <c r="F41" s="854"/>
      <c r="G41" s="854"/>
      <c r="H41" s="885"/>
      <c r="I41" s="886"/>
      <c r="J41" s="887"/>
      <c r="K41" s="824" t="s">
        <v>393</v>
      </c>
      <c r="L41" s="825"/>
      <c r="M41" s="825"/>
      <c r="N41" s="825"/>
      <c r="O41" s="825"/>
      <c r="P41" s="825"/>
      <c r="Q41" s="825"/>
      <c r="R41" s="825"/>
      <c r="S41" s="825"/>
      <c r="T41" s="826" t="str">
        <f>IF(H39="","",ROUND(H39-T39,3))</f>
        <v/>
      </c>
      <c r="U41" s="826"/>
      <c r="V41" s="827"/>
    </row>
    <row r="42" spans="1:26" ht="15.75" thickBot="1">
      <c r="A42" s="839"/>
      <c r="B42" s="840"/>
      <c r="C42" s="840"/>
      <c r="D42" s="841"/>
      <c r="E42" s="833" t="s">
        <v>390</v>
      </c>
      <c r="F42" s="834"/>
      <c r="G42" s="834"/>
      <c r="H42" s="864" t="str">
        <f>IF(SUM(T28:V37)=0,"",SUM(T28:V37))</f>
        <v/>
      </c>
      <c r="I42" s="864"/>
      <c r="J42" s="865"/>
      <c r="K42" s="824"/>
      <c r="L42" s="825"/>
      <c r="M42" s="825"/>
      <c r="N42" s="825"/>
      <c r="O42" s="825"/>
      <c r="P42" s="825"/>
      <c r="Q42" s="825"/>
      <c r="R42" s="825"/>
      <c r="S42" s="825"/>
      <c r="T42" s="826"/>
      <c r="U42" s="826"/>
      <c r="V42" s="827"/>
    </row>
    <row r="43" spans="1:26" ht="15.75" thickBot="1">
      <c r="A43" s="839"/>
      <c r="B43" s="840"/>
      <c r="C43" s="840"/>
      <c r="D43" s="841"/>
      <c r="E43" s="859"/>
      <c r="F43" s="860"/>
      <c r="G43" s="860"/>
      <c r="H43" s="896"/>
      <c r="I43" s="896"/>
      <c r="J43" s="897"/>
      <c r="K43" s="894" t="s">
        <v>488</v>
      </c>
      <c r="L43" s="830"/>
      <c r="M43" s="830"/>
      <c r="N43" s="830"/>
      <c r="O43" s="830"/>
      <c r="P43" s="830"/>
      <c r="Q43" s="830"/>
      <c r="R43" s="830"/>
      <c r="S43" s="830"/>
      <c r="T43" s="888"/>
      <c r="U43" s="888"/>
      <c r="V43" s="889"/>
    </row>
    <row r="44" spans="1:26" ht="15.75" thickBot="1">
      <c r="A44" s="839"/>
      <c r="B44" s="840"/>
      <c r="C44" s="840"/>
      <c r="D44" s="841"/>
      <c r="E44" s="855" t="s">
        <v>484</v>
      </c>
      <c r="F44" s="856"/>
      <c r="G44" s="856"/>
      <c r="H44" s="857" t="str">
        <f>IF(SUM(H28:J37)=0,"",SUM(H28:J37))</f>
        <v/>
      </c>
      <c r="I44" s="857"/>
      <c r="J44" s="858"/>
      <c r="K44" s="895"/>
      <c r="L44" s="832"/>
      <c r="M44" s="832"/>
      <c r="N44" s="832"/>
      <c r="O44" s="832"/>
      <c r="P44" s="832"/>
      <c r="Q44" s="832"/>
      <c r="R44" s="832"/>
      <c r="S44" s="832"/>
      <c r="T44" s="890"/>
      <c r="U44" s="890"/>
      <c r="V44" s="891"/>
    </row>
    <row r="45" spans="1:26" ht="15" customHeight="1">
      <c r="A45" s="839"/>
      <c r="B45" s="840"/>
      <c r="C45" s="840"/>
      <c r="D45" s="841"/>
      <c r="E45" s="847" t="s">
        <v>485</v>
      </c>
      <c r="F45" s="848"/>
      <c r="G45" s="848"/>
      <c r="H45" s="845">
        <v>0</v>
      </c>
      <c r="I45" s="845"/>
      <c r="J45" s="846"/>
      <c r="K45" s="872" t="s">
        <v>394</v>
      </c>
      <c r="L45" s="873"/>
      <c r="M45" s="873"/>
      <c r="N45" s="873"/>
      <c r="O45" s="873"/>
      <c r="P45" s="873"/>
      <c r="Q45" s="873"/>
      <c r="R45" s="873"/>
      <c r="S45" s="873"/>
      <c r="T45" s="868" t="str">
        <f>IF(T41="","",ROUND(T41+T43,3))</f>
        <v/>
      </c>
      <c r="U45" s="868"/>
      <c r="V45" s="869"/>
    </row>
    <row r="46" spans="1:26" ht="15.75" thickBot="1">
      <c r="A46" s="842"/>
      <c r="B46" s="843"/>
      <c r="C46" s="843"/>
      <c r="D46" s="844"/>
      <c r="E46" s="849" t="s">
        <v>486</v>
      </c>
      <c r="F46" s="850"/>
      <c r="G46" s="850"/>
      <c r="H46" s="898">
        <v>0</v>
      </c>
      <c r="I46" s="898"/>
      <c r="J46" s="899"/>
      <c r="K46" s="874"/>
      <c r="L46" s="875"/>
      <c r="M46" s="875"/>
      <c r="N46" s="875"/>
      <c r="O46" s="875"/>
      <c r="P46" s="875"/>
      <c r="Q46" s="875"/>
      <c r="R46" s="875"/>
      <c r="S46" s="875"/>
      <c r="T46" s="870"/>
      <c r="U46" s="870"/>
      <c r="V46" s="871"/>
    </row>
    <row r="50" spans="17:22">
      <c r="Q50" s="892"/>
      <c r="R50" s="892"/>
      <c r="S50" s="892"/>
      <c r="T50" s="892"/>
      <c r="U50" s="892"/>
      <c r="V50" s="892"/>
    </row>
    <row r="51" spans="17:22" ht="15.75" thickBot="1">
      <c r="Q51" s="893" t="s">
        <v>399</v>
      </c>
      <c r="R51" s="893"/>
      <c r="S51" s="893"/>
      <c r="T51" s="893"/>
      <c r="U51" s="893"/>
      <c r="V51" s="893"/>
    </row>
    <row r="52" spans="17:22">
      <c r="Q52" s="892" t="s">
        <v>67</v>
      </c>
      <c r="R52" s="892"/>
      <c r="S52" s="892"/>
      <c r="T52" s="892"/>
      <c r="U52" s="892"/>
      <c r="V52" s="892"/>
    </row>
  </sheetData>
  <mergeCells count="209">
    <mergeCell ref="B37:D37"/>
    <mergeCell ref="E37:G37"/>
    <mergeCell ref="H37:J37"/>
    <mergeCell ref="K37:M37"/>
    <mergeCell ref="N37:P37"/>
    <mergeCell ref="Q37:S37"/>
    <mergeCell ref="T35:V35"/>
    <mergeCell ref="B36:D36"/>
    <mergeCell ref="E36:G36"/>
    <mergeCell ref="H36:J36"/>
    <mergeCell ref="K36:M36"/>
    <mergeCell ref="N36:P36"/>
    <mergeCell ref="Q36:S36"/>
    <mergeCell ref="T36:V36"/>
    <mergeCell ref="B35:D35"/>
    <mergeCell ref="E35:G35"/>
    <mergeCell ref="B31:D31"/>
    <mergeCell ref="E31:G31"/>
    <mergeCell ref="H31:J31"/>
    <mergeCell ref="K31:M31"/>
    <mergeCell ref="A1:V2"/>
    <mergeCell ref="A3:V3"/>
    <mergeCell ref="T4:V4"/>
    <mergeCell ref="N32:P32"/>
    <mergeCell ref="Q32:S32"/>
    <mergeCell ref="T32:V32"/>
    <mergeCell ref="B29:D29"/>
    <mergeCell ref="E29:G29"/>
    <mergeCell ref="H29:J29"/>
    <mergeCell ref="K29:M29"/>
    <mergeCell ref="N29:P29"/>
    <mergeCell ref="Q29:S29"/>
    <mergeCell ref="T29:V29"/>
    <mergeCell ref="T22:V23"/>
    <mergeCell ref="H20:J20"/>
    <mergeCell ref="B28:D28"/>
    <mergeCell ref="E28:G28"/>
    <mergeCell ref="H28:J28"/>
    <mergeCell ref="K28:M28"/>
    <mergeCell ref="N28:P28"/>
    <mergeCell ref="K34:M34"/>
    <mergeCell ref="N34:P34"/>
    <mergeCell ref="Q34:S34"/>
    <mergeCell ref="T34:V34"/>
    <mergeCell ref="B33:D33"/>
    <mergeCell ref="E33:G33"/>
    <mergeCell ref="H33:J33"/>
    <mergeCell ref="K33:M33"/>
    <mergeCell ref="N33:P33"/>
    <mergeCell ref="Q33:S33"/>
    <mergeCell ref="T33:V33"/>
    <mergeCell ref="Q52:V52"/>
    <mergeCell ref="K45:S46"/>
    <mergeCell ref="T45:V46"/>
    <mergeCell ref="Q50:V50"/>
    <mergeCell ref="Q51:V51"/>
    <mergeCell ref="T41:V42"/>
    <mergeCell ref="T37:V37"/>
    <mergeCell ref="A39:D46"/>
    <mergeCell ref="K43:S44"/>
    <mergeCell ref="H42:J43"/>
    <mergeCell ref="E40:G40"/>
    <mergeCell ref="H40:J40"/>
    <mergeCell ref="E41:G41"/>
    <mergeCell ref="K39:S40"/>
    <mergeCell ref="T39:V40"/>
    <mergeCell ref="E39:G39"/>
    <mergeCell ref="H39:J39"/>
    <mergeCell ref="K41:S42"/>
    <mergeCell ref="E45:G45"/>
    <mergeCell ref="E46:G46"/>
    <mergeCell ref="H45:J45"/>
    <mergeCell ref="H46:J46"/>
    <mergeCell ref="H44:J44"/>
    <mergeCell ref="E44:G44"/>
    <mergeCell ref="E42:G43"/>
    <mergeCell ref="N31:P31"/>
    <mergeCell ref="Q31:S31"/>
    <mergeCell ref="T31:V31"/>
    <mergeCell ref="B30:D30"/>
    <mergeCell ref="E30:G30"/>
    <mergeCell ref="H30:J30"/>
    <mergeCell ref="K30:M30"/>
    <mergeCell ref="N30:P30"/>
    <mergeCell ref="Q30:S30"/>
    <mergeCell ref="T30:V30"/>
    <mergeCell ref="H41:J41"/>
    <mergeCell ref="T43:V44"/>
    <mergeCell ref="H35:J35"/>
    <mergeCell ref="K35:M35"/>
    <mergeCell ref="N35:P35"/>
    <mergeCell ref="Q35:S35"/>
    <mergeCell ref="B32:D32"/>
    <mergeCell ref="E32:G32"/>
    <mergeCell ref="H32:J32"/>
    <mergeCell ref="K32:M32"/>
    <mergeCell ref="B34:D34"/>
    <mergeCell ref="E34:G34"/>
    <mergeCell ref="H34:J34"/>
    <mergeCell ref="Q28:S28"/>
    <mergeCell ref="T28:V28"/>
    <mergeCell ref="B27:D27"/>
    <mergeCell ref="E27:G27"/>
    <mergeCell ref="H27:J27"/>
    <mergeCell ref="K27:M27"/>
    <mergeCell ref="N27:P27"/>
    <mergeCell ref="Q27:S27"/>
    <mergeCell ref="T27:V27"/>
    <mergeCell ref="K20:S21"/>
    <mergeCell ref="T20:V21"/>
    <mergeCell ref="H19:J19"/>
    <mergeCell ref="K22:S23"/>
    <mergeCell ref="E18:G18"/>
    <mergeCell ref="H18:J18"/>
    <mergeCell ref="A18:D25"/>
    <mergeCell ref="H24:J24"/>
    <mergeCell ref="E24:G24"/>
    <mergeCell ref="E25:G25"/>
    <mergeCell ref="H25:J25"/>
    <mergeCell ref="E20:G20"/>
    <mergeCell ref="E23:G23"/>
    <mergeCell ref="H23:J23"/>
    <mergeCell ref="E21:G22"/>
    <mergeCell ref="K18:S19"/>
    <mergeCell ref="T18:V19"/>
    <mergeCell ref="T24:V25"/>
    <mergeCell ref="K24:S25"/>
    <mergeCell ref="H21:J22"/>
    <mergeCell ref="E19:G19"/>
    <mergeCell ref="T13:V13"/>
    <mergeCell ref="B16:D16"/>
    <mergeCell ref="E16:G16"/>
    <mergeCell ref="H16:J16"/>
    <mergeCell ref="K16:M16"/>
    <mergeCell ref="N16:P16"/>
    <mergeCell ref="Q16:S16"/>
    <mergeCell ref="T16:V16"/>
    <mergeCell ref="B15:D15"/>
    <mergeCell ref="E15:G15"/>
    <mergeCell ref="H15:J15"/>
    <mergeCell ref="K15:M15"/>
    <mergeCell ref="N15:P15"/>
    <mergeCell ref="Q15:S15"/>
    <mergeCell ref="T15:V15"/>
    <mergeCell ref="B14:D14"/>
    <mergeCell ref="E14:G14"/>
    <mergeCell ref="H14:J14"/>
    <mergeCell ref="K14:M14"/>
    <mergeCell ref="N14:P14"/>
    <mergeCell ref="Q14:S14"/>
    <mergeCell ref="T14:V14"/>
    <mergeCell ref="H11:J11"/>
    <mergeCell ref="K11:M11"/>
    <mergeCell ref="N11:P11"/>
    <mergeCell ref="Q11:S11"/>
    <mergeCell ref="K10:M10"/>
    <mergeCell ref="N10:P10"/>
    <mergeCell ref="Q10:S10"/>
    <mergeCell ref="B12:D12"/>
    <mergeCell ref="B13:D13"/>
    <mergeCell ref="E13:G13"/>
    <mergeCell ref="H13:J13"/>
    <mergeCell ref="K13:M13"/>
    <mergeCell ref="N13:P13"/>
    <mergeCell ref="Q13:S13"/>
    <mergeCell ref="N12:P12"/>
    <mergeCell ref="Q12:S12"/>
    <mergeCell ref="T11:V11"/>
    <mergeCell ref="E12:G12"/>
    <mergeCell ref="D4:E4"/>
    <mergeCell ref="B6:D6"/>
    <mergeCell ref="T7:V7"/>
    <mergeCell ref="A4:C4"/>
    <mergeCell ref="Q4:S4"/>
    <mergeCell ref="E8:G8"/>
    <mergeCell ref="H8:J8"/>
    <mergeCell ref="K8:M8"/>
    <mergeCell ref="N8:P8"/>
    <mergeCell ref="Q8:S8"/>
    <mergeCell ref="T8:V8"/>
    <mergeCell ref="B7:D7"/>
    <mergeCell ref="E7:G7"/>
    <mergeCell ref="H7:J7"/>
    <mergeCell ref="K7:M7"/>
    <mergeCell ref="N7:P7"/>
    <mergeCell ref="H12:J12"/>
    <mergeCell ref="K12:M12"/>
    <mergeCell ref="E6:G6"/>
    <mergeCell ref="T12:V12"/>
    <mergeCell ref="B11:D11"/>
    <mergeCell ref="E11:G11"/>
    <mergeCell ref="H6:J6"/>
    <mergeCell ref="K6:M6"/>
    <mergeCell ref="N6:P6"/>
    <mergeCell ref="Q6:S6"/>
    <mergeCell ref="T6:V6"/>
    <mergeCell ref="Q7:S7"/>
    <mergeCell ref="B8:D8"/>
    <mergeCell ref="T10:V10"/>
    <mergeCell ref="B10:D10"/>
    <mergeCell ref="T9:V9"/>
    <mergeCell ref="E10:G10"/>
    <mergeCell ref="H10:J10"/>
    <mergeCell ref="B9:D9"/>
    <mergeCell ref="E9:G9"/>
    <mergeCell ref="H9:J9"/>
    <mergeCell ref="K9:M9"/>
    <mergeCell ref="N9:P9"/>
    <mergeCell ref="Q9:S9"/>
  </mergeCells>
  <pageMargins left="0.7" right="0.7" top="0.75" bottom="0.75" header="0.3" footer="0.3"/>
  <pageSetup paperSize="9" scale="8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K25"/>
  <sheetViews>
    <sheetView showGridLines="0" showRuler="0" zoomScale="145" zoomScaleNormal="145" workbookViewId="0">
      <selection activeCell="E12" sqref="E12"/>
    </sheetView>
  </sheetViews>
  <sheetFormatPr defaultRowHeight="15"/>
  <cols>
    <col min="1" max="1" width="23" customWidth="1"/>
    <col min="2" max="2" width="18" customWidth="1"/>
    <col min="3" max="3" width="17.85546875" customWidth="1"/>
    <col min="4" max="4" width="13" customWidth="1"/>
    <col min="5" max="5" width="12.28515625" customWidth="1"/>
    <col min="6" max="6" width="11.5703125" customWidth="1"/>
  </cols>
  <sheetData>
    <row r="1" spans="1:11" ht="35.25" customHeight="1">
      <c r="A1" s="81" t="s">
        <v>52</v>
      </c>
      <c r="B1" s="81" t="s">
        <v>50</v>
      </c>
      <c r="C1" s="81" t="s">
        <v>51</v>
      </c>
      <c r="D1" s="81" t="s">
        <v>53</v>
      </c>
      <c r="E1" s="81" t="s">
        <v>54</v>
      </c>
      <c r="F1" s="81" t="s">
        <v>76</v>
      </c>
      <c r="G1" s="81" t="s">
        <v>54</v>
      </c>
      <c r="H1" s="81" t="s">
        <v>76</v>
      </c>
      <c r="I1" s="82" t="s">
        <v>122</v>
      </c>
    </row>
    <row r="2" spans="1:11" ht="16.5" customHeight="1">
      <c r="A2" s="83" t="s">
        <v>85</v>
      </c>
      <c r="B2" s="93">
        <v>5081</v>
      </c>
      <c r="C2" s="94">
        <v>5081</v>
      </c>
      <c r="D2" s="18">
        <f>C2-B2</f>
        <v>0</v>
      </c>
      <c r="E2" s="368">
        <f>IF(Data!V11=2,Data!H11,Data!H11-D2)</f>
        <v>1820</v>
      </c>
      <c r="F2" s="368">
        <f>IF(Data!V11=2,E2,C2-E2)</f>
        <v>1820</v>
      </c>
      <c r="G2" s="368">
        <f>IF(Bunkering!V11=2,Bunkering!H11,Bunkering!H11-D2)</f>
        <v>1830</v>
      </c>
      <c r="H2" s="368">
        <f>IF(Bunkering!V11=2,G2,C2-G2)</f>
        <v>1830</v>
      </c>
      <c r="I2" s="51">
        <v>463.5</v>
      </c>
      <c r="J2" s="191">
        <f>B2-F2</f>
        <v>3261</v>
      </c>
      <c r="K2" s="11">
        <f>B2-H2</f>
        <v>3251</v>
      </c>
    </row>
    <row r="3" spans="1:11" ht="16.5" customHeight="1">
      <c r="A3" s="83" t="s">
        <v>69</v>
      </c>
      <c r="B3" s="93">
        <v>5069</v>
      </c>
      <c r="C3" s="94">
        <v>5069</v>
      </c>
      <c r="D3" s="18">
        <f t="shared" ref="D3:D18" si="0">C3-B3</f>
        <v>0</v>
      </c>
      <c r="E3" s="368">
        <f>IF(Data!V12=2,Data!H12,Data!H12-D3)</f>
        <v>1120</v>
      </c>
      <c r="F3" s="368">
        <f>IF(Data!V12=2,E3,C3-E3)</f>
        <v>1120</v>
      </c>
      <c r="G3" s="368">
        <f>IF(Bunkering!V12=2,Bunkering!H12,Bunkering!H12-D3)</f>
        <v>1100</v>
      </c>
      <c r="H3" s="368">
        <f>IF(Bunkering!V12=2,G3,C3-G3)</f>
        <v>1100</v>
      </c>
      <c r="I3" s="51">
        <v>463.5</v>
      </c>
      <c r="J3" s="191">
        <f t="shared" ref="J3:J18" si="1">B3-F3</f>
        <v>3949</v>
      </c>
      <c r="K3" s="11">
        <f>B3-H3</f>
        <v>3969</v>
      </c>
    </row>
    <row r="4" spans="1:11" ht="16.5" customHeight="1">
      <c r="A4" s="83" t="s">
        <v>70</v>
      </c>
      <c r="B4" s="93">
        <v>5090</v>
      </c>
      <c r="C4" s="94">
        <v>5090</v>
      </c>
      <c r="D4" s="18">
        <f t="shared" si="0"/>
        <v>0</v>
      </c>
      <c r="E4" s="368">
        <f>IF(Data!V13=2,Data!H13,Data!H13-D4)</f>
        <v>0</v>
      </c>
      <c r="F4" s="368">
        <f>IF(Data!V13=2,E4,C4-E4)</f>
        <v>5090</v>
      </c>
      <c r="G4" s="368">
        <f>IF(Bunkering!V13=2,Bunkering!H13,Bunkering!H13-D4)</f>
        <v>0</v>
      </c>
      <c r="H4" s="368">
        <f>IF(Bunkering!V13=2,G4,C4-G4)</f>
        <v>5090</v>
      </c>
      <c r="I4" s="51">
        <v>463.5</v>
      </c>
      <c r="J4" s="191">
        <f t="shared" si="1"/>
        <v>0</v>
      </c>
      <c r="K4" s="11">
        <f t="shared" ref="K4:K18" si="2">B4-H4</f>
        <v>0</v>
      </c>
    </row>
    <row r="5" spans="1:11" ht="16.5" customHeight="1">
      <c r="A5" s="83" t="s">
        <v>71</v>
      </c>
      <c r="B5" s="93">
        <v>5069</v>
      </c>
      <c r="C5" s="94">
        <v>5069</v>
      </c>
      <c r="D5" s="18">
        <f t="shared" si="0"/>
        <v>0</v>
      </c>
      <c r="E5" s="368">
        <f>IF(Data!V14=2,Data!H14,Data!H14-D5)</f>
        <v>70</v>
      </c>
      <c r="F5" s="368">
        <f>IF(Data!V14=2,E5,C5-E5)</f>
        <v>4999</v>
      </c>
      <c r="G5" s="368">
        <f>IF(Bunkering!V14=2,Bunkering!H14,Bunkering!H14-D5)</f>
        <v>90</v>
      </c>
      <c r="H5" s="368">
        <f>IF(Bunkering!V14=2,G5,C5-G5)</f>
        <v>4979</v>
      </c>
      <c r="I5" s="51">
        <v>463.5</v>
      </c>
      <c r="J5" s="191">
        <f t="shared" si="1"/>
        <v>70</v>
      </c>
      <c r="K5" s="11">
        <f t="shared" si="2"/>
        <v>90</v>
      </c>
    </row>
    <row r="6" spans="1:11" ht="16.5" customHeight="1">
      <c r="A6" s="83" t="s">
        <v>420</v>
      </c>
      <c r="B6" s="93">
        <v>11684</v>
      </c>
      <c r="C6" s="94">
        <v>11684</v>
      </c>
      <c r="D6" s="18">
        <f t="shared" si="0"/>
        <v>0</v>
      </c>
      <c r="E6" s="368">
        <f>IF(Data!V15=2,Data!H15,Data!H15-D6)</f>
        <v>60</v>
      </c>
      <c r="F6" s="368">
        <f>IF(Data!V15=2,E6,C6-E6)</f>
        <v>11624</v>
      </c>
      <c r="G6" s="368">
        <f>IF(Bunkering!V15=2,Bunkering!H15,Bunkering!H15-D6)</f>
        <v>90</v>
      </c>
      <c r="H6" s="368">
        <f>IF(Bunkering!V15=2,G6,C6-G6)</f>
        <v>11594</v>
      </c>
      <c r="I6" s="51">
        <v>110.7</v>
      </c>
      <c r="J6" s="191">
        <f t="shared" si="1"/>
        <v>60</v>
      </c>
      <c r="K6" s="11">
        <f t="shared" si="2"/>
        <v>90</v>
      </c>
    </row>
    <row r="7" spans="1:11" ht="16.5" customHeight="1">
      <c r="A7" s="83" t="s">
        <v>426</v>
      </c>
      <c r="B7" s="93">
        <v>11616</v>
      </c>
      <c r="C7" s="94">
        <v>11616</v>
      </c>
      <c r="D7" s="18">
        <f t="shared" si="0"/>
        <v>0</v>
      </c>
      <c r="E7" s="368">
        <f>IF(Data!V16=2,Data!H16,Data!H16-D7)</f>
        <v>800</v>
      </c>
      <c r="F7" s="368">
        <f>IF(Data!V16=2,E7,C7-E7)</f>
        <v>10816</v>
      </c>
      <c r="G7" s="368">
        <f>IF(Bunkering!V16=2,Bunkering!H16,Bunkering!H16-D7)</f>
        <v>10230</v>
      </c>
      <c r="H7" s="368">
        <f>IF(Bunkering!V16=2,G7,C7-G7)</f>
        <v>10230</v>
      </c>
      <c r="I7" s="51">
        <v>238.5</v>
      </c>
      <c r="J7" s="191">
        <f t="shared" si="1"/>
        <v>800</v>
      </c>
      <c r="K7" s="11">
        <f t="shared" si="2"/>
        <v>1386</v>
      </c>
    </row>
    <row r="8" spans="1:11" ht="16.5" customHeight="1">
      <c r="A8" s="83" t="s">
        <v>421</v>
      </c>
      <c r="B8" s="93">
        <v>11257</v>
      </c>
      <c r="C8" s="94">
        <v>11257</v>
      </c>
      <c r="D8" s="18">
        <f t="shared" si="0"/>
        <v>0</v>
      </c>
      <c r="E8" s="368">
        <f>IF(Data!V17=2,Data!H17,Data!H17-D8)</f>
        <v>9830</v>
      </c>
      <c r="F8" s="368">
        <f>IF(Data!V17=2,E8,C8-E8)</f>
        <v>9830</v>
      </c>
      <c r="G8" s="368">
        <f>IF(Bunkering!V17=2,Bunkering!H17,Bunkering!H17-D8)</f>
        <v>9830</v>
      </c>
      <c r="H8" s="368">
        <f>IF(Bunkering!V17=2,G8,C8-G8)</f>
        <v>9830</v>
      </c>
      <c r="I8" s="51">
        <v>51.2</v>
      </c>
      <c r="J8" s="191">
        <f t="shared" si="1"/>
        <v>1427</v>
      </c>
      <c r="K8" s="11">
        <f t="shared" si="2"/>
        <v>1427</v>
      </c>
    </row>
    <row r="9" spans="1:11" ht="16.5" customHeight="1">
      <c r="A9" s="83" t="s">
        <v>422</v>
      </c>
      <c r="B9" s="93">
        <v>11256</v>
      </c>
      <c r="C9" s="94">
        <v>11256</v>
      </c>
      <c r="D9" s="18">
        <f t="shared" si="0"/>
        <v>0</v>
      </c>
      <c r="E9" s="368">
        <f>IF(Data!V18=2,Data!H18,Data!H18-D9)</f>
        <v>2090</v>
      </c>
      <c r="F9" s="368">
        <f>IF(Data!V18=2,E9,C9-E9)</f>
        <v>2090</v>
      </c>
      <c r="G9" s="368">
        <f>IF(Bunkering!V18=2,Bunkering!H18,Bunkering!H18-D9)</f>
        <v>2100</v>
      </c>
      <c r="H9" s="368">
        <f>IF(Bunkering!V18=2,G9,C9-G9)</f>
        <v>2100</v>
      </c>
      <c r="I9" s="51">
        <v>51.2</v>
      </c>
      <c r="J9" s="191">
        <f t="shared" si="1"/>
        <v>9166</v>
      </c>
      <c r="K9" s="11">
        <f t="shared" si="2"/>
        <v>9156</v>
      </c>
    </row>
    <row r="10" spans="1:11" ht="16.5" customHeight="1">
      <c r="A10" s="83" t="s">
        <v>423</v>
      </c>
      <c r="B10" s="93">
        <v>11255</v>
      </c>
      <c r="C10" s="94">
        <v>11255</v>
      </c>
      <c r="D10" s="18">
        <f t="shared" si="0"/>
        <v>0</v>
      </c>
      <c r="E10" s="368">
        <f>IF(Data!V19=2,Data!H19,Data!H19-D10)</f>
        <v>1750</v>
      </c>
      <c r="F10" s="368">
        <f>IF(Data!V19=2,E10,C10-E10)</f>
        <v>1750</v>
      </c>
      <c r="G10" s="368">
        <f>IF(Bunkering!V19=2,Bunkering!H19,Bunkering!H19-D10)</f>
        <v>1780</v>
      </c>
      <c r="H10" s="368">
        <f>IF(Bunkering!V19=2,G10,C10-G10)</f>
        <v>1780</v>
      </c>
      <c r="I10" s="51">
        <v>51.2</v>
      </c>
      <c r="J10" s="191">
        <f t="shared" si="1"/>
        <v>9505</v>
      </c>
      <c r="K10" s="11">
        <f t="shared" si="2"/>
        <v>9475</v>
      </c>
    </row>
    <row r="11" spans="1:11" ht="16.5" customHeight="1">
      <c r="A11" s="83" t="s">
        <v>424</v>
      </c>
      <c r="B11" s="93">
        <v>11269</v>
      </c>
      <c r="C11" s="94">
        <v>11269</v>
      </c>
      <c r="D11" s="18">
        <f t="shared" si="0"/>
        <v>0</v>
      </c>
      <c r="E11" s="368">
        <f>IF(Data!V20=2,Data!H20,Data!H20-D11)</f>
        <v>3510</v>
      </c>
      <c r="F11" s="368">
        <f>IF(Data!V20=2,E11,C11-E11)</f>
        <v>3510</v>
      </c>
      <c r="G11" s="368">
        <f>IF(Bunkering!V20=2,Bunkering!H20,Bunkering!H20-D11)</f>
        <v>4070</v>
      </c>
      <c r="H11" s="368">
        <f>IF(Bunkering!V20=2,G11,C11-G11)</f>
        <v>4070</v>
      </c>
      <c r="I11" s="51">
        <v>51.2</v>
      </c>
      <c r="J11" s="191">
        <f t="shared" si="1"/>
        <v>7759</v>
      </c>
      <c r="K11" s="11">
        <f t="shared" si="2"/>
        <v>7199</v>
      </c>
    </row>
    <row r="12" spans="1:11" ht="16.5" customHeight="1">
      <c r="A12" s="83" t="s">
        <v>425</v>
      </c>
      <c r="B12" s="93">
        <v>5206</v>
      </c>
      <c r="C12" s="94">
        <v>5206</v>
      </c>
      <c r="D12" s="18">
        <f t="shared" si="0"/>
        <v>0</v>
      </c>
      <c r="E12" s="368">
        <f>IF(Data!V21=1,Data!H21,Data!H21-D12)</f>
        <v>600</v>
      </c>
      <c r="F12" s="368">
        <f>IF(Data!V21=1,E12,C12-E12)</f>
        <v>600</v>
      </c>
      <c r="G12" s="368">
        <f>IF(Bunkering!V21=1,Bunkering!H21,Bunkering!H21-D12)</f>
        <v>1390</v>
      </c>
      <c r="H12" s="368">
        <f>IF(Bunkering!V21=1,G12,C12-G12)</f>
        <v>1390</v>
      </c>
      <c r="I12" s="51">
        <v>32.200000000000003</v>
      </c>
      <c r="J12" s="191">
        <f t="shared" si="1"/>
        <v>4606</v>
      </c>
      <c r="K12" s="11">
        <f t="shared" si="2"/>
        <v>3816</v>
      </c>
    </row>
    <row r="13" spans="1:11" ht="16.5" customHeight="1">
      <c r="A13" s="83" t="s">
        <v>427</v>
      </c>
      <c r="B13" s="93">
        <v>5190</v>
      </c>
      <c r="C13" s="94">
        <v>5190</v>
      </c>
      <c r="D13" s="18">
        <f t="shared" si="0"/>
        <v>0</v>
      </c>
      <c r="E13" s="368">
        <f>IF(Data!V22=1,Data!H22,Data!H22-D13)</f>
        <v>2290</v>
      </c>
      <c r="F13" s="368">
        <f>IF(Data!V22=1,E13,C13-E13)</f>
        <v>2290</v>
      </c>
      <c r="G13" s="368">
        <f>IF(Bunkering!V22=1,Bunkering!H22,Bunkering!H22-D13)</f>
        <v>1780</v>
      </c>
      <c r="H13" s="368">
        <f>IF(Bunkering!V22=1,G13,C13-G13)</f>
        <v>1780</v>
      </c>
      <c r="I13" s="51">
        <v>70.400000000000006</v>
      </c>
      <c r="J13" s="191">
        <f t="shared" si="1"/>
        <v>2900</v>
      </c>
      <c r="K13" s="11">
        <f t="shared" si="2"/>
        <v>3410</v>
      </c>
    </row>
    <row r="14" spans="1:11" ht="16.5" customHeight="1">
      <c r="A14" s="83" t="s">
        <v>428</v>
      </c>
      <c r="B14" s="93">
        <v>5190</v>
      </c>
      <c r="C14" s="93">
        <v>5190</v>
      </c>
      <c r="D14" s="18">
        <f t="shared" si="0"/>
        <v>0</v>
      </c>
      <c r="E14" s="368">
        <f>IF(Data!V23=1,Data!H23,Data!H23-D14)</f>
        <v>1540</v>
      </c>
      <c r="F14" s="368">
        <f>IF(Data!V23=1,E14,C14-E14)</f>
        <v>1540</v>
      </c>
      <c r="G14" s="368">
        <f>IF(Bunkering!V23=1,Bunkering!H23,Bunkering!H23-D14)</f>
        <v>1540</v>
      </c>
      <c r="H14" s="368">
        <f>IF(Bunkering!V23=1,G14,C14-G14)</f>
        <v>1540</v>
      </c>
      <c r="I14" s="51">
        <v>125.7</v>
      </c>
      <c r="J14" s="191">
        <f>B14-F14</f>
        <v>3650</v>
      </c>
      <c r="K14" s="11">
        <f t="shared" si="2"/>
        <v>3650</v>
      </c>
    </row>
    <row r="15" spans="1:11">
      <c r="A15" s="83" t="s">
        <v>429</v>
      </c>
      <c r="B15" s="93">
        <v>5994</v>
      </c>
      <c r="C15" s="93">
        <v>5994</v>
      </c>
      <c r="D15" s="18">
        <f t="shared" si="0"/>
        <v>0</v>
      </c>
      <c r="E15" s="368">
        <f>IF(Data!V24=1,Data!H24,Data!H24-D15)</f>
        <v>3000</v>
      </c>
      <c r="F15" s="368">
        <f>IF(Data!V24=1,E15,C15-E15)</f>
        <v>3000</v>
      </c>
      <c r="G15" s="368">
        <f>IF(Bunkering!V24=1,Bunkering!H24,Bunkering!H24-D15)</f>
        <v>3150</v>
      </c>
      <c r="H15" s="368">
        <f>IF(Bunkering!V24=1,G15,C15-G15)</f>
        <v>3150</v>
      </c>
      <c r="I15" s="51">
        <v>25.3</v>
      </c>
      <c r="J15" s="191">
        <f t="shared" si="1"/>
        <v>2994</v>
      </c>
      <c r="K15" s="11">
        <f t="shared" si="2"/>
        <v>2844</v>
      </c>
    </row>
    <row r="16" spans="1:11">
      <c r="A16" s="83" t="s">
        <v>430</v>
      </c>
      <c r="B16" s="93">
        <v>6013</v>
      </c>
      <c r="C16" s="93">
        <v>6013</v>
      </c>
      <c r="D16" s="18">
        <f t="shared" si="0"/>
        <v>0</v>
      </c>
      <c r="E16" s="368">
        <f>IF(Data!V25=1,Data!H25,Data!H25-D16)</f>
        <v>3540</v>
      </c>
      <c r="F16" s="368">
        <f>IF(Data!V25=1,E16,C16-E16)</f>
        <v>3540</v>
      </c>
      <c r="G16" s="368">
        <f>IF(Bunkering!V25=1,Bunkering!H25,Bunkering!H25-D16)</f>
        <v>3550</v>
      </c>
      <c r="H16" s="368">
        <f>IF(Bunkering!V25=1,G16,C16-G16)</f>
        <v>3550</v>
      </c>
      <c r="I16" s="51">
        <v>25.3</v>
      </c>
      <c r="J16" s="191">
        <f t="shared" si="1"/>
        <v>2473</v>
      </c>
      <c r="K16" s="11">
        <f t="shared" si="2"/>
        <v>2463</v>
      </c>
    </row>
    <row r="17" spans="1:11">
      <c r="A17" s="83" t="s">
        <v>448</v>
      </c>
      <c r="B17" s="93">
        <v>5477</v>
      </c>
      <c r="C17" s="93">
        <v>5477</v>
      </c>
      <c r="D17" s="18">
        <f t="shared" si="0"/>
        <v>0</v>
      </c>
      <c r="E17" s="368">
        <f>IF(Data!V26=1,Data!H26,Data!H26-D17)</f>
        <v>3310</v>
      </c>
      <c r="F17" s="368">
        <f>IF(Data!V26=1,E17,C17-E17)</f>
        <v>3310</v>
      </c>
      <c r="G17" s="368">
        <f>IF(Bunkering!V26=1,Bunkering!H26,Bunkering!H26-D17)</f>
        <v>3310</v>
      </c>
      <c r="H17" s="368">
        <f>IF(Bunkering!V26=1,G17,C17-G17)</f>
        <v>3310</v>
      </c>
      <c r="I17" s="51">
        <v>102.2</v>
      </c>
      <c r="J17" s="191">
        <f t="shared" si="1"/>
        <v>2167</v>
      </c>
      <c r="K17" s="11">
        <f t="shared" si="2"/>
        <v>2167</v>
      </c>
    </row>
    <row r="18" spans="1:11">
      <c r="A18" s="83" t="s">
        <v>379</v>
      </c>
      <c r="B18" s="93">
        <v>6004</v>
      </c>
      <c r="C18" s="93">
        <v>6004</v>
      </c>
      <c r="D18" s="18">
        <f t="shared" si="0"/>
        <v>0</v>
      </c>
      <c r="E18" s="368">
        <f>IF(Data!V27=1,Data!H27,Data!H27-D18)</f>
        <v>3540</v>
      </c>
      <c r="F18" s="368">
        <f>IF(Data!V27=1,E18,C18-E18)</f>
        <v>3540</v>
      </c>
      <c r="G18" s="368">
        <f>IF(Bunkering!V27=1,Bunkering!H27,Bunkering!H27-D18)</f>
        <v>3540</v>
      </c>
      <c r="H18" s="368">
        <f>IF(Bunkering!V27=1,G18,C18-G18)</f>
        <v>3540</v>
      </c>
      <c r="I18" s="51">
        <v>25.3</v>
      </c>
      <c r="J18" s="191">
        <f t="shared" si="1"/>
        <v>2464</v>
      </c>
      <c r="K18" s="11">
        <f t="shared" si="2"/>
        <v>2464</v>
      </c>
    </row>
    <row r="20" spans="1:11">
      <c r="A20" s="190">
        <f ca="1">TODAY()</f>
        <v>45792</v>
      </c>
    </row>
    <row r="21" spans="1:11">
      <c r="C21" s="841" t="s">
        <v>130</v>
      </c>
      <c r="D21" s="927"/>
      <c r="E21" s="920"/>
      <c r="G21" s="923" t="s">
        <v>415</v>
      </c>
      <c r="H21" s="923"/>
      <c r="I21" s="923"/>
    </row>
    <row r="22" spans="1:11">
      <c r="C22" s="925" t="s">
        <v>128</v>
      </c>
      <c r="D22" s="841" t="s">
        <v>127</v>
      </c>
      <c r="E22" s="920"/>
      <c r="G22" s="924" t="s">
        <v>67</v>
      </c>
      <c r="H22" s="924"/>
      <c r="I22" s="924"/>
    </row>
    <row r="23" spans="1:11">
      <c r="C23" s="926"/>
      <c r="D23" s="921">
        <v>19.5</v>
      </c>
      <c r="E23" s="922"/>
    </row>
    <row r="24" spans="1:11">
      <c r="C24" s="925" t="s">
        <v>129</v>
      </c>
      <c r="D24" s="89" t="s">
        <v>125</v>
      </c>
      <c r="E24" s="89" t="s">
        <v>126</v>
      </c>
    </row>
    <row r="25" spans="1:11">
      <c r="C25" s="926"/>
      <c r="D25" s="90">
        <v>4.5</v>
      </c>
      <c r="E25" s="90">
        <v>6.5</v>
      </c>
    </row>
  </sheetData>
  <mergeCells count="7">
    <mergeCell ref="D22:E22"/>
    <mergeCell ref="D23:E23"/>
    <mergeCell ref="G21:I21"/>
    <mergeCell ref="G22:I22"/>
    <mergeCell ref="C24:C25"/>
    <mergeCell ref="C22:C23"/>
    <mergeCell ref="C21:E21"/>
  </mergeCells>
  <phoneticPr fontId="33" type="noConversion"/>
  <pageMargins left="0.25" right="0.25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XER6280"/>
  <sheetViews>
    <sheetView showGridLines="0" showRuler="0" topLeftCell="A1277" zoomScaleNormal="100" workbookViewId="0">
      <selection activeCell="C1813" sqref="C1813:D1814"/>
    </sheetView>
  </sheetViews>
  <sheetFormatPr defaultColWidth="9.140625" defaultRowHeight="15"/>
  <cols>
    <col min="1" max="1" width="11.7109375" style="45" customWidth="1"/>
    <col min="2" max="8" width="9.7109375" style="21" customWidth="1"/>
    <col min="9" max="9" width="9.7109375" style="22" customWidth="1"/>
    <col min="10" max="11" width="9.7109375" style="21" customWidth="1"/>
    <col min="12" max="12" width="11.7109375" style="21" customWidth="1"/>
    <col min="13" max="20" width="9.7109375" style="21" customWidth="1"/>
    <col min="21" max="21" width="9.140625" style="1"/>
    <col min="22" max="22" width="15.140625" style="1" customWidth="1"/>
    <col min="23" max="23" width="12.85546875" style="1" customWidth="1"/>
    <col min="24" max="24" width="11.5703125" style="1" bestFit="1" customWidth="1"/>
    <col min="25" max="25" width="11.140625" style="1" customWidth="1"/>
    <col min="26" max="26" width="16.28515625" style="1" customWidth="1"/>
    <col min="27" max="27" width="9.140625" style="1"/>
    <col min="28" max="28" width="9.42578125" style="1" customWidth="1"/>
    <col min="29" max="29" width="9.140625" style="1"/>
    <col min="30" max="30" width="11.5703125" style="1" customWidth="1"/>
    <col min="31" max="31" width="9.140625" style="1"/>
    <col min="32" max="32" width="18.85546875" style="1" bestFit="1" customWidth="1"/>
    <col min="33" max="16384" width="9.140625" style="1"/>
  </cols>
  <sheetData>
    <row r="1" spans="1:28" ht="29.25" customHeight="1">
      <c r="A1" s="410" t="s">
        <v>77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V1" s="914"/>
      <c r="W1" s="914"/>
      <c r="X1" s="387" t="s">
        <v>431</v>
      </c>
      <c r="Y1" s="415">
        <v>50</v>
      </c>
      <c r="Z1" s="415">
        <v>100</v>
      </c>
    </row>
    <row r="2" spans="1:28" ht="33.6" customHeight="1">
      <c r="B2" s="21">
        <f>COUNT(B5:B107)</f>
        <v>103</v>
      </c>
      <c r="C2" s="21">
        <f t="shared" ref="C2:I2" si="0">COUNT(C5:C107)</f>
        <v>103</v>
      </c>
      <c r="D2" s="21">
        <f t="shared" si="0"/>
        <v>103</v>
      </c>
      <c r="E2" s="21">
        <f t="shared" si="0"/>
        <v>103</v>
      </c>
      <c r="F2" s="21">
        <f t="shared" si="0"/>
        <v>103</v>
      </c>
      <c r="G2" s="21">
        <f t="shared" si="0"/>
        <v>103</v>
      </c>
      <c r="H2" s="21">
        <f t="shared" si="0"/>
        <v>103</v>
      </c>
      <c r="I2" s="21">
        <f t="shared" si="0"/>
        <v>103</v>
      </c>
      <c r="L2" s="21">
        <f>COUNT(L5:L56)</f>
        <v>52</v>
      </c>
      <c r="M2" s="21">
        <f t="shared" ref="M2:T2" si="1">COUNT(M5:M56)</f>
        <v>52</v>
      </c>
      <c r="N2" s="21">
        <f t="shared" si="1"/>
        <v>52</v>
      </c>
      <c r="O2" s="21">
        <f t="shared" si="1"/>
        <v>52</v>
      </c>
      <c r="P2" s="21">
        <f t="shared" si="1"/>
        <v>52</v>
      </c>
      <c r="Q2" s="21">
        <f t="shared" si="1"/>
        <v>52</v>
      </c>
      <c r="R2" s="21">
        <f t="shared" si="1"/>
        <v>52</v>
      </c>
      <c r="S2" s="21">
        <f t="shared" si="1"/>
        <v>52</v>
      </c>
      <c r="T2" s="21">
        <f t="shared" si="1"/>
        <v>52</v>
      </c>
      <c r="V2" s="916"/>
      <c r="W2" s="916"/>
      <c r="X2" s="413"/>
      <c r="Y2" s="414" t="s">
        <v>446</v>
      </c>
      <c r="Z2" s="416" t="s">
        <v>447</v>
      </c>
      <c r="AA2" s="417"/>
      <c r="AB2" s="40"/>
    </row>
    <row r="3" spans="1:28" ht="15" customHeight="1">
      <c r="A3" s="915" t="s">
        <v>417</v>
      </c>
      <c r="B3" s="21">
        <f>COUNTA(B5:B107)</f>
        <v>103</v>
      </c>
      <c r="C3" s="21">
        <f t="shared" ref="C3:I3" si="2">COUNTA(C5:C107)</f>
        <v>103</v>
      </c>
      <c r="D3" s="21">
        <f t="shared" si="2"/>
        <v>103</v>
      </c>
      <c r="E3" s="21">
        <f t="shared" si="2"/>
        <v>103</v>
      </c>
      <c r="F3" s="21">
        <f t="shared" si="2"/>
        <v>103</v>
      </c>
      <c r="G3" s="21">
        <f t="shared" si="2"/>
        <v>103</v>
      </c>
      <c r="H3" s="21">
        <f t="shared" si="2"/>
        <v>103</v>
      </c>
      <c r="I3" s="21">
        <f t="shared" si="2"/>
        <v>103</v>
      </c>
      <c r="J3" s="905" t="s">
        <v>418</v>
      </c>
      <c r="K3" s="906" t="s">
        <v>419</v>
      </c>
      <c r="L3" s="21">
        <f>COUNTA(L5:L56)</f>
        <v>52</v>
      </c>
      <c r="M3" s="21">
        <f t="shared" ref="M3:T3" si="3">COUNTA(M5:M56)</f>
        <v>52</v>
      </c>
      <c r="N3" s="21">
        <f t="shared" si="3"/>
        <v>52</v>
      </c>
      <c r="O3" s="21">
        <f t="shared" si="3"/>
        <v>52</v>
      </c>
      <c r="P3" s="21">
        <f t="shared" si="3"/>
        <v>52</v>
      </c>
      <c r="Q3" s="21">
        <f t="shared" si="3"/>
        <v>52</v>
      </c>
      <c r="R3" s="21">
        <f t="shared" si="3"/>
        <v>52</v>
      </c>
      <c r="S3" s="21">
        <f t="shared" si="3"/>
        <v>52</v>
      </c>
      <c r="T3" s="21">
        <f t="shared" si="3"/>
        <v>52</v>
      </c>
      <c r="V3" s="1">
        <f>heeling</f>
        <v>0</v>
      </c>
      <c r="W3" s="385">
        <f>sound21</f>
        <v>1820</v>
      </c>
      <c r="X3" s="186">
        <f>IF((W3+W6)&lt;0,W3,W3+W6)</f>
        <v>1820</v>
      </c>
      <c r="Y3" s="381">
        <f>IF(Y5=Y4,Y4,Interp1(X4:X5,Y4:Y5,X3))</f>
        <v>249.10400000000001</v>
      </c>
      <c r="AA3" s="30"/>
    </row>
    <row r="4" spans="1:28">
      <c r="A4" s="915"/>
      <c r="B4" s="36">
        <v>-1</v>
      </c>
      <c r="C4" s="35">
        <v>0</v>
      </c>
      <c r="D4" s="35">
        <v>0.5</v>
      </c>
      <c r="E4" s="35">
        <v>1</v>
      </c>
      <c r="F4" s="35">
        <v>1.5</v>
      </c>
      <c r="G4" s="35">
        <v>2</v>
      </c>
      <c r="H4" s="37">
        <v>3</v>
      </c>
      <c r="I4" s="21">
        <v>4</v>
      </c>
      <c r="J4" s="905"/>
      <c r="K4" s="906"/>
      <c r="L4" s="21">
        <v>-4</v>
      </c>
      <c r="M4" s="35">
        <v>-3</v>
      </c>
      <c r="N4" s="35">
        <v>-2</v>
      </c>
      <c r="O4" s="35">
        <v>-1</v>
      </c>
      <c r="P4" s="35">
        <v>0</v>
      </c>
      <c r="Q4" s="35">
        <v>1</v>
      </c>
      <c r="R4" s="35">
        <v>2</v>
      </c>
      <c r="S4" s="35">
        <v>3</v>
      </c>
      <c r="T4" s="35">
        <v>4</v>
      </c>
      <c r="V4" s="1">
        <f>IF(tankSound1=soundingPipe1,tankSound1,FLOOR(W3,incHeel))</f>
        <v>1800</v>
      </c>
      <c r="W4" s="1">
        <f>Interp2(tank1Heel1,tank1Heel2,tank1Heel3,V4,V3)</f>
        <v>0</v>
      </c>
      <c r="X4" s="1">
        <f>IF(X3=soundingPipe1,X3,FLOOR(X3,inc))</f>
        <v>1800</v>
      </c>
      <c r="Y4" s="42">
        <f>IF(W9=W8,W8,Interp1(V8:V9,W8:W9,V7))</f>
        <v>251.97900000000001</v>
      </c>
      <c r="AA4" s="30"/>
    </row>
    <row r="5" spans="1:28" ht="15.75">
      <c r="A5" s="428">
        <v>0</v>
      </c>
      <c r="B5" s="426">
        <v>463.48</v>
      </c>
      <c r="C5" s="426">
        <v>463.48</v>
      </c>
      <c r="D5" s="426">
        <v>463.48</v>
      </c>
      <c r="E5" s="426">
        <v>463.48</v>
      </c>
      <c r="F5" s="426">
        <v>463.48</v>
      </c>
      <c r="G5" s="426">
        <v>463.48</v>
      </c>
      <c r="H5" s="426">
        <v>463.48</v>
      </c>
      <c r="I5" s="426">
        <v>463.39</v>
      </c>
      <c r="J5" s="295">
        <v>5081</v>
      </c>
      <c r="K5" s="429">
        <v>0</v>
      </c>
      <c r="L5" s="364">
        <v>422.27</v>
      </c>
      <c r="M5" s="364">
        <v>300.35000000000002</v>
      </c>
      <c r="N5" s="364">
        <v>0</v>
      </c>
      <c r="O5" s="364">
        <v>0</v>
      </c>
      <c r="P5" s="419">
        <v>0</v>
      </c>
      <c r="Q5" s="419">
        <v>0</v>
      </c>
      <c r="R5" s="364">
        <v>0</v>
      </c>
      <c r="S5" s="364">
        <v>0</v>
      </c>
      <c r="T5" s="364">
        <v>0</v>
      </c>
      <c r="U5" s="24"/>
      <c r="V5" s="1">
        <f>IF(V4=tankSound1,V4,CEILING(W3,incHeel))</f>
        <v>1900</v>
      </c>
      <c r="W5" s="1">
        <f>Interp2(tank1Heel1,tank1Heel2,tank1Heel3,V5,V3)</f>
        <v>0</v>
      </c>
      <c r="X5" s="1">
        <f>IF(X4=X3,X3,CEILING(X3,inc))</f>
        <v>1850</v>
      </c>
      <c r="Y5" s="42">
        <f>IF(X9=X8,X8,Interp1(V8:V9,X8:X9,V7))</f>
        <v>244.792</v>
      </c>
      <c r="AA5" s="30"/>
      <c r="AB5" s="42"/>
    </row>
    <row r="6" spans="1:28" ht="15.75">
      <c r="A6" s="428">
        <v>50</v>
      </c>
      <c r="B6" s="426">
        <v>463.48</v>
      </c>
      <c r="C6" s="426">
        <v>463.48</v>
      </c>
      <c r="D6" s="426">
        <v>463.48</v>
      </c>
      <c r="E6" s="426">
        <v>463.48</v>
      </c>
      <c r="F6" s="426">
        <v>463.48</v>
      </c>
      <c r="G6" s="426">
        <v>463.48</v>
      </c>
      <c r="H6" s="426">
        <v>463.47</v>
      </c>
      <c r="I6" s="426">
        <v>463.14</v>
      </c>
      <c r="J6" s="295">
        <v>5031</v>
      </c>
      <c r="K6" s="429">
        <v>100</v>
      </c>
      <c r="L6" s="364">
        <v>400.96</v>
      </c>
      <c r="M6" s="364">
        <v>316.52999999999997</v>
      </c>
      <c r="N6" s="364">
        <v>0</v>
      </c>
      <c r="O6" s="364">
        <v>0</v>
      </c>
      <c r="P6" s="419">
        <v>0</v>
      </c>
      <c r="Q6" s="419">
        <v>0</v>
      </c>
      <c r="R6" s="364">
        <v>0</v>
      </c>
      <c r="S6" s="364">
        <v>0</v>
      </c>
      <c r="T6" s="364">
        <v>0</v>
      </c>
      <c r="U6" s="25"/>
      <c r="W6" s="1">
        <f>IF(W5=W4,W4,Interp1(V4:V5,W4:W5,W3))</f>
        <v>0</v>
      </c>
      <c r="Y6" s="42"/>
      <c r="AA6" s="30"/>
      <c r="AB6" s="42"/>
    </row>
    <row r="7" spans="1:28" ht="15.75">
      <c r="A7" s="428">
        <v>100</v>
      </c>
      <c r="B7" s="426">
        <v>463.48</v>
      </c>
      <c r="C7" s="426">
        <v>463.48</v>
      </c>
      <c r="D7" s="426">
        <v>463.48</v>
      </c>
      <c r="E7" s="426">
        <v>463.48</v>
      </c>
      <c r="F7" s="426">
        <v>463.48</v>
      </c>
      <c r="G7" s="426">
        <v>463.48</v>
      </c>
      <c r="H7" s="426">
        <v>463.4</v>
      </c>
      <c r="I7" s="426">
        <v>462.57</v>
      </c>
      <c r="J7" s="295">
        <v>4981</v>
      </c>
      <c r="K7" s="429">
        <v>200</v>
      </c>
      <c r="L7" s="364">
        <v>363.76</v>
      </c>
      <c r="M7" s="364">
        <v>298.77999999999997</v>
      </c>
      <c r="N7" s="364">
        <v>210.91</v>
      </c>
      <c r="O7" s="364">
        <v>0</v>
      </c>
      <c r="P7" s="419">
        <v>0</v>
      </c>
      <c r="Q7" s="419">
        <v>0</v>
      </c>
      <c r="R7" s="364">
        <v>0</v>
      </c>
      <c r="S7" s="364">
        <v>0</v>
      </c>
      <c r="T7" s="364">
        <v>0</v>
      </c>
      <c r="U7" s="25"/>
      <c r="V7" s="1">
        <f>trim</f>
        <v>0.36</v>
      </c>
      <c r="AA7" s="30"/>
      <c r="AB7" s="42"/>
    </row>
    <row r="8" spans="1:28" ht="15.75">
      <c r="A8" s="428">
        <v>150</v>
      </c>
      <c r="B8" s="426">
        <v>463.48</v>
      </c>
      <c r="C8" s="426">
        <v>463.48</v>
      </c>
      <c r="D8" s="426">
        <v>463.48</v>
      </c>
      <c r="E8" s="426">
        <v>463.48</v>
      </c>
      <c r="F8" s="426">
        <v>463.48</v>
      </c>
      <c r="G8" s="426">
        <v>463.48</v>
      </c>
      <c r="H8" s="426">
        <v>463.1</v>
      </c>
      <c r="I8" s="426">
        <v>461.6</v>
      </c>
      <c r="J8" s="295">
        <v>4931</v>
      </c>
      <c r="K8" s="429">
        <v>300</v>
      </c>
      <c r="L8" s="364">
        <v>333.05</v>
      </c>
      <c r="M8" s="364">
        <v>267.08999999999997</v>
      </c>
      <c r="N8" s="364">
        <v>196.83</v>
      </c>
      <c r="O8" s="364">
        <v>105.41</v>
      </c>
      <c r="P8" s="419">
        <v>0</v>
      </c>
      <c r="Q8" s="419">
        <v>0</v>
      </c>
      <c r="R8" s="364">
        <v>0</v>
      </c>
      <c r="S8" s="364">
        <v>0</v>
      </c>
      <c r="T8" s="364">
        <v>0</v>
      </c>
      <c r="U8" s="25"/>
      <c r="V8" s="1">
        <f>INDEX(tank1Trim2,0,MATCH(V7,tank1Trim2,1))</f>
        <v>0</v>
      </c>
      <c r="W8" s="1">
        <f>Interp2(tank1Trim1,tank1Trim2,tank1Trim3,X4,V8)</f>
        <v>254.6</v>
      </c>
      <c r="X8" s="1">
        <f>Interp2(tank1Trim1,tank1Trim2,tank1Trim3,X5,V8)</f>
        <v>247.37</v>
      </c>
      <c r="AA8" s="30"/>
    </row>
    <row r="9" spans="1:28" ht="15.75">
      <c r="A9" s="428">
        <v>200</v>
      </c>
      <c r="B9" s="426">
        <v>463.48</v>
      </c>
      <c r="C9" s="426">
        <v>463.48</v>
      </c>
      <c r="D9" s="426">
        <v>463.48</v>
      </c>
      <c r="E9" s="426">
        <v>463.48</v>
      </c>
      <c r="F9" s="426">
        <v>463.48</v>
      </c>
      <c r="G9" s="426">
        <v>463.39</v>
      </c>
      <c r="H9" s="426">
        <v>462.42</v>
      </c>
      <c r="I9" s="426">
        <v>460.08</v>
      </c>
      <c r="J9" s="295">
        <v>4881</v>
      </c>
      <c r="K9" s="429">
        <v>400</v>
      </c>
      <c r="L9" s="364">
        <v>304.23</v>
      </c>
      <c r="M9" s="364">
        <v>240.94</v>
      </c>
      <c r="N9" s="364">
        <v>172.89</v>
      </c>
      <c r="O9" s="364">
        <v>96.76</v>
      </c>
      <c r="P9" s="419">
        <v>0</v>
      </c>
      <c r="Q9" s="419">
        <v>0</v>
      </c>
      <c r="R9" s="364">
        <v>0</v>
      </c>
      <c r="S9" s="364">
        <v>0</v>
      </c>
      <c r="T9" s="364">
        <v>0</v>
      </c>
      <c r="U9" s="25"/>
      <c r="V9" s="1">
        <f>IF(V8=V7,V7,INDEX(tank1Trim2,0,MATCH(V7,tank1Trim2,1)+1))</f>
        <v>0.5</v>
      </c>
      <c r="W9" s="1">
        <f>Interp2(tank1Trim1,tank1Trim2,tank1Trim3,X4,V9)</f>
        <v>250.96</v>
      </c>
      <c r="X9" s="1">
        <f>Interp2(tank1Trim1,tank1Trim2,tank1Trim3,X5,V9)</f>
        <v>243.79</v>
      </c>
      <c r="AA9" s="30"/>
      <c r="AB9" s="42"/>
    </row>
    <row r="10" spans="1:28" ht="15.75">
      <c r="A10" s="428">
        <v>250</v>
      </c>
      <c r="B10" s="426">
        <v>463.48</v>
      </c>
      <c r="C10" s="426">
        <v>463.48</v>
      </c>
      <c r="D10" s="426">
        <v>463.48</v>
      </c>
      <c r="E10" s="426">
        <v>463.48</v>
      </c>
      <c r="F10" s="426">
        <v>463.38</v>
      </c>
      <c r="G10" s="426">
        <v>463.01</v>
      </c>
      <c r="H10" s="426">
        <v>461.21</v>
      </c>
      <c r="I10" s="426">
        <v>457.92</v>
      </c>
      <c r="J10" s="295">
        <v>4831</v>
      </c>
      <c r="K10" s="429">
        <v>500</v>
      </c>
      <c r="L10" s="364">
        <v>270.61</v>
      </c>
      <c r="M10" s="364">
        <v>216.29</v>
      </c>
      <c r="N10" s="364">
        <v>152.59</v>
      </c>
      <c r="O10" s="364">
        <v>82.71</v>
      </c>
      <c r="P10" s="419">
        <v>0</v>
      </c>
      <c r="Q10" s="419">
        <v>-142.71</v>
      </c>
      <c r="R10" s="364">
        <v>0</v>
      </c>
      <c r="S10" s="364">
        <v>0</v>
      </c>
      <c r="T10" s="364">
        <v>0</v>
      </c>
      <c r="U10" s="25"/>
      <c r="W10" s="43"/>
      <c r="X10" s="42"/>
      <c r="AA10" s="30"/>
      <c r="AB10" s="42"/>
    </row>
    <row r="11" spans="1:28" ht="15.75">
      <c r="A11" s="428">
        <v>300</v>
      </c>
      <c r="B11" s="426">
        <v>463.48</v>
      </c>
      <c r="C11" s="426">
        <v>463.48</v>
      </c>
      <c r="D11" s="426">
        <v>463.48</v>
      </c>
      <c r="E11" s="426">
        <v>463.36</v>
      </c>
      <c r="F11" s="426">
        <v>462.91</v>
      </c>
      <c r="G11" s="426">
        <v>462.09</v>
      </c>
      <c r="H11" s="426">
        <v>459.31</v>
      </c>
      <c r="I11" s="426">
        <v>454.99</v>
      </c>
      <c r="J11" s="295">
        <v>4781</v>
      </c>
      <c r="K11" s="429">
        <v>600</v>
      </c>
      <c r="L11" s="364">
        <v>243.96</v>
      </c>
      <c r="M11" s="364">
        <v>190.64</v>
      </c>
      <c r="N11" s="364">
        <v>133.47</v>
      </c>
      <c r="O11" s="364">
        <v>70.48</v>
      </c>
      <c r="P11" s="419">
        <v>0</v>
      </c>
      <c r="Q11" s="419">
        <v>-94.74</v>
      </c>
      <c r="R11" s="364">
        <v>-282.17</v>
      </c>
      <c r="S11" s="364">
        <v>0</v>
      </c>
      <c r="T11" s="364">
        <v>0</v>
      </c>
      <c r="U11" s="25"/>
    </row>
    <row r="12" spans="1:28" ht="15.75">
      <c r="A12" s="428">
        <v>350</v>
      </c>
      <c r="B12" s="426">
        <v>463.48</v>
      </c>
      <c r="C12" s="426">
        <v>463.48</v>
      </c>
      <c r="D12" s="426">
        <v>463.29</v>
      </c>
      <c r="E12" s="426">
        <v>462.72</v>
      </c>
      <c r="F12" s="426">
        <v>461.76</v>
      </c>
      <c r="G12" s="426">
        <v>460.41</v>
      </c>
      <c r="H12" s="426">
        <v>456.57</v>
      </c>
      <c r="I12" s="426">
        <v>451.18</v>
      </c>
      <c r="J12" s="295">
        <v>4731</v>
      </c>
      <c r="K12" s="429">
        <v>700</v>
      </c>
      <c r="L12" s="364">
        <v>224.24</v>
      </c>
      <c r="M12" s="364">
        <v>172.13</v>
      </c>
      <c r="N12" s="364">
        <v>117.46</v>
      </c>
      <c r="O12" s="364">
        <v>59.18</v>
      </c>
      <c r="P12" s="419">
        <v>0</v>
      </c>
      <c r="Q12" s="419">
        <v>-77.400000000000006</v>
      </c>
      <c r="R12" s="364">
        <v>-178.14</v>
      </c>
      <c r="S12" s="364">
        <v>0</v>
      </c>
      <c r="T12" s="364">
        <v>0</v>
      </c>
      <c r="U12" s="25"/>
      <c r="V12" s="1">
        <f>Bunkering!heeling1</f>
        <v>0</v>
      </c>
      <c r="W12" s="382">
        <f>sound31</f>
        <v>1830</v>
      </c>
      <c r="X12" s="186">
        <f>IF((W12+W15)&lt;0,W12,W12+W15)</f>
        <v>1830</v>
      </c>
      <c r="Y12" s="381">
        <f>IF(Y14=Y13,Y13,Interp1(X13:X14,Y13:Y14,X12))</f>
        <v>247.667</v>
      </c>
    </row>
    <row r="13" spans="1:28" ht="15.75">
      <c r="A13" s="428">
        <v>400</v>
      </c>
      <c r="B13" s="426">
        <v>463.36</v>
      </c>
      <c r="C13" s="426">
        <v>462.95</v>
      </c>
      <c r="D13" s="426">
        <v>462.23</v>
      </c>
      <c r="E13" s="426">
        <v>461.12</v>
      </c>
      <c r="F13" s="426">
        <v>459.62</v>
      </c>
      <c r="G13" s="426">
        <v>457.74</v>
      </c>
      <c r="H13" s="426">
        <v>452.82</v>
      </c>
      <c r="I13" s="426">
        <v>446.39</v>
      </c>
      <c r="J13" s="295">
        <v>4681</v>
      </c>
      <c r="K13" s="429">
        <v>800</v>
      </c>
      <c r="L13" s="364">
        <v>213.76</v>
      </c>
      <c r="M13" s="364">
        <v>163.57</v>
      </c>
      <c r="N13" s="364">
        <v>111.04</v>
      </c>
      <c r="O13" s="364">
        <v>55.89</v>
      </c>
      <c r="P13" s="419">
        <v>0</v>
      </c>
      <c r="Q13" s="419">
        <v>-59.82</v>
      </c>
      <c r="R13" s="364">
        <v>-126.03</v>
      </c>
      <c r="S13" s="364">
        <v>-207.97</v>
      </c>
      <c r="T13" s="364">
        <v>-338.88</v>
      </c>
      <c r="U13" s="25"/>
      <c r="V13" s="1">
        <f>IF(tankSound21=soundingPipe1,tankSound21,FLOOR(W12,incHeel))</f>
        <v>1800</v>
      </c>
      <c r="W13" s="1">
        <f>Interp2(tank1Heel1,tank1Heel2,tank1Heel3,V13,V12)</f>
        <v>0</v>
      </c>
      <c r="X13" s="1">
        <f>IF(X12=soundingPipe1,Tank1!X12,FLOOR(X12,inc))</f>
        <v>1800</v>
      </c>
      <c r="Y13" s="42">
        <f>IF(W18=W17,W17,Interp1(V17:V18,W17:W18,V16))</f>
        <v>251.97900000000001</v>
      </c>
      <c r="AB13" s="42"/>
    </row>
    <row r="14" spans="1:28" ht="15.75">
      <c r="A14" s="428">
        <v>450</v>
      </c>
      <c r="B14" s="426">
        <v>462.72</v>
      </c>
      <c r="C14" s="426">
        <v>461.36</v>
      </c>
      <c r="D14" s="426">
        <v>460.1</v>
      </c>
      <c r="E14" s="426">
        <v>458.46</v>
      </c>
      <c r="F14" s="426">
        <v>456.42</v>
      </c>
      <c r="G14" s="426">
        <v>454.01</v>
      </c>
      <c r="H14" s="426">
        <v>448.02</v>
      </c>
      <c r="I14" s="426">
        <v>440.67</v>
      </c>
      <c r="J14" s="295">
        <v>4631</v>
      </c>
      <c r="K14" s="429">
        <v>900</v>
      </c>
      <c r="L14" s="364">
        <v>208.43</v>
      </c>
      <c r="M14" s="364">
        <v>159.66</v>
      </c>
      <c r="N14" s="364">
        <v>108.53</v>
      </c>
      <c r="O14" s="364">
        <v>55.53</v>
      </c>
      <c r="P14" s="419">
        <v>0</v>
      </c>
      <c r="Q14" s="419">
        <v>-55.89</v>
      </c>
      <c r="R14" s="364">
        <v>-112.65</v>
      </c>
      <c r="S14" s="364">
        <v>-172.58</v>
      </c>
      <c r="T14" s="364">
        <v>-243.14</v>
      </c>
      <c r="U14" s="25"/>
      <c r="V14" s="1">
        <f>IF(V13=tankSound21,V13,CEILING(W12,incHeel))</f>
        <v>1900</v>
      </c>
      <c r="W14" s="1">
        <f>Interp2(tank1Heel1,tank1Heel2,tank1Heel3,V14,V12)</f>
        <v>0</v>
      </c>
      <c r="X14" s="1">
        <f>IF(X13=X12,X13,CEILING(X12,inc))</f>
        <v>1850</v>
      </c>
      <c r="Y14" s="42">
        <f>IF(X18=X17,X17,Interp1(V17:V18,X17:X18,V16))</f>
        <v>244.792</v>
      </c>
    </row>
    <row r="15" spans="1:28" ht="15.75">
      <c r="A15" s="428">
        <v>500</v>
      </c>
      <c r="B15" s="426">
        <v>461.14</v>
      </c>
      <c r="C15" s="426">
        <v>458.7</v>
      </c>
      <c r="D15" s="426">
        <v>456.91</v>
      </c>
      <c r="E15" s="426">
        <v>454.73</v>
      </c>
      <c r="F15" s="426">
        <v>452.16</v>
      </c>
      <c r="G15" s="426">
        <v>449.21</v>
      </c>
      <c r="H15" s="426">
        <v>442.17</v>
      </c>
      <c r="I15" s="426">
        <v>434.13</v>
      </c>
      <c r="J15" s="295">
        <v>4581</v>
      </c>
      <c r="K15" s="429">
        <v>1000</v>
      </c>
      <c r="L15" s="366">
        <v>203.1</v>
      </c>
      <c r="M15" s="366">
        <v>155.63999999999999</v>
      </c>
      <c r="N15" s="366">
        <v>105.76</v>
      </c>
      <c r="O15" s="366">
        <v>54.27</v>
      </c>
      <c r="P15" s="419">
        <v>0</v>
      </c>
      <c r="Q15" s="419">
        <v>-55.76</v>
      </c>
      <c r="R15" s="366">
        <v>-111.82</v>
      </c>
      <c r="S15" s="366">
        <v>-167.81</v>
      </c>
      <c r="T15" s="366">
        <v>-225.59</v>
      </c>
      <c r="U15" s="26"/>
      <c r="W15" s="1">
        <f>IF(W14=W13,W13,Interp1(V13:V14,W13:W14,W12))</f>
        <v>0</v>
      </c>
      <c r="Y15" s="42"/>
    </row>
    <row r="16" spans="1:28" ht="15.75">
      <c r="A16" s="428">
        <v>550</v>
      </c>
      <c r="B16" s="426">
        <v>458.49</v>
      </c>
      <c r="C16" s="426">
        <v>454.98</v>
      </c>
      <c r="D16" s="426">
        <v>452.65</v>
      </c>
      <c r="E16" s="426">
        <v>449.93</v>
      </c>
      <c r="F16" s="426">
        <v>446.83</v>
      </c>
      <c r="G16" s="426">
        <v>443.34</v>
      </c>
      <c r="H16" s="426">
        <v>435.4</v>
      </c>
      <c r="I16" s="426">
        <v>426.87</v>
      </c>
      <c r="J16" s="295">
        <v>4531</v>
      </c>
      <c r="K16" s="429">
        <v>1100</v>
      </c>
      <c r="L16" s="364">
        <v>197.82</v>
      </c>
      <c r="M16" s="364">
        <v>151.62</v>
      </c>
      <c r="N16" s="364">
        <v>102.99</v>
      </c>
      <c r="O16" s="364">
        <v>52.88</v>
      </c>
      <c r="P16" s="419">
        <v>0</v>
      </c>
      <c r="Q16" s="419">
        <v>-54.68</v>
      </c>
      <c r="R16" s="364">
        <v>-111.56</v>
      </c>
      <c r="S16" s="364">
        <v>-167.72</v>
      </c>
      <c r="T16" s="364">
        <v>-223.91</v>
      </c>
      <c r="U16" s="25"/>
      <c r="V16" s="1">
        <f>Bunkering!trim1</f>
        <v>0.36</v>
      </c>
    </row>
    <row r="17" spans="1:28" ht="15.75">
      <c r="A17" s="428">
        <v>600</v>
      </c>
      <c r="B17" s="426">
        <v>454.77</v>
      </c>
      <c r="C17" s="426">
        <v>450.19</v>
      </c>
      <c r="D17" s="426">
        <v>447.32</v>
      </c>
      <c r="E17" s="426">
        <v>444.07</v>
      </c>
      <c r="F17" s="426">
        <v>440.43</v>
      </c>
      <c r="G17" s="426">
        <v>436.43</v>
      </c>
      <c r="H17" s="426">
        <v>427.87</v>
      </c>
      <c r="I17" s="426">
        <v>419.05</v>
      </c>
      <c r="J17" s="295">
        <v>4481</v>
      </c>
      <c r="K17" s="429">
        <v>1200</v>
      </c>
      <c r="L17" s="364">
        <v>192.6</v>
      </c>
      <c r="M17" s="364">
        <v>147.59</v>
      </c>
      <c r="N17" s="364">
        <v>100.22</v>
      </c>
      <c r="O17" s="364">
        <v>51.49</v>
      </c>
      <c r="P17" s="419">
        <v>0</v>
      </c>
      <c r="Q17" s="419">
        <v>-53.21</v>
      </c>
      <c r="R17" s="364">
        <v>-109.47</v>
      </c>
      <c r="S17" s="364">
        <v>-166.76</v>
      </c>
      <c r="T17" s="364">
        <v>-223.69</v>
      </c>
      <c r="U17" s="25"/>
      <c r="V17" s="1">
        <f>INDEX(tank1Trim2,0,MATCH(V16,tank1Trim2,1))</f>
        <v>0</v>
      </c>
      <c r="W17" s="1">
        <f>Interp2(tank1Trim1,tank1Trim2,tank1Trim3,X13,V17)</f>
        <v>254.6</v>
      </c>
      <c r="X17" s="1">
        <f>Interp2(tank1Trim1,tank1Trim2,tank1Trim3,X14,V17)</f>
        <v>247.37</v>
      </c>
      <c r="Z17" s="187"/>
      <c r="AA17" s="187"/>
      <c r="AB17" s="40"/>
    </row>
    <row r="18" spans="1:28" ht="15.75">
      <c r="A18" s="428">
        <v>650</v>
      </c>
      <c r="B18" s="426">
        <v>449.98</v>
      </c>
      <c r="C18" s="426">
        <v>444.33</v>
      </c>
      <c r="D18" s="426">
        <v>440.93</v>
      </c>
      <c r="E18" s="426">
        <v>437.14</v>
      </c>
      <c r="F18" s="426">
        <v>432.99</v>
      </c>
      <c r="G18" s="426">
        <v>428.64</v>
      </c>
      <c r="H18" s="426">
        <v>419.74</v>
      </c>
      <c r="I18" s="426">
        <v>410.76</v>
      </c>
      <c r="J18" s="295">
        <v>4431</v>
      </c>
      <c r="K18" s="429">
        <v>1300</v>
      </c>
      <c r="L18" s="364">
        <v>187.38</v>
      </c>
      <c r="M18" s="364">
        <v>143.56</v>
      </c>
      <c r="N18" s="364">
        <v>97.5</v>
      </c>
      <c r="O18" s="364">
        <v>50.1</v>
      </c>
      <c r="P18" s="419">
        <v>0</v>
      </c>
      <c r="Q18" s="419">
        <v>-51.75</v>
      </c>
      <c r="R18" s="364">
        <v>-106.51</v>
      </c>
      <c r="S18" s="364">
        <v>-163.55000000000001</v>
      </c>
      <c r="T18" s="364">
        <v>-221.82</v>
      </c>
      <c r="U18" s="25"/>
      <c r="V18" s="1">
        <f>IF(V17=V16,V16,INDEX(tank1Trim2,0,MATCH(V16,tank1Trim2,1)+1))</f>
        <v>0.5</v>
      </c>
      <c r="W18" s="1">
        <f>Interp2(tank1Trim1,tank1Trim2,tank1Trim3,X13,V18)</f>
        <v>250.96</v>
      </c>
      <c r="X18" s="1">
        <f>Interp2(tank1Trim1,tank1Trim2,tank1Trim3,X14,V18)</f>
        <v>243.79</v>
      </c>
      <c r="AA18" s="30"/>
    </row>
    <row r="19" spans="1:28" ht="15.75">
      <c r="A19" s="428">
        <v>700</v>
      </c>
      <c r="B19" s="426">
        <v>444.13</v>
      </c>
      <c r="C19" s="426">
        <v>437.41</v>
      </c>
      <c r="D19" s="426">
        <v>433.47</v>
      </c>
      <c r="E19" s="426">
        <v>429.17</v>
      </c>
      <c r="F19" s="426">
        <v>424.71</v>
      </c>
      <c r="G19" s="426">
        <v>420.2</v>
      </c>
      <c r="H19" s="426">
        <v>411.15</v>
      </c>
      <c r="I19" s="426">
        <v>402.16</v>
      </c>
      <c r="J19" s="295">
        <v>4381</v>
      </c>
      <c r="K19" s="429">
        <v>1400</v>
      </c>
      <c r="L19" s="364">
        <v>182.16</v>
      </c>
      <c r="M19" s="364">
        <v>139.53</v>
      </c>
      <c r="N19" s="364">
        <v>94.79</v>
      </c>
      <c r="O19" s="364">
        <v>48.71</v>
      </c>
      <c r="P19" s="419">
        <v>0</v>
      </c>
      <c r="Q19" s="419">
        <v>-50.28</v>
      </c>
      <c r="R19" s="364">
        <v>-103.55</v>
      </c>
      <c r="S19" s="364">
        <v>-158.94</v>
      </c>
      <c r="T19" s="364">
        <v>-217.53</v>
      </c>
      <c r="U19" s="25"/>
      <c r="W19" s="30"/>
      <c r="AA19" s="30"/>
    </row>
    <row r="20" spans="1:28" ht="15.75">
      <c r="A20" s="428">
        <v>750</v>
      </c>
      <c r="B20" s="426">
        <v>437.22</v>
      </c>
      <c r="C20" s="426">
        <v>429.42</v>
      </c>
      <c r="D20" s="426">
        <v>424.98</v>
      </c>
      <c r="E20" s="426">
        <v>420.44</v>
      </c>
      <c r="F20" s="426">
        <v>415.9</v>
      </c>
      <c r="G20" s="426">
        <v>411.35</v>
      </c>
      <c r="H20" s="426">
        <v>402.3</v>
      </c>
      <c r="I20" s="426">
        <v>393.35</v>
      </c>
      <c r="J20" s="295">
        <v>4331</v>
      </c>
      <c r="K20" s="429">
        <v>1500</v>
      </c>
      <c r="L20" s="364">
        <v>176.93</v>
      </c>
      <c r="M20" s="364">
        <v>135.49</v>
      </c>
      <c r="N20" s="364">
        <v>92.09</v>
      </c>
      <c r="O20" s="364">
        <v>47.32</v>
      </c>
      <c r="P20" s="419">
        <v>0</v>
      </c>
      <c r="Q20" s="419">
        <v>-48.81</v>
      </c>
      <c r="R20" s="364">
        <v>-100.6</v>
      </c>
      <c r="S20" s="364">
        <v>-154.34</v>
      </c>
      <c r="T20" s="364">
        <v>-211.38</v>
      </c>
      <c r="U20" s="24"/>
      <c r="W20" s="30"/>
      <c r="X20" s="42"/>
      <c r="AA20" s="30"/>
      <c r="AB20" s="42"/>
    </row>
    <row r="21" spans="1:28" ht="15.75">
      <c r="A21" s="428">
        <v>800</v>
      </c>
      <c r="B21" s="426">
        <v>429.25</v>
      </c>
      <c r="C21" s="426">
        <v>420.51</v>
      </c>
      <c r="D21" s="426">
        <v>415.96</v>
      </c>
      <c r="E21" s="426">
        <v>411.41</v>
      </c>
      <c r="F21" s="426">
        <v>406.87</v>
      </c>
      <c r="G21" s="426">
        <v>402.33</v>
      </c>
      <c r="H21" s="426">
        <v>393.34</v>
      </c>
      <c r="I21" s="426">
        <v>384.47</v>
      </c>
      <c r="J21" s="295">
        <v>4281</v>
      </c>
      <c r="K21" s="429">
        <v>1600</v>
      </c>
      <c r="L21" s="364">
        <v>171.69</v>
      </c>
      <c r="M21" s="364">
        <v>131.44</v>
      </c>
      <c r="N21" s="364">
        <v>89.37</v>
      </c>
      <c r="O21" s="364">
        <v>45.92</v>
      </c>
      <c r="P21" s="419">
        <v>0</v>
      </c>
      <c r="Q21" s="419">
        <v>-47.34</v>
      </c>
      <c r="R21" s="364">
        <v>-97.59</v>
      </c>
      <c r="S21" s="364">
        <v>-149.74</v>
      </c>
      <c r="T21" s="364">
        <v>-205.17</v>
      </c>
      <c r="U21" s="24"/>
      <c r="V21" s="1">
        <f>bunkerPlanTrim*-1</f>
        <v>0.15</v>
      </c>
      <c r="W21" s="383">
        <v>200</v>
      </c>
      <c r="X21" s="384" t="str">
        <f>ADDRESS(X23,10,1,1)</f>
        <v>$J$48</v>
      </c>
      <c r="AA21" s="30"/>
      <c r="AB21" s="42"/>
    </row>
    <row r="22" spans="1:28" ht="15.75">
      <c r="A22" s="428">
        <v>850</v>
      </c>
      <c r="B22" s="426">
        <v>420.53</v>
      </c>
      <c r="C22" s="426">
        <v>411.46</v>
      </c>
      <c r="D22" s="426">
        <v>406.91</v>
      </c>
      <c r="E22" s="426">
        <v>402.37</v>
      </c>
      <c r="F22" s="426">
        <v>397.83</v>
      </c>
      <c r="G22" s="426">
        <v>393.32</v>
      </c>
      <c r="H22" s="426">
        <v>384.41</v>
      </c>
      <c r="I22" s="426">
        <v>375.64</v>
      </c>
      <c r="J22" s="295">
        <v>4231</v>
      </c>
      <c r="K22" s="429">
        <v>1700</v>
      </c>
      <c r="L22" s="364">
        <v>166.46</v>
      </c>
      <c r="M22" s="364">
        <v>127.4</v>
      </c>
      <c r="N22" s="364">
        <v>86.67</v>
      </c>
      <c r="O22" s="364">
        <v>44.53</v>
      </c>
      <c r="P22" s="419">
        <v>0</v>
      </c>
      <c r="Q22" s="419">
        <v>-45.87</v>
      </c>
      <c r="R22" s="364">
        <v>-94.56</v>
      </c>
      <c r="S22" s="364">
        <v>-145.13999999999999</v>
      </c>
      <c r="T22" s="364">
        <v>-198.95</v>
      </c>
      <c r="U22" s="24"/>
      <c r="V22" s="188">
        <f>INDEX(tank1Trim2,0,MATCH(V21,tank1Trim2,1))</f>
        <v>0</v>
      </c>
      <c r="W22" s="188">
        <f>MATCH(V22,tank1Trim2,0)+1</f>
        <v>3</v>
      </c>
      <c r="X22" s="188">
        <f>MATCH(targetTank1,IF(W22=2,B5:B107,IF(W22=3,C5:C107,IF(W22=4,D5:D107,IF(W22=5,E5:E107,IF(W22=6,F5:F107,IF(W22=7,G5:G107,IF(W22=8,H5:H107,IF(W22=9,I5:I107)))))))),-1)</f>
        <v>44</v>
      </c>
      <c r="AA22" s="30"/>
      <c r="AB22" s="42"/>
    </row>
    <row r="23" spans="1:28" ht="15.75">
      <c r="A23" s="428">
        <v>900</v>
      </c>
      <c r="B23" s="426">
        <v>411.5</v>
      </c>
      <c r="C23" s="426">
        <v>402.41</v>
      </c>
      <c r="D23" s="426">
        <v>397.87</v>
      </c>
      <c r="E23" s="426">
        <v>393.33</v>
      </c>
      <c r="F23" s="426">
        <v>388.83</v>
      </c>
      <c r="G23" s="426">
        <v>384.36</v>
      </c>
      <c r="H23" s="426">
        <v>375.55</v>
      </c>
      <c r="I23" s="426">
        <v>366.88</v>
      </c>
      <c r="J23" s="295">
        <v>4181</v>
      </c>
      <c r="K23" s="429">
        <v>1800</v>
      </c>
      <c r="L23" s="364">
        <v>191.21</v>
      </c>
      <c r="M23" s="364">
        <v>123.34</v>
      </c>
      <c r="N23" s="364">
        <v>83.96</v>
      </c>
      <c r="O23" s="364">
        <v>43.14</v>
      </c>
      <c r="P23" s="419">
        <v>0</v>
      </c>
      <c r="Q23" s="419">
        <v>-44.4</v>
      </c>
      <c r="R23" s="364">
        <v>-91.54</v>
      </c>
      <c r="S23" s="364">
        <v>-140.55000000000001</v>
      </c>
      <c r="T23" s="364">
        <v>-192.6</v>
      </c>
      <c r="U23" s="24"/>
      <c r="V23" s="386">
        <v>3251</v>
      </c>
      <c r="X23" s="188">
        <f>X22+4</f>
        <v>48</v>
      </c>
      <c r="AA23" s="30"/>
    </row>
    <row r="24" spans="1:28" ht="15.75">
      <c r="A24" s="428">
        <v>950</v>
      </c>
      <c r="B24" s="426">
        <v>402.45</v>
      </c>
      <c r="C24" s="426">
        <v>393.36</v>
      </c>
      <c r="D24" s="426">
        <v>388.84</v>
      </c>
      <c r="E24" s="426">
        <v>384.35</v>
      </c>
      <c r="F24" s="426">
        <v>379.9</v>
      </c>
      <c r="G24" s="426">
        <v>375.48</v>
      </c>
      <c r="H24" s="426">
        <v>366.77</v>
      </c>
      <c r="I24" s="426">
        <v>358.2</v>
      </c>
      <c r="J24" s="295">
        <v>4131</v>
      </c>
      <c r="K24" s="429">
        <v>1900</v>
      </c>
      <c r="L24" s="364">
        <v>155.96</v>
      </c>
      <c r="M24" s="364">
        <v>119.28</v>
      </c>
      <c r="N24" s="364">
        <v>81.25</v>
      </c>
      <c r="O24" s="364">
        <v>41.75</v>
      </c>
      <c r="P24" s="419">
        <v>0</v>
      </c>
      <c r="Q24" s="419">
        <v>-42.93</v>
      </c>
      <c r="R24" s="364">
        <v>-88.51</v>
      </c>
      <c r="S24" s="364">
        <v>-135.97</v>
      </c>
      <c r="T24" s="364">
        <v>-186.26</v>
      </c>
      <c r="U24" s="25"/>
      <c r="V24" s="188">
        <f>FLOOR(V23,inc)</f>
        <v>3250</v>
      </c>
      <c r="W24" s="384">
        <f>Interp2(tank1Trim1,tank1Trim2,tank1Trim3,V24,V22)</f>
        <v>87.271000000000001</v>
      </c>
      <c r="X24" s="188"/>
      <c r="AA24" s="30"/>
      <c r="AB24" s="42"/>
    </row>
    <row r="25" spans="1:28" ht="15.75">
      <c r="A25" s="428">
        <v>1000</v>
      </c>
      <c r="B25" s="426">
        <v>393.42</v>
      </c>
      <c r="C25" s="426">
        <v>384.37</v>
      </c>
      <c r="D25" s="426">
        <v>379.89</v>
      </c>
      <c r="E25" s="426">
        <v>375.46</v>
      </c>
      <c r="F25" s="426">
        <v>371.06</v>
      </c>
      <c r="G25" s="426">
        <v>366.7</v>
      </c>
      <c r="H25" s="426">
        <v>358.09</v>
      </c>
      <c r="I25" s="426">
        <v>349.63</v>
      </c>
      <c r="J25" s="295">
        <v>4081</v>
      </c>
      <c r="K25" s="429">
        <v>2000</v>
      </c>
      <c r="L25" s="366">
        <v>150.69999999999999</v>
      </c>
      <c r="M25" s="366">
        <v>115.21</v>
      </c>
      <c r="N25" s="366">
        <v>78.537999999999997</v>
      </c>
      <c r="O25" s="366">
        <v>40.36</v>
      </c>
      <c r="P25" s="419">
        <v>0</v>
      </c>
      <c r="Q25" s="419">
        <v>-41.47</v>
      </c>
      <c r="R25" s="366">
        <v>-85.48</v>
      </c>
      <c r="S25" s="366">
        <v>-131.38999999999999</v>
      </c>
      <c r="T25" s="366">
        <v>-179.93</v>
      </c>
      <c r="U25" s="27"/>
      <c r="W25" s="43"/>
      <c r="X25" s="42"/>
      <c r="AA25" s="30"/>
      <c r="AB25" s="42"/>
    </row>
    <row r="26" spans="1:28" ht="15.75">
      <c r="A26" s="428">
        <v>1050</v>
      </c>
      <c r="B26" s="426">
        <v>384.44</v>
      </c>
      <c r="C26" s="426">
        <v>321.48</v>
      </c>
      <c r="D26" s="426">
        <v>371.06</v>
      </c>
      <c r="E26" s="426">
        <v>366.67</v>
      </c>
      <c r="F26" s="426">
        <v>362.32</v>
      </c>
      <c r="G26" s="426">
        <v>358.01</v>
      </c>
      <c r="H26" s="426">
        <v>349.51</v>
      </c>
      <c r="I26" s="426">
        <v>341.15</v>
      </c>
      <c r="J26" s="295">
        <v>4031</v>
      </c>
      <c r="K26" s="429">
        <v>2100</v>
      </c>
      <c r="L26" s="364">
        <v>145.43</v>
      </c>
      <c r="M26" s="364">
        <v>111.14</v>
      </c>
      <c r="N26" s="364">
        <v>75.83</v>
      </c>
      <c r="O26" s="364">
        <v>38.96</v>
      </c>
      <c r="P26" s="419">
        <v>0</v>
      </c>
      <c r="Q26" s="419">
        <v>-40</v>
      </c>
      <c r="R26" s="364">
        <v>-82.46</v>
      </c>
      <c r="S26" s="364">
        <v>-126.82</v>
      </c>
      <c r="T26" s="364">
        <v>-173.6</v>
      </c>
      <c r="U26" s="25"/>
    </row>
    <row r="27" spans="1:28" ht="15.75">
      <c r="A27" s="428">
        <v>1100</v>
      </c>
      <c r="B27" s="426">
        <v>375.54</v>
      </c>
      <c r="C27" s="426">
        <v>366.69</v>
      </c>
      <c r="D27" s="426">
        <v>362.32</v>
      </c>
      <c r="E27" s="426">
        <v>357.99</v>
      </c>
      <c r="F27" s="426">
        <v>353.69</v>
      </c>
      <c r="G27" s="426">
        <v>349.44</v>
      </c>
      <c r="H27" s="426">
        <v>341.04</v>
      </c>
      <c r="I27" s="426">
        <v>332.78</v>
      </c>
      <c r="J27" s="295">
        <v>3981</v>
      </c>
      <c r="K27" s="429">
        <v>2200</v>
      </c>
      <c r="L27" s="364">
        <v>140.16</v>
      </c>
      <c r="M27" s="364">
        <v>107.05</v>
      </c>
      <c r="N27" s="364">
        <v>73.12</v>
      </c>
      <c r="O27" s="364">
        <v>37.57</v>
      </c>
      <c r="P27" s="419">
        <v>0</v>
      </c>
      <c r="Q27" s="419">
        <v>-38.53</v>
      </c>
      <c r="R27" s="364">
        <v>-79.44</v>
      </c>
      <c r="S27" s="364">
        <v>-122.26</v>
      </c>
      <c r="T27" s="364">
        <v>-167.28</v>
      </c>
      <c r="U27" s="24"/>
      <c r="V27" s="1">
        <f>bunkerPlanHeel</f>
        <v>0</v>
      </c>
      <c r="W27" s="382">
        <f>currentSounding1</f>
        <v>3251</v>
      </c>
      <c r="X27" s="186">
        <f>IF((W27+W30)&lt;0,W27,W27+W30)</f>
        <v>3251</v>
      </c>
      <c r="Y27" s="381">
        <f>IF(Y29=Y28,Y28,Interp1(X28:X29,Y28:Y29,X27))</f>
        <v>87.840999999999994</v>
      </c>
    </row>
    <row r="28" spans="1:28" ht="15.75">
      <c r="A28" s="428">
        <v>1150</v>
      </c>
      <c r="B28" s="426">
        <v>366.76</v>
      </c>
      <c r="C28" s="426">
        <v>353.01</v>
      </c>
      <c r="D28" s="426">
        <v>353.69</v>
      </c>
      <c r="E28" s="426">
        <v>349.41</v>
      </c>
      <c r="F28" s="426">
        <v>345.17</v>
      </c>
      <c r="G28" s="426">
        <v>340.96</v>
      </c>
      <c r="H28" s="426">
        <v>332.67</v>
      </c>
      <c r="I28" s="426">
        <v>324.52</v>
      </c>
      <c r="J28" s="295">
        <v>3931</v>
      </c>
      <c r="K28" s="429">
        <v>2300</v>
      </c>
      <c r="L28" s="364">
        <v>134.87</v>
      </c>
      <c r="M28" s="364">
        <v>102.96</v>
      </c>
      <c r="N28" s="364">
        <v>70.41</v>
      </c>
      <c r="O28" s="364">
        <v>36.18</v>
      </c>
      <c r="P28" s="419">
        <v>0</v>
      </c>
      <c r="Q28" s="419">
        <v>-37.06</v>
      </c>
      <c r="R28" s="364">
        <v>-76.41</v>
      </c>
      <c r="S28" s="364">
        <v>-117.71</v>
      </c>
      <c r="T28" s="364">
        <v>-160.97</v>
      </c>
      <c r="U28" s="25"/>
      <c r="V28" s="1">
        <f>FLOOR(W27,inc)</f>
        <v>3250</v>
      </c>
      <c r="W28" s="1">
        <f>Interp2(tank1Heel1,tank1Heel2,tank1Heel3,V28,V27)</f>
        <v>0</v>
      </c>
      <c r="X28" s="1">
        <f>FLOOR(X27,inc)</f>
        <v>3250</v>
      </c>
      <c r="Y28" s="42">
        <f>IF(W33=W32,W32,Interp1(V32:V33,W32:W33,V31))</f>
        <v>87.924999999999997</v>
      </c>
      <c r="AB28" s="42"/>
    </row>
    <row r="29" spans="1:28" ht="15.75">
      <c r="A29" s="428">
        <v>1200</v>
      </c>
      <c r="B29" s="426">
        <v>358.07</v>
      </c>
      <c r="C29" s="426">
        <v>349.43</v>
      </c>
      <c r="D29" s="426">
        <v>345.16</v>
      </c>
      <c r="E29" s="426">
        <v>340.94</v>
      </c>
      <c r="F29" s="426">
        <v>336.75</v>
      </c>
      <c r="G29" s="426">
        <v>332.59</v>
      </c>
      <c r="H29" s="426">
        <v>324.39999999999998</v>
      </c>
      <c r="I29" s="426">
        <v>316.36</v>
      </c>
      <c r="J29" s="295">
        <v>3881</v>
      </c>
      <c r="K29" s="429">
        <v>2400</v>
      </c>
      <c r="L29" s="364">
        <v>129.57</v>
      </c>
      <c r="M29" s="364">
        <v>98.9</v>
      </c>
      <c r="N29" s="364">
        <v>67.69</v>
      </c>
      <c r="O29" s="364">
        <v>34.79</v>
      </c>
      <c r="P29" s="419">
        <v>0</v>
      </c>
      <c r="Q29" s="419">
        <v>-35.6</v>
      </c>
      <c r="R29" s="364">
        <v>-73.39</v>
      </c>
      <c r="S29" s="364">
        <v>-113.16</v>
      </c>
      <c r="T29" s="364">
        <v>-154.66999999999999</v>
      </c>
      <c r="U29" s="25"/>
      <c r="V29" s="1">
        <f>IF(V28=currentSounding21,V28,CEILING(W27,inc))</f>
        <v>3300</v>
      </c>
      <c r="W29" s="1">
        <f>Interp2(tank1Heel1,tank1Heel2,tank1Heel3,V29,V27)</f>
        <v>0</v>
      </c>
      <c r="X29" s="1">
        <f>CEILING(X27,inc)</f>
        <v>3300</v>
      </c>
      <c r="Y29" s="42">
        <f>IF(X33=X32,X32,Interp1(V32:V33,X32:X33,V31))</f>
        <v>83.7</v>
      </c>
    </row>
    <row r="30" spans="1:28" ht="15.75">
      <c r="A30" s="428">
        <v>1250</v>
      </c>
      <c r="B30" s="427">
        <v>349.49</v>
      </c>
      <c r="C30" s="426">
        <v>340.95</v>
      </c>
      <c r="D30" s="426">
        <v>336.74</v>
      </c>
      <c r="E30" s="426">
        <v>332.57</v>
      </c>
      <c r="F30" s="426">
        <v>328.42700000000002</v>
      </c>
      <c r="G30" s="426">
        <v>324.33</v>
      </c>
      <c r="H30" s="426">
        <v>316.24</v>
      </c>
      <c r="I30" s="426">
        <v>308.3</v>
      </c>
      <c r="J30" s="295">
        <v>3831</v>
      </c>
      <c r="K30" s="429">
        <v>2500</v>
      </c>
      <c r="L30" s="364">
        <v>124.26</v>
      </c>
      <c r="M30" s="364">
        <v>94.93</v>
      </c>
      <c r="N30" s="364">
        <v>64.98</v>
      </c>
      <c r="O30" s="364">
        <v>33.39</v>
      </c>
      <c r="P30" s="419">
        <v>0</v>
      </c>
      <c r="Q30" s="419">
        <v>-34.130000000000003</v>
      </c>
      <c r="R30" s="364">
        <v>-70.36</v>
      </c>
      <c r="S30" s="364">
        <v>-108.63</v>
      </c>
      <c r="T30" s="364">
        <v>-148.38999999999999</v>
      </c>
      <c r="U30" s="25"/>
      <c r="W30" s="1">
        <f>IF(W29=W28,W28,Interp1(V28:V29,W28:W29,W27))</f>
        <v>0</v>
      </c>
      <c r="Y30" s="42"/>
    </row>
    <row r="31" spans="1:28" ht="15.75">
      <c r="A31" s="428">
        <v>1300</v>
      </c>
      <c r="B31" s="426">
        <v>341.02</v>
      </c>
      <c r="C31" s="426">
        <v>332.58</v>
      </c>
      <c r="D31" s="426">
        <v>328.42</v>
      </c>
      <c r="E31" s="426">
        <v>324.3</v>
      </c>
      <c r="F31" s="426">
        <v>320.20999999999998</v>
      </c>
      <c r="G31" s="426">
        <v>316.17</v>
      </c>
      <c r="H31" s="426">
        <v>308.18</v>
      </c>
      <c r="I31" s="426">
        <v>300.35000000000002</v>
      </c>
      <c r="J31" s="295">
        <v>3781</v>
      </c>
      <c r="K31" s="429">
        <v>2600</v>
      </c>
      <c r="L31" s="364">
        <v>118.94</v>
      </c>
      <c r="M31" s="364">
        <v>90.97</v>
      </c>
      <c r="N31" s="364">
        <v>62.27</v>
      </c>
      <c r="O31" s="364">
        <v>32</v>
      </c>
      <c r="P31" s="419">
        <v>0</v>
      </c>
      <c r="Q31" s="419">
        <v>-32.659999999999997</v>
      </c>
      <c r="R31" s="364">
        <v>-67.34</v>
      </c>
      <c r="S31" s="364">
        <v>-104.11</v>
      </c>
      <c r="T31" s="364">
        <v>-142.11000000000001</v>
      </c>
      <c r="U31" s="25"/>
      <c r="V31" s="1">
        <f>bunkerPlanTrim</f>
        <v>-0.15</v>
      </c>
      <c r="Z31" s="188"/>
      <c r="AA31" s="188"/>
    </row>
    <row r="32" spans="1:28" ht="15.75">
      <c r="A32" s="428">
        <v>1350</v>
      </c>
      <c r="B32" s="426">
        <v>332.65</v>
      </c>
      <c r="C32" s="426">
        <v>324.32</v>
      </c>
      <c r="D32" s="426">
        <v>320.20999999999998</v>
      </c>
      <c r="E32" s="426">
        <v>316.14</v>
      </c>
      <c r="F32" s="426">
        <v>312.10000000000002</v>
      </c>
      <c r="G32" s="426">
        <v>308.11</v>
      </c>
      <c r="H32" s="426">
        <v>300.23</v>
      </c>
      <c r="I32" s="426">
        <v>292.5</v>
      </c>
      <c r="J32" s="295">
        <v>3731</v>
      </c>
      <c r="K32" s="429">
        <v>2700</v>
      </c>
      <c r="L32" s="364">
        <v>113.6</v>
      </c>
      <c r="M32" s="364">
        <v>87</v>
      </c>
      <c r="N32" s="364">
        <v>59.56</v>
      </c>
      <c r="O32" s="364">
        <v>30.61</v>
      </c>
      <c r="P32" s="419">
        <v>0</v>
      </c>
      <c r="Q32" s="419">
        <v>-31.2</v>
      </c>
      <c r="R32" s="364">
        <v>-64.319999999999993</v>
      </c>
      <c r="S32" s="364">
        <v>-99.58</v>
      </c>
      <c r="T32" s="364">
        <v>-135.85</v>
      </c>
      <c r="U32" s="24"/>
      <c r="V32" s="1">
        <f>INDEX(tank1Trim2,0,MATCH(V31,tank1Trim2,1))</f>
        <v>-1</v>
      </c>
      <c r="W32" s="1">
        <f>Interp2(tank1Trim1,tank1Trim2,tank1Trim3,X28,V32)</f>
        <v>91.628</v>
      </c>
      <c r="X32" s="1">
        <f>Interp2(tank1Trim1,tank1Trim2,tank1Trim3,X29,V32)</f>
        <v>87.314999999999998</v>
      </c>
      <c r="Z32" s="188"/>
      <c r="AA32" s="188"/>
    </row>
    <row r="33" spans="1:28" ht="15.75">
      <c r="A33" s="428">
        <v>1400</v>
      </c>
      <c r="B33" s="426">
        <v>324.38</v>
      </c>
      <c r="C33" s="426">
        <v>316.14999999999998</v>
      </c>
      <c r="D33" s="426">
        <v>312.10000000000002</v>
      </c>
      <c r="E33" s="426">
        <v>308.08</v>
      </c>
      <c r="F33" s="426">
        <v>304.10000000000002</v>
      </c>
      <c r="G33" s="426">
        <v>300.14999999999998</v>
      </c>
      <c r="H33" s="426">
        <v>292.38</v>
      </c>
      <c r="I33" s="426">
        <v>284.76</v>
      </c>
      <c r="J33" s="295">
        <v>3681</v>
      </c>
      <c r="K33" s="429">
        <v>2800</v>
      </c>
      <c r="L33" s="364">
        <v>108.25</v>
      </c>
      <c r="M33" s="364">
        <v>83.04</v>
      </c>
      <c r="N33" s="364">
        <v>56.84</v>
      </c>
      <c r="O33" s="364">
        <v>29.21</v>
      </c>
      <c r="P33" s="419">
        <v>0</v>
      </c>
      <c r="Q33" s="419">
        <v>-29.73</v>
      </c>
      <c r="R33" s="364">
        <v>-61.3</v>
      </c>
      <c r="S33" s="364">
        <v>-94.91</v>
      </c>
      <c r="T33" s="364">
        <v>-129.61000000000001</v>
      </c>
      <c r="U33" s="25"/>
      <c r="V33" s="1">
        <f>IF(V32=V31,V31,INDEX(tank1Trim2,0,MATCH(V31,tank1Trim2,1)+1))</f>
        <v>0</v>
      </c>
      <c r="W33" s="1">
        <f>Interp2(tank1Trim1,tank1Trim2,tank1Trim3,X28,V33)</f>
        <v>87.271000000000001</v>
      </c>
      <c r="X33" s="1">
        <f>Interp2(tank1Trim1,tank1Trim2,tank1Trim3,X29,V33)</f>
        <v>83.061999999999998</v>
      </c>
    </row>
    <row r="34" spans="1:28" ht="15.75">
      <c r="A34" s="428">
        <v>1450</v>
      </c>
      <c r="B34" s="426">
        <v>316.22000000000003</v>
      </c>
      <c r="C34" s="426">
        <v>308.10000000000002</v>
      </c>
      <c r="D34" s="426">
        <v>304.08999999999997</v>
      </c>
      <c r="E34" s="426">
        <v>300.13</v>
      </c>
      <c r="F34" s="426">
        <v>296.2</v>
      </c>
      <c r="G34" s="426">
        <v>292.3</v>
      </c>
      <c r="H34" s="426">
        <v>284.64</v>
      </c>
      <c r="I34" s="426">
        <v>277.12</v>
      </c>
      <c r="J34" s="295">
        <v>3631</v>
      </c>
      <c r="K34" s="429">
        <v>2900</v>
      </c>
      <c r="L34" s="364">
        <v>102.88</v>
      </c>
      <c r="M34" s="364">
        <v>79.069999999999993</v>
      </c>
      <c r="N34" s="364">
        <v>54.13</v>
      </c>
      <c r="O34" s="364">
        <v>27.82</v>
      </c>
      <c r="P34" s="419">
        <v>0</v>
      </c>
      <c r="Q34" s="419">
        <v>-28.27</v>
      </c>
      <c r="R34" s="364">
        <v>-58.28</v>
      </c>
      <c r="S34" s="364">
        <v>-90.23</v>
      </c>
      <c r="T34" s="364">
        <v>-123.38</v>
      </c>
      <c r="U34" s="24"/>
      <c r="Z34" s="188"/>
      <c r="AA34" s="188"/>
    </row>
    <row r="35" spans="1:28" ht="15.75">
      <c r="A35" s="428">
        <v>1500</v>
      </c>
      <c r="B35" s="426">
        <v>308.16000000000003</v>
      </c>
      <c r="C35" s="426">
        <v>300.14</v>
      </c>
      <c r="D35" s="426">
        <v>296.19</v>
      </c>
      <c r="E35" s="426">
        <v>292.27999999999997</v>
      </c>
      <c r="F35" s="426">
        <v>288.39999999999998</v>
      </c>
      <c r="G35" s="426">
        <v>284.56</v>
      </c>
      <c r="H35" s="426">
        <v>276.99</v>
      </c>
      <c r="I35" s="426">
        <v>269.58</v>
      </c>
      <c r="J35" s="295">
        <v>3581</v>
      </c>
      <c r="K35" s="429">
        <v>3000</v>
      </c>
      <c r="L35" s="366">
        <v>97.59</v>
      </c>
      <c r="M35" s="366">
        <v>75.099999999999994</v>
      </c>
      <c r="N35" s="366">
        <v>51.41</v>
      </c>
      <c r="O35" s="366">
        <v>26.42</v>
      </c>
      <c r="P35" s="419">
        <v>0</v>
      </c>
      <c r="Q35" s="419">
        <v>-26.8</v>
      </c>
      <c r="R35" s="366">
        <v>-55.26</v>
      </c>
      <c r="S35" s="366">
        <v>-85.56</v>
      </c>
      <c r="T35" s="366">
        <v>-117.17</v>
      </c>
      <c r="U35" s="26"/>
      <c r="Z35" s="188"/>
      <c r="AA35" s="188"/>
    </row>
    <row r="36" spans="1:28" ht="15.75">
      <c r="A36" s="428">
        <v>1550</v>
      </c>
      <c r="B36" s="426">
        <v>300.2</v>
      </c>
      <c r="C36" s="426">
        <v>292.29000000000002</v>
      </c>
      <c r="D36" s="426">
        <v>288.39</v>
      </c>
      <c r="E36" s="426">
        <v>284.52999999999997</v>
      </c>
      <c r="F36" s="426">
        <v>280.7</v>
      </c>
      <c r="G36" s="426">
        <v>276.92</v>
      </c>
      <c r="H36" s="426">
        <v>269.45999999999998</v>
      </c>
      <c r="I36" s="426">
        <v>262.14999999999998</v>
      </c>
      <c r="J36" s="295">
        <v>3531</v>
      </c>
      <c r="K36" s="429">
        <v>3100</v>
      </c>
      <c r="L36" s="364">
        <v>92.43</v>
      </c>
      <c r="M36" s="364">
        <v>71.13</v>
      </c>
      <c r="N36" s="364">
        <v>48.69</v>
      </c>
      <c r="O36" s="364">
        <v>25.03</v>
      </c>
      <c r="P36" s="419">
        <v>0</v>
      </c>
      <c r="Q36" s="419">
        <v>-25.34</v>
      </c>
      <c r="R36" s="364">
        <v>-52.25</v>
      </c>
      <c r="S36" s="364">
        <v>-80.89</v>
      </c>
      <c r="T36" s="364">
        <v>-110.98</v>
      </c>
      <c r="U36" s="24"/>
      <c r="V36" s="914"/>
      <c r="W36" s="914"/>
    </row>
    <row r="37" spans="1:28" ht="15.75">
      <c r="A37" s="428">
        <v>1600</v>
      </c>
      <c r="B37" s="426">
        <v>292.35000000000002</v>
      </c>
      <c r="C37" s="426">
        <v>284.54000000000002</v>
      </c>
      <c r="D37" s="426">
        <v>280.7</v>
      </c>
      <c r="E37" s="426">
        <v>276.89</v>
      </c>
      <c r="F37" s="426">
        <v>273.12</v>
      </c>
      <c r="G37" s="426">
        <v>269.38</v>
      </c>
      <c r="H37" s="426">
        <v>262.02</v>
      </c>
      <c r="I37" s="426">
        <v>254.82</v>
      </c>
      <c r="J37" s="295">
        <v>3481</v>
      </c>
      <c r="K37" s="429">
        <v>3200</v>
      </c>
      <c r="L37" s="364">
        <v>87.26</v>
      </c>
      <c r="M37" s="364">
        <v>67.16</v>
      </c>
      <c r="N37" s="364">
        <v>45.98</v>
      </c>
      <c r="O37" s="364">
        <v>23.63</v>
      </c>
      <c r="P37" s="419">
        <v>0</v>
      </c>
      <c r="Q37" s="419">
        <v>-23.88</v>
      </c>
      <c r="R37" s="364">
        <v>-49.23</v>
      </c>
      <c r="S37" s="364">
        <v>-76.23</v>
      </c>
      <c r="T37" s="364">
        <v>-104.82</v>
      </c>
      <c r="U37" s="24"/>
      <c r="V37" s="916"/>
      <c r="W37" s="916"/>
      <c r="X37" s="39"/>
      <c r="Z37" s="916"/>
      <c r="AA37" s="916"/>
      <c r="AB37" s="40"/>
    </row>
    <row r="38" spans="1:28" ht="15.75">
      <c r="A38" s="428">
        <v>1650</v>
      </c>
      <c r="B38" s="426">
        <v>284.60000000000002</v>
      </c>
      <c r="C38" s="426">
        <v>276.89999999999998</v>
      </c>
      <c r="D38" s="426">
        <v>273.11</v>
      </c>
      <c r="E38" s="426">
        <v>269.35000000000002</v>
      </c>
      <c r="F38" s="426">
        <v>265.29000000000002</v>
      </c>
      <c r="G38" s="426">
        <v>261.95</v>
      </c>
      <c r="H38" s="426">
        <v>254.7</v>
      </c>
      <c r="I38" s="426">
        <v>247.59</v>
      </c>
      <c r="J38" s="295">
        <v>3431</v>
      </c>
      <c r="K38" s="429">
        <v>3300</v>
      </c>
      <c r="L38" s="364">
        <v>82.09</v>
      </c>
      <c r="M38" s="364">
        <v>63.18</v>
      </c>
      <c r="N38" s="364">
        <v>43.26</v>
      </c>
      <c r="O38" s="364">
        <v>22.23</v>
      </c>
      <c r="P38" s="419">
        <v>0</v>
      </c>
      <c r="Q38" s="419">
        <v>-22.41</v>
      </c>
      <c r="R38" s="364">
        <v>-46.22</v>
      </c>
      <c r="S38" s="364">
        <v>-71.569999999999993</v>
      </c>
      <c r="T38" s="364">
        <v>-98.63</v>
      </c>
      <c r="U38" s="25"/>
      <c r="W38" s="41"/>
      <c r="AA38" s="30"/>
    </row>
    <row r="39" spans="1:28" ht="15.75">
      <c r="A39" s="428">
        <v>1700</v>
      </c>
      <c r="B39" s="426">
        <v>276.95999999999998</v>
      </c>
      <c r="C39" s="426">
        <v>269.36</v>
      </c>
      <c r="D39" s="426">
        <v>265.62</v>
      </c>
      <c r="E39" s="426">
        <v>261.91000000000003</v>
      </c>
      <c r="F39" s="426">
        <v>258.25</v>
      </c>
      <c r="G39" s="426">
        <v>25.617000000000001</v>
      </c>
      <c r="H39" s="426">
        <v>247.47</v>
      </c>
      <c r="I39" s="426">
        <v>240.47</v>
      </c>
      <c r="J39" s="295">
        <v>3381</v>
      </c>
      <c r="K39" s="429">
        <v>3400</v>
      </c>
      <c r="L39" s="364">
        <v>76.92</v>
      </c>
      <c r="M39" s="364">
        <v>59.2</v>
      </c>
      <c r="N39" s="364">
        <v>40.53</v>
      </c>
      <c r="O39" s="364">
        <v>20.84</v>
      </c>
      <c r="P39" s="419">
        <v>0</v>
      </c>
      <c r="Q39" s="419">
        <v>-20.95</v>
      </c>
      <c r="R39" s="364">
        <v>-43.21</v>
      </c>
      <c r="S39" s="364">
        <v>-66.91</v>
      </c>
      <c r="T39" s="364">
        <v>-92.21</v>
      </c>
      <c r="U39" s="28"/>
      <c r="W39" s="30"/>
      <c r="AA39" s="30"/>
    </row>
    <row r="40" spans="1:28" ht="15.75">
      <c r="A40" s="428">
        <v>1750</v>
      </c>
      <c r="B40" s="426">
        <v>269.42</v>
      </c>
      <c r="C40" s="426">
        <v>261.93</v>
      </c>
      <c r="D40" s="426">
        <v>258.24</v>
      </c>
      <c r="E40" s="426">
        <v>254.58</v>
      </c>
      <c r="F40" s="426">
        <v>250.97</v>
      </c>
      <c r="G40" s="426">
        <v>247.39</v>
      </c>
      <c r="H40" s="426">
        <v>240.35</v>
      </c>
      <c r="I40" s="426">
        <v>233.46</v>
      </c>
      <c r="J40" s="295">
        <v>3331</v>
      </c>
      <c r="K40" s="429">
        <v>3500</v>
      </c>
      <c r="L40" s="367">
        <v>71.739999999999995</v>
      </c>
      <c r="M40" s="367">
        <v>55.22</v>
      </c>
      <c r="N40" s="367">
        <v>37.81</v>
      </c>
      <c r="O40" s="367">
        <v>19.440000000000001</v>
      </c>
      <c r="P40" s="419">
        <v>0</v>
      </c>
      <c r="Q40" s="419">
        <v>-19.489999999999998</v>
      </c>
      <c r="R40" s="367">
        <v>-40.19</v>
      </c>
      <c r="S40" s="367">
        <v>-62.25</v>
      </c>
      <c r="T40" s="367">
        <v>-85.8</v>
      </c>
      <c r="W40" s="30"/>
      <c r="X40" s="42"/>
      <c r="AA40" s="30"/>
      <c r="AB40" s="42"/>
    </row>
    <row r="41" spans="1:28" ht="15.75">
      <c r="A41" s="428">
        <v>1800</v>
      </c>
      <c r="B41" s="426">
        <v>261.99</v>
      </c>
      <c r="C41" s="426">
        <v>254.6</v>
      </c>
      <c r="D41" s="426">
        <v>250.96</v>
      </c>
      <c r="E41" s="426">
        <v>247.36</v>
      </c>
      <c r="F41" s="426">
        <v>243.8</v>
      </c>
      <c r="G41" s="426">
        <v>240.27</v>
      </c>
      <c r="H41" s="426">
        <v>233.33</v>
      </c>
      <c r="I41" s="426">
        <v>226.55</v>
      </c>
      <c r="J41" s="295">
        <v>3281</v>
      </c>
      <c r="K41" s="429">
        <v>3600</v>
      </c>
      <c r="L41" s="367">
        <v>66.56</v>
      </c>
      <c r="M41" s="367">
        <v>51.24</v>
      </c>
      <c r="N41" s="367">
        <v>35.090000000000003</v>
      </c>
      <c r="O41" s="367">
        <v>18.04</v>
      </c>
      <c r="P41" s="419">
        <v>0</v>
      </c>
      <c r="Q41" s="419">
        <v>-18.03</v>
      </c>
      <c r="R41" s="367">
        <v>-37.19</v>
      </c>
      <c r="S41" s="367">
        <v>-57.6</v>
      </c>
      <c r="T41" s="367">
        <v>-79.39</v>
      </c>
      <c r="W41" s="30"/>
      <c r="X41" s="42"/>
      <c r="AA41" s="30"/>
      <c r="AB41" s="42"/>
    </row>
    <row r="42" spans="1:28" ht="15.75">
      <c r="A42" s="428">
        <v>1850</v>
      </c>
      <c r="B42" s="426">
        <v>254.66</v>
      </c>
      <c r="C42" s="426">
        <v>247.37</v>
      </c>
      <c r="D42" s="426">
        <v>243.79</v>
      </c>
      <c r="E42" s="426">
        <v>240.24</v>
      </c>
      <c r="F42" s="426">
        <v>236.73</v>
      </c>
      <c r="G42" s="426">
        <v>233.25</v>
      </c>
      <c r="H42" s="426">
        <v>226.42</v>
      </c>
      <c r="I42" s="426">
        <v>219.74</v>
      </c>
      <c r="J42" s="295">
        <v>3231</v>
      </c>
      <c r="K42" s="429">
        <v>3700</v>
      </c>
      <c r="L42" s="367">
        <v>61.59</v>
      </c>
      <c r="M42" s="367">
        <v>47.41</v>
      </c>
      <c r="N42" s="367">
        <v>32.47</v>
      </c>
      <c r="O42" s="367">
        <v>16.7</v>
      </c>
      <c r="P42" s="419">
        <v>0</v>
      </c>
      <c r="Q42" s="419">
        <v>-16.57</v>
      </c>
      <c r="R42" s="367">
        <v>-34.18</v>
      </c>
      <c r="S42" s="367">
        <v>-52.95</v>
      </c>
      <c r="T42" s="367">
        <v>-72.989999999999995</v>
      </c>
      <c r="W42" s="30"/>
      <c r="X42" s="42"/>
      <c r="AA42" s="30"/>
      <c r="AB42" s="42"/>
    </row>
    <row r="43" spans="1:28" ht="15.75">
      <c r="A43" s="428">
        <v>1900</v>
      </c>
      <c r="B43" s="426">
        <v>247.43</v>
      </c>
      <c r="C43" s="426">
        <v>240.25</v>
      </c>
      <c r="D43" s="426">
        <v>236.72</v>
      </c>
      <c r="E43" s="426">
        <v>233.22</v>
      </c>
      <c r="F43" s="426">
        <v>229.76</v>
      </c>
      <c r="G43" s="426">
        <v>226.34</v>
      </c>
      <c r="H43" s="426">
        <v>219.61</v>
      </c>
      <c r="I43" s="426">
        <v>213.03</v>
      </c>
      <c r="J43" s="295">
        <v>3181</v>
      </c>
      <c r="K43" s="429">
        <v>3800</v>
      </c>
      <c r="L43" s="367">
        <v>57.33</v>
      </c>
      <c r="M43" s="367">
        <v>44.14</v>
      </c>
      <c r="N43" s="367">
        <v>30.23</v>
      </c>
      <c r="O43" s="367">
        <v>15.54</v>
      </c>
      <c r="P43" s="419">
        <v>0</v>
      </c>
      <c r="Q43" s="419">
        <v>-15.25</v>
      </c>
      <c r="R43" s="367">
        <v>-31.45</v>
      </c>
      <c r="S43" s="367">
        <v>-48.73</v>
      </c>
      <c r="T43" s="367">
        <v>-67.17</v>
      </c>
      <c r="W43" s="30"/>
      <c r="AA43" s="30"/>
    </row>
    <row r="44" spans="1:28" ht="15.75">
      <c r="A44" s="428">
        <v>1950</v>
      </c>
      <c r="B44" s="426">
        <v>240.31</v>
      </c>
      <c r="C44" s="426">
        <v>233.23</v>
      </c>
      <c r="D44" s="426">
        <v>229.75</v>
      </c>
      <c r="E44" s="426">
        <v>226.31</v>
      </c>
      <c r="F44" s="426">
        <v>222.9</v>
      </c>
      <c r="G44" s="426">
        <v>219.53</v>
      </c>
      <c r="H44" s="426">
        <v>212.91</v>
      </c>
      <c r="I44" s="426">
        <v>206.43</v>
      </c>
      <c r="J44" s="295">
        <v>3131</v>
      </c>
      <c r="K44" s="429">
        <v>3900</v>
      </c>
      <c r="L44" s="367">
        <v>53.3</v>
      </c>
      <c r="M44" s="367">
        <v>41.04</v>
      </c>
      <c r="N44" s="367">
        <v>28.11</v>
      </c>
      <c r="O44" s="367">
        <v>14.46</v>
      </c>
      <c r="P44" s="419">
        <v>0</v>
      </c>
      <c r="Q44" s="419">
        <v>-14.29</v>
      </c>
      <c r="R44" s="367">
        <v>-29.48</v>
      </c>
      <c r="S44" s="367">
        <v>-45.67</v>
      </c>
      <c r="T44" s="367">
        <v>-62.97</v>
      </c>
      <c r="W44" s="43"/>
      <c r="X44" s="42"/>
      <c r="AA44" s="30"/>
      <c r="AB44" s="42"/>
    </row>
    <row r="45" spans="1:28" ht="15.75">
      <c r="A45" s="428">
        <v>2000</v>
      </c>
      <c r="B45" s="426">
        <v>233.29</v>
      </c>
      <c r="C45" s="426">
        <v>226.32</v>
      </c>
      <c r="D45" s="426">
        <v>222.89</v>
      </c>
      <c r="E45" s="426">
        <v>219.5</v>
      </c>
      <c r="F45" s="426">
        <v>216.14</v>
      </c>
      <c r="G45" s="426">
        <v>212.83</v>
      </c>
      <c r="H45" s="426">
        <v>206.31</v>
      </c>
      <c r="I45" s="426">
        <v>199.94</v>
      </c>
      <c r="J45" s="295">
        <v>3081</v>
      </c>
      <c r="K45" s="429">
        <v>4000</v>
      </c>
      <c r="L45" s="367">
        <v>49.28</v>
      </c>
      <c r="M45" s="367">
        <v>37.950000000000003</v>
      </c>
      <c r="N45" s="367">
        <v>25.99</v>
      </c>
      <c r="O45" s="367">
        <v>13.37</v>
      </c>
      <c r="P45" s="419">
        <v>0</v>
      </c>
      <c r="Q45" s="419">
        <v>-13.15</v>
      </c>
      <c r="R45" s="367">
        <v>-27.12</v>
      </c>
      <c r="S45" s="367">
        <v>-42.01</v>
      </c>
      <c r="T45" s="367">
        <v>-57.93</v>
      </c>
      <c r="W45" s="43"/>
      <c r="X45" s="42"/>
      <c r="AA45" s="30"/>
      <c r="AB45" s="42"/>
    </row>
    <row r="46" spans="1:28" ht="15.75">
      <c r="A46" s="428">
        <v>2050</v>
      </c>
      <c r="B46" s="426">
        <v>226.37200000000001</v>
      </c>
      <c r="C46" s="426">
        <v>219.506</v>
      </c>
      <c r="D46" s="426">
        <v>216.12899999999999</v>
      </c>
      <c r="E46" s="426">
        <v>212.79</v>
      </c>
      <c r="F46" s="426">
        <v>209.488</v>
      </c>
      <c r="G46" s="426">
        <v>206.22399999999999</v>
      </c>
      <c r="H46" s="426">
        <v>199.81</v>
      </c>
      <c r="I46" s="426">
        <v>193.54499999999999</v>
      </c>
      <c r="J46" s="295">
        <v>3031</v>
      </c>
      <c r="K46" s="429">
        <v>4100</v>
      </c>
      <c r="L46" s="42">
        <v>45.26</v>
      </c>
      <c r="M46" s="42">
        <v>34.85</v>
      </c>
      <c r="N46" s="42">
        <v>23.87</v>
      </c>
      <c r="O46" s="42">
        <v>12.28</v>
      </c>
      <c r="P46" s="419">
        <v>0</v>
      </c>
      <c r="Q46" s="419">
        <v>-12</v>
      </c>
      <c r="R46" s="42">
        <v>-24.76</v>
      </c>
      <c r="S46" s="42">
        <v>-38.36</v>
      </c>
      <c r="T46" s="42">
        <v>-52.89</v>
      </c>
    </row>
    <row r="47" spans="1:28" ht="15.75">
      <c r="A47" s="428">
        <v>2100</v>
      </c>
      <c r="B47" s="426">
        <v>219.56100000000001</v>
      </c>
      <c r="C47" s="426">
        <v>212.79900000000001</v>
      </c>
      <c r="D47" s="426">
        <v>209.47499999999999</v>
      </c>
      <c r="E47" s="426">
        <v>206.18799999999999</v>
      </c>
      <c r="F47" s="426">
        <v>202.93899999999999</v>
      </c>
      <c r="G47" s="426">
        <v>199.727</v>
      </c>
      <c r="H47" s="426">
        <v>193.417</v>
      </c>
      <c r="I47" s="426">
        <v>187.256</v>
      </c>
      <c r="J47" s="295">
        <v>2981</v>
      </c>
      <c r="K47" s="429">
        <v>4200</v>
      </c>
      <c r="L47" s="42">
        <v>41.23</v>
      </c>
      <c r="M47" s="42">
        <v>31.75</v>
      </c>
      <c r="N47" s="42">
        <v>21.75</v>
      </c>
      <c r="O47" s="42">
        <v>11.19</v>
      </c>
      <c r="P47" s="419">
        <v>0</v>
      </c>
      <c r="Q47" s="419">
        <v>-10.86</v>
      </c>
      <c r="R47" s="42">
        <v>-22.4</v>
      </c>
      <c r="S47" s="42">
        <v>-34.71</v>
      </c>
      <c r="T47" s="42">
        <v>-47.86</v>
      </c>
    </row>
    <row r="48" spans="1:28" ht="15.75">
      <c r="A48" s="428">
        <v>2150</v>
      </c>
      <c r="B48" s="426">
        <v>212.85400000000001</v>
      </c>
      <c r="C48" s="426">
        <v>206.197</v>
      </c>
      <c r="D48" s="426">
        <v>202.92500000000001</v>
      </c>
      <c r="E48" s="426">
        <v>199.69</v>
      </c>
      <c r="F48" s="426">
        <v>196.49299999999999</v>
      </c>
      <c r="G48" s="426">
        <v>193.334</v>
      </c>
      <c r="H48" s="426">
        <v>187.12799999999999</v>
      </c>
      <c r="I48" s="426">
        <v>181.072</v>
      </c>
      <c r="J48" s="295">
        <v>2931</v>
      </c>
      <c r="K48" s="429">
        <v>4300</v>
      </c>
      <c r="L48" s="42">
        <v>37.200000000000003</v>
      </c>
      <c r="M48" s="42">
        <v>28.65</v>
      </c>
      <c r="N48" s="42">
        <v>19.63</v>
      </c>
      <c r="O48" s="42">
        <v>10.1</v>
      </c>
      <c r="P48" s="419">
        <v>0</v>
      </c>
      <c r="Q48" s="419">
        <v>-9.7100000000000009</v>
      </c>
      <c r="R48" s="42">
        <v>-20.04</v>
      </c>
      <c r="S48" s="42">
        <v>-31.058</v>
      </c>
      <c r="T48" s="42">
        <v>-42.83</v>
      </c>
      <c r="V48" s="918"/>
      <c r="W48" s="918"/>
      <c r="X48" s="42"/>
      <c r="Z48" s="918"/>
      <c r="AA48" s="918"/>
      <c r="AB48" s="42"/>
    </row>
    <row r="49" spans="1:20" ht="15.75">
      <c r="A49" s="428">
        <v>2200</v>
      </c>
      <c r="B49" s="426">
        <v>206.25200000000001</v>
      </c>
      <c r="C49" s="426">
        <v>199.69900000000001</v>
      </c>
      <c r="D49" s="426">
        <v>196.47900000000001</v>
      </c>
      <c r="E49" s="426">
        <v>193.297</v>
      </c>
      <c r="F49" s="426">
        <v>190.15199999999999</v>
      </c>
      <c r="G49" s="426">
        <v>187.04499999999999</v>
      </c>
      <c r="H49" s="426">
        <v>180.94399999999999</v>
      </c>
      <c r="I49" s="426">
        <v>174.99299999999999</v>
      </c>
      <c r="J49" s="295">
        <v>2881</v>
      </c>
      <c r="K49" s="429">
        <v>4400</v>
      </c>
      <c r="L49" s="42">
        <v>33.17</v>
      </c>
      <c r="M49" s="42">
        <v>25.55</v>
      </c>
      <c r="N49" s="42">
        <v>17.5</v>
      </c>
      <c r="O49" s="42">
        <v>9</v>
      </c>
      <c r="P49" s="419">
        <v>0</v>
      </c>
      <c r="Q49" s="419">
        <v>-8.57</v>
      </c>
      <c r="R49" s="42">
        <v>-17.690000000000001</v>
      </c>
      <c r="S49" s="42">
        <v>-27.42</v>
      </c>
      <c r="T49" s="42">
        <v>-37.81</v>
      </c>
    </row>
    <row r="50" spans="1:20" ht="15.75">
      <c r="A50" s="428">
        <v>2250</v>
      </c>
      <c r="B50" s="426">
        <v>199.75299999999999</v>
      </c>
      <c r="C50" s="426">
        <v>193.30500000000001</v>
      </c>
      <c r="D50" s="426">
        <v>190.13800000000001</v>
      </c>
      <c r="E50" s="426">
        <v>187.00800000000001</v>
      </c>
      <c r="F50" s="426">
        <v>183.91499999999999</v>
      </c>
      <c r="G50" s="426">
        <v>180.86</v>
      </c>
      <c r="H50" s="426">
        <v>174.863</v>
      </c>
      <c r="I50" s="426">
        <v>169.017</v>
      </c>
      <c r="J50" s="295">
        <v>2831</v>
      </c>
      <c r="K50" s="429">
        <v>4500</v>
      </c>
      <c r="L50" s="42">
        <v>29.13</v>
      </c>
      <c r="M50" s="42">
        <v>22.44</v>
      </c>
      <c r="N50" s="42">
        <v>15.38</v>
      </c>
      <c r="O50" s="42">
        <v>7.91</v>
      </c>
      <c r="P50" s="419">
        <v>0</v>
      </c>
      <c r="Q50" s="419">
        <v>-7.44</v>
      </c>
      <c r="R50" s="42">
        <v>-15.34</v>
      </c>
      <c r="S50" s="42">
        <v>-23.78</v>
      </c>
      <c r="T50" s="42">
        <v>-32.799999999999997</v>
      </c>
    </row>
    <row r="51" spans="1:20" ht="15.75">
      <c r="A51" s="428">
        <v>2300</v>
      </c>
      <c r="B51" s="427">
        <v>193.35900000000001</v>
      </c>
      <c r="C51" s="426">
        <v>187.01499999999999</v>
      </c>
      <c r="D51" s="426">
        <v>183.9</v>
      </c>
      <c r="E51" s="426">
        <v>180.822</v>
      </c>
      <c r="F51" s="426">
        <v>177.78200000000001</v>
      </c>
      <c r="G51" s="426">
        <v>174.779</v>
      </c>
      <c r="H51" s="426">
        <v>168.887</v>
      </c>
      <c r="I51" s="426">
        <v>163.14500000000001</v>
      </c>
      <c r="J51" s="295">
        <v>2781</v>
      </c>
      <c r="K51" s="429">
        <v>4600</v>
      </c>
      <c r="L51" s="42">
        <v>25.08</v>
      </c>
      <c r="M51" s="42">
        <v>19.32</v>
      </c>
      <c r="N51" s="42">
        <v>13.24</v>
      </c>
      <c r="O51" s="42">
        <v>6.82</v>
      </c>
      <c r="P51" s="419">
        <v>0</v>
      </c>
      <c r="Q51" s="419">
        <v>-6.3</v>
      </c>
      <c r="R51" s="42">
        <v>-13</v>
      </c>
      <c r="S51" s="42">
        <v>-20.16</v>
      </c>
      <c r="T51" s="42">
        <v>-27.81</v>
      </c>
    </row>
    <row r="52" spans="1:20" ht="15.75">
      <c r="A52" s="428">
        <v>2350</v>
      </c>
      <c r="B52" s="426">
        <v>187.06899999999999</v>
      </c>
      <c r="C52" s="426">
        <v>180.82900000000001</v>
      </c>
      <c r="D52" s="426">
        <v>177.76599999999999</v>
      </c>
      <c r="E52" s="426">
        <v>174.74100000000001</v>
      </c>
      <c r="F52" s="426">
        <v>171.75299999999999</v>
      </c>
      <c r="G52" s="426">
        <v>168.80199999999999</v>
      </c>
      <c r="H52" s="426">
        <v>163.01499999999999</v>
      </c>
      <c r="I52" s="426">
        <v>157.37700000000001</v>
      </c>
      <c r="J52" s="295">
        <v>2731</v>
      </c>
      <c r="K52" s="429">
        <v>4700</v>
      </c>
      <c r="L52" s="42">
        <v>21.01</v>
      </c>
      <c r="M52" s="42">
        <v>16.2</v>
      </c>
      <c r="N52" s="42">
        <v>11.1</v>
      </c>
      <c r="O52" s="42">
        <v>5.71</v>
      </c>
      <c r="P52" s="419">
        <v>0</v>
      </c>
      <c r="Q52" s="419">
        <v>-5.17</v>
      </c>
      <c r="R52" s="42">
        <v>-10.67</v>
      </c>
      <c r="S52" s="42">
        <v>-16.55</v>
      </c>
      <c r="T52" s="42">
        <v>-22.84</v>
      </c>
    </row>
    <row r="53" spans="1:20" ht="15.75">
      <c r="A53" s="428">
        <v>2400</v>
      </c>
      <c r="B53" s="426">
        <v>180.88200000000001</v>
      </c>
      <c r="C53" s="426">
        <v>174.74700000000001</v>
      </c>
      <c r="D53" s="426">
        <v>171.73599999999999</v>
      </c>
      <c r="E53" s="426">
        <v>168.76300000000001</v>
      </c>
      <c r="F53" s="426">
        <v>165.827</v>
      </c>
      <c r="G53" s="426">
        <v>162.929</v>
      </c>
      <c r="H53" s="426">
        <v>157.24600000000001</v>
      </c>
      <c r="I53" s="426">
        <v>151.71299999999999</v>
      </c>
      <c r="J53" s="295">
        <v>2681</v>
      </c>
      <c r="K53" s="429">
        <v>4800</v>
      </c>
      <c r="L53" s="42">
        <v>16.93</v>
      </c>
      <c r="M53" s="42">
        <v>13.05</v>
      </c>
      <c r="N53" s="42">
        <v>8.9499999999999993</v>
      </c>
      <c r="O53" s="42">
        <v>4.6100000000000003</v>
      </c>
      <c r="P53" s="419">
        <v>0</v>
      </c>
      <c r="Q53" s="419">
        <v>-4.05</v>
      </c>
      <c r="R53" s="42">
        <v>-8.36</v>
      </c>
      <c r="S53" s="42">
        <v>-12.97</v>
      </c>
      <c r="T53" s="42">
        <v>-17.899999999999999</v>
      </c>
    </row>
    <row r="54" spans="1:20" ht="15.75">
      <c r="A54" s="428">
        <v>2450</v>
      </c>
      <c r="B54" s="426">
        <v>174.79900000000001</v>
      </c>
      <c r="C54" s="426">
        <v>168.76900000000001</v>
      </c>
      <c r="D54" s="426">
        <v>165.81100000000001</v>
      </c>
      <c r="E54" s="426">
        <v>162.88999999999999</v>
      </c>
      <c r="F54" s="426">
        <v>160.006</v>
      </c>
      <c r="G54" s="426">
        <v>157.16</v>
      </c>
      <c r="H54" s="426">
        <v>151.58199999999999</v>
      </c>
      <c r="I54" s="426">
        <v>146.15299999999999</v>
      </c>
      <c r="J54" s="295">
        <v>2631</v>
      </c>
      <c r="K54" s="429">
        <v>4900</v>
      </c>
      <c r="L54" s="42">
        <v>12.81</v>
      </c>
      <c r="M54" s="42">
        <v>9.8800000000000008</v>
      </c>
      <c r="N54" s="42">
        <v>6.78</v>
      </c>
      <c r="O54" s="42">
        <v>3.5</v>
      </c>
      <c r="P54" s="419">
        <v>0</v>
      </c>
      <c r="Q54" s="419">
        <v>-2.94</v>
      </c>
      <c r="R54" s="42">
        <v>-6.07</v>
      </c>
      <c r="S54" s="42">
        <v>-9.42</v>
      </c>
      <c r="T54" s="42">
        <v>-13.02</v>
      </c>
    </row>
    <row r="55" spans="1:20" ht="15.75">
      <c r="A55" s="428">
        <v>2500</v>
      </c>
      <c r="B55" s="426">
        <v>168.821</v>
      </c>
      <c r="C55" s="426">
        <v>162.89500000000001</v>
      </c>
      <c r="D55" s="426">
        <v>159.989</v>
      </c>
      <c r="E55" s="426">
        <v>157.12</v>
      </c>
      <c r="F55" s="426">
        <v>154.28899999999999</v>
      </c>
      <c r="G55" s="426">
        <v>151.495</v>
      </c>
      <c r="H55" s="426">
        <v>146.02199999999999</v>
      </c>
      <c r="I55" s="426">
        <v>140.69800000000001</v>
      </c>
      <c r="J55" s="295">
        <v>2581</v>
      </c>
      <c r="K55" s="429">
        <v>5000</v>
      </c>
      <c r="L55" s="42">
        <v>8.32</v>
      </c>
      <c r="M55" s="42">
        <v>6.43</v>
      </c>
      <c r="N55" s="42">
        <v>4.42</v>
      </c>
      <c r="O55" s="42">
        <v>2.2799999999999998</v>
      </c>
      <c r="P55" s="419">
        <v>0</v>
      </c>
      <c r="Q55" s="419">
        <v>-1.85</v>
      </c>
      <c r="R55" s="42">
        <v>-3.82</v>
      </c>
      <c r="S55" s="42">
        <v>-5.95</v>
      </c>
      <c r="T55" s="42">
        <v>-8.23</v>
      </c>
    </row>
    <row r="56" spans="1:20" ht="15.75">
      <c r="A56" s="428">
        <v>2550</v>
      </c>
      <c r="B56" s="426">
        <v>162.947</v>
      </c>
      <c r="C56" s="426">
        <v>157.126</v>
      </c>
      <c r="D56" s="426">
        <v>154.27099999999999</v>
      </c>
      <c r="E56" s="426">
        <v>151.45500000000001</v>
      </c>
      <c r="F56" s="426">
        <v>148.67599999999999</v>
      </c>
      <c r="G56" s="426">
        <v>145.935</v>
      </c>
      <c r="H56" s="426">
        <v>140.565</v>
      </c>
      <c r="I56" s="426">
        <v>135.346</v>
      </c>
      <c r="J56" s="295">
        <v>2531</v>
      </c>
      <c r="K56" s="429">
        <v>5081</v>
      </c>
      <c r="L56" s="42">
        <v>0</v>
      </c>
      <c r="M56" s="42">
        <v>0</v>
      </c>
      <c r="N56" s="42">
        <v>0</v>
      </c>
      <c r="O56" s="42">
        <v>0</v>
      </c>
      <c r="P56" s="419">
        <v>0</v>
      </c>
      <c r="Q56" s="419">
        <v>-1.03</v>
      </c>
      <c r="R56" s="42">
        <v>-2.13</v>
      </c>
      <c r="S56" s="42">
        <v>-3.33</v>
      </c>
      <c r="T56" s="42">
        <v>-4.63</v>
      </c>
    </row>
    <row r="57" spans="1:20" ht="15.75">
      <c r="A57" s="428">
        <v>2600</v>
      </c>
      <c r="B57" s="426">
        <v>157.17599999999999</v>
      </c>
      <c r="C57" s="426">
        <v>151.46</v>
      </c>
      <c r="D57" s="426">
        <v>148.65799999999999</v>
      </c>
      <c r="E57" s="426">
        <v>145.89400000000001</v>
      </c>
      <c r="F57" s="426">
        <v>143.167</v>
      </c>
      <c r="G57" s="426">
        <v>140.47800000000001</v>
      </c>
      <c r="H57" s="426">
        <v>135.21299999999999</v>
      </c>
      <c r="I57" s="426">
        <v>130.09800000000001</v>
      </c>
      <c r="J57" s="295">
        <v>2481</v>
      </c>
      <c r="K57" s="429"/>
      <c r="L57" s="186"/>
      <c r="M57" s="186"/>
      <c r="N57" s="186"/>
      <c r="O57" s="186"/>
      <c r="P57" s="425"/>
      <c r="Q57" s="186"/>
      <c r="R57" s="186"/>
      <c r="S57" s="186"/>
      <c r="T57" s="186"/>
    </row>
    <row r="58" spans="1:20" ht="15.75">
      <c r="A58" s="428">
        <v>2650</v>
      </c>
      <c r="B58" s="426">
        <v>151.51</v>
      </c>
      <c r="C58" s="426">
        <v>145.898</v>
      </c>
      <c r="D58" s="426">
        <v>143.148</v>
      </c>
      <c r="E58" s="426">
        <v>140.43700000000001</v>
      </c>
      <c r="F58" s="426">
        <v>137.762</v>
      </c>
      <c r="G58" s="426">
        <v>135.125</v>
      </c>
      <c r="H58" s="426">
        <v>129.965</v>
      </c>
      <c r="I58" s="426">
        <v>124.955</v>
      </c>
      <c r="J58" s="295">
        <v>2431</v>
      </c>
      <c r="K58" s="429"/>
      <c r="L58" s="186"/>
      <c r="M58" s="186"/>
      <c r="N58" s="186"/>
      <c r="O58" s="186"/>
      <c r="P58" s="425"/>
      <c r="Q58" s="186"/>
      <c r="R58" s="186"/>
      <c r="S58" s="186"/>
      <c r="T58" s="186"/>
    </row>
    <row r="59" spans="1:20" ht="15.75">
      <c r="A59" s="428">
        <v>2700</v>
      </c>
      <c r="B59" s="426">
        <v>145.947</v>
      </c>
      <c r="C59" s="426">
        <v>140.44</v>
      </c>
      <c r="D59" s="426">
        <v>137.74299999999999</v>
      </c>
      <c r="E59" s="426">
        <v>135.083</v>
      </c>
      <c r="F59" s="426">
        <v>132.46100000000001</v>
      </c>
      <c r="G59" s="426">
        <v>129.87700000000001</v>
      </c>
      <c r="H59" s="426">
        <v>124.821</v>
      </c>
      <c r="I59" s="426">
        <v>119.91500000000001</v>
      </c>
      <c r="J59" s="295">
        <v>2381</v>
      </c>
      <c r="K59" s="429"/>
      <c r="L59" s="186"/>
      <c r="M59" s="186"/>
      <c r="N59" s="186"/>
      <c r="O59" s="186"/>
      <c r="P59" s="425"/>
      <c r="Q59" s="186"/>
      <c r="R59" s="186"/>
      <c r="S59" s="186"/>
      <c r="T59" s="186"/>
    </row>
    <row r="60" spans="1:20" ht="15.75">
      <c r="A60" s="428">
        <v>2750</v>
      </c>
      <c r="B60" s="426">
        <v>140.489</v>
      </c>
      <c r="C60" s="426">
        <v>135.08600000000001</v>
      </c>
      <c r="D60" s="426">
        <v>132.441</v>
      </c>
      <c r="E60" s="426">
        <v>129.834</v>
      </c>
      <c r="F60" s="426">
        <v>127.264</v>
      </c>
      <c r="G60" s="426">
        <v>124.732</v>
      </c>
      <c r="H60" s="426">
        <v>119.78100000000001</v>
      </c>
      <c r="I60" s="426">
        <v>114.98</v>
      </c>
      <c r="J60" s="295">
        <v>2331</v>
      </c>
      <c r="K60" s="429"/>
      <c r="L60" s="186"/>
      <c r="M60" s="186"/>
      <c r="N60" s="186"/>
      <c r="O60" s="186"/>
      <c r="P60" s="425"/>
      <c r="Q60" s="186"/>
      <c r="R60" s="186"/>
      <c r="S60" s="186"/>
      <c r="T60" s="186"/>
    </row>
    <row r="61" spans="1:20" ht="15.75">
      <c r="A61" s="428">
        <v>2800</v>
      </c>
      <c r="B61" s="426">
        <v>135.13499999999999</v>
      </c>
      <c r="C61" s="426">
        <v>129.83699999999999</v>
      </c>
      <c r="D61" s="426">
        <v>127.244</v>
      </c>
      <c r="E61" s="426">
        <v>124.68899999999999</v>
      </c>
      <c r="F61" s="426">
        <v>122.17100000000001</v>
      </c>
      <c r="G61" s="426">
        <v>119.691</v>
      </c>
      <c r="H61" s="426">
        <v>114.845</v>
      </c>
      <c r="I61" s="426">
        <v>110.148</v>
      </c>
      <c r="J61" s="295">
        <v>2281</v>
      </c>
      <c r="K61" s="429"/>
      <c r="L61" s="186"/>
      <c r="M61" s="186"/>
      <c r="N61" s="186"/>
      <c r="O61" s="186"/>
      <c r="P61" s="425"/>
      <c r="Q61" s="186"/>
      <c r="R61" s="186"/>
      <c r="S61" s="186"/>
      <c r="T61" s="186"/>
    </row>
    <row r="62" spans="1:20" ht="15.75">
      <c r="A62" s="428">
        <v>2850</v>
      </c>
      <c r="B62" s="426">
        <v>129.88499999999999</v>
      </c>
      <c r="C62" s="426">
        <v>124.691</v>
      </c>
      <c r="D62" s="426">
        <v>122.151</v>
      </c>
      <c r="E62" s="426">
        <v>119.648</v>
      </c>
      <c r="F62" s="426">
        <v>117.18300000000001</v>
      </c>
      <c r="G62" s="426">
        <v>114.755</v>
      </c>
      <c r="H62" s="426">
        <v>110.01300000000001</v>
      </c>
      <c r="I62" s="426">
        <v>105.42100000000001</v>
      </c>
      <c r="J62" s="295">
        <v>2231</v>
      </c>
      <c r="K62" s="429"/>
      <c r="L62" s="186"/>
      <c r="M62" s="186"/>
      <c r="N62" s="186"/>
      <c r="O62" s="186"/>
      <c r="P62" s="425"/>
      <c r="Q62" s="186"/>
      <c r="R62" s="186"/>
      <c r="S62" s="186"/>
      <c r="T62" s="186"/>
    </row>
    <row r="63" spans="1:20" ht="15.75">
      <c r="A63" s="428">
        <v>2900</v>
      </c>
      <c r="B63" s="426">
        <v>124.739</v>
      </c>
      <c r="C63" s="426">
        <v>119.649</v>
      </c>
      <c r="D63" s="426">
        <v>117.161</v>
      </c>
      <c r="E63" s="426">
        <v>114.711</v>
      </c>
      <c r="F63" s="426">
        <v>112.298</v>
      </c>
      <c r="G63" s="426">
        <v>109.922</v>
      </c>
      <c r="H63" s="426">
        <v>105.285</v>
      </c>
      <c r="I63" s="426">
        <v>100.797</v>
      </c>
      <c r="J63" s="295">
        <v>2181</v>
      </c>
      <c r="K63" s="429"/>
      <c r="L63" s="186"/>
      <c r="M63" s="186"/>
      <c r="N63" s="186"/>
      <c r="O63" s="186"/>
      <c r="P63" s="425"/>
      <c r="Q63" s="186"/>
      <c r="R63" s="186"/>
      <c r="S63" s="186"/>
      <c r="T63" s="186"/>
    </row>
    <row r="64" spans="1:20" ht="15.75">
      <c r="A64" s="428">
        <v>2950</v>
      </c>
      <c r="B64" s="426">
        <v>119.696</v>
      </c>
      <c r="C64" s="426">
        <v>114.712</v>
      </c>
      <c r="D64" s="426">
        <v>112.276</v>
      </c>
      <c r="E64" s="426">
        <v>109.878</v>
      </c>
      <c r="F64" s="426">
        <v>107.517</v>
      </c>
      <c r="G64" s="426">
        <v>105.194</v>
      </c>
      <c r="H64" s="426">
        <v>100.661</v>
      </c>
      <c r="I64" s="426">
        <v>96.278000000000006</v>
      </c>
      <c r="J64" s="295">
        <v>2131</v>
      </c>
      <c r="K64" s="429"/>
      <c r="L64" s="186"/>
      <c r="M64" s="186"/>
      <c r="N64" s="186"/>
      <c r="O64" s="186"/>
      <c r="P64" s="425"/>
      <c r="Q64" s="186"/>
      <c r="R64" s="186"/>
      <c r="S64" s="186"/>
      <c r="T64" s="186"/>
    </row>
    <row r="65" spans="1:20" ht="15.75">
      <c r="A65" s="428">
        <v>3000</v>
      </c>
      <c r="B65" s="426">
        <v>114.758</v>
      </c>
      <c r="C65" s="426">
        <v>109.878</v>
      </c>
      <c r="D65" s="426">
        <v>107.495</v>
      </c>
      <c r="E65" s="426">
        <v>105.149</v>
      </c>
      <c r="F65" s="426">
        <v>102.84</v>
      </c>
      <c r="G65" s="426">
        <v>100.569</v>
      </c>
      <c r="H65" s="426">
        <v>96.141000000000005</v>
      </c>
      <c r="I65" s="426">
        <v>91.861999999999995</v>
      </c>
      <c r="J65" s="295">
        <v>2081</v>
      </c>
      <c r="K65" s="429"/>
      <c r="L65" s="186"/>
      <c r="M65" s="186"/>
      <c r="N65" s="186"/>
      <c r="O65" s="186"/>
      <c r="P65" s="425"/>
      <c r="Q65" s="186"/>
      <c r="R65" s="186"/>
      <c r="S65" s="186"/>
      <c r="T65" s="186"/>
    </row>
    <row r="66" spans="1:20" ht="15.75">
      <c r="A66" s="428">
        <v>3050</v>
      </c>
      <c r="B66" s="426">
        <v>109.92400000000001</v>
      </c>
      <c r="C66" s="426">
        <v>105.149</v>
      </c>
      <c r="D66" s="426">
        <v>102.818</v>
      </c>
      <c r="E66" s="426">
        <v>100.524</v>
      </c>
      <c r="F66" s="426">
        <v>98.268000000000001</v>
      </c>
      <c r="G66" s="426">
        <v>96.049000000000007</v>
      </c>
      <c r="H66" s="426">
        <v>91.724999999999994</v>
      </c>
      <c r="I66" s="426">
        <v>87.551000000000002</v>
      </c>
      <c r="J66" s="295">
        <v>2031</v>
      </c>
      <c r="K66" s="429"/>
      <c r="L66" s="186"/>
      <c r="M66" s="186"/>
      <c r="N66" s="186"/>
      <c r="O66" s="186"/>
      <c r="P66" s="425"/>
      <c r="Q66" s="186"/>
      <c r="R66" s="186"/>
      <c r="S66" s="186"/>
      <c r="T66" s="186"/>
    </row>
    <row r="67" spans="1:20" ht="15.75">
      <c r="A67" s="428">
        <v>3100</v>
      </c>
      <c r="B67" s="426">
        <v>105.194</v>
      </c>
      <c r="C67" s="426">
        <v>100.523</v>
      </c>
      <c r="D67" s="426">
        <v>98.244</v>
      </c>
      <c r="E67" s="426">
        <v>96.003</v>
      </c>
      <c r="F67" s="426">
        <v>93.799000000000007</v>
      </c>
      <c r="G67" s="426">
        <v>91.632999999999996</v>
      </c>
      <c r="H67" s="426">
        <v>87.412999999999997</v>
      </c>
      <c r="I67" s="426">
        <v>83.343999999999994</v>
      </c>
      <c r="J67" s="295">
        <v>1981</v>
      </c>
      <c r="K67" s="429"/>
      <c r="L67" s="186"/>
      <c r="M67" s="186"/>
      <c r="N67" s="186"/>
      <c r="O67" s="186"/>
      <c r="P67" s="425"/>
      <c r="Q67" s="186"/>
      <c r="R67" s="186"/>
      <c r="S67" s="186"/>
      <c r="T67" s="186"/>
    </row>
    <row r="68" spans="1:20" ht="15.75">
      <c r="A68" s="428">
        <v>3150</v>
      </c>
      <c r="B68" s="426">
        <v>100.569</v>
      </c>
      <c r="C68" s="426">
        <v>96.001999999999995</v>
      </c>
      <c r="D68" s="426">
        <v>93.715000000000003</v>
      </c>
      <c r="E68" s="426">
        <v>91.585999999999999</v>
      </c>
      <c r="F68" s="426">
        <v>89.433999999999997</v>
      </c>
      <c r="G68" s="426">
        <v>87.32</v>
      </c>
      <c r="H68" s="426">
        <v>83.206000000000003</v>
      </c>
      <c r="I68" s="426">
        <v>79.241</v>
      </c>
      <c r="J68" s="295">
        <v>1931</v>
      </c>
      <c r="K68" s="429"/>
      <c r="L68" s="186"/>
      <c r="M68" s="186"/>
      <c r="N68" s="186"/>
      <c r="O68" s="186"/>
      <c r="P68" s="425"/>
      <c r="Q68" s="186"/>
      <c r="R68" s="186"/>
      <c r="S68" s="186"/>
      <c r="T68" s="186"/>
    </row>
    <row r="69" spans="1:20" ht="15.75">
      <c r="A69" s="428">
        <v>3200</v>
      </c>
      <c r="B69" s="426">
        <v>96.046000000000006</v>
      </c>
      <c r="C69" s="426">
        <v>91.584999999999994</v>
      </c>
      <c r="D69" s="426">
        <v>89.41</v>
      </c>
      <c r="E69" s="426">
        <v>87.272999999999996</v>
      </c>
      <c r="F69" s="426">
        <v>85.174000000000007</v>
      </c>
      <c r="G69" s="426">
        <v>83.111999999999995</v>
      </c>
      <c r="H69" s="426">
        <v>79.102000000000004</v>
      </c>
      <c r="I69" s="426">
        <v>75.241</v>
      </c>
      <c r="J69" s="295">
        <v>1881</v>
      </c>
      <c r="K69" s="429"/>
      <c r="L69" s="186"/>
      <c r="M69" s="186"/>
      <c r="N69" s="186"/>
      <c r="O69" s="186"/>
      <c r="P69" s="425"/>
      <c r="Q69" s="186"/>
      <c r="R69" s="186"/>
      <c r="S69" s="186"/>
      <c r="T69" s="186"/>
    </row>
    <row r="70" spans="1:20" ht="15.75">
      <c r="A70" s="428">
        <v>3250</v>
      </c>
      <c r="B70" s="426">
        <v>91.628</v>
      </c>
      <c r="C70" s="426">
        <v>87.271000000000001</v>
      </c>
      <c r="D70" s="426">
        <v>85.149000000000001</v>
      </c>
      <c r="E70" s="426">
        <v>83.063999999999993</v>
      </c>
      <c r="F70" s="426">
        <v>81.016999999999996</v>
      </c>
      <c r="G70" s="426">
        <v>79.007999999999996</v>
      </c>
      <c r="H70" s="426">
        <v>75.102000000000004</v>
      </c>
      <c r="I70" s="426">
        <v>71.346000000000004</v>
      </c>
      <c r="J70" s="295">
        <v>1831</v>
      </c>
      <c r="K70" s="429"/>
      <c r="L70" s="186"/>
      <c r="M70" s="186"/>
      <c r="N70" s="186"/>
      <c r="O70" s="186"/>
      <c r="P70" s="425"/>
      <c r="Q70" s="186"/>
      <c r="R70" s="186"/>
      <c r="S70" s="186"/>
      <c r="T70" s="186"/>
    </row>
    <row r="71" spans="1:20" ht="14.25" customHeight="1">
      <c r="A71" s="428">
        <v>3300</v>
      </c>
      <c r="B71" s="426">
        <v>87.314999999999998</v>
      </c>
      <c r="C71" s="426">
        <v>83.061999999999998</v>
      </c>
      <c r="D71" s="426">
        <v>80.992000000000004</v>
      </c>
      <c r="E71" s="426">
        <v>78.959999999999994</v>
      </c>
      <c r="F71" s="426">
        <v>76.965000000000003</v>
      </c>
      <c r="G71" s="426">
        <v>75.007999999999996</v>
      </c>
      <c r="H71" s="426">
        <v>71.206000000000003</v>
      </c>
      <c r="I71" s="426">
        <v>67.555000000000007</v>
      </c>
      <c r="J71" s="295">
        <v>1781</v>
      </c>
      <c r="K71" s="429"/>
      <c r="L71" s="186"/>
      <c r="M71" s="186"/>
      <c r="N71" s="186"/>
      <c r="O71" s="186"/>
      <c r="P71" s="425"/>
      <c r="Q71" s="186"/>
      <c r="R71" s="186"/>
      <c r="S71" s="186"/>
      <c r="T71" s="186"/>
    </row>
    <row r="72" spans="1:20" ht="15.75">
      <c r="A72" s="428">
        <v>3350</v>
      </c>
      <c r="B72" s="426">
        <v>83.105000000000004</v>
      </c>
      <c r="C72" s="426">
        <v>78.956999999999994</v>
      </c>
      <c r="D72" s="426">
        <v>76.938999999999993</v>
      </c>
      <c r="E72" s="426">
        <v>74.959000000000003</v>
      </c>
      <c r="F72" s="426">
        <v>73.016000000000005</v>
      </c>
      <c r="G72" s="426">
        <v>71.111000000000004</v>
      </c>
      <c r="H72" s="426">
        <v>67.415000000000006</v>
      </c>
      <c r="I72" s="426">
        <v>63.868000000000002</v>
      </c>
      <c r="J72" s="295">
        <v>1731</v>
      </c>
      <c r="K72" s="429"/>
      <c r="L72" s="186"/>
      <c r="M72" s="186"/>
      <c r="N72" s="186"/>
      <c r="O72" s="186"/>
      <c r="P72" s="425"/>
      <c r="Q72" s="186"/>
      <c r="R72" s="186"/>
      <c r="S72" s="186"/>
      <c r="T72" s="186"/>
    </row>
    <row r="73" spans="1:20" ht="15.75">
      <c r="A73" s="428">
        <v>3400</v>
      </c>
      <c r="B73" s="426">
        <v>78.998999999999995</v>
      </c>
      <c r="C73" s="426">
        <v>74.954999999999998</v>
      </c>
      <c r="D73" s="426">
        <v>72.989999999999995</v>
      </c>
      <c r="E73" s="426">
        <v>71.061999999999998</v>
      </c>
      <c r="F73" s="426">
        <v>69.171999999999997</v>
      </c>
      <c r="G73" s="426">
        <v>67.319000000000003</v>
      </c>
      <c r="H73" s="426">
        <v>63.726999999999997</v>
      </c>
      <c r="I73" s="426">
        <v>60.284999999999997</v>
      </c>
      <c r="J73" s="295">
        <v>1681</v>
      </c>
      <c r="K73" s="429"/>
      <c r="L73" s="186"/>
      <c r="M73" s="186"/>
      <c r="N73" s="186"/>
      <c r="O73" s="186"/>
      <c r="P73" s="425"/>
      <c r="Q73" s="186"/>
      <c r="R73" s="186"/>
      <c r="S73" s="186"/>
      <c r="T73" s="186"/>
    </row>
    <row r="74" spans="1:20" ht="15.75">
      <c r="A74" s="428">
        <v>3450</v>
      </c>
      <c r="B74" s="426">
        <v>74.997</v>
      </c>
      <c r="C74" s="426">
        <v>71.058000000000007</v>
      </c>
      <c r="D74" s="426">
        <v>69.144999999999996</v>
      </c>
      <c r="E74" s="426">
        <v>67.27</v>
      </c>
      <c r="F74" s="426">
        <v>65.432000000000002</v>
      </c>
      <c r="G74" s="426">
        <v>63.631</v>
      </c>
      <c r="H74" s="426">
        <v>60.143999999999998</v>
      </c>
      <c r="I74" s="426">
        <v>56.805999999999997</v>
      </c>
      <c r="J74" s="295">
        <v>1631</v>
      </c>
      <c r="K74" s="429"/>
      <c r="L74" s="186"/>
      <c r="M74" s="186"/>
      <c r="N74" s="186"/>
      <c r="O74" s="186"/>
      <c r="P74" s="425"/>
      <c r="Q74" s="186"/>
      <c r="R74" s="186"/>
      <c r="S74" s="186"/>
      <c r="T74" s="186"/>
    </row>
    <row r="75" spans="1:20" ht="15.75">
      <c r="A75" s="428">
        <v>3500</v>
      </c>
      <c r="B75" s="426">
        <v>71.099999999999994</v>
      </c>
      <c r="C75" s="426">
        <v>67.265000000000001</v>
      </c>
      <c r="D75" s="426">
        <v>65.403999999999996</v>
      </c>
      <c r="E75" s="426">
        <v>63.581000000000003</v>
      </c>
      <c r="F75" s="426">
        <v>61.795000000000002</v>
      </c>
      <c r="G75" s="426">
        <v>60.046999999999997</v>
      </c>
      <c r="H75" s="426">
        <v>56.664000000000001</v>
      </c>
      <c r="I75" s="426">
        <v>53.430999999999997</v>
      </c>
      <c r="J75" s="295">
        <v>1581</v>
      </c>
      <c r="K75" s="429"/>
      <c r="L75" s="186"/>
      <c r="M75" s="186"/>
      <c r="N75" s="186"/>
      <c r="O75" s="186"/>
      <c r="P75" s="425"/>
      <c r="Q75" s="186"/>
      <c r="R75" s="186"/>
      <c r="S75" s="186"/>
      <c r="T75" s="186"/>
    </row>
    <row r="76" spans="1:20" ht="15.75">
      <c r="A76" s="428">
        <v>3550</v>
      </c>
      <c r="B76" s="426">
        <v>67.305999999999997</v>
      </c>
      <c r="C76" s="426">
        <v>63.576000000000001</v>
      </c>
      <c r="D76" s="426">
        <v>61.767000000000003</v>
      </c>
      <c r="E76" s="426">
        <v>59.996000000000002</v>
      </c>
      <c r="F76" s="426">
        <v>58.262999999999998</v>
      </c>
      <c r="G76" s="426">
        <v>56.567</v>
      </c>
      <c r="H76" s="426">
        <v>53.287999999999997</v>
      </c>
      <c r="I76" s="426">
        <v>50.16</v>
      </c>
      <c r="J76" s="295">
        <v>1531</v>
      </c>
      <c r="K76" s="429"/>
      <c r="L76" s="186"/>
      <c r="M76" s="186"/>
      <c r="N76" s="186"/>
      <c r="O76" s="186"/>
      <c r="P76" s="425"/>
      <c r="Q76" s="186"/>
      <c r="R76" s="186"/>
      <c r="S76" s="186"/>
      <c r="T76" s="186"/>
    </row>
    <row r="77" spans="1:20" ht="15.75">
      <c r="A77" s="428">
        <v>3600</v>
      </c>
      <c r="B77" s="426">
        <v>63.616</v>
      </c>
      <c r="C77" s="426">
        <v>59.991</v>
      </c>
      <c r="D77" s="426">
        <v>58.234000000000002</v>
      </c>
      <c r="E77" s="426">
        <v>56.515999999999998</v>
      </c>
      <c r="F77" s="426">
        <v>54.835000000000001</v>
      </c>
      <c r="G77" s="426">
        <v>53.191000000000003</v>
      </c>
      <c r="H77" s="426">
        <v>50.017000000000003</v>
      </c>
      <c r="I77" s="426">
        <v>46.993000000000002</v>
      </c>
      <c r="J77" s="295">
        <v>1481</v>
      </c>
      <c r="K77" s="429"/>
      <c r="L77" s="186"/>
      <c r="M77" s="186"/>
      <c r="N77" s="186"/>
      <c r="O77" s="186"/>
      <c r="P77" s="425"/>
      <c r="Q77" s="186"/>
      <c r="R77" s="186"/>
      <c r="S77" s="186"/>
      <c r="T77" s="186"/>
    </row>
    <row r="78" spans="1:20" ht="15.75">
      <c r="A78" s="428">
        <v>3650</v>
      </c>
      <c r="B78" s="426">
        <v>60.030999999999999</v>
      </c>
      <c r="C78" s="426">
        <v>56.51</v>
      </c>
      <c r="D78" s="426">
        <v>54.805999999999997</v>
      </c>
      <c r="E78" s="426">
        <v>53.139000000000003</v>
      </c>
      <c r="F78" s="426">
        <v>51.51</v>
      </c>
      <c r="G78" s="426">
        <v>49.918999999999997</v>
      </c>
      <c r="H78" s="426">
        <v>46.85</v>
      </c>
      <c r="I78" s="426">
        <v>43.93</v>
      </c>
      <c r="J78" s="295">
        <v>1431</v>
      </c>
      <c r="K78" s="429"/>
      <c r="L78" s="186"/>
      <c r="M78" s="186"/>
      <c r="N78" s="186"/>
      <c r="O78" s="186"/>
      <c r="P78" s="425"/>
      <c r="Q78" s="186"/>
      <c r="R78" s="186"/>
      <c r="S78" s="186"/>
      <c r="T78" s="186"/>
    </row>
    <row r="79" spans="1:20" ht="15.75">
      <c r="A79" s="428">
        <v>3700</v>
      </c>
      <c r="B79" s="426">
        <v>56.548999999999999</v>
      </c>
      <c r="C79" s="426">
        <v>53.133000000000003</v>
      </c>
      <c r="D79" s="426">
        <v>51.481000000000002</v>
      </c>
      <c r="E79" s="426">
        <v>49.866999999999997</v>
      </c>
      <c r="F79" s="426">
        <v>48.29</v>
      </c>
      <c r="G79" s="426">
        <v>46.750999999999998</v>
      </c>
      <c r="H79" s="426">
        <v>43.786000000000001</v>
      </c>
      <c r="I79" s="426">
        <v>40.970999999999997</v>
      </c>
      <c r="J79" s="295">
        <v>1381</v>
      </c>
      <c r="K79" s="429"/>
      <c r="L79" s="186"/>
      <c r="M79" s="186"/>
      <c r="N79" s="186"/>
      <c r="O79" s="186"/>
      <c r="P79" s="425"/>
      <c r="Q79" s="186"/>
      <c r="R79" s="186"/>
      <c r="S79" s="186"/>
      <c r="T79" s="186"/>
    </row>
    <row r="80" spans="1:20" ht="15.75">
      <c r="A80" s="428">
        <v>3750</v>
      </c>
      <c r="B80" s="426">
        <v>53.171999999999997</v>
      </c>
      <c r="C80" s="426">
        <v>49.86</v>
      </c>
      <c r="D80" s="426">
        <v>48.26</v>
      </c>
      <c r="E80" s="426">
        <v>46.698999999999998</v>
      </c>
      <c r="F80" s="426">
        <v>45.173999999999999</v>
      </c>
      <c r="G80" s="426">
        <v>43.686999999999998</v>
      </c>
      <c r="H80" s="426">
        <v>40.826999999999998</v>
      </c>
      <c r="I80" s="426">
        <v>38.116999999999997</v>
      </c>
      <c r="J80" s="295">
        <v>1331</v>
      </c>
      <c r="K80" s="429"/>
      <c r="L80" s="186"/>
      <c r="M80" s="186"/>
      <c r="N80" s="186"/>
      <c r="O80" s="186"/>
      <c r="P80" s="425"/>
      <c r="Q80" s="186"/>
      <c r="R80" s="186"/>
      <c r="S80" s="186"/>
      <c r="T80" s="186"/>
    </row>
    <row r="81" spans="1:20" ht="15.75">
      <c r="A81" s="428">
        <v>3800</v>
      </c>
      <c r="B81" s="426">
        <v>49.920999999999999</v>
      </c>
      <c r="C81" s="426">
        <v>46.713000000000001</v>
      </c>
      <c r="D81" s="426">
        <v>45.165999999999997</v>
      </c>
      <c r="E81" s="426">
        <v>43.655999999999999</v>
      </c>
      <c r="F81" s="426">
        <v>42.183</v>
      </c>
      <c r="G81" s="426">
        <v>40.747999999999998</v>
      </c>
      <c r="H81" s="426">
        <v>37.991999999999997</v>
      </c>
      <c r="I81" s="426">
        <v>35.384999999999998</v>
      </c>
      <c r="J81" s="295">
        <v>1281</v>
      </c>
      <c r="K81" s="429"/>
      <c r="L81" s="186"/>
      <c r="M81" s="186"/>
      <c r="N81" s="186"/>
      <c r="O81" s="186"/>
      <c r="P81" s="425"/>
      <c r="Q81" s="186"/>
      <c r="R81" s="186"/>
      <c r="S81" s="186"/>
      <c r="T81" s="186"/>
    </row>
    <row r="82" spans="1:20" ht="15.75">
      <c r="A82" s="428">
        <v>3850</v>
      </c>
      <c r="B82" s="426">
        <v>46.798999999999999</v>
      </c>
      <c r="C82" s="426">
        <v>43.694000000000003</v>
      </c>
      <c r="D82" s="426">
        <v>42.198</v>
      </c>
      <c r="E82" s="426">
        <v>40.74</v>
      </c>
      <c r="F82" s="426">
        <v>39.319000000000003</v>
      </c>
      <c r="G82" s="426">
        <v>37.935000000000002</v>
      </c>
      <c r="H82" s="426">
        <v>35.280999999999999</v>
      </c>
      <c r="I82" s="426">
        <v>32.777999999999999</v>
      </c>
      <c r="J82" s="295">
        <v>1231</v>
      </c>
      <c r="K82" s="429"/>
      <c r="L82" s="186"/>
      <c r="M82" s="186"/>
      <c r="N82" s="186"/>
      <c r="O82" s="186"/>
      <c r="P82" s="425"/>
      <c r="Q82" s="186"/>
      <c r="R82" s="186"/>
      <c r="S82" s="186"/>
      <c r="T82" s="186"/>
    </row>
    <row r="83" spans="1:20" ht="15.75">
      <c r="A83" s="428">
        <v>3900</v>
      </c>
      <c r="B83" s="426">
        <v>43.779000000000003</v>
      </c>
      <c r="C83" s="426">
        <v>40.776000000000003</v>
      </c>
      <c r="D83" s="426">
        <v>39.332000000000001</v>
      </c>
      <c r="E83" s="426">
        <v>37.923999999999999</v>
      </c>
      <c r="F83" s="426">
        <v>36.555</v>
      </c>
      <c r="G83" s="426">
        <v>35.222999999999999</v>
      </c>
      <c r="H83" s="426">
        <v>32.671999999999997</v>
      </c>
      <c r="I83" s="426">
        <v>30.271999999999998</v>
      </c>
      <c r="J83" s="295">
        <v>1181</v>
      </c>
      <c r="K83" s="429"/>
      <c r="L83" s="186"/>
      <c r="M83" s="186"/>
      <c r="N83" s="186"/>
      <c r="O83" s="186"/>
      <c r="P83" s="425"/>
      <c r="Q83" s="186"/>
      <c r="R83" s="186"/>
      <c r="S83" s="186"/>
      <c r="T83" s="186"/>
    </row>
    <row r="84" spans="1:20" ht="15.75">
      <c r="A84" s="428">
        <v>3950</v>
      </c>
      <c r="B84" s="426">
        <v>40.857999999999997</v>
      </c>
      <c r="C84" s="426">
        <v>37.959000000000003</v>
      </c>
      <c r="D84" s="426">
        <v>36.566000000000003</v>
      </c>
      <c r="E84" s="426">
        <v>35.21</v>
      </c>
      <c r="F84" s="426">
        <v>33.892000000000003</v>
      </c>
      <c r="G84" s="426">
        <v>32.612000000000002</v>
      </c>
      <c r="H84" s="426">
        <v>30.164000000000001</v>
      </c>
      <c r="I84" s="426">
        <v>27.866</v>
      </c>
      <c r="J84" s="295">
        <v>1131</v>
      </c>
      <c r="K84" s="429"/>
      <c r="L84" s="186"/>
      <c r="M84" s="186"/>
      <c r="N84" s="186"/>
      <c r="O84" s="186"/>
      <c r="P84" s="425"/>
      <c r="Q84" s="186"/>
      <c r="R84" s="186"/>
      <c r="S84" s="186"/>
      <c r="T84" s="186"/>
    </row>
    <row r="85" spans="1:20" ht="15.75">
      <c r="A85" s="428">
        <v>4000</v>
      </c>
      <c r="B85" s="426">
        <v>38.039000000000001</v>
      </c>
      <c r="C85" s="426">
        <v>35.243000000000002</v>
      </c>
      <c r="D85" s="426">
        <v>33.901000000000003</v>
      </c>
      <c r="E85" s="426">
        <v>32.597000000000001</v>
      </c>
      <c r="F85" s="426">
        <v>31.33</v>
      </c>
      <c r="G85" s="426">
        <v>30.100999999999999</v>
      </c>
      <c r="H85" s="426">
        <v>27.756</v>
      </c>
      <c r="I85" s="426">
        <v>25.562000000000001</v>
      </c>
      <c r="J85" s="295">
        <v>1081</v>
      </c>
      <c r="K85" s="429"/>
      <c r="L85" s="186"/>
      <c r="M85" s="186"/>
      <c r="N85" s="186"/>
      <c r="O85" s="186"/>
      <c r="P85" s="425"/>
      <c r="Q85" s="186"/>
      <c r="R85" s="186"/>
      <c r="S85" s="186"/>
      <c r="T85" s="186"/>
    </row>
    <row r="86" spans="1:20" ht="15.75">
      <c r="A86" s="428">
        <v>4050</v>
      </c>
      <c r="B86" s="426">
        <v>35.320999999999998</v>
      </c>
      <c r="C86" s="426">
        <v>32.627000000000002</v>
      </c>
      <c r="D86" s="426">
        <v>31.337</v>
      </c>
      <c r="E86" s="426">
        <v>30.084</v>
      </c>
      <c r="F86" s="426">
        <v>28.869</v>
      </c>
      <c r="G86" s="426">
        <v>27.692</v>
      </c>
      <c r="H86" s="426">
        <v>25.449000000000002</v>
      </c>
      <c r="I86" s="426">
        <v>23.358000000000001</v>
      </c>
      <c r="J86" s="295">
        <v>1031</v>
      </c>
      <c r="K86" s="429"/>
      <c r="L86" s="186"/>
      <c r="M86" s="186"/>
      <c r="N86" s="186"/>
      <c r="O86" s="186"/>
      <c r="P86" s="425"/>
      <c r="Q86" s="186"/>
      <c r="R86" s="186"/>
      <c r="S86" s="186"/>
      <c r="T86" s="186"/>
    </row>
    <row r="87" spans="1:20" ht="15.75">
      <c r="A87" s="428">
        <v>4100</v>
      </c>
      <c r="B87" s="426">
        <v>32.703000000000003</v>
      </c>
      <c r="C87" s="426">
        <v>30.113</v>
      </c>
      <c r="D87" s="426">
        <v>28.873999999999999</v>
      </c>
      <c r="E87" s="426">
        <v>27.672999999999998</v>
      </c>
      <c r="F87" s="426">
        <v>26.509</v>
      </c>
      <c r="G87" s="426">
        <v>25.382999999999999</v>
      </c>
      <c r="H87" s="426">
        <v>23.244</v>
      </c>
      <c r="I87" s="426">
        <v>21.254999999999999</v>
      </c>
      <c r="J87" s="295">
        <v>981</v>
      </c>
      <c r="K87" s="429"/>
      <c r="L87" s="186"/>
      <c r="M87" s="186"/>
      <c r="N87" s="186"/>
      <c r="O87" s="186"/>
      <c r="P87" s="425"/>
      <c r="Q87" s="186"/>
      <c r="R87" s="186"/>
      <c r="S87" s="186"/>
      <c r="T87" s="186"/>
    </row>
    <row r="88" spans="1:20" ht="15.75">
      <c r="A88" s="428">
        <v>4150</v>
      </c>
      <c r="B88" s="426">
        <v>30.186</v>
      </c>
      <c r="C88" s="426">
        <v>27.699000000000002</v>
      </c>
      <c r="D88" s="426">
        <v>26.510999999999999</v>
      </c>
      <c r="E88" s="426">
        <v>25.361999999999998</v>
      </c>
      <c r="F88" s="426">
        <v>24.248999999999999</v>
      </c>
      <c r="G88" s="426">
        <v>23.175000000000001</v>
      </c>
      <c r="H88" s="426">
        <v>21.138999999999999</v>
      </c>
      <c r="I88" s="426">
        <v>19.253</v>
      </c>
      <c r="J88" s="295">
        <v>931</v>
      </c>
      <c r="K88" s="429"/>
      <c r="L88" s="186"/>
      <c r="M88" s="186"/>
      <c r="N88" s="186"/>
      <c r="O88" s="186"/>
      <c r="P88" s="425"/>
      <c r="Q88" s="186"/>
      <c r="R88" s="186"/>
      <c r="S88" s="186"/>
      <c r="T88" s="186"/>
    </row>
    <row r="89" spans="1:20" ht="15.75">
      <c r="A89" s="428">
        <v>4200</v>
      </c>
      <c r="B89" s="426">
        <v>27.771000000000001</v>
      </c>
      <c r="C89" s="426">
        <v>25.385999999999999</v>
      </c>
      <c r="D89" s="426">
        <v>24.25</v>
      </c>
      <c r="E89" s="426">
        <v>23.152000000000001</v>
      </c>
      <c r="F89" s="426">
        <v>22.091000000000001</v>
      </c>
      <c r="G89" s="426">
        <v>21.068000000000001</v>
      </c>
      <c r="H89" s="426">
        <v>19.134</v>
      </c>
      <c r="I89" s="426">
        <v>17.350999999999999</v>
      </c>
      <c r="J89" s="295">
        <v>881</v>
      </c>
      <c r="K89" s="429"/>
      <c r="L89" s="186"/>
      <c r="M89" s="186"/>
      <c r="N89" s="186"/>
      <c r="O89" s="186"/>
      <c r="P89" s="425"/>
      <c r="Q89" s="186"/>
      <c r="R89" s="186"/>
      <c r="S89" s="186"/>
      <c r="T89" s="186"/>
    </row>
    <row r="90" spans="1:20" ht="15.75">
      <c r="A90" s="428">
        <v>4250</v>
      </c>
      <c r="B90" s="426">
        <v>25.454999999999998</v>
      </c>
      <c r="C90" s="426">
        <v>23.173999999999999</v>
      </c>
      <c r="D90" s="426">
        <v>22.088999999999999</v>
      </c>
      <c r="E90" s="426">
        <v>21.042000000000002</v>
      </c>
      <c r="F90" s="426">
        <v>20.033000000000001</v>
      </c>
      <c r="G90" s="426">
        <v>19.061</v>
      </c>
      <c r="H90" s="426">
        <v>17.231000000000002</v>
      </c>
      <c r="I90" s="426">
        <v>15.551</v>
      </c>
      <c r="J90" s="295">
        <v>831</v>
      </c>
      <c r="K90" s="429"/>
      <c r="L90" s="186"/>
      <c r="M90" s="186"/>
      <c r="N90" s="186"/>
      <c r="O90" s="186"/>
      <c r="P90" s="425"/>
      <c r="Q90" s="186"/>
      <c r="R90" s="186"/>
      <c r="S90" s="186"/>
      <c r="T90" s="186"/>
    </row>
    <row r="91" spans="1:20" ht="15.75">
      <c r="A91" s="428">
        <v>4300</v>
      </c>
      <c r="B91" s="426">
        <v>23.241</v>
      </c>
      <c r="C91" s="426">
        <v>21.062000000000001</v>
      </c>
      <c r="D91" s="426">
        <v>20.029</v>
      </c>
      <c r="E91" s="426">
        <v>19.033999999999999</v>
      </c>
      <c r="F91" s="426">
        <v>18.076000000000001</v>
      </c>
      <c r="G91" s="426">
        <v>17.155999999999999</v>
      </c>
      <c r="H91" s="426">
        <v>15.428000000000001</v>
      </c>
      <c r="I91" s="426">
        <v>13.851000000000001</v>
      </c>
      <c r="J91" s="295">
        <v>781</v>
      </c>
      <c r="K91" s="429"/>
      <c r="L91" s="186"/>
      <c r="M91" s="186"/>
      <c r="N91" s="186"/>
      <c r="O91" s="186"/>
      <c r="P91" s="425"/>
      <c r="Q91" s="186"/>
      <c r="R91" s="186"/>
      <c r="S91" s="186"/>
      <c r="T91" s="186"/>
    </row>
    <row r="92" spans="1:20" ht="15.75">
      <c r="A92" s="428">
        <v>4350</v>
      </c>
      <c r="B92" s="426">
        <v>21.128</v>
      </c>
      <c r="C92" s="426">
        <v>19.052</v>
      </c>
      <c r="D92" s="426">
        <v>18.170000000000002</v>
      </c>
      <c r="E92" s="426">
        <v>17.126000000000001</v>
      </c>
      <c r="F92" s="426">
        <v>16.22</v>
      </c>
      <c r="G92" s="426">
        <v>15.351000000000001</v>
      </c>
      <c r="H92" s="426">
        <v>13.727</v>
      </c>
      <c r="I92" s="426">
        <v>12.252000000000001</v>
      </c>
      <c r="J92" s="295">
        <v>731</v>
      </c>
      <c r="K92" s="429"/>
      <c r="L92" s="186"/>
      <c r="M92" s="186"/>
      <c r="N92" s="186"/>
      <c r="O92" s="186"/>
      <c r="P92" s="425"/>
      <c r="Q92" s="186"/>
      <c r="R92" s="186"/>
      <c r="S92" s="186"/>
      <c r="T92" s="186"/>
    </row>
    <row r="93" spans="1:20" ht="15.75">
      <c r="A93" s="428">
        <v>4400</v>
      </c>
      <c r="B93" s="426">
        <v>19.114999999999998</v>
      </c>
      <c r="C93" s="426">
        <v>17.141999999999999</v>
      </c>
      <c r="D93" s="426">
        <v>16.212</v>
      </c>
      <c r="E93" s="426">
        <v>15.319000000000001</v>
      </c>
      <c r="F93" s="426">
        <v>14.465</v>
      </c>
      <c r="G93" s="426">
        <v>13.647</v>
      </c>
      <c r="H93" s="426">
        <v>12.125999999999999</v>
      </c>
      <c r="I93" s="426">
        <v>10.754</v>
      </c>
      <c r="J93" s="295">
        <v>681</v>
      </c>
      <c r="K93" s="429"/>
      <c r="L93" s="186"/>
      <c r="M93" s="186"/>
      <c r="N93" s="186"/>
      <c r="O93" s="186"/>
      <c r="P93" s="425"/>
      <c r="Q93" s="186"/>
      <c r="R93" s="186"/>
      <c r="S93" s="186"/>
      <c r="T93" s="186"/>
    </row>
    <row r="94" spans="1:20" ht="15.75">
      <c r="A94" s="428">
        <v>4450</v>
      </c>
      <c r="B94" s="426">
        <v>17.202999999999999</v>
      </c>
      <c r="C94" s="426">
        <v>15.333</v>
      </c>
      <c r="D94" s="426">
        <v>14.455</v>
      </c>
      <c r="E94" s="426">
        <v>13.614000000000001</v>
      </c>
      <c r="F94" s="426">
        <v>12.81</v>
      </c>
      <c r="G94" s="426">
        <v>12.044</v>
      </c>
      <c r="H94" s="426">
        <v>10.625</v>
      </c>
      <c r="I94" s="426">
        <v>9.3569999999999993</v>
      </c>
      <c r="J94" s="295">
        <v>631</v>
      </c>
      <c r="K94" s="429"/>
      <c r="L94" s="186"/>
      <c r="M94" s="186"/>
      <c r="N94" s="186"/>
      <c r="O94" s="186"/>
      <c r="P94" s="425"/>
      <c r="Q94" s="186"/>
      <c r="R94" s="186"/>
      <c r="S94" s="186"/>
      <c r="T94" s="186"/>
    </row>
    <row r="95" spans="1:20" ht="15.75">
      <c r="A95" s="428">
        <v>4500</v>
      </c>
      <c r="B95" s="426">
        <v>15.391999999999999</v>
      </c>
      <c r="C95" s="426">
        <v>13.625</v>
      </c>
      <c r="D95" s="426">
        <v>12.798</v>
      </c>
      <c r="E95" s="426">
        <v>12.007999999999999</v>
      </c>
      <c r="F95" s="426">
        <v>11.256</v>
      </c>
      <c r="G95" s="426">
        <v>10.542</v>
      </c>
      <c r="H95" s="426">
        <v>9.2260000000000009</v>
      </c>
      <c r="I95" s="426">
        <v>8.0609999999999999</v>
      </c>
      <c r="J95" s="295">
        <v>581</v>
      </c>
      <c r="K95" s="429"/>
      <c r="L95" s="186"/>
      <c r="M95" s="186"/>
      <c r="N95" s="186"/>
      <c r="O95" s="186"/>
      <c r="P95" s="425"/>
      <c r="Q95" s="186"/>
      <c r="R95" s="186"/>
      <c r="S95" s="186"/>
      <c r="T95" s="186"/>
    </row>
    <row r="96" spans="1:20" ht="15.75">
      <c r="A96" s="428">
        <v>4550</v>
      </c>
      <c r="B96" s="426">
        <v>13.682</v>
      </c>
      <c r="C96" s="426">
        <v>12.018000000000001</v>
      </c>
      <c r="D96" s="426">
        <v>11.242000000000001</v>
      </c>
      <c r="E96" s="426">
        <v>10.504</v>
      </c>
      <c r="F96" s="426">
        <v>9.8040000000000003</v>
      </c>
      <c r="G96" s="426">
        <v>9.141</v>
      </c>
      <c r="H96" s="426">
        <v>7.9279999999999999</v>
      </c>
      <c r="I96" s="426">
        <v>6.8650000000000002</v>
      </c>
      <c r="J96" s="295">
        <v>531</v>
      </c>
      <c r="K96" s="429"/>
      <c r="L96" s="186"/>
      <c r="M96" s="186"/>
      <c r="N96" s="186"/>
      <c r="O96" s="186"/>
      <c r="P96" s="425"/>
      <c r="Q96" s="186"/>
      <c r="R96" s="186"/>
      <c r="S96" s="186"/>
      <c r="T96" s="186"/>
    </row>
    <row r="97" spans="1:20" ht="15.75">
      <c r="A97" s="428">
        <v>4600</v>
      </c>
      <c r="B97" s="426">
        <v>12.073</v>
      </c>
      <c r="C97" s="426">
        <v>10.512</v>
      </c>
      <c r="D97" s="426">
        <v>9.7870000000000008</v>
      </c>
      <c r="E97" s="426">
        <v>9.1010000000000009</v>
      </c>
      <c r="F97" s="426">
        <v>8.452</v>
      </c>
      <c r="G97" s="426">
        <v>7.84</v>
      </c>
      <c r="H97" s="426">
        <v>6.73</v>
      </c>
      <c r="I97" s="426">
        <v>5.7709999999999999</v>
      </c>
      <c r="J97" s="295">
        <v>481</v>
      </c>
      <c r="K97" s="429"/>
      <c r="L97" s="186"/>
      <c r="M97" s="186"/>
      <c r="N97" s="186"/>
      <c r="O97" s="186"/>
      <c r="P97" s="425"/>
      <c r="Q97" s="186"/>
      <c r="R97" s="186"/>
      <c r="S97" s="186"/>
      <c r="T97" s="186"/>
    </row>
    <row r="98" spans="1:20" ht="15.75">
      <c r="A98" s="428">
        <v>4650</v>
      </c>
      <c r="B98" s="426">
        <v>10.564</v>
      </c>
      <c r="C98" s="426">
        <v>9.1059999999999999</v>
      </c>
      <c r="D98" s="426">
        <v>8.4329999999999998</v>
      </c>
      <c r="E98" s="426">
        <v>7.798</v>
      </c>
      <c r="F98" s="426">
        <v>7.2</v>
      </c>
      <c r="G98" s="426">
        <v>6.64</v>
      </c>
      <c r="H98" s="426">
        <v>5.633</v>
      </c>
      <c r="I98" s="426">
        <v>4.7770000000000001</v>
      </c>
      <c r="J98" s="295">
        <v>431</v>
      </c>
      <c r="K98" s="429"/>
      <c r="L98" s="186"/>
      <c r="M98" s="186"/>
      <c r="N98" s="186"/>
      <c r="O98" s="186"/>
      <c r="P98" s="425"/>
      <c r="Q98" s="186"/>
      <c r="R98" s="186"/>
      <c r="S98" s="186"/>
      <c r="T98" s="186"/>
    </row>
    <row r="99" spans="1:20" ht="15.75">
      <c r="A99" s="428">
        <v>4700</v>
      </c>
      <c r="B99" s="426">
        <v>9.157</v>
      </c>
      <c r="C99" s="426">
        <v>7.8010000000000002</v>
      </c>
      <c r="D99" s="426">
        <v>7.18</v>
      </c>
      <c r="E99" s="426">
        <v>6.5960000000000001</v>
      </c>
      <c r="F99" s="426">
        <v>6.05</v>
      </c>
      <c r="G99" s="426">
        <v>5.5419999999999998</v>
      </c>
      <c r="H99" s="426">
        <v>4.6369999999999996</v>
      </c>
      <c r="I99" s="426">
        <v>3.8839999999999999</v>
      </c>
      <c r="J99" s="295">
        <v>381</v>
      </c>
      <c r="K99" s="429"/>
      <c r="L99" s="186"/>
      <c r="M99" s="186"/>
      <c r="N99" s="186"/>
      <c r="O99" s="186"/>
      <c r="P99" s="425"/>
      <c r="Q99" s="186"/>
      <c r="R99" s="186"/>
      <c r="S99" s="186"/>
      <c r="T99" s="186"/>
    </row>
    <row r="100" spans="1:20" ht="15.75">
      <c r="A100" s="428">
        <v>4750</v>
      </c>
      <c r="B100" s="426">
        <v>7.85</v>
      </c>
      <c r="C100" s="426">
        <v>6.5970000000000004</v>
      </c>
      <c r="D100" s="426">
        <v>6.0279999999999996</v>
      </c>
      <c r="E100" s="426">
        <v>5.4950000000000001</v>
      </c>
      <c r="F100" s="426">
        <v>5.0010000000000003</v>
      </c>
      <c r="G100" s="426">
        <v>4.5439999999999996</v>
      </c>
      <c r="H100" s="426">
        <v>3.742</v>
      </c>
      <c r="I100" s="426">
        <v>3.0910000000000002</v>
      </c>
      <c r="J100" s="295">
        <v>331</v>
      </c>
      <c r="K100" s="429"/>
      <c r="L100" s="186"/>
      <c r="M100" s="186"/>
      <c r="N100" s="186"/>
      <c r="O100" s="186"/>
      <c r="P100" s="425"/>
      <c r="Q100" s="186"/>
      <c r="R100" s="186"/>
      <c r="S100" s="186"/>
      <c r="T100" s="186"/>
    </row>
    <row r="101" spans="1:20" ht="15.75">
      <c r="A101" s="428">
        <v>4800</v>
      </c>
      <c r="B101" s="426">
        <v>6.6440000000000001</v>
      </c>
      <c r="C101" s="426">
        <v>5.4939999999999998</v>
      </c>
      <c r="D101" s="426">
        <v>4.976</v>
      </c>
      <c r="E101" s="426">
        <v>4.4950000000000001</v>
      </c>
      <c r="F101" s="426">
        <v>4.0519999999999996</v>
      </c>
      <c r="G101" s="426">
        <v>3.6459999999999999</v>
      </c>
      <c r="H101" s="426">
        <v>2.948</v>
      </c>
      <c r="I101" s="426">
        <v>2.4</v>
      </c>
      <c r="J101" s="295">
        <v>281</v>
      </c>
      <c r="K101" s="429"/>
      <c r="L101" s="186"/>
      <c r="M101" s="186"/>
      <c r="N101" s="186"/>
      <c r="O101" s="186"/>
      <c r="P101" s="425"/>
      <c r="Q101" s="186"/>
      <c r="R101" s="186"/>
      <c r="S101" s="186"/>
      <c r="T101" s="186"/>
    </row>
    <row r="102" spans="1:20" ht="15.75">
      <c r="A102" s="428">
        <v>4850</v>
      </c>
      <c r="B102" s="426">
        <v>5.5389999999999997</v>
      </c>
      <c r="C102" s="426">
        <v>4.492</v>
      </c>
      <c r="D102" s="426">
        <v>4.0250000000000004</v>
      </c>
      <c r="E102" s="426">
        <v>3.5960000000000001</v>
      </c>
      <c r="F102" s="426">
        <v>3.2040000000000002</v>
      </c>
      <c r="G102" s="426">
        <v>2.85</v>
      </c>
      <c r="H102" s="426">
        <v>2.254</v>
      </c>
      <c r="I102" s="426">
        <v>1.8089999999999999</v>
      </c>
      <c r="J102" s="295">
        <v>231</v>
      </c>
      <c r="K102" s="429"/>
      <c r="L102" s="186"/>
      <c r="M102" s="186"/>
      <c r="N102" s="186"/>
      <c r="O102" s="186"/>
      <c r="P102" s="425"/>
      <c r="Q102" s="186"/>
      <c r="R102" s="186"/>
      <c r="S102" s="186"/>
      <c r="T102" s="186"/>
    </row>
    <row r="103" spans="1:20" ht="15.75">
      <c r="A103" s="428">
        <v>4900</v>
      </c>
      <c r="B103" s="426">
        <v>4.5350000000000001</v>
      </c>
      <c r="C103" s="426">
        <v>3.5910000000000002</v>
      </c>
      <c r="D103" s="426">
        <v>3.1749999999999998</v>
      </c>
      <c r="E103" s="426">
        <v>2.7970000000000002</v>
      </c>
      <c r="F103" s="426">
        <v>2.4569999999999999</v>
      </c>
      <c r="G103" s="426">
        <v>2.1539999999999999</v>
      </c>
      <c r="H103" s="426">
        <v>1.6619999999999999</v>
      </c>
      <c r="I103" s="426">
        <v>1.32</v>
      </c>
      <c r="J103" s="295">
        <v>181</v>
      </c>
      <c r="K103" s="429"/>
      <c r="L103" s="186"/>
      <c r="M103" s="186"/>
      <c r="N103" s="186"/>
      <c r="O103" s="186"/>
      <c r="P103" s="425"/>
      <c r="Q103" s="186"/>
      <c r="R103" s="186"/>
      <c r="S103" s="186"/>
      <c r="T103" s="186"/>
    </row>
    <row r="104" spans="1:20" ht="15.75">
      <c r="A104" s="428">
        <v>4950</v>
      </c>
      <c r="B104" s="426">
        <v>3.6309999999999998</v>
      </c>
      <c r="C104" s="426">
        <v>2.79</v>
      </c>
      <c r="D104" s="426">
        <v>2.4260000000000002</v>
      </c>
      <c r="E104" s="426">
        <v>2.1</v>
      </c>
      <c r="F104" s="426">
        <v>1.8109999999999999</v>
      </c>
      <c r="G104" s="426">
        <v>1.56</v>
      </c>
      <c r="H104" s="426">
        <v>1.17</v>
      </c>
      <c r="I104" s="426">
        <v>0.92800000000000005</v>
      </c>
      <c r="J104" s="295">
        <v>131</v>
      </c>
      <c r="K104" s="429"/>
      <c r="L104" s="186"/>
      <c r="M104" s="186"/>
      <c r="N104" s="186"/>
      <c r="O104" s="186"/>
      <c r="P104" s="425"/>
      <c r="Q104" s="186"/>
      <c r="R104" s="186"/>
      <c r="S104" s="186"/>
      <c r="T104" s="186"/>
    </row>
    <row r="105" spans="1:20" ht="15.75">
      <c r="A105" s="428">
        <v>5000</v>
      </c>
      <c r="B105" s="426">
        <v>2.8279999999999998</v>
      </c>
      <c r="C105" s="426">
        <v>2.09</v>
      </c>
      <c r="D105" s="426">
        <v>1.778</v>
      </c>
      <c r="E105" s="426">
        <v>1.5029999999999999</v>
      </c>
      <c r="F105" s="426">
        <v>1.2649999999999999</v>
      </c>
      <c r="G105" s="426">
        <v>1.0660000000000001</v>
      </c>
      <c r="H105" s="426">
        <v>0.77900000000000003</v>
      </c>
      <c r="I105" s="426">
        <v>0.621</v>
      </c>
      <c r="J105" s="295">
        <v>81</v>
      </c>
      <c r="K105" s="429"/>
      <c r="L105" s="186"/>
      <c r="M105" s="186"/>
      <c r="N105" s="186"/>
      <c r="O105" s="186"/>
      <c r="P105" s="425"/>
      <c r="Q105" s="186"/>
      <c r="R105" s="186"/>
      <c r="S105" s="186"/>
      <c r="T105" s="186"/>
    </row>
    <row r="106" spans="1:20" ht="15.75">
      <c r="A106" s="428">
        <v>5050</v>
      </c>
      <c r="B106" s="426">
        <v>2.1269999999999998</v>
      </c>
      <c r="C106" s="426">
        <v>1.492</v>
      </c>
      <c r="D106" s="426">
        <v>1.23</v>
      </c>
      <c r="E106" s="426">
        <v>1.0069999999999999</v>
      </c>
      <c r="F106" s="426">
        <v>0.82099999999999995</v>
      </c>
      <c r="G106" s="426">
        <v>0.67300000000000004</v>
      </c>
      <c r="H106" s="426">
        <v>0.48599999999999999</v>
      </c>
      <c r="I106" s="426">
        <v>0.39300000000000002</v>
      </c>
      <c r="J106" s="295">
        <v>31</v>
      </c>
      <c r="K106" s="429"/>
      <c r="L106" s="186"/>
      <c r="M106" s="186"/>
      <c r="N106" s="186"/>
      <c r="O106" s="186"/>
      <c r="P106" s="425"/>
      <c r="Q106" s="186"/>
      <c r="R106" s="186"/>
      <c r="S106" s="186"/>
      <c r="T106" s="186"/>
    </row>
    <row r="107" spans="1:20">
      <c r="A107" s="428">
        <v>5081</v>
      </c>
      <c r="B107" s="426">
        <v>1.7390000000000001</v>
      </c>
      <c r="C107" s="426">
        <v>1.1679999999999999</v>
      </c>
      <c r="D107" s="426">
        <v>0.93899999999999995</v>
      </c>
      <c r="E107" s="426">
        <v>0.748</v>
      </c>
      <c r="F107" s="426">
        <v>0.59399999999999997</v>
      </c>
      <c r="G107" s="426">
        <v>0.47799999999999998</v>
      </c>
      <c r="H107" s="426">
        <v>0.34599999999999997</v>
      </c>
      <c r="I107" s="426">
        <v>0.28199999999999997</v>
      </c>
      <c r="J107" s="295">
        <v>0</v>
      </c>
      <c r="K107" s="430"/>
      <c r="L107" s="186"/>
      <c r="M107" s="186"/>
      <c r="N107" s="186"/>
      <c r="O107" s="186"/>
      <c r="P107" s="186"/>
      <c r="Q107" s="186"/>
      <c r="R107" s="186"/>
      <c r="S107" s="186"/>
      <c r="T107" s="186"/>
    </row>
    <row r="108" spans="1:20" hidden="1">
      <c r="B108" s="19"/>
      <c r="C108" s="19"/>
      <c r="D108" s="19"/>
      <c r="E108" s="19"/>
      <c r="F108" s="19"/>
      <c r="G108" s="19"/>
      <c r="H108" s="19"/>
      <c r="I108" s="19"/>
      <c r="J108" s="19"/>
      <c r="K108" s="421"/>
      <c r="L108" s="23"/>
      <c r="M108" s="19"/>
      <c r="N108" s="19"/>
      <c r="O108" s="19"/>
      <c r="P108" s="19"/>
      <c r="Q108" s="19"/>
    </row>
    <row r="109" spans="1:20" hidden="1">
      <c r="B109" s="19"/>
      <c r="C109" s="19"/>
      <c r="D109" s="19"/>
      <c r="E109" s="19"/>
      <c r="F109" s="19"/>
      <c r="G109" s="19"/>
      <c r="H109" s="19"/>
      <c r="I109" s="19"/>
      <c r="J109" s="19"/>
      <c r="K109" s="421"/>
      <c r="L109" s="23"/>
      <c r="M109" s="19"/>
      <c r="N109" s="19"/>
      <c r="O109" s="19"/>
      <c r="P109" s="19"/>
      <c r="Q109" s="19"/>
    </row>
    <row r="110" spans="1:20" hidden="1">
      <c r="B110" s="19"/>
      <c r="C110" s="19"/>
      <c r="D110" s="19"/>
      <c r="E110" s="19"/>
      <c r="F110" s="19"/>
      <c r="G110" s="19"/>
      <c r="H110" s="19"/>
      <c r="I110" s="19"/>
      <c r="J110" s="19"/>
      <c r="K110" s="421"/>
      <c r="L110" s="23"/>
      <c r="M110" s="19"/>
      <c r="N110" s="19"/>
      <c r="O110" s="19"/>
      <c r="P110" s="19"/>
      <c r="Q110" s="19"/>
    </row>
    <row r="111" spans="1:20" hidden="1">
      <c r="B111" s="19"/>
      <c r="C111" s="19"/>
      <c r="D111" s="19"/>
      <c r="E111" s="19"/>
      <c r="F111" s="19"/>
      <c r="G111" s="19"/>
      <c r="H111" s="19"/>
      <c r="I111" s="19"/>
      <c r="J111" s="19"/>
      <c r="K111" s="421"/>
      <c r="L111" s="23"/>
      <c r="M111" s="19"/>
      <c r="N111" s="19"/>
      <c r="O111" s="19"/>
      <c r="P111" s="19"/>
      <c r="Q111" s="19"/>
    </row>
    <row r="112" spans="1:20" hidden="1">
      <c r="B112" s="19"/>
      <c r="C112" s="19"/>
      <c r="D112" s="19"/>
      <c r="E112" s="19"/>
      <c r="F112" s="19"/>
      <c r="G112" s="19"/>
      <c r="H112" s="19"/>
      <c r="I112" s="19"/>
      <c r="J112" s="19"/>
      <c r="K112" s="421"/>
      <c r="L112" s="23"/>
      <c r="M112" s="19"/>
      <c r="N112" s="19"/>
      <c r="O112" s="19"/>
      <c r="P112" s="19"/>
      <c r="Q112" s="19"/>
    </row>
    <row r="113" spans="2:17" hidden="1">
      <c r="B113" s="19"/>
      <c r="C113" s="19"/>
      <c r="D113" s="19"/>
      <c r="E113" s="19"/>
      <c r="F113" s="19"/>
      <c r="G113" s="19"/>
      <c r="H113" s="19"/>
      <c r="I113" s="19"/>
      <c r="J113" s="19"/>
      <c r="K113" s="421"/>
      <c r="L113" s="23"/>
      <c r="M113" s="19"/>
      <c r="N113" s="19"/>
      <c r="O113" s="19"/>
      <c r="P113" s="19"/>
      <c r="Q113" s="19"/>
    </row>
    <row r="114" spans="2:17" hidden="1">
      <c r="B114" s="19"/>
      <c r="C114" s="19"/>
      <c r="D114" s="19"/>
      <c r="E114" s="19"/>
      <c r="F114" s="19"/>
      <c r="G114" s="19"/>
      <c r="H114" s="19"/>
      <c r="I114" s="19"/>
      <c r="J114" s="19"/>
      <c r="K114" s="421"/>
      <c r="L114" s="23"/>
      <c r="M114" s="19"/>
      <c r="N114" s="19"/>
      <c r="O114" s="19"/>
      <c r="P114" s="19"/>
      <c r="Q114" s="19"/>
    </row>
    <row r="115" spans="2:17" hidden="1">
      <c r="B115" s="19"/>
      <c r="C115" s="19"/>
      <c r="D115" s="19"/>
      <c r="E115" s="19"/>
      <c r="F115" s="19"/>
      <c r="G115" s="19"/>
      <c r="H115" s="19"/>
      <c r="I115" s="19"/>
      <c r="J115" s="19"/>
      <c r="K115" s="421"/>
      <c r="L115" s="23"/>
      <c r="M115" s="19"/>
      <c r="N115" s="19"/>
      <c r="O115" s="19"/>
      <c r="P115" s="19"/>
      <c r="Q115" s="19"/>
    </row>
    <row r="116" spans="2:17" hidden="1">
      <c r="B116" s="19"/>
      <c r="C116" s="19"/>
      <c r="D116" s="19"/>
      <c r="E116" s="19"/>
      <c r="F116" s="19"/>
      <c r="G116" s="19"/>
      <c r="H116" s="19"/>
      <c r="I116" s="19"/>
      <c r="J116" s="19"/>
      <c r="K116" s="421"/>
      <c r="L116" s="23"/>
      <c r="M116" s="19"/>
      <c r="N116" s="19"/>
      <c r="O116" s="19"/>
      <c r="P116" s="19"/>
      <c r="Q116" s="19"/>
    </row>
    <row r="117" spans="2:17" hidden="1">
      <c r="B117" s="19"/>
      <c r="C117" s="19"/>
      <c r="D117" s="19"/>
      <c r="E117" s="19"/>
      <c r="F117" s="19"/>
      <c r="G117" s="19"/>
      <c r="H117" s="19"/>
      <c r="I117" s="19"/>
      <c r="J117" s="19"/>
      <c r="K117" s="421"/>
      <c r="L117" s="23"/>
      <c r="M117" s="19"/>
      <c r="N117" s="19"/>
      <c r="O117" s="19"/>
      <c r="P117" s="19"/>
      <c r="Q117" s="19"/>
    </row>
    <row r="118" spans="2:17" hidden="1">
      <c r="B118" s="19"/>
      <c r="C118" s="19"/>
      <c r="D118" s="19"/>
      <c r="E118" s="19"/>
      <c r="F118" s="19"/>
      <c r="G118" s="19"/>
      <c r="H118" s="19"/>
      <c r="I118" s="19"/>
      <c r="J118" s="19"/>
      <c r="K118" s="421"/>
      <c r="L118" s="23"/>
      <c r="M118" s="19"/>
      <c r="N118" s="19"/>
      <c r="O118" s="19"/>
      <c r="P118" s="19"/>
      <c r="Q118" s="19"/>
    </row>
    <row r="119" spans="2:17" hidden="1">
      <c r="B119" s="19"/>
      <c r="C119" s="19"/>
      <c r="D119" s="19"/>
      <c r="E119" s="19"/>
      <c r="F119" s="19"/>
      <c r="G119" s="19"/>
      <c r="H119" s="19"/>
      <c r="I119" s="19"/>
      <c r="J119" s="19"/>
      <c r="K119" s="421"/>
      <c r="L119" s="23"/>
      <c r="M119" s="19"/>
      <c r="N119" s="19"/>
      <c r="O119" s="19"/>
      <c r="P119" s="19"/>
      <c r="Q119" s="19"/>
    </row>
    <row r="120" spans="2:17" hidden="1">
      <c r="B120" s="19"/>
      <c r="C120" s="19"/>
      <c r="D120" s="19"/>
      <c r="E120" s="19"/>
      <c r="F120" s="19"/>
      <c r="G120" s="19"/>
      <c r="H120" s="19"/>
      <c r="I120" s="19"/>
      <c r="J120" s="19"/>
      <c r="K120" s="421"/>
      <c r="L120" s="23"/>
      <c r="M120" s="19"/>
      <c r="N120" s="19"/>
      <c r="O120" s="19"/>
      <c r="P120" s="19"/>
      <c r="Q120" s="19"/>
    </row>
    <row r="121" spans="2:17" hidden="1">
      <c r="B121" s="19"/>
      <c r="C121" s="19"/>
      <c r="D121" s="19"/>
      <c r="E121" s="19"/>
      <c r="F121" s="19"/>
      <c r="G121" s="19"/>
      <c r="H121" s="19"/>
      <c r="I121" s="19"/>
      <c r="J121" s="19"/>
      <c r="K121" s="421"/>
      <c r="L121" s="23"/>
      <c r="M121" s="19"/>
      <c r="N121" s="19"/>
      <c r="O121" s="19"/>
      <c r="P121" s="19"/>
      <c r="Q121" s="19"/>
    </row>
    <row r="122" spans="2:17" hidden="1">
      <c r="B122" s="19"/>
      <c r="C122" s="19"/>
      <c r="D122" s="19"/>
      <c r="E122" s="19"/>
      <c r="F122" s="19"/>
      <c r="G122" s="19"/>
      <c r="H122" s="19"/>
      <c r="I122" s="19"/>
      <c r="J122" s="19"/>
      <c r="K122" s="421"/>
      <c r="L122" s="23"/>
      <c r="M122" s="19"/>
      <c r="N122" s="19"/>
      <c r="O122" s="19"/>
      <c r="P122" s="19"/>
      <c r="Q122" s="19"/>
    </row>
    <row r="123" spans="2:17" hidden="1">
      <c r="B123" s="19"/>
      <c r="C123" s="19"/>
      <c r="D123" s="19"/>
      <c r="E123" s="19"/>
      <c r="F123" s="19"/>
      <c r="G123" s="19"/>
      <c r="H123" s="19"/>
      <c r="I123" s="19"/>
      <c r="J123" s="19"/>
      <c r="K123" s="421"/>
      <c r="L123" s="23"/>
      <c r="M123" s="19"/>
      <c r="N123" s="19"/>
      <c r="O123" s="19"/>
      <c r="P123" s="19"/>
      <c r="Q123" s="19"/>
    </row>
    <row r="124" spans="2:17" hidden="1">
      <c r="B124" s="19"/>
      <c r="C124" s="19"/>
      <c r="D124" s="19"/>
      <c r="E124" s="19"/>
      <c r="F124" s="19"/>
      <c r="G124" s="19"/>
      <c r="H124" s="19"/>
      <c r="I124" s="19"/>
      <c r="J124" s="19"/>
      <c r="K124" s="421"/>
      <c r="L124" s="23"/>
      <c r="M124" s="19"/>
      <c r="N124" s="19"/>
      <c r="O124" s="19"/>
      <c r="P124" s="19"/>
      <c r="Q124" s="19"/>
    </row>
    <row r="125" spans="2:17" hidden="1">
      <c r="B125" s="19"/>
      <c r="C125" s="19"/>
      <c r="D125" s="19"/>
      <c r="E125" s="19"/>
      <c r="F125" s="19"/>
      <c r="G125" s="19"/>
      <c r="H125" s="19"/>
      <c r="I125" s="19"/>
      <c r="J125" s="19"/>
      <c r="K125" s="421"/>
      <c r="L125" s="23"/>
      <c r="M125" s="19"/>
      <c r="N125" s="19"/>
      <c r="O125" s="19"/>
      <c r="P125" s="19"/>
      <c r="Q125" s="19"/>
    </row>
    <row r="126" spans="2:17" hidden="1">
      <c r="B126" s="19"/>
      <c r="C126" s="19"/>
      <c r="D126" s="19"/>
      <c r="E126" s="19"/>
      <c r="F126" s="19"/>
      <c r="G126" s="19"/>
      <c r="H126" s="19"/>
      <c r="I126" s="19"/>
      <c r="J126" s="19"/>
      <c r="K126" s="421"/>
      <c r="L126" s="23"/>
      <c r="M126" s="19"/>
      <c r="N126" s="19"/>
      <c r="O126" s="19"/>
      <c r="P126" s="19"/>
      <c r="Q126" s="19"/>
    </row>
    <row r="127" spans="2:17" hidden="1">
      <c r="B127" s="19"/>
      <c r="C127" s="19"/>
      <c r="D127" s="19"/>
      <c r="E127" s="19"/>
      <c r="F127" s="19"/>
      <c r="G127" s="19"/>
      <c r="H127" s="19"/>
      <c r="I127" s="19"/>
      <c r="J127" s="19"/>
      <c r="K127" s="421"/>
      <c r="L127" s="23"/>
      <c r="M127" s="19"/>
      <c r="N127" s="19"/>
      <c r="O127" s="19"/>
      <c r="P127" s="19"/>
      <c r="Q127" s="19"/>
    </row>
    <row r="128" spans="2:17" hidden="1">
      <c r="B128" s="19"/>
      <c r="C128" s="19"/>
      <c r="D128" s="19"/>
      <c r="E128" s="19"/>
      <c r="F128" s="19"/>
      <c r="G128" s="19"/>
      <c r="H128" s="19"/>
      <c r="I128" s="19"/>
      <c r="J128" s="19"/>
      <c r="K128" s="421"/>
      <c r="L128" s="23"/>
      <c r="M128" s="19"/>
      <c r="N128" s="19"/>
      <c r="O128" s="19"/>
      <c r="P128" s="19"/>
      <c r="Q128" s="19"/>
    </row>
    <row r="129" spans="2:17" hidden="1">
      <c r="B129" s="19"/>
      <c r="C129" s="19"/>
      <c r="D129" s="19"/>
      <c r="E129" s="19"/>
      <c r="F129" s="19"/>
      <c r="G129" s="19"/>
      <c r="H129" s="19"/>
      <c r="I129" s="19"/>
      <c r="J129" s="19"/>
      <c r="K129" s="421"/>
      <c r="L129" s="23"/>
      <c r="M129" s="19"/>
      <c r="N129" s="19"/>
      <c r="O129" s="19"/>
      <c r="P129" s="19"/>
      <c r="Q129" s="19"/>
    </row>
    <row r="130" spans="2:17" hidden="1">
      <c r="B130" s="19"/>
      <c r="C130" s="19"/>
      <c r="D130" s="19"/>
      <c r="E130" s="19"/>
      <c r="F130" s="19"/>
      <c r="G130" s="19"/>
      <c r="H130" s="19"/>
      <c r="I130" s="19"/>
      <c r="J130" s="19"/>
      <c r="K130" s="421"/>
      <c r="L130" s="23"/>
      <c r="M130" s="19"/>
      <c r="N130" s="19"/>
      <c r="O130" s="19"/>
      <c r="P130" s="19"/>
      <c r="Q130" s="19"/>
    </row>
    <row r="131" spans="2:17" hidden="1">
      <c r="B131" s="19"/>
      <c r="C131" s="19"/>
      <c r="D131" s="19"/>
      <c r="E131" s="19"/>
      <c r="F131" s="19"/>
      <c r="G131" s="19"/>
      <c r="H131" s="19"/>
      <c r="I131" s="19"/>
      <c r="J131" s="19"/>
      <c r="K131" s="421"/>
      <c r="L131" s="23"/>
      <c r="M131" s="19"/>
      <c r="N131" s="19"/>
      <c r="O131" s="19"/>
      <c r="P131" s="19"/>
      <c r="Q131" s="19"/>
    </row>
    <row r="132" spans="2:17" hidden="1">
      <c r="B132" s="19"/>
      <c r="C132" s="19"/>
      <c r="D132" s="19"/>
      <c r="E132" s="19"/>
      <c r="F132" s="19"/>
      <c r="G132" s="19"/>
      <c r="H132" s="19"/>
      <c r="I132" s="19"/>
      <c r="J132" s="19"/>
      <c r="K132" s="421"/>
      <c r="L132" s="23"/>
      <c r="M132" s="19"/>
      <c r="N132" s="19"/>
      <c r="O132" s="19"/>
      <c r="P132" s="19"/>
      <c r="Q132" s="19"/>
    </row>
    <row r="133" spans="2:17" hidden="1">
      <c r="B133" s="19"/>
      <c r="C133" s="19"/>
      <c r="D133" s="19"/>
      <c r="E133" s="19"/>
      <c r="F133" s="19"/>
      <c r="G133" s="19"/>
      <c r="H133" s="19"/>
      <c r="I133" s="19"/>
      <c r="J133" s="19"/>
      <c r="K133" s="421"/>
      <c r="L133" s="23"/>
      <c r="M133" s="19"/>
      <c r="N133" s="19"/>
      <c r="O133" s="19"/>
      <c r="P133" s="19"/>
      <c r="Q133" s="19"/>
    </row>
    <row r="134" spans="2:17" hidden="1">
      <c r="B134" s="19"/>
      <c r="C134" s="19"/>
      <c r="D134" s="19"/>
      <c r="E134" s="19"/>
      <c r="F134" s="19"/>
      <c r="G134" s="19"/>
      <c r="H134" s="19"/>
      <c r="I134" s="19"/>
      <c r="J134" s="19"/>
      <c r="K134" s="421"/>
      <c r="L134" s="23"/>
      <c r="M134" s="19"/>
      <c r="N134" s="19"/>
      <c r="O134" s="19"/>
      <c r="P134" s="19"/>
      <c r="Q134" s="19"/>
    </row>
    <row r="135" spans="2:17" hidden="1">
      <c r="B135" s="19"/>
      <c r="C135" s="19"/>
      <c r="D135" s="19"/>
      <c r="E135" s="19"/>
      <c r="F135" s="19"/>
      <c r="G135" s="19"/>
      <c r="H135" s="19"/>
      <c r="I135" s="19"/>
      <c r="J135" s="19"/>
      <c r="K135" s="421"/>
      <c r="L135" s="23"/>
      <c r="M135" s="19"/>
      <c r="N135" s="19"/>
      <c r="O135" s="19"/>
      <c r="P135" s="19"/>
      <c r="Q135" s="19"/>
    </row>
    <row r="136" spans="2:17" hidden="1">
      <c r="B136" s="19"/>
      <c r="C136" s="19"/>
      <c r="D136" s="19"/>
      <c r="E136" s="19"/>
      <c r="F136" s="19"/>
      <c r="G136" s="19"/>
      <c r="H136" s="19"/>
      <c r="I136" s="19"/>
      <c r="J136" s="19"/>
      <c r="K136" s="421"/>
      <c r="L136" s="23"/>
      <c r="M136" s="19"/>
      <c r="N136" s="19"/>
      <c r="O136" s="19"/>
      <c r="P136" s="19"/>
      <c r="Q136" s="19"/>
    </row>
    <row r="137" spans="2:17" hidden="1">
      <c r="B137" s="19"/>
      <c r="C137" s="19"/>
      <c r="D137" s="19"/>
      <c r="E137" s="19"/>
      <c r="F137" s="19"/>
      <c r="G137" s="19"/>
      <c r="H137" s="19"/>
      <c r="I137" s="19"/>
      <c r="J137" s="19"/>
      <c r="K137" s="421"/>
      <c r="L137" s="23"/>
      <c r="M137" s="19"/>
      <c r="N137" s="19"/>
      <c r="O137" s="19"/>
      <c r="P137" s="19"/>
      <c r="Q137" s="19"/>
    </row>
    <row r="138" spans="2:17" hidden="1">
      <c r="B138" s="19"/>
      <c r="C138" s="19"/>
      <c r="D138" s="19"/>
      <c r="E138" s="19"/>
      <c r="F138" s="19"/>
      <c r="G138" s="19"/>
      <c r="H138" s="19"/>
      <c r="I138" s="19"/>
      <c r="J138" s="19"/>
      <c r="K138" s="421"/>
      <c r="L138" s="23"/>
      <c r="M138" s="19"/>
      <c r="N138" s="19"/>
      <c r="O138" s="19"/>
      <c r="P138" s="19"/>
      <c r="Q138" s="19"/>
    </row>
    <row r="139" spans="2:17" hidden="1">
      <c r="B139" s="19"/>
      <c r="C139" s="19"/>
      <c r="D139" s="19"/>
      <c r="E139" s="19"/>
      <c r="F139" s="19"/>
      <c r="G139" s="19"/>
      <c r="H139" s="19"/>
      <c r="I139" s="19"/>
      <c r="J139" s="19"/>
      <c r="K139" s="421"/>
      <c r="L139" s="23"/>
      <c r="M139" s="19"/>
      <c r="N139" s="19"/>
      <c r="O139" s="19"/>
      <c r="P139" s="19"/>
      <c r="Q139" s="19"/>
    </row>
    <row r="140" spans="2:17" hidden="1">
      <c r="B140" s="19"/>
      <c r="C140" s="19"/>
      <c r="D140" s="19"/>
      <c r="E140" s="19"/>
      <c r="F140" s="19"/>
      <c r="G140" s="19"/>
      <c r="H140" s="19"/>
      <c r="I140" s="19"/>
      <c r="J140" s="19"/>
      <c r="K140" s="421"/>
      <c r="L140" s="23"/>
      <c r="M140" s="19"/>
      <c r="N140" s="19"/>
      <c r="O140" s="19"/>
      <c r="P140" s="19"/>
      <c r="Q140" s="19"/>
    </row>
    <row r="141" spans="2:17" hidden="1">
      <c r="B141" s="19"/>
      <c r="C141" s="19"/>
      <c r="D141" s="19"/>
      <c r="E141" s="19"/>
      <c r="F141" s="19"/>
      <c r="G141" s="19"/>
      <c r="H141" s="19"/>
      <c r="I141" s="19"/>
      <c r="J141" s="19"/>
      <c r="K141" s="421"/>
      <c r="L141" s="23"/>
      <c r="M141" s="19"/>
      <c r="N141" s="19"/>
      <c r="O141" s="19"/>
      <c r="P141" s="19"/>
      <c r="Q141" s="19"/>
    </row>
    <row r="142" spans="2:17" hidden="1">
      <c r="B142" s="19"/>
      <c r="C142" s="19"/>
      <c r="D142" s="19"/>
      <c r="E142" s="19"/>
      <c r="F142" s="19"/>
      <c r="G142" s="19"/>
      <c r="H142" s="19"/>
      <c r="I142" s="19"/>
      <c r="J142" s="19"/>
      <c r="K142" s="421"/>
      <c r="L142" s="23"/>
      <c r="M142" s="19"/>
      <c r="N142" s="19"/>
      <c r="O142" s="19"/>
      <c r="P142" s="19"/>
      <c r="Q142" s="19"/>
    </row>
    <row r="143" spans="2:17" hidden="1">
      <c r="B143" s="19"/>
      <c r="C143" s="19"/>
      <c r="D143" s="19"/>
      <c r="E143" s="19"/>
      <c r="F143" s="19"/>
      <c r="G143" s="19"/>
      <c r="H143" s="19"/>
      <c r="I143" s="19"/>
      <c r="J143" s="19"/>
      <c r="K143" s="421"/>
      <c r="L143" s="23"/>
      <c r="M143" s="19"/>
      <c r="N143" s="19"/>
      <c r="O143" s="19"/>
      <c r="P143" s="19"/>
      <c r="Q143" s="19"/>
    </row>
    <row r="144" spans="2:17" hidden="1">
      <c r="B144" s="19"/>
      <c r="C144" s="19"/>
      <c r="D144" s="19"/>
      <c r="E144" s="19"/>
      <c r="F144" s="19"/>
      <c r="G144" s="19"/>
      <c r="H144" s="19"/>
      <c r="I144" s="19"/>
      <c r="J144" s="19"/>
      <c r="K144" s="421"/>
      <c r="L144" s="23"/>
      <c r="M144" s="19"/>
      <c r="N144" s="19"/>
      <c r="O144" s="19"/>
      <c r="P144" s="19"/>
      <c r="Q144" s="19"/>
    </row>
    <row r="145" spans="2:17" hidden="1">
      <c r="B145" s="19"/>
      <c r="C145" s="19"/>
      <c r="D145" s="19"/>
      <c r="E145" s="19"/>
      <c r="F145" s="19"/>
      <c r="G145" s="19"/>
      <c r="H145" s="19"/>
      <c r="I145" s="19"/>
      <c r="J145" s="19"/>
      <c r="K145" s="421"/>
      <c r="L145" s="23"/>
      <c r="M145" s="19"/>
      <c r="N145" s="19"/>
      <c r="O145" s="19"/>
      <c r="P145" s="19"/>
      <c r="Q145" s="19"/>
    </row>
    <row r="146" spans="2:17" hidden="1">
      <c r="B146" s="19"/>
      <c r="C146" s="19"/>
      <c r="D146" s="19"/>
      <c r="E146" s="19"/>
      <c r="F146" s="19"/>
      <c r="G146" s="19"/>
      <c r="H146" s="19"/>
      <c r="I146" s="19"/>
      <c r="J146" s="19"/>
      <c r="K146" s="421"/>
      <c r="L146" s="23"/>
      <c r="M146" s="19"/>
      <c r="N146" s="19"/>
      <c r="O146" s="19"/>
      <c r="P146" s="19"/>
      <c r="Q146" s="19"/>
    </row>
    <row r="147" spans="2:17" hidden="1">
      <c r="B147" s="19"/>
      <c r="C147" s="19"/>
      <c r="D147" s="19"/>
      <c r="E147" s="19"/>
      <c r="F147" s="19"/>
      <c r="G147" s="19"/>
      <c r="H147" s="19"/>
      <c r="I147" s="19"/>
      <c r="J147" s="19"/>
      <c r="K147" s="421"/>
      <c r="L147" s="23"/>
      <c r="M147" s="19"/>
      <c r="N147" s="19"/>
      <c r="O147" s="19"/>
      <c r="P147" s="19"/>
      <c r="Q147" s="19"/>
    </row>
    <row r="148" spans="2:17" hidden="1">
      <c r="B148" s="19"/>
      <c r="C148" s="19"/>
      <c r="D148" s="19"/>
      <c r="E148" s="19"/>
      <c r="F148" s="19"/>
      <c r="G148" s="19"/>
      <c r="H148" s="19"/>
      <c r="I148" s="19"/>
      <c r="J148" s="19"/>
      <c r="K148" s="421"/>
      <c r="L148" s="23"/>
      <c r="M148" s="19"/>
      <c r="N148" s="19"/>
      <c r="O148" s="19"/>
      <c r="P148" s="19"/>
      <c r="Q148" s="19"/>
    </row>
    <row r="149" spans="2:17" hidden="1">
      <c r="B149" s="19"/>
      <c r="C149" s="19"/>
      <c r="D149" s="19"/>
      <c r="E149" s="19"/>
      <c r="F149" s="19"/>
      <c r="G149" s="19"/>
      <c r="H149" s="19"/>
      <c r="I149" s="19"/>
      <c r="J149" s="19"/>
      <c r="K149" s="421"/>
      <c r="L149" s="23"/>
      <c r="M149" s="19"/>
      <c r="N149" s="19"/>
      <c r="O149" s="19"/>
      <c r="P149" s="19"/>
      <c r="Q149" s="19"/>
    </row>
    <row r="150" spans="2:17" hidden="1">
      <c r="B150" s="19"/>
      <c r="C150" s="19"/>
      <c r="D150" s="19"/>
      <c r="E150" s="19"/>
      <c r="F150" s="19"/>
      <c r="G150" s="19"/>
      <c r="H150" s="19"/>
      <c r="I150" s="19"/>
      <c r="J150" s="19"/>
      <c r="K150" s="421"/>
      <c r="L150" s="23"/>
      <c r="M150" s="19"/>
      <c r="N150" s="19"/>
      <c r="O150" s="19"/>
      <c r="P150" s="19"/>
      <c r="Q150" s="19"/>
    </row>
    <row r="151" spans="2:17" hidden="1">
      <c r="B151" s="19"/>
      <c r="C151" s="19"/>
      <c r="D151" s="19"/>
      <c r="E151" s="19"/>
      <c r="F151" s="19"/>
      <c r="G151" s="19"/>
      <c r="H151" s="19"/>
      <c r="I151" s="19"/>
      <c r="J151" s="19"/>
      <c r="K151" s="421"/>
      <c r="L151" s="23"/>
      <c r="M151" s="19"/>
      <c r="N151" s="19"/>
      <c r="O151" s="19"/>
      <c r="P151" s="19"/>
      <c r="Q151" s="19"/>
    </row>
    <row r="152" spans="2:17" hidden="1">
      <c r="B152" s="19"/>
      <c r="C152" s="19"/>
      <c r="D152" s="19"/>
      <c r="E152" s="19"/>
      <c r="F152" s="19"/>
      <c r="G152" s="19"/>
      <c r="H152" s="19"/>
      <c r="I152" s="19"/>
      <c r="J152" s="19"/>
      <c r="K152" s="421"/>
      <c r="L152" s="23"/>
      <c r="M152" s="19"/>
      <c r="N152" s="19"/>
      <c r="O152" s="19"/>
      <c r="P152" s="19"/>
      <c r="Q152" s="19"/>
    </row>
    <row r="153" spans="2:17" hidden="1">
      <c r="B153" s="19"/>
      <c r="C153" s="19"/>
      <c r="D153" s="19"/>
      <c r="E153" s="19"/>
      <c r="F153" s="19"/>
      <c r="G153" s="19"/>
      <c r="H153" s="19"/>
      <c r="I153" s="19"/>
      <c r="J153" s="19"/>
      <c r="K153" s="421"/>
      <c r="L153" s="23"/>
      <c r="M153" s="19"/>
      <c r="N153" s="19"/>
      <c r="O153" s="19"/>
      <c r="P153" s="19"/>
      <c r="Q153" s="19"/>
    </row>
    <row r="154" spans="2:17" hidden="1">
      <c r="B154" s="19"/>
      <c r="C154" s="19"/>
      <c r="D154" s="19"/>
      <c r="E154" s="19"/>
      <c r="F154" s="19"/>
      <c r="G154" s="19"/>
      <c r="H154" s="19"/>
      <c r="I154" s="19"/>
      <c r="J154" s="19"/>
      <c r="K154" s="421"/>
      <c r="L154" s="23"/>
      <c r="M154" s="19"/>
      <c r="N154" s="19"/>
      <c r="O154" s="19"/>
      <c r="P154" s="19"/>
      <c r="Q154" s="19"/>
    </row>
    <row r="155" spans="2:17" hidden="1">
      <c r="B155" s="19"/>
      <c r="C155" s="19"/>
      <c r="D155" s="19"/>
      <c r="E155" s="19"/>
      <c r="F155" s="19"/>
      <c r="G155" s="19"/>
      <c r="H155" s="19"/>
      <c r="I155" s="19"/>
      <c r="J155" s="19"/>
      <c r="K155" s="421"/>
      <c r="L155" s="23"/>
      <c r="M155" s="19"/>
      <c r="N155" s="19"/>
      <c r="O155" s="19"/>
      <c r="P155" s="19"/>
      <c r="Q155" s="19"/>
    </row>
    <row r="156" spans="2:17" hidden="1">
      <c r="B156" s="19"/>
      <c r="C156" s="19"/>
      <c r="D156" s="19"/>
      <c r="E156" s="19"/>
      <c r="F156" s="19"/>
      <c r="G156" s="19"/>
      <c r="H156" s="19"/>
      <c r="I156" s="19"/>
      <c r="J156" s="19"/>
      <c r="K156" s="421"/>
      <c r="L156" s="23"/>
      <c r="M156" s="19"/>
      <c r="N156" s="19"/>
      <c r="O156" s="19"/>
      <c r="P156" s="19"/>
      <c r="Q156" s="19"/>
    </row>
    <row r="157" spans="2:17" hidden="1">
      <c r="B157" s="19"/>
      <c r="C157" s="19"/>
      <c r="D157" s="19"/>
      <c r="E157" s="19"/>
      <c r="F157" s="19"/>
      <c r="G157" s="19"/>
      <c r="H157" s="19"/>
      <c r="I157" s="19"/>
      <c r="J157" s="19"/>
      <c r="K157" s="421"/>
      <c r="L157" s="23"/>
      <c r="M157" s="19"/>
      <c r="N157" s="19"/>
      <c r="O157" s="19"/>
      <c r="P157" s="19"/>
      <c r="Q157" s="19"/>
    </row>
    <row r="158" spans="2:17" hidden="1">
      <c r="B158" s="19"/>
      <c r="C158" s="19"/>
      <c r="D158" s="19"/>
      <c r="E158" s="19"/>
      <c r="F158" s="19"/>
      <c r="G158" s="19"/>
      <c r="H158" s="19"/>
      <c r="I158" s="19"/>
      <c r="J158" s="19"/>
      <c r="K158" s="421"/>
      <c r="L158" s="23"/>
      <c r="M158" s="19"/>
      <c r="N158" s="19"/>
      <c r="O158" s="19"/>
      <c r="P158" s="19"/>
      <c r="Q158" s="19"/>
    </row>
    <row r="159" spans="2:17" hidden="1">
      <c r="B159" s="19"/>
      <c r="C159" s="19"/>
      <c r="D159" s="19"/>
      <c r="E159" s="19"/>
      <c r="F159" s="19"/>
      <c r="G159" s="19"/>
      <c r="H159" s="19"/>
      <c r="I159" s="19"/>
      <c r="J159" s="19"/>
      <c r="K159" s="421"/>
      <c r="L159" s="23"/>
      <c r="M159" s="19"/>
      <c r="N159" s="19"/>
      <c r="O159" s="19"/>
      <c r="P159" s="19"/>
      <c r="Q159" s="19"/>
    </row>
    <row r="160" spans="2:17" hidden="1">
      <c r="B160" s="19"/>
      <c r="C160" s="19"/>
      <c r="D160" s="19"/>
      <c r="E160" s="19"/>
      <c r="F160" s="19"/>
      <c r="G160" s="19"/>
      <c r="H160" s="19"/>
      <c r="I160" s="19"/>
      <c r="J160" s="19"/>
      <c r="K160" s="421"/>
      <c r="L160" s="23"/>
      <c r="M160" s="19"/>
      <c r="N160" s="19"/>
      <c r="O160" s="19"/>
      <c r="P160" s="19"/>
      <c r="Q160" s="19"/>
    </row>
    <row r="161" spans="2:17" hidden="1">
      <c r="B161" s="19"/>
      <c r="C161" s="19"/>
      <c r="D161" s="19"/>
      <c r="E161" s="19"/>
      <c r="F161" s="19"/>
      <c r="G161" s="19"/>
      <c r="H161" s="19"/>
      <c r="I161" s="19"/>
      <c r="J161" s="19"/>
      <c r="K161" s="421"/>
      <c r="L161" s="23"/>
      <c r="M161" s="19"/>
      <c r="N161" s="19"/>
      <c r="O161" s="19"/>
      <c r="P161" s="19"/>
      <c r="Q161" s="19"/>
    </row>
    <row r="162" spans="2:17" hidden="1">
      <c r="B162" s="19"/>
      <c r="C162" s="19"/>
      <c r="D162" s="19"/>
      <c r="E162" s="19"/>
      <c r="F162" s="19"/>
      <c r="G162" s="19"/>
      <c r="H162" s="19"/>
      <c r="I162" s="19"/>
      <c r="J162" s="19"/>
      <c r="K162" s="421"/>
      <c r="L162" s="23"/>
      <c r="M162" s="19"/>
      <c r="N162" s="19"/>
      <c r="O162" s="19"/>
      <c r="P162" s="19"/>
      <c r="Q162" s="19"/>
    </row>
    <row r="163" spans="2:17" hidden="1">
      <c r="B163" s="19"/>
      <c r="C163" s="19"/>
      <c r="D163" s="19"/>
      <c r="E163" s="19"/>
      <c r="F163" s="19"/>
      <c r="G163" s="19"/>
      <c r="H163" s="19"/>
      <c r="I163" s="19"/>
      <c r="J163" s="19"/>
      <c r="K163" s="421"/>
      <c r="L163" s="23"/>
      <c r="M163" s="19"/>
      <c r="N163" s="19"/>
      <c r="O163" s="19"/>
      <c r="P163" s="19"/>
      <c r="Q163" s="19"/>
    </row>
    <row r="164" spans="2:17" hidden="1">
      <c r="B164" s="19"/>
      <c r="C164" s="19"/>
      <c r="D164" s="19"/>
      <c r="E164" s="19"/>
      <c r="F164" s="19"/>
      <c r="G164" s="19"/>
      <c r="H164" s="19"/>
      <c r="I164" s="19"/>
      <c r="J164" s="19"/>
      <c r="K164" s="421"/>
      <c r="L164" s="23"/>
      <c r="M164" s="19"/>
      <c r="N164" s="19"/>
      <c r="O164" s="19"/>
      <c r="P164" s="19"/>
      <c r="Q164" s="19"/>
    </row>
    <row r="165" spans="2:17" hidden="1">
      <c r="B165" s="19"/>
      <c r="C165" s="19"/>
      <c r="D165" s="19"/>
      <c r="E165" s="19"/>
      <c r="F165" s="19"/>
      <c r="G165" s="19"/>
      <c r="H165" s="19"/>
      <c r="I165" s="19"/>
      <c r="J165" s="19"/>
      <c r="K165" s="421"/>
      <c r="L165" s="23"/>
      <c r="M165" s="19"/>
      <c r="N165" s="19"/>
      <c r="O165" s="19"/>
      <c r="P165" s="19"/>
      <c r="Q165" s="19"/>
    </row>
    <row r="166" spans="2:17" hidden="1">
      <c r="B166" s="19"/>
      <c r="C166" s="19"/>
      <c r="D166" s="19"/>
      <c r="E166" s="19"/>
      <c r="F166" s="19"/>
      <c r="G166" s="19"/>
      <c r="H166" s="19"/>
      <c r="I166" s="19"/>
      <c r="J166" s="19"/>
      <c r="K166" s="421"/>
      <c r="L166" s="23"/>
      <c r="M166" s="19"/>
      <c r="N166" s="19"/>
      <c r="O166" s="19"/>
      <c r="P166" s="19"/>
      <c r="Q166" s="19"/>
    </row>
    <row r="167" spans="2:17" hidden="1">
      <c r="B167" s="19"/>
      <c r="C167" s="19"/>
      <c r="D167" s="19"/>
      <c r="E167" s="19"/>
      <c r="F167" s="19"/>
      <c r="G167" s="19"/>
      <c r="H167" s="19"/>
      <c r="I167" s="19"/>
      <c r="J167" s="19"/>
      <c r="K167" s="421"/>
      <c r="L167" s="23"/>
      <c r="M167" s="19"/>
      <c r="N167" s="19"/>
      <c r="O167" s="19"/>
      <c r="P167" s="19"/>
      <c r="Q167" s="19"/>
    </row>
    <row r="168" spans="2:17" hidden="1">
      <c r="B168" s="19"/>
      <c r="C168" s="19"/>
      <c r="D168" s="19"/>
      <c r="E168" s="19"/>
      <c r="F168" s="19"/>
      <c r="G168" s="19"/>
      <c r="H168" s="19"/>
      <c r="I168" s="19"/>
      <c r="J168" s="19"/>
      <c r="K168" s="421"/>
      <c r="L168" s="23"/>
      <c r="M168" s="19"/>
      <c r="N168" s="19"/>
      <c r="O168" s="19"/>
      <c r="P168" s="19"/>
      <c r="Q168" s="19"/>
    </row>
    <row r="169" spans="2:17" hidden="1">
      <c r="B169" s="19"/>
      <c r="C169" s="19"/>
      <c r="D169" s="19"/>
      <c r="E169" s="19"/>
      <c r="F169" s="19"/>
      <c r="G169" s="19"/>
      <c r="H169" s="19"/>
      <c r="I169" s="19"/>
      <c r="J169" s="19"/>
      <c r="K169" s="421"/>
      <c r="L169" s="23"/>
      <c r="M169" s="19"/>
      <c r="N169" s="19"/>
      <c r="O169" s="19"/>
      <c r="P169" s="19"/>
      <c r="Q169" s="19"/>
    </row>
    <row r="170" spans="2:17" hidden="1">
      <c r="B170" s="19"/>
      <c r="C170" s="19"/>
      <c r="D170" s="19"/>
      <c r="E170" s="19"/>
      <c r="F170" s="19"/>
      <c r="G170" s="19"/>
      <c r="H170" s="19"/>
      <c r="I170" s="19"/>
      <c r="J170" s="19"/>
      <c r="K170" s="421"/>
      <c r="L170" s="23"/>
      <c r="M170" s="19"/>
      <c r="N170" s="19"/>
      <c r="O170" s="19"/>
      <c r="P170" s="19"/>
      <c r="Q170" s="19"/>
    </row>
    <row r="171" spans="2:17" hidden="1">
      <c r="B171" s="19"/>
      <c r="C171" s="19"/>
      <c r="D171" s="19"/>
      <c r="E171" s="19"/>
      <c r="F171" s="19"/>
      <c r="G171" s="19"/>
      <c r="H171" s="19"/>
      <c r="I171" s="19"/>
      <c r="J171" s="19"/>
      <c r="K171" s="421"/>
      <c r="L171" s="23"/>
      <c r="M171" s="19"/>
      <c r="N171" s="19"/>
      <c r="O171" s="19"/>
      <c r="P171" s="19"/>
      <c r="Q171" s="19"/>
    </row>
    <row r="172" spans="2:17" hidden="1">
      <c r="B172" s="19"/>
      <c r="C172" s="19"/>
      <c r="D172" s="19"/>
      <c r="E172" s="19"/>
      <c r="F172" s="19"/>
      <c r="G172" s="19"/>
      <c r="H172" s="19"/>
      <c r="I172" s="19"/>
      <c r="J172" s="19"/>
      <c r="K172" s="421"/>
      <c r="L172" s="23"/>
      <c r="M172" s="19"/>
      <c r="N172" s="19"/>
      <c r="O172" s="19"/>
      <c r="P172" s="19"/>
      <c r="Q172" s="19"/>
    </row>
    <row r="173" spans="2:17" hidden="1">
      <c r="B173" s="19"/>
      <c r="C173" s="19"/>
      <c r="D173" s="19"/>
      <c r="E173" s="19"/>
      <c r="F173" s="19"/>
      <c r="G173" s="19"/>
      <c r="H173" s="19"/>
      <c r="I173" s="19"/>
      <c r="J173" s="19"/>
      <c r="K173" s="421"/>
      <c r="L173" s="23"/>
      <c r="M173" s="19"/>
      <c r="N173" s="19"/>
      <c r="O173" s="19"/>
      <c r="P173" s="19"/>
      <c r="Q173" s="19"/>
    </row>
    <row r="174" spans="2:17" hidden="1">
      <c r="B174" s="19"/>
      <c r="C174" s="19"/>
      <c r="D174" s="19"/>
      <c r="E174" s="19"/>
      <c r="F174" s="19"/>
      <c r="G174" s="19"/>
      <c r="H174" s="19"/>
      <c r="I174" s="19"/>
      <c r="J174" s="19"/>
      <c r="K174" s="421"/>
      <c r="L174" s="23"/>
      <c r="M174" s="19"/>
      <c r="N174" s="19"/>
      <c r="O174" s="19"/>
      <c r="P174" s="19"/>
      <c r="Q174" s="19"/>
    </row>
    <row r="175" spans="2:17" hidden="1">
      <c r="B175" s="19"/>
      <c r="C175" s="19"/>
      <c r="D175" s="19"/>
      <c r="E175" s="19"/>
      <c r="F175" s="19"/>
      <c r="G175" s="19"/>
      <c r="H175" s="19"/>
      <c r="I175" s="19"/>
      <c r="J175" s="19"/>
      <c r="K175" s="421"/>
      <c r="L175" s="23"/>
      <c r="M175" s="19"/>
      <c r="N175" s="19"/>
      <c r="O175" s="19"/>
      <c r="P175" s="19"/>
      <c r="Q175" s="19"/>
    </row>
    <row r="176" spans="2:17" hidden="1">
      <c r="B176" s="19"/>
      <c r="C176" s="19"/>
      <c r="D176" s="19"/>
      <c r="E176" s="19"/>
      <c r="F176" s="19"/>
      <c r="G176" s="19"/>
      <c r="H176" s="19"/>
      <c r="I176" s="19"/>
      <c r="J176" s="19"/>
      <c r="K176" s="421"/>
      <c r="L176" s="23"/>
      <c r="M176" s="19"/>
      <c r="N176" s="19"/>
      <c r="O176" s="19"/>
      <c r="P176" s="19"/>
      <c r="Q176" s="19"/>
    </row>
    <row r="177" spans="2:17" hidden="1">
      <c r="B177" s="19"/>
      <c r="C177" s="19"/>
      <c r="D177" s="19"/>
      <c r="E177" s="19"/>
      <c r="F177" s="19"/>
      <c r="G177" s="19"/>
      <c r="H177" s="19"/>
      <c r="I177" s="19"/>
      <c r="J177" s="19"/>
      <c r="K177" s="421"/>
      <c r="L177" s="23"/>
      <c r="M177" s="19"/>
      <c r="N177" s="19"/>
      <c r="O177" s="19"/>
      <c r="P177" s="19"/>
      <c r="Q177" s="19"/>
    </row>
    <row r="178" spans="2:17" hidden="1">
      <c r="B178" s="19"/>
      <c r="C178" s="19"/>
      <c r="D178" s="19"/>
      <c r="E178" s="19"/>
      <c r="F178" s="19"/>
      <c r="G178" s="19"/>
      <c r="H178" s="19"/>
      <c r="I178" s="19"/>
      <c r="J178" s="19"/>
      <c r="K178" s="421"/>
      <c r="L178" s="23"/>
      <c r="M178" s="19"/>
      <c r="N178" s="19"/>
      <c r="O178" s="19"/>
      <c r="P178" s="19"/>
      <c r="Q178" s="19"/>
    </row>
    <row r="179" spans="2:17" hidden="1">
      <c r="B179" s="19"/>
      <c r="C179" s="19"/>
      <c r="D179" s="19"/>
      <c r="E179" s="19"/>
      <c r="F179" s="19"/>
      <c r="G179" s="19"/>
      <c r="H179" s="19"/>
      <c r="I179" s="19"/>
      <c r="J179" s="19"/>
      <c r="K179" s="421"/>
      <c r="L179" s="23"/>
      <c r="M179" s="19"/>
      <c r="N179" s="19"/>
      <c r="O179" s="19"/>
      <c r="P179" s="19"/>
      <c r="Q179" s="19"/>
    </row>
    <row r="180" spans="2:17" hidden="1">
      <c r="B180" s="19"/>
      <c r="C180" s="19"/>
      <c r="D180" s="19"/>
      <c r="E180" s="19"/>
      <c r="F180" s="19"/>
      <c r="G180" s="19"/>
      <c r="H180" s="19"/>
      <c r="I180" s="19"/>
      <c r="J180" s="19"/>
      <c r="K180" s="421"/>
      <c r="L180" s="23"/>
      <c r="M180" s="19"/>
      <c r="N180" s="19"/>
      <c r="O180" s="19"/>
      <c r="P180" s="19"/>
      <c r="Q180" s="19"/>
    </row>
    <row r="181" spans="2:17" hidden="1">
      <c r="B181" s="19"/>
      <c r="C181" s="19"/>
      <c r="D181" s="19"/>
      <c r="E181" s="19"/>
      <c r="F181" s="19"/>
      <c r="G181" s="19"/>
      <c r="H181" s="19"/>
      <c r="I181" s="19"/>
      <c r="J181" s="19"/>
      <c r="K181" s="421"/>
      <c r="L181" s="23"/>
      <c r="M181" s="19"/>
      <c r="N181" s="19"/>
      <c r="O181" s="19"/>
      <c r="P181" s="19"/>
      <c r="Q181" s="19"/>
    </row>
    <row r="182" spans="2:17" hidden="1">
      <c r="B182" s="19"/>
      <c r="C182" s="19"/>
      <c r="D182" s="19"/>
      <c r="E182" s="19"/>
      <c r="F182" s="19"/>
      <c r="G182" s="19"/>
      <c r="H182" s="19"/>
      <c r="I182" s="19"/>
      <c r="J182" s="19"/>
      <c r="K182" s="421"/>
      <c r="L182" s="23"/>
      <c r="M182" s="19"/>
      <c r="N182" s="19"/>
      <c r="O182" s="19"/>
      <c r="P182" s="19"/>
      <c r="Q182" s="19"/>
    </row>
    <row r="183" spans="2:17" hidden="1">
      <c r="B183" s="19"/>
      <c r="C183" s="19"/>
      <c r="D183" s="19"/>
      <c r="E183" s="19"/>
      <c r="F183" s="19"/>
      <c r="G183" s="19"/>
      <c r="H183" s="19"/>
      <c r="I183" s="19"/>
      <c r="J183" s="19"/>
      <c r="K183" s="421"/>
      <c r="L183" s="23"/>
      <c r="M183" s="19"/>
      <c r="N183" s="19"/>
      <c r="O183" s="19"/>
      <c r="P183" s="19"/>
      <c r="Q183" s="19"/>
    </row>
    <row r="184" spans="2:17" hidden="1">
      <c r="B184" s="19"/>
      <c r="C184" s="19"/>
      <c r="D184" s="19"/>
      <c r="E184" s="19"/>
      <c r="F184" s="19"/>
      <c r="G184" s="19"/>
      <c r="H184" s="19"/>
      <c r="I184" s="19"/>
      <c r="J184" s="19"/>
      <c r="K184" s="421"/>
      <c r="L184" s="23"/>
      <c r="M184" s="19"/>
      <c r="N184" s="19"/>
      <c r="O184" s="19"/>
      <c r="P184" s="19"/>
      <c r="Q184" s="19"/>
    </row>
    <row r="185" spans="2:17" hidden="1">
      <c r="B185" s="19"/>
      <c r="C185" s="19"/>
      <c r="D185" s="19"/>
      <c r="E185" s="19"/>
      <c r="F185" s="19"/>
      <c r="G185" s="19"/>
      <c r="H185" s="19"/>
      <c r="I185" s="19"/>
      <c r="J185" s="19"/>
      <c r="K185" s="421"/>
      <c r="L185" s="23"/>
      <c r="M185" s="19"/>
      <c r="N185" s="19"/>
      <c r="O185" s="19"/>
      <c r="P185" s="19"/>
      <c r="Q185" s="19"/>
    </row>
    <row r="186" spans="2:17" hidden="1">
      <c r="B186" s="19"/>
      <c r="C186" s="19"/>
      <c r="D186" s="19"/>
      <c r="E186" s="19"/>
      <c r="F186" s="19"/>
      <c r="G186" s="19"/>
      <c r="H186" s="19"/>
      <c r="I186" s="19"/>
      <c r="J186" s="19"/>
      <c r="K186" s="421"/>
      <c r="L186" s="23"/>
      <c r="M186" s="19"/>
      <c r="N186" s="19"/>
      <c r="O186" s="19"/>
      <c r="P186" s="19"/>
      <c r="Q186" s="19"/>
    </row>
    <row r="187" spans="2:17" hidden="1">
      <c r="B187" s="19"/>
      <c r="C187" s="19"/>
      <c r="D187" s="19"/>
      <c r="E187" s="19"/>
      <c r="F187" s="19"/>
      <c r="G187" s="19"/>
      <c r="H187" s="19"/>
      <c r="I187" s="19"/>
      <c r="J187" s="19"/>
      <c r="K187" s="421"/>
      <c r="L187" s="23"/>
      <c r="M187" s="19"/>
      <c r="N187" s="19"/>
      <c r="O187" s="19"/>
      <c r="P187" s="19"/>
      <c r="Q187" s="19"/>
    </row>
    <row r="188" spans="2:17" hidden="1">
      <c r="B188" s="19"/>
      <c r="C188" s="19"/>
      <c r="D188" s="19"/>
      <c r="E188" s="19"/>
      <c r="F188" s="19"/>
      <c r="G188" s="19"/>
      <c r="H188" s="19"/>
      <c r="I188" s="19"/>
      <c r="J188" s="19"/>
      <c r="K188" s="421"/>
      <c r="L188" s="23"/>
      <c r="M188" s="19"/>
      <c r="N188" s="19"/>
      <c r="O188" s="19"/>
      <c r="P188" s="19"/>
      <c r="Q188" s="19"/>
    </row>
    <row r="189" spans="2:17" hidden="1">
      <c r="B189" s="19"/>
      <c r="C189" s="19"/>
      <c r="D189" s="19"/>
      <c r="E189" s="19"/>
      <c r="F189" s="19"/>
      <c r="G189" s="19"/>
      <c r="H189" s="19"/>
      <c r="I189" s="19"/>
      <c r="J189" s="19"/>
      <c r="K189" s="421"/>
      <c r="L189" s="23"/>
      <c r="M189" s="19"/>
      <c r="N189" s="19"/>
      <c r="O189" s="19"/>
      <c r="P189" s="19"/>
      <c r="Q189" s="19"/>
    </row>
    <row r="190" spans="2:17" hidden="1">
      <c r="B190" s="19"/>
      <c r="C190" s="19"/>
      <c r="D190" s="19"/>
      <c r="E190" s="19"/>
      <c r="F190" s="19"/>
      <c r="G190" s="19"/>
      <c r="H190" s="19"/>
      <c r="I190" s="19"/>
      <c r="J190" s="19"/>
      <c r="K190" s="421"/>
      <c r="L190" s="23"/>
      <c r="M190" s="19"/>
      <c r="N190" s="19"/>
      <c r="O190" s="19"/>
      <c r="P190" s="19"/>
      <c r="Q190" s="19"/>
    </row>
    <row r="191" spans="2:17" hidden="1">
      <c r="B191" s="19"/>
      <c r="C191" s="19"/>
      <c r="D191" s="19"/>
      <c r="E191" s="19"/>
      <c r="F191" s="19"/>
      <c r="G191" s="19"/>
      <c r="H191" s="19"/>
      <c r="I191" s="19"/>
      <c r="J191" s="19"/>
      <c r="K191" s="421"/>
      <c r="L191" s="23"/>
      <c r="M191" s="19"/>
      <c r="N191" s="19"/>
      <c r="O191" s="19"/>
      <c r="P191" s="19"/>
      <c r="Q191" s="19"/>
    </row>
    <row r="192" spans="2:17" hidden="1">
      <c r="B192" s="19"/>
      <c r="C192" s="19"/>
      <c r="D192" s="19"/>
      <c r="E192" s="19"/>
      <c r="F192" s="19"/>
      <c r="G192" s="19"/>
      <c r="H192" s="19"/>
      <c r="I192" s="19"/>
      <c r="J192" s="19"/>
      <c r="K192" s="421"/>
      <c r="L192" s="23"/>
      <c r="M192" s="19"/>
      <c r="N192" s="19"/>
      <c r="O192" s="19"/>
      <c r="P192" s="19"/>
      <c r="Q192" s="19"/>
    </row>
    <row r="193" spans="2:17" hidden="1">
      <c r="B193" s="19"/>
      <c r="C193" s="19"/>
      <c r="D193" s="19"/>
      <c r="E193" s="19"/>
      <c r="F193" s="19"/>
      <c r="G193" s="19"/>
      <c r="H193" s="19"/>
      <c r="I193" s="19"/>
      <c r="J193" s="19"/>
      <c r="K193" s="421"/>
      <c r="L193" s="23"/>
      <c r="M193" s="19"/>
      <c r="N193" s="19"/>
      <c r="O193" s="19"/>
      <c r="P193" s="19"/>
      <c r="Q193" s="19"/>
    </row>
    <row r="194" spans="2:17" hidden="1">
      <c r="B194" s="19"/>
      <c r="C194" s="19"/>
      <c r="D194" s="19"/>
      <c r="E194" s="19"/>
      <c r="F194" s="19"/>
      <c r="G194" s="19"/>
      <c r="H194" s="19"/>
      <c r="I194" s="19"/>
      <c r="J194" s="19"/>
      <c r="K194" s="421"/>
      <c r="L194" s="23"/>
      <c r="M194" s="19"/>
      <c r="N194" s="19"/>
      <c r="O194" s="19"/>
      <c r="P194" s="19"/>
      <c r="Q194" s="19"/>
    </row>
    <row r="195" spans="2:17" hidden="1">
      <c r="B195" s="19"/>
      <c r="C195" s="19"/>
      <c r="D195" s="19"/>
      <c r="E195" s="19"/>
      <c r="F195" s="19"/>
      <c r="G195" s="19"/>
      <c r="H195" s="19"/>
      <c r="I195" s="19"/>
      <c r="J195" s="19"/>
      <c r="K195" s="421"/>
      <c r="L195" s="23"/>
      <c r="M195" s="19"/>
      <c r="N195" s="19"/>
      <c r="O195" s="19"/>
      <c r="P195" s="19"/>
      <c r="Q195" s="19"/>
    </row>
    <row r="196" spans="2:17" hidden="1">
      <c r="B196" s="19"/>
      <c r="C196" s="19"/>
      <c r="D196" s="19"/>
      <c r="E196" s="19"/>
      <c r="F196" s="19"/>
      <c r="G196" s="19"/>
      <c r="H196" s="19"/>
      <c r="I196" s="19"/>
      <c r="J196" s="19"/>
      <c r="K196" s="421"/>
      <c r="L196" s="23"/>
      <c r="M196" s="19"/>
      <c r="N196" s="19"/>
      <c r="O196" s="19"/>
      <c r="P196" s="19"/>
      <c r="Q196" s="19"/>
    </row>
    <row r="197" spans="2:17" hidden="1">
      <c r="B197" s="19"/>
      <c r="C197" s="19"/>
      <c r="D197" s="19"/>
      <c r="E197" s="19"/>
      <c r="F197" s="19"/>
      <c r="G197" s="19"/>
      <c r="H197" s="19"/>
      <c r="I197" s="19"/>
      <c r="J197" s="19"/>
      <c r="K197" s="421"/>
      <c r="L197" s="23"/>
      <c r="M197" s="19"/>
      <c r="N197" s="19"/>
      <c r="O197" s="19"/>
      <c r="P197" s="19"/>
      <c r="Q197" s="19"/>
    </row>
    <row r="198" spans="2:17" hidden="1">
      <c r="B198" s="19"/>
      <c r="C198" s="19"/>
      <c r="D198" s="19"/>
      <c r="E198" s="19"/>
      <c r="F198" s="19"/>
      <c r="G198" s="19"/>
      <c r="H198" s="19"/>
      <c r="I198" s="19"/>
      <c r="J198" s="19"/>
      <c r="K198" s="421"/>
      <c r="L198" s="23"/>
      <c r="M198" s="19"/>
      <c r="N198" s="19"/>
      <c r="O198" s="19"/>
      <c r="P198" s="19"/>
      <c r="Q198" s="19"/>
    </row>
    <row r="199" spans="2:17" hidden="1">
      <c r="B199" s="19"/>
      <c r="C199" s="19"/>
      <c r="D199" s="19"/>
      <c r="E199" s="19"/>
      <c r="F199" s="19"/>
      <c r="G199" s="19"/>
      <c r="H199" s="19"/>
      <c r="I199" s="19"/>
      <c r="J199" s="19"/>
      <c r="K199" s="421"/>
      <c r="L199" s="23"/>
      <c r="M199" s="19"/>
      <c r="N199" s="19"/>
      <c r="O199" s="19"/>
      <c r="P199" s="19"/>
      <c r="Q199" s="19"/>
    </row>
    <row r="200" spans="2:17" hidden="1">
      <c r="B200" s="19"/>
      <c r="C200" s="19"/>
      <c r="D200" s="19"/>
      <c r="E200" s="19"/>
      <c r="F200" s="19"/>
      <c r="G200" s="19"/>
      <c r="H200" s="19"/>
      <c r="I200" s="19"/>
      <c r="J200" s="19"/>
      <c r="K200" s="421"/>
      <c r="L200" s="23"/>
      <c r="M200" s="19"/>
      <c r="N200" s="19"/>
      <c r="O200" s="19"/>
      <c r="P200" s="19"/>
      <c r="Q200" s="19"/>
    </row>
    <row r="201" spans="2:17" hidden="1">
      <c r="B201" s="19"/>
      <c r="C201" s="19"/>
      <c r="D201" s="19"/>
      <c r="E201" s="19"/>
      <c r="F201" s="19"/>
      <c r="G201" s="19"/>
      <c r="H201" s="19"/>
      <c r="I201" s="19"/>
      <c r="J201" s="19"/>
      <c r="K201" s="421"/>
      <c r="L201" s="23"/>
      <c r="M201" s="19"/>
      <c r="N201" s="19"/>
      <c r="O201" s="19"/>
      <c r="P201" s="19"/>
      <c r="Q201" s="19"/>
    </row>
    <row r="202" spans="2:17" hidden="1">
      <c r="B202" s="19"/>
      <c r="C202" s="19"/>
      <c r="D202" s="19"/>
      <c r="E202" s="19"/>
      <c r="F202" s="19"/>
      <c r="G202" s="19"/>
      <c r="H202" s="19"/>
      <c r="I202" s="19"/>
      <c r="J202" s="19"/>
      <c r="K202" s="421"/>
      <c r="L202" s="23"/>
      <c r="M202" s="19"/>
      <c r="N202" s="19"/>
      <c r="O202" s="19"/>
      <c r="P202" s="19"/>
      <c r="Q202" s="19"/>
    </row>
    <row r="203" spans="2:17" hidden="1">
      <c r="B203" s="19"/>
      <c r="C203" s="19"/>
      <c r="D203" s="19"/>
      <c r="E203" s="19"/>
      <c r="F203" s="19"/>
      <c r="G203" s="19"/>
      <c r="H203" s="19"/>
      <c r="I203" s="19"/>
      <c r="J203" s="19"/>
      <c r="K203" s="421"/>
      <c r="L203" s="23"/>
      <c r="M203" s="19"/>
      <c r="N203" s="19"/>
      <c r="O203" s="19"/>
      <c r="P203" s="19"/>
      <c r="Q203" s="19"/>
    </row>
    <row r="204" spans="2:17" hidden="1">
      <c r="B204" s="19"/>
      <c r="C204" s="19"/>
      <c r="D204" s="19"/>
      <c r="E204" s="19"/>
      <c r="F204" s="19"/>
      <c r="G204" s="19"/>
      <c r="H204" s="19"/>
      <c r="I204" s="19"/>
      <c r="J204" s="19"/>
      <c r="K204" s="421"/>
      <c r="L204" s="23"/>
      <c r="M204" s="19"/>
      <c r="N204" s="19"/>
      <c r="O204" s="19"/>
      <c r="P204" s="19"/>
      <c r="Q204" s="19"/>
    </row>
    <row r="205" spans="2:17" hidden="1">
      <c r="B205" s="19"/>
      <c r="C205" s="19"/>
      <c r="D205" s="19"/>
      <c r="E205" s="19"/>
      <c r="F205" s="19"/>
      <c r="G205" s="19"/>
      <c r="H205" s="19"/>
      <c r="I205" s="19"/>
      <c r="J205" s="19"/>
      <c r="K205" s="421"/>
      <c r="L205" s="23"/>
      <c r="M205" s="19"/>
      <c r="N205" s="19"/>
      <c r="O205" s="19"/>
      <c r="P205" s="19"/>
      <c r="Q205" s="19"/>
    </row>
    <row r="206" spans="2:17" hidden="1">
      <c r="B206" s="19"/>
      <c r="C206" s="19"/>
      <c r="D206" s="19"/>
      <c r="E206" s="19"/>
      <c r="F206" s="19"/>
      <c r="G206" s="19"/>
      <c r="H206" s="19"/>
      <c r="I206" s="19"/>
      <c r="J206" s="19"/>
      <c r="K206" s="421"/>
      <c r="L206" s="23"/>
      <c r="M206" s="19"/>
      <c r="N206" s="19"/>
      <c r="O206" s="19"/>
      <c r="P206" s="19"/>
      <c r="Q206" s="19"/>
    </row>
    <row r="207" spans="2:17" hidden="1">
      <c r="B207" s="19"/>
      <c r="C207" s="19"/>
      <c r="D207" s="19"/>
      <c r="E207" s="19"/>
      <c r="F207" s="19"/>
      <c r="G207" s="19"/>
      <c r="H207" s="19"/>
      <c r="I207" s="19"/>
      <c r="J207" s="19"/>
      <c r="K207" s="421"/>
      <c r="L207" s="23"/>
      <c r="M207" s="19"/>
      <c r="N207" s="19"/>
      <c r="O207" s="19"/>
      <c r="P207" s="19"/>
      <c r="Q207" s="19"/>
    </row>
    <row r="208" spans="2:17" hidden="1">
      <c r="B208" s="19"/>
      <c r="C208" s="19"/>
      <c r="D208" s="19"/>
      <c r="E208" s="19"/>
      <c r="F208" s="19"/>
      <c r="G208" s="19"/>
      <c r="H208" s="19"/>
      <c r="I208" s="19"/>
      <c r="J208" s="19"/>
      <c r="K208" s="421"/>
      <c r="L208" s="23"/>
      <c r="M208" s="19"/>
      <c r="N208" s="19"/>
      <c r="O208" s="19"/>
      <c r="P208" s="19"/>
      <c r="Q208" s="19"/>
    </row>
    <row r="209" spans="2:17" hidden="1">
      <c r="B209" s="19"/>
      <c r="C209" s="19"/>
      <c r="D209" s="19"/>
      <c r="E209" s="19"/>
      <c r="F209" s="19"/>
      <c r="G209" s="19"/>
      <c r="H209" s="19"/>
      <c r="I209" s="19"/>
      <c r="J209" s="19"/>
      <c r="K209" s="421"/>
      <c r="L209" s="23"/>
      <c r="M209" s="19"/>
      <c r="N209" s="19"/>
      <c r="O209" s="19"/>
      <c r="P209" s="19"/>
      <c r="Q209" s="19"/>
    </row>
    <row r="210" spans="2:17" hidden="1">
      <c r="B210" s="19"/>
      <c r="C210" s="19"/>
      <c r="D210" s="19"/>
      <c r="E210" s="19"/>
      <c r="F210" s="19"/>
      <c r="G210" s="19"/>
      <c r="H210" s="19"/>
      <c r="I210" s="19"/>
      <c r="J210" s="19"/>
      <c r="K210" s="421"/>
      <c r="L210" s="23"/>
      <c r="M210" s="19"/>
      <c r="N210" s="19"/>
      <c r="O210" s="19"/>
      <c r="P210" s="19"/>
      <c r="Q210" s="19"/>
    </row>
    <row r="211" spans="2:17" hidden="1">
      <c r="B211" s="19"/>
      <c r="C211" s="19"/>
      <c r="D211" s="19"/>
      <c r="E211" s="19"/>
      <c r="F211" s="19"/>
      <c r="G211" s="19"/>
      <c r="H211" s="19"/>
      <c r="I211" s="19"/>
      <c r="J211" s="19"/>
      <c r="K211" s="421"/>
      <c r="L211" s="23"/>
      <c r="M211" s="19"/>
      <c r="N211" s="19"/>
      <c r="O211" s="19"/>
      <c r="P211" s="19"/>
      <c r="Q211" s="19"/>
    </row>
    <row r="212" spans="2:17" hidden="1">
      <c r="B212" s="19"/>
      <c r="C212" s="19"/>
      <c r="D212" s="19"/>
      <c r="E212" s="19"/>
      <c r="F212" s="19"/>
      <c r="G212" s="19"/>
      <c r="H212" s="19"/>
      <c r="I212" s="19"/>
      <c r="J212" s="19"/>
      <c r="K212" s="421"/>
      <c r="L212" s="23"/>
      <c r="M212" s="19"/>
      <c r="N212" s="19"/>
      <c r="O212" s="19"/>
      <c r="P212" s="19"/>
      <c r="Q212" s="19"/>
    </row>
    <row r="213" spans="2:17" hidden="1">
      <c r="B213" s="19"/>
      <c r="C213" s="19"/>
      <c r="D213" s="19"/>
      <c r="E213" s="19"/>
      <c r="F213" s="19"/>
      <c r="G213" s="19"/>
      <c r="H213" s="19"/>
      <c r="I213" s="19"/>
      <c r="J213" s="19"/>
      <c r="K213" s="421"/>
      <c r="L213" s="23"/>
      <c r="M213" s="19"/>
      <c r="N213" s="19"/>
      <c r="O213" s="19"/>
      <c r="P213" s="19"/>
      <c r="Q213" s="19"/>
    </row>
    <row r="214" spans="2:17" hidden="1">
      <c r="B214" s="19"/>
      <c r="C214" s="19"/>
      <c r="D214" s="19"/>
      <c r="E214" s="19"/>
      <c r="F214" s="19"/>
      <c r="G214" s="19"/>
      <c r="H214" s="19"/>
      <c r="I214" s="19"/>
      <c r="J214" s="19"/>
      <c r="K214" s="421"/>
      <c r="L214" s="23"/>
      <c r="M214" s="19"/>
      <c r="N214" s="19"/>
      <c r="O214" s="19"/>
      <c r="P214" s="19"/>
      <c r="Q214" s="19"/>
    </row>
    <row r="215" spans="2:17" hidden="1">
      <c r="B215" s="19"/>
      <c r="C215" s="19"/>
      <c r="D215" s="19"/>
      <c r="E215" s="19"/>
      <c r="F215" s="19"/>
      <c r="G215" s="19"/>
      <c r="H215" s="19"/>
      <c r="I215" s="19"/>
      <c r="J215" s="19"/>
      <c r="K215" s="421"/>
      <c r="L215" s="23"/>
      <c r="M215" s="19"/>
      <c r="N215" s="19"/>
      <c r="O215" s="19"/>
      <c r="P215" s="19"/>
      <c r="Q215" s="19"/>
    </row>
    <row r="216" spans="2:17" hidden="1">
      <c r="B216" s="19"/>
      <c r="C216" s="19"/>
      <c r="D216" s="19"/>
      <c r="E216" s="19"/>
      <c r="F216" s="19"/>
      <c r="G216" s="19"/>
      <c r="H216" s="19"/>
      <c r="I216" s="19"/>
      <c r="J216" s="19"/>
      <c r="K216" s="421"/>
      <c r="L216" s="23"/>
      <c r="M216" s="19"/>
      <c r="N216" s="19"/>
      <c r="O216" s="19"/>
      <c r="P216" s="19"/>
      <c r="Q216" s="19"/>
    </row>
    <row r="217" spans="2:17" hidden="1">
      <c r="B217" s="19"/>
      <c r="C217" s="19"/>
      <c r="D217" s="19"/>
      <c r="E217" s="19"/>
      <c r="F217" s="19"/>
      <c r="G217" s="19"/>
      <c r="H217" s="19"/>
      <c r="I217" s="19"/>
      <c r="J217" s="19"/>
      <c r="K217" s="421"/>
      <c r="L217" s="23"/>
      <c r="M217" s="19"/>
      <c r="N217" s="19"/>
      <c r="O217" s="19"/>
      <c r="P217" s="19"/>
      <c r="Q217" s="19"/>
    </row>
    <row r="218" spans="2:17" hidden="1">
      <c r="B218" s="19"/>
      <c r="C218" s="19"/>
      <c r="D218" s="19"/>
      <c r="E218" s="19"/>
      <c r="F218" s="19"/>
      <c r="G218" s="19"/>
      <c r="H218" s="19"/>
      <c r="I218" s="19"/>
      <c r="J218" s="19"/>
      <c r="K218" s="421"/>
      <c r="L218" s="23"/>
      <c r="M218" s="19"/>
      <c r="N218" s="19"/>
      <c r="O218" s="19"/>
      <c r="P218" s="19"/>
      <c r="Q218" s="19"/>
    </row>
    <row r="219" spans="2:17" hidden="1">
      <c r="B219" s="19"/>
      <c r="C219" s="19"/>
      <c r="D219" s="19"/>
      <c r="E219" s="19"/>
      <c r="F219" s="19"/>
      <c r="G219" s="19"/>
      <c r="H219" s="19"/>
      <c r="I219" s="19"/>
      <c r="J219" s="19"/>
      <c r="K219" s="421"/>
      <c r="L219" s="23"/>
      <c r="M219" s="19"/>
      <c r="N219" s="19"/>
      <c r="O219" s="19"/>
      <c r="P219" s="19"/>
      <c r="Q219" s="19"/>
    </row>
    <row r="220" spans="2:17" hidden="1">
      <c r="B220" s="19"/>
      <c r="C220" s="19"/>
      <c r="D220" s="19"/>
      <c r="E220" s="19"/>
      <c r="F220" s="19"/>
      <c r="G220" s="19"/>
      <c r="H220" s="19"/>
      <c r="I220" s="19"/>
      <c r="J220" s="19"/>
      <c r="K220" s="421"/>
      <c r="L220" s="23"/>
      <c r="M220" s="19"/>
      <c r="N220" s="19"/>
      <c r="O220" s="19"/>
      <c r="P220" s="19"/>
      <c r="Q220" s="19"/>
    </row>
    <row r="221" spans="2:17" hidden="1">
      <c r="B221" s="19"/>
      <c r="C221" s="19"/>
      <c r="D221" s="19"/>
      <c r="E221" s="19"/>
      <c r="F221" s="19"/>
      <c r="G221" s="19"/>
      <c r="H221" s="19"/>
      <c r="I221" s="19"/>
      <c r="J221" s="19"/>
      <c r="K221" s="421"/>
      <c r="L221" s="23"/>
      <c r="M221" s="19"/>
      <c r="N221" s="19"/>
      <c r="O221" s="19"/>
      <c r="P221" s="19"/>
      <c r="Q221" s="19"/>
    </row>
    <row r="222" spans="2:17" hidden="1">
      <c r="B222" s="19"/>
      <c r="C222" s="19"/>
      <c r="D222" s="19"/>
      <c r="E222" s="19"/>
      <c r="F222" s="19"/>
      <c r="G222" s="19"/>
      <c r="H222" s="19"/>
      <c r="I222" s="19"/>
      <c r="J222" s="19"/>
      <c r="K222" s="421"/>
      <c r="L222" s="23"/>
      <c r="M222" s="19"/>
      <c r="N222" s="19"/>
      <c r="O222" s="19"/>
      <c r="P222" s="19"/>
      <c r="Q222" s="19"/>
    </row>
    <row r="223" spans="2:17" hidden="1">
      <c r="B223" s="19"/>
      <c r="C223" s="19"/>
      <c r="D223" s="19"/>
      <c r="E223" s="19"/>
      <c r="F223" s="19"/>
      <c r="G223" s="19"/>
      <c r="H223" s="19"/>
      <c r="I223" s="19"/>
      <c r="J223" s="19"/>
      <c r="K223" s="421"/>
      <c r="L223" s="23"/>
      <c r="M223" s="19"/>
      <c r="N223" s="19"/>
      <c r="O223" s="19"/>
      <c r="P223" s="19"/>
      <c r="Q223" s="19"/>
    </row>
    <row r="224" spans="2:17" hidden="1">
      <c r="B224" s="19"/>
      <c r="C224" s="19"/>
      <c r="D224" s="19"/>
      <c r="E224" s="19"/>
      <c r="F224" s="19"/>
      <c r="G224" s="19"/>
      <c r="H224" s="19"/>
      <c r="I224" s="19"/>
      <c r="J224" s="19"/>
      <c r="K224" s="421"/>
      <c r="L224" s="23"/>
      <c r="M224" s="19"/>
      <c r="N224" s="19"/>
      <c r="O224" s="19"/>
      <c r="P224" s="19"/>
      <c r="Q224" s="19"/>
    </row>
    <row r="225" spans="2:17" hidden="1">
      <c r="B225" s="19"/>
      <c r="C225" s="19"/>
      <c r="D225" s="19"/>
      <c r="E225" s="19"/>
      <c r="F225" s="19"/>
      <c r="G225" s="19"/>
      <c r="H225" s="19"/>
      <c r="I225" s="19"/>
      <c r="J225" s="19"/>
      <c r="K225" s="421"/>
      <c r="L225" s="23"/>
      <c r="M225" s="19"/>
      <c r="N225" s="19"/>
      <c r="O225" s="19"/>
      <c r="P225" s="19"/>
      <c r="Q225" s="19"/>
    </row>
    <row r="226" spans="2:17" hidden="1">
      <c r="B226" s="19"/>
      <c r="C226" s="19"/>
      <c r="D226" s="19"/>
      <c r="E226" s="19"/>
      <c r="F226" s="19"/>
      <c r="G226" s="19"/>
      <c r="H226" s="19"/>
      <c r="I226" s="19"/>
      <c r="J226" s="19"/>
      <c r="K226" s="421"/>
      <c r="L226" s="23"/>
      <c r="M226" s="19"/>
      <c r="N226" s="19"/>
      <c r="O226" s="19"/>
      <c r="P226" s="19"/>
      <c r="Q226" s="19"/>
    </row>
    <row r="227" spans="2:17" hidden="1">
      <c r="B227" s="19"/>
      <c r="C227" s="19"/>
      <c r="D227" s="19"/>
      <c r="E227" s="19"/>
      <c r="F227" s="19"/>
      <c r="G227" s="19"/>
      <c r="H227" s="19"/>
      <c r="I227" s="19"/>
      <c r="J227" s="19"/>
      <c r="K227" s="421"/>
      <c r="L227" s="23"/>
      <c r="M227" s="19"/>
      <c r="N227" s="19"/>
      <c r="O227" s="19"/>
      <c r="P227" s="19"/>
      <c r="Q227" s="19"/>
    </row>
    <row r="228" spans="2:17" hidden="1">
      <c r="B228" s="19"/>
      <c r="C228" s="19"/>
      <c r="D228" s="19"/>
      <c r="E228" s="19"/>
      <c r="F228" s="19"/>
      <c r="G228" s="19"/>
      <c r="H228" s="19"/>
      <c r="I228" s="19"/>
      <c r="J228" s="19"/>
      <c r="K228" s="421"/>
      <c r="L228" s="23"/>
      <c r="M228" s="19"/>
      <c r="N228" s="19"/>
      <c r="O228" s="19"/>
      <c r="P228" s="19"/>
      <c r="Q228" s="19"/>
    </row>
    <row r="229" spans="2:17" hidden="1">
      <c r="B229" s="19"/>
      <c r="C229" s="19"/>
      <c r="D229" s="19"/>
      <c r="E229" s="19"/>
      <c r="F229" s="19"/>
      <c r="G229" s="19"/>
      <c r="H229" s="19"/>
      <c r="I229" s="19"/>
      <c r="J229" s="19"/>
      <c r="K229" s="421"/>
      <c r="L229" s="23"/>
      <c r="M229" s="19"/>
      <c r="N229" s="19"/>
      <c r="O229" s="19"/>
      <c r="P229" s="19"/>
      <c r="Q229" s="19"/>
    </row>
    <row r="230" spans="2:17" hidden="1">
      <c r="B230" s="19"/>
      <c r="C230" s="19"/>
      <c r="D230" s="19"/>
      <c r="E230" s="19"/>
      <c r="F230" s="19"/>
      <c r="G230" s="19"/>
      <c r="H230" s="19"/>
      <c r="I230" s="19"/>
      <c r="J230" s="19"/>
      <c r="K230" s="421"/>
      <c r="L230" s="23"/>
      <c r="M230" s="19"/>
      <c r="N230" s="19"/>
      <c r="O230" s="19"/>
      <c r="P230" s="19"/>
      <c r="Q230" s="19"/>
    </row>
    <row r="231" spans="2:17" hidden="1">
      <c r="B231" s="19"/>
      <c r="C231" s="19"/>
      <c r="D231" s="19"/>
      <c r="E231" s="19"/>
      <c r="F231" s="19"/>
      <c r="G231" s="19"/>
      <c r="H231" s="19"/>
      <c r="I231" s="19"/>
      <c r="J231" s="19"/>
      <c r="K231" s="421"/>
      <c r="L231" s="23"/>
      <c r="M231" s="19"/>
      <c r="N231" s="19"/>
      <c r="O231" s="19"/>
      <c r="P231" s="19"/>
      <c r="Q231" s="19"/>
    </row>
    <row r="232" spans="2:17" hidden="1">
      <c r="B232" s="19"/>
      <c r="C232" s="19"/>
      <c r="D232" s="19"/>
      <c r="E232" s="19"/>
      <c r="F232" s="19"/>
      <c r="G232" s="19"/>
      <c r="H232" s="19"/>
      <c r="I232" s="19"/>
      <c r="J232" s="19"/>
      <c r="K232" s="421"/>
      <c r="L232" s="23"/>
      <c r="M232" s="19"/>
      <c r="N232" s="19"/>
      <c r="O232" s="19"/>
      <c r="P232" s="19"/>
      <c r="Q232" s="19"/>
    </row>
    <row r="233" spans="2:17" hidden="1">
      <c r="B233" s="19"/>
      <c r="C233" s="19"/>
      <c r="D233" s="19"/>
      <c r="E233" s="19"/>
      <c r="F233" s="19"/>
      <c r="G233" s="19"/>
      <c r="H233" s="19"/>
      <c r="I233" s="19"/>
      <c r="J233" s="19"/>
      <c r="K233" s="421"/>
      <c r="L233" s="23"/>
      <c r="M233" s="19"/>
      <c r="N233" s="19"/>
      <c r="O233" s="19"/>
      <c r="P233" s="19"/>
      <c r="Q233" s="19"/>
    </row>
    <row r="234" spans="2:17" hidden="1">
      <c r="B234" s="19"/>
      <c r="C234" s="19"/>
      <c r="D234" s="19"/>
      <c r="E234" s="19"/>
      <c r="F234" s="19"/>
      <c r="G234" s="19"/>
      <c r="H234" s="19"/>
      <c r="I234" s="19"/>
      <c r="J234" s="19"/>
      <c r="K234" s="421"/>
      <c r="L234" s="23"/>
      <c r="M234" s="19"/>
      <c r="N234" s="19"/>
      <c r="O234" s="19"/>
      <c r="P234" s="19"/>
      <c r="Q234" s="19"/>
    </row>
    <row r="235" spans="2:17" hidden="1">
      <c r="B235" s="19"/>
      <c r="C235" s="19"/>
      <c r="D235" s="19"/>
      <c r="E235" s="19"/>
      <c r="F235" s="19"/>
      <c r="G235" s="19"/>
      <c r="H235" s="19"/>
      <c r="I235" s="19"/>
      <c r="J235" s="19"/>
      <c r="K235" s="421"/>
      <c r="L235" s="23"/>
      <c r="M235" s="19"/>
      <c r="N235" s="19"/>
      <c r="O235" s="19"/>
      <c r="P235" s="19"/>
      <c r="Q235" s="19"/>
    </row>
    <row r="236" spans="2:17" hidden="1">
      <c r="B236" s="19"/>
      <c r="C236" s="19"/>
      <c r="D236" s="19"/>
      <c r="E236" s="19"/>
      <c r="F236" s="19"/>
      <c r="G236" s="19"/>
      <c r="H236" s="19"/>
      <c r="I236" s="19"/>
      <c r="J236" s="19"/>
      <c r="K236" s="421"/>
      <c r="L236" s="23"/>
      <c r="M236" s="19"/>
      <c r="N236" s="19"/>
      <c r="O236" s="19"/>
      <c r="P236" s="19"/>
      <c r="Q236" s="19"/>
    </row>
    <row r="237" spans="2:17" hidden="1">
      <c r="B237" s="19"/>
      <c r="C237" s="19"/>
      <c r="D237" s="19"/>
      <c r="E237" s="19"/>
      <c r="F237" s="19"/>
      <c r="G237" s="19"/>
      <c r="H237" s="19"/>
      <c r="I237" s="19"/>
      <c r="J237" s="19"/>
      <c r="K237" s="421"/>
      <c r="L237" s="23"/>
      <c r="M237" s="19"/>
      <c r="N237" s="19"/>
      <c r="O237" s="19"/>
      <c r="P237" s="19"/>
      <c r="Q237" s="19"/>
    </row>
    <row r="238" spans="2:17" hidden="1">
      <c r="B238" s="19"/>
      <c r="C238" s="19"/>
      <c r="D238" s="19"/>
      <c r="E238" s="19"/>
      <c r="F238" s="19"/>
      <c r="G238" s="19"/>
      <c r="H238" s="19"/>
      <c r="I238" s="19"/>
      <c r="J238" s="19"/>
      <c r="K238" s="421"/>
      <c r="L238" s="23"/>
      <c r="M238" s="19"/>
      <c r="N238" s="19"/>
      <c r="O238" s="19"/>
      <c r="P238" s="19"/>
      <c r="Q238" s="19"/>
    </row>
    <row r="239" spans="2:17" hidden="1">
      <c r="B239" s="19"/>
      <c r="C239" s="19"/>
      <c r="D239" s="19"/>
      <c r="E239" s="19"/>
      <c r="F239" s="19"/>
      <c r="G239" s="19"/>
      <c r="H239" s="19"/>
      <c r="I239" s="19"/>
      <c r="J239" s="19"/>
      <c r="K239" s="421"/>
      <c r="L239" s="23"/>
      <c r="M239" s="19"/>
      <c r="N239" s="19"/>
      <c r="O239" s="19"/>
      <c r="P239" s="19"/>
      <c r="Q239" s="19"/>
    </row>
    <row r="240" spans="2:17" hidden="1">
      <c r="B240" s="19"/>
      <c r="C240" s="19"/>
      <c r="D240" s="19"/>
      <c r="E240" s="19"/>
      <c r="F240" s="19"/>
      <c r="G240" s="19"/>
      <c r="H240" s="19"/>
      <c r="I240" s="19"/>
      <c r="J240" s="19"/>
      <c r="K240" s="421"/>
      <c r="L240" s="23"/>
      <c r="M240" s="19"/>
      <c r="N240" s="19"/>
      <c r="O240" s="19"/>
      <c r="P240" s="19"/>
      <c r="Q240" s="19"/>
    </row>
    <row r="241" spans="2:17" hidden="1">
      <c r="B241" s="19"/>
      <c r="C241" s="19"/>
      <c r="D241" s="19"/>
      <c r="E241" s="19"/>
      <c r="F241" s="19"/>
      <c r="G241" s="19"/>
      <c r="H241" s="19"/>
      <c r="I241" s="19"/>
      <c r="J241" s="19"/>
      <c r="K241" s="421"/>
      <c r="L241" s="23"/>
      <c r="M241" s="19"/>
      <c r="N241" s="19"/>
      <c r="O241" s="19"/>
      <c r="P241" s="19"/>
      <c r="Q241" s="19"/>
    </row>
    <row r="242" spans="2:17" hidden="1">
      <c r="B242" s="19"/>
      <c r="C242" s="19"/>
      <c r="D242" s="19"/>
      <c r="E242" s="19"/>
      <c r="F242" s="19"/>
      <c r="G242" s="19"/>
      <c r="H242" s="19"/>
      <c r="I242" s="19"/>
      <c r="J242" s="19"/>
      <c r="K242" s="421"/>
      <c r="L242" s="23"/>
      <c r="M242" s="19"/>
      <c r="N242" s="19"/>
      <c r="O242" s="19"/>
      <c r="P242" s="19"/>
      <c r="Q242" s="19"/>
    </row>
    <row r="243" spans="2:17" hidden="1">
      <c r="B243" s="19"/>
      <c r="C243" s="19"/>
      <c r="D243" s="19"/>
      <c r="E243" s="19"/>
      <c r="F243" s="19"/>
      <c r="G243" s="19"/>
      <c r="H243" s="19"/>
      <c r="I243" s="19"/>
      <c r="J243" s="19"/>
      <c r="K243" s="421"/>
      <c r="L243" s="23"/>
      <c r="M243" s="19"/>
      <c r="N243" s="19"/>
      <c r="O243" s="19"/>
      <c r="P243" s="19"/>
      <c r="Q243" s="19"/>
    </row>
    <row r="244" spans="2:17" hidden="1">
      <c r="B244" s="19"/>
      <c r="C244" s="19"/>
      <c r="D244" s="19"/>
      <c r="E244" s="19"/>
      <c r="F244" s="19"/>
      <c r="G244" s="19"/>
      <c r="H244" s="19"/>
      <c r="I244" s="19"/>
      <c r="J244" s="19"/>
      <c r="K244" s="421"/>
      <c r="L244" s="23"/>
      <c r="M244" s="19"/>
      <c r="N244" s="19"/>
      <c r="O244" s="19"/>
      <c r="P244" s="19"/>
      <c r="Q244" s="19"/>
    </row>
    <row r="245" spans="2:17" hidden="1">
      <c r="B245" s="19"/>
      <c r="C245" s="19"/>
      <c r="D245" s="19"/>
      <c r="E245" s="19"/>
      <c r="F245" s="19"/>
      <c r="G245" s="19"/>
      <c r="H245" s="19"/>
      <c r="I245" s="19"/>
      <c r="J245" s="19"/>
      <c r="K245" s="421"/>
      <c r="L245" s="23"/>
      <c r="M245" s="19"/>
      <c r="N245" s="19"/>
      <c r="O245" s="19"/>
      <c r="P245" s="19"/>
      <c r="Q245" s="19"/>
    </row>
    <row r="246" spans="2:17" hidden="1">
      <c r="B246" s="19"/>
      <c r="C246" s="19"/>
      <c r="D246" s="19"/>
      <c r="E246" s="19"/>
      <c r="F246" s="19"/>
      <c r="G246" s="19"/>
      <c r="H246" s="19"/>
      <c r="I246" s="19"/>
      <c r="J246" s="19"/>
      <c r="K246" s="421"/>
      <c r="L246" s="23"/>
      <c r="M246" s="19"/>
      <c r="N246" s="19"/>
      <c r="O246" s="19"/>
      <c r="P246" s="19"/>
      <c r="Q246" s="19"/>
    </row>
    <row r="247" spans="2:17" hidden="1">
      <c r="B247" s="19"/>
      <c r="C247" s="19"/>
      <c r="D247" s="19"/>
      <c r="E247" s="19"/>
      <c r="F247" s="19"/>
      <c r="G247" s="19"/>
      <c r="H247" s="19"/>
      <c r="I247" s="19"/>
      <c r="J247" s="19"/>
      <c r="K247" s="421"/>
      <c r="L247" s="23"/>
      <c r="M247" s="19"/>
      <c r="N247" s="19"/>
      <c r="O247" s="19"/>
      <c r="P247" s="19"/>
      <c r="Q247" s="19"/>
    </row>
    <row r="248" spans="2:17" hidden="1">
      <c r="B248" s="19"/>
      <c r="C248" s="19"/>
      <c r="D248" s="19"/>
      <c r="E248" s="19"/>
      <c r="F248" s="19"/>
      <c r="G248" s="19"/>
      <c r="H248" s="19"/>
      <c r="I248" s="19"/>
      <c r="J248" s="19"/>
      <c r="K248" s="421"/>
      <c r="L248" s="23"/>
      <c r="M248" s="19"/>
      <c r="N248" s="19"/>
      <c r="O248" s="19"/>
      <c r="P248" s="19"/>
      <c r="Q248" s="19"/>
    </row>
    <row r="249" spans="2:17" hidden="1">
      <c r="B249" s="19"/>
      <c r="C249" s="19"/>
      <c r="D249" s="19"/>
      <c r="E249" s="19"/>
      <c r="F249" s="19"/>
      <c r="G249" s="19"/>
      <c r="H249" s="19"/>
      <c r="I249" s="19"/>
      <c r="J249" s="19"/>
      <c r="K249" s="421"/>
      <c r="L249" s="23"/>
      <c r="M249" s="19"/>
      <c r="N249" s="19"/>
      <c r="O249" s="19"/>
      <c r="P249" s="19"/>
      <c r="Q249" s="19"/>
    </row>
    <row r="250" spans="2:17" hidden="1">
      <c r="B250" s="19"/>
      <c r="C250" s="19"/>
      <c r="D250" s="19"/>
      <c r="E250" s="19"/>
      <c r="F250" s="19"/>
      <c r="G250" s="19"/>
      <c r="H250" s="19"/>
      <c r="I250" s="19"/>
      <c r="J250" s="19"/>
      <c r="K250" s="421"/>
      <c r="L250" s="23"/>
      <c r="M250" s="19"/>
      <c r="N250" s="19"/>
      <c r="O250" s="19"/>
      <c r="P250" s="19"/>
      <c r="Q250" s="19"/>
    </row>
    <row r="251" spans="2:17" hidden="1">
      <c r="B251" s="19"/>
      <c r="C251" s="19"/>
      <c r="D251" s="19"/>
      <c r="E251" s="19"/>
      <c r="F251" s="19"/>
      <c r="G251" s="19"/>
      <c r="H251" s="19"/>
      <c r="I251" s="19"/>
      <c r="J251" s="19"/>
      <c r="K251" s="421"/>
      <c r="L251" s="23"/>
      <c r="M251" s="19"/>
      <c r="N251" s="19"/>
      <c r="O251" s="19"/>
      <c r="P251" s="19"/>
      <c r="Q251" s="19"/>
    </row>
    <row r="252" spans="2:17" hidden="1">
      <c r="B252" s="19"/>
      <c r="C252" s="19"/>
      <c r="D252" s="19"/>
      <c r="E252" s="19"/>
      <c r="F252" s="19"/>
      <c r="G252" s="19"/>
      <c r="H252" s="19"/>
      <c r="I252" s="19"/>
      <c r="J252" s="19"/>
      <c r="K252" s="421"/>
      <c r="L252" s="23"/>
      <c r="M252" s="19"/>
      <c r="N252" s="19"/>
      <c r="O252" s="19"/>
      <c r="P252" s="19"/>
      <c r="Q252" s="19"/>
    </row>
    <row r="253" spans="2:17" hidden="1">
      <c r="B253" s="19"/>
      <c r="C253" s="19"/>
      <c r="D253" s="19"/>
      <c r="E253" s="19"/>
      <c r="F253" s="19"/>
      <c r="G253" s="19"/>
      <c r="H253" s="19"/>
      <c r="I253" s="19"/>
      <c r="J253" s="19"/>
      <c r="K253" s="421"/>
      <c r="L253" s="23"/>
      <c r="M253" s="19"/>
      <c r="N253" s="19"/>
      <c r="O253" s="19"/>
      <c r="P253" s="19"/>
      <c r="Q253" s="19"/>
    </row>
    <row r="254" spans="2:17" hidden="1">
      <c r="B254" s="19"/>
      <c r="C254" s="19"/>
      <c r="D254" s="19"/>
      <c r="E254" s="19"/>
      <c r="F254" s="19"/>
      <c r="G254" s="19"/>
      <c r="H254" s="19"/>
      <c r="I254" s="19"/>
      <c r="J254" s="19"/>
      <c r="K254" s="421"/>
      <c r="L254" s="23"/>
      <c r="M254" s="19"/>
      <c r="N254" s="19"/>
      <c r="O254" s="19"/>
      <c r="P254" s="19"/>
      <c r="Q254" s="19"/>
    </row>
    <row r="255" spans="2:17" hidden="1">
      <c r="B255" s="19"/>
      <c r="C255" s="19"/>
      <c r="D255" s="19"/>
      <c r="E255" s="19"/>
      <c r="F255" s="19"/>
      <c r="G255" s="19"/>
      <c r="H255" s="19"/>
      <c r="I255" s="19"/>
      <c r="J255" s="19"/>
      <c r="K255" s="421"/>
      <c r="L255" s="23"/>
      <c r="M255" s="19"/>
      <c r="N255" s="19"/>
      <c r="O255" s="19"/>
      <c r="P255" s="19"/>
      <c r="Q255" s="19"/>
    </row>
    <row r="256" spans="2:17" hidden="1">
      <c r="B256" s="19"/>
      <c r="C256" s="19"/>
      <c r="D256" s="19"/>
      <c r="E256" s="19"/>
      <c r="F256" s="19"/>
      <c r="G256" s="19"/>
      <c r="H256" s="19"/>
      <c r="I256" s="19"/>
      <c r="J256" s="19"/>
      <c r="K256" s="421"/>
      <c r="L256" s="23"/>
      <c r="M256" s="19"/>
      <c r="N256" s="19"/>
      <c r="O256" s="19"/>
      <c r="P256" s="19"/>
      <c r="Q256" s="19"/>
    </row>
    <row r="257" spans="1:28" hidden="1">
      <c r="B257" s="19"/>
      <c r="C257" s="19"/>
      <c r="D257" s="19"/>
      <c r="E257" s="19"/>
      <c r="F257" s="19"/>
      <c r="G257" s="19"/>
      <c r="H257" s="19"/>
      <c r="I257" s="19"/>
      <c r="J257" s="19"/>
      <c r="K257" s="421"/>
      <c r="L257" s="23"/>
      <c r="M257" s="19"/>
      <c r="N257" s="19"/>
      <c r="O257" s="19"/>
      <c r="P257" s="19"/>
      <c r="Q257" s="19"/>
    </row>
    <row r="258" spans="1:28" hidden="1">
      <c r="B258" s="19"/>
      <c r="C258" s="19"/>
      <c r="D258" s="19"/>
      <c r="E258" s="19"/>
      <c r="F258" s="19"/>
      <c r="G258" s="19"/>
      <c r="H258" s="19"/>
      <c r="I258" s="19"/>
      <c r="J258" s="19"/>
      <c r="K258" s="421"/>
      <c r="L258" s="23"/>
      <c r="M258" s="19"/>
      <c r="N258" s="19"/>
      <c r="O258" s="19"/>
      <c r="P258" s="19"/>
      <c r="Q258" s="19"/>
    </row>
    <row r="259" spans="1:28" hidden="1">
      <c r="B259" s="19"/>
      <c r="C259" s="19"/>
      <c r="D259" s="19"/>
      <c r="E259" s="19"/>
      <c r="F259" s="19"/>
      <c r="G259" s="19"/>
      <c r="H259" s="19"/>
      <c r="I259" s="19"/>
      <c r="J259" s="19"/>
      <c r="K259" s="421"/>
      <c r="L259" s="23"/>
      <c r="M259" s="19"/>
      <c r="N259" s="19"/>
      <c r="O259" s="19"/>
      <c r="P259" s="19"/>
      <c r="Q259" s="19"/>
    </row>
    <row r="260" spans="1:28" hidden="1">
      <c r="B260" s="19"/>
      <c r="C260" s="19"/>
      <c r="D260" s="19"/>
      <c r="E260" s="19"/>
      <c r="F260" s="19"/>
      <c r="G260" s="19"/>
      <c r="H260" s="19"/>
      <c r="I260" s="19"/>
      <c r="J260" s="19"/>
      <c r="K260" s="421"/>
      <c r="L260" s="23"/>
      <c r="M260" s="19"/>
      <c r="N260" s="19"/>
      <c r="O260" s="19"/>
      <c r="P260" s="19"/>
      <c r="Q260" s="19"/>
    </row>
    <row r="261" spans="1:28" hidden="1">
      <c r="I261" s="20"/>
    </row>
    <row r="262" spans="1:28" hidden="1">
      <c r="I262" s="20"/>
    </row>
    <row r="263" spans="1:28" hidden="1">
      <c r="I263" s="20"/>
    </row>
    <row r="264" spans="1:28" hidden="1">
      <c r="I264" s="20"/>
    </row>
    <row r="265" spans="1:28" hidden="1">
      <c r="I265" s="20"/>
    </row>
    <row r="266" spans="1:28" ht="18.75" hidden="1" customHeight="1">
      <c r="I266" s="20"/>
    </row>
    <row r="267" spans="1:28" ht="18.75">
      <c r="A267" s="410" t="s">
        <v>432</v>
      </c>
      <c r="B267" s="410"/>
      <c r="C267" s="410"/>
      <c r="D267" s="410"/>
      <c r="E267" s="410"/>
      <c r="F267" s="410"/>
      <c r="G267" s="410"/>
      <c r="H267" s="410"/>
      <c r="I267" s="410"/>
      <c r="J267" s="410"/>
      <c r="K267" s="410"/>
      <c r="L267" s="410"/>
      <c r="M267" s="410"/>
      <c r="N267" s="410"/>
      <c r="O267" s="410"/>
      <c r="P267" s="410"/>
      <c r="Q267" s="410"/>
      <c r="V267" s="914"/>
      <c r="W267" s="914"/>
      <c r="X267" s="38"/>
    </row>
    <row r="268" spans="1:28">
      <c r="B268" s="21">
        <f>COUNT(B271:B373)</f>
        <v>103</v>
      </c>
      <c r="C268" s="21">
        <f t="shared" ref="C268:I268" si="4">COUNT(C271:C373)</f>
        <v>103</v>
      </c>
      <c r="D268" s="21">
        <f t="shared" si="4"/>
        <v>103</v>
      </c>
      <c r="E268" s="21">
        <f t="shared" si="4"/>
        <v>103</v>
      </c>
      <c r="F268" s="21">
        <f t="shared" si="4"/>
        <v>103</v>
      </c>
      <c r="G268" s="21">
        <f t="shared" si="4"/>
        <v>103</v>
      </c>
      <c r="H268" s="21">
        <f t="shared" si="4"/>
        <v>103</v>
      </c>
      <c r="I268" s="21">
        <f t="shared" si="4"/>
        <v>103</v>
      </c>
      <c r="L268" s="21">
        <f>COUNT(L271:L373)</f>
        <v>52</v>
      </c>
      <c r="M268" s="21">
        <f t="shared" ref="M268:T268" si="5">COUNT(M271:M373)</f>
        <v>52</v>
      </c>
      <c r="N268" s="21">
        <f t="shared" si="5"/>
        <v>52</v>
      </c>
      <c r="O268" s="21">
        <f t="shared" si="5"/>
        <v>52</v>
      </c>
      <c r="P268" s="21">
        <f t="shared" si="5"/>
        <v>52</v>
      </c>
      <c r="Q268" s="21">
        <f t="shared" si="5"/>
        <v>52</v>
      </c>
      <c r="R268" s="21">
        <f t="shared" si="5"/>
        <v>52</v>
      </c>
      <c r="S268" s="21">
        <f t="shared" si="5"/>
        <v>52</v>
      </c>
      <c r="T268" s="21">
        <f t="shared" si="5"/>
        <v>52</v>
      </c>
      <c r="V268" s="916"/>
      <c r="W268" s="916"/>
      <c r="X268" s="39"/>
      <c r="Z268" s="916"/>
      <c r="AA268" s="916"/>
      <c r="AB268" s="40"/>
    </row>
    <row r="269" spans="1:28" ht="15" customHeight="1">
      <c r="A269" s="915" t="s">
        <v>417</v>
      </c>
      <c r="B269" s="21">
        <f>COUNTA(B271:B373)</f>
        <v>103</v>
      </c>
      <c r="C269" s="21">
        <f t="shared" ref="C269:I269" si="6">COUNTA(C271:C373)</f>
        <v>103</v>
      </c>
      <c r="D269" s="21">
        <f t="shared" si="6"/>
        <v>103</v>
      </c>
      <c r="E269" s="21">
        <f t="shared" si="6"/>
        <v>103</v>
      </c>
      <c r="F269" s="21">
        <f t="shared" si="6"/>
        <v>103</v>
      </c>
      <c r="G269" s="21">
        <f t="shared" si="6"/>
        <v>103</v>
      </c>
      <c r="H269" s="21">
        <f t="shared" si="6"/>
        <v>103</v>
      </c>
      <c r="I269" s="21">
        <f t="shared" si="6"/>
        <v>103</v>
      </c>
      <c r="J269" s="905" t="s">
        <v>418</v>
      </c>
      <c r="K269" s="906" t="s">
        <v>419</v>
      </c>
      <c r="L269" s="21">
        <f>COUNTA(L271:L373)</f>
        <v>52</v>
      </c>
      <c r="M269" s="21">
        <f t="shared" ref="M269:T269" si="7">COUNTA(M271:M373)</f>
        <v>52</v>
      </c>
      <c r="N269" s="21">
        <f t="shared" si="7"/>
        <v>52</v>
      </c>
      <c r="O269" s="21">
        <f t="shared" si="7"/>
        <v>52</v>
      </c>
      <c r="P269" s="21">
        <f t="shared" si="7"/>
        <v>52</v>
      </c>
      <c r="Q269" s="21">
        <f t="shared" si="7"/>
        <v>52</v>
      </c>
      <c r="R269" s="21">
        <f t="shared" si="7"/>
        <v>52</v>
      </c>
      <c r="S269" s="21">
        <f t="shared" si="7"/>
        <v>52</v>
      </c>
      <c r="T269" s="21">
        <f t="shared" si="7"/>
        <v>52</v>
      </c>
      <c r="V269" s="1">
        <f>heeling</f>
        <v>0</v>
      </c>
      <c r="W269" s="382">
        <f>sound22</f>
        <v>1120</v>
      </c>
      <c r="X269" s="186">
        <f>IF((W269+W272)&lt;0,W269,W269+W272)</f>
        <v>1120</v>
      </c>
      <c r="Y269" s="381">
        <f>IF(Y271=Y270,Y270,Interp1(X270:X271,Y270:Y271,X269))</f>
        <v>358.35700000000003</v>
      </c>
      <c r="AA269" s="30"/>
    </row>
    <row r="270" spans="1:28">
      <c r="A270" s="915"/>
      <c r="B270" s="36">
        <v>-1</v>
      </c>
      <c r="C270" s="35">
        <v>0</v>
      </c>
      <c r="D270" s="35">
        <v>0.5</v>
      </c>
      <c r="E270" s="35">
        <v>1</v>
      </c>
      <c r="F270" s="35">
        <v>1.5</v>
      </c>
      <c r="G270" s="35">
        <v>2</v>
      </c>
      <c r="H270" s="37">
        <v>3</v>
      </c>
      <c r="I270" s="21">
        <v>4</v>
      </c>
      <c r="J270" s="905"/>
      <c r="K270" s="906"/>
      <c r="L270" s="21">
        <v>-4</v>
      </c>
      <c r="M270" s="35">
        <v>-3</v>
      </c>
      <c r="N270" s="35">
        <v>-2</v>
      </c>
      <c r="O270" s="35">
        <v>-1</v>
      </c>
      <c r="P270" s="35">
        <v>0</v>
      </c>
      <c r="Q270" s="35">
        <v>1</v>
      </c>
      <c r="R270" s="35">
        <v>2</v>
      </c>
      <c r="S270" s="35">
        <v>3</v>
      </c>
      <c r="T270" s="35">
        <v>4</v>
      </c>
      <c r="V270" s="1">
        <f>IF(tankSound2=soundingPipe2,tankSound2,FLOOR(W269,incHeel))</f>
        <v>1100</v>
      </c>
      <c r="W270" s="1">
        <f>Interp2(tank2Heel1,tank2Heel2,tank2Heel3,V270,V269)</f>
        <v>0</v>
      </c>
      <c r="X270" s="1">
        <f>IF(X269=soundingPipe2,Tank1!X269,FLOOR(X269,inc))</f>
        <v>1100</v>
      </c>
      <c r="Y270" s="42">
        <f>IF(W275=W274,W274,Interp1(V274:V275,W274:W275,V273))</f>
        <v>361.80700000000002</v>
      </c>
      <c r="AA270" s="30"/>
    </row>
    <row r="271" spans="1:28">
      <c r="A271" s="431">
        <v>0</v>
      </c>
      <c r="B271">
        <v>463.476</v>
      </c>
      <c r="C271">
        <v>463.476</v>
      </c>
      <c r="D271">
        <v>463.476</v>
      </c>
      <c r="E271">
        <v>463.476</v>
      </c>
      <c r="F271">
        <v>463.476</v>
      </c>
      <c r="G271">
        <v>463.476</v>
      </c>
      <c r="H271">
        <v>463.476</v>
      </c>
      <c r="I271">
        <v>463.36500000000001</v>
      </c>
      <c r="J271" s="21">
        <v>5069</v>
      </c>
      <c r="K271" s="422">
        <v>0</v>
      </c>
      <c r="L271" s="418">
        <v>0</v>
      </c>
      <c r="M271" s="418">
        <v>0</v>
      </c>
      <c r="N271" s="418">
        <v>0</v>
      </c>
      <c r="O271" s="418">
        <v>0</v>
      </c>
      <c r="P271" s="419">
        <v>0</v>
      </c>
      <c r="Q271" s="418">
        <v>0</v>
      </c>
      <c r="R271" s="418">
        <v>0</v>
      </c>
      <c r="S271" s="418">
        <v>302.93</v>
      </c>
      <c r="T271" s="418">
        <v>420.61</v>
      </c>
      <c r="U271" s="24"/>
      <c r="V271" s="1">
        <f>IF(V270=tankSound2,V270,CEILING(W269,incHeel))</f>
        <v>1200</v>
      </c>
      <c r="W271" s="1">
        <f>Interp2(tank2Heel1,tank2Heel2,tank2Heel3,V271,V269)</f>
        <v>0</v>
      </c>
      <c r="X271" s="1">
        <f>IF(X270=X269,X270,CEILING(X269,inc))</f>
        <v>1150</v>
      </c>
      <c r="Y271" s="42">
        <f>IF(X275=X274,X274,Interp1(V274:V275,X274:X275,V273))</f>
        <v>353.18200000000002</v>
      </c>
      <c r="AA271" s="30"/>
      <c r="AB271" s="42"/>
    </row>
    <row r="272" spans="1:28">
      <c r="A272" s="431">
        <v>50</v>
      </c>
      <c r="B272">
        <v>463.476</v>
      </c>
      <c r="C272">
        <v>463.476</v>
      </c>
      <c r="D272">
        <v>463.476</v>
      </c>
      <c r="E272">
        <v>463.476</v>
      </c>
      <c r="F272">
        <v>463.476</v>
      </c>
      <c r="G272">
        <v>463.476</v>
      </c>
      <c r="H272">
        <v>463.46600000000001</v>
      </c>
      <c r="I272">
        <v>463.05399999999997</v>
      </c>
      <c r="J272" s="21">
        <v>5019</v>
      </c>
      <c r="K272" s="422">
        <v>100</v>
      </c>
      <c r="L272" s="418">
        <v>0</v>
      </c>
      <c r="M272" s="418">
        <v>0</v>
      </c>
      <c r="N272" s="418">
        <v>0</v>
      </c>
      <c r="O272" s="418">
        <v>0</v>
      </c>
      <c r="P272" s="419">
        <v>0</v>
      </c>
      <c r="Q272" s="418">
        <v>0</v>
      </c>
      <c r="R272" s="418">
        <v>0</v>
      </c>
      <c r="S272" s="418">
        <v>315.33</v>
      </c>
      <c r="T272" s="418">
        <v>397.19</v>
      </c>
      <c r="U272" s="25"/>
      <c r="W272" s="1">
        <f>IF(W271=W270,W270,Interp1(V270:V271,W270:W271,W269))</f>
        <v>0</v>
      </c>
      <c r="Y272" s="42"/>
      <c r="AA272" s="30"/>
      <c r="AB272" s="42"/>
    </row>
    <row r="273" spans="1:28">
      <c r="A273" s="431">
        <v>100</v>
      </c>
      <c r="B273">
        <v>463.476</v>
      </c>
      <c r="C273">
        <v>463.476</v>
      </c>
      <c r="D273">
        <v>463.476</v>
      </c>
      <c r="E273">
        <v>463.476</v>
      </c>
      <c r="F273">
        <v>463.476</v>
      </c>
      <c r="G273">
        <v>463.476</v>
      </c>
      <c r="H273">
        <v>463.36200000000002</v>
      </c>
      <c r="I273">
        <v>462.41199999999998</v>
      </c>
      <c r="J273" s="21">
        <v>4969</v>
      </c>
      <c r="K273" s="422">
        <v>200</v>
      </c>
      <c r="L273" s="418">
        <v>0</v>
      </c>
      <c r="M273" s="418">
        <v>0</v>
      </c>
      <c r="N273" s="418">
        <v>0</v>
      </c>
      <c r="O273" s="418">
        <v>0</v>
      </c>
      <c r="P273" s="419">
        <v>0</v>
      </c>
      <c r="Q273" s="418">
        <v>0</v>
      </c>
      <c r="R273" s="418">
        <v>210.16</v>
      </c>
      <c r="S273" s="418">
        <v>294.93</v>
      </c>
      <c r="T273" s="418">
        <v>360.53</v>
      </c>
      <c r="U273" s="25"/>
      <c r="V273" s="1">
        <f>trim</f>
        <v>0.36</v>
      </c>
      <c r="AA273" s="30"/>
      <c r="AB273" s="42"/>
    </row>
    <row r="274" spans="1:28">
      <c r="A274" s="431">
        <v>150</v>
      </c>
      <c r="B274">
        <v>463.476</v>
      </c>
      <c r="C274">
        <v>463.476</v>
      </c>
      <c r="D274">
        <v>463.476</v>
      </c>
      <c r="E274">
        <v>463.476</v>
      </c>
      <c r="F274">
        <v>463.476</v>
      </c>
      <c r="G274">
        <v>463.46899999999999</v>
      </c>
      <c r="H274">
        <v>462.99299999999999</v>
      </c>
      <c r="I274">
        <v>461.34500000000003</v>
      </c>
      <c r="J274" s="21">
        <v>4919</v>
      </c>
      <c r="K274" s="422">
        <v>300</v>
      </c>
      <c r="L274" s="418">
        <v>0</v>
      </c>
      <c r="M274" s="418">
        <v>0</v>
      </c>
      <c r="N274" s="418">
        <v>0</v>
      </c>
      <c r="O274" s="418">
        <v>0</v>
      </c>
      <c r="P274" s="419">
        <v>0</v>
      </c>
      <c r="Q274" s="418">
        <v>105.06</v>
      </c>
      <c r="R274" s="418">
        <v>193.99</v>
      </c>
      <c r="S274" s="418">
        <v>264.35000000000002</v>
      </c>
      <c r="T274" s="418">
        <v>330.11</v>
      </c>
      <c r="U274" s="25"/>
      <c r="V274" s="1">
        <f>INDEX(tank2Trim2,0,MATCH(V273,tank2Trim2,1))</f>
        <v>0</v>
      </c>
      <c r="W274" s="1">
        <f>Interp2(tank2Trim1,tank2Trim2,tank2Trim3,X270,V274)</f>
        <v>364.94600000000003</v>
      </c>
      <c r="X274" s="1">
        <f>Interp2(tank2Trim1,tank2Trim2,tank2Trim3,X271,V274)</f>
        <v>356.28399999999999</v>
      </c>
      <c r="AA274" s="30"/>
    </row>
    <row r="275" spans="1:28">
      <c r="A275" s="431">
        <v>200</v>
      </c>
      <c r="B275">
        <v>463.476</v>
      </c>
      <c r="C275">
        <v>463.476</v>
      </c>
      <c r="D275">
        <v>463.476</v>
      </c>
      <c r="E275">
        <v>463476</v>
      </c>
      <c r="F275">
        <v>463.471</v>
      </c>
      <c r="G275">
        <v>463.34699999999998</v>
      </c>
      <c r="H275">
        <v>462.22899999999998</v>
      </c>
      <c r="I275">
        <v>459.697</v>
      </c>
      <c r="J275" s="21">
        <v>4869</v>
      </c>
      <c r="K275" s="422">
        <v>400</v>
      </c>
      <c r="L275" s="418">
        <v>0</v>
      </c>
      <c r="M275" s="418">
        <v>0</v>
      </c>
      <c r="N275" s="418">
        <v>0</v>
      </c>
      <c r="O275" s="418">
        <v>0</v>
      </c>
      <c r="P275" s="419">
        <v>0</v>
      </c>
      <c r="Q275" s="418">
        <v>95.12</v>
      </c>
      <c r="R275" s="418">
        <v>170.77</v>
      </c>
      <c r="S275" s="418">
        <v>238.42</v>
      </c>
      <c r="T275" s="418">
        <v>301.38</v>
      </c>
      <c r="U275" s="25"/>
      <c r="V275" s="1">
        <f>IF(V274=V273,V273,INDEX(tank2Trim2,0,MATCH(V273,tank2Trim2,1)+1))</f>
        <v>0.5</v>
      </c>
      <c r="W275" s="1">
        <f>Interp2(tank2Trim1,tank2Trim2,tank2Trim3,X270,V275)</f>
        <v>360.58600000000001</v>
      </c>
      <c r="X275" s="1">
        <f>Interp2(tank2Trim1,tank2Trim2,tank2Trim3,X271,V275)</f>
        <v>351.976</v>
      </c>
      <c r="AA275" s="30"/>
      <c r="AB275" s="42"/>
    </row>
    <row r="276" spans="1:28">
      <c r="A276" s="431">
        <v>250</v>
      </c>
      <c r="B276">
        <v>463.476</v>
      </c>
      <c r="C276">
        <v>463.476</v>
      </c>
      <c r="D276">
        <v>463.476</v>
      </c>
      <c r="E276">
        <v>463.47199999999998</v>
      </c>
      <c r="F276">
        <v>463.32900000000001</v>
      </c>
      <c r="G276">
        <v>462.87700000000001</v>
      </c>
      <c r="H276">
        <v>460.88900000000001</v>
      </c>
      <c r="I276">
        <v>457.40300000000002</v>
      </c>
      <c r="J276" s="21">
        <v>4819</v>
      </c>
      <c r="K276" s="422">
        <v>500</v>
      </c>
      <c r="L276" s="418">
        <v>0</v>
      </c>
      <c r="M276" s="418">
        <v>0</v>
      </c>
      <c r="N276" s="418">
        <v>0</v>
      </c>
      <c r="O276" s="418">
        <v>-131.19999999999999</v>
      </c>
      <c r="P276" s="419">
        <v>0</v>
      </c>
      <c r="Q276" s="418">
        <v>81.45</v>
      </c>
      <c r="R276" s="418">
        <v>150.62</v>
      </c>
      <c r="S276" s="418">
        <v>213.93</v>
      </c>
      <c r="T276" s="418">
        <v>267.7</v>
      </c>
      <c r="U276" s="25"/>
      <c r="W276" s="43"/>
      <c r="X276" s="42"/>
      <c r="AA276" s="30"/>
      <c r="AB276" s="42"/>
    </row>
    <row r="277" spans="1:28">
      <c r="A277" s="431">
        <v>300</v>
      </c>
      <c r="B277">
        <v>463.476</v>
      </c>
      <c r="C277">
        <v>463.476</v>
      </c>
      <c r="D277">
        <v>463.47399999999999</v>
      </c>
      <c r="E277">
        <v>463.28899999999999</v>
      </c>
      <c r="F277">
        <v>462.74900000000002</v>
      </c>
      <c r="G277">
        <v>461.82499999999999</v>
      </c>
      <c r="H277">
        <v>458.83300000000003</v>
      </c>
      <c r="I277">
        <v>454.29700000000003</v>
      </c>
      <c r="J277" s="21">
        <v>4769</v>
      </c>
      <c r="K277" s="422">
        <v>600</v>
      </c>
      <c r="L277" s="418">
        <v>0</v>
      </c>
      <c r="M277" s="418">
        <v>0</v>
      </c>
      <c r="N277" s="418">
        <v>-262.54000000000002</v>
      </c>
      <c r="O277" s="418">
        <v>-93.15</v>
      </c>
      <c r="P277" s="419">
        <v>0</v>
      </c>
      <c r="Q277" s="418">
        <v>69.290000000000006</v>
      </c>
      <c r="R277" s="418">
        <v>131.77000000000001</v>
      </c>
      <c r="S277" s="418">
        <v>188.3</v>
      </c>
      <c r="T277" s="418">
        <v>241.59</v>
      </c>
      <c r="U277" s="25"/>
    </row>
    <row r="278" spans="1:28">
      <c r="A278" s="431">
        <v>350</v>
      </c>
      <c r="B278">
        <v>463.47300000000001</v>
      </c>
      <c r="C278">
        <v>463.45699999999999</v>
      </c>
      <c r="D278">
        <v>463.16199999999998</v>
      </c>
      <c r="E278">
        <v>462.48</v>
      </c>
      <c r="F278">
        <v>461.41300000000001</v>
      </c>
      <c r="G278">
        <v>459.96100000000001</v>
      </c>
      <c r="H278">
        <v>455.90100000000001</v>
      </c>
      <c r="I278">
        <v>450.30099999999999</v>
      </c>
      <c r="J278" s="21">
        <v>4719</v>
      </c>
      <c r="K278" s="422">
        <v>700</v>
      </c>
      <c r="L278" s="418">
        <v>0</v>
      </c>
      <c r="M278" s="418">
        <v>-393.63</v>
      </c>
      <c r="N278" s="418">
        <v>-172.91</v>
      </c>
      <c r="O278" s="418">
        <v>-75.55</v>
      </c>
      <c r="P278" s="419">
        <v>0</v>
      </c>
      <c r="Q278" s="418">
        <v>58.42</v>
      </c>
      <c r="R278" s="418">
        <v>116.24</v>
      </c>
      <c r="S278" s="418">
        <v>170.78</v>
      </c>
      <c r="T278" s="418">
        <v>222.77</v>
      </c>
      <c r="U278" s="25"/>
      <c r="V278" s="1">
        <f>Bunkering!heeling1</f>
        <v>0</v>
      </c>
      <c r="W278" s="382">
        <f>sound32</f>
        <v>1100</v>
      </c>
      <c r="X278" s="186">
        <f>IF((W278+W281)&lt;0,W278,W278+W281)</f>
        <v>1100</v>
      </c>
      <c r="Y278" s="381">
        <f>IF(Y280=Y279,Y279,Interp1(X279:X280,Y279:Y280,X278))</f>
        <v>361.80700000000002</v>
      </c>
    </row>
    <row r="279" spans="1:28">
      <c r="A279" s="431">
        <v>400</v>
      </c>
      <c r="B279">
        <v>463.29199999999997</v>
      </c>
      <c r="C279">
        <v>462.71899999999999</v>
      </c>
      <c r="D279">
        <v>461.887</v>
      </c>
      <c r="E279">
        <v>460.67</v>
      </c>
      <c r="F279">
        <v>459.06799999999998</v>
      </c>
      <c r="G279">
        <v>457.08</v>
      </c>
      <c r="H279">
        <v>451.94799999999998</v>
      </c>
      <c r="I279">
        <v>445.31299999999999</v>
      </c>
      <c r="J279" s="21">
        <v>4669</v>
      </c>
      <c r="K279" s="422">
        <v>800</v>
      </c>
      <c r="L279" s="418">
        <v>-320.32</v>
      </c>
      <c r="M279" s="418">
        <v>-199.66</v>
      </c>
      <c r="N279" s="418">
        <v>-122.93</v>
      </c>
      <c r="O279" s="418">
        <v>-58.79</v>
      </c>
      <c r="P279" s="419">
        <v>0</v>
      </c>
      <c r="Q279" s="418">
        <v>55.89</v>
      </c>
      <c r="R279" s="418">
        <v>110.86</v>
      </c>
      <c r="S279" s="418">
        <v>163.21</v>
      </c>
      <c r="T279" s="418">
        <v>213.23</v>
      </c>
      <c r="U279" s="25"/>
      <c r="V279" s="1">
        <f>IF(tankSound22=soundingPipe2,tankSound22,FLOOR(W278,incHeel))</f>
        <v>1100</v>
      </c>
      <c r="W279" s="1">
        <f>Interp2(tank2Heel1,tank2Heel2,tank2Heel3,V279,V278)</f>
        <v>0</v>
      </c>
      <c r="X279" s="1">
        <f>IF(X278=soundingPipe2,Tank1!X278,FLOOR(X278,inc))</f>
        <v>1100</v>
      </c>
      <c r="Y279" s="42">
        <f>IF(W284=W283,W283,Interp1(V283:V284,W283:W284,V282))</f>
        <v>361.80700000000002</v>
      </c>
      <c r="Z279" s="918"/>
      <c r="AA279" s="918"/>
      <c r="AB279" s="42"/>
    </row>
    <row r="280" spans="1:28">
      <c r="A280" s="431">
        <v>450</v>
      </c>
      <c r="B280">
        <v>462.49200000000002</v>
      </c>
      <c r="C280">
        <v>460.91399999999999</v>
      </c>
      <c r="D280">
        <v>459.54700000000003</v>
      </c>
      <c r="E280">
        <v>457.79500000000002</v>
      </c>
      <c r="F280">
        <v>455.65600000000001</v>
      </c>
      <c r="G280">
        <v>453.13299999999998</v>
      </c>
      <c r="H280">
        <v>446.93</v>
      </c>
      <c r="I280">
        <v>439.42</v>
      </c>
      <c r="J280" s="21">
        <v>4619</v>
      </c>
      <c r="K280" s="422">
        <v>900</v>
      </c>
      <c r="L280" s="418">
        <v>-239.5</v>
      </c>
      <c r="M280" s="418">
        <v>-171.32</v>
      </c>
      <c r="N280" s="418">
        <v>-112.43</v>
      </c>
      <c r="O280" s="418">
        <v>-55.89</v>
      </c>
      <c r="P280" s="419">
        <v>0</v>
      </c>
      <c r="Q280" s="418">
        <v>55.44</v>
      </c>
      <c r="R280" s="418">
        <v>108.25</v>
      </c>
      <c r="S280" s="418">
        <v>159.26</v>
      </c>
      <c r="T280" s="418">
        <v>207.9</v>
      </c>
      <c r="U280" s="25"/>
      <c r="V280" s="1">
        <f>IF(V279=tankSound22,V279,CEILING(W278,incHeel))</f>
        <v>1100</v>
      </c>
      <c r="W280" s="1">
        <f>Interp2(tank2Heel1,tank2Heel2,tank2Heel3,V280,V278)</f>
        <v>0</v>
      </c>
      <c r="X280" s="1">
        <f>IF(X279=X278,X279,CEILING(X278,inc))</f>
        <v>1100</v>
      </c>
      <c r="Y280" s="42">
        <f>IF(X284=X283,X283,Interp1(V283:V284,X283:X284,V282))</f>
        <v>361.80700000000002</v>
      </c>
    </row>
    <row r="281" spans="1:28">
      <c r="A281" s="431">
        <v>500</v>
      </c>
      <c r="B281">
        <v>460.69299999999998</v>
      </c>
      <c r="C281">
        <v>458.04399999999998</v>
      </c>
      <c r="D281">
        <v>456.14100000000002</v>
      </c>
      <c r="E281">
        <v>453.85300000000001</v>
      </c>
      <c r="F281">
        <v>451.17899999999997</v>
      </c>
      <c r="G281">
        <v>448.11900000000003</v>
      </c>
      <c r="H281">
        <v>440.88099999999997</v>
      </c>
      <c r="I281">
        <v>432.72899999999998</v>
      </c>
      <c r="J281" s="21">
        <v>4569</v>
      </c>
      <c r="K281" s="422">
        <v>1000</v>
      </c>
      <c r="L281" s="420">
        <v>-225.15</v>
      </c>
      <c r="M281" s="420">
        <v>-167.81</v>
      </c>
      <c r="N281" s="420">
        <v>-111.82</v>
      </c>
      <c r="O281" s="420">
        <v>-55.71</v>
      </c>
      <c r="P281" s="419">
        <v>0</v>
      </c>
      <c r="Q281" s="420">
        <v>54.13</v>
      </c>
      <c r="R281" s="420">
        <v>105.49</v>
      </c>
      <c r="S281" s="420">
        <v>155.24</v>
      </c>
      <c r="T281" s="420">
        <v>202.57</v>
      </c>
      <c r="U281" s="26"/>
      <c r="W281" s="1">
        <f>IF(W280=W279,W279,Interp1(V279:V280,W279:W280,W278))</f>
        <v>0</v>
      </c>
      <c r="Y281" s="42"/>
    </row>
    <row r="282" spans="1:28">
      <c r="A282" s="431">
        <v>550</v>
      </c>
      <c r="B282">
        <v>457.82799999999997</v>
      </c>
      <c r="C282">
        <v>454.10700000000003</v>
      </c>
      <c r="D282">
        <v>451.66800000000001</v>
      </c>
      <c r="E282">
        <v>448.84399999999999</v>
      </c>
      <c r="F282">
        <v>445.63499999999999</v>
      </c>
      <c r="G282">
        <v>442.03899999999999</v>
      </c>
      <c r="H282">
        <v>433.95400000000001</v>
      </c>
      <c r="I282">
        <v>425.35199999999998</v>
      </c>
      <c r="J282" s="21">
        <v>4519</v>
      </c>
      <c r="K282" s="422">
        <v>1100</v>
      </c>
      <c r="L282" s="418">
        <v>-223.91</v>
      </c>
      <c r="M282" s="418">
        <v>-167.68</v>
      </c>
      <c r="N282" s="418">
        <v>-111.45</v>
      </c>
      <c r="O282" s="418">
        <v>-54.54</v>
      </c>
      <c r="P282" s="419">
        <v>0</v>
      </c>
      <c r="Q282" s="418">
        <v>52.74</v>
      </c>
      <c r="R282" s="418">
        <v>102.71</v>
      </c>
      <c r="S282" s="418">
        <v>151.22</v>
      </c>
      <c r="T282" s="418">
        <v>197.3</v>
      </c>
      <c r="U282" s="25"/>
      <c r="V282" s="1">
        <f>Bunkering!trim1</f>
        <v>0.36</v>
      </c>
      <c r="Z282" s="916"/>
      <c r="AA282" s="916"/>
      <c r="AB282" s="40"/>
    </row>
    <row r="283" spans="1:28">
      <c r="A283" s="431">
        <v>600</v>
      </c>
      <c r="B283">
        <v>453.89600000000002</v>
      </c>
      <c r="C283">
        <v>449.10399999999998</v>
      </c>
      <c r="D283">
        <v>446.12900000000002</v>
      </c>
      <c r="E283">
        <v>442.77</v>
      </c>
      <c r="F283">
        <v>439.024</v>
      </c>
      <c r="G283">
        <v>434.93200000000002</v>
      </c>
      <c r="H283">
        <v>426.28699999999998</v>
      </c>
      <c r="I283">
        <v>417.42599999999999</v>
      </c>
      <c r="J283" s="21">
        <v>4469</v>
      </c>
      <c r="K283" s="422">
        <v>1200</v>
      </c>
      <c r="L283" s="418">
        <v>-223.59</v>
      </c>
      <c r="M283" s="418">
        <v>-166.55</v>
      </c>
      <c r="N283" s="418">
        <v>-109.17</v>
      </c>
      <c r="O283" s="418">
        <v>-53.07</v>
      </c>
      <c r="P283" s="419">
        <v>0</v>
      </c>
      <c r="Q283" s="418">
        <v>51.35</v>
      </c>
      <c r="R283" s="418">
        <v>99.94</v>
      </c>
      <c r="S283" s="418">
        <v>147.19</v>
      </c>
      <c r="T283" s="418">
        <v>192.08</v>
      </c>
      <c r="U283" s="25"/>
      <c r="V283" s="1">
        <f>INDEX(tank2Trim2,0,MATCH(V282,tank2Trim2,1))</f>
        <v>0</v>
      </c>
      <c r="W283" s="1">
        <f>Interp2(tank2Trim1,tank2Trim2,tank2Trim3,X279,V283)</f>
        <v>364.94600000000003</v>
      </c>
      <c r="X283" s="1">
        <f>Interp2(tank2Trim1,tank2Trim2,tank2Trim3,X280,V283)</f>
        <v>364.94600000000003</v>
      </c>
      <c r="AA283" s="30"/>
    </row>
    <row r="284" spans="1:28">
      <c r="A284" s="431">
        <v>650</v>
      </c>
      <c r="B284">
        <v>448.89800000000002</v>
      </c>
      <c r="C284">
        <v>443.03500000000003</v>
      </c>
      <c r="D284">
        <v>439.524</v>
      </c>
      <c r="E284">
        <v>435.62900000000002</v>
      </c>
      <c r="F284">
        <v>431.39</v>
      </c>
      <c r="G284">
        <v>426.99299999999999</v>
      </c>
      <c r="H284">
        <v>418.05</v>
      </c>
      <c r="I284">
        <v>409.06099999999998</v>
      </c>
      <c r="J284" s="21">
        <v>4419</v>
      </c>
      <c r="K284" s="422">
        <v>1300</v>
      </c>
      <c r="L284" s="418">
        <v>-221.51</v>
      </c>
      <c r="M284" s="418">
        <v>-163.09</v>
      </c>
      <c r="N284" s="418">
        <v>-106.22</v>
      </c>
      <c r="O284" s="418">
        <v>-51.6</v>
      </c>
      <c r="P284" s="419">
        <v>0</v>
      </c>
      <c r="Q284" s="418">
        <v>49.96</v>
      </c>
      <c r="R284" s="418">
        <v>97.23</v>
      </c>
      <c r="S284" s="418">
        <v>143.16</v>
      </c>
      <c r="T284" s="418">
        <v>186.86</v>
      </c>
      <c r="U284" s="25"/>
      <c r="V284" s="1">
        <f>IF(V283=V282,V282,INDEX(tank2Trim2,0,MATCH(V282,tank2Trim2,1)+1))</f>
        <v>0.5</v>
      </c>
      <c r="W284" s="1">
        <f>Interp2(tank2Trim1,tank2Trim2,tank2Trim3,X279,V284)</f>
        <v>360.58600000000001</v>
      </c>
      <c r="X284" s="1">
        <f>Interp2(tank2Trim1,tank2Trim2,tank2Trim3,X280,V284)</f>
        <v>360.58600000000001</v>
      </c>
      <c r="AA284" s="30"/>
    </row>
    <row r="285" spans="1:28">
      <c r="A285" s="431">
        <v>700</v>
      </c>
      <c r="B285">
        <v>442.834</v>
      </c>
      <c r="C285">
        <v>435.899</v>
      </c>
      <c r="D285">
        <v>431.85300000000001</v>
      </c>
      <c r="E285">
        <v>427.471</v>
      </c>
      <c r="F285">
        <v>422.97800000000001</v>
      </c>
      <c r="G285">
        <v>418.45499999999998</v>
      </c>
      <c r="H285">
        <v>409.39800000000002</v>
      </c>
      <c r="I285">
        <v>400.40800000000002</v>
      </c>
      <c r="J285" s="21">
        <v>4369</v>
      </c>
      <c r="K285" s="422">
        <v>1400</v>
      </c>
      <c r="L285" s="418">
        <v>-216.95</v>
      </c>
      <c r="M285" s="418">
        <v>-158.47999999999999</v>
      </c>
      <c r="N285" s="418">
        <v>-103.26</v>
      </c>
      <c r="O285" s="418">
        <v>-50.13</v>
      </c>
      <c r="P285" s="419">
        <v>0</v>
      </c>
      <c r="Q285" s="418">
        <v>48.57</v>
      </c>
      <c r="R285" s="418">
        <v>94.52</v>
      </c>
      <c r="S285" s="418">
        <v>139.12</v>
      </c>
      <c r="T285" s="418">
        <v>181.63</v>
      </c>
      <c r="U285" s="25"/>
      <c r="W285" s="30"/>
      <c r="AA285" s="30"/>
      <c r="AB285" s="42"/>
    </row>
    <row r="286" spans="1:28">
      <c r="A286" s="431">
        <v>750</v>
      </c>
      <c r="B286">
        <v>435.70299999999997</v>
      </c>
      <c r="C286">
        <v>427.697</v>
      </c>
      <c r="D286">
        <v>423.18900000000002</v>
      </c>
      <c r="E286">
        <v>418.64499999999998</v>
      </c>
      <c r="F286">
        <v>414.1</v>
      </c>
      <c r="G286">
        <v>409.553</v>
      </c>
      <c r="H286">
        <v>400.505</v>
      </c>
      <c r="I286">
        <v>391.57100000000003</v>
      </c>
      <c r="J286" s="21">
        <v>4319</v>
      </c>
      <c r="K286" s="422">
        <v>1500</v>
      </c>
      <c r="L286" s="418">
        <v>-210.76</v>
      </c>
      <c r="M286" s="418">
        <v>-153.88</v>
      </c>
      <c r="N286" s="418">
        <v>-100.31</v>
      </c>
      <c r="O286" s="418">
        <v>-48.66</v>
      </c>
      <c r="P286" s="419">
        <v>0</v>
      </c>
      <c r="Q286" s="418">
        <v>47.18</v>
      </c>
      <c r="R286" s="418">
        <v>91.81</v>
      </c>
      <c r="S286" s="418">
        <v>135.08000000000001</v>
      </c>
      <c r="T286" s="418">
        <v>176.4</v>
      </c>
      <c r="U286" s="24"/>
      <c r="W286" s="30"/>
      <c r="X286" s="42"/>
      <c r="AA286" s="30"/>
      <c r="AB286" s="42"/>
    </row>
    <row r="287" spans="1:28">
      <c r="A287" s="431">
        <v>800</v>
      </c>
      <c r="B287">
        <v>427.55399999999997</v>
      </c>
      <c r="C287">
        <v>418.69499999999999</v>
      </c>
      <c r="D287">
        <v>414.15</v>
      </c>
      <c r="E287">
        <v>409.60399999999998</v>
      </c>
      <c r="F287">
        <v>405.05900000000003</v>
      </c>
      <c r="G287">
        <v>400.52499999999998</v>
      </c>
      <c r="H287">
        <v>391.54399999999998</v>
      </c>
      <c r="I287">
        <v>382.69900000000001</v>
      </c>
      <c r="J287" s="21">
        <v>4269</v>
      </c>
      <c r="K287" s="422">
        <v>1600</v>
      </c>
      <c r="L287" s="418">
        <v>-204.55</v>
      </c>
      <c r="M287" s="418">
        <v>-149.28</v>
      </c>
      <c r="N287" s="418">
        <v>-97.29</v>
      </c>
      <c r="O287" s="418">
        <v>-47.19</v>
      </c>
      <c r="P287" s="419">
        <v>0</v>
      </c>
      <c r="Q287" s="418">
        <v>45.78</v>
      </c>
      <c r="R287" s="418">
        <v>89.11</v>
      </c>
      <c r="S287" s="418">
        <v>131.04</v>
      </c>
      <c r="T287" s="418">
        <v>171.17</v>
      </c>
      <c r="U287" s="24"/>
      <c r="V287" s="1">
        <f>bunkerPlanTrim*-1</f>
        <v>0.15</v>
      </c>
      <c r="W287" s="383">
        <v>400</v>
      </c>
      <c r="X287" s="384" t="str">
        <f>ADDRESS(X289,10,1,1)</f>
        <v>$J$289</v>
      </c>
      <c r="AA287" s="30"/>
      <c r="AB287" s="42"/>
    </row>
    <row r="288" spans="1:28">
      <c r="A288" s="431">
        <v>850</v>
      </c>
      <c r="B288">
        <v>418.733</v>
      </c>
      <c r="C288">
        <v>409.64800000000002</v>
      </c>
      <c r="D288">
        <v>405.10300000000001</v>
      </c>
      <c r="E288">
        <v>400.55799999999999</v>
      </c>
      <c r="F288">
        <v>396.02600000000001</v>
      </c>
      <c r="G288">
        <v>391.52499999999998</v>
      </c>
      <c r="H288">
        <v>382.62799999999999</v>
      </c>
      <c r="I288">
        <v>373.87799999999999</v>
      </c>
      <c r="J288" s="21">
        <v>4219</v>
      </c>
      <c r="K288" s="422">
        <v>1700</v>
      </c>
      <c r="L288" s="418">
        <v>-198.32</v>
      </c>
      <c r="M288" s="418">
        <v>-144.68</v>
      </c>
      <c r="N288" s="418">
        <v>-94.26</v>
      </c>
      <c r="O288" s="418">
        <v>-45.72</v>
      </c>
      <c r="P288" s="419">
        <v>0</v>
      </c>
      <c r="Q288" s="418">
        <v>44.39</v>
      </c>
      <c r="R288" s="418">
        <v>86.4</v>
      </c>
      <c r="S288" s="418">
        <v>126.99</v>
      </c>
      <c r="T288" s="418">
        <v>165.93</v>
      </c>
      <c r="U288" s="24"/>
      <c r="V288" s="188">
        <f>INDEX(tank2Trim2,0,MATCH(V287,tank2Trim2,1))</f>
        <v>0</v>
      </c>
      <c r="W288" s="188">
        <f>MATCH(V288,tank1Trim2,0)+1</f>
        <v>3</v>
      </c>
      <c r="X288" s="188">
        <f>MATCH(targetTank2,IF(W288=2,B271:B373,IF(W288=3,C271:C373,IF(W288=4,D271:D373,IF(W288=5,E271:E373,IF(W288=6,F271:F373,IF(W288=7,G271:G373,IF(W288=8,H271:H373,IF(W288=9,I271:I373)))))))),-1)</f>
        <v>19</v>
      </c>
      <c r="AA288" s="30"/>
    </row>
    <row r="289" spans="1:28">
      <c r="A289" s="431">
        <v>900</v>
      </c>
      <c r="B289">
        <v>409.69200000000001</v>
      </c>
      <c r="C289">
        <v>400.601</v>
      </c>
      <c r="D289">
        <v>396.05599999999998</v>
      </c>
      <c r="E289">
        <v>391.529</v>
      </c>
      <c r="F289">
        <v>387.036</v>
      </c>
      <c r="G289">
        <v>382.58100000000002</v>
      </c>
      <c r="H289">
        <v>373.78300000000002</v>
      </c>
      <c r="I289">
        <v>365.13400000000001</v>
      </c>
      <c r="J289" s="21">
        <v>4169</v>
      </c>
      <c r="K289" s="422">
        <v>1800</v>
      </c>
      <c r="L289" s="418">
        <v>-191.97</v>
      </c>
      <c r="M289" s="418">
        <v>-140.1</v>
      </c>
      <c r="N289" s="418">
        <v>-91.24</v>
      </c>
      <c r="O289" s="418">
        <v>-44.26</v>
      </c>
      <c r="P289" s="419">
        <v>0</v>
      </c>
      <c r="Q289" s="418">
        <v>43</v>
      </c>
      <c r="R289" s="418">
        <v>83.69</v>
      </c>
      <c r="S289" s="418">
        <v>122.94</v>
      </c>
      <c r="T289" s="418">
        <v>160.68</v>
      </c>
      <c r="U289" s="24"/>
      <c r="V289" s="386">
        <v>1100</v>
      </c>
      <c r="X289" s="188">
        <f>X288+270</f>
        <v>289</v>
      </c>
      <c r="AA289" s="30"/>
      <c r="AB289" s="42"/>
    </row>
    <row r="290" spans="1:28">
      <c r="A290" s="431">
        <v>950</v>
      </c>
      <c r="B290">
        <v>400.64600000000002</v>
      </c>
      <c r="C290">
        <v>391.55700000000002</v>
      </c>
      <c r="D290">
        <v>387.04</v>
      </c>
      <c r="E290">
        <v>382.56099999999998</v>
      </c>
      <c r="F290">
        <v>378.12</v>
      </c>
      <c r="G290">
        <v>373.71699999999998</v>
      </c>
      <c r="H290">
        <v>365.02300000000002</v>
      </c>
      <c r="I290">
        <v>356.41899999999998</v>
      </c>
      <c r="J290" s="21">
        <v>4119</v>
      </c>
      <c r="K290" s="422">
        <v>1900</v>
      </c>
      <c r="L290" s="418">
        <v>-185.63</v>
      </c>
      <c r="M290" s="418">
        <v>-135.51</v>
      </c>
      <c r="N290" s="418">
        <v>-88.21</v>
      </c>
      <c r="O290" s="418">
        <v>-42.79</v>
      </c>
      <c r="P290" s="419">
        <v>0</v>
      </c>
      <c r="Q290" s="418">
        <v>41.61</v>
      </c>
      <c r="R290" s="418">
        <v>80.98</v>
      </c>
      <c r="S290" s="418">
        <v>118.87</v>
      </c>
      <c r="T290" s="418">
        <v>155.43</v>
      </c>
      <c r="U290" s="25"/>
      <c r="V290" s="188">
        <f>FLOOR(V289,inc)</f>
        <v>1100</v>
      </c>
      <c r="W290" s="384">
        <f>Interp2(tank2Trim1,tank2Trim2,tank2Trim3,V290,V288)</f>
        <v>364.94600000000003</v>
      </c>
      <c r="X290" s="188"/>
      <c r="AA290" s="30"/>
      <c r="AB290" s="42"/>
    </row>
    <row r="291" spans="1:28">
      <c r="A291" s="431">
        <v>1000</v>
      </c>
      <c r="B291">
        <v>391.61700000000002</v>
      </c>
      <c r="C291">
        <v>382.58199999999999</v>
      </c>
      <c r="D291">
        <v>378.11799999999999</v>
      </c>
      <c r="E291">
        <v>373.69200000000001</v>
      </c>
      <c r="F291">
        <v>369.303</v>
      </c>
      <c r="G291">
        <v>364.95100000000002</v>
      </c>
      <c r="H291">
        <v>356.36200000000002</v>
      </c>
      <c r="I291">
        <v>347.923</v>
      </c>
      <c r="J291" s="21">
        <v>4069</v>
      </c>
      <c r="K291" s="422">
        <v>2000</v>
      </c>
      <c r="L291" s="420">
        <v>-179.29</v>
      </c>
      <c r="M291" s="420">
        <v>-130.94</v>
      </c>
      <c r="N291" s="420">
        <v>-85.18</v>
      </c>
      <c r="O291" s="418">
        <v>-41.32</v>
      </c>
      <c r="P291" s="419">
        <v>0</v>
      </c>
      <c r="Q291" s="420">
        <v>40.22</v>
      </c>
      <c r="R291" s="418">
        <v>78.27</v>
      </c>
      <c r="S291" s="420">
        <v>114.8</v>
      </c>
      <c r="T291" s="420">
        <v>150.16999999999999</v>
      </c>
      <c r="U291" s="27"/>
      <c r="W291" s="43"/>
      <c r="X291" s="42"/>
    </row>
    <row r="292" spans="1:28">
      <c r="A292" s="431">
        <v>1050</v>
      </c>
      <c r="B292">
        <v>382.64800000000002</v>
      </c>
      <c r="C292">
        <v>373.71199999999999</v>
      </c>
      <c r="D292">
        <v>369.3</v>
      </c>
      <c r="E292">
        <v>364.92599999999999</v>
      </c>
      <c r="F292">
        <v>360.589</v>
      </c>
      <c r="G292">
        <v>356.29</v>
      </c>
      <c r="H292">
        <v>347.80599999999998</v>
      </c>
      <c r="I292">
        <v>339.471</v>
      </c>
      <c r="J292" s="21">
        <v>4019</v>
      </c>
      <c r="K292" s="422">
        <v>2100</v>
      </c>
      <c r="L292" s="418">
        <v>-172.97</v>
      </c>
      <c r="M292" s="418">
        <v>-126.37</v>
      </c>
      <c r="N292" s="418">
        <v>-82.16</v>
      </c>
      <c r="O292" s="418">
        <v>-39.85</v>
      </c>
      <c r="P292" s="419">
        <v>0</v>
      </c>
      <c r="Q292" s="418">
        <v>38.82</v>
      </c>
      <c r="R292" s="418">
        <v>75.56</v>
      </c>
      <c r="S292" s="418">
        <v>110.73</v>
      </c>
      <c r="T292" s="418">
        <v>144.9</v>
      </c>
      <c r="U292" s="25"/>
    </row>
    <row r="293" spans="1:28">
      <c r="A293" s="431">
        <v>1100</v>
      </c>
      <c r="B293">
        <v>373.77699999999999</v>
      </c>
      <c r="C293">
        <v>364.94600000000003</v>
      </c>
      <c r="D293">
        <v>360.58600000000001</v>
      </c>
      <c r="E293">
        <v>356.26499999999999</v>
      </c>
      <c r="F293">
        <v>351.98</v>
      </c>
      <c r="G293">
        <v>347.733</v>
      </c>
      <c r="H293">
        <v>339.35300000000001</v>
      </c>
      <c r="I293">
        <v>331.12299999999999</v>
      </c>
      <c r="J293" s="21">
        <v>3969</v>
      </c>
      <c r="K293" s="422">
        <v>2200</v>
      </c>
      <c r="L293" s="418">
        <v>-166.65</v>
      </c>
      <c r="M293" s="418">
        <v>-121.81</v>
      </c>
      <c r="N293" s="418">
        <v>-79.13</v>
      </c>
      <c r="O293" s="418">
        <v>-38.39</v>
      </c>
      <c r="P293" s="419">
        <v>0</v>
      </c>
      <c r="Q293" s="418">
        <v>37.43</v>
      </c>
      <c r="R293" s="418">
        <v>72.849999999999994</v>
      </c>
      <c r="S293" s="418">
        <v>106.65</v>
      </c>
      <c r="T293" s="418">
        <v>139.63</v>
      </c>
      <c r="U293" s="24"/>
      <c r="V293" s="1">
        <f>bunkerPlanHeel</f>
        <v>0</v>
      </c>
      <c r="W293" s="382">
        <f>currentSounding2</f>
        <v>1100</v>
      </c>
      <c r="X293" s="186">
        <f>IF((W293+W296)&lt;0,W293,W293+W296)</f>
        <v>1100</v>
      </c>
      <c r="Y293" s="381">
        <f>IF(Y295=Y294,Y294,Interp1(X294:X295,Y294:Y295,X293))</f>
        <v>366.27100000000002</v>
      </c>
      <c r="Z293" s="918"/>
      <c r="AA293" s="918"/>
      <c r="AB293" s="42"/>
    </row>
    <row r="294" spans="1:28">
      <c r="A294" s="431">
        <v>1150</v>
      </c>
      <c r="B294">
        <v>365.01100000000002</v>
      </c>
      <c r="C294">
        <v>356.28399999999999</v>
      </c>
      <c r="D294">
        <v>351.976</v>
      </c>
      <c r="E294">
        <v>347.70699999999999</v>
      </c>
      <c r="F294">
        <v>343.47500000000002</v>
      </c>
      <c r="G294">
        <v>339.28</v>
      </c>
      <c r="H294">
        <v>331.005</v>
      </c>
      <c r="I294">
        <v>322.87900000000002</v>
      </c>
      <c r="J294" s="21">
        <v>3919</v>
      </c>
      <c r="K294" s="422">
        <v>2300</v>
      </c>
      <c r="L294" s="418">
        <v>-160.34</v>
      </c>
      <c r="M294" s="418">
        <v>-117.26</v>
      </c>
      <c r="N294" s="418">
        <v>-76.11</v>
      </c>
      <c r="O294" s="418">
        <v>-36.92</v>
      </c>
      <c r="P294" s="419">
        <v>0</v>
      </c>
      <c r="Q294" s="418">
        <v>36.04</v>
      </c>
      <c r="R294" s="418">
        <v>70.14</v>
      </c>
      <c r="S294" s="418">
        <v>102.55</v>
      </c>
      <c r="T294" s="418">
        <v>134.34</v>
      </c>
      <c r="U294" s="25"/>
      <c r="V294" s="1">
        <f>FLOOR(W293,inc)</f>
        <v>1100</v>
      </c>
      <c r="W294" s="1">
        <f>Interp2(tank2Heel1,tank2Heel2,tank2Heel3,V294,V293)</f>
        <v>0</v>
      </c>
      <c r="X294" s="1">
        <f>FLOOR(X293,inc)</f>
        <v>1100</v>
      </c>
      <c r="Y294" s="42">
        <f>IF(W299=W298,W298,Interp1(V298:V299,W298:W299,V297))</f>
        <v>366.27100000000002</v>
      </c>
    </row>
    <row r="295" spans="1:28">
      <c r="A295" s="431">
        <v>1200</v>
      </c>
      <c r="B295">
        <v>356.34899999999999</v>
      </c>
      <c r="C295">
        <v>347.726</v>
      </c>
      <c r="D295">
        <v>343.471</v>
      </c>
      <c r="E295">
        <v>339.25299999999999</v>
      </c>
      <c r="F295">
        <v>335.07400000000001</v>
      </c>
      <c r="G295">
        <v>330.93099999999998</v>
      </c>
      <c r="H295">
        <v>322.76</v>
      </c>
      <c r="I295">
        <v>314.73899999999998</v>
      </c>
      <c r="J295" s="21">
        <v>3869</v>
      </c>
      <c r="K295" s="422">
        <v>2400</v>
      </c>
      <c r="L295" s="418">
        <v>-154.05000000000001</v>
      </c>
      <c r="M295" s="418">
        <v>-112.71</v>
      </c>
      <c r="N295" s="418">
        <v>-73.08</v>
      </c>
      <c r="O295" s="418">
        <v>-35.450000000000003</v>
      </c>
      <c r="P295" s="419">
        <v>0</v>
      </c>
      <c r="Q295" s="418">
        <v>34.65</v>
      </c>
      <c r="R295" s="418">
        <v>67.42</v>
      </c>
      <c r="S295" s="418">
        <v>98.5</v>
      </c>
      <c r="T295" s="418">
        <v>129.04</v>
      </c>
      <c r="U295" s="25"/>
      <c r="V295" s="1">
        <f>IF(V294=currentSounding22,V294,CEILING(W293,inc))</f>
        <v>1100</v>
      </c>
      <c r="W295" s="1">
        <f>Interp2(tank2Heel1,tank2Heel2,tank2Heel3,V295,V293)</f>
        <v>0</v>
      </c>
      <c r="X295" s="1">
        <f>CEILING(X293,inc)</f>
        <v>1100</v>
      </c>
      <c r="Y295" s="42">
        <f>IF(X299=X298,X298,Interp1(V298:V299,X298:X299,V297))</f>
        <v>366.27100000000002</v>
      </c>
    </row>
    <row r="296" spans="1:28">
      <c r="A296" s="431">
        <v>1250</v>
      </c>
      <c r="B296">
        <v>347.79</v>
      </c>
      <c r="C296">
        <v>339.27199999999999</v>
      </c>
      <c r="D296">
        <v>335.06900000000002</v>
      </c>
      <c r="E296">
        <v>330.904</v>
      </c>
      <c r="F296">
        <v>326.77600000000001</v>
      </c>
      <c r="G296">
        <v>322.68700000000001</v>
      </c>
      <c r="H296">
        <v>314.62</v>
      </c>
      <c r="I296">
        <v>306.70299999999997</v>
      </c>
      <c r="J296" s="21">
        <v>3819</v>
      </c>
      <c r="K296" s="422">
        <v>2500</v>
      </c>
      <c r="L296" s="418">
        <v>-147.76</v>
      </c>
      <c r="M296" s="418">
        <v>-108.18</v>
      </c>
      <c r="N296" s="418">
        <v>-70.06</v>
      </c>
      <c r="O296" s="418">
        <v>-33.979999999999997</v>
      </c>
      <c r="P296" s="419">
        <v>0</v>
      </c>
      <c r="Q296" s="418">
        <v>33.25</v>
      </c>
      <c r="R296" s="418">
        <v>64.709999999999994</v>
      </c>
      <c r="S296" s="418">
        <v>94.54</v>
      </c>
      <c r="T296" s="418">
        <v>123.73</v>
      </c>
      <c r="U296" s="25"/>
      <c r="W296" s="1">
        <f>IF(W295=W294,W294,Interp1(V294:V295,W294:W295,W293))</f>
        <v>0</v>
      </c>
      <c r="Y296" s="42"/>
    </row>
    <row r="297" spans="1:28">
      <c r="A297" s="431">
        <v>1300</v>
      </c>
      <c r="B297">
        <v>339.33499999999998</v>
      </c>
      <c r="C297">
        <v>330.92200000000003</v>
      </c>
      <c r="D297">
        <v>326.77100000000002</v>
      </c>
      <c r="E297">
        <v>322.65899999999999</v>
      </c>
      <c r="F297">
        <v>318.58300000000003</v>
      </c>
      <c r="G297">
        <v>314.54599999999999</v>
      </c>
      <c r="H297">
        <v>306.58300000000003</v>
      </c>
      <c r="I297">
        <v>298.77100000000002</v>
      </c>
      <c r="J297" s="21">
        <v>3769</v>
      </c>
      <c r="K297" s="422">
        <v>2600</v>
      </c>
      <c r="L297" s="418">
        <v>-141.49</v>
      </c>
      <c r="M297" s="418">
        <v>-103.65</v>
      </c>
      <c r="N297" s="418">
        <v>-67.040000000000006</v>
      </c>
      <c r="O297" s="418">
        <v>-32.520000000000003</v>
      </c>
      <c r="P297" s="419">
        <v>0</v>
      </c>
      <c r="Q297" s="418">
        <v>31.86</v>
      </c>
      <c r="R297" s="418">
        <v>62</v>
      </c>
      <c r="S297" s="418">
        <v>90.57</v>
      </c>
      <c r="T297" s="418">
        <v>118.41</v>
      </c>
      <c r="U297" s="25"/>
      <c r="V297" s="1">
        <f>bunkerPlanTrim</f>
        <v>-0.15</v>
      </c>
    </row>
    <row r="298" spans="1:28">
      <c r="A298" s="431">
        <v>1350</v>
      </c>
      <c r="B298">
        <v>330.98500000000001</v>
      </c>
      <c r="C298">
        <v>322.67599999999999</v>
      </c>
      <c r="D298">
        <v>318.57799999999997</v>
      </c>
      <c r="E298">
        <v>314.517</v>
      </c>
      <c r="F298">
        <v>310.49400000000003</v>
      </c>
      <c r="G298">
        <v>306.50900000000001</v>
      </c>
      <c r="H298">
        <v>298.65199999999999</v>
      </c>
      <c r="I298">
        <v>290.94400000000002</v>
      </c>
      <c r="J298" s="21">
        <v>3719</v>
      </c>
      <c r="K298" s="422">
        <v>2700</v>
      </c>
      <c r="L298" s="418">
        <v>-135.22999999999999</v>
      </c>
      <c r="M298" s="418">
        <v>-99.11</v>
      </c>
      <c r="N298" s="418">
        <v>-64.02</v>
      </c>
      <c r="O298" s="418">
        <v>-31.05</v>
      </c>
      <c r="P298" s="419">
        <v>0</v>
      </c>
      <c r="Q298" s="418">
        <v>30.47</v>
      </c>
      <c r="R298" s="418">
        <v>59.28</v>
      </c>
      <c r="S298" s="418">
        <v>86.61</v>
      </c>
      <c r="T298" s="418">
        <v>113.07</v>
      </c>
      <c r="U298" s="24"/>
      <c r="V298" s="1">
        <f>INDEX(tank2Trim2,0,MATCH(V297,tank2Trim2,1))</f>
        <v>-1</v>
      </c>
      <c r="W298" s="1">
        <f>Interp2(tank2Trim1,tank2Trim2,tank2Trim3,X294,V298)</f>
        <v>373.77699999999999</v>
      </c>
      <c r="X298" s="1">
        <f>Interp2(tank2Trim1,tank2Trim2,tank2Trim3,X295,V298)</f>
        <v>373.77699999999999</v>
      </c>
    </row>
    <row r="299" spans="1:28">
      <c r="A299" s="431">
        <v>1400</v>
      </c>
      <c r="B299">
        <v>322.73899999999998</v>
      </c>
      <c r="C299">
        <v>314.53399999999999</v>
      </c>
      <c r="D299">
        <v>310.488</v>
      </c>
      <c r="E299">
        <v>306.48</v>
      </c>
      <c r="F299">
        <v>302.50900000000001</v>
      </c>
      <c r="G299">
        <v>298.57600000000002</v>
      </c>
      <c r="H299">
        <v>290.82299999999998</v>
      </c>
      <c r="I299">
        <v>283.22000000000003</v>
      </c>
      <c r="J299" s="21">
        <v>3669</v>
      </c>
      <c r="K299" s="422">
        <v>2800</v>
      </c>
      <c r="L299" s="418">
        <v>-128.97999999999999</v>
      </c>
      <c r="M299" s="418">
        <v>-94.44</v>
      </c>
      <c r="N299" s="418">
        <v>-61</v>
      </c>
      <c r="O299" s="418">
        <v>-29.59</v>
      </c>
      <c r="P299" s="419">
        <v>0</v>
      </c>
      <c r="Q299" s="418">
        <v>29.07</v>
      </c>
      <c r="R299" s="418">
        <v>56.57</v>
      </c>
      <c r="S299" s="418">
        <v>82.64</v>
      </c>
      <c r="T299" s="418">
        <v>107.71</v>
      </c>
      <c r="U299" s="25"/>
      <c r="V299" s="1">
        <f>IF(V298=V297,V297,INDEX(tank2Trim2,0,MATCH(V297,tank2Trim2,1)+1))</f>
        <v>0</v>
      </c>
      <c r="W299" s="1">
        <f>Interp2(tank2Trim1,tank2Trim2,tank2Trim3,X294,V299)</f>
        <v>364.94600000000003</v>
      </c>
      <c r="X299" s="1">
        <f>Interp2(tank2Trim1,tank2Trim2,tank2Trim3,X295,V299)</f>
        <v>364.94600000000003</v>
      </c>
    </row>
    <row r="300" spans="1:28">
      <c r="A300" s="431">
        <v>1450</v>
      </c>
      <c r="B300">
        <v>314.596</v>
      </c>
      <c r="C300">
        <v>306.49599999999998</v>
      </c>
      <c r="D300">
        <v>302.50299999999999</v>
      </c>
      <c r="E300">
        <v>298.54700000000003</v>
      </c>
      <c r="F300">
        <v>294.62799999999999</v>
      </c>
      <c r="G300">
        <v>290.74700000000001</v>
      </c>
      <c r="H300">
        <v>283.09899999999999</v>
      </c>
      <c r="I300">
        <v>275.60000000000002</v>
      </c>
      <c r="J300" s="21">
        <v>3619</v>
      </c>
      <c r="K300" s="422">
        <v>2900</v>
      </c>
      <c r="L300" s="418">
        <v>-122.76</v>
      </c>
      <c r="M300" s="418">
        <v>-89.77</v>
      </c>
      <c r="N300" s="418">
        <v>-57.98</v>
      </c>
      <c r="O300" s="418">
        <v>-28.12</v>
      </c>
      <c r="P300" s="419">
        <v>0</v>
      </c>
      <c r="Q300" s="418">
        <v>27.68</v>
      </c>
      <c r="R300" s="418">
        <v>53.86</v>
      </c>
      <c r="S300" s="418">
        <v>78.67</v>
      </c>
      <c r="T300" s="418">
        <v>102.34</v>
      </c>
      <c r="U300" s="24"/>
    </row>
    <row r="301" spans="1:28">
      <c r="A301" s="431">
        <v>1500</v>
      </c>
      <c r="B301">
        <v>306.55700000000002</v>
      </c>
      <c r="C301">
        <v>298.56200000000001</v>
      </c>
      <c r="D301">
        <v>294.62099999999998</v>
      </c>
      <c r="E301">
        <v>290.71699999999998</v>
      </c>
      <c r="F301">
        <v>286.851</v>
      </c>
      <c r="G301">
        <v>283.02300000000002</v>
      </c>
      <c r="H301">
        <v>275.47899999999998</v>
      </c>
      <c r="I301">
        <v>268.08499999999998</v>
      </c>
      <c r="J301" s="21">
        <v>3569</v>
      </c>
      <c r="K301" s="422">
        <v>3000</v>
      </c>
      <c r="L301" s="420">
        <v>-116.55</v>
      </c>
      <c r="M301" s="420">
        <v>-85.1</v>
      </c>
      <c r="N301" s="420">
        <v>-54.96</v>
      </c>
      <c r="O301" s="420">
        <v>-26.66</v>
      </c>
      <c r="P301" s="419">
        <v>0</v>
      </c>
      <c r="Q301" s="420">
        <v>26.28</v>
      </c>
      <c r="R301" s="420">
        <v>51.14</v>
      </c>
      <c r="S301" s="418">
        <v>74.7</v>
      </c>
      <c r="T301" s="420">
        <v>97.07</v>
      </c>
      <c r="U301" s="26"/>
      <c r="V301" s="914"/>
      <c r="W301" s="914"/>
      <c r="X301" s="38"/>
    </row>
    <row r="302" spans="1:28">
      <c r="A302" s="431">
        <v>1550</v>
      </c>
      <c r="B302">
        <v>298.62299999999999</v>
      </c>
      <c r="C302">
        <v>290.733</v>
      </c>
      <c r="D302">
        <v>286.84300000000002</v>
      </c>
      <c r="E302">
        <v>282.99200000000002</v>
      </c>
      <c r="F302">
        <v>279.178</v>
      </c>
      <c r="G302">
        <v>275.40199999999999</v>
      </c>
      <c r="H302">
        <v>267.96300000000002</v>
      </c>
      <c r="I302">
        <v>260.673</v>
      </c>
      <c r="J302" s="21">
        <v>3519</v>
      </c>
      <c r="K302" s="422">
        <v>3100</v>
      </c>
      <c r="L302" s="418">
        <v>-110.37</v>
      </c>
      <c r="M302" s="418">
        <v>-80.430000000000007</v>
      </c>
      <c r="N302" s="418">
        <v>-51.94</v>
      </c>
      <c r="O302" s="418">
        <v>-25.19</v>
      </c>
      <c r="P302" s="419">
        <v>0</v>
      </c>
      <c r="Q302" s="418">
        <v>24.89</v>
      </c>
      <c r="R302" s="418">
        <v>48.42</v>
      </c>
      <c r="S302" s="418">
        <v>70.73</v>
      </c>
      <c r="T302" s="418">
        <v>91.91</v>
      </c>
      <c r="U302" s="24"/>
      <c r="V302" s="916"/>
      <c r="W302" s="916"/>
      <c r="X302" s="39"/>
      <c r="Z302" s="916"/>
      <c r="AA302" s="916"/>
      <c r="AB302" s="40"/>
    </row>
    <row r="303" spans="1:28">
      <c r="A303" s="431">
        <v>1600</v>
      </c>
      <c r="B303">
        <v>290.79300000000001</v>
      </c>
      <c r="C303">
        <v>283.00700000000001</v>
      </c>
      <c r="D303">
        <v>279.17</v>
      </c>
      <c r="E303">
        <v>275.37099999999998</v>
      </c>
      <c r="F303">
        <v>271.60899999999998</v>
      </c>
      <c r="G303">
        <v>267.88499999999999</v>
      </c>
      <c r="H303">
        <v>260.55</v>
      </c>
      <c r="I303">
        <v>253.36500000000001</v>
      </c>
      <c r="J303" s="21">
        <v>3469</v>
      </c>
      <c r="K303" s="422">
        <v>3200</v>
      </c>
      <c r="L303" s="418">
        <v>-104.21</v>
      </c>
      <c r="M303" s="418">
        <v>-75.760000000000005</v>
      </c>
      <c r="N303" s="418">
        <v>-48.93</v>
      </c>
      <c r="O303" s="418">
        <v>-23.73</v>
      </c>
      <c r="P303" s="419">
        <v>0</v>
      </c>
      <c r="Q303" s="418">
        <v>23.49</v>
      </c>
      <c r="R303" s="418">
        <v>45.7</v>
      </c>
      <c r="S303" s="418">
        <v>66.760000000000005</v>
      </c>
      <c r="T303" s="418">
        <v>86.75</v>
      </c>
      <c r="U303" s="24"/>
      <c r="W303" s="41"/>
      <c r="AA303" s="30"/>
    </row>
    <row r="304" spans="1:28">
      <c r="A304" s="431">
        <v>1650</v>
      </c>
      <c r="B304">
        <v>283.06700000000001</v>
      </c>
      <c r="C304">
        <v>275.38499999999999</v>
      </c>
      <c r="D304">
        <v>271.60000000000002</v>
      </c>
      <c r="E304">
        <v>267.85399999999998</v>
      </c>
      <c r="F304">
        <v>264.14400000000001</v>
      </c>
      <c r="G304">
        <v>26047.3</v>
      </c>
      <c r="H304">
        <v>253.24199999999999</v>
      </c>
      <c r="I304">
        <v>246.16200000000001</v>
      </c>
      <c r="J304" s="21">
        <v>3419</v>
      </c>
      <c r="K304" s="422">
        <v>3300</v>
      </c>
      <c r="L304" s="418">
        <v>-97.98</v>
      </c>
      <c r="M304" s="418">
        <v>-71.099999999999994</v>
      </c>
      <c r="N304" s="418">
        <v>-45.92</v>
      </c>
      <c r="O304" s="418">
        <v>-22.27</v>
      </c>
      <c r="P304" s="419">
        <v>0</v>
      </c>
      <c r="Q304" s="418">
        <v>22.1</v>
      </c>
      <c r="R304" s="418">
        <v>42.98</v>
      </c>
      <c r="S304" s="418">
        <v>62.78</v>
      </c>
      <c r="T304" s="418">
        <v>81.58</v>
      </c>
      <c r="U304" s="25"/>
      <c r="W304" s="30"/>
      <c r="AA304" s="30"/>
    </row>
    <row r="305" spans="1:28">
      <c r="A305" s="431">
        <v>1700</v>
      </c>
      <c r="B305">
        <v>275.44400000000002</v>
      </c>
      <c r="C305">
        <v>267.86700000000002</v>
      </c>
      <c r="D305">
        <v>264.13499999999999</v>
      </c>
      <c r="E305">
        <v>260.44</v>
      </c>
      <c r="F305">
        <v>256.78300000000002</v>
      </c>
      <c r="G305">
        <v>253.16399999999999</v>
      </c>
      <c r="H305">
        <v>246.03800000000001</v>
      </c>
      <c r="I305">
        <v>239.06200000000001</v>
      </c>
      <c r="J305" s="21">
        <v>3369</v>
      </c>
      <c r="K305" s="422">
        <v>3400</v>
      </c>
      <c r="L305" s="418">
        <v>-91.57</v>
      </c>
      <c r="M305" s="418">
        <v>-66.44</v>
      </c>
      <c r="N305" s="418">
        <v>-42.9</v>
      </c>
      <c r="O305" s="418">
        <v>-20.8</v>
      </c>
      <c r="P305" s="419">
        <v>0</v>
      </c>
      <c r="Q305" s="418">
        <v>20.7</v>
      </c>
      <c r="R305" s="418">
        <v>40.26</v>
      </c>
      <c r="S305" s="418">
        <v>58.8</v>
      </c>
      <c r="T305" s="418">
        <v>76.400000000000006</v>
      </c>
      <c r="U305" s="28"/>
      <c r="W305" s="30"/>
      <c r="X305" s="42"/>
      <c r="AA305" s="30"/>
      <c r="AB305" s="42"/>
    </row>
    <row r="306" spans="1:28">
      <c r="A306" s="431">
        <v>1750</v>
      </c>
      <c r="B306">
        <v>267.92599999999999</v>
      </c>
      <c r="C306">
        <v>260.45400000000001</v>
      </c>
      <c r="D306">
        <v>256.774</v>
      </c>
      <c r="E306">
        <v>253.131</v>
      </c>
      <c r="F306">
        <v>249.52600000000001</v>
      </c>
      <c r="G306">
        <v>245.959</v>
      </c>
      <c r="H306">
        <v>238.93799999999999</v>
      </c>
      <c r="I306">
        <v>232.06700000000001</v>
      </c>
      <c r="J306" s="21">
        <v>3319</v>
      </c>
      <c r="K306" s="422">
        <v>3500</v>
      </c>
      <c r="L306" s="418">
        <v>-85.15</v>
      </c>
      <c r="M306" s="418">
        <v>-61.78</v>
      </c>
      <c r="N306" s="418">
        <v>-39.89</v>
      </c>
      <c r="O306" s="418">
        <v>-19.34</v>
      </c>
      <c r="P306" s="419">
        <v>0</v>
      </c>
      <c r="Q306" s="418">
        <v>19.3</v>
      </c>
      <c r="R306" s="418">
        <v>37.54</v>
      </c>
      <c r="S306" s="418">
        <v>54.82</v>
      </c>
      <c r="T306" s="418">
        <v>71.23</v>
      </c>
      <c r="W306" s="30"/>
      <c r="X306" s="42"/>
      <c r="AA306" s="30"/>
      <c r="AB306" s="42"/>
    </row>
    <row r="307" spans="1:28">
      <c r="A307" s="431">
        <v>1800</v>
      </c>
      <c r="B307">
        <v>260.512</v>
      </c>
      <c r="C307">
        <v>253.14400000000001</v>
      </c>
      <c r="D307">
        <v>249.51599999999999</v>
      </c>
      <c r="E307">
        <v>245.92599999999999</v>
      </c>
      <c r="F307">
        <v>242.374</v>
      </c>
      <c r="G307">
        <v>238.85900000000001</v>
      </c>
      <c r="H307">
        <v>231.94200000000001</v>
      </c>
      <c r="I307">
        <v>225.11500000000001</v>
      </c>
      <c r="J307" s="21">
        <v>3269</v>
      </c>
      <c r="K307" s="422">
        <v>3600</v>
      </c>
      <c r="L307" s="367">
        <v>-78.75</v>
      </c>
      <c r="M307" s="367">
        <v>-57.13</v>
      </c>
      <c r="N307" s="367">
        <v>-36.89</v>
      </c>
      <c r="O307" s="367">
        <v>-17.88</v>
      </c>
      <c r="P307" s="419">
        <v>0</v>
      </c>
      <c r="Q307" s="367">
        <v>17.899999999999999</v>
      </c>
      <c r="R307" s="367">
        <v>34.81</v>
      </c>
      <c r="S307" s="367">
        <v>50.84</v>
      </c>
      <c r="T307" s="367">
        <v>66.040000000000006</v>
      </c>
      <c r="W307" s="30"/>
      <c r="X307" s="42"/>
      <c r="AA307" s="30"/>
      <c r="AB307" s="42"/>
    </row>
    <row r="308" spans="1:28">
      <c r="A308" s="431">
        <v>1850</v>
      </c>
      <c r="B308">
        <v>253.202</v>
      </c>
      <c r="C308">
        <v>245.93899999999999</v>
      </c>
      <c r="D308">
        <v>242.363</v>
      </c>
      <c r="E308">
        <v>238.82599999999999</v>
      </c>
      <c r="F308">
        <v>235.32499999999999</v>
      </c>
      <c r="G308">
        <v>231.86199999999999</v>
      </c>
      <c r="H308">
        <v>225.05</v>
      </c>
      <c r="I308">
        <v>218.38800000000001</v>
      </c>
      <c r="J308" s="21">
        <v>3219</v>
      </c>
      <c r="K308" s="422">
        <v>3700</v>
      </c>
      <c r="L308" s="367">
        <v>-72.349999999999994</v>
      </c>
      <c r="M308" s="367">
        <v>-52.49</v>
      </c>
      <c r="N308" s="367">
        <v>-33.880000000000003</v>
      </c>
      <c r="O308" s="367">
        <v>-16.43</v>
      </c>
      <c r="P308" s="419">
        <v>0</v>
      </c>
      <c r="Q308" s="367">
        <v>16.579999999999998</v>
      </c>
      <c r="R308" s="367">
        <v>32.25</v>
      </c>
      <c r="S308" s="367">
        <v>47.08</v>
      </c>
      <c r="T308" s="367">
        <v>61.16</v>
      </c>
      <c r="W308" s="30"/>
      <c r="AA308" s="30"/>
    </row>
    <row r="309" spans="1:28">
      <c r="A309" s="431">
        <v>1900</v>
      </c>
      <c r="B309">
        <v>245.99600000000001</v>
      </c>
      <c r="C309">
        <v>238.83699999999999</v>
      </c>
      <c r="D309">
        <v>235.31299999999999</v>
      </c>
      <c r="E309">
        <v>231.828</v>
      </c>
      <c r="F309">
        <v>228.38</v>
      </c>
      <c r="G309">
        <v>224.97</v>
      </c>
      <c r="H309">
        <v>218.262</v>
      </c>
      <c r="I309">
        <v>211.70500000000001</v>
      </c>
      <c r="J309" s="21">
        <v>3169</v>
      </c>
      <c r="K309" s="422">
        <v>3800</v>
      </c>
      <c r="L309" s="367">
        <v>-66.78</v>
      </c>
      <c r="M309" s="367">
        <v>-48.44</v>
      </c>
      <c r="N309" s="367">
        <v>-31.27</v>
      </c>
      <c r="O309" s="367">
        <v>-15.16</v>
      </c>
      <c r="P309" s="419">
        <v>0</v>
      </c>
      <c r="Q309" s="367">
        <v>15.44</v>
      </c>
      <c r="R309" s="367">
        <v>30.02</v>
      </c>
      <c r="S309" s="367">
        <v>43.83</v>
      </c>
      <c r="T309" s="367">
        <v>56.93</v>
      </c>
      <c r="W309" s="43"/>
      <c r="X309" s="42"/>
      <c r="AA309" s="30"/>
      <c r="AB309" s="42"/>
    </row>
    <row r="310" spans="1:28">
      <c r="A310" s="431">
        <v>1950</v>
      </c>
      <c r="B310">
        <v>238.89400000000001</v>
      </c>
      <c r="C310">
        <v>231.839</v>
      </c>
      <c r="D310">
        <v>228.369</v>
      </c>
      <c r="E310">
        <v>224.935</v>
      </c>
      <c r="F310">
        <v>221.54</v>
      </c>
      <c r="G310">
        <v>218.18100000000001</v>
      </c>
      <c r="H310">
        <v>211.578</v>
      </c>
      <c r="I310">
        <v>205.126</v>
      </c>
      <c r="J310" s="21">
        <v>3119</v>
      </c>
      <c r="K310" s="422">
        <v>3900</v>
      </c>
      <c r="L310" s="367">
        <v>-62.47</v>
      </c>
      <c r="M310" s="367">
        <v>-45.31</v>
      </c>
      <c r="N310" s="367">
        <v>-29.25</v>
      </c>
      <c r="O310" s="367">
        <v>-14.18</v>
      </c>
      <c r="P310" s="419">
        <v>0</v>
      </c>
      <c r="Q310" s="367">
        <v>14.35</v>
      </c>
      <c r="R310" s="367">
        <v>27.9</v>
      </c>
      <c r="S310" s="367">
        <v>40.74</v>
      </c>
      <c r="T310" s="367">
        <v>52.91</v>
      </c>
      <c r="W310" s="43"/>
      <c r="X310" s="42"/>
      <c r="AA310" s="30"/>
      <c r="AB310" s="42"/>
    </row>
    <row r="311" spans="1:28">
      <c r="A311" s="431">
        <v>2000</v>
      </c>
      <c r="B311">
        <v>231.89599999999999</v>
      </c>
      <c r="C311">
        <v>224.946</v>
      </c>
      <c r="D311">
        <v>221.52699999999999</v>
      </c>
      <c r="E311">
        <v>218.14599999999999</v>
      </c>
      <c r="F311">
        <v>214.803</v>
      </c>
      <c r="G311">
        <v>211.49700000000001</v>
      </c>
      <c r="H311">
        <v>204.999</v>
      </c>
      <c r="I311">
        <v>198.65</v>
      </c>
      <c r="J311" s="21">
        <v>3069</v>
      </c>
      <c r="K311" s="422">
        <v>4000</v>
      </c>
      <c r="L311" s="367">
        <v>-57.43</v>
      </c>
      <c r="M311" s="367">
        <v>-41.66</v>
      </c>
      <c r="N311" s="367">
        <v>-26.89</v>
      </c>
      <c r="O311" s="367">
        <v>-13.03</v>
      </c>
      <c r="P311" s="419">
        <v>0</v>
      </c>
      <c r="Q311" s="367">
        <v>13.26</v>
      </c>
      <c r="R311" s="367">
        <v>25.79</v>
      </c>
      <c r="S311" s="367">
        <v>37.64</v>
      </c>
      <c r="T311" s="367">
        <v>48.89</v>
      </c>
    </row>
    <row r="312" spans="1:28" ht="15.75">
      <c r="A312" s="431">
        <v>2050</v>
      </c>
      <c r="B312" s="369">
        <v>225.00200000000001</v>
      </c>
      <c r="C312" s="369">
        <v>218.15700000000001</v>
      </c>
      <c r="D312" s="369">
        <v>214.79</v>
      </c>
      <c r="E312" s="369">
        <v>211.46199999999999</v>
      </c>
      <c r="F312" s="369">
        <v>208.17</v>
      </c>
      <c r="G312" s="369">
        <v>204.917</v>
      </c>
      <c r="H312" s="369">
        <v>198.523</v>
      </c>
      <c r="I312" s="369">
        <v>192.279</v>
      </c>
      <c r="J312" s="21">
        <v>3019</v>
      </c>
      <c r="K312" s="422">
        <v>4100</v>
      </c>
      <c r="L312" s="12">
        <v>-52.4</v>
      </c>
      <c r="M312" s="12">
        <v>-38</v>
      </c>
      <c r="N312" s="12">
        <v>-24.53</v>
      </c>
      <c r="O312" s="12">
        <v>-11.89</v>
      </c>
      <c r="P312" s="419">
        <v>0</v>
      </c>
      <c r="Q312" s="12">
        <v>12.17</v>
      </c>
      <c r="R312" s="12">
        <v>23.67</v>
      </c>
      <c r="S312" s="12">
        <v>34.549999999999997</v>
      </c>
      <c r="T312" s="12">
        <v>44.86</v>
      </c>
    </row>
    <row r="313" spans="1:28" ht="15.75">
      <c r="A313" s="431">
        <v>2100</v>
      </c>
      <c r="B313" s="369">
        <v>218.21199999999999</v>
      </c>
      <c r="C313" s="369">
        <v>211.471</v>
      </c>
      <c r="D313" s="369">
        <v>208.15700000000001</v>
      </c>
      <c r="E313" s="369">
        <v>204.881</v>
      </c>
      <c r="F313" s="369">
        <v>201.642</v>
      </c>
      <c r="G313" s="369">
        <v>198.44</v>
      </c>
      <c r="H313" s="369">
        <v>192.15100000000001</v>
      </c>
      <c r="I313" s="369">
        <v>186.012</v>
      </c>
      <c r="J313" s="21">
        <v>2969</v>
      </c>
      <c r="K313" s="422">
        <v>4200</v>
      </c>
      <c r="L313" s="12">
        <v>-47.37</v>
      </c>
      <c r="M313" s="12">
        <v>-34.35</v>
      </c>
      <c r="N313" s="12">
        <v>-22.17</v>
      </c>
      <c r="O313" s="12">
        <v>-10.75</v>
      </c>
      <c r="P313" s="419">
        <v>0</v>
      </c>
      <c r="Q313" s="12">
        <v>11.08</v>
      </c>
      <c r="R313" s="12">
        <v>21.55</v>
      </c>
      <c r="S313" s="12">
        <v>31.45</v>
      </c>
      <c r="T313" s="12">
        <v>40.840000000000003</v>
      </c>
      <c r="V313" s="918"/>
      <c r="W313" s="918"/>
      <c r="X313" s="42"/>
      <c r="Z313" s="918"/>
      <c r="AA313" s="918"/>
      <c r="AB313" s="42"/>
    </row>
    <row r="314" spans="1:28" ht="15.75">
      <c r="A314" s="431">
        <v>2150</v>
      </c>
      <c r="B314" s="369">
        <v>211.52600000000001</v>
      </c>
      <c r="C314" s="369">
        <v>204.89</v>
      </c>
      <c r="D314" s="369">
        <v>201.62799999999999</v>
      </c>
      <c r="E314" s="369">
        <v>198.404</v>
      </c>
      <c r="F314" s="369">
        <v>195.21700000000001</v>
      </c>
      <c r="G314" s="369">
        <v>192.06800000000001</v>
      </c>
      <c r="H314" s="369">
        <v>185.88300000000001</v>
      </c>
      <c r="I314" s="369">
        <v>179.84800000000001</v>
      </c>
      <c r="J314" s="21">
        <v>2919</v>
      </c>
      <c r="K314" s="422">
        <v>4300</v>
      </c>
      <c r="L314" s="12">
        <v>-42.34</v>
      </c>
      <c r="M314" s="12">
        <v>-30.7</v>
      </c>
      <c r="N314" s="12">
        <v>-19.82</v>
      </c>
      <c r="O314" s="12">
        <v>-9.6</v>
      </c>
      <c r="P314" s="419">
        <v>0</v>
      </c>
      <c r="Q314" s="12">
        <v>9.99</v>
      </c>
      <c r="R314" s="12">
        <v>19.420000000000002</v>
      </c>
      <c r="S314" s="12">
        <v>28.35</v>
      </c>
      <c r="T314" s="12">
        <v>36.81</v>
      </c>
    </row>
    <row r="315" spans="1:28" ht="15.75">
      <c r="A315" s="431">
        <v>2200</v>
      </c>
      <c r="B315" s="369">
        <v>204.94399999999999</v>
      </c>
      <c r="C315" s="369">
        <v>198.41200000000001</v>
      </c>
      <c r="D315" s="369">
        <v>195.203</v>
      </c>
      <c r="E315" s="369">
        <v>192.03100000000001</v>
      </c>
      <c r="F315" s="369">
        <v>188.89699999999999</v>
      </c>
      <c r="G315" s="369">
        <v>185.8</v>
      </c>
      <c r="H315" s="369">
        <v>179.71899999999999</v>
      </c>
      <c r="I315" s="369">
        <v>173.78899999999999</v>
      </c>
      <c r="J315" s="21">
        <v>2869</v>
      </c>
      <c r="K315" s="422">
        <v>4400</v>
      </c>
      <c r="L315" s="12">
        <v>-37.33</v>
      </c>
      <c r="M315" s="12">
        <v>-27.06</v>
      </c>
      <c r="N315" s="12">
        <v>-17.47</v>
      </c>
      <c r="O315" s="12">
        <v>-8.4600000000000009</v>
      </c>
      <c r="P315" s="419">
        <v>0</v>
      </c>
      <c r="Q315" s="12">
        <v>8.9</v>
      </c>
      <c r="R315" s="12">
        <v>17.3</v>
      </c>
      <c r="S315" s="12">
        <v>25.25</v>
      </c>
      <c r="T315" s="12">
        <v>32.78</v>
      </c>
    </row>
    <row r="316" spans="1:28" ht="15.75">
      <c r="A316" s="431">
        <v>2250</v>
      </c>
      <c r="B316" s="369">
        <v>198.46600000000001</v>
      </c>
      <c r="C316" s="369">
        <v>192.03899999999999</v>
      </c>
      <c r="D316" s="369">
        <v>188.88200000000001</v>
      </c>
      <c r="E316" s="369">
        <v>185.762</v>
      </c>
      <c r="F316" s="369">
        <v>182.68</v>
      </c>
      <c r="G316" s="369">
        <v>179.636</v>
      </c>
      <c r="H316" s="369">
        <v>173.66</v>
      </c>
      <c r="I316" s="369">
        <v>167.834</v>
      </c>
      <c r="J316" s="21">
        <v>2819</v>
      </c>
      <c r="K316" s="422">
        <v>4500</v>
      </c>
      <c r="L316" s="12">
        <v>-32.32</v>
      </c>
      <c r="M316" s="12">
        <v>-23.43</v>
      </c>
      <c r="N316" s="12">
        <v>-15.12</v>
      </c>
      <c r="O316" s="12">
        <v>-7.32</v>
      </c>
      <c r="P316" s="419">
        <v>0</v>
      </c>
      <c r="Q316" s="12">
        <v>7.81</v>
      </c>
      <c r="R316" s="12">
        <v>15.17</v>
      </c>
      <c r="S316" s="12">
        <v>22.14</v>
      </c>
      <c r="T316" s="12">
        <v>28.74</v>
      </c>
    </row>
    <row r="317" spans="1:28" ht="15.75">
      <c r="A317" s="431">
        <v>2300</v>
      </c>
      <c r="B317" s="369">
        <v>192.09299999999999</v>
      </c>
      <c r="C317" s="369">
        <v>185.77</v>
      </c>
      <c r="D317" s="369">
        <v>182.66499999999999</v>
      </c>
      <c r="E317" s="369">
        <v>179.59700000000001</v>
      </c>
      <c r="F317" s="369">
        <v>176.56800000000001</v>
      </c>
      <c r="G317" s="369">
        <v>173.57599999999999</v>
      </c>
      <c r="H317" s="369">
        <v>167.70400000000001</v>
      </c>
      <c r="I317" s="369">
        <v>161.983</v>
      </c>
      <c r="J317" s="21">
        <v>2769</v>
      </c>
      <c r="K317" s="422">
        <v>4600</v>
      </c>
      <c r="L317" s="12">
        <v>-27.33</v>
      </c>
      <c r="M317" s="12">
        <v>-19.809999999999999</v>
      </c>
      <c r="N317" s="12">
        <v>-12.78</v>
      </c>
      <c r="O317" s="12">
        <v>-6.19</v>
      </c>
      <c r="P317" s="419">
        <v>0</v>
      </c>
      <c r="Q317" s="12">
        <v>6.71</v>
      </c>
      <c r="R317" s="12">
        <v>13.04</v>
      </c>
      <c r="S317" s="12">
        <v>19.02</v>
      </c>
      <c r="T317" s="12">
        <v>24.69</v>
      </c>
    </row>
    <row r="318" spans="1:28" ht="15.75">
      <c r="A318" s="431">
        <v>2350</v>
      </c>
      <c r="B318" s="369">
        <v>185.82300000000001</v>
      </c>
      <c r="C318" s="369">
        <v>179.60499999999999</v>
      </c>
      <c r="D318" s="369">
        <v>176.55199999999999</v>
      </c>
      <c r="E318" s="369">
        <v>173.53700000000001</v>
      </c>
      <c r="F318" s="369">
        <v>170.559</v>
      </c>
      <c r="G318" s="369">
        <v>167.619</v>
      </c>
      <c r="H318" s="369">
        <v>161.85300000000001</v>
      </c>
      <c r="I318" s="369">
        <v>156.23599999999999</v>
      </c>
      <c r="J318" s="21">
        <v>2719</v>
      </c>
      <c r="K318" s="422">
        <v>4700</v>
      </c>
      <c r="L318" s="12">
        <v>-22.37</v>
      </c>
      <c r="M318" s="12">
        <v>-16.21</v>
      </c>
      <c r="N318" s="12">
        <v>-10.45</v>
      </c>
      <c r="O318" s="12">
        <v>-5.0599999999999996</v>
      </c>
      <c r="P318" s="419">
        <v>0</v>
      </c>
      <c r="Q318" s="12">
        <v>5.61</v>
      </c>
      <c r="R318" s="12">
        <v>10.9</v>
      </c>
      <c r="S318" s="12">
        <v>15.9</v>
      </c>
      <c r="T318" s="12">
        <v>20.63</v>
      </c>
    </row>
    <row r="319" spans="1:28" ht="15.75">
      <c r="A319" s="431">
        <v>2400</v>
      </c>
      <c r="B319" s="369">
        <v>179.65700000000001</v>
      </c>
      <c r="C319" s="369">
        <v>173.54400000000001</v>
      </c>
      <c r="D319" s="369">
        <v>170.54300000000001</v>
      </c>
      <c r="E319" s="369">
        <v>167.58</v>
      </c>
      <c r="F319" s="369">
        <v>164.655</v>
      </c>
      <c r="G319" s="369">
        <v>161.767</v>
      </c>
      <c r="H319" s="369">
        <v>156.10499999999999</v>
      </c>
      <c r="I319" s="369">
        <v>150.59299999999999</v>
      </c>
      <c r="J319" s="21">
        <v>2669</v>
      </c>
      <c r="K319" s="422">
        <v>4800</v>
      </c>
      <c r="L319" s="12">
        <v>-17.43</v>
      </c>
      <c r="M319" s="12">
        <v>-12.63</v>
      </c>
      <c r="N319" s="12">
        <v>-8.14</v>
      </c>
      <c r="O319" s="12">
        <v>-3.94</v>
      </c>
      <c r="P319" s="419">
        <v>0</v>
      </c>
      <c r="Q319" s="12">
        <v>4.51</v>
      </c>
      <c r="R319" s="12">
        <v>8.75</v>
      </c>
      <c r="S319" s="12">
        <v>12.76</v>
      </c>
      <c r="T319" s="12">
        <v>16.54</v>
      </c>
    </row>
    <row r="320" spans="1:28" ht="15.75">
      <c r="A320" s="431">
        <v>2450</v>
      </c>
      <c r="B320" s="369">
        <v>173.595</v>
      </c>
      <c r="C320" s="369">
        <v>167.58600000000001</v>
      </c>
      <c r="D320" s="369">
        <v>164.63800000000001</v>
      </c>
      <c r="E320" s="369">
        <v>161.72800000000001</v>
      </c>
      <c r="F320" s="369">
        <v>158.85499999999999</v>
      </c>
      <c r="G320" s="369">
        <v>156.01900000000001</v>
      </c>
      <c r="H320" s="369">
        <v>150.46199999999999</v>
      </c>
      <c r="I320" s="369">
        <v>145.054</v>
      </c>
      <c r="J320" s="21">
        <v>2619</v>
      </c>
      <c r="K320" s="422">
        <v>4900</v>
      </c>
      <c r="L320" s="12">
        <v>-12.56</v>
      </c>
      <c r="M320" s="12">
        <v>-9.09</v>
      </c>
      <c r="N320" s="12">
        <v>-5.85</v>
      </c>
      <c r="O320" s="12">
        <v>-2.83</v>
      </c>
      <c r="P320" s="419">
        <v>0</v>
      </c>
      <c r="Q320" s="12">
        <v>3.39</v>
      </c>
      <c r="R320" s="12">
        <v>6.58</v>
      </c>
      <c r="S320" s="12">
        <v>9.58</v>
      </c>
      <c r="T320" s="12">
        <v>12.42</v>
      </c>
    </row>
    <row r="321" spans="1:20" ht="15.75">
      <c r="A321" s="431">
        <v>2500</v>
      </c>
      <c r="B321" s="369">
        <v>167.63800000000001</v>
      </c>
      <c r="C321" s="369">
        <v>161.733</v>
      </c>
      <c r="D321" s="369">
        <v>158.83699999999999</v>
      </c>
      <c r="E321" s="369">
        <v>155.97900000000001</v>
      </c>
      <c r="F321" s="369">
        <v>153.15799999999999</v>
      </c>
      <c r="G321" s="369">
        <v>150.375</v>
      </c>
      <c r="H321" s="369">
        <v>144.922</v>
      </c>
      <c r="I321" s="369">
        <v>139.619</v>
      </c>
      <c r="J321" s="21">
        <v>2569</v>
      </c>
      <c r="K321" s="422">
        <v>5000</v>
      </c>
      <c r="L321" s="12">
        <v>-7.79</v>
      </c>
      <c r="M321" s="12">
        <v>-5.62</v>
      </c>
      <c r="N321" s="12">
        <v>-3.62</v>
      </c>
      <c r="O321" s="12">
        <v>-1.75</v>
      </c>
      <c r="P321" s="419">
        <v>0</v>
      </c>
      <c r="Q321" s="12">
        <v>2.13</v>
      </c>
      <c r="R321" s="12">
        <v>4.12</v>
      </c>
      <c r="S321" s="12">
        <v>5.99</v>
      </c>
      <c r="T321" s="12">
        <v>7.75</v>
      </c>
    </row>
    <row r="322" spans="1:20" ht="15.75">
      <c r="A322" s="431">
        <v>2550</v>
      </c>
      <c r="B322" s="369">
        <v>161.78399999999999</v>
      </c>
      <c r="C322" s="369">
        <v>155.98400000000001</v>
      </c>
      <c r="D322" s="369">
        <v>153.14099999999999</v>
      </c>
      <c r="E322" s="369">
        <v>150.33500000000001</v>
      </c>
      <c r="F322" s="369">
        <v>147.566</v>
      </c>
      <c r="G322" s="369">
        <v>144.83500000000001</v>
      </c>
      <c r="H322" s="369">
        <v>139.48699999999999</v>
      </c>
      <c r="I322" s="369">
        <v>134.28800000000001</v>
      </c>
      <c r="J322" s="21">
        <v>2519</v>
      </c>
      <c r="K322" s="422">
        <v>5069</v>
      </c>
      <c r="L322" s="12">
        <v>-4.8499999999999996</v>
      </c>
      <c r="M322" s="12">
        <v>-3.49</v>
      </c>
      <c r="N322" s="12">
        <v>-2.2400000000000002</v>
      </c>
      <c r="O322" s="12">
        <v>-1.08</v>
      </c>
      <c r="P322" s="419">
        <v>0</v>
      </c>
      <c r="Q322" s="12">
        <v>0</v>
      </c>
      <c r="R322" s="12">
        <v>0</v>
      </c>
      <c r="S322" s="12">
        <v>0</v>
      </c>
      <c r="T322" s="12">
        <v>0</v>
      </c>
    </row>
    <row r="323" spans="1:20" ht="15.75">
      <c r="A323" s="431">
        <v>2600</v>
      </c>
      <c r="B323" s="369">
        <v>156.03399999999999</v>
      </c>
      <c r="C323" s="369">
        <v>150.339</v>
      </c>
      <c r="D323" s="369">
        <v>147.548</v>
      </c>
      <c r="E323" s="369">
        <v>144.79400000000001</v>
      </c>
      <c r="F323" s="369">
        <v>142.078</v>
      </c>
      <c r="G323" s="369">
        <v>139.399</v>
      </c>
      <c r="H323" s="369">
        <v>134.155</v>
      </c>
      <c r="I323" s="369">
        <v>129.06100000000001</v>
      </c>
      <c r="J323" s="21">
        <v>2469</v>
      </c>
      <c r="K323" s="422"/>
      <c r="L323"/>
      <c r="M323"/>
      <c r="N323"/>
      <c r="O323"/>
      <c r="P323" s="365"/>
      <c r="Q323"/>
      <c r="R323"/>
      <c r="S323"/>
      <c r="T323"/>
    </row>
    <row r="324" spans="1:20" ht="15.75">
      <c r="A324" s="431">
        <v>2650</v>
      </c>
      <c r="B324" s="369">
        <v>150.38900000000001</v>
      </c>
      <c r="C324" s="369">
        <v>144.798</v>
      </c>
      <c r="D324" s="369">
        <v>142.059</v>
      </c>
      <c r="E324" s="369">
        <v>139.358</v>
      </c>
      <c r="F324" s="369">
        <v>136.69399999999999</v>
      </c>
      <c r="G324" s="369">
        <v>134.06700000000001</v>
      </c>
      <c r="H324" s="369">
        <v>128.928</v>
      </c>
      <c r="I324" s="369">
        <v>123.93899999999999</v>
      </c>
      <c r="J324" s="21">
        <v>2419</v>
      </c>
      <c r="K324" s="422"/>
      <c r="L324"/>
      <c r="M324"/>
      <c r="N324"/>
      <c r="O324"/>
      <c r="P324" s="365"/>
      <c r="Q324"/>
      <c r="R324"/>
      <c r="S324"/>
      <c r="T324"/>
    </row>
    <row r="325" spans="1:20" ht="15.75">
      <c r="A325" s="431">
        <v>2700</v>
      </c>
      <c r="B325" s="369">
        <v>144.84800000000001</v>
      </c>
      <c r="C325" s="369">
        <v>139.36099999999999</v>
      </c>
      <c r="D325" s="369">
        <v>136.67400000000001</v>
      </c>
      <c r="E325" s="369">
        <v>134.02500000000001</v>
      </c>
      <c r="F325" s="369">
        <v>131.41399999999999</v>
      </c>
      <c r="G325" s="369">
        <v>128.84</v>
      </c>
      <c r="H325" s="369">
        <v>123.80500000000001</v>
      </c>
      <c r="I325" s="369">
        <v>118.92</v>
      </c>
      <c r="J325" s="21">
        <v>2369</v>
      </c>
      <c r="K325" s="422"/>
      <c r="L325"/>
      <c r="M325"/>
      <c r="N325"/>
      <c r="O325"/>
      <c r="P325" s="365"/>
      <c r="Q325"/>
      <c r="R325"/>
      <c r="S325"/>
      <c r="T325"/>
    </row>
    <row r="326" spans="1:20" ht="15.75">
      <c r="A326" s="431">
        <v>2750</v>
      </c>
      <c r="B326" s="369">
        <v>139.41</v>
      </c>
      <c r="C326" s="369">
        <v>134.02799999999999</v>
      </c>
      <c r="D326" s="369">
        <v>131.39400000000001</v>
      </c>
      <c r="E326" s="369">
        <v>128.797</v>
      </c>
      <c r="F326" s="369">
        <v>126.238</v>
      </c>
      <c r="G326" s="369">
        <v>123.71599999999999</v>
      </c>
      <c r="H326" s="369">
        <v>118.785</v>
      </c>
      <c r="I326" s="369">
        <v>114.005</v>
      </c>
      <c r="J326" s="21">
        <v>2319</v>
      </c>
      <c r="K326" s="422"/>
      <c r="L326"/>
      <c r="M326"/>
      <c r="N326"/>
      <c r="O326"/>
      <c r="P326" s="365"/>
      <c r="Q326"/>
      <c r="R326"/>
      <c r="S326"/>
      <c r="T326"/>
    </row>
    <row r="327" spans="1:20" ht="15.75">
      <c r="A327" s="431">
        <v>2800</v>
      </c>
      <c r="B327" s="369">
        <v>134.077</v>
      </c>
      <c r="C327" s="369">
        <v>128.79900000000001</v>
      </c>
      <c r="D327" s="369">
        <v>126.217</v>
      </c>
      <c r="E327" s="369">
        <v>123.673</v>
      </c>
      <c r="F327" s="369">
        <v>121.166</v>
      </c>
      <c r="G327" s="369">
        <v>118.696</v>
      </c>
      <c r="H327" s="369">
        <v>113.87</v>
      </c>
      <c r="I327" s="369">
        <v>109.19499999999999</v>
      </c>
      <c r="J327" s="21">
        <v>2269</v>
      </c>
      <c r="K327" s="422"/>
      <c r="L327"/>
      <c r="M327"/>
      <c r="N327"/>
      <c r="O327"/>
      <c r="P327" s="365"/>
      <c r="Q327"/>
      <c r="R327"/>
      <c r="S327"/>
      <c r="T327"/>
    </row>
    <row r="328" spans="1:20" ht="15.75">
      <c r="A328" s="431">
        <v>2850</v>
      </c>
      <c r="B328" s="369">
        <v>128.84700000000001</v>
      </c>
      <c r="C328" s="369">
        <v>123.675</v>
      </c>
      <c r="D328" s="369">
        <v>121.145</v>
      </c>
      <c r="E328" s="369">
        <v>118.652</v>
      </c>
      <c r="F328" s="369">
        <v>116.197</v>
      </c>
      <c r="G328" s="369">
        <v>113.78</v>
      </c>
      <c r="H328" s="369">
        <v>109.059</v>
      </c>
      <c r="I328" s="369">
        <v>104.488</v>
      </c>
      <c r="J328" s="21">
        <v>2219</v>
      </c>
      <c r="K328" s="422"/>
      <c r="L328"/>
      <c r="M328"/>
      <c r="N328"/>
      <c r="O328"/>
      <c r="P328" s="365"/>
      <c r="Q328"/>
      <c r="R328"/>
      <c r="S328"/>
      <c r="T328"/>
    </row>
    <row r="329" spans="1:20" ht="15.75">
      <c r="A329" s="431">
        <v>2900</v>
      </c>
      <c r="B329" s="369">
        <v>123.72199999999999</v>
      </c>
      <c r="C329" s="369">
        <v>118.654</v>
      </c>
      <c r="D329" s="369">
        <v>116.176</v>
      </c>
      <c r="E329" s="369">
        <v>113.736</v>
      </c>
      <c r="F329" s="369">
        <v>111.334</v>
      </c>
      <c r="G329" s="369">
        <v>108.96899999999999</v>
      </c>
      <c r="H329" s="369">
        <v>104.352</v>
      </c>
      <c r="I329" s="369">
        <v>99.885000000000005</v>
      </c>
      <c r="J329" s="21">
        <v>2169</v>
      </c>
      <c r="K329" s="422"/>
      <c r="L329"/>
      <c r="M329"/>
      <c r="N329"/>
      <c r="O329"/>
      <c r="P329" s="365"/>
      <c r="Q329"/>
      <c r="R329"/>
      <c r="S329"/>
      <c r="T329"/>
    </row>
    <row r="330" spans="1:20" ht="15.75">
      <c r="A330" s="431">
        <v>2950</v>
      </c>
      <c r="B330" s="369">
        <v>118.70099999999999</v>
      </c>
      <c r="C330" s="369">
        <v>113.73699999999999</v>
      </c>
      <c r="D330" s="369">
        <v>111.312</v>
      </c>
      <c r="E330" s="369">
        <v>108.92400000000001</v>
      </c>
      <c r="F330" s="369">
        <v>106.57299999999999</v>
      </c>
      <c r="G330" s="369">
        <v>104.261</v>
      </c>
      <c r="H330" s="369">
        <v>99.748999999999995</v>
      </c>
      <c r="I330" s="369">
        <v>95.387</v>
      </c>
      <c r="J330" s="21">
        <v>2119</v>
      </c>
      <c r="K330" s="422"/>
      <c r="L330"/>
      <c r="M330"/>
      <c r="N330"/>
      <c r="O330"/>
      <c r="P330" s="365"/>
      <c r="Q330"/>
      <c r="R330"/>
      <c r="S330"/>
      <c r="T330"/>
    </row>
    <row r="331" spans="1:20" ht="15.75">
      <c r="A331" s="431">
        <v>3000</v>
      </c>
      <c r="B331" s="369">
        <v>113.783</v>
      </c>
      <c r="C331" s="369">
        <v>108.92400000000001</v>
      </c>
      <c r="D331" s="369">
        <v>106.551</v>
      </c>
      <c r="E331" s="369">
        <v>104.21599999999999</v>
      </c>
      <c r="F331" s="369">
        <v>101.91800000000001</v>
      </c>
      <c r="G331" s="369">
        <v>99.656999999999996</v>
      </c>
      <c r="H331" s="369">
        <v>95.248999999999995</v>
      </c>
      <c r="I331" s="369">
        <v>90.992000000000004</v>
      </c>
      <c r="J331" s="21">
        <v>2069</v>
      </c>
      <c r="K331" s="422"/>
      <c r="L331"/>
      <c r="M331"/>
      <c r="N331"/>
      <c r="O331"/>
      <c r="P331" s="365"/>
      <c r="Q331"/>
      <c r="R331"/>
      <c r="S331"/>
      <c r="T331"/>
    </row>
    <row r="332" spans="1:20" ht="15.75">
      <c r="A332" s="431">
        <v>3050</v>
      </c>
      <c r="B332" s="369">
        <v>108.97</v>
      </c>
      <c r="C332" s="369">
        <v>104.21599999999999</v>
      </c>
      <c r="D332" s="369">
        <v>101.895</v>
      </c>
      <c r="E332" s="369">
        <v>99.611999999999995</v>
      </c>
      <c r="F332" s="369">
        <v>97.366</v>
      </c>
      <c r="G332" s="369">
        <v>95.158000000000001</v>
      </c>
      <c r="H332" s="369">
        <v>90.885000000000005</v>
      </c>
      <c r="I332" s="369">
        <v>86.701999999999998</v>
      </c>
      <c r="J332" s="21">
        <v>2019</v>
      </c>
      <c r="K332" s="422"/>
      <c r="L332"/>
      <c r="M332"/>
      <c r="N332"/>
      <c r="O332"/>
      <c r="P332" s="365"/>
      <c r="Q332"/>
      <c r="R332"/>
      <c r="S332"/>
      <c r="T332"/>
    </row>
    <row r="333" spans="1:20" ht="15.75">
      <c r="A333" s="431">
        <v>3100</v>
      </c>
      <c r="B333" s="369">
        <v>104.261</v>
      </c>
      <c r="C333" s="369">
        <v>99.611000000000004</v>
      </c>
      <c r="D333" s="369">
        <v>97.341999999999999</v>
      </c>
      <c r="E333" s="369">
        <v>95.111000000000004</v>
      </c>
      <c r="F333" s="369">
        <v>92.918000000000006</v>
      </c>
      <c r="G333" s="369">
        <v>90.762</v>
      </c>
      <c r="H333" s="369">
        <v>86.563999999999993</v>
      </c>
      <c r="I333" s="369">
        <v>82.515000000000001</v>
      </c>
      <c r="J333" s="21">
        <v>1969</v>
      </c>
      <c r="K333" s="422"/>
      <c r="L333"/>
      <c r="M333"/>
      <c r="N333"/>
      <c r="O333"/>
      <c r="P333" s="365"/>
      <c r="Q333"/>
      <c r="R333"/>
      <c r="S333"/>
      <c r="T333"/>
    </row>
    <row r="334" spans="1:20" ht="15.75">
      <c r="A334" s="431">
        <v>3150</v>
      </c>
      <c r="B334" s="369">
        <v>99.656000000000006</v>
      </c>
      <c r="C334" s="369">
        <v>95.11</v>
      </c>
      <c r="D334" s="369">
        <v>92.894000000000005</v>
      </c>
      <c r="E334" s="369">
        <v>90.715000000000003</v>
      </c>
      <c r="F334" s="369">
        <v>88.573999999999998</v>
      </c>
      <c r="G334" s="369">
        <v>86.471000000000004</v>
      </c>
      <c r="H334" s="369">
        <v>82.376000000000005</v>
      </c>
      <c r="I334" s="369">
        <v>78.433000000000007</v>
      </c>
      <c r="J334" s="21">
        <v>1919</v>
      </c>
      <c r="K334" s="422"/>
      <c r="L334"/>
      <c r="M334"/>
      <c r="N334"/>
      <c r="O334"/>
      <c r="P334" s="365"/>
      <c r="Q334"/>
      <c r="R334"/>
      <c r="S334"/>
      <c r="T334"/>
    </row>
    <row r="335" spans="1:20" ht="15.75">
      <c r="A335" s="431">
        <v>3200</v>
      </c>
      <c r="B335" s="369">
        <v>95.155000000000001</v>
      </c>
      <c r="C335" s="369">
        <v>90.713999999999999</v>
      </c>
      <c r="D335" s="369">
        <v>88.55</v>
      </c>
      <c r="E335" s="369">
        <v>86.423000000000002</v>
      </c>
      <c r="F335" s="369">
        <v>84.334000000000003</v>
      </c>
      <c r="G335" s="369">
        <v>82.283000000000001</v>
      </c>
      <c r="H335" s="369">
        <v>78.293000000000006</v>
      </c>
      <c r="I335" s="369">
        <v>74.453999999999994</v>
      </c>
      <c r="J335" s="21">
        <v>1869</v>
      </c>
      <c r="K335" s="422"/>
      <c r="L335"/>
      <c r="M335"/>
      <c r="N335"/>
      <c r="O335"/>
      <c r="P335" s="365"/>
      <c r="Q335"/>
      <c r="R335"/>
      <c r="S335"/>
      <c r="T335"/>
    </row>
    <row r="336" spans="1:20" ht="15.75">
      <c r="A336" s="431">
        <v>3250</v>
      </c>
      <c r="B336" s="369">
        <v>90.757999999999996</v>
      </c>
      <c r="C336" s="369">
        <v>86.421000000000006</v>
      </c>
      <c r="D336" s="369">
        <v>84.308999999999997</v>
      </c>
      <c r="E336" s="369">
        <v>82.234999999999999</v>
      </c>
      <c r="F336" s="369">
        <v>80.198999999999998</v>
      </c>
      <c r="G336" s="369">
        <v>78.2</v>
      </c>
      <c r="H336" s="369">
        <v>74.314999999999998</v>
      </c>
      <c r="I336" s="369">
        <v>70.58</v>
      </c>
      <c r="J336" s="21">
        <v>1819</v>
      </c>
      <c r="K336" s="422"/>
      <c r="L336"/>
      <c r="M336"/>
      <c r="N336"/>
      <c r="O336"/>
      <c r="P336" s="365"/>
      <c r="Q336"/>
      <c r="R336"/>
      <c r="S336"/>
      <c r="T336"/>
    </row>
    <row r="337" spans="1:20" ht="15.75">
      <c r="A337" s="431">
        <v>3300</v>
      </c>
      <c r="B337" s="369">
        <v>86.465000000000003</v>
      </c>
      <c r="C337" s="369">
        <v>82.233000000000004</v>
      </c>
      <c r="D337" s="369">
        <v>80.173000000000002</v>
      </c>
      <c r="E337" s="369">
        <v>78.150999999999996</v>
      </c>
      <c r="F337" s="369">
        <v>76.167000000000002</v>
      </c>
      <c r="G337" s="369">
        <v>74.22</v>
      </c>
      <c r="H337" s="369">
        <v>70.44</v>
      </c>
      <c r="I337" s="369">
        <v>66.81</v>
      </c>
      <c r="J337" s="21">
        <v>1769</v>
      </c>
      <c r="K337" s="422"/>
      <c r="L337"/>
      <c r="M337"/>
      <c r="N337"/>
      <c r="O337"/>
      <c r="P337" s="365"/>
      <c r="Q337"/>
      <c r="R337"/>
      <c r="S337"/>
      <c r="T337"/>
    </row>
    <row r="338" spans="1:20" ht="15.75">
      <c r="A338" s="431">
        <v>3350</v>
      </c>
      <c r="B338" s="369">
        <v>82.275000000000006</v>
      </c>
      <c r="C338" s="369">
        <v>78.147999999999996</v>
      </c>
      <c r="D338" s="369">
        <v>76.141000000000005</v>
      </c>
      <c r="E338" s="369">
        <v>74.171000000000006</v>
      </c>
      <c r="F338" s="369">
        <v>72.239000000000004</v>
      </c>
      <c r="G338" s="369">
        <v>70.344999999999999</v>
      </c>
      <c r="H338" s="369">
        <v>66.668999999999997</v>
      </c>
      <c r="I338" s="369">
        <v>63.143000000000001</v>
      </c>
      <c r="J338" s="21">
        <v>1719</v>
      </c>
      <c r="K338" s="422"/>
      <c r="L338"/>
      <c r="M338"/>
      <c r="N338"/>
      <c r="O338"/>
      <c r="P338" s="365"/>
      <c r="Q338"/>
      <c r="R338"/>
      <c r="S338"/>
      <c r="T338"/>
    </row>
    <row r="339" spans="1:20" ht="15.75">
      <c r="A339" s="431">
        <v>3400</v>
      </c>
      <c r="B339" s="369">
        <v>78.191000000000003</v>
      </c>
      <c r="C339" s="369">
        <v>74.168000000000006</v>
      </c>
      <c r="D339" s="369">
        <v>72.212999999999994</v>
      </c>
      <c r="E339" s="369">
        <v>70.296000000000006</v>
      </c>
      <c r="F339" s="369">
        <v>68.415999999999997</v>
      </c>
      <c r="G339" s="369">
        <v>66.572999999999993</v>
      </c>
      <c r="H339" s="369">
        <v>63.002000000000002</v>
      </c>
      <c r="I339" s="369">
        <v>59.581000000000003</v>
      </c>
      <c r="J339" s="21">
        <v>1669</v>
      </c>
      <c r="K339" s="422"/>
      <c r="L339"/>
      <c r="M339"/>
      <c r="N339"/>
      <c r="O339"/>
      <c r="P339" s="365"/>
      <c r="Q339"/>
      <c r="R339"/>
      <c r="S339"/>
      <c r="T339"/>
    </row>
    <row r="340" spans="1:20" ht="15.75">
      <c r="A340" s="431">
        <v>3450</v>
      </c>
      <c r="B340" s="369">
        <v>74.209000000000003</v>
      </c>
      <c r="C340" s="369">
        <v>70.290999999999997</v>
      </c>
      <c r="D340" s="369">
        <v>68.388000000000005</v>
      </c>
      <c r="E340" s="369">
        <v>66.524000000000001</v>
      </c>
      <c r="F340" s="369">
        <v>64.695999999999998</v>
      </c>
      <c r="G340" s="369">
        <v>62.905999999999999</v>
      </c>
      <c r="H340" s="369">
        <v>59.439</v>
      </c>
      <c r="I340" s="369">
        <v>56.122999999999998</v>
      </c>
      <c r="J340" s="21">
        <v>1619</v>
      </c>
      <c r="K340" s="422"/>
      <c r="L340"/>
      <c r="M340"/>
      <c r="N340"/>
      <c r="O340"/>
      <c r="P340" s="365"/>
      <c r="Q340"/>
      <c r="R340"/>
      <c r="S340"/>
      <c r="T340"/>
    </row>
    <row r="341" spans="1:20" ht="15.75">
      <c r="A341" s="431">
        <v>3500</v>
      </c>
      <c r="B341" s="369">
        <v>70.332999999999998</v>
      </c>
      <c r="C341" s="369">
        <v>66.519000000000005</v>
      </c>
      <c r="D341" s="369">
        <v>64.668999999999997</v>
      </c>
      <c r="E341" s="369">
        <v>62.856000000000002</v>
      </c>
      <c r="F341" s="369">
        <v>61.08</v>
      </c>
      <c r="G341" s="369">
        <v>59.343000000000004</v>
      </c>
      <c r="H341" s="369">
        <v>55.981000000000002</v>
      </c>
      <c r="I341" s="369">
        <v>52.768999999999998</v>
      </c>
      <c r="J341" s="21">
        <v>1569</v>
      </c>
      <c r="K341" s="422"/>
      <c r="L341"/>
      <c r="M341"/>
      <c r="N341"/>
      <c r="O341"/>
      <c r="P341" s="365"/>
      <c r="Q341"/>
      <c r="R341"/>
      <c r="S341"/>
      <c r="T341"/>
    </row>
    <row r="342" spans="1:20" ht="15.75">
      <c r="A342" s="431">
        <v>3550</v>
      </c>
      <c r="B342" s="369">
        <v>66.56</v>
      </c>
      <c r="C342" s="369">
        <v>62.850999999999999</v>
      </c>
      <c r="D342" s="369">
        <v>61.052999999999997</v>
      </c>
      <c r="E342" s="369">
        <v>59.292000000000002</v>
      </c>
      <c r="F342" s="369">
        <v>57.569000000000003</v>
      </c>
      <c r="G342" s="369">
        <v>55.884</v>
      </c>
      <c r="H342" s="369">
        <v>52.625999999999998</v>
      </c>
      <c r="I342" s="369">
        <v>49.518000000000001</v>
      </c>
      <c r="J342" s="21">
        <v>1519</v>
      </c>
      <c r="K342" s="422"/>
      <c r="L342"/>
      <c r="M342"/>
      <c r="N342"/>
      <c r="O342"/>
      <c r="P342" s="365"/>
      <c r="Q342"/>
      <c r="R342"/>
      <c r="S342"/>
      <c r="T342"/>
    </row>
    <row r="343" spans="1:20" ht="15.75">
      <c r="A343" s="431">
        <v>3600</v>
      </c>
      <c r="B343" s="369">
        <v>62.890999999999998</v>
      </c>
      <c r="C343" s="369">
        <v>59.286000000000001</v>
      </c>
      <c r="D343" s="369">
        <v>57.540999999999997</v>
      </c>
      <c r="E343" s="369">
        <v>55.832000000000001</v>
      </c>
      <c r="F343" s="369">
        <v>54.161999999999999</v>
      </c>
      <c r="G343" s="369">
        <v>52.527999999999999</v>
      </c>
      <c r="H343" s="369">
        <v>49.375</v>
      </c>
      <c r="I343" s="369">
        <v>46.372</v>
      </c>
      <c r="J343" s="21">
        <v>1469</v>
      </c>
      <c r="K343" s="422"/>
      <c r="L343"/>
      <c r="M343"/>
      <c r="N343"/>
      <c r="O343"/>
      <c r="P343" s="365"/>
      <c r="Q343"/>
      <c r="R343"/>
      <c r="S343"/>
      <c r="T343"/>
    </row>
    <row r="344" spans="1:20" ht="15.75">
      <c r="A344" s="431">
        <v>3650</v>
      </c>
      <c r="B344" s="369">
        <v>59.326000000000001</v>
      </c>
      <c r="C344" s="369">
        <v>55.826000000000001</v>
      </c>
      <c r="D344" s="369">
        <v>54.133000000000003</v>
      </c>
      <c r="E344" s="369">
        <v>52.476999999999997</v>
      </c>
      <c r="F344" s="369">
        <v>50.857999999999997</v>
      </c>
      <c r="G344" s="369">
        <v>49.277000000000001</v>
      </c>
      <c r="H344" s="369">
        <v>46.228999999999999</v>
      </c>
      <c r="I344" s="369">
        <v>43.33</v>
      </c>
      <c r="J344" s="21">
        <v>1419</v>
      </c>
      <c r="K344" s="422"/>
      <c r="L344"/>
      <c r="M344"/>
      <c r="N344"/>
      <c r="O344"/>
      <c r="P344" s="365"/>
      <c r="Q344"/>
      <c r="R344"/>
      <c r="S344"/>
      <c r="T344"/>
    </row>
    <row r="345" spans="1:20" ht="15.75">
      <c r="A345" s="431">
        <v>3700</v>
      </c>
      <c r="B345" s="369">
        <v>55.866</v>
      </c>
      <c r="C345" s="369">
        <v>52.47</v>
      </c>
      <c r="D345" s="369">
        <v>50.829000000000001</v>
      </c>
      <c r="E345" s="369">
        <v>49.225000000000001</v>
      </c>
      <c r="F345" s="369">
        <v>47.658999999999999</v>
      </c>
      <c r="G345" s="369">
        <v>46.13</v>
      </c>
      <c r="H345" s="369">
        <v>43.118000000000002</v>
      </c>
      <c r="I345" s="369">
        <v>40.392000000000003</v>
      </c>
      <c r="J345" s="21">
        <v>1369</v>
      </c>
      <c r="K345" s="422"/>
      <c r="L345"/>
      <c r="M345"/>
      <c r="N345"/>
      <c r="O345"/>
      <c r="P345" s="365"/>
      <c r="Q345"/>
      <c r="R345"/>
      <c r="S345"/>
      <c r="T345"/>
    </row>
    <row r="346" spans="1:20" ht="15.75">
      <c r="A346" s="431">
        <v>3750</v>
      </c>
      <c r="B346" s="369">
        <v>52.509</v>
      </c>
      <c r="C346" s="369">
        <v>49.218000000000004</v>
      </c>
      <c r="D346" s="369">
        <v>47.628999999999998</v>
      </c>
      <c r="E346" s="369">
        <v>46.076999999999998</v>
      </c>
      <c r="F346" s="369">
        <v>44.563000000000002</v>
      </c>
      <c r="G346" s="369">
        <v>43.087000000000003</v>
      </c>
      <c r="H346" s="369">
        <v>40.247999999999998</v>
      </c>
      <c r="I346" s="369">
        <v>37.558</v>
      </c>
      <c r="J346" s="21">
        <v>1319</v>
      </c>
      <c r="K346" s="422"/>
      <c r="L346"/>
      <c r="M346"/>
      <c r="N346"/>
      <c r="O346"/>
      <c r="P346" s="365"/>
      <c r="Q346"/>
      <c r="R346"/>
      <c r="S346"/>
      <c r="T346"/>
    </row>
    <row r="347" spans="1:20" ht="15.75">
      <c r="A347" s="431">
        <v>3800</v>
      </c>
      <c r="B347" s="369">
        <v>49.289000000000001</v>
      </c>
      <c r="C347" s="369">
        <v>46.100999999999999</v>
      </c>
      <c r="D347" s="369">
        <v>44.564</v>
      </c>
      <c r="E347" s="369">
        <v>43.064</v>
      </c>
      <c r="F347" s="369">
        <v>41.601999999999997</v>
      </c>
      <c r="G347" s="369">
        <v>40.177999999999997</v>
      </c>
      <c r="H347" s="369">
        <v>37.442</v>
      </c>
      <c r="I347" s="369">
        <v>34.856000000000002</v>
      </c>
      <c r="J347" s="21">
        <v>1269</v>
      </c>
      <c r="K347" s="422"/>
      <c r="L347"/>
      <c r="M347"/>
      <c r="N347"/>
      <c r="O347"/>
      <c r="P347" s="365"/>
      <c r="Q347"/>
      <c r="R347"/>
      <c r="S347"/>
      <c r="T347"/>
    </row>
    <row r="348" spans="1:20" ht="15.75">
      <c r="A348" s="431">
        <v>3850</v>
      </c>
      <c r="B348" s="369">
        <v>46.188000000000002</v>
      </c>
      <c r="C348" s="369">
        <v>43.103000000000002</v>
      </c>
      <c r="D348" s="369">
        <v>41.616999999999997</v>
      </c>
      <c r="E348" s="369">
        <v>40.168999999999997</v>
      </c>
      <c r="F348" s="369">
        <v>38.758000000000003</v>
      </c>
      <c r="G348" s="369">
        <v>37.384999999999998</v>
      </c>
      <c r="H348" s="369">
        <v>34.752000000000002</v>
      </c>
      <c r="I348" s="369">
        <v>32.268999999999998</v>
      </c>
      <c r="J348" s="21">
        <v>1219</v>
      </c>
      <c r="K348" s="422"/>
      <c r="L348"/>
      <c r="M348"/>
      <c r="N348"/>
      <c r="O348"/>
      <c r="P348" s="365"/>
      <c r="Q348"/>
      <c r="R348"/>
      <c r="S348"/>
      <c r="T348"/>
    </row>
    <row r="349" spans="1:20" ht="15.75">
      <c r="A349" s="431">
        <v>3900</v>
      </c>
      <c r="B349" s="369">
        <v>43.186999999999998</v>
      </c>
      <c r="C349" s="369">
        <v>40.204999999999998</v>
      </c>
      <c r="D349" s="369">
        <v>38.771000000000001</v>
      </c>
      <c r="E349" s="369">
        <v>37.374000000000002</v>
      </c>
      <c r="F349" s="369">
        <v>36.015000000000001</v>
      </c>
      <c r="G349" s="369">
        <v>34.692999999999998</v>
      </c>
      <c r="H349" s="369">
        <v>32.162999999999997</v>
      </c>
      <c r="I349" s="369">
        <v>29.783000000000001</v>
      </c>
      <c r="J349" s="21">
        <v>1169</v>
      </c>
      <c r="K349" s="422"/>
      <c r="L349"/>
      <c r="M349"/>
      <c r="N349"/>
      <c r="O349"/>
      <c r="P349" s="365"/>
      <c r="Q349"/>
      <c r="R349"/>
      <c r="S349"/>
      <c r="T349"/>
    </row>
    <row r="350" spans="1:20" ht="15.75">
      <c r="A350" s="431">
        <v>3950</v>
      </c>
      <c r="B350" s="369">
        <v>40.286999999999999</v>
      </c>
      <c r="C350" s="369">
        <v>37.408000000000001</v>
      </c>
      <c r="D350" s="369">
        <v>36.024999999999999</v>
      </c>
      <c r="E350" s="369">
        <v>34.68</v>
      </c>
      <c r="F350" s="369">
        <v>33.372</v>
      </c>
      <c r="G350" s="369">
        <v>32.101999999999997</v>
      </c>
      <c r="H350" s="369">
        <v>29.675000000000001</v>
      </c>
      <c r="I350" s="369">
        <v>27.398</v>
      </c>
      <c r="J350" s="21">
        <v>1119</v>
      </c>
      <c r="K350" s="422"/>
      <c r="L350"/>
      <c r="M350"/>
      <c r="N350"/>
      <c r="O350"/>
      <c r="P350" s="365"/>
      <c r="Q350"/>
      <c r="R350"/>
      <c r="S350"/>
      <c r="T350"/>
    </row>
    <row r="351" spans="1:20" ht="15.75">
      <c r="A351" s="431">
        <v>4000</v>
      </c>
      <c r="B351" s="369">
        <v>37.488</v>
      </c>
      <c r="C351" s="369">
        <v>34.712000000000003</v>
      </c>
      <c r="D351" s="369">
        <v>33.381</v>
      </c>
      <c r="E351" s="369">
        <v>32.087000000000003</v>
      </c>
      <c r="F351" s="369">
        <v>30.831</v>
      </c>
      <c r="G351" s="369">
        <v>29.611999999999998</v>
      </c>
      <c r="H351" s="369">
        <v>27.286999999999999</v>
      </c>
      <c r="I351" s="369">
        <v>25.113</v>
      </c>
      <c r="J351" s="21">
        <v>1069</v>
      </c>
      <c r="K351" s="422"/>
      <c r="L351"/>
      <c r="M351"/>
      <c r="N351"/>
      <c r="O351"/>
      <c r="P351" s="365"/>
      <c r="Q351"/>
      <c r="R351"/>
      <c r="S351"/>
      <c r="T351"/>
    </row>
    <row r="352" spans="1:20" ht="15.75">
      <c r="A352" s="431">
        <v>4050</v>
      </c>
      <c r="B352" s="369">
        <v>34.79</v>
      </c>
      <c r="C352" s="369">
        <v>32.116999999999997</v>
      </c>
      <c r="D352" s="369">
        <v>30.837</v>
      </c>
      <c r="E352" s="369">
        <v>29.594999999999999</v>
      </c>
      <c r="F352" s="369">
        <v>28.39</v>
      </c>
      <c r="G352" s="369">
        <v>27.222000000000001</v>
      </c>
      <c r="H352" s="369">
        <v>25.001000000000001</v>
      </c>
      <c r="I352" s="369">
        <v>22.93</v>
      </c>
      <c r="J352" s="21">
        <v>1019</v>
      </c>
      <c r="K352" s="422"/>
      <c r="L352"/>
      <c r="M352"/>
      <c r="N352"/>
      <c r="O352"/>
      <c r="P352" s="365"/>
      <c r="Q352"/>
      <c r="R352"/>
      <c r="S352"/>
      <c r="T352"/>
    </row>
    <row r="353" spans="1:20" ht="15.75">
      <c r="A353" s="431">
        <v>4100</v>
      </c>
      <c r="B353" s="370">
        <v>32.192999999999998</v>
      </c>
      <c r="C353" s="370">
        <v>29.623000000000001</v>
      </c>
      <c r="D353" s="370">
        <v>28.393999999999998</v>
      </c>
      <c r="E353" s="370">
        <v>27.202999999999999</v>
      </c>
      <c r="F353" s="370">
        <v>26.05</v>
      </c>
      <c r="G353" s="370">
        <v>24.934000000000001</v>
      </c>
      <c r="H353" s="370">
        <v>22.815000000000001</v>
      </c>
      <c r="I353" s="370">
        <v>20.847000000000001</v>
      </c>
      <c r="J353" s="21">
        <v>969</v>
      </c>
      <c r="K353" s="422"/>
      <c r="L353" s="1"/>
      <c r="M353" s="1"/>
      <c r="N353" s="1"/>
      <c r="O353" s="1"/>
      <c r="P353" s="365"/>
      <c r="Q353" s="1"/>
      <c r="R353" s="1"/>
      <c r="S353" s="1"/>
      <c r="T353" s="1"/>
    </row>
    <row r="354" spans="1:20" ht="15.75">
      <c r="A354" s="431">
        <v>4150</v>
      </c>
      <c r="B354" s="370">
        <v>29.696000000000002</v>
      </c>
      <c r="C354" s="370">
        <v>27.228999999999999</v>
      </c>
      <c r="D354" s="370">
        <v>26.052</v>
      </c>
      <c r="E354" s="370">
        <v>24.911999999999999</v>
      </c>
      <c r="F354" s="370">
        <v>23.811</v>
      </c>
      <c r="G354" s="370">
        <v>22.745999999999999</v>
      </c>
      <c r="H354" s="370">
        <v>20.73</v>
      </c>
      <c r="I354" s="370">
        <v>18.864999999999998</v>
      </c>
      <c r="J354" s="21">
        <v>919</v>
      </c>
      <c r="K354" s="422"/>
      <c r="L354" s="1"/>
      <c r="M354" s="1"/>
      <c r="N354" s="1"/>
      <c r="O354" s="1"/>
      <c r="P354" s="365"/>
      <c r="Q354" s="1"/>
      <c r="R354" s="1"/>
      <c r="S354" s="1"/>
      <c r="T354" s="1"/>
    </row>
    <row r="355" spans="1:20" ht="15.75">
      <c r="A355" s="431">
        <v>4200</v>
      </c>
      <c r="B355" s="370">
        <v>27.3</v>
      </c>
      <c r="C355" s="370">
        <v>24.936</v>
      </c>
      <c r="D355" s="370">
        <v>23.811</v>
      </c>
      <c r="E355" s="370">
        <v>22.722999999999999</v>
      </c>
      <c r="F355" s="370">
        <v>21.672000000000001</v>
      </c>
      <c r="G355" s="370">
        <v>20.658999999999999</v>
      </c>
      <c r="H355" s="370">
        <v>18.745999999999999</v>
      </c>
      <c r="I355" s="370">
        <v>16.984000000000002</v>
      </c>
      <c r="J355" s="21">
        <v>869</v>
      </c>
      <c r="K355" s="422"/>
      <c r="L355" s="1"/>
      <c r="M355" s="1"/>
      <c r="N355" s="1"/>
      <c r="O355" s="1"/>
      <c r="P355" s="365"/>
      <c r="Q355" s="1"/>
      <c r="R355" s="1"/>
      <c r="S355" s="1"/>
      <c r="T355" s="1"/>
    </row>
    <row r="356" spans="1:20" ht="15.75">
      <c r="A356" s="431">
        <v>4250</v>
      </c>
      <c r="B356" s="370">
        <v>25.006</v>
      </c>
      <c r="C356" s="370">
        <v>22.744</v>
      </c>
      <c r="D356" s="370">
        <v>21.67</v>
      </c>
      <c r="E356" s="370">
        <v>20.632999999999999</v>
      </c>
      <c r="F356" s="370">
        <v>19.634</v>
      </c>
      <c r="G356" s="370">
        <v>18.672999999999998</v>
      </c>
      <c r="H356" s="370">
        <v>16.863</v>
      </c>
      <c r="I356" s="370">
        <v>15.204000000000001</v>
      </c>
      <c r="J356" s="21">
        <v>819</v>
      </c>
      <c r="K356" s="422"/>
      <c r="L356" s="1"/>
      <c r="M356" s="1"/>
      <c r="N356" s="1"/>
      <c r="O356" s="1"/>
      <c r="P356" s="365"/>
      <c r="Q356" s="1"/>
      <c r="R356" s="1"/>
      <c r="S356" s="1"/>
      <c r="T356" s="1"/>
    </row>
    <row r="357" spans="1:20" ht="15.75">
      <c r="A357" s="431">
        <v>4300</v>
      </c>
      <c r="B357" s="370">
        <v>22.812000000000001</v>
      </c>
      <c r="C357" s="370">
        <v>20.652999999999999</v>
      </c>
      <c r="D357" s="370">
        <v>19.63</v>
      </c>
      <c r="E357" s="370">
        <v>18.645</v>
      </c>
      <c r="F357" s="370">
        <v>17.698</v>
      </c>
      <c r="G357" s="370">
        <v>16.788</v>
      </c>
      <c r="H357" s="370">
        <v>15.081</v>
      </c>
      <c r="I357" s="370">
        <v>13.523999999999999</v>
      </c>
      <c r="J357" s="21">
        <v>769</v>
      </c>
      <c r="K357" s="422"/>
      <c r="L357" s="1"/>
      <c r="M357" s="1"/>
      <c r="N357" s="1"/>
      <c r="O357" s="1"/>
      <c r="P357" s="365"/>
      <c r="Q357" s="1"/>
      <c r="R357" s="1"/>
      <c r="S357" s="1"/>
      <c r="T357" s="1"/>
    </row>
    <row r="358" spans="1:20" ht="15.75">
      <c r="A358" s="431">
        <v>4350</v>
      </c>
      <c r="B358" s="370">
        <v>20.718</v>
      </c>
      <c r="C358" s="370">
        <v>18.663</v>
      </c>
      <c r="D358" s="370">
        <v>17.692</v>
      </c>
      <c r="E358" s="370">
        <v>16.757999999999999</v>
      </c>
      <c r="F358" s="370">
        <v>15.862</v>
      </c>
      <c r="G358" s="370">
        <v>15.003</v>
      </c>
      <c r="H358" s="370">
        <v>13.398999999999999</v>
      </c>
      <c r="I358" s="370">
        <v>11.946</v>
      </c>
      <c r="J358" s="21">
        <v>719</v>
      </c>
      <c r="K358" s="422"/>
      <c r="L358" s="1"/>
      <c r="M358" s="1"/>
      <c r="N358" s="1"/>
      <c r="O358" s="1"/>
      <c r="P358" s="365"/>
      <c r="Q358" s="1"/>
      <c r="R358" s="1"/>
      <c r="S358" s="1"/>
      <c r="T358" s="1"/>
    </row>
    <row r="359" spans="1:20" ht="15.75">
      <c r="A359" s="431">
        <v>4400</v>
      </c>
      <c r="B359" s="370">
        <v>18.725999999999999</v>
      </c>
      <c r="C359" s="370">
        <v>16.773</v>
      </c>
      <c r="D359" s="370">
        <v>15.853999999999999</v>
      </c>
      <c r="E359" s="370">
        <v>14.971</v>
      </c>
      <c r="F359" s="370">
        <v>14.127000000000001</v>
      </c>
      <c r="G359" s="370">
        <v>13.32</v>
      </c>
      <c r="H359" s="370">
        <v>11.818</v>
      </c>
      <c r="I359" s="370">
        <v>10.468</v>
      </c>
      <c r="J359" s="21">
        <v>669</v>
      </c>
      <c r="K359" s="422"/>
      <c r="L359" s="1"/>
      <c r="M359" s="1"/>
      <c r="N359" s="1"/>
      <c r="O359" s="1"/>
      <c r="P359" s="365"/>
      <c r="Q359" s="1"/>
      <c r="R359" s="1"/>
      <c r="S359" s="1"/>
      <c r="T359" s="1"/>
    </row>
    <row r="360" spans="1:20" ht="15.75">
      <c r="A360" s="431">
        <v>4450</v>
      </c>
      <c r="B360" s="370">
        <v>16.834</v>
      </c>
      <c r="C360" s="370">
        <v>14.984999999999999</v>
      </c>
      <c r="D360" s="370">
        <v>14.116</v>
      </c>
      <c r="E360" s="370">
        <v>13.285</v>
      </c>
      <c r="F360" s="370">
        <v>12.492000000000001</v>
      </c>
      <c r="G360" s="370">
        <v>11.737</v>
      </c>
      <c r="H360" s="370">
        <v>10.337999999999999</v>
      </c>
      <c r="I360" s="370">
        <v>9.0909999999999993</v>
      </c>
      <c r="J360" s="21">
        <v>619</v>
      </c>
      <c r="K360" s="422"/>
      <c r="L360" s="1"/>
      <c r="M360" s="1"/>
      <c r="N360" s="1"/>
      <c r="O360" s="1"/>
      <c r="P360" s="365"/>
      <c r="Q360" s="1"/>
      <c r="R360" s="1"/>
      <c r="S360" s="1"/>
      <c r="T360" s="1"/>
    </row>
    <row r="361" spans="1:20" ht="15.75">
      <c r="A361" s="431">
        <v>4500</v>
      </c>
      <c r="B361" s="370">
        <v>15.044</v>
      </c>
      <c r="C361" s="371">
        <v>13.297000000000001</v>
      </c>
      <c r="D361" s="371">
        <v>12.48</v>
      </c>
      <c r="E361" s="371">
        <v>11.701000000000001</v>
      </c>
      <c r="F361" s="371">
        <v>10.959</v>
      </c>
      <c r="G361" s="371">
        <v>10.255000000000001</v>
      </c>
      <c r="H361" s="371">
        <v>8.9589999999999996</v>
      </c>
      <c r="I361" s="371">
        <v>7.8140000000000001</v>
      </c>
      <c r="J361" s="21">
        <v>569</v>
      </c>
      <c r="K361" s="422"/>
      <c r="L361" s="1"/>
      <c r="M361" s="1"/>
      <c r="N361" s="1"/>
      <c r="O361" s="1"/>
      <c r="P361" s="365"/>
      <c r="Q361" s="1"/>
      <c r="R361" s="1"/>
      <c r="S361" s="1"/>
      <c r="T361" s="1"/>
    </row>
    <row r="362" spans="1:20" ht="15.75">
      <c r="A362" s="431">
        <v>4550</v>
      </c>
      <c r="B362" s="370">
        <v>13.353999999999999</v>
      </c>
      <c r="C362" s="370">
        <v>11.71</v>
      </c>
      <c r="D362" s="370">
        <v>10.944000000000001</v>
      </c>
      <c r="E362" s="370">
        <v>10.215999999999999</v>
      </c>
      <c r="F362" s="370">
        <v>9.5259999999999998</v>
      </c>
      <c r="G362" s="370">
        <v>8.8729999999999993</v>
      </c>
      <c r="H362" s="370">
        <v>7.681</v>
      </c>
      <c r="I362" s="370">
        <v>6.6390000000000002</v>
      </c>
      <c r="J362" s="21">
        <v>519</v>
      </c>
      <c r="K362" s="422"/>
      <c r="L362" s="1"/>
      <c r="M362" s="1"/>
      <c r="N362" s="1"/>
      <c r="O362" s="1"/>
      <c r="P362" s="365"/>
      <c r="Q362" s="1"/>
      <c r="R362" s="1"/>
      <c r="S362" s="1"/>
      <c r="T362" s="1"/>
    </row>
    <row r="363" spans="1:20" ht="15.75">
      <c r="A363" s="431">
        <v>4600</v>
      </c>
      <c r="B363" s="370">
        <v>11.763999999999999</v>
      </c>
      <c r="C363" s="370">
        <v>10.224</v>
      </c>
      <c r="D363" s="370">
        <v>9.51</v>
      </c>
      <c r="E363" s="370">
        <v>8.8330000000000002</v>
      </c>
      <c r="F363" s="370">
        <v>8.1940000000000008</v>
      </c>
      <c r="G363" s="370">
        <v>7.593</v>
      </c>
      <c r="H363" s="370">
        <v>6.5039999999999996</v>
      </c>
      <c r="I363" s="370">
        <v>5.5650000000000004</v>
      </c>
      <c r="J363" s="21">
        <v>469</v>
      </c>
      <c r="K363" s="422"/>
      <c r="L363" s="1"/>
      <c r="M363" s="1"/>
      <c r="N363" s="1"/>
      <c r="O363" s="1"/>
      <c r="P363" s="365"/>
      <c r="Q363" s="1"/>
      <c r="R363" s="1"/>
      <c r="S363" s="1"/>
      <c r="T363" s="1"/>
    </row>
    <row r="364" spans="1:20" ht="15.75">
      <c r="A364" s="431">
        <v>4650</v>
      </c>
      <c r="B364" s="370">
        <v>10.276</v>
      </c>
      <c r="C364" s="370">
        <v>8.8379999999999992</v>
      </c>
      <c r="D364" s="370">
        <v>8.1760000000000002</v>
      </c>
      <c r="E364" s="370">
        <v>7.5510000000000002</v>
      </c>
      <c r="F364" s="370">
        <v>6.9630000000000001</v>
      </c>
      <c r="G364" s="370">
        <v>6.4139999999999997</v>
      </c>
      <c r="H364" s="370">
        <v>5.4269999999999996</v>
      </c>
      <c r="I364" s="370">
        <v>4.5910000000000002</v>
      </c>
      <c r="J364" s="21">
        <v>419</v>
      </c>
      <c r="K364" s="422"/>
      <c r="L364" s="1"/>
      <c r="M364" s="1"/>
      <c r="N364" s="1"/>
      <c r="O364" s="1"/>
      <c r="P364" s="365"/>
      <c r="Q364" s="1"/>
      <c r="R364" s="1"/>
      <c r="S364" s="1"/>
      <c r="T364" s="1"/>
    </row>
    <row r="365" spans="1:20" ht="15.75">
      <c r="A365" s="431">
        <v>4700</v>
      </c>
      <c r="B365" s="370">
        <v>8.8889999999999993</v>
      </c>
      <c r="C365" s="370">
        <v>7.5540000000000003</v>
      </c>
      <c r="D365" s="370">
        <v>6.9429999999999996</v>
      </c>
      <c r="E365" s="370">
        <v>6.3689999999999998</v>
      </c>
      <c r="F365" s="370">
        <v>5.8330000000000002</v>
      </c>
      <c r="G365" s="370">
        <v>5.335</v>
      </c>
      <c r="H365" s="370">
        <v>4.4509999999999996</v>
      </c>
      <c r="I365" s="370">
        <v>3.718</v>
      </c>
      <c r="J365" s="21">
        <v>369</v>
      </c>
      <c r="K365" s="422"/>
      <c r="L365" s="1"/>
      <c r="M365" s="1"/>
      <c r="N365" s="1"/>
      <c r="O365" s="1"/>
      <c r="P365" s="365"/>
      <c r="Q365" s="1"/>
      <c r="R365" s="1"/>
      <c r="S365" s="1"/>
      <c r="T365" s="1"/>
    </row>
    <row r="366" spans="1:20" ht="15.75">
      <c r="A366" s="431">
        <v>4750</v>
      </c>
      <c r="B366" s="370">
        <v>7.6020000000000003</v>
      </c>
      <c r="C366" s="370">
        <v>6.37</v>
      </c>
      <c r="D366" s="370">
        <v>5.81</v>
      </c>
      <c r="E366" s="370">
        <v>5.2880000000000003</v>
      </c>
      <c r="F366" s="370">
        <v>4.8040000000000003</v>
      </c>
      <c r="G366" s="370">
        <v>4.3570000000000002</v>
      </c>
      <c r="H366" s="370">
        <v>3.5760000000000001</v>
      </c>
      <c r="I366" s="370">
        <v>2.9460000000000002</v>
      </c>
      <c r="J366" s="21">
        <v>319</v>
      </c>
      <c r="K366" s="422"/>
      <c r="L366" s="1"/>
      <c r="M366" s="1"/>
      <c r="N366" s="1"/>
      <c r="O366" s="1"/>
      <c r="P366" s="365"/>
      <c r="Q366" s="1"/>
      <c r="R366" s="1"/>
      <c r="S366" s="1"/>
      <c r="T366" s="1"/>
    </row>
    <row r="367" spans="1:20" ht="15.75">
      <c r="A367" s="431">
        <v>4800</v>
      </c>
      <c r="B367" s="370">
        <v>6.4160000000000004</v>
      </c>
      <c r="C367" s="370">
        <v>5.2869999999999999</v>
      </c>
      <c r="D367" s="370">
        <v>4.7789999999999999</v>
      </c>
      <c r="E367" s="370">
        <v>4.3079999999999998</v>
      </c>
      <c r="F367" s="370">
        <v>3.875</v>
      </c>
      <c r="G367" s="370">
        <v>3.48</v>
      </c>
      <c r="H367" s="370">
        <v>2.802</v>
      </c>
      <c r="I367" s="370">
        <v>2.2749999999999999</v>
      </c>
      <c r="J367" s="21">
        <v>269</v>
      </c>
      <c r="K367" s="422"/>
      <c r="L367" s="1"/>
      <c r="M367" s="1"/>
      <c r="N367" s="1"/>
      <c r="O367" s="1"/>
      <c r="P367" s="365"/>
      <c r="Q367" s="1"/>
      <c r="R367" s="1"/>
      <c r="S367" s="1"/>
      <c r="T367" s="1"/>
    </row>
    <row r="368" spans="1:20" ht="15.75">
      <c r="A368" s="431">
        <v>4850</v>
      </c>
      <c r="B368" s="370">
        <v>5.3310000000000004</v>
      </c>
      <c r="C368" s="370">
        <v>4.3049999999999997</v>
      </c>
      <c r="D368" s="370">
        <v>3.8479999999999999</v>
      </c>
      <c r="E368" s="370">
        <v>3.4289999999999998</v>
      </c>
      <c r="F368" s="370">
        <v>3.0470000000000002</v>
      </c>
      <c r="G368" s="370">
        <v>2.7029999999999998</v>
      </c>
      <c r="H368" s="370">
        <v>2.129</v>
      </c>
      <c r="I368" s="370">
        <v>1.704</v>
      </c>
      <c r="J368" s="21">
        <v>219</v>
      </c>
      <c r="K368" s="422"/>
      <c r="L368" s="1"/>
      <c r="M368" s="1"/>
      <c r="N368" s="1"/>
      <c r="O368" s="1"/>
      <c r="P368" s="365"/>
      <c r="Q368" s="1"/>
      <c r="R368" s="1"/>
      <c r="S368" s="1"/>
      <c r="T368" s="1"/>
    </row>
    <row r="369" spans="1:20" ht="15.75">
      <c r="A369" s="431">
        <v>4900</v>
      </c>
      <c r="B369" s="370">
        <v>4.3470000000000004</v>
      </c>
      <c r="C369" s="370">
        <v>3.423</v>
      </c>
      <c r="D369" s="370">
        <v>3.0179999999999998</v>
      </c>
      <c r="E369" s="370">
        <v>2.6509999999999998</v>
      </c>
      <c r="F369" s="370">
        <v>2.3199999999999998</v>
      </c>
      <c r="G369" s="370">
        <v>2.028</v>
      </c>
      <c r="H369" s="370">
        <v>1.556</v>
      </c>
      <c r="I369" s="370">
        <v>1.234</v>
      </c>
      <c r="J369" s="21">
        <v>169</v>
      </c>
      <c r="K369" s="422"/>
      <c r="L369" s="1"/>
      <c r="M369" s="1"/>
      <c r="N369" s="1"/>
      <c r="O369" s="1"/>
      <c r="P369" s="365"/>
      <c r="Q369" s="1"/>
      <c r="R369" s="1"/>
      <c r="S369" s="1"/>
      <c r="T369" s="1"/>
    </row>
    <row r="370" spans="1:20" ht="15.75">
      <c r="A370" s="431">
        <v>4950</v>
      </c>
      <c r="B370" s="370">
        <v>3.4630000000000001</v>
      </c>
      <c r="C370" s="370">
        <v>2.6429999999999998</v>
      </c>
      <c r="D370" s="370">
        <v>2.2890000000000001</v>
      </c>
      <c r="E370" s="370">
        <v>1.9730000000000001</v>
      </c>
      <c r="F370" s="370">
        <v>1.694</v>
      </c>
      <c r="G370" s="370">
        <v>1.4530000000000001</v>
      </c>
      <c r="H370" s="370">
        <v>1.0840000000000001</v>
      </c>
      <c r="I370" s="370">
        <v>0.86</v>
      </c>
      <c r="J370" s="21">
        <v>119</v>
      </c>
      <c r="K370" s="422"/>
      <c r="L370" s="1"/>
      <c r="M370" s="1"/>
      <c r="N370" s="1"/>
      <c r="O370" s="1"/>
      <c r="P370" s="365"/>
      <c r="Q370" s="1"/>
      <c r="R370" s="1"/>
      <c r="S370" s="1"/>
      <c r="T370" s="1"/>
    </row>
    <row r="371" spans="1:20" ht="15.75">
      <c r="A371" s="431">
        <v>5000</v>
      </c>
      <c r="B371" s="370">
        <v>2.681</v>
      </c>
      <c r="C371" s="370">
        <v>1.9630000000000001</v>
      </c>
      <c r="D371" s="370">
        <v>1.661</v>
      </c>
      <c r="E371" s="370">
        <v>1.3959999999999999</v>
      </c>
      <c r="F371" s="370">
        <v>1.169</v>
      </c>
      <c r="G371" s="370">
        <v>0.98</v>
      </c>
      <c r="H371" s="370">
        <v>0.71299999999999997</v>
      </c>
      <c r="I371" s="370">
        <v>0.56999999999999995</v>
      </c>
      <c r="J371" s="21">
        <v>69</v>
      </c>
      <c r="K371" s="422"/>
      <c r="L371" s="1"/>
      <c r="M371" s="1"/>
      <c r="N371" s="1"/>
      <c r="O371" s="1"/>
      <c r="P371" s="365"/>
      <c r="Q371" s="1"/>
      <c r="R371" s="1"/>
      <c r="S371" s="1"/>
      <c r="T371" s="1"/>
    </row>
    <row r="372" spans="1:20" ht="15.75">
      <c r="A372" s="431">
        <v>5050</v>
      </c>
      <c r="B372" s="370">
        <v>1.9990000000000001</v>
      </c>
      <c r="C372" s="370">
        <v>1.3839999999999999</v>
      </c>
      <c r="D372" s="370">
        <v>1.1339999999999999</v>
      </c>
      <c r="E372" s="370">
        <v>0.92</v>
      </c>
      <c r="F372" s="370">
        <v>0.745</v>
      </c>
      <c r="G372" s="370">
        <v>0.60699999999999998</v>
      </c>
      <c r="H372" s="370">
        <v>0.438</v>
      </c>
      <c r="I372" s="370">
        <v>0.35499999999999998</v>
      </c>
      <c r="J372" s="21">
        <v>19</v>
      </c>
      <c r="K372" s="422"/>
      <c r="L372" s="1"/>
      <c r="M372" s="1"/>
      <c r="N372" s="1"/>
      <c r="O372" s="1"/>
      <c r="P372" s="365"/>
      <c r="Q372" s="1"/>
      <c r="R372" s="1"/>
      <c r="S372" s="1"/>
      <c r="T372" s="1"/>
    </row>
    <row r="373" spans="1:20" ht="15.75">
      <c r="A373" s="431">
        <v>5069</v>
      </c>
      <c r="B373" s="370">
        <v>1.7629999999999999</v>
      </c>
      <c r="C373" s="370">
        <v>1.1879999999999999</v>
      </c>
      <c r="D373" s="370">
        <v>0.95699999999999996</v>
      </c>
      <c r="E373" s="370">
        <v>0.76400000000000001</v>
      </c>
      <c r="F373" s="370">
        <v>0.60799999999999998</v>
      </c>
      <c r="G373" s="370">
        <v>0.49</v>
      </c>
      <c r="H373" s="370">
        <v>0.35399999999999998</v>
      </c>
      <c r="I373" s="370">
        <v>0.28799999999999998</v>
      </c>
      <c r="J373" s="21">
        <v>0</v>
      </c>
      <c r="K373" s="422"/>
      <c r="L373" s="1"/>
      <c r="M373" s="1"/>
      <c r="N373" s="1"/>
      <c r="O373" s="1"/>
      <c r="P373" s="1"/>
      <c r="Q373" s="1"/>
      <c r="R373" s="1"/>
      <c r="S373" s="1"/>
      <c r="T373" s="1"/>
    </row>
    <row r="374" spans="1:20">
      <c r="B374" s="19"/>
      <c r="C374" s="19"/>
      <c r="D374" s="19"/>
      <c r="E374" s="19"/>
      <c r="F374" s="19"/>
      <c r="G374" s="19"/>
      <c r="H374" s="19"/>
      <c r="I374" s="19"/>
      <c r="J374" s="19"/>
      <c r="K374" s="421"/>
      <c r="L374" s="23"/>
      <c r="M374" s="19"/>
      <c r="N374" s="19"/>
      <c r="O374" s="19"/>
      <c r="P374" s="19"/>
      <c r="Q374" s="19"/>
    </row>
    <row r="375" spans="1:20" hidden="1">
      <c r="B375" s="19"/>
      <c r="C375" s="19"/>
      <c r="D375" s="19"/>
      <c r="E375" s="19"/>
      <c r="F375" s="19"/>
      <c r="G375" s="19"/>
      <c r="H375" s="19"/>
      <c r="I375" s="19"/>
      <c r="J375" s="19"/>
      <c r="K375" s="421"/>
      <c r="L375" s="23"/>
      <c r="M375" s="19"/>
      <c r="N375" s="19"/>
      <c r="O375" s="19"/>
      <c r="P375" s="19"/>
      <c r="Q375" s="19"/>
    </row>
    <row r="376" spans="1:20" hidden="1">
      <c r="B376" s="19"/>
      <c r="C376" s="19"/>
      <c r="D376" s="19"/>
      <c r="E376" s="19"/>
      <c r="F376" s="19"/>
      <c r="G376" s="19"/>
      <c r="H376" s="19"/>
      <c r="I376" s="19"/>
      <c r="J376" s="19"/>
      <c r="K376" s="421"/>
      <c r="L376" s="23"/>
      <c r="M376" s="19"/>
      <c r="N376" s="19"/>
      <c r="O376" s="19"/>
      <c r="P376" s="19"/>
      <c r="Q376" s="19"/>
    </row>
    <row r="377" spans="1:20" hidden="1">
      <c r="B377" s="19"/>
      <c r="C377" s="19"/>
      <c r="D377" s="19"/>
      <c r="E377" s="19"/>
      <c r="F377" s="19"/>
      <c r="G377" s="19"/>
      <c r="H377" s="19"/>
      <c r="I377" s="19"/>
      <c r="J377" s="19"/>
      <c r="K377" s="421"/>
      <c r="L377" s="23"/>
      <c r="M377" s="19"/>
      <c r="N377" s="19"/>
      <c r="O377" s="19"/>
      <c r="P377" s="19"/>
      <c r="Q377" s="19"/>
    </row>
    <row r="378" spans="1:20" hidden="1">
      <c r="B378" s="19"/>
      <c r="C378" s="19"/>
      <c r="D378" s="19"/>
      <c r="E378" s="19"/>
      <c r="F378" s="19"/>
      <c r="G378" s="19"/>
      <c r="H378" s="19"/>
      <c r="I378" s="19"/>
      <c r="J378" s="19"/>
      <c r="K378" s="421"/>
      <c r="L378" s="23"/>
      <c r="M378" s="19"/>
      <c r="N378" s="19"/>
      <c r="O378" s="19"/>
      <c r="P378" s="19"/>
      <c r="Q378" s="19"/>
    </row>
    <row r="379" spans="1:20" hidden="1">
      <c r="B379" s="19"/>
      <c r="C379" s="19"/>
      <c r="D379" s="19"/>
      <c r="E379" s="19"/>
      <c r="F379" s="19"/>
      <c r="G379" s="19"/>
      <c r="H379" s="19"/>
      <c r="I379" s="19"/>
      <c r="J379" s="19"/>
      <c r="K379" s="421"/>
      <c r="L379" s="23"/>
      <c r="M379" s="19"/>
      <c r="N379" s="19"/>
      <c r="O379" s="19"/>
      <c r="P379" s="19"/>
      <c r="Q379" s="19"/>
    </row>
    <row r="380" spans="1:20" hidden="1">
      <c r="B380" s="19"/>
      <c r="C380" s="19"/>
      <c r="D380" s="19"/>
      <c r="E380" s="19"/>
      <c r="F380" s="19"/>
      <c r="G380" s="19"/>
      <c r="H380" s="19"/>
      <c r="I380" s="19"/>
      <c r="J380" s="19"/>
      <c r="K380" s="421"/>
      <c r="L380" s="23"/>
      <c r="M380" s="19"/>
      <c r="N380" s="19"/>
      <c r="O380" s="19"/>
      <c r="P380" s="19"/>
      <c r="Q380" s="19"/>
    </row>
    <row r="381" spans="1:20" hidden="1">
      <c r="B381" s="19"/>
      <c r="C381" s="19"/>
      <c r="D381" s="19"/>
      <c r="E381" s="19"/>
      <c r="F381" s="19"/>
      <c r="G381" s="19"/>
      <c r="H381" s="19"/>
      <c r="I381" s="19"/>
      <c r="J381" s="19"/>
      <c r="K381" s="421"/>
      <c r="L381" s="23"/>
      <c r="M381" s="19"/>
      <c r="N381" s="19"/>
      <c r="O381" s="19"/>
      <c r="P381" s="19"/>
      <c r="Q381" s="19"/>
    </row>
    <row r="382" spans="1:20" hidden="1">
      <c r="B382" s="19"/>
      <c r="C382" s="19"/>
      <c r="D382" s="19"/>
      <c r="E382" s="19"/>
      <c r="F382" s="19"/>
      <c r="G382" s="19"/>
      <c r="H382" s="19"/>
      <c r="I382" s="19"/>
      <c r="J382" s="19"/>
      <c r="K382" s="421"/>
      <c r="L382" s="23"/>
      <c r="M382" s="19"/>
      <c r="N382" s="19"/>
      <c r="O382" s="19"/>
      <c r="P382" s="19"/>
      <c r="Q382" s="19"/>
    </row>
    <row r="383" spans="1:20" hidden="1">
      <c r="B383" s="19"/>
      <c r="C383" s="19"/>
      <c r="D383" s="19"/>
      <c r="E383" s="19"/>
      <c r="F383" s="19"/>
      <c r="G383" s="19"/>
      <c r="H383" s="19"/>
      <c r="I383" s="19"/>
      <c r="J383" s="19"/>
      <c r="K383" s="421"/>
      <c r="L383" s="23"/>
      <c r="M383" s="19"/>
      <c r="N383" s="19"/>
      <c r="O383" s="19"/>
      <c r="P383" s="19"/>
      <c r="Q383" s="19"/>
    </row>
    <row r="384" spans="1:20" hidden="1">
      <c r="B384" s="19"/>
      <c r="C384" s="19"/>
      <c r="D384" s="19"/>
      <c r="E384" s="19"/>
      <c r="F384" s="19"/>
      <c r="G384" s="19"/>
      <c r="H384" s="19"/>
      <c r="I384" s="19"/>
      <c r="J384" s="19"/>
      <c r="K384" s="421"/>
      <c r="L384" s="23"/>
      <c r="M384" s="19"/>
      <c r="N384" s="19"/>
      <c r="O384" s="19"/>
      <c r="P384" s="19"/>
      <c r="Q384" s="19"/>
    </row>
    <row r="385" spans="2:17" hidden="1">
      <c r="B385" s="19"/>
      <c r="C385" s="19"/>
      <c r="D385" s="19"/>
      <c r="E385" s="19"/>
      <c r="F385" s="19"/>
      <c r="G385" s="19"/>
      <c r="H385" s="19"/>
      <c r="I385" s="19"/>
      <c r="J385" s="19"/>
      <c r="K385" s="421"/>
      <c r="L385" s="23"/>
      <c r="M385" s="19"/>
      <c r="N385" s="19"/>
      <c r="O385" s="19"/>
      <c r="P385" s="19"/>
      <c r="Q385" s="19"/>
    </row>
    <row r="386" spans="2:17" hidden="1">
      <c r="B386" s="19"/>
      <c r="C386" s="19"/>
      <c r="D386" s="19"/>
      <c r="E386" s="19"/>
      <c r="F386" s="19"/>
      <c r="G386" s="19"/>
      <c r="H386" s="19"/>
      <c r="I386" s="19"/>
      <c r="J386" s="19"/>
      <c r="K386" s="421"/>
      <c r="L386" s="23"/>
      <c r="M386" s="19"/>
      <c r="N386" s="19"/>
      <c r="O386" s="19"/>
      <c r="P386" s="19"/>
      <c r="Q386" s="19"/>
    </row>
    <row r="387" spans="2:17" hidden="1">
      <c r="B387" s="19"/>
      <c r="C387" s="19"/>
      <c r="D387" s="19"/>
      <c r="E387" s="19"/>
      <c r="F387" s="19"/>
      <c r="G387" s="19"/>
      <c r="H387" s="19"/>
      <c r="I387" s="19"/>
      <c r="J387" s="19"/>
      <c r="K387" s="421"/>
      <c r="L387" s="23"/>
      <c r="M387" s="19"/>
      <c r="N387" s="19"/>
      <c r="O387" s="19"/>
      <c r="P387" s="19"/>
      <c r="Q387" s="19"/>
    </row>
    <row r="388" spans="2:17" hidden="1">
      <c r="B388" s="19"/>
      <c r="C388" s="19"/>
      <c r="D388" s="19"/>
      <c r="E388" s="19"/>
      <c r="F388" s="19"/>
      <c r="G388" s="19"/>
      <c r="H388" s="19"/>
      <c r="I388" s="19"/>
      <c r="J388" s="19"/>
      <c r="K388" s="421"/>
      <c r="L388" s="23"/>
      <c r="M388" s="19"/>
      <c r="N388" s="19"/>
      <c r="O388" s="19"/>
      <c r="P388" s="19"/>
      <c r="Q388" s="19"/>
    </row>
    <row r="389" spans="2:17" hidden="1">
      <c r="B389" s="19"/>
      <c r="C389" s="19"/>
      <c r="D389" s="19"/>
      <c r="E389" s="19"/>
      <c r="F389" s="19"/>
      <c r="G389" s="19"/>
      <c r="H389" s="19"/>
      <c r="I389" s="19"/>
      <c r="J389" s="19"/>
      <c r="K389" s="421"/>
      <c r="L389" s="23"/>
      <c r="M389" s="19"/>
      <c r="N389" s="19"/>
      <c r="O389" s="19"/>
      <c r="P389" s="19"/>
      <c r="Q389" s="19"/>
    </row>
    <row r="390" spans="2:17" hidden="1">
      <c r="B390" s="19"/>
      <c r="C390" s="19"/>
      <c r="D390" s="19"/>
      <c r="E390" s="19"/>
      <c r="F390" s="19"/>
      <c r="G390" s="19"/>
      <c r="H390" s="19"/>
      <c r="I390" s="19"/>
      <c r="J390" s="19"/>
      <c r="K390" s="421"/>
      <c r="L390" s="23"/>
      <c r="M390" s="19"/>
      <c r="N390" s="19"/>
      <c r="O390" s="19"/>
      <c r="P390" s="19"/>
      <c r="Q390" s="19"/>
    </row>
    <row r="391" spans="2:17" hidden="1">
      <c r="B391" s="19"/>
      <c r="C391" s="19"/>
      <c r="D391" s="19"/>
      <c r="E391" s="19"/>
      <c r="F391" s="19"/>
      <c r="G391" s="19"/>
      <c r="H391" s="19"/>
      <c r="I391" s="19"/>
      <c r="J391" s="19"/>
      <c r="K391" s="421"/>
      <c r="L391" s="23"/>
      <c r="M391" s="19"/>
      <c r="N391" s="19"/>
      <c r="O391" s="19"/>
      <c r="P391" s="19"/>
      <c r="Q391" s="19"/>
    </row>
    <row r="392" spans="2:17" hidden="1">
      <c r="B392" s="19"/>
      <c r="C392" s="19"/>
      <c r="D392" s="19"/>
      <c r="E392" s="19"/>
      <c r="F392" s="19"/>
      <c r="G392" s="19"/>
      <c r="H392" s="19"/>
      <c r="I392" s="19"/>
      <c r="J392" s="19"/>
      <c r="K392" s="421"/>
      <c r="L392" s="23"/>
      <c r="M392" s="19"/>
      <c r="N392" s="19"/>
      <c r="O392" s="19"/>
      <c r="P392" s="19"/>
      <c r="Q392" s="19"/>
    </row>
    <row r="393" spans="2:17" hidden="1">
      <c r="B393" s="19"/>
      <c r="C393" s="19"/>
      <c r="D393" s="19"/>
      <c r="E393" s="19"/>
      <c r="F393" s="19"/>
      <c r="G393" s="19"/>
      <c r="H393" s="19"/>
      <c r="I393" s="19"/>
      <c r="J393" s="19"/>
      <c r="K393" s="421"/>
      <c r="L393" s="23"/>
      <c r="M393" s="19"/>
      <c r="N393" s="19"/>
      <c r="O393" s="19"/>
      <c r="P393" s="19"/>
      <c r="Q393" s="19"/>
    </row>
    <row r="394" spans="2:17" hidden="1">
      <c r="B394" s="19"/>
      <c r="C394" s="19"/>
      <c r="D394" s="19"/>
      <c r="E394" s="19"/>
      <c r="F394" s="19"/>
      <c r="G394" s="19"/>
      <c r="H394" s="19"/>
      <c r="I394" s="19"/>
      <c r="J394" s="19"/>
      <c r="K394" s="421"/>
      <c r="L394" s="23"/>
      <c r="M394" s="19"/>
      <c r="N394" s="19"/>
      <c r="O394" s="19"/>
      <c r="P394" s="19"/>
      <c r="Q394" s="19"/>
    </row>
    <row r="395" spans="2:17" hidden="1">
      <c r="B395" s="19"/>
      <c r="C395" s="19"/>
      <c r="D395" s="19"/>
      <c r="E395" s="19"/>
      <c r="F395" s="19"/>
      <c r="G395" s="19"/>
      <c r="H395" s="19"/>
      <c r="I395" s="19"/>
      <c r="J395" s="19"/>
      <c r="K395" s="421"/>
      <c r="L395" s="23"/>
      <c r="M395" s="19"/>
      <c r="N395" s="19"/>
      <c r="O395" s="19"/>
      <c r="P395" s="19"/>
      <c r="Q395" s="19"/>
    </row>
    <row r="396" spans="2:17" hidden="1">
      <c r="B396" s="19"/>
      <c r="C396" s="19"/>
      <c r="D396" s="19"/>
      <c r="E396" s="19"/>
      <c r="F396" s="19"/>
      <c r="G396" s="19"/>
      <c r="H396" s="19"/>
      <c r="I396" s="19"/>
      <c r="J396" s="19"/>
      <c r="K396" s="421"/>
      <c r="L396" s="23"/>
      <c r="M396" s="19"/>
      <c r="N396" s="19"/>
      <c r="O396" s="19"/>
      <c r="P396" s="19"/>
      <c r="Q396" s="19"/>
    </row>
    <row r="397" spans="2:17" hidden="1">
      <c r="B397" s="19"/>
      <c r="C397" s="19"/>
      <c r="D397" s="19"/>
      <c r="E397" s="19"/>
      <c r="F397" s="19"/>
      <c r="G397" s="19"/>
      <c r="H397" s="19"/>
      <c r="I397" s="19"/>
      <c r="J397" s="19"/>
      <c r="K397" s="421"/>
      <c r="L397" s="23"/>
      <c r="M397" s="19"/>
      <c r="N397" s="19"/>
      <c r="O397" s="19"/>
      <c r="P397" s="19"/>
      <c r="Q397" s="19"/>
    </row>
    <row r="398" spans="2:17" hidden="1">
      <c r="B398" s="19"/>
      <c r="C398" s="19"/>
      <c r="D398" s="19"/>
      <c r="E398" s="19"/>
      <c r="F398" s="19"/>
      <c r="G398" s="19"/>
      <c r="H398" s="19"/>
      <c r="I398" s="19"/>
      <c r="J398" s="19"/>
      <c r="K398" s="421"/>
      <c r="L398" s="23"/>
      <c r="M398" s="19"/>
      <c r="N398" s="19"/>
      <c r="O398" s="19"/>
      <c r="P398" s="19"/>
      <c r="Q398" s="19"/>
    </row>
    <row r="399" spans="2:17" hidden="1">
      <c r="B399" s="19"/>
      <c r="C399" s="19"/>
      <c r="D399" s="19"/>
      <c r="E399" s="19"/>
      <c r="F399" s="19"/>
      <c r="G399" s="19"/>
      <c r="H399" s="19"/>
      <c r="I399" s="19"/>
      <c r="J399" s="19"/>
      <c r="K399" s="421"/>
      <c r="L399" s="23"/>
      <c r="M399" s="19"/>
      <c r="N399" s="19"/>
      <c r="O399" s="19"/>
      <c r="P399" s="19"/>
      <c r="Q399" s="19"/>
    </row>
    <row r="400" spans="2:17" hidden="1">
      <c r="B400" s="19"/>
      <c r="C400" s="19"/>
      <c r="D400" s="19"/>
      <c r="E400" s="19"/>
      <c r="F400" s="19"/>
      <c r="G400" s="19"/>
      <c r="H400" s="19"/>
      <c r="I400" s="19"/>
      <c r="J400" s="19"/>
      <c r="K400" s="421"/>
      <c r="L400" s="23"/>
      <c r="M400" s="19"/>
      <c r="N400" s="19"/>
      <c r="O400" s="19"/>
      <c r="P400" s="19"/>
      <c r="Q400" s="19"/>
    </row>
    <row r="401" spans="2:17" hidden="1">
      <c r="B401" s="19"/>
      <c r="C401" s="19"/>
      <c r="D401" s="19"/>
      <c r="E401" s="19"/>
      <c r="F401" s="19"/>
      <c r="G401" s="19"/>
      <c r="H401" s="19"/>
      <c r="I401" s="19"/>
      <c r="J401" s="19"/>
      <c r="K401" s="421"/>
      <c r="L401" s="23"/>
      <c r="M401" s="19"/>
      <c r="N401" s="19"/>
      <c r="O401" s="19"/>
      <c r="P401" s="19"/>
      <c r="Q401" s="19"/>
    </row>
    <row r="402" spans="2:17" hidden="1">
      <c r="B402" s="19"/>
      <c r="C402" s="19"/>
      <c r="D402" s="19"/>
      <c r="E402" s="19"/>
      <c r="F402" s="19"/>
      <c r="G402" s="19"/>
      <c r="H402" s="19"/>
      <c r="I402" s="19"/>
      <c r="J402" s="19"/>
      <c r="K402" s="421"/>
      <c r="L402" s="23"/>
      <c r="M402" s="19"/>
      <c r="N402" s="19"/>
      <c r="O402" s="19"/>
      <c r="P402" s="19"/>
      <c r="Q402" s="19"/>
    </row>
    <row r="403" spans="2:17" hidden="1">
      <c r="B403" s="19"/>
      <c r="C403" s="19"/>
      <c r="D403" s="19"/>
      <c r="E403" s="19"/>
      <c r="F403" s="19"/>
      <c r="G403" s="19"/>
      <c r="H403" s="19"/>
      <c r="I403" s="19"/>
      <c r="J403" s="19"/>
      <c r="K403" s="421"/>
      <c r="L403" s="23"/>
      <c r="M403" s="19"/>
      <c r="N403" s="19"/>
      <c r="O403" s="19"/>
      <c r="P403" s="19"/>
      <c r="Q403" s="19"/>
    </row>
    <row r="404" spans="2:17" hidden="1">
      <c r="B404" s="19"/>
      <c r="C404" s="19"/>
      <c r="D404" s="19"/>
      <c r="E404" s="19"/>
      <c r="F404" s="19"/>
      <c r="G404" s="19"/>
      <c r="H404" s="19"/>
      <c r="I404" s="19"/>
      <c r="J404" s="19"/>
      <c r="K404" s="421"/>
      <c r="L404" s="23"/>
      <c r="M404" s="19"/>
      <c r="N404" s="19"/>
      <c r="O404" s="19"/>
      <c r="P404" s="19"/>
      <c r="Q404" s="19"/>
    </row>
    <row r="405" spans="2:17" hidden="1">
      <c r="B405" s="19"/>
      <c r="C405" s="19"/>
      <c r="D405" s="19"/>
      <c r="E405" s="19"/>
      <c r="F405" s="19"/>
      <c r="G405" s="19"/>
      <c r="H405" s="19"/>
      <c r="I405" s="19"/>
      <c r="J405" s="19"/>
      <c r="K405" s="421"/>
      <c r="L405" s="23"/>
      <c r="M405" s="19"/>
      <c r="N405" s="19"/>
      <c r="O405" s="19"/>
      <c r="P405" s="19"/>
      <c r="Q405" s="19"/>
    </row>
    <row r="406" spans="2:17" hidden="1">
      <c r="B406" s="19"/>
      <c r="C406" s="19"/>
      <c r="D406" s="19"/>
      <c r="E406" s="19"/>
      <c r="F406" s="19"/>
      <c r="G406" s="19"/>
      <c r="H406" s="19"/>
      <c r="I406" s="19"/>
      <c r="J406" s="19"/>
      <c r="K406" s="421"/>
      <c r="L406" s="23"/>
      <c r="M406" s="19"/>
      <c r="N406" s="19"/>
      <c r="O406" s="19"/>
      <c r="P406" s="19"/>
      <c r="Q406" s="19"/>
    </row>
    <row r="407" spans="2:17" hidden="1">
      <c r="B407" s="19"/>
      <c r="C407" s="19"/>
      <c r="D407" s="19"/>
      <c r="E407" s="19"/>
      <c r="F407" s="19"/>
      <c r="G407" s="19"/>
      <c r="H407" s="19"/>
      <c r="I407" s="19"/>
      <c r="J407" s="19"/>
      <c r="K407" s="421"/>
      <c r="L407" s="23"/>
      <c r="M407" s="19"/>
      <c r="N407" s="19"/>
      <c r="O407" s="19"/>
      <c r="P407" s="19"/>
      <c r="Q407" s="19"/>
    </row>
    <row r="408" spans="2:17" hidden="1">
      <c r="B408" s="19"/>
      <c r="C408" s="19"/>
      <c r="D408" s="19"/>
      <c r="E408" s="19"/>
      <c r="F408" s="19"/>
      <c r="G408" s="19"/>
      <c r="H408" s="19"/>
      <c r="I408" s="19"/>
      <c r="J408" s="19"/>
      <c r="K408" s="421"/>
      <c r="L408" s="23"/>
      <c r="M408" s="19"/>
      <c r="N408" s="19"/>
      <c r="O408" s="19"/>
      <c r="P408" s="19"/>
      <c r="Q408" s="19"/>
    </row>
    <row r="409" spans="2:17" hidden="1">
      <c r="B409" s="19"/>
      <c r="C409" s="19"/>
      <c r="D409" s="19"/>
      <c r="E409" s="19"/>
      <c r="F409" s="19"/>
      <c r="G409" s="19"/>
      <c r="H409" s="19"/>
      <c r="I409" s="19"/>
      <c r="J409" s="19"/>
      <c r="K409" s="421"/>
      <c r="L409" s="23"/>
      <c r="M409" s="19"/>
      <c r="N409" s="19"/>
      <c r="O409" s="19"/>
      <c r="P409" s="19"/>
      <c r="Q409" s="19"/>
    </row>
    <row r="410" spans="2:17" hidden="1">
      <c r="B410" s="19"/>
      <c r="C410" s="19"/>
      <c r="D410" s="19"/>
      <c r="E410" s="19"/>
      <c r="F410" s="19"/>
      <c r="G410" s="19"/>
      <c r="H410" s="19"/>
      <c r="I410" s="19"/>
      <c r="J410" s="19"/>
      <c r="K410" s="421"/>
      <c r="L410" s="23"/>
      <c r="M410" s="19"/>
      <c r="N410" s="19"/>
      <c r="O410" s="19"/>
      <c r="P410" s="19"/>
      <c r="Q410" s="19"/>
    </row>
    <row r="411" spans="2:17" hidden="1">
      <c r="B411" s="19"/>
      <c r="C411" s="19"/>
      <c r="D411" s="19"/>
      <c r="E411" s="19"/>
      <c r="F411" s="19"/>
      <c r="G411" s="19"/>
      <c r="H411" s="19"/>
      <c r="I411" s="19"/>
      <c r="J411" s="19"/>
      <c r="K411" s="421"/>
      <c r="L411" s="23"/>
      <c r="M411" s="19"/>
      <c r="N411" s="19"/>
      <c r="O411" s="19"/>
      <c r="P411" s="19"/>
      <c r="Q411" s="19"/>
    </row>
    <row r="412" spans="2:17" hidden="1">
      <c r="B412" s="19"/>
      <c r="C412" s="19"/>
      <c r="D412" s="19"/>
      <c r="E412" s="19"/>
      <c r="F412" s="19"/>
      <c r="G412" s="19"/>
      <c r="H412" s="19"/>
      <c r="I412" s="19"/>
      <c r="J412" s="19"/>
      <c r="K412" s="421"/>
      <c r="L412" s="23"/>
      <c r="M412" s="19"/>
      <c r="N412" s="19"/>
      <c r="O412" s="19"/>
      <c r="P412" s="19"/>
      <c r="Q412" s="19"/>
    </row>
    <row r="413" spans="2:17" hidden="1">
      <c r="B413" s="19"/>
      <c r="C413" s="19"/>
      <c r="D413" s="19"/>
      <c r="E413" s="19"/>
      <c r="F413" s="19"/>
      <c r="G413" s="19"/>
      <c r="H413" s="19"/>
      <c r="I413" s="19"/>
      <c r="J413" s="19"/>
      <c r="K413" s="421"/>
      <c r="L413" s="23"/>
      <c r="M413" s="19"/>
      <c r="N413" s="19"/>
      <c r="O413" s="19"/>
      <c r="P413" s="19"/>
      <c r="Q413" s="19"/>
    </row>
    <row r="414" spans="2:17" hidden="1">
      <c r="B414" s="19"/>
      <c r="C414" s="19"/>
      <c r="D414" s="19"/>
      <c r="E414" s="19"/>
      <c r="F414" s="19"/>
      <c r="G414" s="19"/>
      <c r="H414" s="19"/>
      <c r="I414" s="19"/>
      <c r="J414" s="19"/>
      <c r="K414" s="421"/>
      <c r="L414" s="23"/>
      <c r="M414" s="19"/>
      <c r="N414" s="19"/>
      <c r="O414" s="19"/>
      <c r="P414" s="19"/>
      <c r="Q414" s="19"/>
    </row>
    <row r="415" spans="2:17" hidden="1">
      <c r="B415" s="19"/>
      <c r="C415" s="19"/>
      <c r="D415" s="19"/>
      <c r="E415" s="19"/>
      <c r="F415" s="19"/>
      <c r="G415" s="19"/>
      <c r="H415" s="19"/>
      <c r="I415" s="19"/>
      <c r="J415" s="19"/>
      <c r="K415" s="421"/>
      <c r="L415" s="23"/>
      <c r="M415" s="19"/>
      <c r="N415" s="19"/>
      <c r="O415" s="19"/>
      <c r="P415" s="19"/>
      <c r="Q415" s="19"/>
    </row>
    <row r="416" spans="2:17" hidden="1">
      <c r="B416" s="19"/>
      <c r="C416" s="19"/>
      <c r="D416" s="19"/>
      <c r="E416" s="19"/>
      <c r="F416" s="19"/>
      <c r="G416" s="19"/>
      <c r="H416" s="19"/>
      <c r="I416" s="19"/>
      <c r="J416" s="19"/>
      <c r="K416" s="421"/>
      <c r="L416" s="23"/>
      <c r="M416" s="19"/>
      <c r="N416" s="19"/>
      <c r="O416" s="19"/>
      <c r="P416" s="19"/>
      <c r="Q416" s="19"/>
    </row>
    <row r="417" spans="2:17" hidden="1">
      <c r="B417" s="19"/>
      <c r="C417" s="19"/>
      <c r="D417" s="19"/>
      <c r="E417" s="19"/>
      <c r="F417" s="19"/>
      <c r="G417" s="19"/>
      <c r="H417" s="19"/>
      <c r="I417" s="19"/>
      <c r="J417" s="19"/>
      <c r="K417" s="421"/>
      <c r="L417" s="23"/>
      <c r="M417" s="19"/>
      <c r="N417" s="19"/>
      <c r="O417" s="19"/>
      <c r="P417" s="19"/>
      <c r="Q417" s="19"/>
    </row>
    <row r="418" spans="2:17" hidden="1">
      <c r="B418" s="19"/>
      <c r="C418" s="19"/>
      <c r="D418" s="19"/>
      <c r="E418" s="19"/>
      <c r="F418" s="19"/>
      <c r="G418" s="19"/>
      <c r="H418" s="19"/>
      <c r="I418" s="19"/>
      <c r="J418" s="19"/>
      <c r="K418" s="421"/>
      <c r="L418" s="23"/>
      <c r="M418" s="19"/>
      <c r="N418" s="19"/>
      <c r="O418" s="19"/>
      <c r="P418" s="19"/>
      <c r="Q418" s="19"/>
    </row>
    <row r="419" spans="2:17" hidden="1">
      <c r="B419" s="19"/>
      <c r="C419" s="19"/>
      <c r="D419" s="19"/>
      <c r="E419" s="19"/>
      <c r="F419" s="19"/>
      <c r="G419" s="19"/>
      <c r="H419" s="19"/>
      <c r="I419" s="19"/>
      <c r="J419" s="19"/>
      <c r="K419" s="421"/>
      <c r="L419" s="23"/>
      <c r="M419" s="19"/>
      <c r="N419" s="19"/>
      <c r="O419" s="19"/>
      <c r="P419" s="19"/>
      <c r="Q419" s="19"/>
    </row>
    <row r="420" spans="2:17" hidden="1">
      <c r="B420" s="19"/>
      <c r="C420" s="19"/>
      <c r="D420" s="19"/>
      <c r="E420" s="19"/>
      <c r="F420" s="19"/>
      <c r="G420" s="19"/>
      <c r="H420" s="19"/>
      <c r="I420" s="19"/>
      <c r="J420" s="19"/>
      <c r="K420" s="421"/>
      <c r="L420" s="23"/>
      <c r="M420" s="19"/>
      <c r="N420" s="19"/>
      <c r="O420" s="19"/>
      <c r="P420" s="19"/>
      <c r="Q420" s="19"/>
    </row>
    <row r="421" spans="2:17" hidden="1">
      <c r="B421" s="19"/>
      <c r="C421" s="19"/>
      <c r="D421" s="19"/>
      <c r="E421" s="19"/>
      <c r="F421" s="19"/>
      <c r="G421" s="19"/>
      <c r="H421" s="19"/>
      <c r="I421" s="19"/>
      <c r="J421" s="19"/>
      <c r="K421" s="421"/>
      <c r="L421" s="23"/>
      <c r="M421" s="19"/>
      <c r="N421" s="19"/>
      <c r="O421" s="19"/>
      <c r="P421" s="19"/>
      <c r="Q421" s="19"/>
    </row>
    <row r="422" spans="2:17" hidden="1">
      <c r="B422" s="19"/>
      <c r="C422" s="19"/>
      <c r="D422" s="19"/>
      <c r="E422" s="19"/>
      <c r="F422" s="19"/>
      <c r="G422" s="19"/>
      <c r="H422" s="19"/>
      <c r="I422" s="19"/>
      <c r="J422" s="19"/>
      <c r="K422" s="421"/>
      <c r="L422" s="23"/>
      <c r="M422" s="19"/>
      <c r="N422" s="19"/>
      <c r="O422" s="19"/>
      <c r="P422" s="19"/>
      <c r="Q422" s="19"/>
    </row>
    <row r="423" spans="2:17" hidden="1">
      <c r="B423" s="19"/>
      <c r="C423" s="19"/>
      <c r="D423" s="19"/>
      <c r="E423" s="19"/>
      <c r="F423" s="19"/>
      <c r="G423" s="19"/>
      <c r="H423" s="19"/>
      <c r="I423" s="19"/>
      <c r="J423" s="19"/>
      <c r="K423" s="421"/>
      <c r="L423" s="23"/>
      <c r="M423" s="19"/>
      <c r="N423" s="19"/>
      <c r="O423" s="19"/>
      <c r="P423" s="19"/>
      <c r="Q423" s="19"/>
    </row>
    <row r="424" spans="2:17" hidden="1">
      <c r="B424" s="19"/>
      <c r="C424" s="19"/>
      <c r="D424" s="19"/>
      <c r="E424" s="19"/>
      <c r="F424" s="19"/>
      <c r="G424" s="19"/>
      <c r="H424" s="19"/>
      <c r="I424" s="19"/>
      <c r="J424" s="19"/>
      <c r="K424" s="421"/>
      <c r="L424" s="23"/>
      <c r="M424" s="19"/>
      <c r="N424" s="19"/>
      <c r="O424" s="19"/>
      <c r="P424" s="19"/>
      <c r="Q424" s="19"/>
    </row>
    <row r="425" spans="2:17" hidden="1">
      <c r="B425" s="19"/>
      <c r="C425" s="19"/>
      <c r="D425" s="19"/>
      <c r="E425" s="19"/>
      <c r="F425" s="19"/>
      <c r="G425" s="19"/>
      <c r="H425" s="19"/>
      <c r="I425" s="19"/>
      <c r="J425" s="19"/>
      <c r="K425" s="421"/>
      <c r="L425" s="23"/>
      <c r="M425" s="19"/>
      <c r="N425" s="19"/>
      <c r="O425" s="19"/>
      <c r="P425" s="19"/>
      <c r="Q425" s="19"/>
    </row>
    <row r="426" spans="2:17" hidden="1">
      <c r="B426" s="19"/>
      <c r="C426" s="19"/>
      <c r="D426" s="19"/>
      <c r="E426" s="19"/>
      <c r="F426" s="19"/>
      <c r="G426" s="19"/>
      <c r="H426" s="19"/>
      <c r="I426" s="19"/>
      <c r="J426" s="19"/>
      <c r="K426" s="421"/>
      <c r="L426" s="23"/>
      <c r="M426" s="19"/>
      <c r="N426" s="19"/>
      <c r="O426" s="19"/>
      <c r="P426" s="19"/>
      <c r="Q426" s="19"/>
    </row>
    <row r="427" spans="2:17" hidden="1">
      <c r="B427" s="19"/>
      <c r="C427" s="19"/>
      <c r="D427" s="19"/>
      <c r="E427" s="19"/>
      <c r="F427" s="19"/>
      <c r="G427" s="19"/>
      <c r="H427" s="19"/>
      <c r="I427" s="19"/>
      <c r="J427" s="19"/>
      <c r="K427" s="421"/>
      <c r="L427" s="23"/>
      <c r="M427" s="19"/>
      <c r="N427" s="19"/>
      <c r="O427" s="19"/>
      <c r="P427" s="19"/>
      <c r="Q427" s="19"/>
    </row>
    <row r="428" spans="2:17" hidden="1">
      <c r="B428" s="19"/>
      <c r="C428" s="19"/>
      <c r="D428" s="19"/>
      <c r="E428" s="19"/>
      <c r="F428" s="19"/>
      <c r="G428" s="19"/>
      <c r="H428" s="19"/>
      <c r="I428" s="19"/>
      <c r="J428" s="19"/>
      <c r="K428" s="421"/>
      <c r="L428" s="23"/>
      <c r="M428" s="19"/>
      <c r="N428" s="19"/>
      <c r="O428" s="19"/>
      <c r="P428" s="19"/>
      <c r="Q428" s="19"/>
    </row>
    <row r="429" spans="2:17" hidden="1">
      <c r="B429" s="19"/>
      <c r="C429" s="19"/>
      <c r="D429" s="19"/>
      <c r="E429" s="19"/>
      <c r="F429" s="19"/>
      <c r="G429" s="19"/>
      <c r="H429" s="19"/>
      <c r="I429" s="19"/>
      <c r="J429" s="19"/>
      <c r="K429" s="421"/>
      <c r="L429" s="23"/>
      <c r="M429" s="19"/>
      <c r="N429" s="19"/>
      <c r="O429" s="19"/>
      <c r="P429" s="19"/>
      <c r="Q429" s="19"/>
    </row>
    <row r="430" spans="2:17" hidden="1">
      <c r="B430" s="19"/>
      <c r="C430" s="19"/>
      <c r="D430" s="19"/>
      <c r="E430" s="19"/>
      <c r="F430" s="19"/>
      <c r="G430" s="19"/>
      <c r="H430" s="19"/>
      <c r="I430" s="19"/>
      <c r="J430" s="19"/>
      <c r="K430" s="421"/>
      <c r="L430" s="23"/>
      <c r="M430" s="19"/>
      <c r="N430" s="19"/>
      <c r="O430" s="19"/>
      <c r="P430" s="19"/>
      <c r="Q430" s="19"/>
    </row>
    <row r="431" spans="2:17" hidden="1">
      <c r="B431" s="19"/>
      <c r="C431" s="19"/>
      <c r="D431" s="19"/>
      <c r="E431" s="19"/>
      <c r="F431" s="19"/>
      <c r="G431" s="19"/>
      <c r="H431" s="19"/>
      <c r="I431" s="19"/>
      <c r="J431" s="19"/>
      <c r="K431" s="421"/>
      <c r="L431" s="23"/>
      <c r="M431" s="19"/>
      <c r="N431" s="19"/>
      <c r="O431" s="19"/>
      <c r="P431" s="19"/>
      <c r="Q431" s="19"/>
    </row>
    <row r="432" spans="2:17" hidden="1">
      <c r="B432" s="19"/>
      <c r="C432" s="19"/>
      <c r="D432" s="19"/>
      <c r="E432" s="19"/>
      <c r="F432" s="19"/>
      <c r="G432" s="19"/>
      <c r="H432" s="19"/>
      <c r="I432" s="19"/>
      <c r="J432" s="19"/>
      <c r="K432" s="421"/>
      <c r="L432" s="23"/>
      <c r="M432" s="19"/>
      <c r="N432" s="19"/>
      <c r="O432" s="19"/>
      <c r="P432" s="19"/>
      <c r="Q432" s="19"/>
    </row>
    <row r="433" spans="2:17" hidden="1">
      <c r="B433" s="19"/>
      <c r="C433" s="19"/>
      <c r="D433" s="19"/>
      <c r="E433" s="19"/>
      <c r="F433" s="19"/>
      <c r="G433" s="19"/>
      <c r="H433" s="19"/>
      <c r="I433" s="19"/>
      <c r="J433" s="19"/>
      <c r="K433" s="421"/>
      <c r="L433" s="23"/>
      <c r="M433" s="19"/>
      <c r="N433" s="19"/>
      <c r="O433" s="19"/>
      <c r="P433" s="19"/>
      <c r="Q433" s="19"/>
    </row>
    <row r="434" spans="2:17" hidden="1">
      <c r="B434" s="19"/>
      <c r="C434" s="19"/>
      <c r="D434" s="19"/>
      <c r="E434" s="19"/>
      <c r="F434" s="19"/>
      <c r="G434" s="19"/>
      <c r="H434" s="19"/>
      <c r="I434" s="19"/>
      <c r="J434" s="19"/>
      <c r="K434" s="421"/>
      <c r="L434" s="23"/>
      <c r="M434" s="19"/>
      <c r="N434" s="19"/>
      <c r="O434" s="19"/>
      <c r="P434" s="19"/>
      <c r="Q434" s="19"/>
    </row>
    <row r="435" spans="2:17" hidden="1">
      <c r="B435" s="19"/>
      <c r="C435" s="19"/>
      <c r="D435" s="19"/>
      <c r="E435" s="19"/>
      <c r="F435" s="19"/>
      <c r="G435" s="19"/>
      <c r="H435" s="19"/>
      <c r="I435" s="19"/>
      <c r="J435" s="19"/>
      <c r="K435" s="421"/>
      <c r="L435" s="23"/>
      <c r="M435" s="19"/>
      <c r="N435" s="19"/>
      <c r="O435" s="19"/>
      <c r="P435" s="19"/>
      <c r="Q435" s="19"/>
    </row>
    <row r="436" spans="2:17" hidden="1">
      <c r="B436" s="19"/>
      <c r="C436" s="19"/>
      <c r="D436" s="19"/>
      <c r="E436" s="19"/>
      <c r="F436" s="19"/>
      <c r="G436" s="19"/>
      <c r="H436" s="19"/>
      <c r="I436" s="19"/>
      <c r="J436" s="19"/>
      <c r="K436" s="421"/>
      <c r="L436" s="23"/>
      <c r="M436" s="19"/>
      <c r="N436" s="19"/>
      <c r="O436" s="19"/>
      <c r="P436" s="19"/>
      <c r="Q436" s="19"/>
    </row>
    <row r="437" spans="2:17" hidden="1">
      <c r="B437" s="19"/>
      <c r="C437" s="19"/>
      <c r="D437" s="19"/>
      <c r="E437" s="19"/>
      <c r="F437" s="19"/>
      <c r="G437" s="19"/>
      <c r="H437" s="19"/>
      <c r="I437" s="19"/>
      <c r="J437" s="19"/>
      <c r="K437" s="421"/>
      <c r="L437" s="23"/>
      <c r="M437" s="19"/>
      <c r="N437" s="19"/>
      <c r="O437" s="19"/>
      <c r="P437" s="19"/>
      <c r="Q437" s="19"/>
    </row>
    <row r="438" spans="2:17" hidden="1">
      <c r="B438" s="19"/>
      <c r="C438" s="19"/>
      <c r="D438" s="19"/>
      <c r="E438" s="19"/>
      <c r="F438" s="19"/>
      <c r="G438" s="19"/>
      <c r="H438" s="19"/>
      <c r="I438" s="19"/>
      <c r="J438" s="19"/>
      <c r="K438" s="421"/>
      <c r="L438" s="23"/>
      <c r="M438" s="19"/>
      <c r="N438" s="19"/>
      <c r="O438" s="19"/>
      <c r="P438" s="19"/>
      <c r="Q438" s="19"/>
    </row>
    <row r="439" spans="2:17" hidden="1">
      <c r="B439" s="19"/>
      <c r="C439" s="19"/>
      <c r="D439" s="19"/>
      <c r="E439" s="19"/>
      <c r="F439" s="19"/>
      <c r="G439" s="19"/>
      <c r="H439" s="19"/>
      <c r="I439" s="19"/>
      <c r="J439" s="19"/>
      <c r="K439" s="421"/>
      <c r="L439" s="23"/>
      <c r="M439" s="19"/>
      <c r="N439" s="19"/>
      <c r="O439" s="19"/>
      <c r="P439" s="19"/>
      <c r="Q439" s="19"/>
    </row>
    <row r="440" spans="2:17" hidden="1">
      <c r="B440" s="19"/>
      <c r="C440" s="19"/>
      <c r="D440" s="19"/>
      <c r="E440" s="19"/>
      <c r="F440" s="19"/>
      <c r="G440" s="19"/>
      <c r="H440" s="19"/>
      <c r="I440" s="19"/>
      <c r="J440" s="19"/>
      <c r="K440" s="421"/>
      <c r="L440" s="23"/>
      <c r="M440" s="19"/>
      <c r="N440" s="19"/>
      <c r="O440" s="19"/>
      <c r="P440" s="19"/>
      <c r="Q440" s="19"/>
    </row>
    <row r="441" spans="2:17" hidden="1">
      <c r="B441" s="19"/>
      <c r="C441" s="19"/>
      <c r="D441" s="19"/>
      <c r="E441" s="19"/>
      <c r="F441" s="19"/>
      <c r="G441" s="19"/>
      <c r="H441" s="19"/>
      <c r="I441" s="19"/>
      <c r="J441" s="19"/>
      <c r="K441" s="421"/>
      <c r="L441" s="23"/>
      <c r="M441" s="19"/>
      <c r="N441" s="19"/>
      <c r="O441" s="19"/>
      <c r="P441" s="19"/>
      <c r="Q441" s="19"/>
    </row>
    <row r="442" spans="2:17" hidden="1">
      <c r="B442" s="19"/>
      <c r="C442" s="19"/>
      <c r="D442" s="19"/>
      <c r="E442" s="19"/>
      <c r="F442" s="19"/>
      <c r="G442" s="19"/>
      <c r="H442" s="19"/>
      <c r="I442" s="19"/>
      <c r="J442" s="19"/>
      <c r="K442" s="421"/>
      <c r="L442" s="23"/>
      <c r="M442" s="19"/>
      <c r="N442" s="19"/>
      <c r="O442" s="19"/>
      <c r="P442" s="19"/>
      <c r="Q442" s="19"/>
    </row>
    <row r="443" spans="2:17" hidden="1">
      <c r="B443" s="19"/>
      <c r="C443" s="19"/>
      <c r="D443" s="19"/>
      <c r="E443" s="19"/>
      <c r="F443" s="19"/>
      <c r="G443" s="19"/>
      <c r="H443" s="19"/>
      <c r="I443" s="19"/>
      <c r="J443" s="19"/>
      <c r="K443" s="421"/>
      <c r="L443" s="23"/>
      <c r="M443" s="19"/>
      <c r="N443" s="19"/>
      <c r="O443" s="19"/>
      <c r="P443" s="19"/>
      <c r="Q443" s="19"/>
    </row>
    <row r="444" spans="2:17" hidden="1">
      <c r="B444" s="19"/>
      <c r="C444" s="19"/>
      <c r="D444" s="19"/>
      <c r="E444" s="19"/>
      <c r="F444" s="19"/>
      <c r="G444" s="19"/>
      <c r="H444" s="19"/>
      <c r="I444" s="19"/>
      <c r="J444" s="19"/>
      <c r="K444" s="421"/>
      <c r="L444" s="23"/>
      <c r="M444" s="19"/>
      <c r="N444" s="19"/>
      <c r="O444" s="19"/>
      <c r="P444" s="19"/>
      <c r="Q444" s="19"/>
    </row>
    <row r="445" spans="2:17" hidden="1">
      <c r="B445" s="19"/>
      <c r="C445" s="19"/>
      <c r="D445" s="19"/>
      <c r="E445" s="19"/>
      <c r="F445" s="19"/>
      <c r="G445" s="19"/>
      <c r="H445" s="19"/>
      <c r="I445" s="19"/>
      <c r="J445" s="19"/>
      <c r="K445" s="421"/>
      <c r="L445" s="23"/>
      <c r="M445" s="19"/>
      <c r="N445" s="19"/>
      <c r="O445" s="19"/>
      <c r="P445" s="19"/>
      <c r="Q445" s="19"/>
    </row>
    <row r="446" spans="2:17" hidden="1">
      <c r="B446" s="19"/>
      <c r="C446" s="19"/>
      <c r="D446" s="19"/>
      <c r="E446" s="19"/>
      <c r="F446" s="19"/>
      <c r="G446" s="19"/>
      <c r="H446" s="19"/>
      <c r="I446" s="19"/>
      <c r="J446" s="19"/>
      <c r="K446" s="421"/>
      <c r="L446" s="23"/>
      <c r="M446" s="19"/>
      <c r="N446" s="19"/>
      <c r="O446" s="19"/>
      <c r="P446" s="19"/>
      <c r="Q446" s="19"/>
    </row>
    <row r="447" spans="2:17" hidden="1">
      <c r="B447" s="19"/>
      <c r="C447" s="19"/>
      <c r="D447" s="19"/>
      <c r="E447" s="19"/>
      <c r="F447" s="19"/>
      <c r="G447" s="19"/>
      <c r="H447" s="19"/>
      <c r="I447" s="19"/>
      <c r="J447" s="19"/>
      <c r="K447" s="421"/>
      <c r="L447" s="23"/>
      <c r="M447" s="19"/>
      <c r="N447" s="19"/>
      <c r="O447" s="19"/>
      <c r="P447" s="19"/>
      <c r="Q447" s="19"/>
    </row>
    <row r="448" spans="2:17" hidden="1">
      <c r="B448" s="19"/>
      <c r="C448" s="19"/>
      <c r="D448" s="19"/>
      <c r="E448" s="19"/>
      <c r="F448" s="19"/>
      <c r="G448" s="19"/>
      <c r="H448" s="19"/>
      <c r="I448" s="19"/>
      <c r="J448" s="19"/>
      <c r="K448" s="421"/>
      <c r="L448" s="23"/>
      <c r="M448" s="19"/>
      <c r="N448" s="19"/>
      <c r="O448" s="19"/>
      <c r="P448" s="19"/>
      <c r="Q448" s="19"/>
    </row>
    <row r="449" spans="2:17" hidden="1">
      <c r="B449" s="19"/>
      <c r="C449" s="19"/>
      <c r="D449" s="19"/>
      <c r="E449" s="19"/>
      <c r="F449" s="19"/>
      <c r="G449" s="19"/>
      <c r="H449" s="19"/>
      <c r="I449" s="19"/>
      <c r="J449" s="19"/>
      <c r="K449" s="421"/>
      <c r="L449" s="23"/>
      <c r="M449" s="19"/>
      <c r="N449" s="19"/>
      <c r="O449" s="19"/>
      <c r="P449" s="19"/>
      <c r="Q449" s="19"/>
    </row>
    <row r="450" spans="2:17" hidden="1">
      <c r="B450" s="19"/>
      <c r="C450" s="19"/>
      <c r="D450" s="19"/>
      <c r="E450" s="19"/>
      <c r="F450" s="19"/>
      <c r="G450" s="19"/>
      <c r="H450" s="19"/>
      <c r="I450" s="19"/>
      <c r="J450" s="19"/>
      <c r="K450" s="421"/>
      <c r="L450" s="23"/>
      <c r="M450" s="19"/>
      <c r="N450" s="19"/>
      <c r="O450" s="19"/>
      <c r="P450" s="19"/>
      <c r="Q450" s="19"/>
    </row>
    <row r="451" spans="2:17" hidden="1">
      <c r="B451" s="19"/>
      <c r="C451" s="19"/>
      <c r="D451" s="19"/>
      <c r="E451" s="19"/>
      <c r="F451" s="19"/>
      <c r="G451" s="19"/>
      <c r="H451" s="19"/>
      <c r="I451" s="19"/>
      <c r="J451" s="19"/>
      <c r="K451" s="421"/>
      <c r="L451" s="23"/>
      <c r="M451" s="19"/>
      <c r="N451" s="19"/>
      <c r="O451" s="19"/>
      <c r="P451" s="19"/>
      <c r="Q451" s="19"/>
    </row>
    <row r="452" spans="2:17" hidden="1">
      <c r="B452" s="19"/>
      <c r="C452" s="19"/>
      <c r="D452" s="19"/>
      <c r="E452" s="19"/>
      <c r="F452" s="19"/>
      <c r="G452" s="19"/>
      <c r="H452" s="19"/>
      <c r="I452" s="19"/>
      <c r="J452" s="19"/>
      <c r="K452" s="421"/>
      <c r="L452" s="23"/>
      <c r="M452" s="19"/>
      <c r="N452" s="19"/>
      <c r="O452" s="19"/>
      <c r="P452" s="19"/>
      <c r="Q452" s="19"/>
    </row>
    <row r="453" spans="2:17" hidden="1">
      <c r="B453" s="19"/>
      <c r="C453" s="19"/>
      <c r="D453" s="19"/>
      <c r="E453" s="19"/>
      <c r="F453" s="19"/>
      <c r="G453" s="19"/>
      <c r="H453" s="19"/>
      <c r="I453" s="19"/>
      <c r="J453" s="19"/>
      <c r="K453" s="421"/>
      <c r="L453" s="23"/>
      <c r="M453" s="19"/>
      <c r="N453" s="19"/>
      <c r="O453" s="19"/>
      <c r="P453" s="19"/>
      <c r="Q453" s="19"/>
    </row>
    <row r="454" spans="2:17" hidden="1">
      <c r="B454" s="19"/>
      <c r="C454" s="19"/>
      <c r="D454" s="19"/>
      <c r="E454" s="19"/>
      <c r="F454" s="19"/>
      <c r="G454" s="19"/>
      <c r="H454" s="19"/>
      <c r="I454" s="19"/>
      <c r="J454" s="19"/>
      <c r="K454" s="421"/>
      <c r="L454" s="23"/>
      <c r="M454" s="19"/>
      <c r="N454" s="19"/>
      <c r="O454" s="19"/>
      <c r="P454" s="19"/>
      <c r="Q454" s="19"/>
    </row>
    <row r="455" spans="2:17" hidden="1">
      <c r="B455" s="19"/>
      <c r="C455" s="19"/>
      <c r="D455" s="19"/>
      <c r="E455" s="19"/>
      <c r="F455" s="19"/>
      <c r="G455" s="19"/>
      <c r="H455" s="19"/>
      <c r="I455" s="19"/>
      <c r="J455" s="19"/>
      <c r="K455" s="421"/>
      <c r="L455" s="23"/>
      <c r="M455" s="19"/>
      <c r="N455" s="19"/>
      <c r="O455" s="19"/>
      <c r="P455" s="19"/>
      <c r="Q455" s="19"/>
    </row>
    <row r="456" spans="2:17" hidden="1">
      <c r="B456" s="19"/>
      <c r="C456" s="19"/>
      <c r="D456" s="19"/>
      <c r="E456" s="19"/>
      <c r="F456" s="19"/>
      <c r="G456" s="19"/>
      <c r="H456" s="19"/>
      <c r="I456" s="19"/>
      <c r="J456" s="19"/>
      <c r="K456" s="421"/>
      <c r="L456" s="23"/>
      <c r="M456" s="19"/>
      <c r="N456" s="19"/>
      <c r="O456" s="19"/>
      <c r="P456" s="19"/>
      <c r="Q456" s="19"/>
    </row>
    <row r="457" spans="2:17" hidden="1">
      <c r="B457" s="19"/>
      <c r="C457" s="19"/>
      <c r="D457" s="19"/>
      <c r="E457" s="19"/>
      <c r="F457" s="19"/>
      <c r="G457" s="19"/>
      <c r="H457" s="19"/>
      <c r="I457" s="19"/>
      <c r="J457" s="19"/>
      <c r="K457" s="421"/>
      <c r="L457" s="23"/>
      <c r="M457" s="19"/>
      <c r="N457" s="19"/>
      <c r="O457" s="19"/>
      <c r="P457" s="19"/>
      <c r="Q457" s="19"/>
    </row>
    <row r="458" spans="2:17" hidden="1">
      <c r="B458" s="19"/>
      <c r="C458" s="19"/>
      <c r="D458" s="19"/>
      <c r="E458" s="19"/>
      <c r="F458" s="19"/>
      <c r="G458" s="19"/>
      <c r="H458" s="19"/>
      <c r="I458" s="19"/>
      <c r="J458" s="19"/>
      <c r="K458" s="421"/>
      <c r="L458" s="23"/>
      <c r="M458" s="19"/>
      <c r="N458" s="19"/>
      <c r="O458" s="19"/>
      <c r="P458" s="19"/>
      <c r="Q458" s="19"/>
    </row>
    <row r="459" spans="2:17" hidden="1">
      <c r="B459" s="19"/>
      <c r="C459" s="19"/>
      <c r="D459" s="19"/>
      <c r="E459" s="19"/>
      <c r="F459" s="19"/>
      <c r="G459" s="19"/>
      <c r="H459" s="19"/>
      <c r="I459" s="19"/>
      <c r="J459" s="19"/>
      <c r="K459" s="421"/>
      <c r="L459" s="23"/>
      <c r="M459" s="19"/>
      <c r="N459" s="19"/>
      <c r="O459" s="19"/>
      <c r="P459" s="19"/>
      <c r="Q459" s="19"/>
    </row>
    <row r="460" spans="2:17" hidden="1">
      <c r="B460" s="19"/>
      <c r="C460" s="19"/>
      <c r="D460" s="19"/>
      <c r="E460" s="19"/>
      <c r="F460" s="19"/>
      <c r="G460" s="19"/>
      <c r="H460" s="19"/>
      <c r="I460" s="19"/>
      <c r="J460" s="19"/>
      <c r="K460" s="421"/>
      <c r="L460" s="23"/>
      <c r="M460" s="19"/>
      <c r="N460" s="19"/>
      <c r="O460" s="19"/>
      <c r="P460" s="19"/>
      <c r="Q460" s="19"/>
    </row>
    <row r="461" spans="2:17" hidden="1">
      <c r="B461" s="19"/>
      <c r="C461" s="19"/>
      <c r="D461" s="19"/>
      <c r="E461" s="19"/>
      <c r="F461" s="19"/>
      <c r="G461" s="19"/>
      <c r="H461" s="19"/>
      <c r="I461" s="19"/>
      <c r="J461" s="19"/>
      <c r="K461" s="421"/>
      <c r="L461" s="23"/>
      <c r="M461" s="19"/>
      <c r="N461" s="19"/>
      <c r="O461" s="19"/>
      <c r="P461" s="19"/>
      <c r="Q461" s="19"/>
    </row>
    <row r="462" spans="2:17" hidden="1">
      <c r="B462" s="19"/>
      <c r="C462" s="19"/>
      <c r="D462" s="19"/>
      <c r="E462" s="19"/>
      <c r="F462" s="19"/>
      <c r="G462" s="19"/>
      <c r="H462" s="19"/>
      <c r="I462" s="19"/>
      <c r="J462" s="19"/>
      <c r="K462" s="421"/>
      <c r="L462" s="23"/>
      <c r="M462" s="19"/>
      <c r="N462" s="19"/>
      <c r="O462" s="19"/>
      <c r="P462" s="19"/>
      <c r="Q462" s="19"/>
    </row>
    <row r="463" spans="2:17" hidden="1">
      <c r="B463" s="19"/>
      <c r="C463" s="19"/>
      <c r="D463" s="19"/>
      <c r="E463" s="19"/>
      <c r="F463" s="19"/>
      <c r="G463" s="19"/>
      <c r="H463" s="19"/>
      <c r="I463" s="19"/>
      <c r="J463" s="19"/>
      <c r="K463" s="421"/>
      <c r="L463" s="23"/>
      <c r="M463" s="19"/>
      <c r="N463" s="19"/>
      <c r="O463" s="19"/>
      <c r="P463" s="19"/>
      <c r="Q463" s="19"/>
    </row>
    <row r="464" spans="2:17" hidden="1">
      <c r="B464" s="19"/>
      <c r="C464" s="19"/>
      <c r="D464" s="19"/>
      <c r="E464" s="19"/>
      <c r="F464" s="19"/>
      <c r="G464" s="19"/>
      <c r="H464" s="19"/>
      <c r="I464" s="19"/>
      <c r="J464" s="19"/>
      <c r="K464" s="421"/>
      <c r="L464" s="23"/>
      <c r="M464" s="19"/>
      <c r="N464" s="19"/>
      <c r="O464" s="19"/>
      <c r="P464" s="19"/>
      <c r="Q464" s="19"/>
    </row>
    <row r="465" spans="2:17" hidden="1">
      <c r="B465" s="19"/>
      <c r="C465" s="19"/>
      <c r="D465" s="19"/>
      <c r="E465" s="19"/>
      <c r="F465" s="19"/>
      <c r="G465" s="19"/>
      <c r="H465" s="19"/>
      <c r="I465" s="19"/>
      <c r="J465" s="19"/>
      <c r="K465" s="421"/>
      <c r="L465" s="23"/>
      <c r="M465" s="19"/>
      <c r="N465" s="19"/>
      <c r="O465" s="19"/>
      <c r="P465" s="19"/>
      <c r="Q465" s="19"/>
    </row>
    <row r="466" spans="2:17" hidden="1">
      <c r="B466" s="19"/>
      <c r="C466" s="19"/>
      <c r="D466" s="19"/>
      <c r="E466" s="19"/>
      <c r="F466" s="19"/>
      <c r="G466" s="19"/>
      <c r="H466" s="19"/>
      <c r="I466" s="19"/>
      <c r="J466" s="19"/>
      <c r="K466" s="421"/>
      <c r="L466" s="23"/>
      <c r="M466" s="19"/>
      <c r="N466" s="19"/>
      <c r="O466" s="19"/>
      <c r="P466" s="19"/>
      <c r="Q466" s="19"/>
    </row>
    <row r="467" spans="2:17" hidden="1">
      <c r="B467" s="19"/>
      <c r="C467" s="19"/>
      <c r="D467" s="19"/>
      <c r="E467" s="19"/>
      <c r="F467" s="19"/>
      <c r="G467" s="19"/>
      <c r="H467" s="19"/>
      <c r="I467" s="19"/>
      <c r="J467" s="19"/>
      <c r="K467" s="421"/>
      <c r="L467" s="23"/>
      <c r="M467" s="19"/>
      <c r="N467" s="19"/>
      <c r="O467" s="19"/>
      <c r="P467" s="19"/>
      <c r="Q467" s="19"/>
    </row>
    <row r="468" spans="2:17" hidden="1">
      <c r="B468" s="19"/>
      <c r="C468" s="19"/>
      <c r="D468" s="19"/>
      <c r="E468" s="19"/>
      <c r="F468" s="19"/>
      <c r="G468" s="19"/>
      <c r="H468" s="19"/>
      <c r="I468" s="19"/>
      <c r="J468" s="19"/>
      <c r="K468" s="421"/>
      <c r="L468" s="23"/>
      <c r="M468" s="19"/>
      <c r="N468" s="19"/>
      <c r="O468" s="19"/>
      <c r="P468" s="19"/>
      <c r="Q468" s="19"/>
    </row>
    <row r="469" spans="2:17" hidden="1">
      <c r="B469" s="19"/>
      <c r="C469" s="19"/>
      <c r="D469" s="19"/>
      <c r="E469" s="19"/>
      <c r="F469" s="19"/>
      <c r="G469" s="19"/>
      <c r="H469" s="19"/>
      <c r="I469" s="19"/>
      <c r="J469" s="19"/>
      <c r="K469" s="421"/>
      <c r="L469" s="23"/>
      <c r="M469" s="19"/>
      <c r="N469" s="19"/>
      <c r="O469" s="19"/>
      <c r="P469" s="19"/>
      <c r="Q469" s="19"/>
    </row>
    <row r="470" spans="2:17" hidden="1">
      <c r="B470" s="19"/>
      <c r="C470" s="19"/>
      <c r="D470" s="19"/>
      <c r="E470" s="19"/>
      <c r="F470" s="19"/>
      <c r="G470" s="19"/>
      <c r="H470" s="19"/>
      <c r="I470" s="19"/>
      <c r="J470" s="19"/>
      <c r="K470" s="421"/>
      <c r="L470" s="23"/>
      <c r="M470" s="19"/>
      <c r="N470" s="19"/>
      <c r="O470" s="19"/>
      <c r="P470" s="19"/>
      <c r="Q470" s="19"/>
    </row>
    <row r="471" spans="2:17" hidden="1">
      <c r="B471" s="19"/>
      <c r="C471" s="19"/>
      <c r="D471" s="19"/>
      <c r="E471" s="19"/>
      <c r="F471" s="19"/>
      <c r="G471" s="19"/>
      <c r="H471" s="19"/>
      <c r="I471" s="19"/>
      <c r="J471" s="19"/>
      <c r="K471" s="421"/>
      <c r="L471" s="23"/>
      <c r="M471" s="19"/>
      <c r="N471" s="19"/>
      <c r="O471" s="19"/>
      <c r="P471" s="19"/>
      <c r="Q471" s="19"/>
    </row>
    <row r="472" spans="2:17" hidden="1">
      <c r="B472" s="19"/>
      <c r="C472" s="19"/>
      <c r="D472" s="19"/>
      <c r="E472" s="19"/>
      <c r="F472" s="19"/>
      <c r="G472" s="19"/>
      <c r="H472" s="19"/>
      <c r="I472" s="19"/>
      <c r="J472" s="19"/>
      <c r="K472" s="421"/>
      <c r="L472" s="23"/>
      <c r="M472" s="19"/>
      <c r="N472" s="19"/>
      <c r="O472" s="19"/>
      <c r="P472" s="19"/>
      <c r="Q472" s="19"/>
    </row>
    <row r="473" spans="2:17" hidden="1">
      <c r="B473" s="19"/>
      <c r="C473" s="19"/>
      <c r="D473" s="19"/>
      <c r="E473" s="19"/>
      <c r="F473" s="19"/>
      <c r="G473" s="19"/>
      <c r="H473" s="19"/>
      <c r="I473" s="19"/>
      <c r="J473" s="19"/>
      <c r="K473" s="421"/>
      <c r="L473" s="23"/>
      <c r="M473" s="19"/>
      <c r="N473" s="19"/>
      <c r="O473" s="19"/>
      <c r="P473" s="19"/>
      <c r="Q473" s="19"/>
    </row>
    <row r="474" spans="2:17" hidden="1">
      <c r="B474" s="19"/>
      <c r="C474" s="19"/>
      <c r="D474" s="19"/>
      <c r="E474" s="19"/>
      <c r="F474" s="19"/>
      <c r="G474" s="19"/>
      <c r="H474" s="19"/>
      <c r="I474" s="19"/>
      <c r="J474" s="19"/>
      <c r="K474" s="421"/>
      <c r="L474" s="23"/>
      <c r="M474" s="19"/>
      <c r="N474" s="19"/>
      <c r="O474" s="19"/>
      <c r="P474" s="19"/>
      <c r="Q474" s="19"/>
    </row>
    <row r="475" spans="2:17" hidden="1">
      <c r="B475" s="19"/>
      <c r="C475" s="19"/>
      <c r="D475" s="19"/>
      <c r="E475" s="19"/>
      <c r="F475" s="19"/>
      <c r="G475" s="19"/>
      <c r="H475" s="19"/>
      <c r="I475" s="19"/>
      <c r="J475" s="19"/>
      <c r="K475" s="421"/>
      <c r="L475" s="23"/>
      <c r="M475" s="19"/>
      <c r="N475" s="19"/>
      <c r="O475" s="19"/>
      <c r="P475" s="19"/>
      <c r="Q475" s="19"/>
    </row>
    <row r="476" spans="2:17" hidden="1">
      <c r="B476" s="19"/>
      <c r="C476" s="19"/>
      <c r="D476" s="19"/>
      <c r="E476" s="19"/>
      <c r="F476" s="19"/>
      <c r="G476" s="19"/>
      <c r="H476" s="19"/>
      <c r="I476" s="19"/>
      <c r="J476" s="19"/>
      <c r="K476" s="421"/>
      <c r="L476" s="23"/>
      <c r="M476" s="19"/>
      <c r="N476" s="19"/>
      <c r="O476" s="19"/>
      <c r="P476" s="19"/>
      <c r="Q476" s="19"/>
    </row>
    <row r="477" spans="2:17" hidden="1">
      <c r="B477" s="19"/>
      <c r="C477" s="19"/>
      <c r="D477" s="19"/>
      <c r="E477" s="19"/>
      <c r="F477" s="19"/>
      <c r="G477" s="19"/>
      <c r="H477" s="19"/>
      <c r="I477" s="19"/>
      <c r="J477" s="19"/>
      <c r="K477" s="421"/>
      <c r="L477" s="23"/>
      <c r="M477" s="19"/>
      <c r="N477" s="19"/>
      <c r="O477" s="19"/>
      <c r="P477" s="19"/>
      <c r="Q477" s="19"/>
    </row>
    <row r="478" spans="2:17" hidden="1">
      <c r="B478" s="19"/>
      <c r="C478" s="19"/>
      <c r="D478" s="19"/>
      <c r="E478" s="19"/>
      <c r="F478" s="19"/>
      <c r="G478" s="19"/>
      <c r="H478" s="19"/>
      <c r="I478" s="19"/>
      <c r="J478" s="19"/>
      <c r="K478" s="421"/>
      <c r="L478" s="23"/>
      <c r="M478" s="19"/>
      <c r="N478" s="19"/>
      <c r="O478" s="19"/>
      <c r="P478" s="19"/>
      <c r="Q478" s="19"/>
    </row>
    <row r="479" spans="2:17" hidden="1">
      <c r="B479" s="19"/>
      <c r="C479" s="19"/>
      <c r="D479" s="19"/>
      <c r="E479" s="19"/>
      <c r="F479" s="19"/>
      <c r="G479" s="19"/>
      <c r="H479" s="19"/>
      <c r="I479" s="19"/>
      <c r="J479" s="19"/>
      <c r="K479" s="421"/>
      <c r="L479" s="23"/>
      <c r="M479" s="19"/>
      <c r="N479" s="19"/>
      <c r="O479" s="19"/>
      <c r="P479" s="19"/>
      <c r="Q479" s="19"/>
    </row>
    <row r="480" spans="2:17" hidden="1">
      <c r="B480" s="19"/>
      <c r="C480" s="19"/>
      <c r="D480" s="19"/>
      <c r="E480" s="19"/>
      <c r="F480" s="19"/>
      <c r="G480" s="19"/>
      <c r="H480" s="19"/>
      <c r="I480" s="19"/>
      <c r="J480" s="19"/>
      <c r="K480" s="421"/>
      <c r="L480" s="23"/>
      <c r="M480" s="19"/>
      <c r="N480" s="19"/>
      <c r="O480" s="19"/>
      <c r="P480" s="19"/>
      <c r="Q480" s="19"/>
    </row>
    <row r="481" spans="2:17" hidden="1">
      <c r="B481" s="19"/>
      <c r="C481" s="19"/>
      <c r="D481" s="19"/>
      <c r="E481" s="19"/>
      <c r="F481" s="19"/>
      <c r="G481" s="19"/>
      <c r="H481" s="19"/>
      <c r="I481" s="19"/>
      <c r="J481" s="19"/>
      <c r="K481" s="421"/>
      <c r="L481" s="23"/>
      <c r="M481" s="19"/>
      <c r="N481" s="19"/>
      <c r="O481" s="19"/>
      <c r="P481" s="19"/>
      <c r="Q481" s="19"/>
    </row>
    <row r="482" spans="2:17" hidden="1">
      <c r="B482" s="19"/>
      <c r="C482" s="19"/>
      <c r="D482" s="19"/>
      <c r="E482" s="19"/>
      <c r="F482" s="19"/>
      <c r="G482" s="19"/>
      <c r="H482" s="19"/>
      <c r="I482" s="19"/>
      <c r="J482" s="19"/>
      <c r="K482" s="421"/>
      <c r="L482" s="23"/>
      <c r="M482" s="19"/>
      <c r="N482" s="19"/>
      <c r="O482" s="19"/>
      <c r="P482" s="19"/>
      <c r="Q482" s="19"/>
    </row>
    <row r="483" spans="2:17" hidden="1">
      <c r="B483" s="19"/>
      <c r="C483" s="19"/>
      <c r="D483" s="19"/>
      <c r="E483" s="19"/>
      <c r="F483" s="19"/>
      <c r="G483" s="19"/>
      <c r="H483" s="19"/>
      <c r="I483" s="19"/>
      <c r="J483" s="19"/>
      <c r="K483" s="421"/>
      <c r="L483" s="23"/>
      <c r="M483" s="19"/>
      <c r="N483" s="19"/>
      <c r="O483" s="19"/>
      <c r="P483" s="19"/>
      <c r="Q483" s="19"/>
    </row>
    <row r="484" spans="2:17" hidden="1">
      <c r="B484" s="19"/>
      <c r="C484" s="19"/>
      <c r="D484" s="19"/>
      <c r="E484" s="19"/>
      <c r="F484" s="19"/>
      <c r="G484" s="19"/>
      <c r="H484" s="19"/>
      <c r="I484" s="19"/>
      <c r="J484" s="19"/>
      <c r="K484" s="421"/>
      <c r="L484" s="23"/>
      <c r="M484" s="19"/>
      <c r="N484" s="19"/>
      <c r="O484" s="19"/>
      <c r="P484" s="19"/>
      <c r="Q484" s="19"/>
    </row>
    <row r="485" spans="2:17" hidden="1">
      <c r="B485" s="19"/>
      <c r="C485" s="19"/>
      <c r="D485" s="19"/>
      <c r="E485" s="19"/>
      <c r="F485" s="19"/>
      <c r="G485" s="19"/>
      <c r="H485" s="19"/>
      <c r="I485" s="19"/>
      <c r="J485" s="19"/>
      <c r="K485" s="421"/>
      <c r="L485" s="23"/>
      <c r="M485" s="19"/>
      <c r="N485" s="19"/>
      <c r="O485" s="19"/>
      <c r="P485" s="19"/>
      <c r="Q485" s="19"/>
    </row>
    <row r="486" spans="2:17" hidden="1">
      <c r="B486" s="19"/>
      <c r="C486" s="19"/>
      <c r="D486" s="19"/>
      <c r="E486" s="19"/>
      <c r="F486" s="19"/>
      <c r="G486" s="19"/>
      <c r="H486" s="19"/>
      <c r="I486" s="19"/>
      <c r="J486" s="19"/>
      <c r="K486" s="421"/>
      <c r="L486" s="23"/>
      <c r="M486" s="19"/>
      <c r="N486" s="19"/>
      <c r="O486" s="19"/>
      <c r="P486" s="19"/>
      <c r="Q486" s="19"/>
    </row>
    <row r="487" spans="2:17" hidden="1">
      <c r="B487" s="19"/>
      <c r="C487" s="19"/>
      <c r="D487" s="19"/>
      <c r="E487" s="19"/>
      <c r="F487" s="19"/>
      <c r="G487" s="19"/>
      <c r="H487" s="19"/>
      <c r="I487" s="19"/>
      <c r="J487" s="19"/>
      <c r="K487" s="421"/>
      <c r="L487" s="23"/>
      <c r="M487" s="19"/>
      <c r="N487" s="19"/>
      <c r="O487" s="19"/>
      <c r="P487" s="19"/>
      <c r="Q487" s="19"/>
    </row>
    <row r="488" spans="2:17" hidden="1">
      <c r="B488" s="19"/>
      <c r="C488" s="19"/>
      <c r="D488" s="19"/>
      <c r="E488" s="19"/>
      <c r="F488" s="19"/>
      <c r="G488" s="19"/>
      <c r="H488" s="19"/>
      <c r="I488" s="19"/>
      <c r="J488" s="19"/>
      <c r="K488" s="421"/>
      <c r="L488" s="23"/>
      <c r="M488" s="19"/>
      <c r="N488" s="19"/>
      <c r="O488" s="19"/>
      <c r="P488" s="19"/>
      <c r="Q488" s="19"/>
    </row>
    <row r="489" spans="2:17" hidden="1">
      <c r="B489" s="19"/>
      <c r="C489" s="19"/>
      <c r="D489" s="19"/>
      <c r="E489" s="19"/>
      <c r="F489" s="19"/>
      <c r="G489" s="19"/>
      <c r="H489" s="19"/>
      <c r="I489" s="19"/>
      <c r="J489" s="19"/>
      <c r="K489" s="421"/>
      <c r="L489" s="23"/>
      <c r="M489" s="19"/>
      <c r="N489" s="19"/>
      <c r="O489" s="19"/>
      <c r="P489" s="19"/>
      <c r="Q489" s="19"/>
    </row>
    <row r="490" spans="2:17" hidden="1">
      <c r="B490" s="19"/>
      <c r="C490" s="19"/>
      <c r="D490" s="19"/>
      <c r="E490" s="19"/>
      <c r="F490" s="19"/>
      <c r="G490" s="19"/>
      <c r="H490" s="19"/>
      <c r="I490" s="19"/>
      <c r="J490" s="19"/>
      <c r="K490" s="421"/>
      <c r="L490" s="23"/>
      <c r="M490" s="19"/>
      <c r="N490" s="19"/>
      <c r="O490" s="19"/>
      <c r="P490" s="19"/>
      <c r="Q490" s="19"/>
    </row>
    <row r="491" spans="2:17" hidden="1">
      <c r="B491" s="19"/>
      <c r="C491" s="19"/>
      <c r="D491" s="19"/>
      <c r="E491" s="19"/>
      <c r="F491" s="19"/>
      <c r="G491" s="19"/>
      <c r="H491" s="19"/>
      <c r="I491" s="19"/>
      <c r="J491" s="19"/>
      <c r="K491" s="421"/>
      <c r="L491" s="23"/>
      <c r="M491" s="19"/>
      <c r="N491" s="19"/>
      <c r="O491" s="19"/>
      <c r="P491" s="19"/>
      <c r="Q491" s="19"/>
    </row>
    <row r="492" spans="2:17" hidden="1">
      <c r="B492" s="19"/>
      <c r="C492" s="19"/>
      <c r="D492" s="19"/>
      <c r="E492" s="19"/>
      <c r="F492" s="19"/>
      <c r="G492" s="19"/>
      <c r="H492" s="19"/>
      <c r="I492" s="19"/>
      <c r="J492" s="19"/>
      <c r="K492" s="421"/>
      <c r="L492" s="23"/>
      <c r="M492" s="19"/>
      <c r="N492" s="19"/>
      <c r="O492" s="19"/>
      <c r="P492" s="19"/>
      <c r="Q492" s="19"/>
    </row>
    <row r="493" spans="2:17" hidden="1">
      <c r="B493" s="19"/>
      <c r="C493" s="19"/>
      <c r="D493" s="19"/>
      <c r="E493" s="19"/>
      <c r="F493" s="19"/>
      <c r="G493" s="19"/>
      <c r="H493" s="19"/>
      <c r="I493" s="19"/>
      <c r="J493" s="19"/>
      <c r="K493" s="421"/>
      <c r="L493" s="23"/>
      <c r="M493" s="19"/>
      <c r="N493" s="19"/>
      <c r="O493" s="19"/>
      <c r="P493" s="19"/>
      <c r="Q493" s="19"/>
    </row>
    <row r="494" spans="2:17" hidden="1">
      <c r="B494" s="19"/>
      <c r="C494" s="19"/>
      <c r="D494" s="19"/>
      <c r="E494" s="19"/>
      <c r="F494" s="19"/>
      <c r="G494" s="19"/>
      <c r="H494" s="19"/>
      <c r="I494" s="19"/>
      <c r="J494" s="19"/>
      <c r="K494" s="421"/>
      <c r="L494" s="23"/>
      <c r="M494" s="19"/>
      <c r="N494" s="19"/>
      <c r="O494" s="19"/>
      <c r="P494" s="19"/>
      <c r="Q494" s="19"/>
    </row>
    <row r="495" spans="2:17" hidden="1">
      <c r="B495" s="19"/>
      <c r="C495" s="19"/>
      <c r="D495" s="19"/>
      <c r="E495" s="19"/>
      <c r="F495" s="19"/>
      <c r="G495" s="19"/>
      <c r="H495" s="19"/>
      <c r="I495" s="19"/>
      <c r="J495" s="19"/>
      <c r="K495" s="421"/>
      <c r="L495" s="23"/>
      <c r="M495" s="19"/>
      <c r="N495" s="19"/>
      <c r="O495" s="19"/>
      <c r="P495" s="19"/>
      <c r="Q495" s="19"/>
    </row>
    <row r="496" spans="2:17" hidden="1">
      <c r="B496" s="19"/>
      <c r="C496" s="19"/>
      <c r="D496" s="19"/>
      <c r="E496" s="19"/>
      <c r="F496" s="19"/>
      <c r="G496" s="19"/>
      <c r="H496" s="19"/>
      <c r="I496" s="19"/>
      <c r="J496" s="19"/>
      <c r="K496" s="421"/>
      <c r="L496" s="23"/>
      <c r="M496" s="19"/>
      <c r="N496" s="19"/>
      <c r="O496" s="19"/>
      <c r="P496" s="19"/>
      <c r="Q496" s="19"/>
    </row>
    <row r="497" spans="2:17" hidden="1">
      <c r="B497" s="19"/>
      <c r="C497" s="19"/>
      <c r="D497" s="19"/>
      <c r="E497" s="19"/>
      <c r="F497" s="19"/>
      <c r="G497" s="19"/>
      <c r="H497" s="19"/>
      <c r="I497" s="19"/>
      <c r="J497" s="19"/>
      <c r="K497" s="421"/>
      <c r="L497" s="23"/>
      <c r="M497" s="19"/>
      <c r="N497" s="19"/>
      <c r="O497" s="19"/>
      <c r="P497" s="19"/>
      <c r="Q497" s="19"/>
    </row>
    <row r="498" spans="2:17" hidden="1">
      <c r="B498" s="19"/>
      <c r="C498" s="19"/>
      <c r="D498" s="19"/>
      <c r="E498" s="19"/>
      <c r="F498" s="19"/>
      <c r="G498" s="19"/>
      <c r="H498" s="19"/>
      <c r="I498" s="19"/>
      <c r="J498" s="19"/>
      <c r="K498" s="421"/>
      <c r="L498" s="23"/>
      <c r="M498" s="19"/>
      <c r="N498" s="19"/>
      <c r="O498" s="19"/>
      <c r="P498" s="19"/>
      <c r="Q498" s="19"/>
    </row>
    <row r="499" spans="2:17" hidden="1">
      <c r="B499" s="19"/>
      <c r="C499" s="19"/>
      <c r="D499" s="19"/>
      <c r="E499" s="19"/>
      <c r="F499" s="19"/>
      <c r="G499" s="19"/>
      <c r="H499" s="19"/>
      <c r="I499" s="19"/>
      <c r="J499" s="19"/>
      <c r="K499" s="421"/>
      <c r="L499" s="23"/>
      <c r="M499" s="19"/>
      <c r="N499" s="19"/>
      <c r="O499" s="19"/>
      <c r="P499" s="19"/>
      <c r="Q499" s="19"/>
    </row>
    <row r="500" spans="2:17" hidden="1">
      <c r="B500" s="19"/>
      <c r="C500" s="19"/>
      <c r="D500" s="19"/>
      <c r="E500" s="19"/>
      <c r="F500" s="19"/>
      <c r="G500" s="19"/>
      <c r="H500" s="19"/>
      <c r="I500" s="19"/>
      <c r="J500" s="19"/>
      <c r="K500" s="421"/>
      <c r="L500" s="23"/>
      <c r="M500" s="19"/>
      <c r="N500" s="19"/>
      <c r="O500" s="19"/>
      <c r="P500" s="19"/>
      <c r="Q500" s="19"/>
    </row>
    <row r="501" spans="2:17" hidden="1">
      <c r="B501" s="19"/>
      <c r="C501" s="19"/>
      <c r="D501" s="19"/>
      <c r="E501" s="19"/>
      <c r="F501" s="19"/>
      <c r="G501" s="19"/>
      <c r="H501" s="19"/>
      <c r="I501" s="19"/>
      <c r="J501" s="19"/>
      <c r="K501" s="421"/>
      <c r="L501" s="23"/>
      <c r="M501" s="19"/>
      <c r="N501" s="19"/>
      <c r="O501" s="19"/>
      <c r="P501" s="19"/>
      <c r="Q501" s="19"/>
    </row>
    <row r="502" spans="2:17" hidden="1">
      <c r="B502" s="19"/>
      <c r="C502" s="19"/>
      <c r="D502" s="19"/>
      <c r="E502" s="19"/>
      <c r="F502" s="19"/>
      <c r="G502" s="19"/>
      <c r="H502" s="19"/>
      <c r="I502" s="19"/>
      <c r="J502" s="19"/>
      <c r="K502" s="421"/>
      <c r="L502" s="23"/>
      <c r="M502" s="19"/>
      <c r="N502" s="19"/>
      <c r="O502" s="19"/>
      <c r="P502" s="19"/>
      <c r="Q502" s="19"/>
    </row>
    <row r="503" spans="2:17" hidden="1">
      <c r="B503" s="19"/>
      <c r="C503" s="19"/>
      <c r="D503" s="19"/>
      <c r="E503" s="19"/>
      <c r="F503" s="19"/>
      <c r="G503" s="19"/>
      <c r="H503" s="19"/>
      <c r="I503" s="19"/>
      <c r="J503" s="19"/>
      <c r="K503" s="421"/>
      <c r="L503" s="23"/>
      <c r="M503" s="19"/>
      <c r="N503" s="19"/>
      <c r="O503" s="19"/>
      <c r="P503" s="19"/>
      <c r="Q503" s="19"/>
    </row>
    <row r="504" spans="2:17" hidden="1">
      <c r="B504" s="19"/>
      <c r="C504" s="19"/>
      <c r="D504" s="19"/>
      <c r="E504" s="19"/>
      <c r="F504" s="19"/>
      <c r="G504" s="19"/>
      <c r="H504" s="19"/>
      <c r="I504" s="19"/>
      <c r="J504" s="19"/>
      <c r="K504" s="421"/>
      <c r="L504" s="23"/>
      <c r="M504" s="19"/>
      <c r="N504" s="19"/>
      <c r="O504" s="19"/>
      <c r="P504" s="19"/>
      <c r="Q504" s="19"/>
    </row>
    <row r="505" spans="2:17" hidden="1">
      <c r="B505" s="19"/>
      <c r="C505" s="19"/>
      <c r="D505" s="19"/>
      <c r="E505" s="19"/>
      <c r="F505" s="19"/>
      <c r="G505" s="19"/>
      <c r="H505" s="19"/>
      <c r="I505" s="19"/>
      <c r="J505" s="19"/>
      <c r="K505" s="421"/>
      <c r="L505" s="23"/>
      <c r="M505" s="19"/>
      <c r="N505" s="19"/>
      <c r="O505" s="19"/>
      <c r="P505" s="19"/>
      <c r="Q505" s="19"/>
    </row>
    <row r="506" spans="2:17" hidden="1">
      <c r="B506" s="19"/>
      <c r="C506" s="19"/>
      <c r="D506" s="19"/>
      <c r="E506" s="19"/>
      <c r="F506" s="19"/>
      <c r="G506" s="19"/>
      <c r="H506" s="19"/>
      <c r="I506" s="19"/>
      <c r="J506" s="19"/>
      <c r="K506" s="421"/>
      <c r="L506" s="23"/>
      <c r="M506" s="19"/>
      <c r="N506" s="19"/>
      <c r="O506" s="19"/>
      <c r="P506" s="19"/>
      <c r="Q506" s="19"/>
    </row>
    <row r="507" spans="2:17" hidden="1">
      <c r="B507" s="19"/>
      <c r="C507" s="19"/>
      <c r="D507" s="19"/>
      <c r="E507" s="19"/>
      <c r="F507" s="19"/>
      <c r="G507" s="19"/>
      <c r="H507" s="19"/>
      <c r="I507" s="19"/>
      <c r="J507" s="19"/>
      <c r="K507" s="421"/>
      <c r="L507" s="23"/>
      <c r="M507" s="19"/>
      <c r="N507" s="19"/>
      <c r="O507" s="19"/>
      <c r="P507" s="19"/>
      <c r="Q507" s="19"/>
    </row>
    <row r="508" spans="2:17" hidden="1">
      <c r="B508" s="19"/>
      <c r="C508" s="19"/>
      <c r="D508" s="19"/>
      <c r="E508" s="19"/>
      <c r="F508" s="19"/>
      <c r="G508" s="19"/>
      <c r="H508" s="19"/>
      <c r="I508" s="19"/>
      <c r="J508" s="19"/>
      <c r="K508" s="421"/>
      <c r="L508" s="23"/>
      <c r="M508" s="19"/>
      <c r="N508" s="19"/>
      <c r="O508" s="19"/>
      <c r="P508" s="19"/>
      <c r="Q508" s="19"/>
    </row>
    <row r="509" spans="2:17" hidden="1">
      <c r="B509" s="19"/>
      <c r="C509" s="19"/>
      <c r="D509" s="19"/>
      <c r="E509" s="19"/>
      <c r="F509" s="19"/>
      <c r="G509" s="19"/>
      <c r="H509" s="19"/>
      <c r="I509" s="19"/>
      <c r="J509" s="19"/>
      <c r="K509" s="421"/>
      <c r="L509" s="23"/>
      <c r="M509" s="19"/>
      <c r="N509" s="19"/>
      <c r="O509" s="19"/>
      <c r="P509" s="19"/>
      <c r="Q509" s="19"/>
    </row>
    <row r="510" spans="2:17" hidden="1">
      <c r="B510" s="19"/>
      <c r="C510" s="19"/>
      <c r="D510" s="19"/>
      <c r="E510" s="19"/>
      <c r="F510" s="19"/>
      <c r="G510" s="19"/>
      <c r="H510" s="19"/>
      <c r="I510" s="19"/>
      <c r="J510" s="19"/>
      <c r="K510" s="421"/>
      <c r="L510" s="23"/>
      <c r="M510" s="19"/>
      <c r="N510" s="19"/>
      <c r="O510" s="19"/>
      <c r="P510" s="19"/>
      <c r="Q510" s="19"/>
    </row>
    <row r="511" spans="2:17" hidden="1">
      <c r="B511" s="19"/>
      <c r="C511" s="19"/>
      <c r="D511" s="19"/>
      <c r="E511" s="19"/>
      <c r="F511" s="19"/>
      <c r="G511" s="19"/>
      <c r="H511" s="19"/>
      <c r="I511" s="19"/>
      <c r="J511" s="19"/>
      <c r="K511" s="421"/>
      <c r="L511" s="23"/>
      <c r="M511" s="19"/>
      <c r="N511" s="19"/>
      <c r="O511" s="19"/>
      <c r="P511" s="19"/>
      <c r="Q511" s="19"/>
    </row>
    <row r="512" spans="2:17" hidden="1">
      <c r="B512" s="19"/>
      <c r="C512" s="19"/>
      <c r="D512" s="19"/>
      <c r="E512" s="19"/>
      <c r="F512" s="19"/>
      <c r="G512" s="19"/>
      <c r="H512" s="19"/>
      <c r="I512" s="19"/>
      <c r="J512" s="19"/>
      <c r="K512" s="421"/>
      <c r="L512" s="23"/>
      <c r="M512" s="19"/>
      <c r="N512" s="19"/>
      <c r="O512" s="19"/>
      <c r="P512" s="19"/>
      <c r="Q512" s="19"/>
    </row>
    <row r="513" spans="2:17" hidden="1">
      <c r="B513" s="19"/>
      <c r="C513" s="19"/>
      <c r="D513" s="19"/>
      <c r="E513" s="19"/>
      <c r="F513" s="19"/>
      <c r="G513" s="19"/>
      <c r="H513" s="19"/>
      <c r="I513" s="19"/>
      <c r="J513" s="19"/>
      <c r="K513" s="421"/>
      <c r="L513" s="23"/>
      <c r="M513" s="19"/>
      <c r="N513" s="19"/>
      <c r="O513" s="19"/>
      <c r="P513" s="19"/>
      <c r="Q513" s="19"/>
    </row>
    <row r="514" spans="2:17" hidden="1">
      <c r="B514" s="19"/>
      <c r="C514" s="19"/>
      <c r="D514" s="19"/>
      <c r="E514" s="19"/>
      <c r="F514" s="19"/>
      <c r="G514" s="19"/>
      <c r="H514" s="19"/>
      <c r="I514" s="19"/>
      <c r="J514" s="19"/>
      <c r="K514" s="421"/>
      <c r="L514" s="23"/>
      <c r="M514" s="19"/>
      <c r="N514" s="19"/>
      <c r="O514" s="19"/>
      <c r="P514" s="19"/>
      <c r="Q514" s="19"/>
    </row>
    <row r="515" spans="2:17" hidden="1">
      <c r="B515" s="19"/>
      <c r="C515" s="19"/>
      <c r="D515" s="19"/>
      <c r="E515" s="19"/>
      <c r="F515" s="19"/>
      <c r="G515" s="19"/>
      <c r="H515" s="19"/>
      <c r="I515" s="19"/>
      <c r="J515" s="19"/>
      <c r="K515" s="421"/>
      <c r="L515" s="23"/>
      <c r="M515" s="19"/>
      <c r="N515" s="19"/>
      <c r="O515" s="19"/>
      <c r="P515" s="19"/>
      <c r="Q515" s="19"/>
    </row>
    <row r="516" spans="2:17" hidden="1">
      <c r="B516" s="19"/>
      <c r="C516" s="19"/>
      <c r="D516" s="19"/>
      <c r="E516" s="19"/>
      <c r="F516" s="19"/>
      <c r="G516" s="19"/>
      <c r="H516" s="19"/>
      <c r="I516" s="19"/>
      <c r="J516" s="19"/>
      <c r="K516" s="421"/>
      <c r="L516" s="23"/>
      <c r="M516" s="19"/>
      <c r="N516" s="19"/>
      <c r="O516" s="19"/>
      <c r="P516" s="19"/>
      <c r="Q516" s="19"/>
    </row>
    <row r="517" spans="2:17" hidden="1">
      <c r="B517" s="19"/>
      <c r="C517" s="19"/>
      <c r="D517" s="19"/>
      <c r="E517" s="19"/>
      <c r="F517" s="19"/>
      <c r="G517" s="19"/>
      <c r="H517" s="19"/>
      <c r="I517" s="19"/>
      <c r="J517" s="19"/>
      <c r="K517" s="421"/>
      <c r="L517" s="23"/>
      <c r="M517" s="19"/>
      <c r="N517" s="19"/>
      <c r="O517" s="19"/>
      <c r="P517" s="19"/>
      <c r="Q517" s="19"/>
    </row>
    <row r="518" spans="2:17" hidden="1">
      <c r="B518" s="19"/>
      <c r="C518" s="19"/>
      <c r="D518" s="19"/>
      <c r="E518" s="19"/>
      <c r="F518" s="19"/>
      <c r="G518" s="19"/>
      <c r="H518" s="19"/>
      <c r="I518" s="19"/>
      <c r="J518" s="19"/>
      <c r="K518" s="421"/>
      <c r="L518" s="23"/>
      <c r="M518" s="19"/>
      <c r="N518" s="19"/>
      <c r="O518" s="19"/>
      <c r="P518" s="19"/>
      <c r="Q518" s="19"/>
    </row>
    <row r="519" spans="2:17" hidden="1">
      <c r="B519" s="19"/>
      <c r="C519" s="19"/>
      <c r="D519" s="19"/>
      <c r="E519" s="19"/>
      <c r="F519" s="19"/>
      <c r="G519" s="19"/>
      <c r="H519" s="19"/>
      <c r="I519" s="19"/>
      <c r="J519" s="19"/>
      <c r="K519" s="421"/>
      <c r="L519" s="23"/>
      <c r="M519" s="19"/>
      <c r="N519" s="19"/>
      <c r="O519" s="19"/>
      <c r="P519" s="19"/>
      <c r="Q519" s="19"/>
    </row>
    <row r="520" spans="2:17" hidden="1">
      <c r="B520" s="19"/>
      <c r="C520" s="19"/>
      <c r="D520" s="19"/>
      <c r="E520" s="19"/>
      <c r="F520" s="19"/>
      <c r="G520" s="19"/>
      <c r="H520" s="19"/>
      <c r="I520" s="19"/>
      <c r="J520" s="19"/>
      <c r="K520" s="421"/>
      <c r="L520" s="23"/>
      <c r="M520" s="19"/>
      <c r="N520" s="19"/>
      <c r="O520" s="19"/>
      <c r="P520" s="19"/>
      <c r="Q520" s="19"/>
    </row>
    <row r="521" spans="2:17" hidden="1">
      <c r="B521" s="19"/>
      <c r="C521" s="19"/>
      <c r="D521" s="19"/>
      <c r="E521" s="19"/>
      <c r="F521" s="19"/>
      <c r="G521" s="19"/>
      <c r="H521" s="19"/>
      <c r="I521" s="19"/>
      <c r="J521" s="19"/>
      <c r="K521" s="421"/>
      <c r="L521" s="23"/>
      <c r="M521" s="19"/>
      <c r="N521" s="19"/>
      <c r="O521" s="19"/>
      <c r="P521" s="19"/>
      <c r="Q521" s="19"/>
    </row>
    <row r="522" spans="2:17" hidden="1">
      <c r="B522" s="19"/>
      <c r="C522" s="19"/>
      <c r="D522" s="19"/>
      <c r="E522" s="19"/>
      <c r="F522" s="19"/>
      <c r="G522" s="19"/>
      <c r="H522" s="19"/>
      <c r="I522" s="19"/>
      <c r="J522" s="19"/>
      <c r="K522" s="421"/>
      <c r="L522" s="23"/>
      <c r="M522" s="19"/>
      <c r="N522" s="19"/>
      <c r="O522" s="19"/>
      <c r="P522" s="19"/>
      <c r="Q522" s="19"/>
    </row>
    <row r="523" spans="2:17" hidden="1">
      <c r="B523" s="19"/>
      <c r="C523" s="19"/>
      <c r="D523" s="19"/>
      <c r="E523" s="19"/>
      <c r="F523" s="19"/>
      <c r="G523" s="19"/>
      <c r="H523" s="19"/>
      <c r="I523" s="19"/>
      <c r="J523" s="19"/>
      <c r="K523" s="421"/>
      <c r="L523" s="23"/>
      <c r="M523" s="19"/>
      <c r="N523" s="19"/>
      <c r="O523" s="19"/>
      <c r="P523" s="19"/>
      <c r="Q523" s="19"/>
    </row>
    <row r="524" spans="2:17" hidden="1">
      <c r="B524" s="19"/>
      <c r="C524" s="19"/>
      <c r="D524" s="19"/>
      <c r="E524" s="19"/>
      <c r="F524" s="19"/>
      <c r="G524" s="19"/>
      <c r="H524" s="19"/>
      <c r="I524" s="19"/>
      <c r="J524" s="19"/>
      <c r="K524" s="421"/>
      <c r="L524" s="23"/>
      <c r="M524" s="19"/>
      <c r="N524" s="19"/>
      <c r="O524" s="19"/>
      <c r="P524" s="19"/>
      <c r="Q524" s="19"/>
    </row>
    <row r="525" spans="2:17" hidden="1">
      <c r="B525" s="19"/>
      <c r="C525" s="19"/>
      <c r="D525" s="19"/>
      <c r="E525" s="19"/>
      <c r="F525" s="19"/>
      <c r="G525" s="19"/>
      <c r="H525" s="19"/>
      <c r="I525" s="19"/>
      <c r="J525" s="19"/>
      <c r="K525" s="421"/>
      <c r="L525" s="23"/>
      <c r="M525" s="19"/>
      <c r="N525" s="19"/>
      <c r="O525" s="19"/>
      <c r="P525" s="19"/>
      <c r="Q525" s="19"/>
    </row>
    <row r="526" spans="2:17" hidden="1">
      <c r="B526" s="19"/>
      <c r="C526" s="19"/>
      <c r="D526" s="19"/>
      <c r="E526" s="19"/>
      <c r="F526" s="19"/>
      <c r="G526" s="19"/>
      <c r="H526" s="19"/>
      <c r="I526" s="19"/>
      <c r="J526" s="19"/>
      <c r="K526" s="421"/>
      <c r="L526" s="23"/>
      <c r="M526" s="19"/>
      <c r="N526" s="19"/>
      <c r="O526" s="19"/>
      <c r="P526" s="19"/>
      <c r="Q526" s="19"/>
    </row>
    <row r="527" spans="2:17" hidden="1">
      <c r="I527" s="20"/>
      <c r="K527" s="423"/>
      <c r="L527" s="44"/>
      <c r="M527" s="44"/>
      <c r="N527" s="44"/>
      <c r="O527" s="19"/>
    </row>
    <row r="528" spans="2:17" hidden="1">
      <c r="I528" s="20"/>
    </row>
    <row r="529" spans="1:28" hidden="1">
      <c r="I529" s="20"/>
    </row>
    <row r="530" spans="1:28" hidden="1">
      <c r="I530" s="20"/>
    </row>
    <row r="531" spans="1:28" hidden="1">
      <c r="I531" s="20"/>
    </row>
    <row r="532" spans="1:28" ht="18.75">
      <c r="A532" s="410" t="s">
        <v>105</v>
      </c>
      <c r="B532" s="410"/>
      <c r="C532" s="410"/>
      <c r="D532" s="410"/>
      <c r="E532" s="410"/>
      <c r="F532" s="410"/>
      <c r="G532" s="410"/>
      <c r="H532" s="410"/>
      <c r="I532" s="410"/>
      <c r="J532" s="410"/>
      <c r="K532" s="410"/>
      <c r="L532" s="410"/>
      <c r="M532" s="410"/>
      <c r="N532" s="410"/>
      <c r="O532" s="410"/>
      <c r="P532" s="410"/>
      <c r="Q532" s="410"/>
      <c r="V532" s="914"/>
      <c r="W532" s="914"/>
      <c r="X532" s="38"/>
    </row>
    <row r="533" spans="1:28">
      <c r="B533" s="21">
        <f>COUNT(B536:B638)</f>
        <v>103</v>
      </c>
      <c r="C533" s="21">
        <f t="shared" ref="C533:I533" si="8">COUNT(C536:C638)</f>
        <v>103</v>
      </c>
      <c r="D533" s="21">
        <f t="shared" si="8"/>
        <v>103</v>
      </c>
      <c r="E533" s="21">
        <f t="shared" si="8"/>
        <v>103</v>
      </c>
      <c r="F533" s="21">
        <f t="shared" si="8"/>
        <v>103</v>
      </c>
      <c r="G533" s="21">
        <f t="shared" si="8"/>
        <v>103</v>
      </c>
      <c r="H533" s="21">
        <f t="shared" si="8"/>
        <v>103</v>
      </c>
      <c r="I533" s="21">
        <f t="shared" si="8"/>
        <v>103</v>
      </c>
      <c r="L533" s="21">
        <f>COUNT(L536:L638)</f>
        <v>52</v>
      </c>
      <c r="M533" s="21">
        <f t="shared" ref="M533:T533" si="9">COUNT(M536:M638)</f>
        <v>52</v>
      </c>
      <c r="N533" s="21">
        <f t="shared" si="9"/>
        <v>52</v>
      </c>
      <c r="O533" s="21">
        <f t="shared" si="9"/>
        <v>52</v>
      </c>
      <c r="P533" s="21">
        <f t="shared" si="9"/>
        <v>52</v>
      </c>
      <c r="Q533" s="21">
        <f t="shared" si="9"/>
        <v>52</v>
      </c>
      <c r="R533" s="21">
        <f t="shared" si="9"/>
        <v>52</v>
      </c>
      <c r="S533" s="21">
        <f t="shared" si="9"/>
        <v>52</v>
      </c>
      <c r="T533" s="21">
        <f t="shared" si="9"/>
        <v>52</v>
      </c>
      <c r="V533" s="916"/>
      <c r="W533" s="916"/>
      <c r="X533" s="39"/>
      <c r="Z533" s="916"/>
      <c r="AA533" s="916"/>
      <c r="AB533" s="40"/>
    </row>
    <row r="534" spans="1:28" ht="15" customHeight="1">
      <c r="A534" s="915" t="s">
        <v>417</v>
      </c>
      <c r="B534" s="21">
        <f>COUNTA(B536:B638)</f>
        <v>103</v>
      </c>
      <c r="C534" s="21">
        <f t="shared" ref="C534:I534" si="10">COUNTA(C536:C638)</f>
        <v>103</v>
      </c>
      <c r="D534" s="21">
        <f t="shared" si="10"/>
        <v>103</v>
      </c>
      <c r="E534" s="21">
        <f t="shared" si="10"/>
        <v>103</v>
      </c>
      <c r="F534" s="21">
        <f t="shared" si="10"/>
        <v>103</v>
      </c>
      <c r="G534" s="21">
        <f t="shared" si="10"/>
        <v>103</v>
      </c>
      <c r="H534" s="21">
        <f>COUNTA(H536:H638)</f>
        <v>103</v>
      </c>
      <c r="I534" s="21">
        <f t="shared" si="10"/>
        <v>103</v>
      </c>
      <c r="J534" s="905" t="s">
        <v>418</v>
      </c>
      <c r="K534" s="906" t="s">
        <v>419</v>
      </c>
      <c r="L534" s="21">
        <f>COUNTA(L536:L638)</f>
        <v>52</v>
      </c>
      <c r="M534" s="21">
        <f t="shared" ref="M534:T534" si="11">COUNTA(M536:M638)</f>
        <v>52</v>
      </c>
      <c r="N534" s="21">
        <f t="shared" si="11"/>
        <v>52</v>
      </c>
      <c r="O534" s="21">
        <f t="shared" si="11"/>
        <v>52</v>
      </c>
      <c r="P534" s="21">
        <f t="shared" si="11"/>
        <v>52</v>
      </c>
      <c r="Q534" s="21">
        <f t="shared" si="11"/>
        <v>52</v>
      </c>
      <c r="R534" s="21">
        <f t="shared" si="11"/>
        <v>52</v>
      </c>
      <c r="S534" s="21">
        <f t="shared" si="11"/>
        <v>52</v>
      </c>
      <c r="T534" s="21">
        <f t="shared" si="11"/>
        <v>52</v>
      </c>
      <c r="V534" s="1">
        <f>heeling</f>
        <v>0</v>
      </c>
      <c r="W534" s="382">
        <f>sound23</f>
        <v>5090</v>
      </c>
      <c r="X534" s="186">
        <f>IF((W534+W537)&lt;0,W534,W534+W537)</f>
        <v>5090</v>
      </c>
      <c r="Y534" s="381">
        <f>IF(Y536=Y535,Y535,Interp1(X535:X536,Y535:Y536,X534))</f>
        <v>0.96499999999999997</v>
      </c>
      <c r="AA534" s="30"/>
    </row>
    <row r="535" spans="1:28">
      <c r="A535" s="915"/>
      <c r="B535" s="36">
        <v>-1</v>
      </c>
      <c r="C535" s="35">
        <v>0</v>
      </c>
      <c r="D535" s="35">
        <v>0.5</v>
      </c>
      <c r="E535" s="35">
        <v>1</v>
      </c>
      <c r="F535" s="35">
        <v>1.5</v>
      </c>
      <c r="G535" s="35">
        <v>2</v>
      </c>
      <c r="H535" s="37">
        <v>3</v>
      </c>
      <c r="I535" s="21">
        <v>4</v>
      </c>
      <c r="J535" s="905"/>
      <c r="K535" s="906"/>
      <c r="L535" s="21">
        <v>-4</v>
      </c>
      <c r="M535" s="35">
        <v>-3</v>
      </c>
      <c r="N535" s="35">
        <v>-2</v>
      </c>
      <c r="O535" s="35">
        <v>-1</v>
      </c>
      <c r="P535" s="35">
        <v>0</v>
      </c>
      <c r="Q535" s="35">
        <v>1</v>
      </c>
      <c r="R535" s="35">
        <v>2</v>
      </c>
      <c r="S535" s="35">
        <v>3</v>
      </c>
      <c r="T535" s="35">
        <v>4</v>
      </c>
      <c r="V535" s="1">
        <f>IF(tankSound3=soundingPipe3,tankSound3,FLOOR(W534,incHeel))</f>
        <v>5090</v>
      </c>
      <c r="W535" s="1">
        <f>Interp2(tank3Heel1,tank3Heel2,tank3Heel3,V535,V534)</f>
        <v>0</v>
      </c>
      <c r="X535" s="1">
        <f>IF(X534=soundingPipe3,Tank1!X534,FLOOR(X534,inc))</f>
        <v>5090</v>
      </c>
      <c r="Y535" s="42">
        <f>IF(W540=W539,W539,Interp1(V539:V540,W539:W540,V538))</f>
        <v>0.96499999999999997</v>
      </c>
      <c r="AA535" s="30"/>
    </row>
    <row r="536" spans="1:28">
      <c r="A536" s="188">
        <v>0</v>
      </c>
      <c r="B536" s="432">
        <v>463.476</v>
      </c>
      <c r="C536" s="432">
        <v>463.476</v>
      </c>
      <c r="D536" s="432">
        <v>463.476</v>
      </c>
      <c r="E536" s="432">
        <v>463.476</v>
      </c>
      <c r="F536" s="432">
        <v>463.476</v>
      </c>
      <c r="G536" s="432">
        <v>463.476</v>
      </c>
      <c r="H536" s="432">
        <v>463.476</v>
      </c>
      <c r="I536" s="432">
        <v>463.47500000000002</v>
      </c>
      <c r="J536" s="21">
        <v>5090</v>
      </c>
      <c r="K536" s="412">
        <v>0</v>
      </c>
      <c r="L536">
        <v>422.11799999999999</v>
      </c>
      <c r="M536">
        <v>300.52800000000002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 s="24"/>
      <c r="V536" s="1">
        <f>IF(V535=tankSound3,V535,CEILING(W534,incHeel))</f>
        <v>5090</v>
      </c>
      <c r="W536" s="1">
        <f>Interp2(tank3Heel1,tank3Heel2,tank3Heel3,V536,V534)</f>
        <v>0</v>
      </c>
      <c r="X536" s="1">
        <f>IF(X535=X534,X535,CEILING(X534,inc))</f>
        <v>5090</v>
      </c>
      <c r="Y536" s="42">
        <f>IF(X540=X539,X539,Interp1(V539:V540,X539:X540,V538))</f>
        <v>0.96499999999999997</v>
      </c>
      <c r="AA536" s="30"/>
      <c r="AB536" s="42"/>
    </row>
    <row r="537" spans="1:28">
      <c r="A537" s="188">
        <v>50</v>
      </c>
      <c r="B537" s="432">
        <v>463.476</v>
      </c>
      <c r="C537" s="432">
        <v>463.476</v>
      </c>
      <c r="D537" s="432">
        <v>463.476</v>
      </c>
      <c r="E537" s="432">
        <v>463.476</v>
      </c>
      <c r="F537" s="432">
        <v>463.476</v>
      </c>
      <c r="G537" s="432">
        <v>463.476</v>
      </c>
      <c r="H537" s="432">
        <v>463.476</v>
      </c>
      <c r="I537" s="432">
        <v>463.41899999999998</v>
      </c>
      <c r="J537" s="21">
        <v>5040</v>
      </c>
      <c r="K537" s="412">
        <v>100</v>
      </c>
      <c r="L537">
        <v>490.72</v>
      </c>
      <c r="M537">
        <v>316.41899999999998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 s="25"/>
      <c r="W537" s="1">
        <f>IF(W536=W535,W535,Interp1(V535:V536,W535:W536,W534))</f>
        <v>0</v>
      </c>
      <c r="Y537" s="42"/>
      <c r="AA537" s="30"/>
      <c r="AB537" s="42"/>
    </row>
    <row r="538" spans="1:28">
      <c r="A538" s="188">
        <v>100</v>
      </c>
      <c r="B538" s="432">
        <v>463.476</v>
      </c>
      <c r="C538" s="432">
        <v>463.476</v>
      </c>
      <c r="D538" s="432">
        <v>463.476</v>
      </c>
      <c r="E538" s="432">
        <v>463.476</v>
      </c>
      <c r="F538" s="432">
        <v>463.476</v>
      </c>
      <c r="G538" s="432">
        <v>463.476</v>
      </c>
      <c r="H538" s="432">
        <v>463.47199999999998</v>
      </c>
      <c r="I538" s="432">
        <v>463.23599999999999</v>
      </c>
      <c r="J538" s="21">
        <v>4990</v>
      </c>
      <c r="K538" s="412">
        <v>200</v>
      </c>
      <c r="L538">
        <v>363.43599999999998</v>
      </c>
      <c r="M538">
        <v>298.38200000000001</v>
      </c>
      <c r="N538">
        <v>210.84800000000001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 s="25"/>
      <c r="V538" s="1">
        <f>trim</f>
        <v>0.36</v>
      </c>
      <c r="AA538" s="30"/>
      <c r="AB538" s="42"/>
    </row>
    <row r="539" spans="1:28">
      <c r="A539" s="188">
        <v>150</v>
      </c>
      <c r="B539" s="432">
        <v>463.476</v>
      </c>
      <c r="C539" s="432">
        <v>463.476</v>
      </c>
      <c r="D539" s="432">
        <v>463.476</v>
      </c>
      <c r="E539" s="432">
        <v>463.476</v>
      </c>
      <c r="F539" s="432">
        <v>463.476</v>
      </c>
      <c r="G539" s="432">
        <v>463.476</v>
      </c>
      <c r="H539" s="432">
        <v>463.39100000000002</v>
      </c>
      <c r="I539" s="432">
        <v>462.76100000000002</v>
      </c>
      <c r="J539" s="21">
        <v>4940</v>
      </c>
      <c r="K539" s="412">
        <v>300</v>
      </c>
      <c r="L539">
        <v>332.75400000000002</v>
      </c>
      <c r="M539">
        <v>266.815</v>
      </c>
      <c r="N539">
        <v>196.53800000000001</v>
      </c>
      <c r="O539">
        <v>105.38</v>
      </c>
      <c r="P539">
        <v>0</v>
      </c>
      <c r="Q539">
        <v>0</v>
      </c>
      <c r="R539">
        <v>0</v>
      </c>
      <c r="S539">
        <v>0</v>
      </c>
      <c r="T539">
        <v>0</v>
      </c>
      <c r="U539" s="25"/>
      <c r="V539" s="1">
        <f>INDEX(tank3Trim2,0,MATCH(V538,tank3Trim2,1))</f>
        <v>0</v>
      </c>
      <c r="W539" s="1">
        <f>Interp2(tank3Trim1,tank3Trim2,tank3Trim3,X535,V539)</f>
        <v>1.0720000000000001</v>
      </c>
      <c r="X539" s="1">
        <f>Interp2(tank3Trim1,tank3Trim2,tank3Trim3,X536,V539)</f>
        <v>1.0720000000000001</v>
      </c>
      <c r="AA539" s="30"/>
    </row>
    <row r="540" spans="1:28">
      <c r="A540" s="188">
        <v>200</v>
      </c>
      <c r="B540" s="432">
        <v>463.476</v>
      </c>
      <c r="C540" s="432">
        <v>463.476</v>
      </c>
      <c r="D540" s="432">
        <v>463.476</v>
      </c>
      <c r="E540" s="432">
        <v>463.476</v>
      </c>
      <c r="F540" s="432">
        <v>463.476</v>
      </c>
      <c r="G540" s="432">
        <v>463.46199999999999</v>
      </c>
      <c r="H540" s="432">
        <v>463.072</v>
      </c>
      <c r="I540" s="432">
        <v>461.92</v>
      </c>
      <c r="J540" s="21">
        <v>4890</v>
      </c>
      <c r="K540" s="412">
        <v>400</v>
      </c>
      <c r="L540">
        <v>303.94600000000003</v>
      </c>
      <c r="M540">
        <v>240.68299999999999</v>
      </c>
      <c r="N540">
        <v>172.67</v>
      </c>
      <c r="O540">
        <v>96.584000000000003</v>
      </c>
      <c r="P540">
        <v>0</v>
      </c>
      <c r="Q540">
        <v>0</v>
      </c>
      <c r="R540">
        <v>0</v>
      </c>
      <c r="S540">
        <v>0</v>
      </c>
      <c r="T540">
        <v>0</v>
      </c>
      <c r="U540" s="25"/>
      <c r="V540" s="1">
        <f>IF(V539=V538,V538,INDEX(tank3Trim2,0,MATCH(V538,tank3Trim2,1)+1))</f>
        <v>0.5</v>
      </c>
      <c r="W540" s="1">
        <f>Interp2(tank3Trim1,tank3Trim2,tank3Trim3,X535,V540)</f>
        <v>0.92300000000000004</v>
      </c>
      <c r="X540" s="1">
        <f>Interp2(tank3Trim1,tank3Trim2,tank3Trim3,X536,V540)</f>
        <v>0.92300000000000004</v>
      </c>
      <c r="AA540" s="30"/>
      <c r="AB540" s="42"/>
    </row>
    <row r="541" spans="1:28">
      <c r="A541" s="188">
        <v>250</v>
      </c>
      <c r="B541" s="432">
        <v>463.476</v>
      </c>
      <c r="C541" s="432">
        <v>463.476</v>
      </c>
      <c r="D541" s="432">
        <v>463.476</v>
      </c>
      <c r="E541" s="432">
        <v>463.476</v>
      </c>
      <c r="F541" s="432">
        <v>463.45400000000001</v>
      </c>
      <c r="G541" s="432">
        <v>463.29500000000002</v>
      </c>
      <c r="H541" s="432">
        <v>462.37900000000002</v>
      </c>
      <c r="I541" s="432">
        <v>460.56299999999999</v>
      </c>
      <c r="J541" s="21">
        <v>4840</v>
      </c>
      <c r="K541" s="412">
        <v>500</v>
      </c>
      <c r="L541">
        <v>270.31599999999997</v>
      </c>
      <c r="M541">
        <v>216.05500000000001</v>
      </c>
      <c r="N541">
        <v>152.38900000000001</v>
      </c>
      <c r="O541">
        <v>82.584000000000003</v>
      </c>
      <c r="P541">
        <v>0</v>
      </c>
      <c r="Q541">
        <v>-141.40199999999999</v>
      </c>
      <c r="R541">
        <v>0</v>
      </c>
      <c r="S541">
        <v>0</v>
      </c>
      <c r="T541">
        <v>0</v>
      </c>
      <c r="U541" s="25"/>
      <c r="W541" s="43"/>
      <c r="X541" s="42"/>
      <c r="AA541" s="30"/>
      <c r="AB541" s="42"/>
    </row>
    <row r="542" spans="1:28">
      <c r="A542" s="188">
        <v>300</v>
      </c>
      <c r="B542" s="432">
        <v>463.476</v>
      </c>
      <c r="C542" s="432">
        <v>463.476</v>
      </c>
      <c r="D542" s="432">
        <v>463.476</v>
      </c>
      <c r="E542" s="432">
        <v>463.43</v>
      </c>
      <c r="F542" s="432">
        <v>463.19900000000001</v>
      </c>
      <c r="G542" s="432">
        <v>462.74299999999999</v>
      </c>
      <c r="H542" s="432">
        <v>461.13200000000001</v>
      </c>
      <c r="I542" s="432">
        <v>458.59500000000003</v>
      </c>
      <c r="J542" s="21">
        <v>4790</v>
      </c>
      <c r="K542" s="412">
        <v>600</v>
      </c>
      <c r="L542">
        <v>243.721</v>
      </c>
      <c r="M542">
        <v>190.4</v>
      </c>
      <c r="N542">
        <v>133.29499999999999</v>
      </c>
      <c r="O542">
        <v>70.358000000000004</v>
      </c>
      <c r="P542">
        <v>0</v>
      </c>
      <c r="Q542">
        <v>-94.578000000000003</v>
      </c>
      <c r="R542">
        <v>-280.25099999999998</v>
      </c>
      <c r="S542">
        <v>0</v>
      </c>
      <c r="T542">
        <v>0</v>
      </c>
      <c r="U542" s="25"/>
    </row>
    <row r="543" spans="1:28">
      <c r="A543" s="188">
        <v>350</v>
      </c>
      <c r="B543" s="432">
        <v>463.46899999999999</v>
      </c>
      <c r="C543" s="432">
        <v>463.476</v>
      </c>
      <c r="D543" s="432">
        <v>463.35399999999998</v>
      </c>
      <c r="E543" s="432">
        <v>462.995</v>
      </c>
      <c r="F543" s="432">
        <v>462.4</v>
      </c>
      <c r="G543" s="432">
        <v>461.57</v>
      </c>
      <c r="H543" s="432">
        <v>459.2</v>
      </c>
      <c r="I543" s="432">
        <v>455.887</v>
      </c>
      <c r="J543" s="21">
        <v>4740</v>
      </c>
      <c r="K543" s="412">
        <v>700</v>
      </c>
      <c r="L543">
        <v>224.08500000000001</v>
      </c>
      <c r="M543">
        <v>171.98400000000001</v>
      </c>
      <c r="N543">
        <v>117.325</v>
      </c>
      <c r="O543">
        <v>59.093000000000004</v>
      </c>
      <c r="P543">
        <v>0</v>
      </c>
      <c r="Q543">
        <v>-77.213999999999999</v>
      </c>
      <c r="R543">
        <v>-177.63</v>
      </c>
      <c r="S543">
        <v>0</v>
      </c>
      <c r="T543">
        <v>0</v>
      </c>
      <c r="U543" s="25"/>
      <c r="V543" s="1">
        <f>Bunkering!heeling1</f>
        <v>0</v>
      </c>
      <c r="W543" s="382">
        <f>sound33</f>
        <v>5090</v>
      </c>
      <c r="X543" s="186">
        <f>IF((W543+W546)&lt;0,W543,W543+W546)</f>
        <v>5090</v>
      </c>
      <c r="Y543" s="381">
        <f>IF(Y545=Y544,Y544,Interp1(X544:X545,Y544:Y545,X543))</f>
        <v>0.96499999999999997</v>
      </c>
    </row>
    <row r="544" spans="1:28">
      <c r="A544" s="188">
        <v>400</v>
      </c>
      <c r="B544" s="432">
        <v>463.226</v>
      </c>
      <c r="C544" s="432">
        <v>462.93</v>
      </c>
      <c r="D544" s="432">
        <v>462.44299999999998</v>
      </c>
      <c r="E544" s="432">
        <v>461.11599999999999</v>
      </c>
      <c r="F544" s="432">
        <v>460.74900000000002</v>
      </c>
      <c r="G544" s="432">
        <v>459.54199999999997</v>
      </c>
      <c r="H544" s="432">
        <v>456.411</v>
      </c>
      <c r="I544" s="432">
        <v>452.31799999999998</v>
      </c>
      <c r="J544" s="21">
        <v>4690</v>
      </c>
      <c r="K544" s="412">
        <v>800</v>
      </c>
      <c r="L544">
        <v>213.703</v>
      </c>
      <c r="M544">
        <v>163.535</v>
      </c>
      <c r="N544">
        <v>111.023</v>
      </c>
      <c r="O544">
        <v>55.893000000000001</v>
      </c>
      <c r="P544">
        <v>0</v>
      </c>
      <c r="Q544">
        <v>59.704999999999998</v>
      </c>
      <c r="R544">
        <v>-125.69</v>
      </c>
      <c r="S544">
        <v>-207.05699999999999</v>
      </c>
      <c r="T544">
        <v>-337.07</v>
      </c>
      <c r="U544" s="25"/>
      <c r="V544" s="1">
        <f>IF(tankSound23=soundingPipe3,tankSound23,FLOOR(W543,incHeel))</f>
        <v>5090</v>
      </c>
      <c r="W544" s="1">
        <f>Interp2(tank3Heel1,tank3Heel2,tank3Heel3,V544,V543)</f>
        <v>0</v>
      </c>
      <c r="X544" s="1">
        <f>IF(X543=soundingPipe3,Tank1!X543,FLOOR(X543,inc))</f>
        <v>5090</v>
      </c>
      <c r="Y544" s="42">
        <f>IF(W549=W548,W548,Interp1(V548:V549,W548:W549,V547))</f>
        <v>0.96499999999999997</v>
      </c>
      <c r="Z544" s="918"/>
      <c r="AA544" s="918"/>
      <c r="AB544" s="42"/>
    </row>
    <row r="545" spans="1:28">
      <c r="A545" s="188">
        <v>450</v>
      </c>
      <c r="B545" s="432">
        <v>462.298</v>
      </c>
      <c r="C545" s="432">
        <v>461.31799999999998</v>
      </c>
      <c r="D545" s="432">
        <v>460.46800000000002</v>
      </c>
      <c r="E545" s="432">
        <v>459.37799999999999</v>
      </c>
      <c r="F545" s="432">
        <v>458.048</v>
      </c>
      <c r="G545" s="432">
        <v>456.47800000000001</v>
      </c>
      <c r="H545" s="432">
        <v>452.61900000000003</v>
      </c>
      <c r="I545" s="432">
        <v>447.81599999999997</v>
      </c>
      <c r="J545" s="21">
        <v>4640</v>
      </c>
      <c r="K545" s="412">
        <v>900</v>
      </c>
      <c r="L545">
        <v>208.381</v>
      </c>
      <c r="M545">
        <v>159.61799999999999</v>
      </c>
      <c r="N545">
        <v>108.504</v>
      </c>
      <c r="O545">
        <v>55.524999999999999</v>
      </c>
      <c r="P545">
        <v>0</v>
      </c>
      <c r="Q545">
        <v>-55.893000000000001</v>
      </c>
      <c r="R545">
        <v>-112.623</v>
      </c>
      <c r="S545">
        <v>-172.43799999999999</v>
      </c>
      <c r="T545">
        <v>-242.75200000000001</v>
      </c>
      <c r="U545" s="25"/>
      <c r="V545" s="1">
        <f>IF(V544=tankSound23,V544,CEILING(W543,incHeel))</f>
        <v>5090</v>
      </c>
      <c r="W545" s="1">
        <f>Interp2(tank3Heel1,tank3Heel2,tank3Heel3,V545,V543)</f>
        <v>0</v>
      </c>
      <c r="X545" s="1">
        <f>IF(X544=X543,X544,CEILING(X543,inc))</f>
        <v>5090</v>
      </c>
      <c r="Y545" s="42">
        <f>IF(X549=X548,X548,Interp1(V548:V549,X548:X549,V547))</f>
        <v>0.96499999999999997</v>
      </c>
    </row>
    <row r="546" spans="1:28">
      <c r="A546" s="188">
        <v>500</v>
      </c>
      <c r="B546" s="432">
        <v>460.346</v>
      </c>
      <c r="C546" s="432">
        <v>458.63900000000001</v>
      </c>
      <c r="D546" s="432">
        <v>457.42599999999999</v>
      </c>
      <c r="E546" s="432">
        <v>455.97300000000001</v>
      </c>
      <c r="F546" s="432">
        <v>454.28100000000001</v>
      </c>
      <c r="G546" s="432">
        <v>452.34800000000001</v>
      </c>
      <c r="H546" s="432">
        <v>447.76299999999998</v>
      </c>
      <c r="I546" s="432">
        <v>442.33499999999998</v>
      </c>
      <c r="J546" s="21">
        <v>4590</v>
      </c>
      <c r="K546" s="412">
        <v>1000</v>
      </c>
      <c r="L546">
        <v>203.04599999999999</v>
      </c>
      <c r="M546">
        <v>155.59899999999999</v>
      </c>
      <c r="N546">
        <v>105.73699999999999</v>
      </c>
      <c r="O546">
        <v>54.258000000000003</v>
      </c>
      <c r="P546">
        <v>0</v>
      </c>
      <c r="Q546">
        <v>-55.759</v>
      </c>
      <c r="R546">
        <v>-111.815</v>
      </c>
      <c r="S546">
        <v>-167.81100000000001</v>
      </c>
      <c r="T546">
        <v>-225.53899999999999</v>
      </c>
      <c r="U546" s="26"/>
      <c r="W546" s="1">
        <f>IF(W545=W544,W544,Interp1(V544:V545,W544:W545,W543))</f>
        <v>0</v>
      </c>
      <c r="Y546" s="42"/>
    </row>
    <row r="547" spans="1:28">
      <c r="A547" s="188">
        <v>550</v>
      </c>
      <c r="B547" s="432">
        <v>457.327</v>
      </c>
      <c r="C547" s="432">
        <v>454.89400000000001</v>
      </c>
      <c r="D547" s="432">
        <v>453.31799999999998</v>
      </c>
      <c r="E547" s="432">
        <v>451.50200000000001</v>
      </c>
      <c r="F547" s="432">
        <v>449.447</v>
      </c>
      <c r="G547" s="432">
        <v>447.15100000000001</v>
      </c>
      <c r="H547" s="432">
        <v>441.86500000000001</v>
      </c>
      <c r="I547" s="432">
        <v>436.01299999999998</v>
      </c>
      <c r="J547" s="21">
        <v>4540</v>
      </c>
      <c r="K547" s="412">
        <v>1100</v>
      </c>
      <c r="L547">
        <v>197.761</v>
      </c>
      <c r="M547">
        <v>151.57400000000001</v>
      </c>
      <c r="N547">
        <v>102.962</v>
      </c>
      <c r="O547">
        <v>52.865000000000002</v>
      </c>
      <c r="P547">
        <v>0</v>
      </c>
      <c r="Q547">
        <v>-54.668999999999997</v>
      </c>
      <c r="R547">
        <v>-111.55200000000001</v>
      </c>
      <c r="S547">
        <v>-167.715</v>
      </c>
      <c r="T547">
        <v>-223.90799999999999</v>
      </c>
      <c r="U547" s="25"/>
      <c r="V547" s="1">
        <f>Bunkering!trim1</f>
        <v>0.36</v>
      </c>
      <c r="Z547" s="916"/>
      <c r="AA547" s="916"/>
      <c r="AB547" s="40"/>
    </row>
    <row r="548" spans="1:28">
      <c r="A548" s="188">
        <v>600</v>
      </c>
      <c r="B548" s="432">
        <v>453.24099999999999</v>
      </c>
      <c r="C548" s="432">
        <v>450.08300000000003</v>
      </c>
      <c r="D548" s="432">
        <v>448.14400000000001</v>
      </c>
      <c r="E548" s="432">
        <v>445.96600000000001</v>
      </c>
      <c r="F548" s="432">
        <v>443.54700000000003</v>
      </c>
      <c r="G548" s="432">
        <v>440.88900000000001</v>
      </c>
      <c r="H548" s="432">
        <v>435.06099999999998</v>
      </c>
      <c r="I548" s="432">
        <v>428.94</v>
      </c>
      <c r="J548" s="21">
        <v>4490</v>
      </c>
      <c r="K548" s="412">
        <v>1200</v>
      </c>
      <c r="L548">
        <v>192.54900000000001</v>
      </c>
      <c r="M548">
        <v>147.55099999999999</v>
      </c>
      <c r="N548">
        <v>100.19</v>
      </c>
      <c r="O548">
        <v>51.475999999999999</v>
      </c>
      <c r="P548">
        <v>0</v>
      </c>
      <c r="Q548">
        <v>-53.198</v>
      </c>
      <c r="R548">
        <v>-109.437</v>
      </c>
      <c r="S548">
        <v>-166.738</v>
      </c>
      <c r="T548">
        <v>-223.67599999999999</v>
      </c>
      <c r="U548" s="25"/>
      <c r="V548" s="1">
        <f>INDEX(tank3Trim2,0,MATCH(V547,tank3Trim2,1))</f>
        <v>0</v>
      </c>
      <c r="W548" s="1">
        <f>Interp2(tank3Trim1,tank3Trim2,tank3Trim3,X544,V548)</f>
        <v>1.0720000000000001</v>
      </c>
      <c r="X548" s="1">
        <f>Interp2(tank3Trim1,tank3Trim2,tank3Trim3,X545,V548)</f>
        <v>1.0720000000000001</v>
      </c>
      <c r="AA548" s="30"/>
    </row>
    <row r="549" spans="1:28">
      <c r="A549" s="188">
        <v>650</v>
      </c>
      <c r="B549" s="432">
        <v>448.089</v>
      </c>
      <c r="C549" s="432">
        <v>444.20499999999998</v>
      </c>
      <c r="D549" s="432">
        <v>441.904</v>
      </c>
      <c r="E549" s="432">
        <v>439.36200000000002</v>
      </c>
      <c r="F549" s="432">
        <v>436.58199999999999</v>
      </c>
      <c r="G549" s="432">
        <v>433.62200000000001</v>
      </c>
      <c r="H549" s="432">
        <v>427.495</v>
      </c>
      <c r="I549" s="432">
        <v>421.26400000000001</v>
      </c>
      <c r="J549" s="21">
        <v>4440</v>
      </c>
      <c r="K549" s="412">
        <v>1300</v>
      </c>
      <c r="L549">
        <v>187.327</v>
      </c>
      <c r="M549">
        <v>143.51900000000001</v>
      </c>
      <c r="N549">
        <v>97.474999999999994</v>
      </c>
      <c r="O549">
        <v>50.082999999999998</v>
      </c>
      <c r="P549">
        <v>0</v>
      </c>
      <c r="Q549">
        <v>-51.731000000000002</v>
      </c>
      <c r="R549">
        <v>-106.48099999999999</v>
      </c>
      <c r="S549">
        <v>-163.50200000000001</v>
      </c>
      <c r="T549">
        <v>-221.79</v>
      </c>
      <c r="U549" s="25"/>
      <c r="V549" s="1">
        <f>IF(V548=V547,V547,INDEX(tank3Trim2,0,MATCH(V547,tank3Trim2,1)+1))</f>
        <v>0.5</v>
      </c>
      <c r="W549" s="1">
        <f>Interp2(tank3Trim1,tank3Trim2,tank3Trim3,X544,V549)</f>
        <v>0.92300000000000004</v>
      </c>
      <c r="X549" s="1">
        <f>Interp2(tank3Trim1,tank3Trim2,tank3Trim3,X545,V549)</f>
        <v>0.92300000000000004</v>
      </c>
      <c r="AA549" s="30"/>
    </row>
    <row r="550" spans="1:28">
      <c r="A550" s="188">
        <v>700</v>
      </c>
      <c r="B550" s="432">
        <v>441.87200000000001</v>
      </c>
      <c r="C550" s="432">
        <v>437.262</v>
      </c>
      <c r="D550" s="432">
        <v>434.59699999999998</v>
      </c>
      <c r="E550" s="432">
        <v>431.69600000000003</v>
      </c>
      <c r="F550" s="432">
        <v>428.65300000000002</v>
      </c>
      <c r="G550" s="432">
        <v>425.56400000000002</v>
      </c>
      <c r="H550" s="432">
        <v>419.33800000000002</v>
      </c>
      <c r="I550" s="432">
        <v>413.09100000000001</v>
      </c>
      <c r="J550" s="21">
        <v>4390</v>
      </c>
      <c r="K550" s="412">
        <v>1400</v>
      </c>
      <c r="L550">
        <v>182.10300000000001</v>
      </c>
      <c r="M550">
        <v>139.48400000000001</v>
      </c>
      <c r="N550">
        <v>94.766999999999996</v>
      </c>
      <c r="O550">
        <v>48.692</v>
      </c>
      <c r="P550">
        <v>0</v>
      </c>
      <c r="Q550">
        <v>-50.261000000000003</v>
      </c>
      <c r="R550">
        <v>-103.523</v>
      </c>
      <c r="S550">
        <v>-158.89599999999999</v>
      </c>
      <c r="T550">
        <v>-217.47</v>
      </c>
      <c r="U550" s="25"/>
      <c r="W550" s="30"/>
      <c r="AA550" s="30"/>
      <c r="AB550" s="42"/>
    </row>
    <row r="551" spans="1:28">
      <c r="A551" s="188">
        <v>750</v>
      </c>
      <c r="B551" s="432">
        <v>434.58699999999999</v>
      </c>
      <c r="C551" s="432">
        <v>429.25200000000001</v>
      </c>
      <c r="D551" s="432">
        <v>426.23700000000002</v>
      </c>
      <c r="E551" s="432">
        <v>423.149</v>
      </c>
      <c r="F551" s="432">
        <v>420.05</v>
      </c>
      <c r="G551" s="432">
        <v>416.947</v>
      </c>
      <c r="H551" s="432">
        <v>410.73599999999999</v>
      </c>
      <c r="I551" s="432">
        <v>404.56200000000001</v>
      </c>
      <c r="J551" s="21">
        <v>4340</v>
      </c>
      <c r="K551" s="412">
        <v>1500</v>
      </c>
      <c r="L551">
        <v>176.874</v>
      </c>
      <c r="M551">
        <v>135.447</v>
      </c>
      <c r="N551">
        <v>92.058000000000007</v>
      </c>
      <c r="O551">
        <v>47.3</v>
      </c>
      <c r="P551">
        <v>0</v>
      </c>
      <c r="Q551">
        <v>-48.792999999999999</v>
      </c>
      <c r="R551">
        <v>-100.57</v>
      </c>
      <c r="S551">
        <v>-154.28899999999999</v>
      </c>
      <c r="T551">
        <v>-211.316</v>
      </c>
      <c r="U551" s="24"/>
      <c r="W551" s="30"/>
      <c r="X551" s="42"/>
      <c r="AA551" s="30"/>
      <c r="AB551" s="42"/>
    </row>
    <row r="552" spans="1:28">
      <c r="A552" s="188">
        <v>800</v>
      </c>
      <c r="B552" s="432">
        <v>426.31200000000001</v>
      </c>
      <c r="C552" s="432">
        <v>420.32299999999998</v>
      </c>
      <c r="D552" s="432">
        <v>417.24400000000003</v>
      </c>
      <c r="E552" s="432">
        <v>414.16500000000002</v>
      </c>
      <c r="F552" s="432">
        <v>411.08499999999998</v>
      </c>
      <c r="G552" s="432">
        <v>408.00400000000002</v>
      </c>
      <c r="H552" s="432">
        <v>401.87099999999998</v>
      </c>
      <c r="I552" s="432">
        <v>395.8</v>
      </c>
      <c r="J552" s="21">
        <v>4290</v>
      </c>
      <c r="K552" s="412">
        <v>1600</v>
      </c>
      <c r="L552">
        <v>171.643</v>
      </c>
      <c r="M552">
        <v>131.404</v>
      </c>
      <c r="N552">
        <v>89.349000000000004</v>
      </c>
      <c r="O552">
        <v>45.908999999999999</v>
      </c>
      <c r="P552">
        <v>0</v>
      </c>
      <c r="Q552">
        <v>-47.323999999999998</v>
      </c>
      <c r="R552">
        <v>-97.558000000000007</v>
      </c>
      <c r="S552">
        <v>-149.68899999999999</v>
      </c>
      <c r="T552">
        <v>-205.108</v>
      </c>
      <c r="U552" s="24"/>
      <c r="V552" s="1">
        <f>bunkerPlanTrim</f>
        <v>-0.15</v>
      </c>
      <c r="W552" s="383">
        <v>400</v>
      </c>
      <c r="X552" s="384" t="str">
        <f>ADDRESS(X554,10,1,1)</f>
        <v>$J$554</v>
      </c>
      <c r="AA552" s="30"/>
      <c r="AB552" s="42"/>
    </row>
    <row r="553" spans="1:28">
      <c r="A553" s="188">
        <v>850</v>
      </c>
      <c r="B553" s="432">
        <v>417.43299999999999</v>
      </c>
      <c r="C553" s="432">
        <v>411.27699999999999</v>
      </c>
      <c r="D553" s="432">
        <v>408.197</v>
      </c>
      <c r="E553" s="432">
        <v>405.11799999999999</v>
      </c>
      <c r="F553" s="432">
        <v>402.041</v>
      </c>
      <c r="G553" s="432">
        <v>398.97699999999998</v>
      </c>
      <c r="H553" s="432">
        <v>392.90899999999999</v>
      </c>
      <c r="I553" s="432">
        <v>386.92599999999999</v>
      </c>
      <c r="J553" s="21">
        <v>4240</v>
      </c>
      <c r="K553" s="412">
        <v>1700</v>
      </c>
      <c r="L553">
        <v>166.404</v>
      </c>
      <c r="M553">
        <v>127.35599999999999</v>
      </c>
      <c r="N553">
        <v>86.641000000000005</v>
      </c>
      <c r="O553">
        <v>44.518000000000001</v>
      </c>
      <c r="P553">
        <v>0</v>
      </c>
      <c r="Q553">
        <v>-45.856000000000002</v>
      </c>
      <c r="R553">
        <v>-94.531000000000006</v>
      </c>
      <c r="S553">
        <v>-145.096</v>
      </c>
      <c r="T553">
        <v>-198.887</v>
      </c>
      <c r="U553" s="24"/>
      <c r="V553" s="188">
        <f>INDEX(tank3Trim2,0,MATCH(V552,tank3Trim2,1))</f>
        <v>-1</v>
      </c>
      <c r="W553" s="188">
        <f>MATCH(V553,tank3Trim2,0)+1</f>
        <v>2</v>
      </c>
      <c r="X553" s="188">
        <f>MATCH(targetTank3,IF(W553=2,B536:B638,IF(W553=3,C536:C638,IF(W553=4,D536:D638,IF(W553=5,E536:E638,IF(W553=6,F536:F638,IF(W553=7,G536:G638,IF(W553=8,H536:H638,IF(W553=9,I638:I5365)))))))),-1)</f>
        <v>19</v>
      </c>
      <c r="AA553" s="30"/>
    </row>
    <row r="554" spans="1:28">
      <c r="A554" s="188">
        <v>900</v>
      </c>
      <c r="B554" s="432">
        <v>408.38799999999998</v>
      </c>
      <c r="C554" s="432">
        <v>402.23</v>
      </c>
      <c r="D554" s="432">
        <v>399.15100000000001</v>
      </c>
      <c r="E554" s="432">
        <v>396.07600000000002</v>
      </c>
      <c r="F554" s="432">
        <v>393.01900000000001</v>
      </c>
      <c r="G554" s="432">
        <v>389.98500000000001</v>
      </c>
      <c r="H554" s="432">
        <v>383.98399999999998</v>
      </c>
      <c r="I554" s="432">
        <v>378.07400000000001</v>
      </c>
      <c r="J554" s="21">
        <v>4190</v>
      </c>
      <c r="K554" s="412">
        <v>1800</v>
      </c>
      <c r="L554">
        <v>161.15600000000001</v>
      </c>
      <c r="M554">
        <v>123.29900000000001</v>
      </c>
      <c r="N554">
        <v>83.93</v>
      </c>
      <c r="O554">
        <v>43.125999999999998</v>
      </c>
      <c r="P554">
        <v>0</v>
      </c>
      <c r="Q554">
        <v>-44.389000000000003</v>
      </c>
      <c r="R554">
        <v>-91.507000000000005</v>
      </c>
      <c r="S554">
        <v>-140.50899999999999</v>
      </c>
      <c r="T554">
        <v>-192.541</v>
      </c>
      <c r="U554" s="24"/>
      <c r="V554" s="386">
        <v>4903</v>
      </c>
      <c r="X554" s="188">
        <f>X553+535</f>
        <v>554</v>
      </c>
      <c r="AA554" s="30"/>
      <c r="AB554" s="42"/>
    </row>
    <row r="555" spans="1:28">
      <c r="A555" s="188">
        <v>950</v>
      </c>
      <c r="B555" s="432">
        <v>399.34199999999998</v>
      </c>
      <c r="C555" s="432">
        <v>393.18299999999999</v>
      </c>
      <c r="D555" s="432">
        <v>390.11599999999999</v>
      </c>
      <c r="E555" s="432">
        <v>387.072</v>
      </c>
      <c r="F555" s="432">
        <v>384.05099999999999</v>
      </c>
      <c r="G555" s="432">
        <v>381.053</v>
      </c>
      <c r="H555" s="432">
        <v>375.12700000000001</v>
      </c>
      <c r="I555" s="432">
        <v>369.29199999999997</v>
      </c>
      <c r="J555" s="21">
        <v>4140</v>
      </c>
      <c r="K555" s="412">
        <v>1900</v>
      </c>
      <c r="L555">
        <v>155.905</v>
      </c>
      <c r="M555">
        <v>119.238</v>
      </c>
      <c r="N555">
        <v>81.22</v>
      </c>
      <c r="O555">
        <v>41.734000000000002</v>
      </c>
      <c r="P555">
        <v>0</v>
      </c>
      <c r="Q555">
        <v>-42.918999999999997</v>
      </c>
      <c r="R555">
        <v>-88.48</v>
      </c>
      <c r="S555">
        <v>-135.92400000000001</v>
      </c>
      <c r="T555">
        <v>-186.197</v>
      </c>
      <c r="U555" s="25"/>
      <c r="V555" s="188">
        <f>FLOOR(V554,inc)</f>
        <v>4900</v>
      </c>
      <c r="W555" s="384">
        <f>Interp2(tank3Trim1,tank3Trim2,tank3Trim3,V555,V553)</f>
        <v>4.2030000000000003</v>
      </c>
      <c r="X555" s="188"/>
      <c r="AA555" s="30"/>
      <c r="AB555" s="42"/>
    </row>
    <row r="556" spans="1:28">
      <c r="A556" s="188">
        <v>1000</v>
      </c>
      <c r="B556" s="432">
        <v>390.31900000000002</v>
      </c>
      <c r="C556" s="432">
        <v>384.19</v>
      </c>
      <c r="D556" s="432">
        <v>381.15800000000002</v>
      </c>
      <c r="E556" s="432">
        <v>378.15100000000001</v>
      </c>
      <c r="F556" s="432">
        <v>375.166</v>
      </c>
      <c r="G556" s="432">
        <v>372.20400000000001</v>
      </c>
      <c r="H556" s="432">
        <v>366.35199999999998</v>
      </c>
      <c r="I556" s="432">
        <v>360.59199999999998</v>
      </c>
      <c r="J556" s="21">
        <v>4090</v>
      </c>
      <c r="K556" s="412">
        <v>2000</v>
      </c>
      <c r="L556">
        <v>150.64500000000001</v>
      </c>
      <c r="M556">
        <v>115.17</v>
      </c>
      <c r="N556">
        <v>78.510000000000005</v>
      </c>
      <c r="O556">
        <v>40.341000000000001</v>
      </c>
      <c r="P556">
        <v>0</v>
      </c>
      <c r="Q556">
        <v>-41.451999999999998</v>
      </c>
      <c r="R556">
        <v>-85.453999999999994</v>
      </c>
      <c r="S556">
        <v>-131.34800000000001</v>
      </c>
      <c r="T556">
        <v>-179.86199999999999</v>
      </c>
      <c r="U556" s="27"/>
      <c r="W556" s="43"/>
      <c r="X556" s="42"/>
    </row>
    <row r="557" spans="1:28">
      <c r="A557" s="188">
        <v>1050</v>
      </c>
      <c r="B557" s="432">
        <v>381.363</v>
      </c>
      <c r="C557" s="432">
        <v>375.30099999999999</v>
      </c>
      <c r="D557" s="432">
        <v>372.30399999999997</v>
      </c>
      <c r="E557" s="432">
        <v>369.33199999999999</v>
      </c>
      <c r="F557" s="432">
        <v>366.38299999999998</v>
      </c>
      <c r="G557" s="432">
        <v>363.45699999999999</v>
      </c>
      <c r="H557" s="432">
        <v>357.67599999999999</v>
      </c>
      <c r="I557" s="432">
        <v>351.988</v>
      </c>
      <c r="J557" s="21">
        <v>4040</v>
      </c>
      <c r="K557" s="412">
        <v>2100</v>
      </c>
      <c r="L557">
        <v>145.37799999999999</v>
      </c>
      <c r="M557">
        <v>111.096</v>
      </c>
      <c r="N557">
        <v>75.799000000000007</v>
      </c>
      <c r="O557">
        <v>38.948999999999998</v>
      </c>
      <c r="P557">
        <v>0</v>
      </c>
      <c r="Q557">
        <v>-39.984000000000002</v>
      </c>
      <c r="R557">
        <v>-82.429000000000002</v>
      </c>
      <c r="S557">
        <v>-126.776</v>
      </c>
      <c r="T557">
        <v>-173.536</v>
      </c>
      <c r="U557" s="25"/>
    </row>
    <row r="558" spans="1:28">
      <c r="A558" s="188">
        <v>1100</v>
      </c>
      <c r="B558" s="432">
        <v>372.50799999999998</v>
      </c>
      <c r="C558" s="432">
        <v>366.51600000000002</v>
      </c>
      <c r="D558" s="432">
        <v>363.55500000000001</v>
      </c>
      <c r="E558" s="432">
        <v>360.61799999999999</v>
      </c>
      <c r="F558" s="432">
        <v>357.70499999999998</v>
      </c>
      <c r="G558" s="432">
        <v>354.81400000000002</v>
      </c>
      <c r="H558" s="432">
        <v>349.10399999999998</v>
      </c>
      <c r="I558" s="432">
        <v>343.48700000000002</v>
      </c>
      <c r="J558" s="21">
        <v>3990</v>
      </c>
      <c r="K558" s="412">
        <v>2200</v>
      </c>
      <c r="L558">
        <v>140.102</v>
      </c>
      <c r="M558">
        <v>107.014</v>
      </c>
      <c r="N558">
        <v>73.09</v>
      </c>
      <c r="O558">
        <v>37.557000000000002</v>
      </c>
      <c r="P558">
        <v>0</v>
      </c>
      <c r="Q558">
        <v>-38.517000000000003</v>
      </c>
      <c r="R558">
        <v>-79.405000000000001</v>
      </c>
      <c r="S558">
        <v>-122.215</v>
      </c>
      <c r="T558">
        <v>-167.21799999999999</v>
      </c>
      <c r="U558" s="24"/>
      <c r="V558" s="1">
        <f>bunkerPlanHeel</f>
        <v>0</v>
      </c>
      <c r="W558" s="382">
        <f>currentSounding3</f>
        <v>4903</v>
      </c>
      <c r="X558" s="186">
        <f>IF((W558+W561)&lt;0,W558,W558+W561)</f>
        <v>4903</v>
      </c>
      <c r="Y558" s="381">
        <f>IF(Y560=Y559,Y559,Interp1(X559:X560,Y559:Y560,X558))</f>
        <v>3.6160000000000001</v>
      </c>
      <c r="Z558" s="918"/>
      <c r="AA558" s="918"/>
      <c r="AB558" s="42"/>
    </row>
    <row r="559" spans="1:28">
      <c r="A559" s="188">
        <v>1150</v>
      </c>
      <c r="B559" s="432">
        <v>363.755</v>
      </c>
      <c r="C559" s="432">
        <v>357.83499999999998</v>
      </c>
      <c r="D559" s="432">
        <v>354.91</v>
      </c>
      <c r="E559" s="432">
        <v>352.00799999999998</v>
      </c>
      <c r="F559" s="432">
        <v>349.13</v>
      </c>
      <c r="G559" s="432">
        <v>346.27499999999998</v>
      </c>
      <c r="H559" s="432">
        <v>340.63499999999999</v>
      </c>
      <c r="I559" s="432">
        <v>335.089</v>
      </c>
      <c r="J559" s="21">
        <v>3940</v>
      </c>
      <c r="K559" s="412">
        <v>2300</v>
      </c>
      <c r="L559">
        <v>134.815</v>
      </c>
      <c r="M559">
        <v>102.91800000000001</v>
      </c>
      <c r="N559">
        <v>70.376999999999995</v>
      </c>
      <c r="O559">
        <v>36.164000000000001</v>
      </c>
      <c r="P559">
        <v>0</v>
      </c>
      <c r="Q559">
        <v>-37.049999999999997</v>
      </c>
      <c r="R559">
        <v>-76.382000000000005</v>
      </c>
      <c r="S559">
        <v>-117.664</v>
      </c>
      <c r="T559">
        <v>-160.91</v>
      </c>
      <c r="U559" s="25"/>
      <c r="V559" s="1">
        <f>FLOOR(W558,inc)</f>
        <v>4900</v>
      </c>
      <c r="W559" s="1">
        <f>Interp2(tank3Heel1,tank3Heel2,tank3Heel3,V559,V558)</f>
        <v>0</v>
      </c>
      <c r="X559" s="1">
        <f>FLOOR(X558,inc)</f>
        <v>4900</v>
      </c>
      <c r="Y559" s="42">
        <f>IF(W564=W563,W563,Interp1(V563:V564,W563:W564,V562))</f>
        <v>3.6640000000000001</v>
      </c>
    </row>
    <row r="560" spans="1:28">
      <c r="A560" s="188">
        <v>1200</v>
      </c>
      <c r="B560" s="432">
        <v>355.108</v>
      </c>
      <c r="C560" s="432">
        <v>349.25799999999998</v>
      </c>
      <c r="D560" s="432">
        <v>346.36799999999999</v>
      </c>
      <c r="E560" s="432">
        <v>343.50200000000001</v>
      </c>
      <c r="F560" s="432">
        <v>340.65899999999999</v>
      </c>
      <c r="G560" s="432">
        <v>337.84</v>
      </c>
      <c r="H560" s="432">
        <v>332.27100000000002</v>
      </c>
      <c r="I560" s="432">
        <v>326.79599999999999</v>
      </c>
      <c r="J560" s="21">
        <v>3890</v>
      </c>
      <c r="K560" s="412">
        <v>2400</v>
      </c>
      <c r="L560">
        <v>129.518</v>
      </c>
      <c r="M560">
        <v>98.855999999999995</v>
      </c>
      <c r="N560">
        <v>67.665999999999997</v>
      </c>
      <c r="O560">
        <v>34.771000000000001</v>
      </c>
      <c r="P560">
        <v>0</v>
      </c>
      <c r="Q560">
        <v>-35.582000000000001</v>
      </c>
      <c r="R560">
        <v>-73.356999999999999</v>
      </c>
      <c r="S560">
        <v>-113.11799999999999</v>
      </c>
      <c r="T560">
        <v>-154.61099999999999</v>
      </c>
      <c r="U560" s="25"/>
      <c r="V560" s="1">
        <f>IF(V559=currentSounding23,V559,CEILING(W558,inc))</f>
        <v>4950</v>
      </c>
      <c r="W560" s="1">
        <f>Interp2(tank3Heel1,tank3Heel2,tank3Heel3,V560,V558)</f>
        <v>0</v>
      </c>
      <c r="X560" s="1">
        <f>CEILING(X558,inc)</f>
        <v>4950</v>
      </c>
      <c r="Y560" s="42">
        <f>IF(X564=X563,X563,Interp1(V563:V564,X563:X564,V562))</f>
        <v>2.8559999999999999</v>
      </c>
    </row>
    <row r="561" spans="1:28">
      <c r="A561" s="188">
        <v>1250</v>
      </c>
      <c r="B561" s="432">
        <v>346.565</v>
      </c>
      <c r="C561" s="432">
        <v>340.786</v>
      </c>
      <c r="D561" s="432">
        <v>337.93099999999998</v>
      </c>
      <c r="E561" s="432">
        <v>335.1</v>
      </c>
      <c r="F561" s="432">
        <v>332.29300000000001</v>
      </c>
      <c r="G561" s="432">
        <v>329.50900000000001</v>
      </c>
      <c r="H561" s="432">
        <v>324.01100000000002</v>
      </c>
      <c r="I561" s="432">
        <v>318.60599999999999</v>
      </c>
      <c r="J561" s="21">
        <v>3840</v>
      </c>
      <c r="K561" s="412">
        <v>2500</v>
      </c>
      <c r="L561">
        <v>124.209</v>
      </c>
      <c r="M561">
        <v>94.891999999999996</v>
      </c>
      <c r="N561">
        <v>64.954999999999998</v>
      </c>
      <c r="O561">
        <v>33.378</v>
      </c>
      <c r="P561">
        <v>0</v>
      </c>
      <c r="Q561">
        <v>-34.115000000000002</v>
      </c>
      <c r="R561">
        <v>-70.332999999999998</v>
      </c>
      <c r="S561">
        <v>-108.583</v>
      </c>
      <c r="T561">
        <v>-148.32400000000001</v>
      </c>
      <c r="U561" s="25"/>
      <c r="W561" s="1">
        <f>IF(W560=W559,W559,Interp1(V559:V560,W559:W560,W558))</f>
        <v>0</v>
      </c>
      <c r="Y561" s="42"/>
    </row>
    <row r="562" spans="1:28">
      <c r="A562" s="188">
        <v>1300</v>
      </c>
      <c r="B562" s="432">
        <v>338.125</v>
      </c>
      <c r="C562" s="432">
        <v>332.41699999999997</v>
      </c>
      <c r="D562" s="432">
        <v>329.59800000000001</v>
      </c>
      <c r="E562" s="432">
        <v>326.80200000000002</v>
      </c>
      <c r="F562" s="432">
        <v>324.02999999999997</v>
      </c>
      <c r="G562" s="432">
        <v>321.28199999999998</v>
      </c>
      <c r="H562" s="432">
        <v>315.85500000000002</v>
      </c>
      <c r="I562" s="432">
        <v>310.52100000000002</v>
      </c>
      <c r="J562" s="21">
        <v>3790</v>
      </c>
      <c r="K562" s="412">
        <v>2600</v>
      </c>
      <c r="L562">
        <v>118.88800000000001</v>
      </c>
      <c r="M562">
        <v>90.927000000000007</v>
      </c>
      <c r="N562">
        <v>62.241999999999997</v>
      </c>
      <c r="O562">
        <v>31.984000000000002</v>
      </c>
      <c r="P562">
        <v>0</v>
      </c>
      <c r="Q562">
        <v>-32.649000000000001</v>
      </c>
      <c r="R562">
        <v>-67.311000000000007</v>
      </c>
      <c r="S562">
        <v>-104.06100000000001</v>
      </c>
      <c r="T562">
        <v>-142.048</v>
      </c>
      <c r="U562" s="25"/>
      <c r="V562" s="1">
        <f>bunkerPlanTrim</f>
        <v>-0.15</v>
      </c>
    </row>
    <row r="563" spans="1:28">
      <c r="A563" s="188">
        <v>1350</v>
      </c>
      <c r="B563" s="432">
        <v>329.78899999999999</v>
      </c>
      <c r="C563" s="432">
        <v>324.15199999999999</v>
      </c>
      <c r="D563" s="432">
        <v>321.36900000000003</v>
      </c>
      <c r="E563" s="432">
        <v>318.60899999999998</v>
      </c>
      <c r="F563" s="432">
        <v>315.87200000000001</v>
      </c>
      <c r="G563" s="432">
        <v>313.15899999999999</v>
      </c>
      <c r="H563" s="432">
        <v>307.80200000000002</v>
      </c>
      <c r="I563" s="432">
        <v>302.53899999999999</v>
      </c>
      <c r="J563" s="21">
        <v>3740</v>
      </c>
      <c r="K563" s="412">
        <v>2700</v>
      </c>
      <c r="L563">
        <v>113.551</v>
      </c>
      <c r="M563">
        <v>86.962999999999994</v>
      </c>
      <c r="N563">
        <v>59.53</v>
      </c>
      <c r="O563">
        <v>30.591000000000001</v>
      </c>
      <c r="P563">
        <v>0</v>
      </c>
      <c r="Q563">
        <v>-31.183</v>
      </c>
      <c r="R563">
        <v>-64.290000000000006</v>
      </c>
      <c r="S563">
        <v>-99.533000000000001</v>
      </c>
      <c r="T563">
        <v>-135.78800000000001</v>
      </c>
      <c r="U563" s="24"/>
      <c r="V563" s="1">
        <f>INDEX(tank3Trim2,0,MATCH(V562,tank3Trim2,1))</f>
        <v>-1</v>
      </c>
      <c r="W563" s="1">
        <f>Interp2(tank3Trim1,tank3Trim2,tank3Trim3,X559,V563)</f>
        <v>4.2030000000000003</v>
      </c>
      <c r="X563" s="1">
        <f>Interp2(tank3Trim1,tank3Trim2,tank3Trim3,X560,V563)</f>
        <v>3.335</v>
      </c>
    </row>
    <row r="564" spans="1:28">
      <c r="A564" s="188">
        <v>1400</v>
      </c>
      <c r="B564" s="432">
        <v>321.55799999999999</v>
      </c>
      <c r="C564" s="432">
        <v>315.99200000000002</v>
      </c>
      <c r="D564" s="432">
        <v>313.24400000000003</v>
      </c>
      <c r="E564" s="432">
        <v>310.51900000000001</v>
      </c>
      <c r="F564" s="432">
        <v>307.81700000000001</v>
      </c>
      <c r="G564" s="432">
        <v>305.13900000000001</v>
      </c>
      <c r="H564" s="432">
        <v>299.85399999999998</v>
      </c>
      <c r="I564" s="432">
        <v>294.66199999999998</v>
      </c>
      <c r="J564" s="21">
        <v>3690</v>
      </c>
      <c r="K564" s="412">
        <v>2800</v>
      </c>
      <c r="L564">
        <v>108.194</v>
      </c>
      <c r="M564">
        <v>82.995999999999995</v>
      </c>
      <c r="N564">
        <v>56.814999999999998</v>
      </c>
      <c r="O564">
        <v>29.196999999999999</v>
      </c>
      <c r="P564">
        <v>0</v>
      </c>
      <c r="Q564">
        <v>-29.718</v>
      </c>
      <c r="R564">
        <v>-61.271000000000001</v>
      </c>
      <c r="S564">
        <v>-94.86</v>
      </c>
      <c r="T564">
        <v>-129.54499999999999</v>
      </c>
      <c r="U564" s="25"/>
      <c r="V564" s="1">
        <f>IF(V563=V562,V562,INDEX(tank3Trim2,0,MATCH(V562,tank3Trim2,1)+1))</f>
        <v>0</v>
      </c>
      <c r="W564" s="1">
        <f>Interp2(tank3Trim1,tank3Trim2,tank3Trim3,X559,V564)</f>
        <v>3.569</v>
      </c>
      <c r="X564" s="1">
        <f>Interp2(tank3Trim1,tank3Trim2,tank3Trim3,X560,V564)</f>
        <v>2.7709999999999999</v>
      </c>
    </row>
    <row r="565" spans="1:28">
      <c r="A565" s="188">
        <v>1450</v>
      </c>
      <c r="B565" s="432">
        <v>313.43099999999998</v>
      </c>
      <c r="C565" s="432">
        <v>307.935</v>
      </c>
      <c r="D565" s="432">
        <v>305.22300000000001</v>
      </c>
      <c r="E565" s="432">
        <v>302.53300000000002</v>
      </c>
      <c r="F565" s="432">
        <v>299.86799999999999</v>
      </c>
      <c r="G565" s="432">
        <v>297.22500000000002</v>
      </c>
      <c r="H565" s="432">
        <v>292.01</v>
      </c>
      <c r="I565" s="432">
        <v>286.88900000000001</v>
      </c>
      <c r="J565" s="21">
        <v>3640</v>
      </c>
      <c r="K565" s="412">
        <v>2900</v>
      </c>
      <c r="L565">
        <v>102.819</v>
      </c>
      <c r="M565">
        <v>79.028000000000006</v>
      </c>
      <c r="N565">
        <v>54.098999999999997</v>
      </c>
      <c r="O565">
        <v>27.802</v>
      </c>
      <c r="P565">
        <v>0</v>
      </c>
      <c r="Q565">
        <v>-28.253</v>
      </c>
      <c r="R565">
        <v>-58.25</v>
      </c>
      <c r="S565">
        <v>-90.186000000000007</v>
      </c>
      <c r="T565">
        <v>-123.31699999999999</v>
      </c>
      <c r="U565" s="24"/>
    </row>
    <row r="566" spans="1:28">
      <c r="A566" s="188">
        <v>1500</v>
      </c>
      <c r="B566" s="432">
        <v>305.40699999999998</v>
      </c>
      <c r="C566" s="432">
        <v>299.98200000000003</v>
      </c>
      <c r="D566" s="432">
        <v>297.30500000000001</v>
      </c>
      <c r="E566" s="432">
        <v>294.65100000000001</v>
      </c>
      <c r="F566" s="432">
        <v>292.02100000000002</v>
      </c>
      <c r="G566" s="432">
        <v>289.41399999999999</v>
      </c>
      <c r="H566" s="432">
        <v>284.27</v>
      </c>
      <c r="I566" s="432">
        <v>279.21899999999999</v>
      </c>
      <c r="J566" s="21">
        <v>3590</v>
      </c>
      <c r="K566" s="412">
        <v>3000</v>
      </c>
      <c r="L566">
        <v>97.539000000000001</v>
      </c>
      <c r="M566">
        <v>75.058000000000007</v>
      </c>
      <c r="N566">
        <v>51.384</v>
      </c>
      <c r="O566">
        <v>26.407</v>
      </c>
      <c r="P566">
        <v>0</v>
      </c>
      <c r="Q566">
        <v>-26.788</v>
      </c>
      <c r="R566">
        <v>-55.231999999999999</v>
      </c>
      <c r="S566">
        <v>-85.515000000000001</v>
      </c>
      <c r="T566">
        <v>-117.107</v>
      </c>
      <c r="U566" s="26"/>
      <c r="V566" s="914"/>
      <c r="W566" s="914"/>
      <c r="X566" s="38"/>
    </row>
    <row r="567" spans="1:28">
      <c r="A567" s="188">
        <v>1550</v>
      </c>
      <c r="B567" s="432">
        <v>297.488</v>
      </c>
      <c r="C567" s="432">
        <v>292.13400000000001</v>
      </c>
      <c r="D567" s="432">
        <v>289.49200000000002</v>
      </c>
      <c r="E567" s="432">
        <v>286.87400000000002</v>
      </c>
      <c r="F567" s="432">
        <v>284.279</v>
      </c>
      <c r="G567" s="432">
        <v>281.70699999999999</v>
      </c>
      <c r="H567" s="432">
        <v>276.63400000000001</v>
      </c>
      <c r="I567" s="432">
        <v>271.654</v>
      </c>
      <c r="J567" s="21">
        <v>3540</v>
      </c>
      <c r="K567" s="412">
        <v>3100</v>
      </c>
      <c r="L567">
        <v>92.375</v>
      </c>
      <c r="M567">
        <v>71.087000000000003</v>
      </c>
      <c r="N567">
        <v>48.665999999999997</v>
      </c>
      <c r="O567">
        <v>25.012</v>
      </c>
      <c r="P567">
        <v>0</v>
      </c>
      <c r="Q567">
        <v>-25.324000000000002</v>
      </c>
      <c r="R567">
        <v>-52.215000000000003</v>
      </c>
      <c r="S567">
        <v>-80.846999999999994</v>
      </c>
      <c r="T567">
        <v>-110.92100000000001</v>
      </c>
      <c r="U567" s="24"/>
      <c r="V567" s="916"/>
      <c r="W567" s="916"/>
      <c r="X567" s="39"/>
      <c r="Z567" s="916"/>
      <c r="AA567" s="916"/>
      <c r="AB567" s="40"/>
    </row>
    <row r="568" spans="1:28">
      <c r="A568" s="188">
        <v>1600</v>
      </c>
      <c r="B568" s="432">
        <v>289.673</v>
      </c>
      <c r="C568" s="432">
        <v>284.38900000000001</v>
      </c>
      <c r="D568" s="432">
        <v>281.78300000000002</v>
      </c>
      <c r="E568" s="432">
        <v>279.2</v>
      </c>
      <c r="F568" s="432">
        <v>276.64</v>
      </c>
      <c r="G568" s="432">
        <v>274.10399999999998</v>
      </c>
      <c r="H568" s="432">
        <v>269.10199999999998</v>
      </c>
      <c r="I568" s="432">
        <v>264.19299999999998</v>
      </c>
      <c r="J568" s="21">
        <v>3490</v>
      </c>
      <c r="K568" s="412">
        <v>3200</v>
      </c>
      <c r="L568">
        <v>87.21</v>
      </c>
      <c r="M568">
        <v>67.114999999999995</v>
      </c>
      <c r="N568">
        <v>45.948999999999998</v>
      </c>
      <c r="O568">
        <v>23.616</v>
      </c>
      <c r="P568">
        <v>0</v>
      </c>
      <c r="Q568">
        <v>-23.861000000000001</v>
      </c>
      <c r="R568">
        <v>-49.2</v>
      </c>
      <c r="S568">
        <v>-76.180999999999997</v>
      </c>
      <c r="T568">
        <v>-104.76</v>
      </c>
      <c r="U568" s="24"/>
      <c r="W568" s="41"/>
      <c r="AA568" s="30"/>
    </row>
    <row r="569" spans="1:28">
      <c r="A569" s="188">
        <v>1650</v>
      </c>
      <c r="B569" s="432">
        <v>281.96100000000001</v>
      </c>
      <c r="C569" s="432">
        <v>276.74900000000002</v>
      </c>
      <c r="D569" s="432">
        <v>274.178</v>
      </c>
      <c r="E569" s="432">
        <v>271.63</v>
      </c>
      <c r="F569" s="432">
        <v>269.10599999999999</v>
      </c>
      <c r="G569" s="432">
        <v>266.60500000000002</v>
      </c>
      <c r="H569" s="432">
        <v>261.67399999999998</v>
      </c>
      <c r="I569" s="432">
        <v>256.83600000000001</v>
      </c>
      <c r="J569" s="21">
        <v>3440</v>
      </c>
      <c r="K569" s="412">
        <v>3300</v>
      </c>
      <c r="L569">
        <v>82.040999999999997</v>
      </c>
      <c r="M569">
        <v>63.137999999999998</v>
      </c>
      <c r="N569">
        <v>43.228999999999999</v>
      </c>
      <c r="O569">
        <v>22.219000000000001</v>
      </c>
      <c r="P569">
        <v>0</v>
      </c>
      <c r="Q569">
        <v>-22.398</v>
      </c>
      <c r="R569">
        <v>-46.186999999999998</v>
      </c>
      <c r="S569">
        <v>-71.52</v>
      </c>
      <c r="T569">
        <v>-98.561000000000007</v>
      </c>
      <c r="U569" s="25"/>
      <c r="W569" s="30"/>
      <c r="AA569" s="30"/>
    </row>
    <row r="570" spans="1:28">
      <c r="A570" s="188">
        <v>1700</v>
      </c>
      <c r="B570" s="432">
        <v>274.35399999999998</v>
      </c>
      <c r="C570" s="432">
        <v>269.21199999999999</v>
      </c>
      <c r="D570" s="432">
        <v>266.67700000000002</v>
      </c>
      <c r="E570" s="432">
        <v>264.16399999999999</v>
      </c>
      <c r="F570" s="432">
        <v>261.67599999999999</v>
      </c>
      <c r="G570" s="432">
        <v>259.20999999999998</v>
      </c>
      <c r="H570" s="432">
        <v>254.34899999999999</v>
      </c>
      <c r="I570" s="432">
        <v>249.58199999999999</v>
      </c>
      <c r="J570" s="21">
        <v>3390</v>
      </c>
      <c r="K570" s="412">
        <v>3400</v>
      </c>
      <c r="L570">
        <v>76.867999999999995</v>
      </c>
      <c r="M570">
        <v>59.16</v>
      </c>
      <c r="N570">
        <v>40.506999999999998</v>
      </c>
      <c r="O570">
        <v>20.821000000000002</v>
      </c>
      <c r="P570">
        <v>0</v>
      </c>
      <c r="Q570">
        <v>-20.936</v>
      </c>
      <c r="R570">
        <v>-43.173999999999999</v>
      </c>
      <c r="S570">
        <v>-66.858999999999995</v>
      </c>
      <c r="T570">
        <v>-92.141999999999996</v>
      </c>
      <c r="U570" s="28"/>
      <c r="W570" s="30"/>
      <c r="X570" s="42"/>
      <c r="AA570" s="30"/>
      <c r="AB570" s="42"/>
    </row>
    <row r="571" spans="1:28">
      <c r="A571" s="188">
        <v>1750</v>
      </c>
      <c r="B571" s="432">
        <v>266.851</v>
      </c>
      <c r="C571" s="432">
        <v>261.77999999999997</v>
      </c>
      <c r="D571" s="432">
        <v>259.27999999999997</v>
      </c>
      <c r="E571" s="432">
        <v>256.803</v>
      </c>
      <c r="F571" s="432">
        <v>254.35</v>
      </c>
      <c r="G571" s="432">
        <v>251.92</v>
      </c>
      <c r="H571" s="432">
        <v>247.13</v>
      </c>
      <c r="I571" s="432">
        <v>242.43299999999999</v>
      </c>
      <c r="J571" s="21">
        <v>3340</v>
      </c>
      <c r="K571" s="412">
        <v>3500</v>
      </c>
      <c r="L571">
        <v>71.691000000000003</v>
      </c>
      <c r="M571">
        <v>55.182000000000002</v>
      </c>
      <c r="N571">
        <v>37.783999999999999</v>
      </c>
      <c r="O571">
        <v>19.422999999999998</v>
      </c>
      <c r="P571">
        <v>0</v>
      </c>
      <c r="Q571">
        <v>-19.475999999999999</v>
      </c>
      <c r="R571">
        <v>-40.164000000000001</v>
      </c>
      <c r="S571">
        <v>-62.2</v>
      </c>
      <c r="T571">
        <v>-85.73</v>
      </c>
      <c r="W571" s="30"/>
      <c r="X571" s="42"/>
      <c r="AA571" s="30"/>
      <c r="AB571" s="42"/>
    </row>
    <row r="572" spans="1:28">
      <c r="A572" s="188">
        <v>1800</v>
      </c>
      <c r="B572" s="432">
        <v>259.452</v>
      </c>
      <c r="C572" s="432">
        <v>254.452</v>
      </c>
      <c r="D572" s="432">
        <v>251.98699999999999</v>
      </c>
      <c r="E572" s="432">
        <v>249.54599999999999</v>
      </c>
      <c r="F572" s="432">
        <v>247.12799999999999</v>
      </c>
      <c r="G572" s="432">
        <v>244.733</v>
      </c>
      <c r="H572" s="432">
        <v>240.01400000000001</v>
      </c>
      <c r="I572" s="432">
        <v>235.38800000000001</v>
      </c>
      <c r="J572" s="21">
        <v>3290</v>
      </c>
      <c r="K572" s="412">
        <v>3600</v>
      </c>
      <c r="L572">
        <v>66.507999999999996</v>
      </c>
      <c r="M572">
        <v>51.197000000000003</v>
      </c>
      <c r="N572">
        <v>35.058</v>
      </c>
      <c r="O572">
        <v>18.023</v>
      </c>
      <c r="P572">
        <v>0</v>
      </c>
      <c r="Q572">
        <v>-18.015999999999998</v>
      </c>
      <c r="R572">
        <v>-37.156999999999996</v>
      </c>
      <c r="S572">
        <v>-57.548000000000002</v>
      </c>
      <c r="T572">
        <v>-79.325000000000003</v>
      </c>
      <c r="W572" s="30"/>
      <c r="X572" s="42"/>
      <c r="AA572" s="30"/>
      <c r="AB572" s="42"/>
    </row>
    <row r="573" spans="1:28">
      <c r="A573" s="188">
        <v>1850</v>
      </c>
      <c r="B573" s="432">
        <v>252.15700000000001</v>
      </c>
      <c r="C573" s="432">
        <v>247.22800000000001</v>
      </c>
      <c r="D573" s="432">
        <v>244.798</v>
      </c>
      <c r="E573" s="432">
        <v>242.392</v>
      </c>
      <c r="F573" s="432">
        <v>240.01</v>
      </c>
      <c r="G573" s="432">
        <v>237.65100000000001</v>
      </c>
      <c r="H573" s="432">
        <v>233.00200000000001</v>
      </c>
      <c r="I573" s="432">
        <v>228.44800000000001</v>
      </c>
      <c r="J573" s="21">
        <v>3240</v>
      </c>
      <c r="K573" s="412">
        <v>3700</v>
      </c>
      <c r="L573">
        <v>61.542000000000002</v>
      </c>
      <c r="M573">
        <v>47.377000000000002</v>
      </c>
      <c r="N573">
        <v>32.445999999999998</v>
      </c>
      <c r="O573">
        <v>16.683</v>
      </c>
      <c r="P573">
        <v>0</v>
      </c>
      <c r="Q573">
        <v>-16.558</v>
      </c>
      <c r="R573">
        <v>-34.152999999999999</v>
      </c>
      <c r="S573">
        <v>-52.901000000000003</v>
      </c>
      <c r="T573">
        <v>-72.924999999999997</v>
      </c>
      <c r="W573" s="30"/>
      <c r="AA573" s="30"/>
    </row>
    <row r="574" spans="1:28">
      <c r="A574" s="188">
        <v>1900</v>
      </c>
      <c r="B574" s="432">
        <v>244.96600000000001</v>
      </c>
      <c r="C574" s="432">
        <v>240.107</v>
      </c>
      <c r="D574" s="432">
        <v>237.71299999999999</v>
      </c>
      <c r="E574" s="432">
        <v>235.34299999999999</v>
      </c>
      <c r="F574" s="432">
        <v>232.995</v>
      </c>
      <c r="G574" s="432">
        <v>230.672</v>
      </c>
      <c r="H574" s="432">
        <v>226.09399999999999</v>
      </c>
      <c r="I574" s="432">
        <v>221.61</v>
      </c>
      <c r="J574" s="21">
        <v>3190</v>
      </c>
      <c r="K574" s="412">
        <v>3800</v>
      </c>
      <c r="L574">
        <v>57.27</v>
      </c>
      <c r="M574">
        <v>44.091999999999999</v>
      </c>
      <c r="N574">
        <v>30.201000000000001</v>
      </c>
      <c r="O574">
        <v>15.529</v>
      </c>
      <c r="P574">
        <v>0</v>
      </c>
      <c r="Q574">
        <v>-15.237</v>
      </c>
      <c r="R574">
        <v>-31.433</v>
      </c>
      <c r="S574">
        <v>-48.69</v>
      </c>
      <c r="T574">
        <v>-67.129000000000005</v>
      </c>
      <c r="W574" s="43"/>
      <c r="X574" s="42"/>
      <c r="AA574" s="30"/>
      <c r="AB574" s="42"/>
    </row>
    <row r="575" spans="1:28">
      <c r="A575" s="188">
        <v>1950</v>
      </c>
      <c r="B575" s="432">
        <v>237.87799999999999</v>
      </c>
      <c r="C575" s="432">
        <v>233.09100000000001</v>
      </c>
      <c r="D575" s="432">
        <v>230.733</v>
      </c>
      <c r="E575" s="432">
        <v>228.39699999999999</v>
      </c>
      <c r="F575" s="432">
        <v>226.08600000000001</v>
      </c>
      <c r="G575" s="432">
        <v>223.797</v>
      </c>
      <c r="H575" s="432">
        <v>219.291</v>
      </c>
      <c r="I575" s="432">
        <v>214.87799999999999</v>
      </c>
      <c r="J575" s="21">
        <v>3140</v>
      </c>
      <c r="K575" s="412">
        <v>3900</v>
      </c>
      <c r="L575">
        <v>53.238999999999997</v>
      </c>
      <c r="M575">
        <v>40.993000000000002</v>
      </c>
      <c r="N575">
        <v>28.077999999999999</v>
      </c>
      <c r="O575">
        <v>14.438000000000001</v>
      </c>
      <c r="P575">
        <v>0</v>
      </c>
      <c r="Q575">
        <v>-14.271000000000001</v>
      </c>
      <c r="R575">
        <v>-29.446999999999999</v>
      </c>
      <c r="S575">
        <v>-45.616</v>
      </c>
      <c r="T575">
        <v>-62.890999999999998</v>
      </c>
      <c r="W575" s="43"/>
      <c r="X575" s="42"/>
      <c r="AA575" s="30"/>
      <c r="AB575" s="42"/>
    </row>
    <row r="576" spans="1:28">
      <c r="A576" s="188">
        <v>2000</v>
      </c>
      <c r="B576" s="432">
        <v>230.89500000000001</v>
      </c>
      <c r="C576" s="432">
        <v>226.179</v>
      </c>
      <c r="D576" s="432">
        <v>223.85599999999999</v>
      </c>
      <c r="E576" s="432">
        <v>221.55600000000001</v>
      </c>
      <c r="F576" s="432">
        <v>219.279</v>
      </c>
      <c r="G576" s="432">
        <v>217.02699999999999</v>
      </c>
      <c r="H576" s="432">
        <v>212.59100000000001</v>
      </c>
      <c r="I576" s="432">
        <v>208.249</v>
      </c>
      <c r="J576" s="21">
        <v>3090</v>
      </c>
      <c r="K576" s="412">
        <v>4000</v>
      </c>
      <c r="L576">
        <v>49.207999999999998</v>
      </c>
      <c r="M576">
        <v>37.89</v>
      </c>
      <c r="N576">
        <v>25.956</v>
      </c>
      <c r="O576">
        <v>13.347</v>
      </c>
      <c r="P576">
        <v>0</v>
      </c>
      <c r="Q576">
        <v>-13.124000000000001</v>
      </c>
      <c r="R576">
        <v>-27.077999999999999</v>
      </c>
      <c r="S576">
        <v>-41.948999999999998</v>
      </c>
      <c r="T576">
        <v>-57.837000000000003</v>
      </c>
    </row>
    <row r="577" spans="1:28">
      <c r="A577" s="188">
        <v>2050</v>
      </c>
      <c r="B577" s="432">
        <v>224.017</v>
      </c>
      <c r="C577" s="432">
        <v>219.37100000000001</v>
      </c>
      <c r="D577" s="432">
        <v>217.083</v>
      </c>
      <c r="E577" s="432">
        <v>214.81899999999999</v>
      </c>
      <c r="F577" s="432">
        <v>212.578</v>
      </c>
      <c r="G577" s="432">
        <v>210.36</v>
      </c>
      <c r="H577" s="432">
        <v>205.995</v>
      </c>
      <c r="I577" s="432">
        <v>201.72399999999999</v>
      </c>
      <c r="J577" s="21">
        <v>3040</v>
      </c>
      <c r="K577" s="412">
        <v>4100</v>
      </c>
      <c r="L577" s="1">
        <v>45.173000000000002</v>
      </c>
      <c r="M577" s="1">
        <v>34.784999999999997</v>
      </c>
      <c r="N577" s="1">
        <v>23.827999999999999</v>
      </c>
      <c r="O577" s="1">
        <v>12.254</v>
      </c>
      <c r="P577" s="1">
        <v>0</v>
      </c>
      <c r="Q577" s="1">
        <v>-11.977</v>
      </c>
      <c r="R577" s="1">
        <v>-24.712</v>
      </c>
      <c r="S577" s="1">
        <v>-38.286999999999999</v>
      </c>
      <c r="T577" s="1">
        <v>-52.792000000000002</v>
      </c>
    </row>
    <row r="578" spans="1:28">
      <c r="A578" s="188">
        <v>2100</v>
      </c>
      <c r="B578" s="432">
        <v>217.24100000000001</v>
      </c>
      <c r="C578" s="432">
        <v>212.666</v>
      </c>
      <c r="D578" s="432">
        <v>210.41399999999999</v>
      </c>
      <c r="E578" s="432">
        <v>208.185</v>
      </c>
      <c r="F578" s="432">
        <v>205.98</v>
      </c>
      <c r="G578" s="432">
        <v>203.797</v>
      </c>
      <c r="H578" s="432">
        <v>199.50299999999999</v>
      </c>
      <c r="I578" s="432">
        <v>195.303</v>
      </c>
      <c r="J578" s="21">
        <v>2990</v>
      </c>
      <c r="K578" s="412">
        <v>4200</v>
      </c>
      <c r="L578" s="1">
        <v>41.137</v>
      </c>
      <c r="M578" s="1">
        <v>31.678000000000001</v>
      </c>
      <c r="N578" s="1">
        <v>21.702999999999999</v>
      </c>
      <c r="O578" s="1">
        <v>11.162000000000001</v>
      </c>
      <c r="P578" s="1">
        <v>0</v>
      </c>
      <c r="Q578" s="1">
        <v>-10.831</v>
      </c>
      <c r="R578" s="1">
        <v>-22.347000000000001</v>
      </c>
      <c r="S578" s="1">
        <v>-34.625999999999998</v>
      </c>
      <c r="T578" s="1">
        <v>-47.747999999999998</v>
      </c>
      <c r="V578" s="918"/>
      <c r="W578" s="918"/>
      <c r="X578" s="42"/>
      <c r="Z578" s="918"/>
      <c r="AA578" s="918"/>
      <c r="AB578" s="42"/>
    </row>
    <row r="579" spans="1:28">
      <c r="A579" s="188">
        <v>2150</v>
      </c>
      <c r="B579" s="432">
        <v>210.57</v>
      </c>
      <c r="C579" s="432">
        <v>206.06700000000001</v>
      </c>
      <c r="D579" s="432">
        <v>203.85</v>
      </c>
      <c r="E579" s="432">
        <v>201.65600000000001</v>
      </c>
      <c r="F579" s="432">
        <v>199.48599999999999</v>
      </c>
      <c r="G579" s="432">
        <v>197.339</v>
      </c>
      <c r="H579" s="432">
        <v>193.11600000000001</v>
      </c>
      <c r="I579" s="432">
        <v>188.98599999999999</v>
      </c>
      <c r="J579" s="21">
        <v>2940</v>
      </c>
      <c r="K579" s="412">
        <v>4300</v>
      </c>
      <c r="L579" s="1">
        <v>37.097999999999999</v>
      </c>
      <c r="M579" s="1">
        <v>28.568999999999999</v>
      </c>
      <c r="N579" s="1">
        <v>19.574000000000002</v>
      </c>
      <c r="O579" s="1">
        <v>10.067</v>
      </c>
      <c r="P579" s="1">
        <v>0</v>
      </c>
      <c r="Q579" s="1">
        <v>-9.6859999999999999</v>
      </c>
      <c r="R579" s="1">
        <v>-19.988</v>
      </c>
      <c r="S579" s="1">
        <v>-30.971</v>
      </c>
      <c r="T579" s="21">
        <v>-42.707999999999998</v>
      </c>
    </row>
    <row r="580" spans="1:28">
      <c r="A580" s="188">
        <v>2200</v>
      </c>
      <c r="B580" s="432">
        <v>204.00399999999999</v>
      </c>
      <c r="C580" s="432">
        <v>199.57</v>
      </c>
      <c r="D580" s="432">
        <v>197.38900000000001</v>
      </c>
      <c r="E580" s="432">
        <v>195.23099999999999</v>
      </c>
      <c r="F580" s="432">
        <v>193.096</v>
      </c>
      <c r="G580" s="432">
        <v>190.98400000000001</v>
      </c>
      <c r="H580" s="432">
        <v>186.83199999999999</v>
      </c>
      <c r="I580" s="432">
        <v>182.773</v>
      </c>
      <c r="J580" s="21">
        <v>2890</v>
      </c>
      <c r="K580" s="412">
        <v>4400</v>
      </c>
      <c r="L580" s="1">
        <v>33.054000000000002</v>
      </c>
      <c r="M580" s="1">
        <v>25.46</v>
      </c>
      <c r="N580" s="1">
        <v>17.445</v>
      </c>
      <c r="O580" s="1">
        <v>8.9740000000000002</v>
      </c>
      <c r="P580" s="1">
        <v>0</v>
      </c>
      <c r="Q580" s="1">
        <v>-8.5440000000000005</v>
      </c>
      <c r="R580" s="1">
        <v>-17.631</v>
      </c>
      <c r="S580" s="1">
        <v>-27.32</v>
      </c>
      <c r="T580" s="1">
        <v>-37.682000000000002</v>
      </c>
    </row>
    <row r="581" spans="1:28">
      <c r="A581" s="188">
        <v>2250</v>
      </c>
      <c r="B581" s="432">
        <v>197.541</v>
      </c>
      <c r="C581" s="432">
        <v>193.178</v>
      </c>
      <c r="D581" s="432">
        <v>191.03200000000001</v>
      </c>
      <c r="E581" s="432">
        <v>188.91</v>
      </c>
      <c r="F581" s="432">
        <v>186.81</v>
      </c>
      <c r="G581" s="432">
        <v>184.73400000000001</v>
      </c>
      <c r="H581" s="432">
        <v>180.65299999999999</v>
      </c>
      <c r="I581" s="432">
        <v>176.66499999999999</v>
      </c>
      <c r="J581" s="21">
        <v>2840</v>
      </c>
      <c r="K581" s="412">
        <v>4500</v>
      </c>
      <c r="L581" s="1">
        <v>29.004000000000001</v>
      </c>
      <c r="M581" s="1">
        <v>22.341999999999999</v>
      </c>
      <c r="N581" s="1">
        <v>15.311</v>
      </c>
      <c r="O581" s="1">
        <v>7.8760000000000003</v>
      </c>
      <c r="P581" s="1">
        <v>0</v>
      </c>
      <c r="Q581" s="1">
        <v>-7.4029999999999996</v>
      </c>
      <c r="R581" s="1">
        <v>-15.28</v>
      </c>
      <c r="S581" s="1">
        <v>-23.681999999999999</v>
      </c>
      <c r="T581" s="1">
        <v>-32.664999999999999</v>
      </c>
    </row>
    <row r="582" spans="1:28">
      <c r="A582" s="188">
        <v>2300</v>
      </c>
      <c r="B582" s="432">
        <v>191.18199999999999</v>
      </c>
      <c r="C582" s="432">
        <v>186.89099999999999</v>
      </c>
      <c r="D582" s="432">
        <v>184.78</v>
      </c>
      <c r="E582" s="432">
        <v>182.69200000000001</v>
      </c>
      <c r="F582" s="432">
        <v>180.62899999999999</v>
      </c>
      <c r="G582" s="432">
        <v>178.58799999999999</v>
      </c>
      <c r="H582" s="432">
        <v>174.577</v>
      </c>
      <c r="I582" s="432">
        <v>170.66</v>
      </c>
      <c r="J582" s="21">
        <v>2790</v>
      </c>
      <c r="K582" s="412">
        <v>4600</v>
      </c>
      <c r="L582" s="1">
        <v>24.943999999999999</v>
      </c>
      <c r="M582" s="1">
        <v>19.219000000000001</v>
      </c>
      <c r="N582" s="1">
        <v>13.173</v>
      </c>
      <c r="O582" s="1">
        <v>6.7759999999999998</v>
      </c>
      <c r="P582" s="1">
        <v>0</v>
      </c>
      <c r="Q582" s="1">
        <v>-6.2649999999999997</v>
      </c>
      <c r="R582" s="1">
        <v>-12.935</v>
      </c>
      <c r="S582" s="1">
        <v>-20.050999999999998</v>
      </c>
      <c r="T582" s="1">
        <v>-27.663</v>
      </c>
    </row>
    <row r="583" spans="1:28">
      <c r="A583" s="188">
        <v>2350</v>
      </c>
      <c r="B583" s="432">
        <v>184.928</v>
      </c>
      <c r="C583" s="432">
        <v>180.70699999999999</v>
      </c>
      <c r="D583" s="432">
        <v>178.631</v>
      </c>
      <c r="E583" s="432">
        <v>176.58</v>
      </c>
      <c r="F583" s="432">
        <v>174.55099999999999</v>
      </c>
      <c r="G583" s="432">
        <v>172.54599999999999</v>
      </c>
      <c r="H583" s="432">
        <v>168.60599999999999</v>
      </c>
      <c r="I583" s="432">
        <v>164.75899999999999</v>
      </c>
      <c r="J583" s="21">
        <v>2740</v>
      </c>
      <c r="K583" s="412">
        <v>4700</v>
      </c>
      <c r="L583" s="1">
        <v>20.872</v>
      </c>
      <c r="M583" s="1">
        <v>16.084</v>
      </c>
      <c r="N583" s="1">
        <v>11.026999999999999</v>
      </c>
      <c r="O583" s="1">
        <v>5.6769999999999996</v>
      </c>
      <c r="P583" s="1">
        <v>0</v>
      </c>
      <c r="Q583" s="1">
        <v>-5.1319999999999997</v>
      </c>
      <c r="R583" s="1">
        <v>-10.602</v>
      </c>
      <c r="S583" s="1">
        <v>-16.437000000000001</v>
      </c>
      <c r="T583" s="1">
        <v>-22.681999999999999</v>
      </c>
    </row>
    <row r="584" spans="1:28">
      <c r="A584" s="188">
        <v>2400</v>
      </c>
      <c r="B584" s="432">
        <v>178.77699999999999</v>
      </c>
      <c r="C584" s="432">
        <v>174.62700000000001</v>
      </c>
      <c r="D584" s="432">
        <v>172.58699999999999</v>
      </c>
      <c r="E584" s="432">
        <v>170.57</v>
      </c>
      <c r="F584" s="432">
        <v>168.577</v>
      </c>
      <c r="G584" s="432">
        <v>166.607</v>
      </c>
      <c r="H584" s="432">
        <v>162.738</v>
      </c>
      <c r="I584" s="432">
        <v>158.96299999999999</v>
      </c>
      <c r="J584" s="21">
        <v>2690</v>
      </c>
      <c r="K584" s="412">
        <v>4800</v>
      </c>
      <c r="L584" s="1">
        <v>16.776</v>
      </c>
      <c r="M584" s="1">
        <v>12.935</v>
      </c>
      <c r="N584" s="1">
        <v>8.8729999999999993</v>
      </c>
      <c r="O584" s="1">
        <v>4.569</v>
      </c>
      <c r="P584" s="1">
        <v>0</v>
      </c>
      <c r="Q584" s="1">
        <v>-4.0069999999999997</v>
      </c>
      <c r="R584" s="1">
        <v>-8.2799999999999994</v>
      </c>
      <c r="S584" s="1">
        <v>-12.845000000000001</v>
      </c>
      <c r="T584" s="1">
        <v>-17.734999999999999</v>
      </c>
    </row>
    <row r="585" spans="1:28">
      <c r="A585" s="188">
        <v>2450</v>
      </c>
      <c r="B585" s="432">
        <v>172.73</v>
      </c>
      <c r="C585" s="432">
        <v>168.65100000000001</v>
      </c>
      <c r="D585" s="432">
        <v>166.64599999999999</v>
      </c>
      <c r="E585" s="432">
        <v>164.66499999999999</v>
      </c>
      <c r="F585" s="432">
        <v>162.70699999999999</v>
      </c>
      <c r="G585" s="432">
        <v>160.773</v>
      </c>
      <c r="H585" s="432">
        <v>156.97499999999999</v>
      </c>
      <c r="I585" s="432">
        <v>153.27000000000001</v>
      </c>
      <c r="J585" s="21">
        <v>2640</v>
      </c>
      <c r="K585" s="412">
        <v>4900</v>
      </c>
      <c r="L585" s="1">
        <v>12.638</v>
      </c>
      <c r="M585" s="1">
        <v>9.7530000000000001</v>
      </c>
      <c r="N585" s="1">
        <v>6.6980000000000004</v>
      </c>
      <c r="O585" s="1">
        <v>3.4510000000000001</v>
      </c>
      <c r="P585" s="1">
        <v>0</v>
      </c>
      <c r="Q585" s="1">
        <v>-2.8959999999999999</v>
      </c>
      <c r="R585" s="1">
        <v>-5.9870000000000001</v>
      </c>
      <c r="S585" s="1">
        <v>-9.2959999999999994</v>
      </c>
      <c r="T585" s="1">
        <v>-12.846</v>
      </c>
    </row>
    <row r="586" spans="1:28">
      <c r="A586" s="188">
        <v>2500</v>
      </c>
      <c r="B586" s="432">
        <v>166.78700000000001</v>
      </c>
      <c r="C586" s="432">
        <v>162.779</v>
      </c>
      <c r="D586" s="432">
        <v>160.81</v>
      </c>
      <c r="E586" s="432">
        <v>158.864</v>
      </c>
      <c r="F586" s="432">
        <v>156.94200000000001</v>
      </c>
      <c r="G586" s="432">
        <v>155.04300000000001</v>
      </c>
      <c r="H586" s="432">
        <v>151.315</v>
      </c>
      <c r="I586" s="42">
        <v>147.68100000000001</v>
      </c>
      <c r="J586" s="21">
        <v>2590</v>
      </c>
      <c r="K586" s="412">
        <v>5000</v>
      </c>
      <c r="L586" s="1">
        <v>8.2639999999999993</v>
      </c>
      <c r="M586" s="1">
        <v>6.391</v>
      </c>
      <c r="N586" s="1">
        <v>4.3959999999999999</v>
      </c>
      <c r="O586" s="1">
        <v>2.27</v>
      </c>
      <c r="P586" s="1">
        <v>0</v>
      </c>
      <c r="Q586" s="1">
        <v>-1.8049999999999999</v>
      </c>
      <c r="R586" s="1">
        <v>-3.7410000000000001</v>
      </c>
      <c r="S586" s="1">
        <v>-5.819</v>
      </c>
      <c r="T586" s="1">
        <v>-8.0579999999999998</v>
      </c>
    </row>
    <row r="587" spans="1:28">
      <c r="A587" s="188">
        <v>2550</v>
      </c>
      <c r="B587" s="432">
        <v>160.94900000000001</v>
      </c>
      <c r="C587" s="432">
        <v>157.011</v>
      </c>
      <c r="D587" s="432">
        <v>155.078</v>
      </c>
      <c r="E587" s="432">
        <v>153.167</v>
      </c>
      <c r="F587" s="432">
        <v>151.28</v>
      </c>
      <c r="G587" s="432">
        <v>149.417</v>
      </c>
      <c r="H587" s="432">
        <v>145.76</v>
      </c>
      <c r="I587" s="42">
        <v>142.197</v>
      </c>
      <c r="J587" s="21">
        <v>2540</v>
      </c>
      <c r="K587" s="412">
        <v>5090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-0.878</v>
      </c>
      <c r="R587" s="1">
        <v>-1.8280000000000001</v>
      </c>
      <c r="S587" s="1">
        <v>-2.863</v>
      </c>
      <c r="T587" s="1">
        <v>-3.9870000000000001</v>
      </c>
    </row>
    <row r="588" spans="1:28">
      <c r="A588" s="188">
        <v>2600</v>
      </c>
      <c r="B588" s="432">
        <v>155.214</v>
      </c>
      <c r="C588" s="432">
        <v>151.34700000000001</v>
      </c>
      <c r="D588" s="432">
        <v>149.44900000000001</v>
      </c>
      <c r="E588" s="432">
        <v>147.57400000000001</v>
      </c>
      <c r="F588" s="432">
        <v>145.72300000000001</v>
      </c>
      <c r="G588" s="432">
        <v>143.89500000000001</v>
      </c>
      <c r="H588" s="432">
        <v>140.309</v>
      </c>
      <c r="I588" s="42">
        <v>136.816</v>
      </c>
      <c r="J588" s="21">
        <v>2490</v>
      </c>
      <c r="K588" s="412"/>
      <c r="L588" s="1"/>
      <c r="M588" s="1"/>
      <c r="N588" s="1"/>
      <c r="O588" s="1"/>
      <c r="P588" s="1"/>
      <c r="Q588" s="1"/>
      <c r="R588" s="1"/>
      <c r="S588" s="1"/>
      <c r="T588" s="1"/>
    </row>
    <row r="589" spans="1:28">
      <c r="A589" s="188">
        <v>2650</v>
      </c>
      <c r="B589" s="432">
        <v>149.584</v>
      </c>
      <c r="C589" s="432">
        <v>145.78800000000001</v>
      </c>
      <c r="D589" s="432">
        <v>143.92500000000001</v>
      </c>
      <c r="E589" s="432">
        <v>142.08500000000001</v>
      </c>
      <c r="F589" s="432">
        <v>140.27000000000001</v>
      </c>
      <c r="G589" s="432">
        <v>138.477</v>
      </c>
      <c r="H589" s="432">
        <v>134.96199999999999</v>
      </c>
      <c r="I589" s="42">
        <v>131.54</v>
      </c>
      <c r="J589" s="21">
        <v>2440</v>
      </c>
      <c r="K589" s="412"/>
      <c r="L589" s="1"/>
      <c r="M589" s="1"/>
      <c r="N589" s="1"/>
      <c r="O589" s="1"/>
      <c r="P589" s="1"/>
      <c r="Q589" s="1"/>
      <c r="R589" s="1"/>
      <c r="S589" s="1"/>
      <c r="T589" s="1"/>
    </row>
    <row r="590" spans="1:28">
      <c r="A590" s="188">
        <v>2700</v>
      </c>
      <c r="B590" s="432">
        <v>144.05699999999999</v>
      </c>
      <c r="C590" s="432">
        <v>140.33199999999999</v>
      </c>
      <c r="D590" s="432">
        <v>138.50399999999999</v>
      </c>
      <c r="E590" s="432">
        <v>136.69999999999999</v>
      </c>
      <c r="F590" s="432">
        <v>134.91999999999999</v>
      </c>
      <c r="G590" s="432">
        <v>133.16200000000001</v>
      </c>
      <c r="H590" s="432">
        <v>129.71799999999999</v>
      </c>
      <c r="I590" s="42">
        <v>126.36799999999999</v>
      </c>
      <c r="J590" s="21">
        <v>2390</v>
      </c>
      <c r="K590" s="412"/>
      <c r="L590" s="1"/>
      <c r="M590" s="1"/>
      <c r="N590" s="1"/>
      <c r="O590" s="1"/>
      <c r="P590" s="1"/>
      <c r="Q590" s="1"/>
      <c r="R590" s="1"/>
      <c r="S590" s="1"/>
      <c r="T590" s="1"/>
    </row>
    <row r="591" spans="1:28">
      <c r="A591" s="188">
        <v>2750</v>
      </c>
      <c r="B591" s="432">
        <v>138.63499999999999</v>
      </c>
      <c r="C591" s="432">
        <v>134.97999999999999</v>
      </c>
      <c r="D591" s="432">
        <v>133.18799999999999</v>
      </c>
      <c r="E591" s="432">
        <v>131.41999999999999</v>
      </c>
      <c r="F591" s="432">
        <v>129.67500000000001</v>
      </c>
      <c r="G591" s="432">
        <v>127.953</v>
      </c>
      <c r="H591" s="432">
        <v>124.57899999999999</v>
      </c>
      <c r="I591" s="42">
        <v>121.29900000000001</v>
      </c>
      <c r="J591" s="21">
        <v>2340</v>
      </c>
      <c r="K591" s="412"/>
      <c r="L591" s="1"/>
      <c r="M591" s="1"/>
      <c r="N591" s="1"/>
      <c r="O591" s="1"/>
      <c r="P591" s="1"/>
      <c r="Q591" s="1"/>
      <c r="R591" s="1"/>
      <c r="S591" s="1"/>
      <c r="T591" s="1"/>
    </row>
    <row r="592" spans="1:28">
      <c r="A592" s="188">
        <v>2800</v>
      </c>
      <c r="B592" s="432">
        <v>133.316</v>
      </c>
      <c r="C592" s="432">
        <v>129.733</v>
      </c>
      <c r="D592" s="432">
        <v>127.976</v>
      </c>
      <c r="E592" s="432">
        <v>126.24299999999999</v>
      </c>
      <c r="F592" s="432">
        <v>124.533</v>
      </c>
      <c r="G592" s="432">
        <v>122.84699999999999</v>
      </c>
      <c r="H592" s="432">
        <v>119.544</v>
      </c>
      <c r="I592" s="42">
        <v>116.33499999999999</v>
      </c>
      <c r="J592" s="21">
        <v>2290</v>
      </c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>
      <c r="A593" s="188">
        <v>2850</v>
      </c>
      <c r="B593" s="432">
        <v>128.102</v>
      </c>
      <c r="C593" s="432">
        <v>124.589</v>
      </c>
      <c r="D593" s="432">
        <v>122.86799999999999</v>
      </c>
      <c r="E593" s="432">
        <v>121.17</v>
      </c>
      <c r="F593" s="432">
        <v>119.496</v>
      </c>
      <c r="G593" s="432">
        <v>117.845</v>
      </c>
      <c r="H593" s="432">
        <v>114.613</v>
      </c>
      <c r="I593" s="42">
        <v>111.47499999999999</v>
      </c>
      <c r="J593" s="21">
        <v>2240</v>
      </c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>
      <c r="A594" s="188">
        <v>2900</v>
      </c>
      <c r="B594" s="432">
        <v>122.991</v>
      </c>
      <c r="C594" s="432">
        <v>119.55</v>
      </c>
      <c r="D594" s="432">
        <v>117.864</v>
      </c>
      <c r="E594" s="432">
        <v>116.20099999999999</v>
      </c>
      <c r="F594" s="432">
        <v>114.562</v>
      </c>
      <c r="G594" s="432">
        <v>112.947</v>
      </c>
      <c r="H594" s="432">
        <v>109.786</v>
      </c>
      <c r="I594" s="42">
        <v>106.718</v>
      </c>
      <c r="J594" s="21">
        <v>2190</v>
      </c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>
      <c r="A595" s="188">
        <v>2950</v>
      </c>
      <c r="B595" s="432">
        <v>117.985</v>
      </c>
      <c r="C595" s="432">
        <v>114.614</v>
      </c>
      <c r="D595" s="432">
        <v>112.964</v>
      </c>
      <c r="E595" s="432">
        <v>111.337</v>
      </c>
      <c r="F595" s="432">
        <v>109.733</v>
      </c>
      <c r="G595" s="432">
        <v>108.15300000000001</v>
      </c>
      <c r="H595" s="432">
        <v>105.063</v>
      </c>
      <c r="I595" s="42">
        <v>102.066</v>
      </c>
      <c r="J595" s="21">
        <v>2140</v>
      </c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>
      <c r="A596" s="188">
        <v>3000</v>
      </c>
      <c r="B596" s="432">
        <v>113.083</v>
      </c>
      <c r="C596" s="432">
        <v>109.783</v>
      </c>
      <c r="D596" s="432">
        <v>108.16800000000001</v>
      </c>
      <c r="E596" s="432">
        <v>106.57599999999999</v>
      </c>
      <c r="F596" s="432">
        <v>105.008</v>
      </c>
      <c r="G596" s="432">
        <v>103.46299999999999</v>
      </c>
      <c r="H596" s="432">
        <v>100.444</v>
      </c>
      <c r="I596" s="42">
        <v>97.518000000000001</v>
      </c>
      <c r="J596" s="21">
        <v>2090</v>
      </c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>
      <c r="A597" s="188">
        <v>3050</v>
      </c>
      <c r="B597" s="432">
        <v>108.285</v>
      </c>
      <c r="C597" s="432">
        <v>105.05500000000001</v>
      </c>
      <c r="D597" s="432">
        <v>103.476</v>
      </c>
      <c r="E597" s="432">
        <v>101.92</v>
      </c>
      <c r="F597" s="432">
        <v>100.387</v>
      </c>
      <c r="G597" s="432">
        <v>98.876999999999995</v>
      </c>
      <c r="H597" s="432">
        <v>95.929000000000002</v>
      </c>
      <c r="I597" s="42">
        <v>93.073999999999998</v>
      </c>
      <c r="J597" s="21">
        <v>2040</v>
      </c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>
      <c r="A598" s="188">
        <v>3100</v>
      </c>
      <c r="B598" s="432">
        <v>103.59</v>
      </c>
      <c r="C598" s="432">
        <v>100.432</v>
      </c>
      <c r="D598" s="432">
        <v>98.888000000000005</v>
      </c>
      <c r="E598" s="432">
        <v>97.367000000000004</v>
      </c>
      <c r="F598" s="432">
        <v>95.87</v>
      </c>
      <c r="G598" s="432">
        <v>94.396000000000001</v>
      </c>
      <c r="H598" s="432">
        <v>91.518000000000001</v>
      </c>
      <c r="I598" s="42">
        <v>88.733999999999995</v>
      </c>
      <c r="J598" s="21">
        <v>1990</v>
      </c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>
      <c r="A599" s="188">
        <v>3150</v>
      </c>
      <c r="B599" s="432">
        <v>99</v>
      </c>
      <c r="C599" s="432">
        <v>95.912999999999997</v>
      </c>
      <c r="D599" s="432">
        <v>94.403999999999996</v>
      </c>
      <c r="E599" s="432">
        <v>92.918999999999997</v>
      </c>
      <c r="F599" s="432">
        <v>91.456999999999994</v>
      </c>
      <c r="G599" s="432">
        <v>90.018000000000001</v>
      </c>
      <c r="H599" s="432">
        <v>87.210999999999999</v>
      </c>
      <c r="I599" s="42">
        <v>84.498000000000005</v>
      </c>
      <c r="J599" s="21">
        <v>1940</v>
      </c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>
      <c r="A600" s="188">
        <v>3200</v>
      </c>
      <c r="B600" s="432">
        <v>94.513999999999996</v>
      </c>
      <c r="C600" s="432">
        <v>91.497</v>
      </c>
      <c r="D600" s="432">
        <v>90.024000000000001</v>
      </c>
      <c r="E600" s="432">
        <v>88.573999999999998</v>
      </c>
      <c r="F600" s="432">
        <v>87.147000000000006</v>
      </c>
      <c r="G600" s="432">
        <v>85.744</v>
      </c>
      <c r="H600" s="432">
        <v>83.007999999999996</v>
      </c>
      <c r="I600" s="42">
        <v>80.366</v>
      </c>
      <c r="J600" s="21">
        <v>1890</v>
      </c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>
      <c r="A601" s="188">
        <v>3250</v>
      </c>
      <c r="B601" s="432">
        <v>90.132000000000005</v>
      </c>
      <c r="C601" s="432">
        <v>87.186000000000007</v>
      </c>
      <c r="D601" s="432">
        <v>85.748000000000005</v>
      </c>
      <c r="E601" s="432">
        <v>84.334000000000003</v>
      </c>
      <c r="F601" s="432">
        <v>82.941999999999993</v>
      </c>
      <c r="G601" s="432">
        <v>81.575000000000003</v>
      </c>
      <c r="H601" s="432">
        <v>78.909000000000006</v>
      </c>
      <c r="I601" s="42">
        <v>76.337999999999994</v>
      </c>
      <c r="J601" s="21">
        <v>1840</v>
      </c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>
      <c r="A602" s="188">
        <v>3300</v>
      </c>
      <c r="B602" s="432">
        <v>85.853999999999999</v>
      </c>
      <c r="C602" s="432">
        <v>82.978999999999999</v>
      </c>
      <c r="D602" s="432">
        <v>81.575999999999993</v>
      </c>
      <c r="E602" s="432">
        <v>80.197000000000003</v>
      </c>
      <c r="F602" s="432">
        <v>78.840999999999994</v>
      </c>
      <c r="G602" s="432">
        <v>77.509</v>
      </c>
      <c r="H602" s="432">
        <v>74.915000000000006</v>
      </c>
      <c r="I602" s="42">
        <v>72.414000000000001</v>
      </c>
      <c r="J602" s="21">
        <v>1790</v>
      </c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>
      <c r="A603" s="188">
        <v>3350</v>
      </c>
      <c r="B603" s="432">
        <v>81.680000000000007</v>
      </c>
      <c r="C603" s="432">
        <v>78.876000000000005</v>
      </c>
      <c r="D603" s="432">
        <v>77.507999999999996</v>
      </c>
      <c r="E603" s="432">
        <v>76.165000000000006</v>
      </c>
      <c r="F603" s="432">
        <v>74.844999999999999</v>
      </c>
      <c r="G603" s="432">
        <v>73.548000000000002</v>
      </c>
      <c r="H603" s="432">
        <v>71.024000000000001</v>
      </c>
      <c r="I603" s="42">
        <v>68.593999999999994</v>
      </c>
      <c r="J603" s="21">
        <v>1740</v>
      </c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>
      <c r="A604" s="188">
        <v>3400</v>
      </c>
      <c r="B604" s="432">
        <v>77.61</v>
      </c>
      <c r="C604" s="432">
        <v>74.876000000000005</v>
      </c>
      <c r="D604" s="432">
        <v>73.545000000000002</v>
      </c>
      <c r="E604" s="432">
        <v>72.236000000000004</v>
      </c>
      <c r="F604" s="432">
        <v>70.950999999999993</v>
      </c>
      <c r="G604" s="432">
        <v>69.69</v>
      </c>
      <c r="H604" s="432">
        <v>67.236999999999995</v>
      </c>
      <c r="I604" s="42">
        <v>64.878</v>
      </c>
      <c r="J604" s="21">
        <v>1690</v>
      </c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>
      <c r="A605" s="188">
        <v>3450</v>
      </c>
      <c r="B605" s="432">
        <v>73.644000000000005</v>
      </c>
      <c r="C605" s="432">
        <v>70.980999999999995</v>
      </c>
      <c r="D605" s="432">
        <v>69.685000000000002</v>
      </c>
      <c r="E605" s="432">
        <v>68.412000000000006</v>
      </c>
      <c r="F605" s="432">
        <v>67.162999999999997</v>
      </c>
      <c r="G605" s="432">
        <v>65.936999999999998</v>
      </c>
      <c r="H605" s="432">
        <v>63.555</v>
      </c>
      <c r="I605" s="42">
        <v>61.265999999999998</v>
      </c>
      <c r="J605" s="21">
        <v>1640</v>
      </c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>
      <c r="A606" s="188">
        <v>3500</v>
      </c>
      <c r="B606" s="432">
        <v>69.781999999999996</v>
      </c>
      <c r="C606" s="432">
        <v>67.19</v>
      </c>
      <c r="D606" s="432">
        <v>65.929000000000002</v>
      </c>
      <c r="E606" s="432">
        <v>64.691999999999993</v>
      </c>
      <c r="F606" s="432">
        <v>63.478000000000002</v>
      </c>
      <c r="G606" s="432">
        <v>62.286999999999999</v>
      </c>
      <c r="H606" s="432">
        <v>59.975999999999999</v>
      </c>
      <c r="I606" s="42">
        <v>57.758000000000003</v>
      </c>
      <c r="J606" s="21">
        <v>1590</v>
      </c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>
      <c r="A607" s="188">
        <v>3550</v>
      </c>
      <c r="B607" s="432">
        <v>66.025000000000006</v>
      </c>
      <c r="C607" s="432">
        <v>63.503</v>
      </c>
      <c r="D607" s="432">
        <v>62.277999999999999</v>
      </c>
      <c r="E607" s="432">
        <v>61.076000000000001</v>
      </c>
      <c r="F607" s="432">
        <v>59.12</v>
      </c>
      <c r="G607" s="432">
        <v>58.741999999999997</v>
      </c>
      <c r="H607" s="432">
        <v>56.500999999999998</v>
      </c>
      <c r="I607" s="42">
        <v>54.354999999999997</v>
      </c>
      <c r="J607" s="21">
        <v>1540</v>
      </c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>
      <c r="A608" s="188">
        <v>3600</v>
      </c>
      <c r="B608" s="432">
        <v>62.371000000000002</v>
      </c>
      <c r="C608" s="432">
        <v>59.92</v>
      </c>
      <c r="D608" s="432">
        <v>58.73</v>
      </c>
      <c r="E608" s="432">
        <v>57.563000000000002</v>
      </c>
      <c r="F608" s="432">
        <v>56.42</v>
      </c>
      <c r="G608" s="432">
        <v>55.3</v>
      </c>
      <c r="H608" s="432">
        <v>53.131</v>
      </c>
      <c r="I608" s="42">
        <v>51.055</v>
      </c>
      <c r="J608" s="21">
        <v>1490</v>
      </c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>
      <c r="A609" s="188">
        <v>3650</v>
      </c>
      <c r="B609" s="432">
        <v>58.820999999999998</v>
      </c>
      <c r="C609" s="432">
        <v>56.441000000000003</v>
      </c>
      <c r="D609" s="432">
        <v>55.286999999999999</v>
      </c>
      <c r="E609" s="432">
        <v>54.155000000000001</v>
      </c>
      <c r="F609" s="432">
        <v>53.046999999999997</v>
      </c>
      <c r="G609" s="432">
        <v>51.963000000000001</v>
      </c>
      <c r="H609" s="432">
        <v>49.863999999999997</v>
      </c>
      <c r="I609" s="42">
        <v>47.859000000000002</v>
      </c>
      <c r="J609" s="21">
        <v>1440</v>
      </c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>
      <c r="A610" s="188">
        <v>3700</v>
      </c>
      <c r="B610" s="432">
        <v>55.375</v>
      </c>
      <c r="C610" s="432">
        <v>53.066000000000003</v>
      </c>
      <c r="D610" s="432">
        <v>51.947000000000003</v>
      </c>
      <c r="E610" s="432">
        <v>50.850999999999999</v>
      </c>
      <c r="F610" s="432">
        <v>49.779000000000003</v>
      </c>
      <c r="G610" s="432">
        <v>48.73</v>
      </c>
      <c r="H610" s="432">
        <v>46.701999999999998</v>
      </c>
      <c r="I610" s="42">
        <v>44.767000000000003</v>
      </c>
      <c r="J610" s="21">
        <v>1390</v>
      </c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>
      <c r="A611" s="188">
        <v>3750</v>
      </c>
      <c r="B611" s="432">
        <v>52.033000000000001</v>
      </c>
      <c r="C611" s="432">
        <v>49.795000000000002</v>
      </c>
      <c r="D611" s="432">
        <v>48.712000000000003</v>
      </c>
      <c r="E611" s="432">
        <v>47.651000000000003</v>
      </c>
      <c r="F611" s="432">
        <v>46.613999999999997</v>
      </c>
      <c r="G611" s="432">
        <v>45.6</v>
      </c>
      <c r="H611" s="432">
        <v>43.643000000000001</v>
      </c>
      <c r="I611" s="42">
        <v>41.78</v>
      </c>
      <c r="J611" s="21">
        <v>1340</v>
      </c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>
      <c r="A612" s="188">
        <v>3800</v>
      </c>
      <c r="B612" s="432">
        <v>48.819000000000003</v>
      </c>
      <c r="C612" s="432">
        <v>46.651000000000003</v>
      </c>
      <c r="D612" s="432">
        <v>45.603000000000002</v>
      </c>
      <c r="E612" s="432">
        <v>44.576999999999998</v>
      </c>
      <c r="F612" s="432">
        <v>43.575000000000003</v>
      </c>
      <c r="G612" s="432">
        <v>42.597000000000001</v>
      </c>
      <c r="H612" s="432">
        <v>40.71</v>
      </c>
      <c r="I612" s="42">
        <v>38.917000000000002</v>
      </c>
      <c r="J612" s="21">
        <v>1290</v>
      </c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>
      <c r="A613" s="188">
        <v>3850</v>
      </c>
      <c r="B613" s="432">
        <v>45.731999999999999</v>
      </c>
      <c r="C613" s="432">
        <v>43.634</v>
      </c>
      <c r="D613" s="432">
        <v>42.62</v>
      </c>
      <c r="E613" s="432">
        <v>41.63</v>
      </c>
      <c r="F613" s="432">
        <v>40.662999999999997</v>
      </c>
      <c r="G613" s="432">
        <v>39.719000000000001</v>
      </c>
      <c r="H613" s="432">
        <v>37.902000000000001</v>
      </c>
      <c r="I613" s="42">
        <v>36.177999999999997</v>
      </c>
      <c r="J613" s="21">
        <v>1240</v>
      </c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>
      <c r="A614" s="188">
        <v>3900</v>
      </c>
      <c r="B614" s="432">
        <v>42.744999999999997</v>
      </c>
      <c r="C614" s="432">
        <v>40.716999999999999</v>
      </c>
      <c r="D614" s="432">
        <v>39.738</v>
      </c>
      <c r="E614" s="432">
        <v>38.783000000000001</v>
      </c>
      <c r="F614" s="432">
        <v>37.850999999999999</v>
      </c>
      <c r="G614" s="432">
        <v>36.942</v>
      </c>
      <c r="H614" s="432">
        <v>35.194000000000003</v>
      </c>
      <c r="I614" s="42">
        <v>33.540999999999997</v>
      </c>
      <c r="J614" s="21">
        <v>1190</v>
      </c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>
      <c r="A615" s="188">
        <v>3950</v>
      </c>
      <c r="B615" s="432">
        <v>39.86</v>
      </c>
      <c r="C615" s="432">
        <v>37.902000000000001</v>
      </c>
      <c r="D615" s="432">
        <v>36.957000000000001</v>
      </c>
      <c r="E615" s="432">
        <v>36.036999999999999</v>
      </c>
      <c r="F615" s="432">
        <v>35.139000000000003</v>
      </c>
      <c r="G615" s="432">
        <v>34.265000000000001</v>
      </c>
      <c r="H615" s="432">
        <v>32.588000000000001</v>
      </c>
      <c r="I615" s="42">
        <v>31.004000000000001</v>
      </c>
      <c r="J615" s="21">
        <v>1140</v>
      </c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>
      <c r="A616" s="188">
        <v>4000</v>
      </c>
      <c r="B616" s="432">
        <v>37.075000000000003</v>
      </c>
      <c r="C616" s="432">
        <v>35.186999999999998</v>
      </c>
      <c r="D616" s="432">
        <v>34.277000000000001</v>
      </c>
      <c r="E616" s="432">
        <v>33.392000000000003</v>
      </c>
      <c r="F616" s="432">
        <v>32.529000000000003</v>
      </c>
      <c r="G616" s="432">
        <v>31.69</v>
      </c>
      <c r="H616" s="432">
        <v>30.082000000000001</v>
      </c>
      <c r="I616" s="42">
        <v>28.568000000000001</v>
      </c>
      <c r="J616" s="21">
        <v>1090</v>
      </c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>
      <c r="A617" s="188">
        <v>4050</v>
      </c>
      <c r="B617" s="432">
        <v>34.392000000000003</v>
      </c>
      <c r="C617" s="432">
        <v>32.573</v>
      </c>
      <c r="D617" s="432">
        <v>31.698</v>
      </c>
      <c r="E617" s="432">
        <v>30.847000000000001</v>
      </c>
      <c r="F617" s="432">
        <v>30.02</v>
      </c>
      <c r="G617" s="432">
        <v>29.216000000000001</v>
      </c>
      <c r="H617" s="432">
        <v>27.678000000000001</v>
      </c>
      <c r="I617" s="42">
        <v>26.233000000000001</v>
      </c>
      <c r="J617" s="21">
        <v>1040</v>
      </c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>
      <c r="A618" s="188">
        <v>4100</v>
      </c>
      <c r="B618" s="432">
        <v>31.809000000000001</v>
      </c>
      <c r="C618" s="432">
        <v>30.06</v>
      </c>
      <c r="D618" s="432">
        <v>29.22</v>
      </c>
      <c r="E618" s="432">
        <v>28.404</v>
      </c>
      <c r="F618" s="432">
        <v>27.611000000000001</v>
      </c>
      <c r="G618" s="432">
        <v>26.841999999999999</v>
      </c>
      <c r="H618" s="432">
        <v>25.373999999999999</v>
      </c>
      <c r="I618" s="42">
        <v>23.998999999999999</v>
      </c>
      <c r="J618" s="21">
        <v>990</v>
      </c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>
      <c r="A619" s="188">
        <v>4150</v>
      </c>
      <c r="B619" s="432">
        <v>29.327000000000002</v>
      </c>
      <c r="C619" s="432">
        <v>27.646999999999998</v>
      </c>
      <c r="D619" s="432">
        <v>26.843</v>
      </c>
      <c r="E619" s="432">
        <v>26.062000000000001</v>
      </c>
      <c r="F619" s="432">
        <v>25.303999999999998</v>
      </c>
      <c r="G619" s="432">
        <v>24.568999999999999</v>
      </c>
      <c r="H619" s="432">
        <v>23.170999999999999</v>
      </c>
      <c r="I619" s="42">
        <v>21.866</v>
      </c>
      <c r="J619" s="21">
        <v>940</v>
      </c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>
      <c r="A620" s="188">
        <v>4200</v>
      </c>
      <c r="B620" s="432">
        <v>26.946000000000002</v>
      </c>
      <c r="C620" s="432">
        <v>25.335999999999999</v>
      </c>
      <c r="D620" s="432">
        <v>24.565999999999999</v>
      </c>
      <c r="E620" s="432">
        <v>23.82</v>
      </c>
      <c r="F620" s="432">
        <v>23.097000000000001</v>
      </c>
      <c r="G620" s="432">
        <v>22.396999999999998</v>
      </c>
      <c r="H620" s="432">
        <v>21.068000000000001</v>
      </c>
      <c r="I620" s="42">
        <v>19.832999999999998</v>
      </c>
      <c r="J620" s="21">
        <v>890</v>
      </c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>
      <c r="A621" s="188">
        <v>4250</v>
      </c>
      <c r="B621" s="432">
        <v>24.664999999999999</v>
      </c>
      <c r="C621" s="432">
        <v>23.125</v>
      </c>
      <c r="D621" s="432">
        <v>22.390999999999998</v>
      </c>
      <c r="E621" s="432">
        <v>21.678999999999998</v>
      </c>
      <c r="F621" s="432">
        <v>20.991</v>
      </c>
      <c r="G621" s="432">
        <v>20.326000000000001</v>
      </c>
      <c r="H621" s="432">
        <v>19.067</v>
      </c>
      <c r="I621" s="42">
        <v>17.902000000000001</v>
      </c>
      <c r="J621" s="21">
        <v>840</v>
      </c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>
      <c r="A622" s="188">
        <v>4300</v>
      </c>
      <c r="B622" s="432">
        <v>22.486000000000001</v>
      </c>
      <c r="C622" s="432">
        <v>21.015999999999998</v>
      </c>
      <c r="D622" s="432">
        <v>20.315999999999999</v>
      </c>
      <c r="E622" s="432">
        <v>19.638999999999999</v>
      </c>
      <c r="F622" s="432">
        <v>18.986000000000001</v>
      </c>
      <c r="G622" s="432">
        <v>18.356000000000002</v>
      </c>
      <c r="H622" s="432">
        <v>17.167000000000002</v>
      </c>
      <c r="I622" s="42">
        <v>16.071000000000002</v>
      </c>
      <c r="J622" s="21">
        <v>790</v>
      </c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>
      <c r="A623" s="188">
        <v>4350</v>
      </c>
      <c r="B623" s="432">
        <v>20.408000000000001</v>
      </c>
      <c r="C623" s="432">
        <v>19.007000000000001</v>
      </c>
      <c r="D623" s="432">
        <v>18.341999999999999</v>
      </c>
      <c r="E623" s="432">
        <v>17.7</v>
      </c>
      <c r="F623" s="432">
        <v>17.082000000000001</v>
      </c>
      <c r="G623" s="432">
        <v>16.486999999999998</v>
      </c>
      <c r="H623" s="432">
        <v>15.367000000000001</v>
      </c>
      <c r="I623" s="42">
        <v>14.340999999999999</v>
      </c>
      <c r="J623" s="21">
        <v>740</v>
      </c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>
      <c r="A624" s="188">
        <v>4400</v>
      </c>
      <c r="B624" s="432">
        <v>18.43</v>
      </c>
      <c r="C624" s="432">
        <v>17.099</v>
      </c>
      <c r="D624" s="432">
        <v>16.469000000000001</v>
      </c>
      <c r="E624" s="432">
        <v>15.862</v>
      </c>
      <c r="F624" s="432">
        <v>15.279</v>
      </c>
      <c r="G624" s="432">
        <v>14.718999999999999</v>
      </c>
      <c r="H624" s="432">
        <v>13.669</v>
      </c>
      <c r="I624" s="42">
        <v>12.712</v>
      </c>
      <c r="J624" s="21">
        <v>690</v>
      </c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>
      <c r="A625" s="188">
        <v>4450</v>
      </c>
      <c r="B625" s="432">
        <v>16.553000000000001</v>
      </c>
      <c r="C625" s="432">
        <v>15.292</v>
      </c>
      <c r="D625" s="432">
        <v>14.696999999999999</v>
      </c>
      <c r="E625" s="432">
        <v>14.125</v>
      </c>
      <c r="F625" s="432">
        <v>13.576000000000001</v>
      </c>
      <c r="G625" s="432">
        <v>13.051</v>
      </c>
      <c r="H625" s="432">
        <v>12.071</v>
      </c>
      <c r="I625" s="42">
        <v>11.183999999999999</v>
      </c>
      <c r="J625" s="21">
        <v>640</v>
      </c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>
      <c r="A626" s="188">
        <v>4500</v>
      </c>
      <c r="B626" s="432">
        <v>14.778</v>
      </c>
      <c r="C626" s="432">
        <v>13.586</v>
      </c>
      <c r="D626" s="432">
        <v>13.026</v>
      </c>
      <c r="E626" s="432">
        <v>12.489000000000001</v>
      </c>
      <c r="F626" s="432">
        <v>11.975</v>
      </c>
      <c r="G626" s="432">
        <v>11.484</v>
      </c>
      <c r="H626" s="432">
        <v>10.574</v>
      </c>
      <c r="I626" s="42">
        <v>9.7569999999999997</v>
      </c>
      <c r="J626" s="21">
        <v>590</v>
      </c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>
      <c r="A627" s="188">
        <v>4550</v>
      </c>
      <c r="B627" s="432">
        <v>13.103</v>
      </c>
      <c r="C627" s="432">
        <v>11.981</v>
      </c>
      <c r="D627" s="432">
        <v>11.455</v>
      </c>
      <c r="E627" s="432">
        <v>10.952999999999999</v>
      </c>
      <c r="F627" s="432">
        <v>10.474</v>
      </c>
      <c r="G627" s="432">
        <v>10.019</v>
      </c>
      <c r="H627" s="432">
        <v>9.1780000000000008</v>
      </c>
      <c r="I627" s="42">
        <v>8.4309999999999992</v>
      </c>
      <c r="J627" s="21">
        <v>540</v>
      </c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>
      <c r="A628" s="188">
        <v>4600</v>
      </c>
      <c r="B628" s="432">
        <v>11.529</v>
      </c>
      <c r="C628" s="432">
        <v>10.477</v>
      </c>
      <c r="D628" s="432">
        <v>9.9860000000000007</v>
      </c>
      <c r="E628" s="432">
        <v>9.5190000000000001</v>
      </c>
      <c r="F628" s="432">
        <v>9.0749999999999993</v>
      </c>
      <c r="G628" s="432">
        <v>8.6539999999999999</v>
      </c>
      <c r="H628" s="432">
        <v>7.883</v>
      </c>
      <c r="I628" s="42">
        <v>7.2050000000000001</v>
      </c>
      <c r="J628" s="21">
        <v>490</v>
      </c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>
      <c r="A629" s="188">
        <v>4650</v>
      </c>
      <c r="B629" s="432">
        <v>10.055</v>
      </c>
      <c r="C629" s="432">
        <v>9.0730000000000004</v>
      </c>
      <c r="D629" s="432">
        <v>8.6170000000000009</v>
      </c>
      <c r="E629" s="432">
        <v>8.1850000000000005</v>
      </c>
      <c r="F629" s="432">
        <v>7.7759999999999998</v>
      </c>
      <c r="G629" s="432">
        <v>7.39</v>
      </c>
      <c r="H629" s="432">
        <v>6.6890000000000001</v>
      </c>
      <c r="I629" s="42">
        <v>6.0810000000000004</v>
      </c>
      <c r="J629" s="21">
        <v>440</v>
      </c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>
      <c r="A630" s="188">
        <v>4700</v>
      </c>
      <c r="B630" s="432">
        <v>8.6829999999999998</v>
      </c>
      <c r="C630" s="432">
        <v>7.7709999999999999</v>
      </c>
      <c r="D630" s="432">
        <v>7.35</v>
      </c>
      <c r="E630" s="432">
        <v>6.952</v>
      </c>
      <c r="F630" s="432">
        <v>6.5780000000000003</v>
      </c>
      <c r="G630" s="432">
        <v>6.2270000000000003</v>
      </c>
      <c r="H630" s="432">
        <v>5.5949999999999998</v>
      </c>
      <c r="I630" s="42">
        <v>5.0570000000000004</v>
      </c>
      <c r="J630" s="21">
        <v>390</v>
      </c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>
      <c r="A631" s="188">
        <v>4750</v>
      </c>
      <c r="B631" s="432">
        <v>7.4119999999999999</v>
      </c>
      <c r="C631" s="432">
        <v>6.569</v>
      </c>
      <c r="D631" s="432">
        <v>6.1829999999999998</v>
      </c>
      <c r="E631" s="432">
        <v>5.82</v>
      </c>
      <c r="F631" s="432">
        <v>5.4809999999999999</v>
      </c>
      <c r="G631" s="432">
        <v>5.165</v>
      </c>
      <c r="H631" s="432">
        <v>4.6029999999999998</v>
      </c>
      <c r="I631" s="42">
        <v>4.1340000000000003</v>
      </c>
      <c r="J631" s="21">
        <v>340</v>
      </c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>
      <c r="A632" s="188">
        <v>4800</v>
      </c>
      <c r="B632" s="432">
        <v>6.2409999999999997</v>
      </c>
      <c r="C632" s="432">
        <v>5.468</v>
      </c>
      <c r="D632" s="432">
        <v>5.117</v>
      </c>
      <c r="E632" s="432">
        <v>4.7889999999999997</v>
      </c>
      <c r="F632" s="432">
        <v>4.484</v>
      </c>
      <c r="G632" s="432">
        <v>4.2030000000000003</v>
      </c>
      <c r="H632" s="432">
        <v>3.7109999999999999</v>
      </c>
      <c r="I632" s="42">
        <v>3.3130000000000002</v>
      </c>
      <c r="J632" s="21">
        <v>290</v>
      </c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>
      <c r="A633" s="188">
        <v>4850</v>
      </c>
      <c r="B633" s="432">
        <v>5.1710000000000003</v>
      </c>
      <c r="C633" s="432">
        <v>4.468</v>
      </c>
      <c r="D633" s="432">
        <v>4.1520000000000001</v>
      </c>
      <c r="E633" s="432">
        <v>3.859</v>
      </c>
      <c r="F633" s="432">
        <v>3.589</v>
      </c>
      <c r="G633" s="432">
        <v>3.343</v>
      </c>
      <c r="H633" s="432">
        <v>2.92</v>
      </c>
      <c r="I633" s="42">
        <v>2.5920000000000001</v>
      </c>
      <c r="J633" s="21">
        <v>240</v>
      </c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>
      <c r="A634" s="188">
        <v>4900</v>
      </c>
      <c r="B634" s="432">
        <v>4.2030000000000003</v>
      </c>
      <c r="C634" s="432">
        <v>3.569</v>
      </c>
      <c r="D634" s="432">
        <v>3.2879999999999998</v>
      </c>
      <c r="E634" s="432">
        <v>3.0289999999999999</v>
      </c>
      <c r="F634" s="432">
        <v>2.7949999999999999</v>
      </c>
      <c r="G634" s="432">
        <v>2.5830000000000002</v>
      </c>
      <c r="H634" s="432">
        <v>2.23</v>
      </c>
      <c r="I634" s="42">
        <v>1.9710000000000001</v>
      </c>
      <c r="J634" s="21">
        <v>190</v>
      </c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>
      <c r="A635" s="188">
        <v>4950</v>
      </c>
      <c r="B635" s="432">
        <v>3.335</v>
      </c>
      <c r="C635" s="432">
        <v>2.7709999999999999</v>
      </c>
      <c r="D635" s="432">
        <v>2.524</v>
      </c>
      <c r="E635" s="432">
        <v>2.3010000000000002</v>
      </c>
      <c r="F635" s="432">
        <v>2.101</v>
      </c>
      <c r="G635" s="432">
        <v>1.9239999999999999</v>
      </c>
      <c r="H635" s="432">
        <v>1.641</v>
      </c>
      <c r="I635" s="42">
        <v>1.452</v>
      </c>
      <c r="J635" s="21">
        <v>140</v>
      </c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>
      <c r="A636" s="188">
        <v>5000</v>
      </c>
      <c r="B636" s="432">
        <v>2.5680000000000001</v>
      </c>
      <c r="C636" s="432">
        <v>2.0739999999999998</v>
      </c>
      <c r="D636" s="432">
        <v>1.8620000000000001</v>
      </c>
      <c r="E636" s="432">
        <v>1.673</v>
      </c>
      <c r="F636" s="432">
        <v>1.508</v>
      </c>
      <c r="G636" s="432">
        <v>1.367</v>
      </c>
      <c r="H636" s="432">
        <v>1.153</v>
      </c>
      <c r="I636" s="42">
        <v>1.0329999999999999</v>
      </c>
      <c r="J636" s="21">
        <v>90</v>
      </c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>
      <c r="A637" s="188">
        <v>5050</v>
      </c>
      <c r="B637" s="432">
        <v>1.901</v>
      </c>
      <c r="C637" s="432">
        <v>1.4770000000000001</v>
      </c>
      <c r="D637" s="432">
        <v>1.3</v>
      </c>
      <c r="E637" s="432">
        <v>1.147</v>
      </c>
      <c r="F637" s="432">
        <v>1.016</v>
      </c>
      <c r="G637" s="432">
        <v>0.91</v>
      </c>
      <c r="H637" s="432">
        <v>0.76600000000000001</v>
      </c>
      <c r="I637" s="42">
        <v>0.70199999999999996</v>
      </c>
      <c r="J637" s="21">
        <v>40</v>
      </c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>
      <c r="A638" s="188">
        <v>5090</v>
      </c>
      <c r="B638" s="432">
        <v>1.44</v>
      </c>
      <c r="C638" s="432">
        <v>1.0720000000000001</v>
      </c>
      <c r="D638" s="432">
        <v>0.92300000000000004</v>
      </c>
      <c r="E638" s="432">
        <v>0.79700000000000004</v>
      </c>
      <c r="F638" s="432">
        <v>0.69499999999999995</v>
      </c>
      <c r="G638" s="432">
        <v>0.61599999999999999</v>
      </c>
      <c r="H638" s="432">
        <v>0.52700000000000002</v>
      </c>
      <c r="I638" s="42">
        <v>0.495</v>
      </c>
      <c r="J638" s="21">
        <v>0</v>
      </c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>
      <c r="B639" s="19"/>
      <c r="C639" s="19"/>
      <c r="D639" s="19"/>
      <c r="E639" s="19"/>
      <c r="F639" s="19"/>
      <c r="G639" s="19"/>
      <c r="H639" s="19"/>
      <c r="I639" s="19"/>
      <c r="J639" s="19"/>
      <c r="K639" s="421"/>
      <c r="L639" s="23"/>
      <c r="M639" s="19"/>
      <c r="N639" s="19"/>
      <c r="O639" s="19"/>
      <c r="P639" s="19"/>
      <c r="Q639" s="19"/>
    </row>
    <row r="640" spans="1:20" hidden="1">
      <c r="B640" s="19"/>
      <c r="C640" s="19"/>
      <c r="D640" s="19"/>
      <c r="E640" s="19"/>
      <c r="F640" s="19"/>
      <c r="G640" s="19"/>
      <c r="H640" s="19"/>
      <c r="I640" s="19"/>
      <c r="J640" s="19"/>
      <c r="K640" s="421"/>
      <c r="L640" s="23"/>
      <c r="M640" s="19"/>
      <c r="N640" s="19"/>
      <c r="O640" s="19"/>
      <c r="P640" s="19"/>
      <c r="Q640" s="19"/>
    </row>
    <row r="641" spans="2:17" hidden="1">
      <c r="B641" s="19"/>
      <c r="C641" s="19"/>
      <c r="D641" s="19"/>
      <c r="E641" s="19"/>
      <c r="F641" s="19"/>
      <c r="G641" s="19"/>
      <c r="H641" s="19"/>
      <c r="I641" s="19"/>
      <c r="J641" s="19"/>
      <c r="K641" s="421"/>
      <c r="L641" s="23"/>
      <c r="M641" s="19"/>
      <c r="N641" s="19"/>
      <c r="O641" s="19"/>
      <c r="P641" s="19"/>
      <c r="Q641" s="19"/>
    </row>
    <row r="642" spans="2:17" hidden="1">
      <c r="B642" s="19"/>
      <c r="C642" s="19"/>
      <c r="D642" s="19"/>
      <c r="E642" s="19"/>
      <c r="F642" s="19"/>
      <c r="G642" s="19"/>
      <c r="H642" s="19"/>
      <c r="I642" s="19"/>
      <c r="J642" s="19"/>
      <c r="K642" s="421"/>
      <c r="L642" s="23"/>
      <c r="M642" s="19"/>
      <c r="N642" s="19"/>
      <c r="O642" s="19"/>
      <c r="P642" s="19"/>
      <c r="Q642" s="19"/>
    </row>
    <row r="643" spans="2:17" hidden="1">
      <c r="B643" s="19"/>
      <c r="C643" s="19"/>
      <c r="D643" s="19"/>
      <c r="E643" s="19"/>
      <c r="F643" s="19"/>
      <c r="G643" s="19"/>
      <c r="H643" s="19"/>
      <c r="I643" s="19"/>
      <c r="J643" s="19"/>
      <c r="K643" s="421"/>
      <c r="L643" s="23"/>
      <c r="M643" s="19"/>
      <c r="N643" s="19"/>
      <c r="O643" s="19"/>
      <c r="P643" s="19"/>
      <c r="Q643" s="19"/>
    </row>
    <row r="644" spans="2:17" hidden="1">
      <c r="B644" s="19"/>
      <c r="C644" s="19"/>
      <c r="D644" s="19"/>
      <c r="E644" s="19"/>
      <c r="F644" s="19"/>
      <c r="G644" s="19"/>
      <c r="H644" s="19"/>
      <c r="I644" s="19"/>
      <c r="J644" s="19"/>
      <c r="K644" s="421"/>
      <c r="L644" s="23"/>
      <c r="M644" s="19"/>
      <c r="N644" s="19"/>
      <c r="O644" s="19"/>
      <c r="P644" s="19"/>
      <c r="Q644" s="19"/>
    </row>
    <row r="645" spans="2:17" hidden="1">
      <c r="B645" s="19"/>
      <c r="C645" s="19"/>
      <c r="D645" s="19"/>
      <c r="E645" s="19"/>
      <c r="F645" s="19"/>
      <c r="G645" s="19"/>
      <c r="H645" s="19"/>
      <c r="I645" s="19"/>
      <c r="J645" s="19"/>
      <c r="K645" s="421"/>
      <c r="L645" s="23"/>
      <c r="M645" s="19"/>
      <c r="N645" s="19"/>
      <c r="O645" s="19"/>
      <c r="P645" s="19"/>
      <c r="Q645" s="19"/>
    </row>
    <row r="646" spans="2:17" hidden="1">
      <c r="B646" s="19"/>
      <c r="C646" s="19"/>
      <c r="D646" s="19"/>
      <c r="E646" s="19"/>
      <c r="F646" s="19"/>
      <c r="G646" s="19"/>
      <c r="H646" s="19"/>
      <c r="I646" s="19"/>
      <c r="J646" s="19"/>
      <c r="K646" s="421"/>
      <c r="L646" s="23"/>
      <c r="M646" s="19"/>
      <c r="N646" s="19"/>
      <c r="O646" s="19"/>
      <c r="P646" s="19"/>
      <c r="Q646" s="19"/>
    </row>
    <row r="647" spans="2:17" hidden="1">
      <c r="B647" s="19"/>
      <c r="C647" s="19"/>
      <c r="D647" s="19"/>
      <c r="E647" s="19"/>
      <c r="F647" s="19"/>
      <c r="G647" s="19"/>
      <c r="H647" s="19"/>
      <c r="I647" s="19"/>
      <c r="J647" s="19"/>
      <c r="K647" s="421"/>
      <c r="L647" s="23"/>
      <c r="M647" s="19"/>
      <c r="N647" s="19"/>
      <c r="O647" s="19"/>
      <c r="P647" s="19"/>
      <c r="Q647" s="19"/>
    </row>
    <row r="648" spans="2:17" hidden="1">
      <c r="B648" s="19"/>
      <c r="C648" s="19"/>
      <c r="D648" s="19"/>
      <c r="E648" s="19"/>
      <c r="F648" s="19"/>
      <c r="G648" s="19"/>
      <c r="H648" s="19"/>
      <c r="I648" s="19"/>
      <c r="J648" s="19"/>
      <c r="K648" s="421"/>
      <c r="L648" s="23"/>
      <c r="M648" s="19"/>
      <c r="N648" s="19"/>
      <c r="O648" s="19"/>
      <c r="P648" s="19"/>
      <c r="Q648" s="19"/>
    </row>
    <row r="649" spans="2:17" hidden="1">
      <c r="B649" s="19"/>
      <c r="C649" s="19"/>
      <c r="D649" s="19"/>
      <c r="E649" s="19"/>
      <c r="F649" s="19"/>
      <c r="G649" s="19"/>
      <c r="H649" s="19"/>
      <c r="I649" s="19"/>
      <c r="J649" s="19"/>
      <c r="K649" s="421"/>
      <c r="L649" s="23"/>
      <c r="M649" s="19"/>
      <c r="N649" s="19"/>
      <c r="O649" s="19"/>
      <c r="P649" s="19"/>
      <c r="Q649" s="19"/>
    </row>
    <row r="650" spans="2:17" hidden="1">
      <c r="B650" s="19"/>
      <c r="C650" s="19"/>
      <c r="D650" s="19"/>
      <c r="E650" s="19"/>
      <c r="F650" s="19"/>
      <c r="G650" s="19"/>
      <c r="H650" s="19"/>
      <c r="I650" s="19"/>
      <c r="J650" s="19"/>
      <c r="K650" s="421"/>
      <c r="L650" s="23"/>
      <c r="M650" s="19"/>
      <c r="N650" s="19"/>
      <c r="O650" s="19"/>
      <c r="P650" s="19"/>
      <c r="Q650" s="19"/>
    </row>
    <row r="651" spans="2:17" hidden="1">
      <c r="B651" s="19"/>
      <c r="C651" s="19"/>
      <c r="D651" s="19"/>
      <c r="E651" s="19"/>
      <c r="F651" s="19"/>
      <c r="G651" s="19"/>
      <c r="H651" s="19"/>
      <c r="I651" s="19"/>
      <c r="J651" s="19"/>
      <c r="K651" s="421"/>
      <c r="L651" s="23"/>
      <c r="M651" s="19"/>
      <c r="N651" s="19"/>
      <c r="O651" s="19"/>
      <c r="P651" s="19"/>
      <c r="Q651" s="19"/>
    </row>
    <row r="652" spans="2:17" hidden="1">
      <c r="B652" s="19"/>
      <c r="C652" s="19"/>
      <c r="D652" s="19"/>
      <c r="E652" s="19"/>
      <c r="F652" s="19"/>
      <c r="G652" s="19"/>
      <c r="H652" s="19"/>
      <c r="I652" s="19"/>
      <c r="J652" s="19"/>
      <c r="K652" s="421"/>
      <c r="L652" s="23"/>
      <c r="M652" s="19"/>
      <c r="N652" s="19"/>
      <c r="O652" s="19"/>
      <c r="P652" s="19"/>
      <c r="Q652" s="19"/>
    </row>
    <row r="653" spans="2:17" hidden="1">
      <c r="B653" s="19"/>
      <c r="C653" s="19"/>
      <c r="D653" s="19"/>
      <c r="E653" s="19"/>
      <c r="F653" s="19"/>
      <c r="G653" s="19"/>
      <c r="H653" s="19"/>
      <c r="I653" s="19"/>
      <c r="J653" s="19"/>
      <c r="K653" s="421"/>
      <c r="L653" s="23"/>
      <c r="M653" s="19"/>
      <c r="N653" s="19"/>
      <c r="O653" s="19"/>
      <c r="P653" s="19"/>
      <c r="Q653" s="19"/>
    </row>
    <row r="654" spans="2:17" hidden="1">
      <c r="B654" s="19"/>
      <c r="C654" s="19"/>
      <c r="D654" s="19"/>
      <c r="E654" s="19"/>
      <c r="F654" s="19"/>
      <c r="G654" s="19"/>
      <c r="H654" s="19"/>
      <c r="I654" s="19"/>
      <c r="J654" s="19"/>
      <c r="K654" s="421"/>
      <c r="L654" s="23"/>
      <c r="M654" s="19"/>
      <c r="N654" s="19"/>
      <c r="O654" s="19"/>
      <c r="P654" s="19"/>
      <c r="Q654" s="19"/>
    </row>
    <row r="655" spans="2:17" hidden="1">
      <c r="B655" s="19"/>
      <c r="C655" s="19"/>
      <c r="D655" s="19"/>
      <c r="E655" s="19"/>
      <c r="F655" s="19"/>
      <c r="G655" s="19"/>
      <c r="H655" s="19"/>
      <c r="I655" s="19"/>
      <c r="J655" s="19"/>
      <c r="K655" s="421"/>
      <c r="L655" s="23"/>
      <c r="M655" s="19"/>
      <c r="N655" s="19"/>
      <c r="O655" s="19"/>
      <c r="P655" s="19"/>
      <c r="Q655" s="19"/>
    </row>
    <row r="656" spans="2:17" hidden="1">
      <c r="B656" s="19"/>
      <c r="C656" s="19"/>
      <c r="D656" s="19"/>
      <c r="E656" s="19"/>
      <c r="F656" s="19"/>
      <c r="G656" s="19"/>
      <c r="H656" s="19"/>
      <c r="I656" s="19"/>
      <c r="J656" s="19"/>
      <c r="K656" s="421"/>
      <c r="L656" s="23"/>
      <c r="M656" s="19"/>
      <c r="N656" s="19"/>
      <c r="O656" s="19"/>
      <c r="P656" s="19"/>
      <c r="Q656" s="19"/>
    </row>
    <row r="657" spans="2:17" hidden="1">
      <c r="B657" s="19"/>
      <c r="C657" s="19"/>
      <c r="D657" s="19"/>
      <c r="E657" s="19"/>
      <c r="F657" s="19"/>
      <c r="G657" s="19"/>
      <c r="H657" s="19"/>
      <c r="I657" s="19"/>
      <c r="J657" s="19"/>
      <c r="K657" s="421"/>
      <c r="L657" s="23"/>
      <c r="M657" s="19"/>
      <c r="N657" s="19"/>
      <c r="O657" s="19"/>
      <c r="P657" s="19"/>
      <c r="Q657" s="19"/>
    </row>
    <row r="658" spans="2:17" hidden="1">
      <c r="B658" s="19"/>
      <c r="C658" s="19"/>
      <c r="D658" s="19"/>
      <c r="E658" s="19"/>
      <c r="F658" s="19"/>
      <c r="G658" s="19"/>
      <c r="H658" s="19"/>
      <c r="I658" s="19"/>
      <c r="J658" s="19"/>
      <c r="K658" s="421"/>
      <c r="L658" s="23"/>
      <c r="M658" s="19"/>
      <c r="N658" s="19"/>
      <c r="O658" s="19"/>
      <c r="P658" s="19"/>
      <c r="Q658" s="19"/>
    </row>
    <row r="659" spans="2:17" hidden="1">
      <c r="B659" s="19"/>
      <c r="C659" s="19"/>
      <c r="D659" s="19"/>
      <c r="E659" s="19"/>
      <c r="F659" s="19"/>
      <c r="G659" s="19"/>
      <c r="H659" s="19"/>
      <c r="I659" s="19"/>
      <c r="J659" s="19"/>
      <c r="K659" s="421"/>
      <c r="L659" s="23"/>
      <c r="M659" s="19"/>
      <c r="N659" s="19"/>
      <c r="O659" s="19"/>
      <c r="P659" s="19"/>
      <c r="Q659" s="19"/>
    </row>
    <row r="660" spans="2:17" hidden="1">
      <c r="B660" s="19"/>
      <c r="C660" s="19"/>
      <c r="D660" s="19"/>
      <c r="E660" s="19"/>
      <c r="F660" s="19"/>
      <c r="G660" s="19"/>
      <c r="H660" s="19"/>
      <c r="I660" s="19"/>
      <c r="J660" s="19"/>
      <c r="K660" s="421"/>
      <c r="L660" s="23"/>
      <c r="M660" s="19"/>
      <c r="N660" s="19"/>
      <c r="O660" s="19"/>
      <c r="P660" s="19"/>
      <c r="Q660" s="19"/>
    </row>
    <row r="661" spans="2:17" hidden="1">
      <c r="B661" s="19"/>
      <c r="C661" s="19"/>
      <c r="D661" s="19"/>
      <c r="E661" s="19"/>
      <c r="F661" s="19"/>
      <c r="G661" s="19"/>
      <c r="H661" s="19"/>
      <c r="I661" s="19"/>
      <c r="J661" s="19"/>
      <c r="K661" s="421"/>
      <c r="L661" s="23"/>
      <c r="M661" s="19"/>
      <c r="N661" s="19"/>
      <c r="O661" s="19"/>
      <c r="P661" s="19"/>
      <c r="Q661" s="19"/>
    </row>
    <row r="662" spans="2:17" hidden="1">
      <c r="B662" s="19"/>
      <c r="C662" s="19"/>
      <c r="D662" s="19"/>
      <c r="E662" s="19"/>
      <c r="F662" s="19"/>
      <c r="G662" s="19"/>
      <c r="H662" s="19"/>
      <c r="I662" s="19"/>
      <c r="J662" s="19"/>
      <c r="K662" s="421"/>
      <c r="L662" s="23"/>
      <c r="M662" s="19"/>
      <c r="N662" s="19"/>
      <c r="O662" s="19"/>
      <c r="P662" s="19"/>
      <c r="Q662" s="19"/>
    </row>
    <row r="663" spans="2:17" hidden="1">
      <c r="B663" s="19"/>
      <c r="C663" s="19"/>
      <c r="D663" s="19"/>
      <c r="E663" s="19"/>
      <c r="F663" s="19"/>
      <c r="G663" s="19"/>
      <c r="H663" s="19"/>
      <c r="I663" s="19"/>
      <c r="J663" s="19"/>
      <c r="K663" s="421"/>
      <c r="L663" s="23"/>
      <c r="M663" s="19"/>
      <c r="N663" s="19"/>
      <c r="O663" s="19"/>
      <c r="P663" s="19"/>
      <c r="Q663" s="19"/>
    </row>
    <row r="664" spans="2:17" hidden="1">
      <c r="B664" s="19"/>
      <c r="C664" s="19"/>
      <c r="D664" s="19"/>
      <c r="E664" s="19"/>
      <c r="F664" s="19"/>
      <c r="G664" s="19"/>
      <c r="H664" s="19"/>
      <c r="I664" s="19"/>
      <c r="J664" s="19"/>
      <c r="K664" s="421"/>
      <c r="L664" s="23"/>
      <c r="M664" s="19"/>
      <c r="N664" s="19"/>
      <c r="O664" s="19"/>
      <c r="P664" s="19"/>
      <c r="Q664" s="19"/>
    </row>
    <row r="665" spans="2:17" hidden="1">
      <c r="B665" s="19"/>
      <c r="C665" s="19"/>
      <c r="D665" s="19"/>
      <c r="E665" s="19"/>
      <c r="F665" s="19"/>
      <c r="G665" s="19"/>
      <c r="H665" s="19"/>
      <c r="I665" s="19"/>
      <c r="J665" s="19"/>
      <c r="K665" s="421"/>
      <c r="L665" s="23"/>
      <c r="M665" s="19"/>
      <c r="N665" s="19"/>
      <c r="O665" s="19"/>
      <c r="P665" s="19"/>
      <c r="Q665" s="19"/>
    </row>
    <row r="666" spans="2:17" hidden="1">
      <c r="B666" s="19"/>
      <c r="C666" s="19"/>
      <c r="D666" s="19"/>
      <c r="E666" s="19"/>
      <c r="F666" s="19"/>
      <c r="G666" s="19"/>
      <c r="H666" s="19"/>
      <c r="I666" s="19"/>
      <c r="J666" s="19"/>
      <c r="K666" s="421"/>
      <c r="L666" s="23"/>
      <c r="M666" s="19"/>
      <c r="N666" s="19"/>
      <c r="O666" s="19"/>
      <c r="P666" s="19"/>
      <c r="Q666" s="19"/>
    </row>
    <row r="667" spans="2:17" hidden="1">
      <c r="B667" s="19"/>
      <c r="C667" s="19"/>
      <c r="D667" s="19"/>
      <c r="E667" s="19"/>
      <c r="F667" s="19"/>
      <c r="G667" s="19"/>
      <c r="H667" s="19"/>
      <c r="I667" s="19"/>
      <c r="J667" s="19"/>
      <c r="K667" s="421"/>
      <c r="L667" s="23"/>
      <c r="M667" s="19"/>
      <c r="N667" s="19"/>
      <c r="O667" s="19"/>
      <c r="P667" s="19"/>
      <c r="Q667" s="19"/>
    </row>
    <row r="668" spans="2:17" hidden="1">
      <c r="B668" s="19"/>
      <c r="C668" s="19"/>
      <c r="D668" s="19"/>
      <c r="E668" s="19"/>
      <c r="F668" s="19"/>
      <c r="G668" s="19"/>
      <c r="H668" s="19"/>
      <c r="I668" s="19"/>
      <c r="J668" s="19"/>
      <c r="K668" s="421"/>
      <c r="L668" s="23"/>
      <c r="M668" s="19"/>
      <c r="N668" s="19"/>
      <c r="O668" s="19"/>
      <c r="P668" s="19"/>
      <c r="Q668" s="19"/>
    </row>
    <row r="669" spans="2:17" hidden="1">
      <c r="B669" s="19"/>
      <c r="C669" s="19"/>
      <c r="D669" s="19"/>
      <c r="E669" s="19"/>
      <c r="F669" s="19"/>
      <c r="G669" s="19"/>
      <c r="H669" s="19"/>
      <c r="I669" s="19"/>
      <c r="J669" s="19"/>
      <c r="K669" s="421"/>
      <c r="L669" s="23"/>
      <c r="M669" s="19"/>
      <c r="N669" s="19"/>
      <c r="O669" s="19"/>
      <c r="P669" s="19"/>
      <c r="Q669" s="19"/>
    </row>
    <row r="670" spans="2:17" hidden="1">
      <c r="B670" s="19"/>
      <c r="C670" s="19"/>
      <c r="D670" s="19"/>
      <c r="E670" s="19"/>
      <c r="F670" s="19"/>
      <c r="G670" s="19"/>
      <c r="H670" s="19"/>
      <c r="I670" s="19"/>
      <c r="J670" s="19"/>
      <c r="K670" s="421"/>
      <c r="L670" s="23"/>
      <c r="M670" s="19"/>
      <c r="N670" s="19"/>
      <c r="O670" s="19"/>
      <c r="P670" s="19"/>
      <c r="Q670" s="19"/>
    </row>
    <row r="671" spans="2:17" hidden="1">
      <c r="B671" s="19"/>
      <c r="C671" s="19"/>
      <c r="D671" s="19"/>
      <c r="E671" s="19"/>
      <c r="F671" s="19"/>
      <c r="G671" s="19"/>
      <c r="H671" s="19"/>
      <c r="I671" s="19"/>
      <c r="J671" s="19"/>
      <c r="K671" s="421"/>
      <c r="L671" s="23"/>
      <c r="M671" s="19"/>
      <c r="N671" s="19"/>
      <c r="O671" s="19"/>
      <c r="P671" s="19"/>
      <c r="Q671" s="19"/>
    </row>
    <row r="672" spans="2:17" hidden="1">
      <c r="B672" s="19"/>
      <c r="C672" s="19"/>
      <c r="D672" s="19"/>
      <c r="E672" s="19"/>
      <c r="F672" s="19"/>
      <c r="G672" s="19"/>
      <c r="H672" s="19"/>
      <c r="I672" s="19"/>
      <c r="J672" s="19"/>
      <c r="K672" s="421"/>
      <c r="L672" s="23"/>
      <c r="M672" s="19"/>
      <c r="N672" s="19"/>
      <c r="O672" s="19"/>
      <c r="P672" s="19"/>
      <c r="Q672" s="19"/>
    </row>
    <row r="673" spans="2:17" hidden="1">
      <c r="B673" s="19"/>
      <c r="C673" s="19"/>
      <c r="D673" s="19"/>
      <c r="E673" s="19"/>
      <c r="F673" s="19"/>
      <c r="G673" s="19"/>
      <c r="H673" s="19"/>
      <c r="I673" s="19"/>
      <c r="J673" s="19"/>
      <c r="K673" s="421"/>
      <c r="L673" s="23"/>
      <c r="M673" s="19"/>
      <c r="N673" s="19"/>
      <c r="O673" s="19"/>
      <c r="P673" s="19"/>
      <c r="Q673" s="19"/>
    </row>
    <row r="674" spans="2:17" hidden="1">
      <c r="B674" s="19"/>
      <c r="C674" s="19"/>
      <c r="D674" s="19"/>
      <c r="E674" s="19"/>
      <c r="F674" s="19"/>
      <c r="G674" s="19"/>
      <c r="H674" s="19"/>
      <c r="I674" s="19"/>
      <c r="J674" s="19"/>
      <c r="K674" s="421"/>
      <c r="L674" s="23"/>
      <c r="M674" s="19"/>
      <c r="N674" s="19"/>
      <c r="O674" s="19"/>
      <c r="P674" s="19"/>
      <c r="Q674" s="19"/>
    </row>
    <row r="675" spans="2:17" hidden="1">
      <c r="B675" s="19"/>
      <c r="C675" s="19"/>
      <c r="D675" s="19"/>
      <c r="E675" s="19"/>
      <c r="F675" s="19"/>
      <c r="G675" s="19"/>
      <c r="H675" s="19"/>
      <c r="I675" s="19"/>
      <c r="J675" s="19"/>
      <c r="K675" s="421"/>
      <c r="L675" s="23"/>
      <c r="M675" s="19"/>
      <c r="N675" s="19"/>
      <c r="O675" s="19"/>
      <c r="P675" s="19"/>
      <c r="Q675" s="19"/>
    </row>
    <row r="676" spans="2:17" hidden="1">
      <c r="B676" s="19"/>
      <c r="C676" s="19"/>
      <c r="D676" s="19"/>
      <c r="E676" s="19"/>
      <c r="F676" s="19"/>
      <c r="G676" s="19"/>
      <c r="H676" s="19"/>
      <c r="I676" s="19"/>
      <c r="J676" s="19"/>
      <c r="K676" s="421"/>
      <c r="L676" s="23"/>
      <c r="M676" s="19"/>
      <c r="N676" s="19"/>
      <c r="O676" s="19"/>
      <c r="P676" s="19"/>
      <c r="Q676" s="19"/>
    </row>
    <row r="677" spans="2:17" hidden="1">
      <c r="B677" s="19"/>
      <c r="C677" s="19"/>
      <c r="D677" s="19"/>
      <c r="E677" s="19"/>
      <c r="F677" s="19"/>
      <c r="G677" s="19"/>
      <c r="H677" s="19"/>
      <c r="I677" s="19"/>
      <c r="J677" s="19"/>
      <c r="K677" s="421"/>
      <c r="L677" s="23"/>
      <c r="M677" s="19"/>
      <c r="N677" s="19"/>
      <c r="O677" s="19"/>
      <c r="P677" s="19"/>
      <c r="Q677" s="19"/>
    </row>
    <row r="678" spans="2:17" hidden="1">
      <c r="B678" s="19"/>
      <c r="C678" s="19"/>
      <c r="D678" s="19"/>
      <c r="E678" s="19"/>
      <c r="F678" s="19"/>
      <c r="G678" s="19"/>
      <c r="H678" s="19"/>
      <c r="I678" s="19"/>
      <c r="J678" s="19"/>
      <c r="K678" s="421"/>
      <c r="L678" s="23"/>
      <c r="M678" s="19"/>
      <c r="N678" s="19"/>
      <c r="O678" s="19"/>
      <c r="P678" s="19"/>
      <c r="Q678" s="19"/>
    </row>
    <row r="679" spans="2:17" hidden="1">
      <c r="B679" s="19"/>
      <c r="C679" s="19"/>
      <c r="D679" s="19"/>
      <c r="E679" s="19"/>
      <c r="F679" s="19"/>
      <c r="G679" s="19"/>
      <c r="H679" s="19"/>
      <c r="I679" s="19"/>
      <c r="J679" s="19"/>
      <c r="K679" s="421"/>
      <c r="L679" s="23"/>
      <c r="M679" s="19"/>
      <c r="N679" s="19"/>
      <c r="O679" s="19"/>
      <c r="P679" s="19"/>
      <c r="Q679" s="19"/>
    </row>
    <row r="680" spans="2:17" hidden="1">
      <c r="B680" s="19"/>
      <c r="C680" s="19"/>
      <c r="D680" s="19"/>
      <c r="E680" s="19"/>
      <c r="F680" s="19"/>
      <c r="G680" s="19"/>
      <c r="H680" s="19"/>
      <c r="I680" s="19"/>
      <c r="J680" s="19"/>
      <c r="K680" s="421"/>
      <c r="L680" s="23"/>
      <c r="M680" s="19"/>
      <c r="N680" s="19"/>
      <c r="O680" s="19"/>
      <c r="P680" s="19"/>
      <c r="Q680" s="19"/>
    </row>
    <row r="681" spans="2:17" hidden="1">
      <c r="B681" s="19"/>
      <c r="C681" s="19"/>
      <c r="D681" s="19"/>
      <c r="E681" s="19"/>
      <c r="F681" s="19"/>
      <c r="G681" s="19"/>
      <c r="H681" s="19"/>
      <c r="I681" s="19"/>
      <c r="J681" s="19"/>
      <c r="K681" s="421"/>
      <c r="L681" s="23"/>
      <c r="M681" s="19"/>
      <c r="N681" s="19"/>
      <c r="O681" s="19"/>
      <c r="P681" s="19"/>
      <c r="Q681" s="19"/>
    </row>
    <row r="682" spans="2:17" hidden="1">
      <c r="B682" s="19"/>
      <c r="C682" s="19"/>
      <c r="D682" s="19"/>
      <c r="E682" s="19"/>
      <c r="F682" s="19"/>
      <c r="G682" s="19"/>
      <c r="H682" s="19"/>
      <c r="I682" s="19"/>
      <c r="J682" s="19"/>
      <c r="K682" s="421"/>
      <c r="L682" s="23"/>
      <c r="M682" s="19"/>
      <c r="N682" s="19"/>
      <c r="O682" s="19"/>
      <c r="P682" s="19"/>
      <c r="Q682" s="19"/>
    </row>
    <row r="683" spans="2:17" hidden="1">
      <c r="B683" s="19"/>
      <c r="C683" s="19"/>
      <c r="D683" s="19"/>
      <c r="E683" s="19"/>
      <c r="F683" s="19"/>
      <c r="G683" s="19"/>
      <c r="H683" s="19"/>
      <c r="I683" s="19"/>
      <c r="J683" s="19"/>
      <c r="K683" s="421"/>
      <c r="L683" s="23"/>
      <c r="M683" s="19"/>
      <c r="N683" s="19"/>
      <c r="O683" s="19"/>
      <c r="P683" s="19"/>
      <c r="Q683" s="19"/>
    </row>
    <row r="684" spans="2:17" hidden="1">
      <c r="B684" s="19"/>
      <c r="C684" s="19"/>
      <c r="D684" s="19"/>
      <c r="E684" s="19"/>
      <c r="F684" s="19"/>
      <c r="G684" s="19"/>
      <c r="H684" s="19"/>
      <c r="I684" s="19"/>
      <c r="J684" s="19"/>
      <c r="K684" s="421"/>
      <c r="L684" s="23"/>
      <c r="M684" s="19"/>
      <c r="N684" s="19"/>
      <c r="O684" s="19"/>
      <c r="P684" s="19"/>
      <c r="Q684" s="19"/>
    </row>
    <row r="685" spans="2:17" hidden="1">
      <c r="B685" s="19"/>
      <c r="C685" s="19"/>
      <c r="D685" s="19"/>
      <c r="E685" s="19"/>
      <c r="F685" s="19"/>
      <c r="G685" s="19"/>
      <c r="H685" s="19"/>
      <c r="I685" s="19"/>
      <c r="J685" s="19"/>
      <c r="K685" s="421"/>
      <c r="L685" s="23"/>
      <c r="M685" s="19"/>
      <c r="N685" s="19"/>
      <c r="O685" s="19"/>
      <c r="P685" s="19"/>
      <c r="Q685" s="19"/>
    </row>
    <row r="686" spans="2:17" hidden="1">
      <c r="B686" s="19"/>
      <c r="C686" s="19"/>
      <c r="D686" s="19"/>
      <c r="E686" s="19"/>
      <c r="F686" s="19"/>
      <c r="G686" s="19"/>
      <c r="H686" s="19"/>
      <c r="I686" s="19"/>
      <c r="J686" s="19"/>
      <c r="K686" s="421"/>
      <c r="L686" s="23"/>
      <c r="M686" s="19"/>
      <c r="N686" s="19"/>
      <c r="O686" s="19"/>
      <c r="P686" s="19"/>
      <c r="Q686" s="19"/>
    </row>
    <row r="687" spans="2:17" hidden="1">
      <c r="B687" s="19"/>
      <c r="C687" s="19"/>
      <c r="D687" s="19"/>
      <c r="E687" s="19"/>
      <c r="F687" s="19"/>
      <c r="G687" s="19"/>
      <c r="H687" s="19"/>
      <c r="I687" s="19"/>
      <c r="J687" s="19"/>
      <c r="K687" s="421"/>
      <c r="L687" s="23"/>
      <c r="M687" s="19"/>
      <c r="N687" s="19"/>
      <c r="O687" s="19"/>
      <c r="P687" s="19"/>
      <c r="Q687" s="19"/>
    </row>
    <row r="688" spans="2:17" hidden="1">
      <c r="B688" s="19"/>
      <c r="C688" s="19"/>
      <c r="D688" s="19"/>
      <c r="E688" s="19"/>
      <c r="F688" s="19"/>
      <c r="G688" s="19"/>
      <c r="H688" s="19"/>
      <c r="I688" s="19"/>
      <c r="J688" s="19"/>
      <c r="K688" s="421"/>
      <c r="L688" s="23"/>
      <c r="M688" s="19"/>
      <c r="N688" s="19"/>
      <c r="O688" s="19"/>
      <c r="P688" s="19"/>
      <c r="Q688" s="19"/>
    </row>
    <row r="689" spans="2:17" hidden="1">
      <c r="B689" s="19"/>
      <c r="C689" s="19"/>
      <c r="D689" s="19"/>
      <c r="E689" s="19"/>
      <c r="F689" s="19"/>
      <c r="G689" s="19"/>
      <c r="H689" s="19"/>
      <c r="I689" s="19"/>
      <c r="J689" s="19"/>
      <c r="K689" s="421"/>
      <c r="L689" s="23"/>
      <c r="M689" s="19"/>
      <c r="N689" s="19"/>
      <c r="O689" s="19"/>
      <c r="P689" s="19"/>
      <c r="Q689" s="19"/>
    </row>
    <row r="690" spans="2:17" hidden="1">
      <c r="B690" s="19"/>
      <c r="C690" s="19"/>
      <c r="D690" s="19"/>
      <c r="E690" s="19"/>
      <c r="F690" s="19"/>
      <c r="G690" s="19"/>
      <c r="H690" s="19"/>
      <c r="I690" s="19"/>
      <c r="J690" s="19"/>
      <c r="K690" s="421"/>
      <c r="L690" s="23"/>
      <c r="M690" s="19"/>
      <c r="N690" s="19"/>
      <c r="O690" s="19"/>
      <c r="P690" s="19"/>
      <c r="Q690" s="19"/>
    </row>
    <row r="691" spans="2:17" hidden="1">
      <c r="B691" s="19"/>
      <c r="C691" s="19"/>
      <c r="D691" s="19"/>
      <c r="E691" s="19"/>
      <c r="F691" s="19"/>
      <c r="G691" s="19"/>
      <c r="H691" s="19"/>
      <c r="I691" s="19"/>
      <c r="J691" s="19"/>
      <c r="K691" s="421"/>
      <c r="L691" s="23"/>
      <c r="M691" s="19"/>
      <c r="N691" s="19"/>
      <c r="O691" s="19"/>
      <c r="P691" s="19"/>
      <c r="Q691" s="19"/>
    </row>
    <row r="692" spans="2:17" hidden="1">
      <c r="B692" s="19"/>
      <c r="C692" s="19"/>
      <c r="D692" s="19"/>
      <c r="E692" s="19"/>
      <c r="F692" s="19"/>
      <c r="G692" s="19"/>
      <c r="H692" s="19"/>
      <c r="I692" s="19"/>
      <c r="J692" s="19"/>
      <c r="K692" s="421"/>
      <c r="L692" s="23"/>
      <c r="M692" s="19"/>
      <c r="N692" s="19"/>
      <c r="O692" s="19"/>
      <c r="P692" s="19"/>
      <c r="Q692" s="19"/>
    </row>
    <row r="693" spans="2:17" hidden="1">
      <c r="B693" s="19"/>
      <c r="C693" s="19"/>
      <c r="D693" s="19"/>
      <c r="E693" s="19"/>
      <c r="F693" s="19"/>
      <c r="G693" s="19"/>
      <c r="H693" s="19"/>
      <c r="I693" s="19"/>
      <c r="J693" s="19"/>
      <c r="K693" s="421"/>
      <c r="L693" s="23"/>
      <c r="M693" s="19"/>
      <c r="N693" s="19"/>
      <c r="O693" s="19"/>
      <c r="P693" s="19"/>
      <c r="Q693" s="19"/>
    </row>
    <row r="694" spans="2:17" hidden="1">
      <c r="B694" s="19"/>
      <c r="C694" s="19"/>
      <c r="D694" s="19"/>
      <c r="E694" s="19"/>
      <c r="F694" s="19"/>
      <c r="G694" s="19"/>
      <c r="H694" s="19"/>
      <c r="I694" s="19"/>
      <c r="J694" s="19"/>
      <c r="K694" s="421"/>
      <c r="L694" s="23"/>
      <c r="M694" s="19"/>
      <c r="N694" s="19"/>
      <c r="O694" s="19"/>
      <c r="P694" s="19"/>
      <c r="Q694" s="19"/>
    </row>
    <row r="695" spans="2:17" hidden="1">
      <c r="B695" s="19"/>
      <c r="C695" s="19"/>
      <c r="D695" s="19"/>
      <c r="E695" s="19"/>
      <c r="F695" s="19"/>
      <c r="G695" s="19"/>
      <c r="H695" s="19"/>
      <c r="I695" s="19"/>
      <c r="J695" s="19"/>
      <c r="K695" s="421"/>
      <c r="L695" s="23"/>
      <c r="M695" s="19"/>
      <c r="N695" s="19"/>
      <c r="O695" s="19"/>
      <c r="P695" s="19"/>
      <c r="Q695" s="19"/>
    </row>
    <row r="696" spans="2:17" hidden="1">
      <c r="B696" s="19"/>
      <c r="C696" s="19"/>
      <c r="D696" s="19"/>
      <c r="E696" s="19"/>
      <c r="F696" s="19"/>
      <c r="G696" s="19"/>
      <c r="H696" s="19"/>
      <c r="I696" s="19"/>
      <c r="J696" s="19"/>
      <c r="K696" s="421"/>
      <c r="L696" s="23"/>
      <c r="M696" s="19"/>
      <c r="N696" s="19"/>
      <c r="O696" s="19"/>
      <c r="P696" s="19"/>
      <c r="Q696" s="19"/>
    </row>
    <row r="697" spans="2:17" hidden="1">
      <c r="B697" s="19"/>
      <c r="C697" s="19"/>
      <c r="D697" s="19"/>
      <c r="E697" s="19"/>
      <c r="F697" s="19"/>
      <c r="G697" s="19"/>
      <c r="H697" s="19"/>
      <c r="I697" s="19"/>
      <c r="J697" s="19"/>
      <c r="K697" s="421"/>
      <c r="L697" s="23"/>
      <c r="M697" s="19"/>
      <c r="N697" s="19"/>
      <c r="O697" s="19"/>
      <c r="P697" s="19"/>
      <c r="Q697" s="19"/>
    </row>
    <row r="698" spans="2:17" hidden="1">
      <c r="B698" s="19"/>
      <c r="C698" s="19"/>
      <c r="D698" s="19"/>
      <c r="E698" s="19"/>
      <c r="F698" s="19"/>
      <c r="G698" s="19"/>
      <c r="H698" s="19"/>
      <c r="I698" s="19"/>
      <c r="J698" s="19"/>
      <c r="K698" s="421"/>
      <c r="L698" s="23"/>
      <c r="M698" s="19"/>
      <c r="N698" s="19"/>
      <c r="O698" s="19"/>
      <c r="P698" s="19"/>
      <c r="Q698" s="19"/>
    </row>
    <row r="699" spans="2:17" hidden="1">
      <c r="B699" s="19"/>
      <c r="C699" s="19"/>
      <c r="D699" s="19"/>
      <c r="E699" s="19"/>
      <c r="F699" s="19"/>
      <c r="G699" s="19"/>
      <c r="H699" s="19"/>
      <c r="I699" s="19"/>
      <c r="J699" s="19"/>
      <c r="K699" s="421"/>
      <c r="L699" s="23"/>
      <c r="M699" s="19"/>
      <c r="N699" s="19"/>
      <c r="O699" s="19"/>
      <c r="P699" s="19"/>
      <c r="Q699" s="19"/>
    </row>
    <row r="700" spans="2:17" hidden="1">
      <c r="B700" s="19"/>
      <c r="C700" s="19"/>
      <c r="D700" s="19"/>
      <c r="E700" s="19"/>
      <c r="F700" s="19"/>
      <c r="G700" s="19"/>
      <c r="H700" s="19"/>
      <c r="I700" s="19"/>
      <c r="J700" s="19"/>
      <c r="K700" s="421"/>
      <c r="L700" s="23"/>
      <c r="M700" s="19"/>
      <c r="N700" s="19"/>
      <c r="O700" s="19"/>
      <c r="P700" s="19"/>
      <c r="Q700" s="19"/>
    </row>
    <row r="701" spans="2:17" hidden="1">
      <c r="B701" s="19"/>
      <c r="C701" s="19"/>
      <c r="D701" s="19"/>
      <c r="E701" s="19"/>
      <c r="F701" s="19"/>
      <c r="G701" s="19"/>
      <c r="H701" s="19"/>
      <c r="I701" s="19"/>
      <c r="J701" s="19"/>
      <c r="K701" s="421"/>
      <c r="L701" s="23"/>
      <c r="M701" s="19"/>
      <c r="N701" s="19"/>
      <c r="O701" s="19"/>
      <c r="P701" s="19"/>
      <c r="Q701" s="19"/>
    </row>
    <row r="702" spans="2:17" hidden="1">
      <c r="B702" s="19"/>
      <c r="C702" s="19"/>
      <c r="D702" s="19"/>
      <c r="E702" s="19"/>
      <c r="F702" s="19"/>
      <c r="G702" s="19"/>
      <c r="H702" s="19"/>
      <c r="I702" s="19"/>
      <c r="J702" s="19"/>
      <c r="K702" s="421"/>
      <c r="L702" s="23"/>
      <c r="M702" s="19"/>
      <c r="N702" s="19"/>
      <c r="O702" s="19"/>
      <c r="P702" s="19"/>
      <c r="Q702" s="19"/>
    </row>
    <row r="703" spans="2:17" hidden="1">
      <c r="B703" s="19"/>
      <c r="C703" s="19"/>
      <c r="D703" s="19"/>
      <c r="E703" s="19"/>
      <c r="F703" s="19"/>
      <c r="G703" s="19"/>
      <c r="H703" s="19"/>
      <c r="I703" s="19"/>
      <c r="J703" s="19"/>
      <c r="K703" s="421"/>
      <c r="L703" s="23"/>
      <c r="M703" s="19"/>
      <c r="N703" s="19"/>
      <c r="O703" s="19"/>
      <c r="P703" s="19"/>
      <c r="Q703" s="19"/>
    </row>
    <row r="704" spans="2:17" hidden="1">
      <c r="B704" s="19"/>
      <c r="C704" s="19"/>
      <c r="D704" s="19"/>
      <c r="E704" s="19"/>
      <c r="F704" s="19"/>
      <c r="G704" s="19"/>
      <c r="H704" s="19"/>
      <c r="I704" s="19"/>
      <c r="J704" s="19"/>
      <c r="K704" s="421"/>
      <c r="L704" s="23"/>
      <c r="M704" s="19"/>
      <c r="N704" s="19"/>
      <c r="O704" s="19"/>
      <c r="P704" s="19"/>
      <c r="Q704" s="19"/>
    </row>
    <row r="705" spans="2:17" hidden="1">
      <c r="B705" s="19"/>
      <c r="C705" s="19"/>
      <c r="D705" s="19"/>
      <c r="E705" s="19"/>
      <c r="F705" s="19"/>
      <c r="G705" s="19"/>
      <c r="H705" s="19"/>
      <c r="I705" s="19"/>
      <c r="J705" s="19"/>
      <c r="K705" s="421"/>
      <c r="L705" s="23"/>
      <c r="M705" s="19"/>
      <c r="N705" s="19"/>
      <c r="O705" s="19"/>
      <c r="P705" s="19"/>
      <c r="Q705" s="19"/>
    </row>
    <row r="706" spans="2:17" hidden="1">
      <c r="B706" s="19"/>
      <c r="C706" s="19"/>
      <c r="D706" s="19"/>
      <c r="E706" s="19"/>
      <c r="F706" s="19"/>
      <c r="G706" s="19"/>
      <c r="H706" s="19"/>
      <c r="I706" s="19"/>
      <c r="J706" s="19"/>
      <c r="K706" s="421"/>
      <c r="L706" s="23"/>
      <c r="M706" s="19"/>
      <c r="N706" s="19"/>
      <c r="O706" s="19"/>
      <c r="P706" s="19"/>
      <c r="Q706" s="19"/>
    </row>
    <row r="707" spans="2:17" hidden="1">
      <c r="B707" s="19"/>
      <c r="C707" s="19"/>
      <c r="D707" s="19"/>
      <c r="E707" s="19"/>
      <c r="F707" s="19"/>
      <c r="G707" s="19"/>
      <c r="H707" s="19"/>
      <c r="I707" s="19"/>
      <c r="J707" s="19"/>
      <c r="K707" s="421"/>
      <c r="L707" s="23"/>
      <c r="M707" s="19"/>
      <c r="N707" s="19"/>
      <c r="O707" s="19"/>
      <c r="P707" s="19"/>
      <c r="Q707" s="19"/>
    </row>
    <row r="708" spans="2:17" hidden="1">
      <c r="B708" s="19"/>
      <c r="C708" s="19"/>
      <c r="D708" s="19"/>
      <c r="E708" s="19"/>
      <c r="F708" s="19"/>
      <c r="G708" s="19"/>
      <c r="H708" s="19"/>
      <c r="I708" s="19"/>
      <c r="J708" s="19"/>
      <c r="K708" s="421"/>
      <c r="L708" s="23"/>
      <c r="M708" s="19"/>
      <c r="N708" s="19"/>
      <c r="O708" s="19"/>
      <c r="P708" s="19"/>
      <c r="Q708" s="19"/>
    </row>
    <row r="709" spans="2:17" hidden="1">
      <c r="B709" s="19"/>
      <c r="C709" s="19"/>
      <c r="D709" s="19"/>
      <c r="E709" s="19"/>
      <c r="F709" s="19"/>
      <c r="G709" s="19"/>
      <c r="H709" s="19"/>
      <c r="I709" s="19"/>
      <c r="J709" s="19"/>
      <c r="K709" s="421"/>
      <c r="L709" s="23"/>
      <c r="M709" s="19"/>
      <c r="N709" s="19"/>
      <c r="O709" s="19"/>
      <c r="P709" s="19"/>
      <c r="Q709" s="19"/>
    </row>
    <row r="710" spans="2:17" hidden="1">
      <c r="B710" s="19"/>
      <c r="C710" s="19"/>
      <c r="D710" s="19"/>
      <c r="E710" s="19"/>
      <c r="F710" s="19"/>
      <c r="G710" s="19"/>
      <c r="H710" s="19"/>
      <c r="I710" s="19"/>
      <c r="J710" s="19"/>
      <c r="K710" s="421"/>
      <c r="L710" s="23"/>
      <c r="M710" s="19"/>
      <c r="N710" s="19"/>
      <c r="O710" s="19"/>
      <c r="P710" s="19"/>
      <c r="Q710" s="19"/>
    </row>
    <row r="711" spans="2:17" hidden="1">
      <c r="B711" s="19"/>
      <c r="C711" s="19"/>
      <c r="D711" s="19"/>
      <c r="E711" s="19"/>
      <c r="F711" s="19"/>
      <c r="G711" s="19"/>
      <c r="H711" s="19"/>
      <c r="I711" s="19"/>
      <c r="J711" s="19"/>
      <c r="K711" s="421"/>
      <c r="L711" s="23"/>
      <c r="M711" s="19"/>
      <c r="N711" s="19"/>
      <c r="O711" s="19"/>
      <c r="P711" s="19"/>
      <c r="Q711" s="19"/>
    </row>
    <row r="712" spans="2:17" hidden="1">
      <c r="B712" s="19"/>
      <c r="C712" s="19"/>
      <c r="D712" s="19"/>
      <c r="E712" s="19"/>
      <c r="F712" s="19"/>
      <c r="G712" s="19"/>
      <c r="H712" s="19"/>
      <c r="I712" s="19"/>
      <c r="J712" s="19"/>
      <c r="K712" s="421"/>
      <c r="L712" s="23"/>
      <c r="M712" s="19"/>
      <c r="N712" s="19"/>
      <c r="O712" s="19"/>
      <c r="P712" s="19"/>
      <c r="Q712" s="19"/>
    </row>
    <row r="713" spans="2:17" hidden="1">
      <c r="B713" s="19"/>
      <c r="C713" s="19"/>
      <c r="D713" s="19"/>
      <c r="E713" s="19"/>
      <c r="F713" s="19"/>
      <c r="G713" s="19"/>
      <c r="H713" s="19"/>
      <c r="I713" s="19"/>
      <c r="J713" s="19"/>
      <c r="K713" s="421"/>
      <c r="L713" s="23"/>
      <c r="M713" s="19"/>
      <c r="N713" s="19"/>
      <c r="O713" s="19"/>
      <c r="P713" s="19"/>
      <c r="Q713" s="19"/>
    </row>
    <row r="714" spans="2:17" hidden="1">
      <c r="B714" s="19"/>
      <c r="C714" s="19"/>
      <c r="D714" s="19"/>
      <c r="E714" s="19"/>
      <c r="F714" s="19"/>
      <c r="G714" s="19"/>
      <c r="H714" s="19"/>
      <c r="I714" s="19"/>
      <c r="J714" s="19"/>
      <c r="K714" s="421"/>
      <c r="L714" s="23"/>
      <c r="M714" s="19"/>
      <c r="N714" s="19"/>
      <c r="O714" s="19"/>
      <c r="P714" s="19"/>
      <c r="Q714" s="19"/>
    </row>
    <row r="715" spans="2:17" hidden="1">
      <c r="B715" s="19"/>
      <c r="C715" s="19"/>
      <c r="D715" s="19"/>
      <c r="E715" s="19"/>
      <c r="F715" s="19"/>
      <c r="G715" s="19"/>
      <c r="H715" s="19"/>
      <c r="I715" s="19"/>
      <c r="J715" s="19"/>
      <c r="K715" s="421"/>
      <c r="L715" s="23"/>
      <c r="M715" s="19"/>
      <c r="N715" s="19"/>
      <c r="O715" s="19"/>
      <c r="P715" s="19"/>
      <c r="Q715" s="19"/>
    </row>
    <row r="716" spans="2:17" hidden="1">
      <c r="B716" s="19"/>
      <c r="C716" s="19"/>
      <c r="D716" s="19"/>
      <c r="E716" s="19"/>
      <c r="F716" s="19"/>
      <c r="G716" s="19"/>
      <c r="H716" s="19"/>
      <c r="I716" s="19"/>
      <c r="J716" s="19"/>
      <c r="K716" s="421"/>
      <c r="L716" s="23"/>
      <c r="M716" s="19"/>
      <c r="N716" s="19"/>
      <c r="O716" s="19"/>
      <c r="P716" s="19"/>
      <c r="Q716" s="19"/>
    </row>
    <row r="717" spans="2:17" hidden="1">
      <c r="B717" s="19"/>
      <c r="C717" s="19"/>
      <c r="D717" s="19"/>
      <c r="E717" s="19"/>
      <c r="F717" s="19"/>
      <c r="G717" s="19"/>
      <c r="H717" s="19"/>
      <c r="I717" s="19"/>
      <c r="J717" s="19"/>
      <c r="K717" s="421"/>
      <c r="L717" s="23"/>
      <c r="M717" s="19"/>
      <c r="N717" s="19"/>
      <c r="O717" s="19"/>
      <c r="P717" s="19"/>
      <c r="Q717" s="19"/>
    </row>
    <row r="718" spans="2:17" hidden="1">
      <c r="B718" s="19"/>
      <c r="C718" s="19"/>
      <c r="D718" s="19"/>
      <c r="E718" s="19"/>
      <c r="F718" s="19"/>
      <c r="G718" s="19"/>
      <c r="H718" s="19"/>
      <c r="I718" s="19"/>
      <c r="J718" s="19"/>
      <c r="K718" s="421"/>
      <c r="L718" s="23"/>
      <c r="M718" s="19"/>
      <c r="N718" s="19"/>
      <c r="O718" s="19"/>
      <c r="P718" s="19"/>
      <c r="Q718" s="19"/>
    </row>
    <row r="719" spans="2:17" hidden="1">
      <c r="B719" s="19"/>
      <c r="C719" s="19"/>
      <c r="D719" s="19"/>
      <c r="E719" s="19"/>
      <c r="F719" s="19"/>
      <c r="G719" s="19"/>
      <c r="H719" s="19"/>
      <c r="I719" s="19"/>
      <c r="J719" s="19"/>
      <c r="K719" s="421"/>
      <c r="L719" s="23"/>
      <c r="M719" s="19"/>
      <c r="N719" s="19"/>
      <c r="O719" s="19"/>
      <c r="P719" s="19"/>
      <c r="Q719" s="19"/>
    </row>
    <row r="720" spans="2:17" hidden="1">
      <c r="B720" s="19"/>
      <c r="C720" s="19"/>
      <c r="D720" s="19"/>
      <c r="E720" s="19"/>
      <c r="F720" s="19"/>
      <c r="G720" s="19"/>
      <c r="H720" s="19"/>
      <c r="I720" s="19"/>
      <c r="J720" s="19"/>
      <c r="K720" s="421"/>
      <c r="L720" s="23"/>
      <c r="M720" s="19"/>
      <c r="N720" s="19"/>
      <c r="O720" s="19"/>
      <c r="P720" s="19"/>
      <c r="Q720" s="19"/>
    </row>
    <row r="721" spans="2:17" hidden="1">
      <c r="B721" s="19"/>
      <c r="C721" s="19"/>
      <c r="D721" s="19"/>
      <c r="E721" s="19"/>
      <c r="F721" s="19"/>
      <c r="G721" s="19"/>
      <c r="H721" s="19"/>
      <c r="I721" s="19"/>
      <c r="J721" s="19"/>
      <c r="K721" s="421"/>
      <c r="L721" s="23"/>
      <c r="M721" s="19"/>
      <c r="N721" s="19"/>
      <c r="O721" s="19"/>
      <c r="P721" s="19"/>
      <c r="Q721" s="19"/>
    </row>
    <row r="722" spans="2:17" hidden="1">
      <c r="B722" s="19"/>
      <c r="C722" s="19"/>
      <c r="D722" s="19"/>
      <c r="E722" s="19"/>
      <c r="F722" s="19"/>
      <c r="G722" s="19"/>
      <c r="H722" s="19"/>
      <c r="I722" s="19"/>
      <c r="J722" s="19"/>
      <c r="K722" s="421"/>
      <c r="L722" s="23"/>
      <c r="M722" s="19"/>
      <c r="N722" s="19"/>
      <c r="O722" s="19"/>
      <c r="P722" s="19"/>
      <c r="Q722" s="19"/>
    </row>
    <row r="723" spans="2:17" hidden="1">
      <c r="B723" s="19"/>
      <c r="C723" s="19"/>
      <c r="D723" s="19"/>
      <c r="E723" s="19"/>
      <c r="F723" s="19"/>
      <c r="G723" s="19"/>
      <c r="H723" s="19"/>
      <c r="I723" s="19"/>
      <c r="J723" s="19"/>
      <c r="K723" s="421"/>
      <c r="L723" s="23"/>
      <c r="M723" s="19"/>
      <c r="N723" s="19"/>
      <c r="O723" s="19"/>
      <c r="P723" s="19"/>
      <c r="Q723" s="19"/>
    </row>
    <row r="724" spans="2:17" hidden="1">
      <c r="B724" s="19"/>
      <c r="C724" s="19"/>
      <c r="D724" s="19"/>
      <c r="E724" s="19"/>
      <c r="F724" s="19"/>
      <c r="G724" s="19"/>
      <c r="H724" s="19"/>
      <c r="I724" s="19"/>
      <c r="J724" s="19"/>
      <c r="K724" s="421"/>
      <c r="L724" s="23"/>
      <c r="M724" s="19"/>
      <c r="N724" s="19"/>
      <c r="O724" s="19"/>
      <c r="P724" s="19"/>
      <c r="Q724" s="19"/>
    </row>
    <row r="725" spans="2:17" hidden="1">
      <c r="B725" s="19"/>
      <c r="C725" s="19"/>
      <c r="D725" s="19"/>
      <c r="E725" s="19"/>
      <c r="F725" s="19"/>
      <c r="G725" s="19"/>
      <c r="H725" s="19"/>
      <c r="I725" s="19"/>
      <c r="J725" s="19"/>
      <c r="K725" s="421"/>
      <c r="L725" s="23"/>
      <c r="M725" s="19"/>
      <c r="N725" s="19"/>
      <c r="O725" s="19"/>
      <c r="P725" s="19"/>
      <c r="Q725" s="19"/>
    </row>
    <row r="726" spans="2:17" hidden="1">
      <c r="B726" s="19"/>
      <c r="C726" s="19"/>
      <c r="D726" s="19"/>
      <c r="E726" s="19"/>
      <c r="F726" s="19"/>
      <c r="G726" s="19"/>
      <c r="H726" s="19"/>
      <c r="I726" s="19"/>
      <c r="J726" s="19"/>
      <c r="K726" s="421"/>
      <c r="L726" s="23"/>
      <c r="M726" s="19"/>
      <c r="N726" s="19"/>
      <c r="O726" s="19"/>
      <c r="P726" s="19"/>
      <c r="Q726" s="19"/>
    </row>
    <row r="727" spans="2:17" hidden="1">
      <c r="B727" s="19"/>
      <c r="C727" s="19"/>
      <c r="D727" s="19"/>
      <c r="E727" s="19"/>
      <c r="F727" s="19"/>
      <c r="G727" s="19"/>
      <c r="H727" s="19"/>
      <c r="I727" s="19"/>
      <c r="J727" s="19"/>
      <c r="K727" s="421"/>
      <c r="L727" s="23"/>
      <c r="M727" s="19"/>
      <c r="N727" s="19"/>
      <c r="O727" s="19"/>
      <c r="P727" s="19"/>
      <c r="Q727" s="19"/>
    </row>
    <row r="728" spans="2:17" hidden="1">
      <c r="B728" s="19"/>
      <c r="C728" s="19"/>
      <c r="D728" s="19"/>
      <c r="E728" s="19"/>
      <c r="F728" s="19"/>
      <c r="G728" s="19"/>
      <c r="H728" s="19"/>
      <c r="I728" s="19"/>
      <c r="J728" s="19"/>
      <c r="K728" s="421"/>
      <c r="L728" s="23"/>
      <c r="M728" s="19"/>
      <c r="N728" s="19"/>
      <c r="O728" s="19"/>
      <c r="P728" s="19"/>
      <c r="Q728" s="19"/>
    </row>
    <row r="729" spans="2:17" hidden="1">
      <c r="B729" s="19"/>
      <c r="C729" s="19"/>
      <c r="D729" s="19"/>
      <c r="E729" s="19"/>
      <c r="F729" s="19"/>
      <c r="G729" s="19"/>
      <c r="H729" s="19"/>
      <c r="I729" s="19"/>
      <c r="J729" s="19"/>
      <c r="K729" s="421"/>
      <c r="L729" s="23"/>
      <c r="M729" s="19"/>
      <c r="N729" s="19"/>
      <c r="O729" s="19"/>
      <c r="P729" s="19"/>
      <c r="Q729" s="19"/>
    </row>
    <row r="730" spans="2:17" hidden="1">
      <c r="B730" s="19"/>
      <c r="C730" s="19"/>
      <c r="D730" s="19"/>
      <c r="E730" s="19"/>
      <c r="F730" s="19"/>
      <c r="G730" s="19"/>
      <c r="H730" s="19"/>
      <c r="I730" s="19"/>
      <c r="J730" s="19"/>
      <c r="K730" s="421"/>
      <c r="L730" s="23"/>
      <c r="M730" s="19"/>
      <c r="N730" s="19"/>
      <c r="O730" s="19"/>
      <c r="P730" s="19"/>
      <c r="Q730" s="19"/>
    </row>
    <row r="731" spans="2:17" hidden="1">
      <c r="B731" s="19"/>
      <c r="C731" s="19"/>
      <c r="D731" s="19"/>
      <c r="E731" s="19"/>
      <c r="F731" s="19"/>
      <c r="G731" s="19"/>
      <c r="H731" s="19"/>
      <c r="I731" s="19"/>
      <c r="J731" s="19"/>
      <c r="K731" s="421"/>
      <c r="L731" s="23"/>
      <c r="M731" s="19"/>
      <c r="N731" s="19"/>
      <c r="O731" s="19"/>
      <c r="P731" s="19"/>
      <c r="Q731" s="19"/>
    </row>
    <row r="732" spans="2:17" hidden="1">
      <c r="B732" s="19"/>
      <c r="C732" s="19"/>
      <c r="D732" s="19"/>
      <c r="E732" s="19"/>
      <c r="F732" s="19"/>
      <c r="G732" s="19"/>
      <c r="H732" s="19"/>
      <c r="I732" s="19"/>
      <c r="J732" s="19"/>
      <c r="K732" s="421"/>
      <c r="L732" s="23"/>
      <c r="M732" s="19"/>
      <c r="N732" s="19"/>
      <c r="O732" s="19"/>
      <c r="P732" s="19"/>
      <c r="Q732" s="19"/>
    </row>
    <row r="733" spans="2:17" hidden="1">
      <c r="B733" s="19"/>
      <c r="C733" s="19"/>
      <c r="D733" s="19"/>
      <c r="E733" s="19"/>
      <c r="F733" s="19"/>
      <c r="G733" s="19"/>
      <c r="H733" s="19"/>
      <c r="I733" s="19"/>
      <c r="J733" s="19"/>
      <c r="K733" s="421"/>
      <c r="L733" s="23"/>
      <c r="M733" s="19"/>
      <c r="N733" s="19"/>
      <c r="O733" s="19"/>
      <c r="P733" s="19"/>
      <c r="Q733" s="19"/>
    </row>
    <row r="734" spans="2:17" hidden="1">
      <c r="B734" s="19"/>
      <c r="C734" s="19"/>
      <c r="D734" s="19"/>
      <c r="E734" s="19"/>
      <c r="F734" s="19"/>
      <c r="G734" s="19"/>
      <c r="H734" s="19"/>
      <c r="I734" s="19"/>
      <c r="J734" s="19"/>
      <c r="K734" s="421"/>
      <c r="L734" s="23"/>
      <c r="M734" s="19"/>
      <c r="N734" s="19"/>
      <c r="O734" s="19"/>
      <c r="P734" s="19"/>
      <c r="Q734" s="19"/>
    </row>
    <row r="735" spans="2:17" hidden="1">
      <c r="B735" s="19"/>
      <c r="C735" s="19"/>
      <c r="D735" s="19"/>
      <c r="E735" s="19"/>
      <c r="F735" s="19"/>
      <c r="G735" s="19"/>
      <c r="H735" s="19"/>
      <c r="I735" s="19"/>
      <c r="J735" s="19"/>
      <c r="K735" s="421"/>
      <c r="L735" s="23"/>
      <c r="M735" s="19"/>
      <c r="N735" s="19"/>
      <c r="O735" s="19"/>
      <c r="P735" s="19"/>
      <c r="Q735" s="19"/>
    </row>
    <row r="736" spans="2:17" hidden="1">
      <c r="B736" s="19"/>
      <c r="C736" s="19"/>
      <c r="D736" s="19"/>
      <c r="E736" s="19"/>
      <c r="F736" s="19"/>
      <c r="G736" s="19"/>
      <c r="H736" s="19"/>
      <c r="I736" s="19"/>
      <c r="J736" s="19"/>
      <c r="K736" s="421"/>
      <c r="L736" s="23"/>
      <c r="M736" s="19"/>
      <c r="N736" s="19"/>
      <c r="O736" s="19"/>
      <c r="P736" s="19"/>
      <c r="Q736" s="19"/>
    </row>
    <row r="737" spans="2:17" hidden="1">
      <c r="B737" s="19"/>
      <c r="C737" s="19"/>
      <c r="D737" s="19"/>
      <c r="E737" s="19"/>
      <c r="F737" s="19"/>
      <c r="G737" s="19"/>
      <c r="H737" s="19"/>
      <c r="I737" s="19"/>
      <c r="J737" s="19"/>
      <c r="K737" s="421"/>
      <c r="L737" s="23"/>
      <c r="M737" s="19"/>
      <c r="N737" s="19"/>
      <c r="O737" s="19"/>
      <c r="P737" s="19"/>
      <c r="Q737" s="19"/>
    </row>
    <row r="738" spans="2:17" hidden="1">
      <c r="B738" s="19"/>
      <c r="C738" s="19"/>
      <c r="D738" s="19"/>
      <c r="E738" s="19"/>
      <c r="F738" s="19"/>
      <c r="G738" s="19"/>
      <c r="H738" s="19"/>
      <c r="I738" s="19"/>
      <c r="J738" s="19"/>
      <c r="K738" s="421"/>
      <c r="L738" s="23"/>
      <c r="M738" s="19"/>
      <c r="N738" s="19"/>
      <c r="O738" s="19"/>
      <c r="P738" s="19"/>
      <c r="Q738" s="19"/>
    </row>
    <row r="739" spans="2:17" hidden="1">
      <c r="B739" s="19"/>
      <c r="C739" s="19"/>
      <c r="D739" s="19"/>
      <c r="E739" s="19"/>
      <c r="F739" s="19"/>
      <c r="G739" s="19"/>
      <c r="H739" s="19"/>
      <c r="I739" s="19"/>
      <c r="J739" s="19"/>
      <c r="K739" s="421"/>
      <c r="L739" s="23"/>
      <c r="M739" s="19"/>
      <c r="N739" s="19"/>
      <c r="O739" s="19"/>
      <c r="P739" s="19"/>
      <c r="Q739" s="19"/>
    </row>
    <row r="740" spans="2:17" hidden="1">
      <c r="B740" s="19"/>
      <c r="C740" s="19"/>
      <c r="D740" s="19"/>
      <c r="E740" s="19"/>
      <c r="F740" s="19"/>
      <c r="G740" s="19"/>
      <c r="H740" s="19"/>
      <c r="I740" s="19"/>
      <c r="J740" s="19"/>
      <c r="K740" s="421"/>
      <c r="L740" s="23"/>
      <c r="M740" s="19"/>
      <c r="N740" s="19"/>
      <c r="O740" s="19"/>
      <c r="P740" s="19"/>
      <c r="Q740" s="19"/>
    </row>
    <row r="741" spans="2:17" hidden="1">
      <c r="B741" s="19"/>
      <c r="C741" s="19"/>
      <c r="D741" s="19"/>
      <c r="E741" s="19"/>
      <c r="F741" s="19"/>
      <c r="G741" s="19"/>
      <c r="H741" s="19"/>
      <c r="I741" s="19"/>
      <c r="J741" s="19"/>
      <c r="K741" s="421"/>
      <c r="L741" s="23"/>
      <c r="M741" s="19"/>
      <c r="N741" s="19"/>
      <c r="O741" s="19"/>
      <c r="P741" s="19"/>
      <c r="Q741" s="19"/>
    </row>
    <row r="742" spans="2:17" hidden="1">
      <c r="B742" s="19"/>
      <c r="C742" s="19"/>
      <c r="D742" s="19"/>
      <c r="E742" s="19"/>
      <c r="F742" s="19"/>
      <c r="G742" s="19"/>
      <c r="H742" s="19"/>
      <c r="I742" s="19"/>
      <c r="J742" s="19"/>
      <c r="K742" s="421"/>
      <c r="L742" s="23"/>
      <c r="M742" s="19"/>
      <c r="N742" s="19"/>
      <c r="O742" s="19"/>
      <c r="P742" s="19"/>
      <c r="Q742" s="19"/>
    </row>
    <row r="743" spans="2:17" hidden="1">
      <c r="B743" s="19"/>
      <c r="C743" s="19"/>
      <c r="D743" s="19"/>
      <c r="E743" s="19"/>
      <c r="F743" s="19"/>
      <c r="G743" s="19"/>
      <c r="H743" s="19"/>
      <c r="I743" s="19"/>
      <c r="J743" s="19"/>
      <c r="K743" s="421"/>
      <c r="L743" s="23"/>
      <c r="M743" s="19"/>
      <c r="N743" s="19"/>
      <c r="O743" s="19"/>
      <c r="P743" s="19"/>
      <c r="Q743" s="19"/>
    </row>
    <row r="744" spans="2:17" hidden="1">
      <c r="B744" s="19"/>
      <c r="C744" s="19"/>
      <c r="D744" s="19"/>
      <c r="E744" s="19"/>
      <c r="F744" s="19"/>
      <c r="G744" s="19"/>
      <c r="H744" s="19"/>
      <c r="I744" s="19"/>
      <c r="J744" s="19"/>
      <c r="K744" s="421"/>
      <c r="L744" s="23"/>
      <c r="M744" s="19"/>
      <c r="N744" s="19"/>
      <c r="O744" s="19"/>
      <c r="P744" s="19"/>
      <c r="Q744" s="19"/>
    </row>
    <row r="745" spans="2:17" hidden="1">
      <c r="B745" s="19"/>
      <c r="C745" s="19"/>
      <c r="D745" s="19"/>
      <c r="E745" s="19"/>
      <c r="F745" s="19"/>
      <c r="G745" s="19"/>
      <c r="H745" s="19"/>
      <c r="I745" s="19"/>
      <c r="J745" s="19"/>
      <c r="K745" s="421"/>
      <c r="L745" s="23"/>
      <c r="M745" s="19"/>
      <c r="N745" s="19"/>
      <c r="O745" s="19"/>
      <c r="P745" s="19"/>
      <c r="Q745" s="19"/>
    </row>
    <row r="746" spans="2:17" hidden="1">
      <c r="B746" s="19"/>
      <c r="C746" s="19"/>
      <c r="D746" s="19"/>
      <c r="E746" s="19"/>
      <c r="F746" s="19"/>
      <c r="G746" s="19"/>
      <c r="H746" s="19"/>
      <c r="I746" s="19"/>
      <c r="J746" s="19"/>
      <c r="K746" s="421"/>
      <c r="L746" s="23"/>
      <c r="M746" s="19"/>
      <c r="N746" s="19"/>
      <c r="O746" s="19"/>
      <c r="P746" s="19"/>
      <c r="Q746" s="19"/>
    </row>
    <row r="747" spans="2:17" hidden="1">
      <c r="B747" s="19"/>
      <c r="C747" s="19"/>
      <c r="D747" s="19"/>
      <c r="E747" s="19"/>
      <c r="F747" s="19"/>
      <c r="G747" s="19"/>
      <c r="H747" s="19"/>
      <c r="I747" s="19"/>
      <c r="J747" s="19"/>
      <c r="K747" s="421"/>
      <c r="L747" s="23"/>
      <c r="M747" s="19"/>
      <c r="N747" s="19"/>
      <c r="O747" s="19"/>
      <c r="P747" s="19"/>
      <c r="Q747" s="19"/>
    </row>
    <row r="748" spans="2:17" hidden="1">
      <c r="B748" s="19"/>
      <c r="C748" s="19"/>
      <c r="D748" s="19"/>
      <c r="E748" s="19"/>
      <c r="F748" s="19"/>
      <c r="G748" s="19"/>
      <c r="H748" s="19"/>
      <c r="I748" s="19"/>
      <c r="J748" s="19"/>
      <c r="K748" s="421"/>
      <c r="L748" s="23"/>
      <c r="M748" s="19"/>
      <c r="N748" s="19"/>
      <c r="O748" s="19"/>
      <c r="P748" s="19"/>
      <c r="Q748" s="19"/>
    </row>
    <row r="749" spans="2:17" hidden="1">
      <c r="B749" s="19"/>
      <c r="C749" s="19"/>
      <c r="D749" s="19"/>
      <c r="E749" s="19"/>
      <c r="F749" s="19"/>
      <c r="G749" s="19"/>
      <c r="H749" s="19"/>
      <c r="I749" s="19"/>
      <c r="J749" s="19"/>
      <c r="K749" s="421"/>
      <c r="L749" s="23"/>
      <c r="M749" s="19"/>
      <c r="N749" s="19"/>
      <c r="O749" s="19"/>
      <c r="P749" s="19"/>
      <c r="Q749" s="19"/>
    </row>
    <row r="750" spans="2:17" hidden="1">
      <c r="B750" s="19"/>
      <c r="C750" s="19"/>
      <c r="D750" s="19"/>
      <c r="E750" s="19"/>
      <c r="F750" s="19"/>
      <c r="G750" s="19"/>
      <c r="H750" s="19"/>
      <c r="I750" s="19"/>
      <c r="J750" s="19"/>
      <c r="K750" s="421"/>
      <c r="L750" s="23"/>
      <c r="M750" s="19"/>
      <c r="N750" s="19"/>
      <c r="O750" s="19"/>
      <c r="P750" s="19"/>
      <c r="Q750" s="19"/>
    </row>
    <row r="751" spans="2:17" hidden="1">
      <c r="B751" s="19"/>
      <c r="C751" s="19"/>
      <c r="D751" s="19"/>
      <c r="E751" s="19"/>
      <c r="F751" s="19"/>
      <c r="G751" s="19"/>
      <c r="H751" s="19"/>
      <c r="I751" s="19"/>
      <c r="J751" s="19"/>
      <c r="K751" s="421"/>
      <c r="L751" s="23"/>
      <c r="M751" s="19"/>
      <c r="N751" s="19"/>
      <c r="O751" s="19"/>
      <c r="P751" s="19"/>
      <c r="Q751" s="19"/>
    </row>
    <row r="752" spans="2:17" hidden="1">
      <c r="B752" s="19"/>
      <c r="C752" s="19"/>
      <c r="D752" s="19"/>
      <c r="E752" s="19"/>
      <c r="F752" s="19"/>
      <c r="G752" s="19"/>
      <c r="H752" s="19"/>
      <c r="I752" s="19"/>
      <c r="J752" s="19"/>
      <c r="K752" s="421"/>
      <c r="L752" s="23"/>
      <c r="M752" s="19"/>
      <c r="N752" s="19"/>
      <c r="O752" s="19"/>
      <c r="P752" s="19"/>
      <c r="Q752" s="19"/>
    </row>
    <row r="753" spans="2:17" hidden="1">
      <c r="B753" s="19"/>
      <c r="C753" s="19"/>
      <c r="D753" s="19"/>
      <c r="E753" s="19"/>
      <c r="F753" s="19"/>
      <c r="G753" s="19"/>
      <c r="H753" s="19"/>
      <c r="I753" s="19"/>
      <c r="J753" s="19"/>
      <c r="K753" s="421"/>
      <c r="L753" s="23"/>
      <c r="M753" s="19"/>
      <c r="N753" s="19"/>
      <c r="O753" s="19"/>
      <c r="P753" s="19"/>
      <c r="Q753" s="19"/>
    </row>
    <row r="754" spans="2:17" hidden="1">
      <c r="B754" s="19"/>
      <c r="C754" s="19"/>
      <c r="D754" s="19"/>
      <c r="E754" s="19"/>
      <c r="F754" s="19"/>
      <c r="G754" s="19"/>
      <c r="H754" s="19"/>
      <c r="I754" s="19"/>
      <c r="J754" s="19"/>
      <c r="K754" s="421"/>
      <c r="L754" s="23"/>
      <c r="M754" s="19"/>
      <c r="N754" s="19"/>
      <c r="O754" s="19"/>
      <c r="P754" s="19"/>
      <c r="Q754" s="19"/>
    </row>
    <row r="755" spans="2:17" hidden="1">
      <c r="B755" s="19"/>
      <c r="C755" s="19"/>
      <c r="D755" s="19"/>
      <c r="E755" s="19"/>
      <c r="F755" s="19"/>
      <c r="G755" s="19"/>
      <c r="H755" s="19"/>
      <c r="I755" s="19"/>
      <c r="J755" s="19"/>
      <c r="K755" s="421"/>
      <c r="L755" s="23"/>
      <c r="M755" s="19"/>
      <c r="N755" s="19"/>
      <c r="O755" s="19"/>
      <c r="P755" s="19"/>
      <c r="Q755" s="19"/>
    </row>
    <row r="756" spans="2:17" hidden="1">
      <c r="B756" s="19"/>
      <c r="C756" s="19"/>
      <c r="D756" s="19"/>
      <c r="E756" s="19"/>
      <c r="F756" s="19"/>
      <c r="G756" s="19"/>
      <c r="H756" s="19"/>
      <c r="I756" s="19"/>
      <c r="J756" s="19"/>
      <c r="K756" s="421"/>
      <c r="L756" s="23"/>
      <c r="M756" s="19"/>
      <c r="N756" s="19"/>
      <c r="O756" s="19"/>
      <c r="P756" s="19"/>
      <c r="Q756" s="19"/>
    </row>
    <row r="757" spans="2:17" hidden="1">
      <c r="B757" s="19"/>
      <c r="C757" s="19"/>
      <c r="D757" s="19"/>
      <c r="E757" s="19"/>
      <c r="F757" s="19"/>
      <c r="G757" s="19"/>
      <c r="H757" s="19"/>
      <c r="I757" s="19"/>
      <c r="J757" s="19"/>
      <c r="K757" s="421"/>
      <c r="L757" s="23"/>
      <c r="M757" s="19"/>
      <c r="N757" s="19"/>
      <c r="O757" s="19"/>
      <c r="P757" s="19"/>
      <c r="Q757" s="19"/>
    </row>
    <row r="758" spans="2:17" hidden="1">
      <c r="B758" s="19"/>
      <c r="C758" s="19"/>
      <c r="D758" s="19"/>
      <c r="E758" s="19"/>
      <c r="F758" s="19"/>
      <c r="G758" s="19"/>
      <c r="H758" s="19"/>
      <c r="I758" s="19"/>
      <c r="J758" s="19"/>
      <c r="K758" s="421"/>
      <c r="L758" s="23"/>
      <c r="M758" s="19"/>
      <c r="N758" s="19"/>
      <c r="O758" s="19"/>
      <c r="P758" s="19"/>
      <c r="Q758" s="19"/>
    </row>
    <row r="759" spans="2:17" hidden="1">
      <c r="B759" s="19"/>
      <c r="C759" s="19"/>
      <c r="D759" s="19"/>
      <c r="E759" s="19"/>
      <c r="F759" s="19"/>
      <c r="G759" s="19"/>
      <c r="H759" s="19"/>
      <c r="I759" s="19"/>
      <c r="J759" s="19"/>
      <c r="K759" s="421"/>
      <c r="L759" s="23"/>
      <c r="M759" s="19"/>
      <c r="N759" s="19"/>
      <c r="O759" s="19"/>
      <c r="P759" s="19"/>
      <c r="Q759" s="19"/>
    </row>
    <row r="760" spans="2:17" hidden="1">
      <c r="B760" s="19"/>
      <c r="C760" s="19"/>
      <c r="D760" s="19"/>
      <c r="E760" s="19"/>
      <c r="F760" s="19"/>
      <c r="G760" s="19"/>
      <c r="H760" s="19"/>
      <c r="I760" s="19"/>
      <c r="J760" s="19"/>
      <c r="K760" s="421"/>
      <c r="L760" s="23"/>
      <c r="M760" s="19"/>
      <c r="N760" s="19"/>
      <c r="O760" s="19"/>
      <c r="P760" s="19"/>
      <c r="Q760" s="19"/>
    </row>
    <row r="761" spans="2:17" hidden="1">
      <c r="B761" s="19"/>
      <c r="C761" s="19"/>
      <c r="D761" s="19"/>
      <c r="E761" s="19"/>
      <c r="F761" s="19"/>
      <c r="G761" s="19"/>
      <c r="H761" s="19"/>
      <c r="I761" s="19"/>
      <c r="J761" s="19"/>
      <c r="K761" s="421"/>
      <c r="L761" s="23"/>
      <c r="M761" s="19"/>
      <c r="N761" s="19"/>
      <c r="O761" s="19"/>
      <c r="P761" s="19"/>
      <c r="Q761" s="19"/>
    </row>
    <row r="762" spans="2:17" hidden="1">
      <c r="B762" s="19"/>
      <c r="C762" s="19"/>
      <c r="D762" s="19"/>
      <c r="E762" s="19"/>
      <c r="F762" s="19"/>
      <c r="G762" s="19"/>
      <c r="H762" s="19"/>
      <c r="I762" s="19"/>
      <c r="J762" s="19"/>
      <c r="K762" s="421"/>
      <c r="L762" s="23"/>
      <c r="M762" s="19"/>
      <c r="N762" s="19"/>
      <c r="O762" s="19"/>
      <c r="P762" s="19"/>
      <c r="Q762" s="19"/>
    </row>
    <row r="763" spans="2:17" hidden="1">
      <c r="B763" s="19"/>
      <c r="C763" s="19"/>
      <c r="D763" s="19"/>
      <c r="E763" s="19"/>
      <c r="F763" s="19"/>
      <c r="G763" s="19"/>
      <c r="H763" s="19"/>
      <c r="I763" s="19"/>
      <c r="J763" s="19"/>
      <c r="K763" s="421"/>
      <c r="L763" s="23"/>
      <c r="M763" s="19"/>
      <c r="N763" s="19"/>
      <c r="O763" s="19"/>
      <c r="P763" s="19"/>
      <c r="Q763" s="19"/>
    </row>
    <row r="764" spans="2:17" hidden="1">
      <c r="B764" s="19"/>
      <c r="C764" s="19"/>
      <c r="D764" s="19"/>
      <c r="E764" s="19"/>
      <c r="F764" s="19"/>
      <c r="G764" s="19"/>
      <c r="H764" s="19"/>
      <c r="I764" s="19"/>
      <c r="J764" s="19"/>
      <c r="K764" s="421"/>
      <c r="L764" s="23"/>
      <c r="M764" s="19"/>
      <c r="N764" s="19"/>
      <c r="O764" s="19"/>
      <c r="P764" s="19"/>
      <c r="Q764" s="19"/>
    </row>
    <row r="765" spans="2:17" hidden="1">
      <c r="B765" s="19"/>
      <c r="C765" s="19"/>
      <c r="D765" s="19"/>
      <c r="E765" s="19"/>
      <c r="F765" s="19"/>
      <c r="G765" s="19"/>
      <c r="H765" s="19"/>
      <c r="I765" s="19"/>
      <c r="J765" s="19"/>
      <c r="K765" s="421"/>
      <c r="L765" s="23"/>
      <c r="M765" s="19"/>
      <c r="N765" s="19"/>
      <c r="O765" s="19"/>
      <c r="P765" s="19"/>
      <c r="Q765" s="19"/>
    </row>
    <row r="766" spans="2:17" hidden="1">
      <c r="B766" s="19"/>
      <c r="C766" s="19"/>
      <c r="D766" s="19"/>
      <c r="E766" s="19"/>
      <c r="F766" s="19"/>
      <c r="G766" s="19"/>
      <c r="H766" s="19"/>
      <c r="I766" s="19"/>
      <c r="J766" s="19"/>
      <c r="K766" s="421"/>
      <c r="L766" s="23"/>
      <c r="M766" s="19"/>
      <c r="N766" s="19"/>
      <c r="O766" s="19"/>
      <c r="P766" s="19"/>
      <c r="Q766" s="19"/>
    </row>
    <row r="767" spans="2:17" hidden="1">
      <c r="B767" s="19"/>
      <c r="C767" s="19"/>
      <c r="D767" s="19"/>
      <c r="E767" s="19"/>
      <c r="F767" s="19"/>
      <c r="G767" s="19"/>
      <c r="H767" s="19"/>
      <c r="I767" s="19"/>
      <c r="J767" s="19"/>
      <c r="K767" s="421"/>
      <c r="L767" s="23"/>
      <c r="M767" s="19"/>
      <c r="N767" s="19"/>
      <c r="O767" s="19"/>
      <c r="P767" s="19"/>
      <c r="Q767" s="19"/>
    </row>
    <row r="768" spans="2:17" hidden="1">
      <c r="B768" s="19"/>
      <c r="C768" s="19"/>
      <c r="D768" s="19"/>
      <c r="E768" s="19"/>
      <c r="F768" s="19"/>
      <c r="G768" s="19"/>
      <c r="H768" s="19"/>
      <c r="I768" s="19"/>
      <c r="J768" s="19"/>
      <c r="K768" s="421"/>
      <c r="L768" s="23"/>
      <c r="M768" s="19"/>
      <c r="N768" s="19"/>
      <c r="O768" s="19"/>
      <c r="P768" s="19"/>
      <c r="Q768" s="19"/>
    </row>
    <row r="769" spans="2:17" hidden="1">
      <c r="B769" s="19"/>
      <c r="C769" s="19"/>
      <c r="D769" s="19"/>
      <c r="E769" s="19"/>
      <c r="F769" s="19"/>
      <c r="G769" s="19"/>
      <c r="H769" s="19"/>
      <c r="I769" s="19"/>
      <c r="J769" s="19"/>
      <c r="K769" s="421"/>
      <c r="L769" s="23"/>
      <c r="M769" s="19"/>
      <c r="N769" s="19"/>
      <c r="O769" s="19"/>
      <c r="P769" s="19"/>
      <c r="Q769" s="19"/>
    </row>
    <row r="770" spans="2:17" hidden="1">
      <c r="B770" s="19"/>
      <c r="C770" s="19"/>
      <c r="D770" s="19"/>
      <c r="E770" s="19"/>
      <c r="F770" s="19"/>
      <c r="G770" s="19"/>
      <c r="H770" s="19"/>
      <c r="I770" s="19"/>
      <c r="J770" s="19"/>
      <c r="K770" s="421"/>
      <c r="L770" s="23"/>
      <c r="M770" s="19"/>
      <c r="N770" s="19"/>
      <c r="O770" s="19"/>
      <c r="P770" s="19"/>
      <c r="Q770" s="19"/>
    </row>
    <row r="771" spans="2:17" hidden="1">
      <c r="B771" s="19"/>
      <c r="C771" s="19"/>
      <c r="D771" s="19"/>
      <c r="E771" s="19"/>
      <c r="F771" s="19"/>
      <c r="G771" s="19"/>
      <c r="H771" s="19"/>
      <c r="I771" s="19"/>
      <c r="J771" s="19"/>
      <c r="K771" s="421"/>
      <c r="L771" s="23"/>
      <c r="M771" s="19"/>
      <c r="N771" s="19"/>
      <c r="O771" s="19"/>
      <c r="P771" s="19"/>
      <c r="Q771" s="19"/>
    </row>
    <row r="772" spans="2:17" hidden="1">
      <c r="B772" s="19"/>
      <c r="C772" s="19"/>
      <c r="D772" s="19"/>
      <c r="E772" s="19"/>
      <c r="F772" s="19"/>
      <c r="G772" s="19"/>
      <c r="H772" s="19"/>
      <c r="I772" s="19"/>
      <c r="J772" s="19"/>
      <c r="K772" s="421"/>
      <c r="L772" s="23"/>
      <c r="M772" s="19"/>
      <c r="N772" s="19"/>
      <c r="O772" s="19"/>
      <c r="P772" s="19"/>
      <c r="Q772" s="19"/>
    </row>
    <row r="773" spans="2:17" hidden="1">
      <c r="B773" s="19"/>
      <c r="C773" s="19"/>
      <c r="D773" s="19"/>
      <c r="E773" s="19"/>
      <c r="F773" s="19"/>
      <c r="G773" s="19"/>
      <c r="H773" s="19"/>
      <c r="I773" s="19"/>
      <c r="J773" s="19"/>
      <c r="K773" s="421"/>
      <c r="L773" s="23"/>
      <c r="M773" s="19"/>
      <c r="N773" s="19"/>
      <c r="O773" s="19"/>
      <c r="P773" s="19"/>
      <c r="Q773" s="19"/>
    </row>
    <row r="774" spans="2:17" hidden="1">
      <c r="B774" s="19"/>
      <c r="C774" s="19"/>
      <c r="D774" s="19"/>
      <c r="E774" s="19"/>
      <c r="F774" s="19"/>
      <c r="G774" s="19"/>
      <c r="H774" s="19"/>
      <c r="I774" s="19"/>
      <c r="J774" s="19"/>
      <c r="K774" s="421"/>
      <c r="L774" s="23"/>
      <c r="M774" s="19"/>
      <c r="N774" s="19"/>
      <c r="O774" s="19"/>
      <c r="P774" s="19"/>
      <c r="Q774" s="19"/>
    </row>
    <row r="775" spans="2:17" hidden="1">
      <c r="B775" s="19"/>
      <c r="C775" s="19"/>
      <c r="D775" s="19"/>
      <c r="E775" s="19"/>
      <c r="F775" s="19"/>
      <c r="G775" s="19"/>
      <c r="H775" s="19"/>
      <c r="I775" s="19"/>
      <c r="J775" s="19"/>
      <c r="K775" s="421"/>
      <c r="L775" s="23"/>
      <c r="M775" s="19"/>
      <c r="N775" s="19"/>
      <c r="O775" s="19"/>
      <c r="P775" s="19"/>
      <c r="Q775" s="19"/>
    </row>
    <row r="776" spans="2:17" hidden="1">
      <c r="B776" s="19"/>
      <c r="C776" s="19"/>
      <c r="D776" s="19"/>
      <c r="E776" s="19"/>
      <c r="F776" s="19"/>
      <c r="G776" s="19"/>
      <c r="H776" s="19"/>
      <c r="I776" s="19"/>
      <c r="J776" s="19"/>
      <c r="K776" s="421"/>
      <c r="L776" s="23"/>
      <c r="M776" s="19"/>
      <c r="N776" s="19"/>
      <c r="O776" s="19"/>
      <c r="P776" s="19"/>
      <c r="Q776" s="19"/>
    </row>
    <row r="777" spans="2:17" hidden="1">
      <c r="B777" s="19"/>
      <c r="C777" s="19"/>
      <c r="D777" s="19"/>
      <c r="E777" s="19"/>
      <c r="F777" s="19"/>
      <c r="G777" s="19"/>
      <c r="H777" s="19"/>
      <c r="I777" s="19"/>
      <c r="J777" s="19"/>
      <c r="K777" s="421"/>
      <c r="L777" s="23"/>
      <c r="M777" s="19"/>
      <c r="N777" s="19"/>
      <c r="O777" s="19"/>
      <c r="P777" s="19"/>
      <c r="Q777" s="19"/>
    </row>
    <row r="778" spans="2:17" hidden="1">
      <c r="B778" s="19"/>
      <c r="C778" s="19"/>
      <c r="D778" s="19"/>
      <c r="E778" s="19"/>
      <c r="F778" s="19"/>
      <c r="G778" s="19"/>
      <c r="H778" s="19"/>
      <c r="I778" s="19"/>
      <c r="J778" s="19"/>
      <c r="K778" s="421"/>
      <c r="L778" s="23"/>
      <c r="M778" s="19"/>
      <c r="N778" s="19"/>
      <c r="O778" s="19"/>
      <c r="P778" s="19"/>
      <c r="Q778" s="19"/>
    </row>
    <row r="779" spans="2:17" hidden="1">
      <c r="B779" s="19"/>
      <c r="C779" s="19"/>
      <c r="D779" s="19"/>
      <c r="E779" s="19"/>
      <c r="F779" s="19"/>
      <c r="G779" s="19"/>
      <c r="H779" s="19"/>
      <c r="I779" s="19"/>
      <c r="J779" s="19"/>
      <c r="K779" s="421"/>
      <c r="L779" s="23"/>
      <c r="M779" s="19"/>
      <c r="N779" s="19"/>
      <c r="O779" s="19"/>
      <c r="P779" s="19"/>
      <c r="Q779" s="19"/>
    </row>
    <row r="780" spans="2:17" hidden="1">
      <c r="B780" s="19"/>
      <c r="C780" s="19"/>
      <c r="D780" s="19"/>
      <c r="E780" s="19"/>
      <c r="F780" s="19"/>
      <c r="G780" s="19"/>
      <c r="H780" s="19"/>
      <c r="I780" s="19"/>
      <c r="J780" s="19"/>
      <c r="K780" s="421"/>
      <c r="L780" s="23"/>
      <c r="M780" s="19"/>
      <c r="N780" s="19"/>
      <c r="O780" s="19"/>
      <c r="P780" s="19"/>
      <c r="Q780" s="19"/>
    </row>
    <row r="781" spans="2:17" hidden="1">
      <c r="B781" s="19"/>
      <c r="C781" s="19"/>
      <c r="D781" s="19"/>
      <c r="E781" s="19"/>
      <c r="F781" s="19"/>
      <c r="G781" s="19"/>
      <c r="H781" s="19"/>
      <c r="I781" s="19"/>
      <c r="J781" s="19"/>
      <c r="K781" s="421"/>
      <c r="L781" s="23"/>
      <c r="M781" s="19"/>
      <c r="N781" s="19"/>
      <c r="O781" s="19"/>
      <c r="P781" s="19"/>
      <c r="Q781" s="19"/>
    </row>
    <row r="782" spans="2:17" hidden="1">
      <c r="B782" s="19"/>
      <c r="C782" s="19"/>
      <c r="D782" s="19"/>
      <c r="E782" s="19"/>
      <c r="F782" s="19"/>
      <c r="G782" s="19"/>
      <c r="H782" s="19"/>
      <c r="I782" s="19"/>
      <c r="J782" s="19"/>
      <c r="K782" s="421"/>
      <c r="L782" s="23"/>
      <c r="M782" s="19"/>
      <c r="N782" s="19"/>
      <c r="O782" s="19"/>
      <c r="P782" s="19"/>
      <c r="Q782" s="19"/>
    </row>
    <row r="783" spans="2:17" hidden="1">
      <c r="B783" s="19"/>
      <c r="C783" s="19"/>
      <c r="D783" s="19"/>
      <c r="E783" s="19"/>
      <c r="F783" s="19"/>
      <c r="G783" s="19"/>
      <c r="H783" s="19"/>
      <c r="I783" s="19"/>
      <c r="J783" s="19"/>
      <c r="K783" s="421"/>
      <c r="L783" s="23"/>
      <c r="M783" s="19"/>
      <c r="N783" s="19"/>
      <c r="O783" s="19"/>
      <c r="P783" s="19"/>
      <c r="Q783" s="19"/>
    </row>
    <row r="784" spans="2:17" hidden="1">
      <c r="B784" s="19"/>
      <c r="C784" s="19"/>
      <c r="D784" s="19"/>
      <c r="E784" s="19"/>
      <c r="F784" s="19"/>
      <c r="G784" s="19"/>
      <c r="H784" s="19"/>
      <c r="I784" s="19"/>
      <c r="J784" s="19"/>
      <c r="K784" s="421"/>
      <c r="L784" s="23"/>
      <c r="M784" s="19"/>
      <c r="N784" s="19"/>
      <c r="O784" s="19"/>
      <c r="P784" s="19"/>
      <c r="Q784" s="19"/>
    </row>
    <row r="785" spans="1:28" hidden="1">
      <c r="B785" s="19"/>
      <c r="C785" s="19"/>
      <c r="D785" s="19"/>
      <c r="E785" s="19"/>
      <c r="F785" s="19"/>
      <c r="G785" s="19"/>
      <c r="H785" s="19"/>
      <c r="I785" s="19"/>
      <c r="J785" s="19"/>
      <c r="K785" s="421"/>
      <c r="L785" s="23"/>
      <c r="M785" s="19"/>
      <c r="N785" s="19"/>
      <c r="O785" s="19"/>
      <c r="P785" s="19"/>
      <c r="Q785" s="19"/>
    </row>
    <row r="786" spans="1:28" hidden="1">
      <c r="B786" s="19"/>
      <c r="C786" s="19"/>
      <c r="D786" s="19"/>
      <c r="E786" s="19"/>
      <c r="F786" s="19"/>
      <c r="G786" s="19"/>
      <c r="H786" s="19"/>
      <c r="I786" s="19"/>
      <c r="J786" s="19"/>
      <c r="K786" s="421"/>
      <c r="L786" s="23"/>
      <c r="M786" s="19"/>
      <c r="N786" s="19"/>
      <c r="O786" s="19"/>
      <c r="P786" s="19"/>
      <c r="Q786" s="19"/>
    </row>
    <row r="787" spans="1:28" hidden="1">
      <c r="B787" s="19"/>
      <c r="C787" s="19"/>
      <c r="D787" s="19"/>
      <c r="E787" s="19"/>
      <c r="F787" s="19"/>
      <c r="G787" s="19"/>
      <c r="H787" s="19"/>
      <c r="I787" s="19"/>
      <c r="J787" s="19"/>
      <c r="K787" s="421"/>
      <c r="L787" s="23"/>
      <c r="M787" s="19"/>
      <c r="N787" s="19"/>
      <c r="O787" s="19"/>
      <c r="P787" s="19"/>
      <c r="Q787" s="19"/>
    </row>
    <row r="788" spans="1:28" hidden="1">
      <c r="B788" s="19"/>
      <c r="C788" s="19"/>
      <c r="D788" s="19"/>
      <c r="E788" s="19"/>
      <c r="F788" s="19"/>
      <c r="G788" s="19"/>
      <c r="H788" s="19"/>
      <c r="I788" s="19"/>
      <c r="J788" s="19"/>
      <c r="K788" s="421"/>
      <c r="L788" s="23"/>
      <c r="M788" s="19"/>
      <c r="N788" s="19"/>
      <c r="O788" s="19"/>
      <c r="P788" s="19"/>
      <c r="Q788" s="19"/>
    </row>
    <row r="789" spans="1:28" hidden="1">
      <c r="B789" s="19"/>
      <c r="C789" s="19"/>
      <c r="D789" s="19"/>
      <c r="E789" s="19"/>
      <c r="F789" s="19"/>
      <c r="G789" s="19"/>
      <c r="H789" s="19"/>
      <c r="I789" s="19"/>
      <c r="J789" s="19"/>
      <c r="K789" s="421"/>
      <c r="L789" s="23"/>
      <c r="M789" s="19"/>
      <c r="N789" s="19"/>
      <c r="O789" s="19"/>
      <c r="P789" s="19"/>
      <c r="Q789" s="19"/>
    </row>
    <row r="790" spans="1:28" hidden="1">
      <c r="B790" s="19"/>
      <c r="C790" s="19"/>
      <c r="D790" s="19"/>
      <c r="E790" s="19"/>
      <c r="F790" s="19"/>
      <c r="G790" s="19"/>
      <c r="H790" s="19"/>
      <c r="I790" s="19"/>
      <c r="J790" s="19"/>
      <c r="K790" s="421"/>
      <c r="L790" s="23"/>
      <c r="M790" s="19"/>
      <c r="N790" s="19"/>
      <c r="O790" s="19"/>
      <c r="P790" s="19"/>
      <c r="Q790" s="19"/>
    </row>
    <row r="791" spans="1:28" hidden="1">
      <c r="B791" s="19"/>
      <c r="C791" s="19"/>
      <c r="D791" s="19"/>
      <c r="E791" s="19"/>
      <c r="F791" s="19"/>
      <c r="G791" s="19"/>
      <c r="H791" s="19"/>
      <c r="I791" s="19"/>
      <c r="J791" s="19"/>
      <c r="K791" s="421"/>
      <c r="L791" s="23"/>
      <c r="M791" s="19"/>
      <c r="N791" s="19"/>
      <c r="O791" s="19"/>
      <c r="P791" s="19"/>
      <c r="Q791" s="19"/>
    </row>
    <row r="792" spans="1:28" hidden="1">
      <c r="I792" s="20"/>
    </row>
    <row r="793" spans="1:28" hidden="1">
      <c r="I793" s="20"/>
    </row>
    <row r="794" spans="1:28" hidden="1">
      <c r="I794" s="20"/>
    </row>
    <row r="795" spans="1:28" hidden="1">
      <c r="I795" s="20"/>
    </row>
    <row r="796" spans="1:28" ht="18.75">
      <c r="A796" s="410" t="s">
        <v>78</v>
      </c>
      <c r="B796" s="410"/>
      <c r="C796" s="410"/>
      <c r="D796" s="410"/>
      <c r="E796" s="410"/>
      <c r="F796" s="410"/>
      <c r="G796" s="410"/>
      <c r="H796" s="410"/>
      <c r="I796" s="410"/>
      <c r="J796" s="410"/>
      <c r="K796" s="410"/>
      <c r="L796" s="410"/>
      <c r="M796" s="410"/>
      <c r="N796" s="410"/>
      <c r="O796" s="410"/>
      <c r="P796" s="410"/>
      <c r="Q796" s="410"/>
      <c r="V796" s="914"/>
      <c r="W796" s="914"/>
      <c r="X796" s="38"/>
    </row>
    <row r="797" spans="1:28">
      <c r="B797" s="21">
        <f>COUNT(B800:B902)</f>
        <v>103</v>
      </c>
      <c r="C797" s="21">
        <f t="shared" ref="C797:I797" si="12">COUNT(C800:C902)</f>
        <v>103</v>
      </c>
      <c r="D797" s="21">
        <f t="shared" si="12"/>
        <v>103</v>
      </c>
      <c r="E797" s="21">
        <f t="shared" si="12"/>
        <v>103</v>
      </c>
      <c r="F797" s="21">
        <f t="shared" si="12"/>
        <v>103</v>
      </c>
      <c r="G797" s="21">
        <f t="shared" si="12"/>
        <v>103</v>
      </c>
      <c r="H797" s="21">
        <f t="shared" si="12"/>
        <v>103</v>
      </c>
      <c r="I797" s="21">
        <f t="shared" si="12"/>
        <v>103</v>
      </c>
      <c r="L797" s="21">
        <f>COUNT(L800:L902)</f>
        <v>52</v>
      </c>
      <c r="M797" s="21">
        <f t="shared" ref="M797:T797" si="13">COUNT(M800:M902)</f>
        <v>52</v>
      </c>
      <c r="N797" s="21">
        <f t="shared" si="13"/>
        <v>52</v>
      </c>
      <c r="O797" s="21">
        <f t="shared" si="13"/>
        <v>52</v>
      </c>
      <c r="P797" s="21">
        <f t="shared" si="13"/>
        <v>52</v>
      </c>
      <c r="Q797" s="21">
        <f t="shared" si="13"/>
        <v>52</v>
      </c>
      <c r="R797" s="21">
        <f t="shared" si="13"/>
        <v>52</v>
      </c>
      <c r="S797" s="21">
        <f t="shared" si="13"/>
        <v>52</v>
      </c>
      <c r="T797" s="21">
        <f t="shared" si="13"/>
        <v>52</v>
      </c>
      <c r="V797" s="916"/>
      <c r="W797" s="916"/>
      <c r="X797" s="39"/>
      <c r="Z797" s="916"/>
      <c r="AA797" s="916"/>
      <c r="AB797" s="40"/>
    </row>
    <row r="798" spans="1:28" ht="15" customHeight="1">
      <c r="A798" s="915" t="s">
        <v>417</v>
      </c>
      <c r="B798" s="21">
        <f t="shared" ref="B798:I798" si="14">COUNTA(B800:B902)</f>
        <v>103</v>
      </c>
      <c r="C798" s="21">
        <f t="shared" si="14"/>
        <v>103</v>
      </c>
      <c r="D798" s="21">
        <f t="shared" si="14"/>
        <v>103</v>
      </c>
      <c r="E798" s="21">
        <f t="shared" si="14"/>
        <v>103</v>
      </c>
      <c r="F798" s="21">
        <f t="shared" si="14"/>
        <v>103</v>
      </c>
      <c r="G798" s="21">
        <f t="shared" si="14"/>
        <v>103</v>
      </c>
      <c r="H798" s="21">
        <f t="shared" si="14"/>
        <v>103</v>
      </c>
      <c r="I798" s="21">
        <f t="shared" si="14"/>
        <v>103</v>
      </c>
      <c r="J798" s="905" t="s">
        <v>418</v>
      </c>
      <c r="K798" s="906" t="s">
        <v>419</v>
      </c>
      <c r="L798" s="21">
        <f>COUNTA(L800:L902)</f>
        <v>52</v>
      </c>
      <c r="M798" s="21">
        <f t="shared" ref="M798:T798" si="15">COUNTA(M800:M902)</f>
        <v>52</v>
      </c>
      <c r="N798" s="21">
        <f t="shared" si="15"/>
        <v>52</v>
      </c>
      <c r="O798" s="21">
        <f t="shared" si="15"/>
        <v>52</v>
      </c>
      <c r="P798" s="21">
        <f t="shared" si="15"/>
        <v>52</v>
      </c>
      <c r="Q798" s="21">
        <f t="shared" si="15"/>
        <v>52</v>
      </c>
      <c r="R798" s="21">
        <f t="shared" si="15"/>
        <v>52</v>
      </c>
      <c r="S798" s="21">
        <f t="shared" si="15"/>
        <v>52</v>
      </c>
      <c r="T798" s="21">
        <f t="shared" si="15"/>
        <v>52</v>
      </c>
      <c r="V798" s="1">
        <f>heeling</f>
        <v>0</v>
      </c>
      <c r="W798" s="382">
        <f>sound24</f>
        <v>4999</v>
      </c>
      <c r="X798" s="186">
        <f>IF((W798+W801)&lt;0,W798,W798+W801)</f>
        <v>4999</v>
      </c>
      <c r="Y798" s="381">
        <f>IF(Y800=Y799,Y799,Interp1(X799:X800,Y799:Y800,X798))</f>
        <v>1.7789999999999999</v>
      </c>
      <c r="AA798" s="30"/>
    </row>
    <row r="799" spans="1:28">
      <c r="A799" s="915"/>
      <c r="B799" s="36">
        <v>-1</v>
      </c>
      <c r="C799" s="35">
        <v>0</v>
      </c>
      <c r="D799" s="35">
        <v>0.5</v>
      </c>
      <c r="E799" s="35">
        <v>1</v>
      </c>
      <c r="F799" s="35">
        <v>1.5</v>
      </c>
      <c r="G799" s="35">
        <v>2</v>
      </c>
      <c r="H799" s="37">
        <v>3</v>
      </c>
      <c r="I799" s="21">
        <v>4</v>
      </c>
      <c r="J799" s="905"/>
      <c r="K799" s="906"/>
      <c r="L799" s="21">
        <v>-4</v>
      </c>
      <c r="M799" s="35">
        <v>-3</v>
      </c>
      <c r="N799" s="35">
        <v>-2</v>
      </c>
      <c r="O799" s="35">
        <v>-1</v>
      </c>
      <c r="P799" s="35">
        <v>0</v>
      </c>
      <c r="Q799" s="35">
        <v>1</v>
      </c>
      <c r="R799" s="35">
        <v>2</v>
      </c>
      <c r="S799" s="35">
        <v>3</v>
      </c>
      <c r="T799" s="35">
        <v>4</v>
      </c>
      <c r="V799" s="1">
        <f>IF(tankSound4=soundingPipe4,tankSound4,FLOOR(W798,incHeel))</f>
        <v>4900</v>
      </c>
      <c r="W799" s="1">
        <f>Interp2(tank4Heel1,tank4Heel2,tank4Heel3,V799,V798)</f>
        <v>0</v>
      </c>
      <c r="X799" s="1">
        <f>IF(X798=soundingPipe4,Tank1!X798,FLOOR(X798,inc))</f>
        <v>4950</v>
      </c>
      <c r="Y799" s="42">
        <f>IF(W804=W803,W803,Interp1(V803:V804,W803:W804,V802))</f>
        <v>2.4119999999999999</v>
      </c>
      <c r="AA799" s="30"/>
    </row>
    <row r="800" spans="1:28">
      <c r="A800" s="1">
        <v>0</v>
      </c>
      <c r="B800" s="1">
        <v>463.476</v>
      </c>
      <c r="C800" s="1">
        <v>463.476</v>
      </c>
      <c r="D800" s="1">
        <v>463.476</v>
      </c>
      <c r="E800" s="1">
        <v>463.476</v>
      </c>
      <c r="F800" s="1">
        <v>463.476</v>
      </c>
      <c r="G800" s="1">
        <v>463.476</v>
      </c>
      <c r="H800" s="1">
        <v>463.476</v>
      </c>
      <c r="I800" s="1">
        <v>463.471</v>
      </c>
      <c r="J800" s="296">
        <v>5069</v>
      </c>
      <c r="K800" s="1">
        <v>0</v>
      </c>
      <c r="L800" s="42">
        <v>0</v>
      </c>
      <c r="M800" s="42">
        <v>0</v>
      </c>
      <c r="N800" s="42">
        <v>0</v>
      </c>
      <c r="O800" s="42">
        <v>0</v>
      </c>
      <c r="P800" s="419">
        <v>0</v>
      </c>
      <c r="Q800" s="42">
        <v>0</v>
      </c>
      <c r="R800" s="42">
        <v>0</v>
      </c>
      <c r="S800" s="42">
        <v>304.26</v>
      </c>
      <c r="T800" s="42">
        <v>419.89</v>
      </c>
      <c r="U800" s="24"/>
      <c r="V800" s="1">
        <f>IF(V799=tankSound4,V799,CEILING(W798,incHeel))</f>
        <v>5000</v>
      </c>
      <c r="W800" s="1">
        <f>Interp2(tank4Heel1,tank4Heel2,tank4Heel3,V800,V798)</f>
        <v>0</v>
      </c>
      <c r="X800" s="1">
        <f>IF(X799=X798,X799,CEILING(X798,inc))</f>
        <v>5000</v>
      </c>
      <c r="Y800" s="42">
        <f>IF(X804=X803,X803,Interp1(V803:V804,X803:X804,V802))</f>
        <v>1.766</v>
      </c>
      <c r="AA800" s="30"/>
      <c r="AB800" s="42"/>
    </row>
    <row r="801" spans="1:28">
      <c r="A801" s="1">
        <v>50</v>
      </c>
      <c r="B801" s="1">
        <v>463.476</v>
      </c>
      <c r="C801" s="1">
        <v>463.476</v>
      </c>
      <c r="D801" s="1">
        <v>463.476</v>
      </c>
      <c r="E801" s="1">
        <v>463.476</v>
      </c>
      <c r="F801" s="1">
        <v>463.476</v>
      </c>
      <c r="G801" s="1">
        <v>463.476</v>
      </c>
      <c r="H801" s="1">
        <v>463.476</v>
      </c>
      <c r="I801" s="1">
        <v>463.39400000000001</v>
      </c>
      <c r="J801" s="296">
        <v>5019</v>
      </c>
      <c r="K801" s="1">
        <v>100</v>
      </c>
      <c r="L801" s="42">
        <v>0</v>
      </c>
      <c r="M801" s="42">
        <v>0</v>
      </c>
      <c r="N801" s="42">
        <v>0</v>
      </c>
      <c r="O801" s="42">
        <v>0</v>
      </c>
      <c r="P801" s="419">
        <v>0</v>
      </c>
      <c r="Q801" s="42">
        <v>0</v>
      </c>
      <c r="R801" s="42">
        <v>0</v>
      </c>
      <c r="S801" s="42">
        <v>314.79000000000002</v>
      </c>
      <c r="T801" s="42">
        <v>395.4</v>
      </c>
      <c r="U801" s="25"/>
      <c r="W801" s="1">
        <f>IF(W800=W799,W799,Interp1(V799:V800,W799:W800,W798))</f>
        <v>0</v>
      </c>
      <c r="Y801" s="42"/>
      <c r="AA801" s="30"/>
      <c r="AB801" s="42"/>
    </row>
    <row r="802" spans="1:28">
      <c r="A802" s="1">
        <v>100</v>
      </c>
      <c r="B802" s="1">
        <v>463.476</v>
      </c>
      <c r="C802" s="1">
        <v>463.476</v>
      </c>
      <c r="D802" s="1">
        <v>463.476</v>
      </c>
      <c r="E802" s="1">
        <v>463.476</v>
      </c>
      <c r="F802" s="1">
        <v>463.476</v>
      </c>
      <c r="G802" s="1">
        <v>463.476</v>
      </c>
      <c r="H802" s="1">
        <v>463.46</v>
      </c>
      <c r="I802" s="1">
        <v>463.14600000000002</v>
      </c>
      <c r="J802" s="296">
        <v>4969</v>
      </c>
      <c r="K802" s="1">
        <v>200</v>
      </c>
      <c r="L802" s="42">
        <v>0</v>
      </c>
      <c r="M802" s="42">
        <v>0</v>
      </c>
      <c r="N802" s="42">
        <v>0</v>
      </c>
      <c r="O802" s="42">
        <v>0</v>
      </c>
      <c r="P802" s="419">
        <v>0</v>
      </c>
      <c r="Q802" s="42">
        <v>0</v>
      </c>
      <c r="R802" s="42">
        <v>209.8</v>
      </c>
      <c r="S802" s="42">
        <v>293.45999999999998</v>
      </c>
      <c r="T802" s="42">
        <v>359.25</v>
      </c>
      <c r="U802" s="25"/>
      <c r="V802" s="1">
        <f>trim</f>
        <v>0.36</v>
      </c>
      <c r="AA802" s="30"/>
      <c r="AB802" s="42"/>
    </row>
    <row r="803" spans="1:28">
      <c r="A803" s="1">
        <v>150</v>
      </c>
      <c r="B803" s="1">
        <v>463.476</v>
      </c>
      <c r="C803" s="1">
        <v>463.476</v>
      </c>
      <c r="D803" s="1">
        <v>463.476</v>
      </c>
      <c r="E803" s="1">
        <v>463.476</v>
      </c>
      <c r="F803" s="1">
        <v>463.476</v>
      </c>
      <c r="G803" s="1">
        <v>463.476</v>
      </c>
      <c r="H803" s="1">
        <v>463.33800000000002</v>
      </c>
      <c r="I803" s="1">
        <v>462.57799999999997</v>
      </c>
      <c r="J803" s="296">
        <v>4919</v>
      </c>
      <c r="K803" s="1">
        <v>300</v>
      </c>
      <c r="L803" s="42">
        <v>0</v>
      </c>
      <c r="M803" s="42">
        <v>0</v>
      </c>
      <c r="N803" s="42">
        <v>0</v>
      </c>
      <c r="O803" s="42">
        <v>0</v>
      </c>
      <c r="P803" s="419">
        <v>0</v>
      </c>
      <c r="Q803" s="424">
        <v>104.88</v>
      </c>
      <c r="R803" s="42">
        <v>192.9</v>
      </c>
      <c r="S803" s="42">
        <v>263.27</v>
      </c>
      <c r="T803" s="42">
        <v>328.94</v>
      </c>
      <c r="U803" s="25"/>
      <c r="V803" s="1">
        <f>INDEX(tank4Trim2,0,MATCH(V802,tank4Trim2,1))</f>
        <v>0</v>
      </c>
      <c r="W803" s="1">
        <f>Interp2(tank4Trim1,tank4Trim2,tank4Trim3,X799,V803)</f>
        <v>2.5830000000000002</v>
      </c>
      <c r="X803" s="1">
        <f>Interp2(tank4Trim1,tank4Trim2,tank4Trim3,X800,V803)</f>
        <v>1.9119999999999999</v>
      </c>
      <c r="AA803" s="30"/>
    </row>
    <row r="804" spans="1:28">
      <c r="A804" s="1">
        <v>200</v>
      </c>
      <c r="B804" s="1">
        <v>463.476</v>
      </c>
      <c r="C804" s="1">
        <v>463.476</v>
      </c>
      <c r="D804" s="1">
        <v>463.476</v>
      </c>
      <c r="E804" s="1">
        <v>463.476</v>
      </c>
      <c r="F804" s="1">
        <v>463.476</v>
      </c>
      <c r="G804" s="1">
        <v>463.44600000000003</v>
      </c>
      <c r="H804" s="1">
        <v>462.93299999999999</v>
      </c>
      <c r="I804" s="1">
        <v>461.62099999999998</v>
      </c>
      <c r="J804" s="296">
        <v>4869</v>
      </c>
      <c r="K804" s="1">
        <v>400</v>
      </c>
      <c r="L804" s="42">
        <v>0</v>
      </c>
      <c r="M804" s="42">
        <v>0</v>
      </c>
      <c r="N804" s="42">
        <v>0</v>
      </c>
      <c r="O804" s="42">
        <v>0</v>
      </c>
      <c r="P804" s="419">
        <v>0</v>
      </c>
      <c r="Q804" s="42">
        <v>94.5</v>
      </c>
      <c r="R804" s="42">
        <v>169.94</v>
      </c>
      <c r="S804" s="42">
        <v>237.42</v>
      </c>
      <c r="T804" s="42">
        <v>300.23</v>
      </c>
      <c r="U804" s="25"/>
      <c r="V804" s="1">
        <f>IF(V803=V802,V802,INDEX(tank4Trim2,0,MATCH(V802,tank4Trim2,1)+1))</f>
        <v>0.5</v>
      </c>
      <c r="W804" s="1">
        <f>Interp2(tank4Trim1,tank4Trim2,tank4Trim3,X799,V804)</f>
        <v>2.3450000000000002</v>
      </c>
      <c r="X804" s="1">
        <f>Interp2(tank4Trim1,tank4Trim2,tank4Trim3,X800,V804)</f>
        <v>1.7090000000000001</v>
      </c>
      <c r="AA804" s="30"/>
      <c r="AB804" s="42"/>
    </row>
    <row r="805" spans="1:28">
      <c r="A805" s="1">
        <v>250</v>
      </c>
      <c r="B805" s="1">
        <v>463.476</v>
      </c>
      <c r="C805" s="1">
        <v>463.476</v>
      </c>
      <c r="D805" s="1">
        <v>463.476</v>
      </c>
      <c r="E805" s="1">
        <v>463.476</v>
      </c>
      <c r="F805" s="1">
        <v>463.423</v>
      </c>
      <c r="G805" s="1">
        <v>463.2</v>
      </c>
      <c r="H805" s="1">
        <v>462.11399999999998</v>
      </c>
      <c r="I805" s="1">
        <v>460.10899999999998</v>
      </c>
      <c r="J805" s="296">
        <v>4819</v>
      </c>
      <c r="K805" s="1">
        <v>500</v>
      </c>
      <c r="L805" s="42">
        <v>0</v>
      </c>
      <c r="M805" s="42">
        <v>0</v>
      </c>
      <c r="N805" s="42">
        <v>0</v>
      </c>
      <c r="O805" s="42">
        <v>-127.39</v>
      </c>
      <c r="P805" s="419">
        <v>0</v>
      </c>
      <c r="Q805" s="42">
        <v>80.95</v>
      </c>
      <c r="R805" s="42">
        <v>149.84</v>
      </c>
      <c r="S805" s="42">
        <v>212.99</v>
      </c>
      <c r="T805" s="42">
        <v>266.56</v>
      </c>
      <c r="U805" s="25"/>
      <c r="W805" s="43"/>
      <c r="X805" s="42"/>
      <c r="AA805" s="30"/>
      <c r="AB805" s="42"/>
    </row>
    <row r="806" spans="1:28">
      <c r="A806" s="1">
        <v>300</v>
      </c>
      <c r="B806" s="1">
        <v>463.476</v>
      </c>
      <c r="C806" s="1">
        <v>463.476</v>
      </c>
      <c r="D806" s="1">
        <v>463.47500000000002</v>
      </c>
      <c r="E806" s="1">
        <v>463.375</v>
      </c>
      <c r="F806" s="1">
        <v>463.05599999999998</v>
      </c>
      <c r="G806" s="1">
        <v>462.50400000000002</v>
      </c>
      <c r="H806" s="1">
        <v>460.70800000000003</v>
      </c>
      <c r="I806" s="1">
        <v>457.96600000000001</v>
      </c>
      <c r="J806" s="296">
        <v>4769</v>
      </c>
      <c r="K806" s="1">
        <v>600</v>
      </c>
      <c r="L806" s="42">
        <v>0</v>
      </c>
      <c r="M806" s="42">
        <v>0</v>
      </c>
      <c r="N806" s="42">
        <v>-254.93</v>
      </c>
      <c r="O806" s="42">
        <v>-92.5</v>
      </c>
      <c r="P806" s="419">
        <v>0</v>
      </c>
      <c r="Q806" s="42">
        <v>68.81</v>
      </c>
      <c r="R806" s="42">
        <v>131.1</v>
      </c>
      <c r="S806" s="42">
        <v>187.41</v>
      </c>
      <c r="T806" s="42">
        <v>240.66</v>
      </c>
      <c r="U806" s="25"/>
    </row>
    <row r="807" spans="1:28">
      <c r="A807" s="1">
        <v>350</v>
      </c>
      <c r="B807" s="1">
        <v>463.44499999999999</v>
      </c>
      <c r="C807" s="1">
        <v>463.43700000000001</v>
      </c>
      <c r="D807" s="1">
        <v>463.21800000000002</v>
      </c>
      <c r="E807" s="1">
        <v>462.76</v>
      </c>
      <c r="F807" s="1">
        <v>462.06299999999999</v>
      </c>
      <c r="G807" s="1">
        <v>461.13200000000001</v>
      </c>
      <c r="H807" s="1">
        <v>458.56099999999998</v>
      </c>
      <c r="I807" s="1">
        <v>455.04500000000002</v>
      </c>
      <c r="J807" s="296">
        <v>4719</v>
      </c>
      <c r="K807" s="1">
        <v>700</v>
      </c>
      <c r="L807" s="42">
        <v>0</v>
      </c>
      <c r="M807" s="42">
        <v>-382.55</v>
      </c>
      <c r="N807" s="42">
        <v>-170.77</v>
      </c>
      <c r="O807" s="42">
        <v>-74.8</v>
      </c>
      <c r="P807" s="419">
        <v>0</v>
      </c>
      <c r="Q807" s="42">
        <v>58.15</v>
      </c>
      <c r="R807" s="42">
        <v>115.79</v>
      </c>
      <c r="S807" s="42">
        <v>170.28</v>
      </c>
      <c r="T807" s="42">
        <v>222.2</v>
      </c>
      <c r="U807" s="25"/>
      <c r="V807" s="1">
        <f>Bunkering!heeling1</f>
        <v>0</v>
      </c>
      <c r="W807" s="382">
        <f>sound34</f>
        <v>4979</v>
      </c>
      <c r="X807" s="186">
        <f>IF((W807+W810)&lt;0,W807,W807+W810)</f>
        <v>4979</v>
      </c>
      <c r="Y807" s="381">
        <f>IF(Y809=Y808,Y808,Interp1(X808:X809,Y808:Y809,X807))</f>
        <v>2.0369999999999999</v>
      </c>
    </row>
    <row r="808" spans="1:28">
      <c r="A808" s="1">
        <v>400</v>
      </c>
      <c r="B808" s="1">
        <v>463.07</v>
      </c>
      <c r="C808" s="1">
        <v>462.613</v>
      </c>
      <c r="D808" s="1">
        <v>462.03199999999998</v>
      </c>
      <c r="E808" s="1">
        <v>461.21</v>
      </c>
      <c r="F808" s="1">
        <v>460.149</v>
      </c>
      <c r="G808" s="1">
        <v>458.84800000000001</v>
      </c>
      <c r="H808" s="1">
        <v>455.52600000000001</v>
      </c>
      <c r="I808" s="1">
        <v>451.24900000000002</v>
      </c>
      <c r="J808" s="296">
        <v>4669</v>
      </c>
      <c r="K808" s="1">
        <v>800</v>
      </c>
      <c r="L808" s="42">
        <v>-312.63</v>
      </c>
      <c r="M808" s="42">
        <v>-197.59</v>
      </c>
      <c r="N808" s="42">
        <v>-121.84</v>
      </c>
      <c r="O808" s="42">
        <v>-58.42</v>
      </c>
      <c r="P808" s="419">
        <v>0</v>
      </c>
      <c r="Q808" s="42">
        <v>55.89</v>
      </c>
      <c r="R808" s="42">
        <v>110.78</v>
      </c>
      <c r="S808" s="42">
        <v>163.06</v>
      </c>
      <c r="T808" s="42">
        <v>213.01</v>
      </c>
      <c r="U808" s="25"/>
      <c r="V808" s="1">
        <f>IF(tankSound24=soundingPipe4,tankSound24,FLOOR(W807,incHeel))</f>
        <v>4900</v>
      </c>
      <c r="W808" s="1">
        <f>Interp2(tank4Heel1,tank4Heel2,tank4Heel3,V808,V807)</f>
        <v>0</v>
      </c>
      <c r="X808" s="1">
        <f>IF(X807=soundingPipe4,Tank1!X807,FLOOR(X807,inc))</f>
        <v>4950</v>
      </c>
      <c r="Y808" s="42">
        <f>IF(W813=W812,W812,Interp1(V812:V813,W812:W813,V811))</f>
        <v>2.4119999999999999</v>
      </c>
      <c r="Z808" s="918"/>
      <c r="AA808" s="918"/>
      <c r="AB808" s="42"/>
    </row>
    <row r="809" spans="1:28">
      <c r="A809" s="1">
        <v>450</v>
      </c>
      <c r="B809" s="1">
        <v>461.89299999999997</v>
      </c>
      <c r="C809" s="1">
        <v>460.72399999999999</v>
      </c>
      <c r="D809" s="1">
        <v>459.779</v>
      </c>
      <c r="E809" s="1">
        <v>458.59500000000003</v>
      </c>
      <c r="F809" s="1">
        <v>457.17099999999999</v>
      </c>
      <c r="G809" s="1">
        <v>455.50700000000001</v>
      </c>
      <c r="H809" s="1">
        <v>451.459</v>
      </c>
      <c r="I809" s="1">
        <v>446.47899999999998</v>
      </c>
      <c r="J809" s="296">
        <v>4619</v>
      </c>
      <c r="K809" s="1">
        <v>900</v>
      </c>
      <c r="L809" s="42">
        <v>-238.2</v>
      </c>
      <c r="M809" s="42">
        <v>-170.88</v>
      </c>
      <c r="N809" s="42">
        <v>-112.35</v>
      </c>
      <c r="O809" s="42">
        <v>-55.89</v>
      </c>
      <c r="P809" s="419">
        <v>0</v>
      </c>
      <c r="Q809" s="42">
        <v>55.4</v>
      </c>
      <c r="R809" s="42">
        <v>108.14</v>
      </c>
      <c r="S809" s="42">
        <v>159.09</v>
      </c>
      <c r="T809" s="42">
        <v>207.69</v>
      </c>
      <c r="U809" s="25"/>
      <c r="V809" s="1">
        <f>IF(V808=tankSound24,V808,CEILING(W807,incHeel))</f>
        <v>5000</v>
      </c>
      <c r="W809" s="1">
        <f>Interp2(tank4Heel1,tank4Heel2,tank4Heel3,V809,V807)</f>
        <v>0</v>
      </c>
      <c r="X809" s="1">
        <f>IF(X808=X807,X808,CEILING(X807,inc))</f>
        <v>5000</v>
      </c>
      <c r="Y809" s="42">
        <f>IF(X813=X812,X812,Interp1(V812:V813,X812:X813,V811))</f>
        <v>1.766</v>
      </c>
    </row>
    <row r="810" spans="1:28">
      <c r="A810" s="1">
        <v>500</v>
      </c>
      <c r="B810" s="1">
        <v>459.66300000000001</v>
      </c>
      <c r="C810" s="1">
        <v>457.76799999999997</v>
      </c>
      <c r="D810" s="1">
        <v>456.46100000000001</v>
      </c>
      <c r="E810" s="1">
        <v>454.91300000000001</v>
      </c>
      <c r="F810" s="1">
        <v>453.12599999999998</v>
      </c>
      <c r="G810" s="1">
        <v>451.09899999999999</v>
      </c>
      <c r="H810" s="1">
        <v>446.32799999999997</v>
      </c>
      <c r="I810" s="1">
        <v>440.76900000000001</v>
      </c>
      <c r="J810" s="296">
        <v>4569</v>
      </c>
      <c r="K810" s="1">
        <v>1000</v>
      </c>
      <c r="L810" s="42">
        <v>-224.99</v>
      </c>
      <c r="M810" s="42">
        <v>-167.81</v>
      </c>
      <c r="N810" s="42">
        <v>-111.82</v>
      </c>
      <c r="O810" s="42">
        <v>-55.68</v>
      </c>
      <c r="P810" s="419">
        <v>0</v>
      </c>
      <c r="Q810" s="42">
        <v>54.08</v>
      </c>
      <c r="R810" s="42">
        <v>105.37</v>
      </c>
      <c r="S810" s="42">
        <v>155.08000000000001</v>
      </c>
      <c r="T810" s="42">
        <v>202.35</v>
      </c>
      <c r="U810" s="26"/>
      <c r="W810" s="1">
        <f>IF(W809=W808,W808,Interp1(V808:V809,W808:W809,W807))</f>
        <v>0</v>
      </c>
      <c r="Y810" s="42"/>
    </row>
    <row r="811" spans="1:28">
      <c r="A811" s="1">
        <v>550</v>
      </c>
      <c r="B811" s="1">
        <v>456.36700000000002</v>
      </c>
      <c r="C811" s="1">
        <v>453.74599999999998</v>
      </c>
      <c r="D811" s="1">
        <v>452.07600000000002</v>
      </c>
      <c r="E811" s="1">
        <v>450.16500000000002</v>
      </c>
      <c r="F811" s="1">
        <v>448.01499999999999</v>
      </c>
      <c r="G811" s="1">
        <v>445.625</v>
      </c>
      <c r="H811" s="1">
        <v>440.17599999999999</v>
      </c>
      <c r="I811" s="1">
        <v>434.24299999999999</v>
      </c>
      <c r="J811" s="296">
        <v>4519</v>
      </c>
      <c r="K811" s="1">
        <v>1100</v>
      </c>
      <c r="L811" s="42">
        <v>-223.91</v>
      </c>
      <c r="M811" s="42">
        <v>-167.66</v>
      </c>
      <c r="N811" s="42">
        <v>-111.4</v>
      </c>
      <c r="O811" s="42">
        <v>-54.48</v>
      </c>
      <c r="P811" s="419">
        <v>0</v>
      </c>
      <c r="Q811" s="42">
        <v>52.69</v>
      </c>
      <c r="R811" s="42">
        <v>102.6</v>
      </c>
      <c r="S811" s="42">
        <v>151.05000000000001</v>
      </c>
      <c r="T811" s="42">
        <v>197.09</v>
      </c>
      <c r="U811" s="25"/>
      <c r="V811" s="1">
        <f>Bunkering!trim1</f>
        <v>0.36</v>
      </c>
    </row>
    <row r="812" spans="1:28">
      <c r="A812" s="1">
        <v>600</v>
      </c>
      <c r="B812" s="1">
        <v>452.00400000000002</v>
      </c>
      <c r="C812" s="1">
        <v>448.65699999999998</v>
      </c>
      <c r="D812" s="1">
        <v>446.62400000000002</v>
      </c>
      <c r="E812" s="1">
        <v>444.351</v>
      </c>
      <c r="F812" s="1">
        <v>441.83800000000002</v>
      </c>
      <c r="G812" s="1">
        <v>439.089</v>
      </c>
      <c r="H812" s="1">
        <v>433.16199999999998</v>
      </c>
      <c r="I812" s="1">
        <v>426.99900000000002</v>
      </c>
      <c r="J812" s="296">
        <v>4469</v>
      </c>
      <c r="K812" s="1">
        <v>1200</v>
      </c>
      <c r="L812" s="42">
        <v>-223.55</v>
      </c>
      <c r="M812" s="42">
        <v>-166.46</v>
      </c>
      <c r="N812" s="42">
        <v>-109.05</v>
      </c>
      <c r="O812" s="42">
        <v>-53.01</v>
      </c>
      <c r="P812" s="419">
        <v>0</v>
      </c>
      <c r="Q812" s="42">
        <v>51.3</v>
      </c>
      <c r="R812" s="42">
        <v>99.83</v>
      </c>
      <c r="S812" s="42">
        <v>147.03</v>
      </c>
      <c r="T812" s="42">
        <v>191.87</v>
      </c>
      <c r="U812" s="25"/>
      <c r="V812" s="1">
        <f>INDEX(tank4Trim2,0,MATCH(V811,tank4Trim2,1))</f>
        <v>0</v>
      </c>
      <c r="W812" s="1">
        <f>Interp2(tank4Trim1,tank4Trim2,tank4Trim3,X808,V812)</f>
        <v>2.5830000000000002</v>
      </c>
      <c r="X812" s="1">
        <f>Interp2(tank4Trim1,tank4Trim2,tank4Trim3,X809,V812)</f>
        <v>1.9119999999999999</v>
      </c>
      <c r="Z812" s="916"/>
      <c r="AA812" s="916"/>
      <c r="AB812" s="40"/>
    </row>
    <row r="813" spans="1:28">
      <c r="A813" s="1">
        <v>650</v>
      </c>
      <c r="B813" s="1">
        <v>446.57600000000002</v>
      </c>
      <c r="C813" s="1">
        <v>442.50299999999999</v>
      </c>
      <c r="D813" s="1">
        <v>440.10700000000003</v>
      </c>
      <c r="E813" s="1">
        <v>437.47</v>
      </c>
      <c r="F813" s="1">
        <v>434.60199999999998</v>
      </c>
      <c r="G813" s="1">
        <v>431.59500000000003</v>
      </c>
      <c r="H813" s="1">
        <v>425.42599999999999</v>
      </c>
      <c r="I813" s="1">
        <v>419.18400000000003</v>
      </c>
      <c r="J813" s="296">
        <v>4419</v>
      </c>
      <c r="K813" s="1">
        <v>1300</v>
      </c>
      <c r="L813" s="42">
        <v>-221.38</v>
      </c>
      <c r="M813" s="42">
        <v>-162.9</v>
      </c>
      <c r="N813" s="42">
        <v>-106.1</v>
      </c>
      <c r="O813" s="42">
        <v>-51.54</v>
      </c>
      <c r="P813" s="419">
        <v>0</v>
      </c>
      <c r="Q813" s="42">
        <v>49.9</v>
      </c>
      <c r="R813" s="42">
        <v>97.12</v>
      </c>
      <c r="S813" s="42">
        <v>143</v>
      </c>
      <c r="T813" s="42">
        <v>186.65</v>
      </c>
      <c r="U813" s="25"/>
      <c r="V813" s="1">
        <f>IF(V812=V811,V811,INDEX(tank4Trim2,0,MATCH(V811,tank4Trim2,1)+1))</f>
        <v>0.5</v>
      </c>
      <c r="W813" s="1">
        <f>Interp2(tank4Trim1,tank4Trim2,tank4Trim3,X808,V813)</f>
        <v>2.3450000000000002</v>
      </c>
      <c r="X813" s="1">
        <f>Interp2(tank4Trim1,tank4Trim2,tank4Trim3,X809,V813)</f>
        <v>1.7090000000000001</v>
      </c>
      <c r="AA813" s="30"/>
    </row>
    <row r="814" spans="1:28">
      <c r="A814" s="1">
        <v>700</v>
      </c>
      <c r="B814" s="1">
        <v>440.08100000000002</v>
      </c>
      <c r="C814" s="1">
        <v>435.28199999999998</v>
      </c>
      <c r="D814" s="1">
        <v>432.52300000000002</v>
      </c>
      <c r="E814" s="1">
        <v>429.54199999999997</v>
      </c>
      <c r="F814" s="1">
        <v>426.46800000000002</v>
      </c>
      <c r="G814" s="1">
        <v>423.36900000000003</v>
      </c>
      <c r="H814" s="1">
        <v>417.13600000000002</v>
      </c>
      <c r="I814" s="1">
        <v>410.90100000000001</v>
      </c>
      <c r="J814" s="296">
        <v>4369</v>
      </c>
      <c r="K814" s="1">
        <v>1400</v>
      </c>
      <c r="L814" s="42">
        <v>-216.71</v>
      </c>
      <c r="M814" s="42">
        <v>-158.30000000000001</v>
      </c>
      <c r="N814" s="42">
        <v>-103.14</v>
      </c>
      <c r="O814" s="42">
        <v>-50.07</v>
      </c>
      <c r="P814" s="419">
        <v>0</v>
      </c>
      <c r="Q814" s="42">
        <v>48.51</v>
      </c>
      <c r="R814" s="42">
        <v>94.42</v>
      </c>
      <c r="S814" s="42">
        <v>138.96</v>
      </c>
      <c r="T814" s="42">
        <v>181.43</v>
      </c>
      <c r="U814" s="25"/>
      <c r="W814" s="30"/>
      <c r="AA814" s="30"/>
    </row>
    <row r="815" spans="1:28">
      <c r="A815" s="1">
        <v>750</v>
      </c>
      <c r="B815" s="1">
        <v>432.52</v>
      </c>
      <c r="C815" s="1">
        <v>426.99400000000003</v>
      </c>
      <c r="D815" s="1">
        <v>423.92599999999999</v>
      </c>
      <c r="E815" s="1">
        <v>420.83600000000001</v>
      </c>
      <c r="F815" s="1">
        <v>417.74200000000002</v>
      </c>
      <c r="G815" s="1">
        <v>414.64400000000001</v>
      </c>
      <c r="H815" s="1">
        <v>408.45100000000002</v>
      </c>
      <c r="I815" s="1">
        <v>402.30099999999999</v>
      </c>
      <c r="J815" s="296">
        <v>4319</v>
      </c>
      <c r="K815" s="1">
        <v>1500</v>
      </c>
      <c r="L815" s="42">
        <v>-210.51</v>
      </c>
      <c r="M815" s="42">
        <v>-153.69</v>
      </c>
      <c r="N815" s="42">
        <v>-100.19</v>
      </c>
      <c r="O815" s="42">
        <v>-48.6</v>
      </c>
      <c r="P815" s="419">
        <v>0</v>
      </c>
      <c r="Q815" s="42">
        <v>47.12</v>
      </c>
      <c r="R815" s="42">
        <v>91.71</v>
      </c>
      <c r="S815" s="42">
        <v>134.91999999999999</v>
      </c>
      <c r="T815" s="42">
        <v>176.2</v>
      </c>
      <c r="U815" s="24"/>
      <c r="W815" s="30"/>
      <c r="X815" s="42"/>
      <c r="AA815" s="30"/>
      <c r="AB815" s="42"/>
    </row>
    <row r="816" spans="1:28">
      <c r="A816" s="1">
        <v>800</v>
      </c>
      <c r="B816" s="1">
        <v>424.04300000000001</v>
      </c>
      <c r="C816" s="1">
        <v>417.971</v>
      </c>
      <c r="D816" s="1">
        <v>414.892</v>
      </c>
      <c r="E816" s="1">
        <v>411.81299999999999</v>
      </c>
      <c r="F816" s="1">
        <v>408.733</v>
      </c>
      <c r="G816" s="1">
        <v>405.65699999999998</v>
      </c>
      <c r="H816" s="1">
        <v>399.541</v>
      </c>
      <c r="I816" s="1">
        <v>393.49400000000003</v>
      </c>
      <c r="J816" s="296">
        <v>4269</v>
      </c>
      <c r="K816" s="1">
        <v>1600</v>
      </c>
      <c r="L816" s="42">
        <v>-204.3</v>
      </c>
      <c r="M816" s="42">
        <v>-149.09</v>
      </c>
      <c r="N816" s="42">
        <v>-97.16</v>
      </c>
      <c r="O816" s="42">
        <v>-47.13</v>
      </c>
      <c r="P816" s="419">
        <v>0</v>
      </c>
      <c r="Q816" s="42">
        <v>45.73</v>
      </c>
      <c r="R816" s="42">
        <v>89</v>
      </c>
      <c r="S816" s="42">
        <v>130.88</v>
      </c>
      <c r="T816" s="42">
        <v>170.96</v>
      </c>
      <c r="U816" s="24"/>
      <c r="V816" s="1">
        <f>bunkerPlanTrim</f>
        <v>-0.15</v>
      </c>
      <c r="W816" s="383">
        <v>400</v>
      </c>
      <c r="X816" s="384" t="str">
        <f>ADDRESS(X818,10,1,1)</f>
        <v>$J$818</v>
      </c>
      <c r="AA816" s="30"/>
      <c r="AB816" s="42"/>
    </row>
    <row r="817" spans="1:28">
      <c r="A817" s="1">
        <v>850</v>
      </c>
      <c r="B817" s="1">
        <v>415.08300000000003</v>
      </c>
      <c r="C817" s="1">
        <v>408.92399999999998</v>
      </c>
      <c r="D817" s="1">
        <v>405.84500000000003</v>
      </c>
      <c r="E817" s="1">
        <v>402.76600000000002</v>
      </c>
      <c r="F817" s="1">
        <v>399.69200000000001</v>
      </c>
      <c r="G817" s="1">
        <v>396.63400000000001</v>
      </c>
      <c r="H817" s="1">
        <v>390.58300000000003</v>
      </c>
      <c r="I817" s="1">
        <v>384.62</v>
      </c>
      <c r="J817" s="296">
        <v>4219</v>
      </c>
      <c r="K817" s="1">
        <v>1700</v>
      </c>
      <c r="L817" s="42">
        <v>-198.06</v>
      </c>
      <c r="M817" s="42">
        <v>-144.5</v>
      </c>
      <c r="N817" s="42">
        <v>-94.14</v>
      </c>
      <c r="O817" s="42">
        <v>-45.67</v>
      </c>
      <c r="P817" s="419">
        <v>0</v>
      </c>
      <c r="Q817" s="42">
        <v>44.34</v>
      </c>
      <c r="R817" s="42">
        <v>86.29</v>
      </c>
      <c r="S817" s="42">
        <v>126.83</v>
      </c>
      <c r="T817" s="42">
        <v>165.72</v>
      </c>
      <c r="U817" s="24"/>
      <c r="V817" s="188">
        <f>INDEX(tank4Trim2,0,MATCH(V816,tank4Trim2,1))</f>
        <v>-1</v>
      </c>
      <c r="W817" s="188">
        <f>MATCH(V817,tank4Trim2,0)+1</f>
        <v>2</v>
      </c>
      <c r="X817" s="188">
        <f>MATCH(targetTank4,IF(W817=2,B800:B902,IF(W817=3,C800:C902,IF(W817=4,D800:D902,IF(W817=5,E800:E902,IF(W817=6,F800:F902,IF(W817=7,G800:G902,IF(W817=8,H800:H902,IF(W817=9,I800:I902)))))))),-1)</f>
        <v>19</v>
      </c>
      <c r="AA817" s="30"/>
      <c r="AB817" s="42"/>
    </row>
    <row r="818" spans="1:28">
      <c r="A818" s="1">
        <v>900</v>
      </c>
      <c r="B818" s="1">
        <v>406.036</v>
      </c>
      <c r="C818" s="1">
        <v>399.87700000000001</v>
      </c>
      <c r="D818" s="1">
        <v>396.798</v>
      </c>
      <c r="E818" s="1">
        <v>393.72899999999998</v>
      </c>
      <c r="F818" s="1">
        <v>390.68099999999998</v>
      </c>
      <c r="G818" s="1">
        <v>387.65600000000001</v>
      </c>
      <c r="H818" s="1">
        <v>381.67399999999998</v>
      </c>
      <c r="I818" s="1">
        <v>375.733</v>
      </c>
      <c r="J818" s="296">
        <v>4169</v>
      </c>
      <c r="K818" s="1">
        <v>1800</v>
      </c>
      <c r="L818" s="42">
        <v>-191.72</v>
      </c>
      <c r="M818" s="42">
        <v>-139.91</v>
      </c>
      <c r="N818" s="42">
        <v>-91.11</v>
      </c>
      <c r="O818" s="42">
        <v>-44.2</v>
      </c>
      <c r="P818" s="419">
        <v>0</v>
      </c>
      <c r="Q818" s="42">
        <v>42.94</v>
      </c>
      <c r="R818" s="42">
        <v>83.58</v>
      </c>
      <c r="S818" s="42">
        <v>122.77</v>
      </c>
      <c r="T818" s="42">
        <v>160.47</v>
      </c>
      <c r="U818" s="24"/>
      <c r="V818" s="386">
        <v>405</v>
      </c>
      <c r="X818" s="188">
        <f>X817+799</f>
        <v>818</v>
      </c>
      <c r="AA818" s="30"/>
    </row>
    <row r="819" spans="1:28">
      <c r="A819" s="1">
        <v>950</v>
      </c>
      <c r="B819" s="1">
        <v>396.99099999999999</v>
      </c>
      <c r="C819" s="1">
        <v>390.834</v>
      </c>
      <c r="D819" s="1">
        <v>387.77699999999999</v>
      </c>
      <c r="E819" s="1">
        <v>384.74200000000002</v>
      </c>
      <c r="F819" s="1">
        <v>381.73099999999999</v>
      </c>
      <c r="G819" s="1">
        <v>378.74299999999999</v>
      </c>
      <c r="H819" s="1">
        <v>372.33699999999999</v>
      </c>
      <c r="I819" s="1">
        <v>367.02199999999999</v>
      </c>
      <c r="J819" s="296">
        <v>4119</v>
      </c>
      <c r="K819" s="1">
        <v>1900</v>
      </c>
      <c r="L819" s="42">
        <v>-185.37</v>
      </c>
      <c r="M819" s="42">
        <v>-135.33000000000001</v>
      </c>
      <c r="N819" s="42">
        <v>-88.09</v>
      </c>
      <c r="O819" s="42">
        <v>-42.73</v>
      </c>
      <c r="P819" s="419">
        <v>0</v>
      </c>
      <c r="Q819" s="42">
        <v>41.55</v>
      </c>
      <c r="R819" s="42">
        <v>80.87</v>
      </c>
      <c r="S819" s="42">
        <v>118.71</v>
      </c>
      <c r="T819" s="42">
        <v>155.22</v>
      </c>
      <c r="U819" s="25"/>
      <c r="V819" s="188">
        <f>FLOOR(V818,inc)</f>
        <v>400</v>
      </c>
      <c r="W819" s="384">
        <f>Interp2(tank4Trim1,tank4Trim2,tank4Trim3,V819,V817)</f>
        <v>463.07</v>
      </c>
      <c r="X819" s="188"/>
      <c r="AA819" s="30"/>
      <c r="AB819" s="42"/>
    </row>
    <row r="820" spans="1:28">
      <c r="A820" s="1">
        <v>1000</v>
      </c>
      <c r="B820" s="1">
        <v>387.98200000000003</v>
      </c>
      <c r="C820" s="1">
        <v>381.86799999999999</v>
      </c>
      <c r="D820" s="1">
        <v>378.846</v>
      </c>
      <c r="E820" s="1">
        <v>375.84800000000001</v>
      </c>
      <c r="F820" s="1">
        <v>372.87200000000001</v>
      </c>
      <c r="G820" s="1">
        <v>369.92</v>
      </c>
      <c r="H820" s="1">
        <v>364.08600000000001</v>
      </c>
      <c r="I820" s="1">
        <v>358.346</v>
      </c>
      <c r="J820" s="296">
        <v>4069</v>
      </c>
      <c r="K820" s="1">
        <v>2000</v>
      </c>
      <c r="L820" s="42">
        <v>-179.04</v>
      </c>
      <c r="M820" s="42">
        <v>-130.75</v>
      </c>
      <c r="N820" s="42">
        <v>-85.06</v>
      </c>
      <c r="O820" s="42">
        <v>-41.26</v>
      </c>
      <c r="P820" s="419">
        <v>0</v>
      </c>
      <c r="Q820" s="42">
        <v>40.159999999999997</v>
      </c>
      <c r="R820" s="42">
        <v>78.16</v>
      </c>
      <c r="S820" s="42">
        <v>114.64</v>
      </c>
      <c r="T820" s="42">
        <v>149.96</v>
      </c>
      <c r="U820" s="27"/>
      <c r="W820" s="43"/>
      <c r="X820" s="42"/>
      <c r="AA820" s="30"/>
      <c r="AB820" s="42"/>
    </row>
    <row r="821" spans="1:28">
      <c r="A821" s="1">
        <v>1050</v>
      </c>
      <c r="B821" s="1">
        <v>379.05099999999999</v>
      </c>
      <c r="C821" s="1">
        <v>373.00700000000001</v>
      </c>
      <c r="D821" s="1">
        <v>370.02</v>
      </c>
      <c r="E821" s="1">
        <v>367.05700000000002</v>
      </c>
      <c r="F821" s="1">
        <v>364.11700000000002</v>
      </c>
      <c r="G821" s="1">
        <v>361.2</v>
      </c>
      <c r="H821" s="1">
        <v>355.43700000000001</v>
      </c>
      <c r="I821" s="1">
        <v>349.76799999999997</v>
      </c>
      <c r="J821" s="296">
        <v>4019</v>
      </c>
      <c r="K821" s="1">
        <v>2100</v>
      </c>
      <c r="L821" s="42">
        <v>-172.72</v>
      </c>
      <c r="M821" s="42">
        <v>-126.19</v>
      </c>
      <c r="N821" s="42">
        <v>-82.04</v>
      </c>
      <c r="O821" s="42">
        <v>-39.79</v>
      </c>
      <c r="P821" s="419">
        <v>0</v>
      </c>
      <c r="Q821" s="42">
        <v>38.770000000000003</v>
      </c>
      <c r="R821" s="42">
        <v>75.45</v>
      </c>
      <c r="S821" s="42">
        <v>110.56</v>
      </c>
      <c r="T821" s="42">
        <v>144.69</v>
      </c>
      <c r="U821" s="25"/>
    </row>
    <row r="822" spans="1:28">
      <c r="A822" s="1">
        <v>1100</v>
      </c>
      <c r="B822" s="1">
        <v>370.22199999999998</v>
      </c>
      <c r="C822" s="1">
        <v>364.24900000000002</v>
      </c>
      <c r="D822" s="1">
        <v>361.29700000000003</v>
      </c>
      <c r="E822" s="1">
        <v>358.36900000000003</v>
      </c>
      <c r="F822" s="1">
        <v>355.46499999999997</v>
      </c>
      <c r="G822" s="1">
        <v>352.584</v>
      </c>
      <c r="H822" s="1">
        <v>346.892</v>
      </c>
      <c r="I822" s="1">
        <v>341.29300000000001</v>
      </c>
      <c r="J822" s="296">
        <v>3969</v>
      </c>
      <c r="K822" s="1">
        <v>2200</v>
      </c>
      <c r="L822" s="42">
        <v>-166.4</v>
      </c>
      <c r="M822" s="42">
        <v>-121.62</v>
      </c>
      <c r="N822" s="42">
        <v>-79.010000000000005</v>
      </c>
      <c r="O822" s="42">
        <v>-38.33</v>
      </c>
      <c r="P822" s="419">
        <v>0</v>
      </c>
      <c r="Q822" s="42">
        <v>37.380000000000003</v>
      </c>
      <c r="R822" s="42">
        <v>72.739999999999995</v>
      </c>
      <c r="S822" s="42">
        <v>106.48</v>
      </c>
      <c r="T822" s="42">
        <v>139.41999999999999</v>
      </c>
      <c r="U822" s="24"/>
      <c r="V822" s="1">
        <f>bunkerPlanHeel</f>
        <v>0</v>
      </c>
      <c r="W822" s="382">
        <f>currentSounding4</f>
        <v>405</v>
      </c>
      <c r="X822" s="186">
        <f>IF((W822+W825)&lt;0,W822,W822+W825)</f>
        <v>405</v>
      </c>
      <c r="Y822" s="381">
        <f>IF(Y824=Y823,Y823,Interp1(X823:X824,Y823:Y824,X822))</f>
        <v>462.50400000000002</v>
      </c>
    </row>
    <row r="823" spans="1:28">
      <c r="A823" s="1">
        <v>1150</v>
      </c>
      <c r="B823" s="1">
        <v>361.49700000000001</v>
      </c>
      <c r="C823" s="1">
        <v>355.59500000000003</v>
      </c>
      <c r="D823" s="1">
        <v>352.67899999999997</v>
      </c>
      <c r="E823" s="1">
        <v>349.78699999999998</v>
      </c>
      <c r="F823" s="1">
        <v>346.91699999999997</v>
      </c>
      <c r="G823" s="1">
        <v>344.072</v>
      </c>
      <c r="H823" s="1">
        <v>338.45100000000002</v>
      </c>
      <c r="I823" s="1">
        <v>332.923</v>
      </c>
      <c r="J823" s="296">
        <v>3919</v>
      </c>
      <c r="K823" s="1">
        <v>2300</v>
      </c>
      <c r="L823" s="42">
        <v>-160.09</v>
      </c>
      <c r="M823" s="42">
        <v>-117.07</v>
      </c>
      <c r="N823" s="42">
        <v>-75.989999999999995</v>
      </c>
      <c r="O823" s="42">
        <v>-36.86</v>
      </c>
      <c r="P823" s="419">
        <v>0</v>
      </c>
      <c r="Q823" s="42">
        <v>35.979999999999997</v>
      </c>
      <c r="R823" s="42">
        <v>70.03</v>
      </c>
      <c r="S823" s="42">
        <v>102.38</v>
      </c>
      <c r="T823" s="42">
        <v>134.13</v>
      </c>
      <c r="U823" s="25"/>
      <c r="V823" s="1">
        <f>FLOOR(W822,inc)</f>
        <v>400</v>
      </c>
      <c r="W823" s="1">
        <f>Interp2(tank4Heel1,tank4Heel2,tank4Heel3,V823,V822)</f>
        <v>0</v>
      </c>
      <c r="X823" s="1">
        <f>FLOOR(X822,inc)</f>
        <v>400</v>
      </c>
      <c r="Y823" s="42">
        <f>IF(W828=W827,W827,Interp1(V827:V828,W827:W828,V826))</f>
        <v>462.68200000000002</v>
      </c>
      <c r="Z823" s="918"/>
      <c r="AA823" s="918"/>
      <c r="AB823" s="42"/>
    </row>
    <row r="824" spans="1:28">
      <c r="A824" s="1">
        <v>1200</v>
      </c>
      <c r="B824" s="1">
        <v>352.87599999999998</v>
      </c>
      <c r="C824" s="1">
        <v>347.04500000000002</v>
      </c>
      <c r="D824" s="1">
        <v>344.16500000000002</v>
      </c>
      <c r="E824" s="1">
        <v>341.30799999999999</v>
      </c>
      <c r="F824" s="1">
        <v>338.47399999999999</v>
      </c>
      <c r="G824" s="1">
        <v>335.66399999999999</v>
      </c>
      <c r="H824" s="1">
        <v>330.113</v>
      </c>
      <c r="I824" s="1">
        <v>324.65600000000001</v>
      </c>
      <c r="J824" s="296">
        <v>3869</v>
      </c>
      <c r="K824" s="1">
        <v>2400</v>
      </c>
      <c r="L824" s="42">
        <v>-153.79</v>
      </c>
      <c r="M824" s="42">
        <v>-112.53</v>
      </c>
      <c r="N824" s="42">
        <v>-72.959999999999994</v>
      </c>
      <c r="O824" s="42">
        <v>-35.39</v>
      </c>
      <c r="P824" s="419">
        <v>0</v>
      </c>
      <c r="Q824" s="42">
        <v>34.590000000000003</v>
      </c>
      <c r="R824" s="42">
        <v>67.31</v>
      </c>
      <c r="S824" s="42">
        <v>98.34</v>
      </c>
      <c r="T824" s="42">
        <v>128.83000000000001</v>
      </c>
      <c r="U824" s="25"/>
      <c r="V824" s="1">
        <f>IF(V823=currentSounding24,V823,CEILING(W822,inc))</f>
        <v>450</v>
      </c>
      <c r="W824" s="1">
        <f>Interp2(tank4Heel1,tank4Heel2,tank4Heel3,V824,V822)</f>
        <v>0</v>
      </c>
      <c r="X824" s="1">
        <f>CEILING(X822,inc)</f>
        <v>450</v>
      </c>
      <c r="Y824" s="42">
        <f>IF(X828=X827,X827,Interp1(V827:V828,X827:X828,V826))</f>
        <v>460.899</v>
      </c>
    </row>
    <row r="825" spans="1:28">
      <c r="A825" s="1">
        <v>1250</v>
      </c>
      <c r="B825" s="1">
        <v>344.36</v>
      </c>
      <c r="C825" s="1">
        <v>338.6</v>
      </c>
      <c r="D825" s="1">
        <v>335.75400000000002</v>
      </c>
      <c r="E825" s="1">
        <v>332.93299999999999</v>
      </c>
      <c r="F825" s="1">
        <v>330.13400000000001</v>
      </c>
      <c r="G825" s="1">
        <v>327.36</v>
      </c>
      <c r="H825" s="1">
        <v>321.88</v>
      </c>
      <c r="I825" s="1">
        <v>316.49400000000003</v>
      </c>
      <c r="J825" s="296">
        <v>3819</v>
      </c>
      <c r="K825" s="1">
        <v>2500</v>
      </c>
      <c r="L825" s="42">
        <v>-147.51</v>
      </c>
      <c r="M825" s="42">
        <v>-107.99</v>
      </c>
      <c r="N825" s="42">
        <v>-69.94</v>
      </c>
      <c r="O825" s="42">
        <v>-33.93</v>
      </c>
      <c r="P825" s="419">
        <v>0</v>
      </c>
      <c r="Q825" s="42">
        <v>33.200000000000003</v>
      </c>
      <c r="R825" s="42">
        <v>64.599999999999994</v>
      </c>
      <c r="S825" s="42">
        <v>94.38</v>
      </c>
      <c r="T825" s="42">
        <v>123.52</v>
      </c>
      <c r="U825" s="25"/>
      <c r="W825" s="1">
        <f>IF(W824=W823,W823,Interp1(V823:V824,W823:W824,W822))</f>
        <v>0</v>
      </c>
      <c r="Y825" s="42"/>
    </row>
    <row r="826" spans="1:28">
      <c r="A826" s="1">
        <v>1300</v>
      </c>
      <c r="B826" s="1">
        <v>335.94799999999998</v>
      </c>
      <c r="C826" s="1">
        <v>330.25799999999998</v>
      </c>
      <c r="D826" s="1">
        <v>327.44799999999998</v>
      </c>
      <c r="E826" s="1">
        <v>324.66199999999998</v>
      </c>
      <c r="F826" s="1">
        <v>321.899</v>
      </c>
      <c r="G826" s="1">
        <v>319.16000000000003</v>
      </c>
      <c r="H826" s="1">
        <v>313.75099999999998</v>
      </c>
      <c r="I826" s="1">
        <v>308.435</v>
      </c>
      <c r="J826" s="296">
        <v>3769</v>
      </c>
      <c r="K826" s="1">
        <v>2600</v>
      </c>
      <c r="L826" s="42">
        <v>-141.24</v>
      </c>
      <c r="M826" s="42">
        <v>-103.48</v>
      </c>
      <c r="N826" s="42">
        <v>-66.92</v>
      </c>
      <c r="O826" s="42">
        <v>-32.46</v>
      </c>
      <c r="P826" s="419">
        <v>0</v>
      </c>
      <c r="Q826" s="42">
        <v>31.8</v>
      </c>
      <c r="R826" s="42">
        <v>61.89</v>
      </c>
      <c r="S826" s="42">
        <v>90.41</v>
      </c>
      <c r="T826" s="42">
        <v>118.19</v>
      </c>
      <c r="U826" s="25"/>
      <c r="V826" s="1">
        <f>bunkerPlanTrim</f>
        <v>-0.15</v>
      </c>
    </row>
    <row r="827" spans="1:28">
      <c r="A827" s="1">
        <v>1350</v>
      </c>
      <c r="B827" s="1">
        <v>327.63900000000001</v>
      </c>
      <c r="C827" s="1">
        <v>322.02</v>
      </c>
      <c r="D827" s="1">
        <v>319.24599999999998</v>
      </c>
      <c r="E827" s="1">
        <v>316.495</v>
      </c>
      <c r="F827" s="1">
        <v>313.76799999999997</v>
      </c>
      <c r="G827" s="1">
        <v>311.06400000000002</v>
      </c>
      <c r="H827" s="1">
        <v>305.726</v>
      </c>
      <c r="I827" s="1">
        <v>300.48099999999999</v>
      </c>
      <c r="J827" s="296">
        <v>3719</v>
      </c>
      <c r="K827" s="1">
        <v>2700</v>
      </c>
      <c r="L827" s="42">
        <v>-134.97999999999999</v>
      </c>
      <c r="M827" s="42">
        <v>-98.92</v>
      </c>
      <c r="N827" s="42">
        <v>-63.9</v>
      </c>
      <c r="O827" s="42">
        <v>-30.99</v>
      </c>
      <c r="P827" s="419">
        <v>0</v>
      </c>
      <c r="Q827" s="42">
        <v>30.41</v>
      </c>
      <c r="R827" s="42">
        <v>59.18</v>
      </c>
      <c r="S827" s="42">
        <v>86.45</v>
      </c>
      <c r="T827" s="42">
        <v>112.86</v>
      </c>
      <c r="U827" s="24"/>
      <c r="V827" s="1">
        <f>INDEX(tank4Trim2,0,MATCH(V826,tank4Trim2,1))</f>
        <v>-1</v>
      </c>
      <c r="W827" s="1">
        <f>Interp2(tank4Trim1,tank4Trim2,tank4Trim3,X823,V827)</f>
        <v>463.07</v>
      </c>
      <c r="X827" s="1">
        <f>Interp2(tank4Trim1,tank4Trim2,tank4Trim3,X824,V827)</f>
        <v>461.89299999999997</v>
      </c>
    </row>
    <row r="828" spans="1:28">
      <c r="A828" s="1">
        <v>1400</v>
      </c>
      <c r="B828" s="1">
        <v>319.435</v>
      </c>
      <c r="C828" s="1">
        <v>313.887</v>
      </c>
      <c r="D828" s="1">
        <v>311.14800000000002</v>
      </c>
      <c r="E828" s="1">
        <v>308.43299999999999</v>
      </c>
      <c r="F828" s="1">
        <v>305.74</v>
      </c>
      <c r="G828" s="1">
        <v>303.072</v>
      </c>
      <c r="H828" s="1">
        <v>297.80500000000001</v>
      </c>
      <c r="I828" s="1">
        <v>292.63099999999997</v>
      </c>
      <c r="J828" s="296">
        <v>3669</v>
      </c>
      <c r="K828" s="1">
        <v>2800</v>
      </c>
      <c r="L828" s="42">
        <v>-128.72999999999999</v>
      </c>
      <c r="M828" s="42">
        <v>-94.25</v>
      </c>
      <c r="N828" s="42">
        <v>-60.88</v>
      </c>
      <c r="O828" s="42">
        <v>-29.53</v>
      </c>
      <c r="P828" s="419">
        <v>0</v>
      </c>
      <c r="Q828" s="42">
        <v>29.02</v>
      </c>
      <c r="R828" s="42">
        <v>56.46</v>
      </c>
      <c r="S828" s="42">
        <v>82.48</v>
      </c>
      <c r="T828" s="42">
        <v>107.5</v>
      </c>
      <c r="U828" s="25"/>
      <c r="V828" s="1">
        <f>IF(V827=V826,V826,INDEX(tank4Trim2,0,MATCH(V826,tank4Trim2,1)+1))</f>
        <v>0</v>
      </c>
      <c r="W828" s="1">
        <f>Interp2(tank4Trim1,tank4Trim2,tank4Trim3,X823,V828)</f>
        <v>462.613</v>
      </c>
      <c r="X828" s="1">
        <f>Interp2(tank4Trim1,tank4Trim2,tank4Trim3,X824,V828)</f>
        <v>460.72399999999999</v>
      </c>
    </row>
    <row r="829" spans="1:28">
      <c r="A829" s="1">
        <v>1450</v>
      </c>
      <c r="B829" s="1">
        <v>311.33499999999998</v>
      </c>
      <c r="C829" s="1">
        <v>305.85700000000003</v>
      </c>
      <c r="D829" s="1">
        <v>303.154</v>
      </c>
      <c r="E829" s="1">
        <v>300.47399999999999</v>
      </c>
      <c r="F829" s="1">
        <v>297.81700000000001</v>
      </c>
      <c r="G829" s="1">
        <v>295.18400000000003</v>
      </c>
      <c r="H829" s="1">
        <v>289.98700000000002</v>
      </c>
      <c r="I829" s="1">
        <v>284.88499999999999</v>
      </c>
      <c r="J829" s="296">
        <v>3619</v>
      </c>
      <c r="K829" s="1">
        <v>2900</v>
      </c>
      <c r="L829" s="42">
        <v>-122.51</v>
      </c>
      <c r="M829" s="42">
        <v>-89.58</v>
      </c>
      <c r="N829" s="42">
        <v>-57.86</v>
      </c>
      <c r="O829" s="42">
        <v>-28.06</v>
      </c>
      <c r="P829" s="419">
        <v>0</v>
      </c>
      <c r="Q829" s="42">
        <v>27.62</v>
      </c>
      <c r="R829" s="42">
        <v>53.75</v>
      </c>
      <c r="S829" s="42">
        <v>78.510000000000005</v>
      </c>
      <c r="T829" s="42">
        <v>102.12</v>
      </c>
      <c r="U829" s="24"/>
    </row>
    <row r="830" spans="1:28">
      <c r="A830" s="1">
        <v>1500</v>
      </c>
      <c r="B830" s="1">
        <v>303.33800000000002</v>
      </c>
      <c r="C830" s="1">
        <v>297.93200000000002</v>
      </c>
      <c r="D830" s="1">
        <v>295.26400000000001</v>
      </c>
      <c r="E830" s="1">
        <v>292.61900000000003</v>
      </c>
      <c r="F830" s="1">
        <v>289.99799999999999</v>
      </c>
      <c r="G830" s="1">
        <v>287.39999999999998</v>
      </c>
      <c r="H830" s="1">
        <v>282.274</v>
      </c>
      <c r="I830" s="1">
        <v>277.24200000000002</v>
      </c>
      <c r="J830" s="296">
        <v>3569</v>
      </c>
      <c r="K830" s="1">
        <v>3000</v>
      </c>
      <c r="L830" s="42">
        <v>-116.3</v>
      </c>
      <c r="M830" s="42">
        <v>-84.91</v>
      </c>
      <c r="N830" s="42">
        <v>-54.84</v>
      </c>
      <c r="O830" s="42">
        <v>-26.6</v>
      </c>
      <c r="P830" s="419">
        <v>0</v>
      </c>
      <c r="Q830" s="42">
        <v>26.23</v>
      </c>
      <c r="R830" s="42">
        <v>51.03</v>
      </c>
      <c r="S830" s="42">
        <v>74.540000000000006</v>
      </c>
      <c r="T830" s="42">
        <v>96.87</v>
      </c>
      <c r="U830" s="26"/>
      <c r="V830" s="914"/>
      <c r="W830" s="914"/>
      <c r="X830" s="38"/>
    </row>
    <row r="831" spans="1:28">
      <c r="A831" s="1">
        <v>1550</v>
      </c>
      <c r="B831" s="1">
        <v>295.44499999999999</v>
      </c>
      <c r="C831" s="1">
        <v>290.11</v>
      </c>
      <c r="D831" s="1">
        <v>287.47699999999998</v>
      </c>
      <c r="E831" s="1">
        <v>284.86799999999999</v>
      </c>
      <c r="F831" s="1">
        <v>282.28199999999998</v>
      </c>
      <c r="G831" s="1">
        <v>279.72000000000003</v>
      </c>
      <c r="H831" s="1">
        <v>274.66500000000002</v>
      </c>
      <c r="I831" s="1">
        <v>269.70400000000001</v>
      </c>
      <c r="J831" s="296">
        <v>3519</v>
      </c>
      <c r="K831" s="1">
        <v>3100</v>
      </c>
      <c r="L831" s="42">
        <v>-110.12</v>
      </c>
      <c r="M831" s="42">
        <v>-80.239999999999995</v>
      </c>
      <c r="N831" s="42">
        <v>-51.82</v>
      </c>
      <c r="O831" s="42">
        <v>-25.13</v>
      </c>
      <c r="P831" s="419">
        <v>0</v>
      </c>
      <c r="Q831" s="42">
        <v>24.83</v>
      </c>
      <c r="R831" s="42">
        <v>48.31</v>
      </c>
      <c r="S831" s="42">
        <v>70.569999999999993</v>
      </c>
      <c r="T831" s="42">
        <v>91.7</v>
      </c>
      <c r="U831" s="24"/>
      <c r="V831" s="916"/>
      <c r="W831" s="916"/>
      <c r="X831" s="39"/>
      <c r="Z831" s="916"/>
      <c r="AA831" s="916"/>
      <c r="AB831" s="40"/>
    </row>
    <row r="832" spans="1:28">
      <c r="A832" s="1">
        <v>1600</v>
      </c>
      <c r="B832" s="1">
        <v>287.65800000000002</v>
      </c>
      <c r="C832" s="1">
        <v>282.39299999999997</v>
      </c>
      <c r="D832" s="1">
        <v>279.79599999999999</v>
      </c>
      <c r="E832" s="1">
        <v>277.22199999999998</v>
      </c>
      <c r="F832" s="1">
        <v>274.67099999999999</v>
      </c>
      <c r="G832" s="1">
        <v>272.14400000000001</v>
      </c>
      <c r="H832" s="1">
        <v>267.16000000000003</v>
      </c>
      <c r="I832" s="1">
        <v>262.27</v>
      </c>
      <c r="J832" s="296">
        <v>3469</v>
      </c>
      <c r="K832" s="1">
        <v>3200</v>
      </c>
      <c r="L832" s="42">
        <v>-103.96</v>
      </c>
      <c r="M832" s="42">
        <v>-75.569999999999993</v>
      </c>
      <c r="N832" s="42">
        <v>-48.81</v>
      </c>
      <c r="O832" s="42">
        <v>-23.67</v>
      </c>
      <c r="P832" s="419">
        <v>0</v>
      </c>
      <c r="Q832" s="42">
        <v>23.44</v>
      </c>
      <c r="R832" s="42">
        <v>45.6</v>
      </c>
      <c r="S832" s="42">
        <v>66.599999999999994</v>
      </c>
      <c r="T832" s="42">
        <v>86.54</v>
      </c>
      <c r="U832" s="24"/>
      <c r="W832" s="41"/>
      <c r="AA832" s="30"/>
    </row>
    <row r="833" spans="1:28">
      <c r="A833" s="1">
        <v>1650</v>
      </c>
      <c r="B833" s="1">
        <v>279.97300000000001</v>
      </c>
      <c r="C833" s="1">
        <v>274.779</v>
      </c>
      <c r="D833" s="1">
        <v>272.21800000000002</v>
      </c>
      <c r="E833" s="1">
        <v>269.67899999999997</v>
      </c>
      <c r="F833" s="1">
        <v>267.16399999999999</v>
      </c>
      <c r="G833" s="1">
        <v>264.67200000000003</v>
      </c>
      <c r="H833" s="1">
        <v>259.75900000000001</v>
      </c>
      <c r="I833" s="1">
        <v>254.94</v>
      </c>
      <c r="J833" s="296">
        <v>3419</v>
      </c>
      <c r="K833" s="1">
        <v>3300</v>
      </c>
      <c r="L833" s="42">
        <v>-97.73</v>
      </c>
      <c r="M833" s="42">
        <v>-70.91</v>
      </c>
      <c r="N833" s="42">
        <v>-45.8</v>
      </c>
      <c r="O833" s="42">
        <v>-22.21</v>
      </c>
      <c r="P833" s="419">
        <v>0</v>
      </c>
      <c r="Q833" s="42">
        <v>22.04</v>
      </c>
      <c r="R833" s="42">
        <v>42.88</v>
      </c>
      <c r="S833" s="42">
        <v>62.62</v>
      </c>
      <c r="T833" s="42">
        <v>81.37</v>
      </c>
      <c r="U833" s="25"/>
      <c r="W833" s="30"/>
      <c r="AA833" s="30"/>
    </row>
    <row r="834" spans="1:28">
      <c r="A834" s="1">
        <v>1700</v>
      </c>
      <c r="B834" s="1">
        <v>272.39299999999997</v>
      </c>
      <c r="C834" s="1">
        <v>267.27</v>
      </c>
      <c r="D834" s="1">
        <v>264.74400000000003</v>
      </c>
      <c r="E834" s="1">
        <v>262.24099999999999</v>
      </c>
      <c r="F834" s="1">
        <v>259.76100000000002</v>
      </c>
      <c r="G834" s="1">
        <v>257.30500000000001</v>
      </c>
      <c r="H834" s="1">
        <v>252.46299999999999</v>
      </c>
      <c r="I834" s="1">
        <v>247.714</v>
      </c>
      <c r="J834" s="296">
        <v>3369</v>
      </c>
      <c r="K834" s="1">
        <v>3400</v>
      </c>
      <c r="L834" s="42">
        <v>-91.31</v>
      </c>
      <c r="M834" s="42">
        <v>-66.25</v>
      </c>
      <c r="N834" s="42">
        <v>-42.78</v>
      </c>
      <c r="O834" s="42">
        <v>-20.75</v>
      </c>
      <c r="P834" s="419">
        <v>0</v>
      </c>
      <c r="Q834" s="42">
        <v>20.64</v>
      </c>
      <c r="R834" s="42">
        <v>40.15</v>
      </c>
      <c r="S834" s="42">
        <v>58.64</v>
      </c>
      <c r="T834" s="42">
        <v>76.19</v>
      </c>
      <c r="U834" s="28"/>
      <c r="W834" s="30"/>
      <c r="X834" s="42"/>
      <c r="AA834" s="30"/>
      <c r="AB834" s="42"/>
    </row>
    <row r="835" spans="1:28">
      <c r="A835" s="1">
        <v>1750</v>
      </c>
      <c r="B835" s="1">
        <v>264.91699999999997</v>
      </c>
      <c r="C835" s="1">
        <v>259.86500000000001</v>
      </c>
      <c r="D835" s="1">
        <v>257.37400000000002</v>
      </c>
      <c r="E835" s="1">
        <v>254.90600000000001</v>
      </c>
      <c r="F835" s="1">
        <v>252.46199999999999</v>
      </c>
      <c r="G835" s="1">
        <v>250.041</v>
      </c>
      <c r="H835" s="1">
        <v>245.27</v>
      </c>
      <c r="I835" s="1">
        <v>240.59100000000001</v>
      </c>
      <c r="J835" s="296">
        <v>3319</v>
      </c>
      <c r="K835" s="1">
        <v>3500</v>
      </c>
      <c r="L835" s="42">
        <v>-84.9</v>
      </c>
      <c r="M835" s="42">
        <v>-61.6</v>
      </c>
      <c r="N835" s="42">
        <v>-39.770000000000003</v>
      </c>
      <c r="O835" s="42">
        <v>-19.29</v>
      </c>
      <c r="P835" s="419">
        <v>0</v>
      </c>
      <c r="Q835" s="42">
        <v>19.239999999999998</v>
      </c>
      <c r="R835" s="42">
        <v>37.43</v>
      </c>
      <c r="S835" s="42">
        <v>54.66</v>
      </c>
      <c r="T835" s="42">
        <v>71.02</v>
      </c>
      <c r="W835" s="30"/>
      <c r="X835" s="42"/>
      <c r="AA835" s="30"/>
      <c r="AB835" s="42"/>
    </row>
    <row r="836" spans="1:28">
      <c r="A836" s="1">
        <v>1800</v>
      </c>
      <c r="B836" s="1">
        <v>257.54500000000002</v>
      </c>
      <c r="C836" s="1">
        <v>252.56299999999999</v>
      </c>
      <c r="D836" s="1">
        <v>250.108</v>
      </c>
      <c r="E836" s="1">
        <v>247.67599999999999</v>
      </c>
      <c r="F836" s="1">
        <v>245.267</v>
      </c>
      <c r="G836" s="1">
        <v>242.881</v>
      </c>
      <c r="H836" s="1">
        <v>238.18100000000001</v>
      </c>
      <c r="I836" s="1">
        <v>233.57400000000001</v>
      </c>
      <c r="J836" s="296">
        <v>3269</v>
      </c>
      <c r="K836" s="1">
        <v>3600</v>
      </c>
      <c r="L836" s="42">
        <v>-78.489999999999995</v>
      </c>
      <c r="M836" s="42">
        <v>-56.95</v>
      </c>
      <c r="N836" s="42">
        <v>-36.770000000000003</v>
      </c>
      <c r="O836" s="42">
        <v>-17.829999999999998</v>
      </c>
      <c r="P836" s="419">
        <v>0</v>
      </c>
      <c r="Q836" s="42">
        <v>17.84</v>
      </c>
      <c r="R836" s="42">
        <v>34.71</v>
      </c>
      <c r="S836" s="42">
        <v>50.68</v>
      </c>
      <c r="T836" s="42">
        <v>-65.84</v>
      </c>
      <c r="W836" s="30"/>
      <c r="X836" s="42"/>
      <c r="AA836" s="30"/>
      <c r="AB836" s="42"/>
    </row>
    <row r="837" spans="1:28">
      <c r="A837" s="1">
        <v>1850</v>
      </c>
      <c r="B837" s="1">
        <v>250.27699999999999</v>
      </c>
      <c r="C837" s="1">
        <v>245.36600000000001</v>
      </c>
      <c r="D837" s="1">
        <v>242.946</v>
      </c>
      <c r="E837" s="1">
        <v>240.54900000000001</v>
      </c>
      <c r="F837" s="1">
        <v>238.17599999999999</v>
      </c>
      <c r="G837" s="1">
        <v>235.82599999999999</v>
      </c>
      <c r="H837" s="1">
        <v>231.196</v>
      </c>
      <c r="I837" s="1">
        <v>226.66</v>
      </c>
      <c r="J837" s="296">
        <v>3219</v>
      </c>
      <c r="K837" s="1">
        <v>3700</v>
      </c>
      <c r="L837" s="42">
        <v>-72.099999999999994</v>
      </c>
      <c r="M837" s="42">
        <v>-52.3</v>
      </c>
      <c r="N837" s="42">
        <v>-33.76</v>
      </c>
      <c r="O837" s="42">
        <v>-16.37</v>
      </c>
      <c r="P837" s="419">
        <v>0</v>
      </c>
      <c r="Q837" s="42">
        <v>16.53</v>
      </c>
      <c r="R837" s="42">
        <v>32.15</v>
      </c>
      <c r="S837" s="42">
        <v>46.95</v>
      </c>
      <c r="T837" s="42">
        <v>60.99</v>
      </c>
      <c r="W837" s="30"/>
      <c r="AA837" s="30"/>
    </row>
    <row r="838" spans="1:28">
      <c r="A838" s="1">
        <v>1900</v>
      </c>
      <c r="B838" s="1">
        <v>243.113</v>
      </c>
      <c r="C838" s="1">
        <v>238.273</v>
      </c>
      <c r="D838" s="1">
        <v>235.88800000000001</v>
      </c>
      <c r="E838" s="1">
        <v>233.52699999999999</v>
      </c>
      <c r="F838" s="1">
        <v>231.18899999999999</v>
      </c>
      <c r="G838" s="1">
        <v>228.874</v>
      </c>
      <c r="H838" s="1">
        <v>224.315</v>
      </c>
      <c r="I838" s="1">
        <v>219.85</v>
      </c>
      <c r="J838" s="296">
        <v>3169</v>
      </c>
      <c r="K838" s="1">
        <v>3800</v>
      </c>
      <c r="L838" s="42">
        <v>-66.62</v>
      </c>
      <c r="M838" s="42">
        <v>-48.32</v>
      </c>
      <c r="N838" s="42">
        <v>-31.2</v>
      </c>
      <c r="O838" s="42">
        <v>-15.12</v>
      </c>
      <c r="P838" s="419">
        <v>0</v>
      </c>
      <c r="Q838" s="42">
        <v>15.39</v>
      </c>
      <c r="R838" s="42">
        <v>29.93</v>
      </c>
      <c r="S838" s="42">
        <v>43.7</v>
      </c>
      <c r="T838" s="42">
        <v>56.76</v>
      </c>
      <c r="W838" s="43"/>
      <c r="X838" s="42"/>
      <c r="AA838" s="30"/>
      <c r="AB838" s="42"/>
    </row>
    <row r="839" spans="1:28">
      <c r="A839" s="1">
        <v>1950</v>
      </c>
      <c r="B839" s="1">
        <v>236.053</v>
      </c>
      <c r="C839" s="1">
        <v>231.28399999999999</v>
      </c>
      <c r="D839" s="1">
        <v>228.934</v>
      </c>
      <c r="E839" s="1">
        <v>226.60900000000001</v>
      </c>
      <c r="F839" s="1">
        <v>224.30600000000001</v>
      </c>
      <c r="G839" s="1">
        <v>222.02600000000001</v>
      </c>
      <c r="H839" s="1">
        <v>217.53800000000001</v>
      </c>
      <c r="I839" s="1">
        <v>213.14400000000001</v>
      </c>
      <c r="J839" s="296">
        <v>3119</v>
      </c>
      <c r="K839" s="1">
        <v>3900</v>
      </c>
      <c r="L839" s="42">
        <v>-62.26</v>
      </c>
      <c r="M839" s="42">
        <v>-45.16</v>
      </c>
      <c r="N839" s="42">
        <v>-29.15</v>
      </c>
      <c r="O839" s="42">
        <v>-14.13</v>
      </c>
      <c r="P839" s="419">
        <v>0</v>
      </c>
      <c r="Q839" s="42">
        <v>14.3</v>
      </c>
      <c r="R839" s="42">
        <v>27.81</v>
      </c>
      <c r="S839" s="42">
        <v>40.6</v>
      </c>
      <c r="T839" s="42">
        <v>52.73</v>
      </c>
      <c r="W839" s="43"/>
      <c r="X839" s="42"/>
      <c r="AA839" s="30"/>
      <c r="AB839" s="42"/>
    </row>
    <row r="840" spans="1:28">
      <c r="A840" s="1">
        <v>2000</v>
      </c>
      <c r="B840" s="1">
        <v>229.09700000000001</v>
      </c>
      <c r="C840" s="1">
        <v>224.399</v>
      </c>
      <c r="D840" s="1">
        <v>222.08500000000001</v>
      </c>
      <c r="E840" s="1">
        <v>219.79400000000001</v>
      </c>
      <c r="F840" s="1">
        <v>217.52699999999999</v>
      </c>
      <c r="G840" s="1">
        <v>215.28299999999999</v>
      </c>
      <c r="H840" s="1">
        <v>210.86600000000001</v>
      </c>
      <c r="I840" s="1">
        <v>206.542</v>
      </c>
      <c r="J840" s="296">
        <v>3069</v>
      </c>
      <c r="K840" s="1">
        <v>4000</v>
      </c>
      <c r="L840" s="42">
        <v>-57.21</v>
      </c>
      <c r="M840" s="42">
        <v>-41.5</v>
      </c>
      <c r="N840" s="42">
        <v>-26.79</v>
      </c>
      <c r="O840" s="42">
        <v>-12.98</v>
      </c>
      <c r="P840" s="419">
        <v>0</v>
      </c>
      <c r="Q840" s="42">
        <v>13.21</v>
      </c>
      <c r="R840" s="42">
        <v>25.7</v>
      </c>
      <c r="S840" s="42">
        <v>37.51</v>
      </c>
      <c r="T840" s="42">
        <v>48.71</v>
      </c>
    </row>
    <row r="841" spans="1:28">
      <c r="A841" s="1">
        <v>2050</v>
      </c>
      <c r="B841" s="1">
        <v>222.245</v>
      </c>
      <c r="C841" s="1">
        <v>217.61799999999999</v>
      </c>
      <c r="D841" s="1">
        <v>215.339</v>
      </c>
      <c r="E841" s="1">
        <v>213.084</v>
      </c>
      <c r="F841" s="1">
        <v>210.852</v>
      </c>
      <c r="G841" s="1">
        <v>208.64400000000001</v>
      </c>
      <c r="H841" s="1">
        <v>204.297</v>
      </c>
      <c r="I841" s="1">
        <v>200.04400000000001</v>
      </c>
      <c r="J841" s="296">
        <v>3019</v>
      </c>
      <c r="K841" s="1">
        <v>4100</v>
      </c>
      <c r="L841" s="42">
        <v>-52.18</v>
      </c>
      <c r="M841" s="42">
        <v>-37.840000000000003</v>
      </c>
      <c r="N841" s="42">
        <v>-24.42</v>
      </c>
      <c r="O841" s="42">
        <v>-11.84</v>
      </c>
      <c r="P841" s="419">
        <v>0</v>
      </c>
      <c r="Q841" s="42">
        <v>12.12</v>
      </c>
      <c r="R841" s="42">
        <v>23.57</v>
      </c>
      <c r="S841" s="42">
        <v>34.409999999999997</v>
      </c>
      <c r="T841" s="42">
        <v>44.68</v>
      </c>
    </row>
    <row r="842" spans="1:28">
      <c r="A842" s="1">
        <v>2100</v>
      </c>
      <c r="B842" s="1">
        <v>215.49700000000001</v>
      </c>
      <c r="C842" s="1">
        <v>210.941</v>
      </c>
      <c r="D842" s="1">
        <v>208.697</v>
      </c>
      <c r="E842" s="1">
        <v>206.47800000000001</v>
      </c>
      <c r="F842" s="1">
        <v>204.28100000000001</v>
      </c>
      <c r="G842" s="1">
        <v>202.108</v>
      </c>
      <c r="H842" s="1">
        <v>191.833</v>
      </c>
      <c r="I842" s="1">
        <v>193.65</v>
      </c>
      <c r="J842" s="296">
        <v>2969</v>
      </c>
      <c r="K842" s="1">
        <v>4200</v>
      </c>
      <c r="L842" s="42">
        <v>-47.14</v>
      </c>
      <c r="M842" s="42">
        <v>-34.19</v>
      </c>
      <c r="N842" s="42">
        <v>-22.06</v>
      </c>
      <c r="O842" s="42">
        <v>-10.69</v>
      </c>
      <c r="P842" s="419">
        <v>0</v>
      </c>
      <c r="Q842" s="42">
        <v>11.03</v>
      </c>
      <c r="R842" s="42">
        <v>21.45</v>
      </c>
      <c r="S842" s="42">
        <v>31.31</v>
      </c>
      <c r="T842" s="42">
        <v>40.659999999999997</v>
      </c>
      <c r="V842" s="918"/>
      <c r="W842" s="918"/>
      <c r="X842" s="42"/>
      <c r="Z842" s="918"/>
      <c r="AA842" s="918"/>
      <c r="AB842" s="42"/>
    </row>
    <row r="843" spans="1:28">
      <c r="A843" s="1">
        <v>2150</v>
      </c>
      <c r="B843" s="1">
        <v>208.85300000000001</v>
      </c>
      <c r="C843" s="1">
        <v>204.36699999999999</v>
      </c>
      <c r="D843" s="1">
        <v>202.15899999999999</v>
      </c>
      <c r="E843" s="1">
        <v>199.97499999999999</v>
      </c>
      <c r="F843" s="1">
        <v>197.81399999999999</v>
      </c>
      <c r="G843" s="1">
        <v>195.67699999999999</v>
      </c>
      <c r="H843" s="1">
        <v>191.47200000000001</v>
      </c>
      <c r="I843" s="1">
        <v>187.36</v>
      </c>
      <c r="J843" s="296">
        <v>2919</v>
      </c>
      <c r="K843" s="1">
        <v>4300</v>
      </c>
      <c r="L843" s="42">
        <v>-42.12</v>
      </c>
      <c r="M843" s="42">
        <v>-30.54</v>
      </c>
      <c r="N843" s="42">
        <v>-19.71</v>
      </c>
      <c r="O843" s="42">
        <v>-9.5500000000000007</v>
      </c>
      <c r="P843" s="419">
        <v>0</v>
      </c>
      <c r="Q843" s="42">
        <v>9.94</v>
      </c>
      <c r="R843" s="42">
        <v>19.329999999999998</v>
      </c>
      <c r="S843" s="42">
        <v>28.21</v>
      </c>
      <c r="T843" s="42">
        <v>36.619999999999997</v>
      </c>
    </row>
    <row r="844" spans="1:28">
      <c r="A844" s="1">
        <v>2200</v>
      </c>
      <c r="B844" s="1">
        <v>202.31299999999999</v>
      </c>
      <c r="C844" s="1">
        <v>197.898</v>
      </c>
      <c r="D844" s="1">
        <v>195.726</v>
      </c>
      <c r="E844" s="1">
        <v>193.577</v>
      </c>
      <c r="F844" s="1">
        <v>191.45099999999999</v>
      </c>
      <c r="G844" s="1">
        <v>189.34899999999999</v>
      </c>
      <c r="H844" s="1">
        <v>185.215</v>
      </c>
      <c r="I844" s="1">
        <v>181.17500000000001</v>
      </c>
      <c r="J844" s="296">
        <v>2869</v>
      </c>
      <c r="K844" s="1">
        <v>4400</v>
      </c>
      <c r="L844" s="42">
        <v>-37.090000000000003</v>
      </c>
      <c r="M844" s="42">
        <v>-26.9</v>
      </c>
      <c r="N844" s="42">
        <v>-17.36</v>
      </c>
      <c r="O844" s="42">
        <v>-8.41</v>
      </c>
      <c r="P844" s="419">
        <v>0</v>
      </c>
      <c r="Q844" s="42">
        <v>8.85</v>
      </c>
      <c r="R844" s="42">
        <v>17.2</v>
      </c>
      <c r="S844" s="42">
        <v>25.1</v>
      </c>
      <c r="T844" s="42">
        <v>32.590000000000003</v>
      </c>
    </row>
    <row r="845" spans="1:28">
      <c r="A845" s="1">
        <v>2250</v>
      </c>
      <c r="B845" s="1">
        <v>195.87799999999999</v>
      </c>
      <c r="C845" s="1">
        <v>191.53299999999999</v>
      </c>
      <c r="D845" s="1">
        <v>189.39699999999999</v>
      </c>
      <c r="E845" s="1">
        <v>187.28299999999999</v>
      </c>
      <c r="F845" s="1">
        <v>185.19300000000001</v>
      </c>
      <c r="G845" s="1">
        <v>183.126</v>
      </c>
      <c r="H845" s="1">
        <v>179.06299999999999</v>
      </c>
      <c r="I845" s="1">
        <v>175.09299999999999</v>
      </c>
      <c r="J845" s="296">
        <v>2819</v>
      </c>
      <c r="K845" s="1">
        <v>4500</v>
      </c>
      <c r="L845" s="42">
        <v>-32.08</v>
      </c>
      <c r="M845" s="42">
        <v>-23.26</v>
      </c>
      <c r="N845" s="42">
        <v>-15.01</v>
      </c>
      <c r="O845" s="42">
        <v>-7.27</v>
      </c>
      <c r="P845" s="419">
        <v>0</v>
      </c>
      <c r="Q845" s="42">
        <v>7.75</v>
      </c>
      <c r="R845" s="42">
        <v>15.07</v>
      </c>
      <c r="S845" s="42">
        <v>21.99</v>
      </c>
      <c r="T845" s="42">
        <v>28.54</v>
      </c>
    </row>
    <row r="846" spans="1:28">
      <c r="A846" s="1">
        <v>2300</v>
      </c>
      <c r="B846" s="1">
        <v>189.54599999999999</v>
      </c>
      <c r="C846" s="1">
        <v>185.273</v>
      </c>
      <c r="D846" s="1">
        <v>183.17099999999999</v>
      </c>
      <c r="E846" s="1">
        <v>181.09299999999999</v>
      </c>
      <c r="F846" s="1">
        <v>179.03800000000001</v>
      </c>
      <c r="G846" s="1">
        <v>177.00700000000001</v>
      </c>
      <c r="H846" s="1">
        <v>173.01499999999999</v>
      </c>
      <c r="I846" s="1">
        <v>169.11600000000001</v>
      </c>
      <c r="J846" s="296">
        <v>2769</v>
      </c>
      <c r="K846" s="1">
        <v>4600</v>
      </c>
      <c r="L846" s="42">
        <v>-27.09</v>
      </c>
      <c r="M846" s="42">
        <v>-19.64</v>
      </c>
      <c r="N846" s="42">
        <v>-12.67</v>
      </c>
      <c r="O846" s="42">
        <v>-6.14</v>
      </c>
      <c r="P846" s="419">
        <v>0</v>
      </c>
      <c r="Q846" s="42">
        <v>6.65</v>
      </c>
      <c r="R846" s="42">
        <v>12.93</v>
      </c>
      <c r="S846" s="42">
        <v>18.87</v>
      </c>
      <c r="T846" s="42">
        <v>24.49</v>
      </c>
    </row>
    <row r="847" spans="1:28">
      <c r="A847" s="1">
        <v>2350</v>
      </c>
      <c r="B847" s="1">
        <v>183.31800000000001</v>
      </c>
      <c r="C847" s="1">
        <v>179.11600000000001</v>
      </c>
      <c r="D847" s="1">
        <v>177.05</v>
      </c>
      <c r="E847" s="1">
        <v>175.00700000000001</v>
      </c>
      <c r="F847" s="1">
        <v>172.98699999999999</v>
      </c>
      <c r="G847" s="1">
        <v>170.99199999999999</v>
      </c>
      <c r="H847" s="1">
        <v>167.07</v>
      </c>
      <c r="I847" s="1">
        <v>163.24199999999999</v>
      </c>
      <c r="J847" s="296">
        <v>2719</v>
      </c>
      <c r="K847" s="1">
        <v>4700</v>
      </c>
      <c r="L847" s="42">
        <v>-22.122</v>
      </c>
      <c r="M847" s="42">
        <v>-16.03</v>
      </c>
      <c r="N847" s="42">
        <v>-10.34</v>
      </c>
      <c r="O847" s="42">
        <v>-5.01</v>
      </c>
      <c r="P847" s="419">
        <v>0</v>
      </c>
      <c r="Q847" s="42">
        <v>5.56</v>
      </c>
      <c r="R847" s="42">
        <v>10.79</v>
      </c>
      <c r="S847" s="42">
        <v>15.74</v>
      </c>
      <c r="T847" s="42">
        <v>20.420000000000002</v>
      </c>
    </row>
    <row r="848" spans="1:28">
      <c r="A848" s="1">
        <v>2400</v>
      </c>
      <c r="B848" s="1">
        <v>177.19499999999999</v>
      </c>
      <c r="C848" s="1">
        <v>173.06299999999999</v>
      </c>
      <c r="D848" s="1">
        <v>171.03200000000001</v>
      </c>
      <c r="E848" s="1">
        <v>169.02500000000001</v>
      </c>
      <c r="F848" s="1">
        <v>167.041</v>
      </c>
      <c r="G848" s="1">
        <v>165.08</v>
      </c>
      <c r="H848" s="1">
        <v>161.22999999999999</v>
      </c>
      <c r="I848" s="1">
        <v>157.47200000000001</v>
      </c>
      <c r="J848" s="296">
        <v>2669</v>
      </c>
      <c r="K848" s="1">
        <v>4800</v>
      </c>
      <c r="L848" s="42">
        <v>-17.190000000000001</v>
      </c>
      <c r="M848" s="42">
        <v>-12.45</v>
      </c>
      <c r="N848" s="42">
        <v>-8.0299999999999994</v>
      </c>
      <c r="O848" s="42">
        <v>-3.88</v>
      </c>
      <c r="P848" s="419">
        <v>0</v>
      </c>
      <c r="Q848" s="42">
        <v>4.45</v>
      </c>
      <c r="R848" s="42">
        <v>8.64</v>
      </c>
      <c r="S848" s="42">
        <v>12.59</v>
      </c>
      <c r="T848" s="42">
        <v>16.329999999999998</v>
      </c>
    </row>
    <row r="849" spans="1:20">
      <c r="A849" s="1">
        <v>2450</v>
      </c>
      <c r="B849" s="1">
        <v>171.17500000000001</v>
      </c>
      <c r="C849" s="1">
        <v>167.114</v>
      </c>
      <c r="D849" s="1">
        <v>165.119</v>
      </c>
      <c r="E849" s="1">
        <v>163.14699999999999</v>
      </c>
      <c r="F849" s="1">
        <v>161.19800000000001</v>
      </c>
      <c r="G849" s="1">
        <v>159.273</v>
      </c>
      <c r="H849" s="1">
        <v>155.49299999999999</v>
      </c>
      <c r="I849" s="1">
        <v>151.80699999999999</v>
      </c>
      <c r="J849" s="296">
        <v>2619</v>
      </c>
      <c r="K849" s="1">
        <v>4900</v>
      </c>
      <c r="L849" s="42">
        <v>-12.32</v>
      </c>
      <c r="M849" s="42">
        <v>-8.91</v>
      </c>
      <c r="N849" s="42">
        <v>-5.74</v>
      </c>
      <c r="O849" s="42">
        <v>-2.78</v>
      </c>
      <c r="P849" s="419">
        <v>0</v>
      </c>
      <c r="Q849" s="42">
        <v>3.33</v>
      </c>
      <c r="R849" s="42">
        <v>6.47</v>
      </c>
      <c r="S849" s="42">
        <v>9.42</v>
      </c>
      <c r="T849" s="42">
        <v>12.2</v>
      </c>
    </row>
    <row r="850" spans="1:20">
      <c r="A850" s="1">
        <v>2500</v>
      </c>
      <c r="B850" s="1">
        <v>165.25899999999999</v>
      </c>
      <c r="C850" s="1">
        <v>161.26900000000001</v>
      </c>
      <c r="D850" s="1">
        <v>159.309</v>
      </c>
      <c r="E850" s="1">
        <v>157.37299999999999</v>
      </c>
      <c r="F850" s="1">
        <v>155.46</v>
      </c>
      <c r="G850" s="1">
        <v>153.57</v>
      </c>
      <c r="H850" s="1">
        <v>149.86099999999999</v>
      </c>
      <c r="I850" s="1">
        <v>146.245</v>
      </c>
      <c r="J850" s="296">
        <v>2569</v>
      </c>
      <c r="K850" s="1">
        <v>5000</v>
      </c>
      <c r="L850" s="42">
        <v>-7.55</v>
      </c>
      <c r="M850" s="42">
        <v>-5.45</v>
      </c>
      <c r="N850" s="42">
        <v>-3.5</v>
      </c>
      <c r="O850" s="42">
        <v>-1.69</v>
      </c>
      <c r="P850" s="419">
        <v>0</v>
      </c>
      <c r="Q850" s="42">
        <v>2.0699999999999998</v>
      </c>
      <c r="R850" s="42">
        <v>4</v>
      </c>
      <c r="S850" s="42">
        <v>5.82</v>
      </c>
      <c r="T850" s="42">
        <v>7.52</v>
      </c>
    </row>
    <row r="851" spans="1:20">
      <c r="A851" s="1">
        <v>2550</v>
      </c>
      <c r="B851" s="1">
        <v>159.44800000000001</v>
      </c>
      <c r="C851" s="1">
        <v>155.529</v>
      </c>
      <c r="D851" s="1">
        <v>153.60400000000001</v>
      </c>
      <c r="E851" s="1">
        <v>151.703</v>
      </c>
      <c r="F851" s="1">
        <v>149.82599999999999</v>
      </c>
      <c r="G851" s="1">
        <v>147.971</v>
      </c>
      <c r="H851" s="1">
        <v>144.333</v>
      </c>
      <c r="I851" s="1">
        <v>140.78800000000001</v>
      </c>
      <c r="J851" s="296">
        <v>2519</v>
      </c>
      <c r="K851" s="1">
        <v>5069</v>
      </c>
      <c r="L851" s="42">
        <v>-4.6100000000000003</v>
      </c>
      <c r="M851" s="42">
        <v>-3.32</v>
      </c>
      <c r="N851" s="42">
        <v>-2.12</v>
      </c>
      <c r="O851" s="42">
        <v>-1.02</v>
      </c>
      <c r="P851" s="419">
        <v>0</v>
      </c>
      <c r="Q851" s="42">
        <v>0</v>
      </c>
      <c r="R851" s="42">
        <v>0</v>
      </c>
      <c r="S851" s="42">
        <v>0</v>
      </c>
      <c r="T851" s="42">
        <v>0</v>
      </c>
    </row>
    <row r="852" spans="1:20">
      <c r="A852" s="1">
        <v>2600</v>
      </c>
      <c r="B852" s="1">
        <v>153.74</v>
      </c>
      <c r="C852" s="1">
        <v>149.892</v>
      </c>
      <c r="D852" s="1">
        <v>148.00299999999999</v>
      </c>
      <c r="E852" s="1">
        <v>146.137</v>
      </c>
      <c r="F852" s="1">
        <v>144.29499999999999</v>
      </c>
      <c r="G852" s="1">
        <v>142.476</v>
      </c>
      <c r="H852" s="1">
        <v>138.90899999999999</v>
      </c>
      <c r="I852" s="1">
        <v>135.434</v>
      </c>
      <c r="J852" s="296">
        <v>2469</v>
      </c>
      <c r="K852" s="1"/>
      <c r="L852" s="1"/>
      <c r="M852" s="1"/>
      <c r="N852" s="1"/>
      <c r="O852" s="1"/>
      <c r="P852" s="365"/>
      <c r="Q852" s="1"/>
      <c r="R852" s="1"/>
      <c r="S852" s="1"/>
      <c r="T852" s="1"/>
    </row>
    <row r="853" spans="1:20">
      <c r="A853" s="1">
        <v>2650</v>
      </c>
      <c r="B853" s="1">
        <v>148.137</v>
      </c>
      <c r="C853" s="1">
        <v>144.35900000000001</v>
      </c>
      <c r="D853" s="1">
        <v>142.505</v>
      </c>
      <c r="E853" s="1">
        <v>140.67500000000001</v>
      </c>
      <c r="F853" s="1">
        <v>138.869</v>
      </c>
      <c r="G853" s="1">
        <v>137.08500000000001</v>
      </c>
      <c r="H853" s="1">
        <v>133.58799999999999</v>
      </c>
      <c r="I853" s="1">
        <v>130.185</v>
      </c>
      <c r="J853" s="296">
        <v>2419</v>
      </c>
      <c r="K853" s="1"/>
      <c r="L853" s="1"/>
      <c r="M853" s="1"/>
      <c r="N853" s="1"/>
      <c r="O853" s="1"/>
      <c r="P853" s="365"/>
      <c r="Q853" s="1"/>
      <c r="R853" s="1"/>
      <c r="S853" s="1"/>
      <c r="T853" s="1"/>
    </row>
    <row r="854" spans="1:20">
      <c r="A854" s="1">
        <v>2700</v>
      </c>
      <c r="B854" s="1">
        <v>142.637</v>
      </c>
      <c r="C854" s="1">
        <v>138.93</v>
      </c>
      <c r="D854" s="1">
        <v>137.11199999999999</v>
      </c>
      <c r="E854" s="1">
        <v>135.31700000000001</v>
      </c>
      <c r="F854" s="1">
        <v>133.54599999999999</v>
      </c>
      <c r="G854" s="1">
        <v>131.798</v>
      </c>
      <c r="H854" s="1">
        <v>128.37200000000001</v>
      </c>
      <c r="I854" s="1">
        <v>125.04</v>
      </c>
      <c r="J854" s="296">
        <v>2369</v>
      </c>
      <c r="K854" s="1"/>
      <c r="L854" s="1"/>
      <c r="M854" s="1"/>
      <c r="N854" s="1"/>
      <c r="O854" s="1"/>
      <c r="P854" s="365"/>
      <c r="Q854" s="1"/>
      <c r="R854" s="1"/>
      <c r="S854" s="1"/>
      <c r="T854" s="1"/>
    </row>
    <row r="855" spans="1:20">
      <c r="A855" s="1">
        <v>2750</v>
      </c>
      <c r="B855" s="1">
        <v>137.24199999999999</v>
      </c>
      <c r="C855" s="1">
        <v>133.60599999999999</v>
      </c>
      <c r="D855" s="1">
        <v>131.82300000000001</v>
      </c>
      <c r="E855" s="1">
        <v>130.06399999999999</v>
      </c>
      <c r="F855" s="1">
        <v>128.328</v>
      </c>
      <c r="G855" s="1">
        <v>126.61499999999999</v>
      </c>
      <c r="H855" s="1">
        <v>123.26</v>
      </c>
      <c r="I855" s="1">
        <v>119.998</v>
      </c>
      <c r="J855" s="296">
        <v>2319</v>
      </c>
      <c r="K855" s="1"/>
      <c r="L855" s="1"/>
      <c r="M855" s="1"/>
      <c r="N855" s="1"/>
      <c r="O855" s="1"/>
      <c r="P855" s="365"/>
      <c r="Q855" s="1"/>
      <c r="R855" s="1"/>
      <c r="S855" s="1"/>
      <c r="T855" s="1"/>
    </row>
    <row r="856" spans="1:20">
      <c r="A856" s="1">
        <v>2800</v>
      </c>
      <c r="B856" s="1">
        <v>131.95099999999999</v>
      </c>
      <c r="C856" s="1">
        <v>128.38499999999999</v>
      </c>
      <c r="D856" s="1">
        <v>126.63800000000001</v>
      </c>
      <c r="E856" s="1">
        <v>124.914</v>
      </c>
      <c r="F856" s="1">
        <v>123.21299999999999</v>
      </c>
      <c r="G856" s="1">
        <v>121.536</v>
      </c>
      <c r="H856" s="1">
        <v>118.252</v>
      </c>
      <c r="I856" s="1">
        <v>115.06100000000001</v>
      </c>
      <c r="J856" s="296">
        <v>2269</v>
      </c>
      <c r="K856" s="1"/>
      <c r="L856" s="1"/>
      <c r="M856" s="1"/>
      <c r="N856" s="1"/>
      <c r="O856" s="1"/>
      <c r="P856" s="365"/>
      <c r="Q856" s="1"/>
      <c r="R856" s="1"/>
      <c r="S856" s="1"/>
      <c r="T856" s="1"/>
    </row>
    <row r="857" spans="1:20">
      <c r="A857" s="1">
        <v>2850</v>
      </c>
      <c r="B857" s="1">
        <v>126.76300000000001</v>
      </c>
      <c r="C857" s="1">
        <v>123.26900000000001</v>
      </c>
      <c r="D857" s="1">
        <v>121.557</v>
      </c>
      <c r="E857" s="1">
        <v>119.86799999999999</v>
      </c>
      <c r="F857" s="1">
        <v>118.203</v>
      </c>
      <c r="G857" s="1">
        <v>116.56100000000001</v>
      </c>
      <c r="H857" s="1">
        <v>113.348</v>
      </c>
      <c r="I857" s="1">
        <v>110.22799999999999</v>
      </c>
      <c r="J857" s="296">
        <v>2219</v>
      </c>
      <c r="K857" s="1"/>
      <c r="L857" s="1"/>
      <c r="M857" s="1"/>
      <c r="N857" s="1"/>
      <c r="O857" s="1"/>
      <c r="P857" s="365"/>
      <c r="Q857" s="1"/>
      <c r="R857" s="1"/>
      <c r="S857" s="1"/>
      <c r="T857" s="1"/>
    </row>
    <row r="858" spans="1:20">
      <c r="A858" s="1">
        <v>2900</v>
      </c>
      <c r="B858" s="1">
        <v>121.68</v>
      </c>
      <c r="C858" s="1">
        <v>118.256</v>
      </c>
      <c r="D858" s="1">
        <v>116.58</v>
      </c>
      <c r="E858" s="1">
        <v>114.92700000000001</v>
      </c>
      <c r="F858" s="1">
        <v>113.297</v>
      </c>
      <c r="G858" s="1">
        <v>111.691</v>
      </c>
      <c r="H858" s="1">
        <v>108.548</v>
      </c>
      <c r="I858" s="1">
        <v>105.499</v>
      </c>
      <c r="J858" s="296">
        <v>2169</v>
      </c>
      <c r="K858" s="1"/>
      <c r="L858" s="1"/>
      <c r="M858" s="1"/>
      <c r="N858" s="1"/>
      <c r="O858" s="1"/>
      <c r="P858" s="365"/>
      <c r="Q858" s="1"/>
      <c r="R858" s="1"/>
      <c r="S858" s="1"/>
      <c r="T858" s="1"/>
    </row>
    <row r="859" spans="1:20">
      <c r="A859" s="1">
        <v>2950</v>
      </c>
      <c r="B859" s="1">
        <v>116.70099999999999</v>
      </c>
      <c r="C859" s="1">
        <v>113.348</v>
      </c>
      <c r="D859" s="1">
        <v>111.70699999999999</v>
      </c>
      <c r="E859" s="1">
        <v>110.089</v>
      </c>
      <c r="F859" s="1">
        <v>108.494</v>
      </c>
      <c r="G859" s="1">
        <v>106.92400000000001</v>
      </c>
      <c r="H859" s="1">
        <v>103.852</v>
      </c>
      <c r="I859" s="1">
        <v>100.873</v>
      </c>
      <c r="J859" s="296">
        <v>2119</v>
      </c>
      <c r="K859" s="1"/>
      <c r="L859" s="1"/>
      <c r="M859" s="1"/>
      <c r="N859" s="1"/>
      <c r="O859" s="1"/>
      <c r="P859" s="365"/>
      <c r="Q859" s="1"/>
      <c r="R859" s="1"/>
      <c r="S859" s="1"/>
      <c r="T859" s="1"/>
    </row>
    <row r="860" spans="1:20">
      <c r="A860" s="1">
        <v>3000</v>
      </c>
      <c r="B860" s="1">
        <v>111.825</v>
      </c>
      <c r="C860" s="1">
        <v>108.544</v>
      </c>
      <c r="D860" s="1">
        <v>106.938</v>
      </c>
      <c r="E860" s="1">
        <v>105.355</v>
      </c>
      <c r="F860" s="1">
        <v>103.797</v>
      </c>
      <c r="G860" s="1">
        <v>102.261</v>
      </c>
      <c r="H860" s="1">
        <v>99.26</v>
      </c>
      <c r="I860" s="1">
        <v>96.352000000000004</v>
      </c>
      <c r="J860" s="296">
        <v>2069</v>
      </c>
      <c r="K860" s="1"/>
      <c r="L860" s="1"/>
      <c r="M860" s="1"/>
      <c r="N860" s="1"/>
      <c r="O860" s="1"/>
      <c r="P860" s="365"/>
      <c r="Q860" s="1"/>
      <c r="R860" s="1"/>
      <c r="S860" s="1"/>
      <c r="T860" s="1"/>
    </row>
    <row r="861" spans="1:20">
      <c r="A861" s="1">
        <v>3050</v>
      </c>
      <c r="B861" s="1">
        <v>107.054</v>
      </c>
      <c r="C861" s="1">
        <v>103.843</v>
      </c>
      <c r="D861" s="1">
        <v>102.273</v>
      </c>
      <c r="E861" s="1">
        <v>100.726</v>
      </c>
      <c r="F861" s="1">
        <v>99.201999999999998</v>
      </c>
      <c r="G861" s="1">
        <v>97.701999999999998</v>
      </c>
      <c r="H861" s="1">
        <v>94.772000000000006</v>
      </c>
      <c r="I861" s="1">
        <v>91.935000000000002</v>
      </c>
      <c r="J861" s="296">
        <v>2019</v>
      </c>
      <c r="K861" s="1"/>
      <c r="L861" s="1"/>
      <c r="M861" s="1"/>
      <c r="N861" s="1"/>
      <c r="O861" s="1"/>
      <c r="P861" s="365"/>
      <c r="Q861" s="1"/>
      <c r="R861" s="1"/>
      <c r="S861" s="1"/>
      <c r="T861" s="1"/>
    </row>
    <row r="862" spans="1:20">
      <c r="A862" s="1">
        <v>3100</v>
      </c>
      <c r="B862" s="1">
        <v>102.387</v>
      </c>
      <c r="C862" s="1">
        <v>99.247</v>
      </c>
      <c r="D862" s="1">
        <v>97.712000000000003</v>
      </c>
      <c r="E862" s="1">
        <v>96.2</v>
      </c>
      <c r="F862" s="1">
        <v>94.712000000000003</v>
      </c>
      <c r="G862" s="1">
        <v>93.247</v>
      </c>
      <c r="H862" s="1">
        <v>90.388000000000005</v>
      </c>
      <c r="I862" s="1">
        <v>87.622</v>
      </c>
      <c r="J862" s="296">
        <v>1969</v>
      </c>
      <c r="K862" s="1"/>
      <c r="L862" s="1"/>
      <c r="M862" s="1"/>
      <c r="N862" s="1"/>
      <c r="O862" s="1"/>
      <c r="P862" s="365"/>
      <c r="Q862" s="1"/>
      <c r="R862" s="1"/>
      <c r="S862" s="1"/>
      <c r="T862" s="1"/>
    </row>
    <row r="863" spans="1:20">
      <c r="A863" s="1">
        <v>3150</v>
      </c>
      <c r="B863" s="1">
        <v>97.823999999999998</v>
      </c>
      <c r="C863" s="1">
        <v>94.754999999999995</v>
      </c>
      <c r="D863" s="1">
        <v>93.254999999999995</v>
      </c>
      <c r="E863" s="1">
        <v>91.778999999999996</v>
      </c>
      <c r="F863" s="1">
        <v>90.325999999999993</v>
      </c>
      <c r="G863" s="1">
        <v>88.897000000000006</v>
      </c>
      <c r="H863" s="1">
        <v>86.108000000000004</v>
      </c>
      <c r="I863" s="1">
        <v>83.412999999999997</v>
      </c>
      <c r="J863" s="296">
        <v>1919</v>
      </c>
      <c r="K863" s="1"/>
      <c r="L863" s="1"/>
      <c r="M863" s="1"/>
      <c r="N863" s="1"/>
      <c r="O863" s="1"/>
      <c r="P863" s="365"/>
      <c r="Q863" s="1"/>
      <c r="R863" s="1"/>
      <c r="S863" s="1"/>
      <c r="T863" s="1"/>
    </row>
    <row r="864" spans="1:20">
      <c r="A864" s="1">
        <v>3200</v>
      </c>
      <c r="B864" s="1">
        <v>93.364999999999995</v>
      </c>
      <c r="C864" s="1">
        <v>90.366</v>
      </c>
      <c r="D864" s="1">
        <v>88.902000000000001</v>
      </c>
      <c r="E864" s="1">
        <v>87.460999999999999</v>
      </c>
      <c r="F864" s="1">
        <v>86.043999999999997</v>
      </c>
      <c r="G864" s="1">
        <v>84.65</v>
      </c>
      <c r="H864" s="1">
        <v>81.932000000000002</v>
      </c>
      <c r="I864" s="1">
        <v>79.308000000000007</v>
      </c>
      <c r="J864" s="296">
        <v>1869</v>
      </c>
      <c r="K864" s="1"/>
      <c r="L864" s="1"/>
      <c r="M864" s="1"/>
      <c r="N864" s="1"/>
      <c r="O864" s="1"/>
      <c r="P864" s="365"/>
      <c r="Q864" s="1"/>
      <c r="R864" s="1"/>
      <c r="S864" s="1"/>
      <c r="T864" s="1"/>
    </row>
    <row r="865" spans="1:20">
      <c r="A865" s="1">
        <v>3250</v>
      </c>
      <c r="B865" s="1">
        <v>89.01</v>
      </c>
      <c r="C865" s="1">
        <v>86.081999999999994</v>
      </c>
      <c r="D865" s="1">
        <v>84.653000000000006</v>
      </c>
      <c r="E865" s="1">
        <v>83.248000000000005</v>
      </c>
      <c r="F865" s="1">
        <v>81.866</v>
      </c>
      <c r="G865" s="1">
        <v>80.507000000000005</v>
      </c>
      <c r="H865" s="1">
        <v>77.861000000000004</v>
      </c>
      <c r="I865" s="1">
        <v>75.307000000000002</v>
      </c>
      <c r="J865" s="296">
        <v>1819</v>
      </c>
      <c r="K865" s="1"/>
      <c r="L865" s="1"/>
      <c r="M865" s="1"/>
      <c r="N865" s="1"/>
      <c r="O865" s="1"/>
      <c r="P865" s="365"/>
      <c r="Q865" s="1"/>
      <c r="R865" s="1"/>
      <c r="S865" s="1"/>
      <c r="T865" s="1"/>
    </row>
    <row r="866" spans="1:20">
      <c r="A866" s="1">
        <v>3300</v>
      </c>
      <c r="B866" s="1">
        <v>84.759</v>
      </c>
      <c r="C866" s="1">
        <v>81.902000000000001</v>
      </c>
      <c r="D866" s="1">
        <v>80.509</v>
      </c>
      <c r="E866" s="1">
        <v>79.138999999999996</v>
      </c>
      <c r="F866" s="1">
        <v>77.792000000000002</v>
      </c>
      <c r="G866" s="1">
        <v>76.468999999999994</v>
      </c>
      <c r="H866" s="1">
        <v>73.893000000000001</v>
      </c>
      <c r="I866" s="1">
        <v>71.411000000000001</v>
      </c>
      <c r="J866" s="296">
        <v>1769</v>
      </c>
      <c r="K866" s="1"/>
      <c r="L866" s="1"/>
      <c r="M866" s="1"/>
      <c r="N866" s="1"/>
      <c r="O866" s="1"/>
      <c r="P866" s="365"/>
      <c r="Q866" s="1"/>
      <c r="R866" s="1"/>
      <c r="S866" s="1"/>
      <c r="T866" s="1"/>
    </row>
    <row r="867" spans="1:20">
      <c r="A867" s="1">
        <v>3350</v>
      </c>
      <c r="B867" s="1">
        <v>80.611999999999995</v>
      </c>
      <c r="C867" s="1">
        <v>77.825999999999993</v>
      </c>
      <c r="D867" s="1">
        <v>76.468000000000004</v>
      </c>
      <c r="E867" s="1">
        <v>75.132999999999996</v>
      </c>
      <c r="F867" s="1">
        <v>73.822000000000003</v>
      </c>
      <c r="G867" s="1">
        <v>72.534000000000006</v>
      </c>
      <c r="H867" s="1">
        <v>70.028999999999996</v>
      </c>
      <c r="I867" s="1">
        <v>67.617000000000004</v>
      </c>
      <c r="J867" s="296">
        <v>1719</v>
      </c>
      <c r="K867" s="1"/>
      <c r="L867" s="1"/>
      <c r="M867" s="1"/>
      <c r="N867" s="1"/>
      <c r="O867" s="1"/>
      <c r="P867" s="365"/>
      <c r="Q867" s="1"/>
      <c r="R867" s="1"/>
      <c r="S867" s="1"/>
      <c r="T867" s="1"/>
    </row>
    <row r="868" spans="1:20">
      <c r="A868" s="1">
        <v>3400</v>
      </c>
      <c r="B868" s="1">
        <v>76.569000000000003</v>
      </c>
      <c r="C868" s="1">
        <v>73.853999999999999</v>
      </c>
      <c r="D868" s="1">
        <v>72.531000000000006</v>
      </c>
      <c r="E868" s="1">
        <v>71.231999999999999</v>
      </c>
      <c r="F868" s="1">
        <v>69.956000000000003</v>
      </c>
      <c r="G868" s="1">
        <v>68.703999999999994</v>
      </c>
      <c r="H868" s="1">
        <v>66.27</v>
      </c>
      <c r="I868" s="1">
        <v>63.929000000000002</v>
      </c>
      <c r="J868" s="296">
        <v>1669</v>
      </c>
      <c r="K868" s="1"/>
      <c r="L868" s="1"/>
      <c r="M868" s="1"/>
      <c r="N868" s="1"/>
      <c r="O868" s="1"/>
      <c r="P868" s="365"/>
      <c r="Q868" s="1"/>
      <c r="R868" s="1"/>
      <c r="S868" s="1"/>
      <c r="T868" s="1"/>
    </row>
    <row r="869" spans="1:20">
      <c r="A869" s="1">
        <v>3450</v>
      </c>
      <c r="B869" s="1">
        <v>72.63</v>
      </c>
      <c r="C869" s="1">
        <v>69.986000000000004</v>
      </c>
      <c r="D869" s="1">
        <v>68.697999999999993</v>
      </c>
      <c r="E869" s="1">
        <v>67.435000000000002</v>
      </c>
      <c r="F869" s="1">
        <v>66.194000000000003</v>
      </c>
      <c r="G869" s="1">
        <v>64.977000000000004</v>
      </c>
      <c r="H869" s="1">
        <v>62.613999999999997</v>
      </c>
      <c r="I869" s="1">
        <v>60.344000000000001</v>
      </c>
      <c r="J869" s="296">
        <v>1619</v>
      </c>
      <c r="K869" s="1"/>
      <c r="L869" s="1"/>
      <c r="M869" s="1"/>
      <c r="N869" s="1"/>
      <c r="O869" s="1"/>
      <c r="P869" s="365"/>
      <c r="Q869" s="1"/>
      <c r="R869" s="1"/>
      <c r="S869" s="1"/>
      <c r="T869" s="1"/>
    </row>
    <row r="870" spans="1:20">
      <c r="A870" s="1">
        <v>3500</v>
      </c>
      <c r="B870" s="1">
        <v>68.795000000000002</v>
      </c>
      <c r="C870" s="1">
        <v>66.221999999999994</v>
      </c>
      <c r="D870" s="1">
        <v>64.97</v>
      </c>
      <c r="E870" s="1">
        <v>63.741999999999997</v>
      </c>
      <c r="F870" s="1">
        <v>62.536999999999999</v>
      </c>
      <c r="G870" s="1">
        <v>61.354999999999997</v>
      </c>
      <c r="H870" s="1">
        <v>59.061999999999998</v>
      </c>
      <c r="I870" s="1">
        <v>56.863</v>
      </c>
      <c r="J870" s="296">
        <v>1569</v>
      </c>
      <c r="K870" s="1"/>
      <c r="L870" s="1"/>
      <c r="M870" s="1"/>
      <c r="N870" s="1"/>
      <c r="O870" s="1"/>
      <c r="P870" s="365"/>
      <c r="Q870" s="1"/>
      <c r="R870" s="1"/>
      <c r="S870" s="1"/>
      <c r="T870" s="1"/>
    </row>
    <row r="871" spans="1:20">
      <c r="A871" s="1">
        <v>3550</v>
      </c>
      <c r="B871" s="1">
        <v>65.063999999999993</v>
      </c>
      <c r="C871" s="1">
        <v>62.561999999999998</v>
      </c>
      <c r="D871" s="1">
        <v>61.344999999999999</v>
      </c>
      <c r="E871" s="1">
        <v>60.152999999999999</v>
      </c>
      <c r="F871" s="1">
        <v>58.982999999999997</v>
      </c>
      <c r="G871" s="1">
        <v>57.837000000000003</v>
      </c>
      <c r="H871" s="1">
        <v>55.615000000000002</v>
      </c>
      <c r="I871" s="1">
        <v>53.487000000000002</v>
      </c>
      <c r="J871" s="296">
        <v>1519</v>
      </c>
      <c r="K871" s="1"/>
      <c r="L871" s="1"/>
      <c r="M871" s="1"/>
      <c r="N871" s="1"/>
      <c r="O871" s="1"/>
      <c r="P871" s="365"/>
      <c r="Q871" s="1"/>
      <c r="R871" s="1"/>
      <c r="S871" s="1"/>
      <c r="T871" s="1"/>
    </row>
    <row r="872" spans="1:20">
      <c r="A872" s="1">
        <v>3600</v>
      </c>
      <c r="B872" s="1">
        <v>61.438000000000002</v>
      </c>
      <c r="C872" s="1">
        <v>59.006</v>
      </c>
      <c r="D872" s="1">
        <v>57.825000000000003</v>
      </c>
      <c r="E872" s="1">
        <v>56.667000000000002</v>
      </c>
      <c r="F872" s="1">
        <v>55.533000000000001</v>
      </c>
      <c r="G872" s="1">
        <v>54.421999999999997</v>
      </c>
      <c r="H872" s="1">
        <v>52.271000000000001</v>
      </c>
      <c r="I872" s="1">
        <v>59.213999999999999</v>
      </c>
      <c r="J872" s="296">
        <v>1469</v>
      </c>
      <c r="K872" s="1"/>
      <c r="L872" s="1"/>
      <c r="M872" s="1"/>
      <c r="N872" s="1"/>
      <c r="O872" s="1"/>
      <c r="P872" s="365"/>
      <c r="Q872" s="1"/>
      <c r="R872" s="1"/>
      <c r="S872" s="1"/>
      <c r="T872" s="1"/>
    </row>
    <row r="873" spans="1:20">
      <c r="A873" s="1">
        <v>3650</v>
      </c>
      <c r="B873" s="1">
        <v>57.914999999999999</v>
      </c>
      <c r="C873" s="1">
        <v>55.554000000000002</v>
      </c>
      <c r="D873" s="1">
        <v>54.408000000000001</v>
      </c>
      <c r="E873" s="1">
        <v>53.286000000000001</v>
      </c>
      <c r="F873" s="1">
        <v>52.188000000000002</v>
      </c>
      <c r="G873" s="1">
        <v>51.112000000000002</v>
      </c>
      <c r="H873" s="1">
        <v>49.031999999999996</v>
      </c>
      <c r="I873" s="1">
        <v>47.045000000000002</v>
      </c>
      <c r="J873" s="296">
        <v>1419</v>
      </c>
      <c r="K873" s="1"/>
      <c r="L873" s="1"/>
      <c r="M873" s="1"/>
      <c r="N873" s="1"/>
      <c r="O873" s="1"/>
      <c r="P873" s="365"/>
      <c r="Q873" s="1"/>
      <c r="R873" s="1"/>
      <c r="S873" s="1"/>
      <c r="T873" s="1"/>
    </row>
    <row r="874" spans="1:20">
      <c r="A874" s="1">
        <v>3700</v>
      </c>
      <c r="B874" s="1">
        <v>54.496000000000002</v>
      </c>
      <c r="C874" s="1">
        <v>52.206000000000003</v>
      </c>
      <c r="D874" s="1">
        <v>51.095999999999997</v>
      </c>
      <c r="E874" s="1">
        <v>50.009</v>
      </c>
      <c r="F874" s="1">
        <v>48.945999999999998</v>
      </c>
      <c r="G874" s="1">
        <v>47.905999999999999</v>
      </c>
      <c r="H874" s="1">
        <v>45.896999999999998</v>
      </c>
      <c r="I874" s="1">
        <v>43.981000000000002</v>
      </c>
      <c r="J874" s="296">
        <v>1369</v>
      </c>
      <c r="K874" s="1"/>
      <c r="L874" s="1"/>
      <c r="M874" s="1"/>
      <c r="N874" s="1"/>
      <c r="O874" s="1"/>
      <c r="P874" s="365"/>
      <c r="Q874" s="1"/>
      <c r="R874" s="1"/>
      <c r="S874" s="1"/>
      <c r="T874" s="1"/>
    </row>
    <row r="875" spans="1:20">
      <c r="A875" s="1">
        <v>3750</v>
      </c>
      <c r="B875" s="1">
        <v>51.182000000000002</v>
      </c>
      <c r="C875" s="1">
        <v>48.962000000000003</v>
      </c>
      <c r="D875" s="1">
        <v>47.887</v>
      </c>
      <c r="E875" s="1">
        <v>46.835999999999999</v>
      </c>
      <c r="F875" s="1">
        <v>45.808</v>
      </c>
      <c r="G875" s="1">
        <v>44.804000000000002</v>
      </c>
      <c r="H875" s="1">
        <v>42.865000000000002</v>
      </c>
      <c r="I875" s="1">
        <v>41.02</v>
      </c>
      <c r="J875" s="296">
        <v>1319</v>
      </c>
      <c r="K875" s="1"/>
      <c r="L875" s="1"/>
      <c r="M875" s="1"/>
      <c r="N875" s="1"/>
      <c r="O875" s="1"/>
      <c r="P875" s="365"/>
      <c r="Q875" s="1"/>
      <c r="R875" s="1"/>
      <c r="S875" s="1"/>
      <c r="T875" s="1"/>
    </row>
    <row r="876" spans="1:20">
      <c r="A876" s="1">
        <v>3800</v>
      </c>
      <c r="B876" s="1">
        <v>48.006999999999998</v>
      </c>
      <c r="C876" s="1">
        <v>45.857999999999997</v>
      </c>
      <c r="D876" s="1">
        <v>44.817999999999998</v>
      </c>
      <c r="E876" s="1">
        <v>43.802</v>
      </c>
      <c r="F876" s="1">
        <v>42.808999999999997</v>
      </c>
      <c r="G876" s="1">
        <v>41.838999999999999</v>
      </c>
      <c r="H876" s="1">
        <v>39.970999999999997</v>
      </c>
      <c r="I876" s="1">
        <v>38.195999999999998</v>
      </c>
      <c r="J876" s="296">
        <v>1269</v>
      </c>
      <c r="K876" s="1"/>
      <c r="L876" s="1"/>
      <c r="M876" s="1"/>
      <c r="N876" s="1"/>
      <c r="O876" s="1"/>
      <c r="P876" s="365"/>
      <c r="Q876" s="1"/>
      <c r="R876" s="1"/>
      <c r="S876" s="1"/>
      <c r="T876" s="1"/>
    </row>
    <row r="877" spans="1:20">
      <c r="A877" s="1">
        <v>3850</v>
      </c>
      <c r="B877" s="1">
        <v>44.945999999999998</v>
      </c>
      <c r="C877" s="1">
        <v>42.866999999999997</v>
      </c>
      <c r="D877" s="1">
        <v>41.862000000000002</v>
      </c>
      <c r="E877" s="1">
        <v>40.881</v>
      </c>
      <c r="F877" s="1">
        <v>39.923000000000002</v>
      </c>
      <c r="G877" s="1">
        <v>38.988</v>
      </c>
      <c r="H877" s="1">
        <v>37.189</v>
      </c>
      <c r="I877" s="1">
        <v>35.484000000000002</v>
      </c>
      <c r="J877" s="296">
        <v>1219</v>
      </c>
      <c r="K877" s="1"/>
      <c r="L877" s="1"/>
      <c r="M877" s="1"/>
      <c r="N877" s="1"/>
      <c r="O877" s="1"/>
      <c r="P877" s="365"/>
      <c r="Q877" s="1"/>
      <c r="R877" s="1"/>
      <c r="S877" s="1"/>
      <c r="T877" s="1"/>
    </row>
    <row r="878" spans="1:20">
      <c r="A878" s="1">
        <v>3900</v>
      </c>
      <c r="B878" s="1">
        <v>41.987000000000002</v>
      </c>
      <c r="C878" s="1">
        <v>39.976999999999997</v>
      </c>
      <c r="D878" s="1">
        <v>39.006999999999998</v>
      </c>
      <c r="E878" s="1">
        <v>38.061</v>
      </c>
      <c r="F878" s="1">
        <v>37.137</v>
      </c>
      <c r="G878" s="1">
        <v>36.238</v>
      </c>
      <c r="H878" s="1">
        <v>34.509</v>
      </c>
      <c r="I878" s="1">
        <v>32.872999999999998</v>
      </c>
      <c r="J878" s="296">
        <v>1169</v>
      </c>
      <c r="K878" s="1"/>
      <c r="L878" s="1"/>
      <c r="M878" s="1"/>
      <c r="N878" s="1"/>
      <c r="O878" s="1"/>
      <c r="P878" s="365"/>
      <c r="Q878" s="1"/>
      <c r="R878" s="1"/>
      <c r="S878" s="1"/>
      <c r="T878" s="1"/>
    </row>
    <row r="879" spans="1:20">
      <c r="A879" s="1">
        <v>3950</v>
      </c>
      <c r="B879" s="1">
        <v>39128</v>
      </c>
      <c r="C879" s="1">
        <v>37.188000000000002</v>
      </c>
      <c r="D879" s="1">
        <v>36.253</v>
      </c>
      <c r="E879" s="1">
        <v>35.341000000000001</v>
      </c>
      <c r="F879" s="1">
        <v>34.453000000000003</v>
      </c>
      <c r="G879" s="1">
        <v>33.588000000000001</v>
      </c>
      <c r="H879" s="1">
        <v>31.928999999999998</v>
      </c>
      <c r="I879" s="1">
        <v>30.363</v>
      </c>
      <c r="J879" s="296">
        <v>1119</v>
      </c>
      <c r="K879" s="1"/>
      <c r="L879" s="1"/>
      <c r="M879" s="1"/>
      <c r="N879" s="1"/>
      <c r="O879" s="1"/>
      <c r="P879" s="365"/>
      <c r="Q879" s="1"/>
      <c r="R879" s="1"/>
      <c r="S879" s="1"/>
      <c r="T879" s="1"/>
    </row>
    <row r="880" spans="1:20">
      <c r="A880" s="1">
        <v>4000</v>
      </c>
      <c r="B880" s="1">
        <v>36.369999999999997</v>
      </c>
      <c r="C880" s="1">
        <v>34.5</v>
      </c>
      <c r="D880" s="1">
        <v>33.598999999999997</v>
      </c>
      <c r="E880" s="1">
        <v>32.722999999999999</v>
      </c>
      <c r="F880" s="1">
        <v>31.869</v>
      </c>
      <c r="G880" s="1">
        <v>31.039000000000001</v>
      </c>
      <c r="H880" s="1">
        <v>29.449000000000002</v>
      </c>
      <c r="I880" s="1">
        <v>27.952999999999999</v>
      </c>
      <c r="J880" s="296">
        <v>1069</v>
      </c>
      <c r="K880" s="1"/>
      <c r="L880" s="1"/>
      <c r="M880" s="1"/>
      <c r="N880" s="1"/>
      <c r="O880" s="1"/>
      <c r="P880" s="365"/>
      <c r="Q880" s="1"/>
      <c r="R880" s="1"/>
      <c r="S880" s="1"/>
      <c r="T880" s="1"/>
    </row>
    <row r="881" spans="1:20">
      <c r="A881" s="1">
        <v>4050</v>
      </c>
      <c r="B881" s="1">
        <v>33.713000000000001</v>
      </c>
      <c r="C881" s="1">
        <v>31.911999999999999</v>
      </c>
      <c r="D881" s="1">
        <v>31.047000000000001</v>
      </c>
      <c r="E881" s="1">
        <v>30.204999999999998</v>
      </c>
      <c r="F881" s="1">
        <v>29.385999999999999</v>
      </c>
      <c r="G881" s="1">
        <v>28.591000000000001</v>
      </c>
      <c r="H881" s="1">
        <v>27.071000000000002</v>
      </c>
      <c r="I881" s="1">
        <v>25.645</v>
      </c>
      <c r="J881" s="296">
        <v>1019</v>
      </c>
      <c r="K881" s="1"/>
      <c r="L881" s="1"/>
      <c r="M881" s="1"/>
      <c r="N881" s="1"/>
      <c r="O881" s="1"/>
      <c r="P881" s="365"/>
      <c r="Q881" s="1"/>
      <c r="R881" s="1"/>
      <c r="S881" s="1"/>
      <c r="T881" s="1"/>
    </row>
    <row r="882" spans="1:20">
      <c r="A882" s="1">
        <v>4100</v>
      </c>
      <c r="B882" s="1">
        <v>31.157</v>
      </c>
      <c r="C882" s="1">
        <v>29.425999999999998</v>
      </c>
      <c r="D882" s="1">
        <v>28.594999999999999</v>
      </c>
      <c r="E882" s="1">
        <v>27.788</v>
      </c>
      <c r="F882" s="1">
        <v>27.004999999999999</v>
      </c>
      <c r="G882" s="1">
        <v>26.244</v>
      </c>
      <c r="H882" s="1">
        <v>24.794</v>
      </c>
      <c r="I882" s="1">
        <v>23.437000000000001</v>
      </c>
      <c r="J882" s="296">
        <v>969</v>
      </c>
      <c r="K882" s="1"/>
      <c r="L882" s="1"/>
      <c r="M882" s="1"/>
      <c r="N882" s="1"/>
      <c r="O882" s="1"/>
      <c r="P882" s="365"/>
      <c r="Q882" s="1"/>
      <c r="R882" s="1"/>
      <c r="S882" s="1"/>
      <c r="T882" s="1"/>
    </row>
    <row r="883" spans="1:20">
      <c r="A883" s="1">
        <v>4150</v>
      </c>
      <c r="B883" s="1">
        <v>28.702000000000002</v>
      </c>
      <c r="C883" s="1">
        <v>27.04</v>
      </c>
      <c r="D883" s="1">
        <v>26.244</v>
      </c>
      <c r="E883" s="1">
        <v>25.472000000000001</v>
      </c>
      <c r="F883" s="1">
        <v>24.722999999999999</v>
      </c>
      <c r="G883" s="1">
        <v>23.998000000000001</v>
      </c>
      <c r="H883" s="1">
        <v>22.617000000000001</v>
      </c>
      <c r="I883" s="1">
        <v>21.33</v>
      </c>
      <c r="J883" s="296">
        <v>919</v>
      </c>
      <c r="K883" s="1"/>
      <c r="L883" s="1"/>
      <c r="M883" s="1"/>
      <c r="N883" s="1"/>
      <c r="O883" s="1"/>
      <c r="P883" s="365"/>
      <c r="Q883" s="1"/>
      <c r="R883" s="1"/>
      <c r="S883" s="1"/>
      <c r="T883" s="1"/>
    </row>
    <row r="884" spans="1:20">
      <c r="A884" s="1">
        <v>4200</v>
      </c>
      <c r="B884" s="1">
        <v>26.347000000000001</v>
      </c>
      <c r="C884" s="1">
        <v>24.754999999999999</v>
      </c>
      <c r="D884" s="1">
        <v>23.994</v>
      </c>
      <c r="E884" s="1">
        <v>23.257000000000001</v>
      </c>
      <c r="F884" s="1">
        <v>22.542999999999999</v>
      </c>
      <c r="G884" s="1">
        <v>21.853000000000002</v>
      </c>
      <c r="H884" s="1">
        <v>20.542000000000002</v>
      </c>
      <c r="I884" s="1">
        <v>19.324000000000002</v>
      </c>
      <c r="J884" s="296">
        <v>869</v>
      </c>
      <c r="K884" s="1"/>
      <c r="L884" s="1"/>
      <c r="M884" s="1"/>
      <c r="N884" s="1"/>
      <c r="O884" s="1"/>
      <c r="P884" s="365"/>
      <c r="Q884" s="1"/>
      <c r="R884" s="1"/>
      <c r="S884" s="1"/>
      <c r="T884" s="1"/>
    </row>
    <row r="885" spans="1:20">
      <c r="A885" s="1">
        <v>4250</v>
      </c>
      <c r="B885" s="1">
        <v>24.093</v>
      </c>
      <c r="C885" s="1">
        <v>22.571000000000002</v>
      </c>
      <c r="D885" s="1">
        <v>21.844999999999999</v>
      </c>
      <c r="E885" s="1">
        <v>21.143000000000001</v>
      </c>
      <c r="F885" s="1">
        <v>20.463999999999999</v>
      </c>
      <c r="G885" s="1">
        <v>19.808</v>
      </c>
      <c r="H885" s="1">
        <v>18.567</v>
      </c>
      <c r="I885" s="1">
        <v>17.419</v>
      </c>
      <c r="J885" s="296">
        <v>819</v>
      </c>
      <c r="K885" s="1"/>
      <c r="L885" s="1"/>
      <c r="M885" s="1"/>
      <c r="N885" s="1"/>
      <c r="O885" s="1"/>
      <c r="P885" s="365"/>
      <c r="Q885" s="1"/>
      <c r="R885" s="1"/>
      <c r="S885" s="1"/>
      <c r="T885" s="1"/>
    </row>
    <row r="886" spans="1:20">
      <c r="A886" s="1">
        <v>4300</v>
      </c>
      <c r="B886" s="1">
        <v>21.94</v>
      </c>
      <c r="C886" s="1">
        <v>20.488</v>
      </c>
      <c r="D886" s="1">
        <v>19.797000000000001</v>
      </c>
      <c r="E886" s="1">
        <v>19.129000000000001</v>
      </c>
      <c r="F886" s="1">
        <v>18.484999999999999</v>
      </c>
      <c r="G886" s="1">
        <v>17.864000000000001</v>
      </c>
      <c r="H886" s="1">
        <v>16.693000000000001</v>
      </c>
      <c r="I886" s="1">
        <v>15.615</v>
      </c>
      <c r="J886" s="296">
        <v>769</v>
      </c>
      <c r="K886" s="1"/>
      <c r="L886" s="1"/>
      <c r="M886" s="1"/>
      <c r="N886" s="1"/>
      <c r="O886" s="1"/>
      <c r="P886" s="365"/>
      <c r="Q886" s="1"/>
      <c r="R886" s="1"/>
      <c r="S886" s="1"/>
      <c r="T886" s="1"/>
    </row>
    <row r="887" spans="1:20">
      <c r="A887" s="1">
        <v>4350</v>
      </c>
      <c r="B887" s="1">
        <v>19.888000000000002</v>
      </c>
      <c r="C887" s="1">
        <v>18.506</v>
      </c>
      <c r="D887" s="1">
        <v>17.850000000000001</v>
      </c>
      <c r="E887" s="1">
        <v>17.216999999999999</v>
      </c>
      <c r="F887" s="1">
        <v>16.606999999999999</v>
      </c>
      <c r="G887" s="1">
        <v>16.021000000000001</v>
      </c>
      <c r="H887" s="1">
        <v>14.92</v>
      </c>
      <c r="I887" s="1">
        <v>13.912000000000001</v>
      </c>
      <c r="J887" s="296">
        <v>719</v>
      </c>
      <c r="K887" s="1"/>
      <c r="L887" s="1"/>
      <c r="M887" s="1"/>
      <c r="N887" s="1"/>
      <c r="O887" s="1"/>
      <c r="P887" s="365"/>
      <c r="Q887" s="1"/>
      <c r="R887" s="1"/>
      <c r="S887" s="1"/>
      <c r="T887" s="1"/>
    </row>
    <row r="888" spans="1:20">
      <c r="A888" s="1">
        <v>4400</v>
      </c>
      <c r="B888" s="1">
        <v>17.937000000000001</v>
      </c>
      <c r="C888" s="1">
        <v>16.623999999999999</v>
      </c>
      <c r="D888" s="1">
        <v>16.003</v>
      </c>
      <c r="E888" s="1">
        <v>15.404999999999999</v>
      </c>
      <c r="F888" s="1">
        <v>14.831</v>
      </c>
      <c r="G888" s="1">
        <v>14.279</v>
      </c>
      <c r="H888" s="1">
        <v>13.247</v>
      </c>
      <c r="I888" s="1">
        <v>12.308999999999999</v>
      </c>
      <c r="J888" s="296">
        <v>669</v>
      </c>
      <c r="K888" s="1"/>
      <c r="L888" s="1"/>
      <c r="M888" s="1"/>
      <c r="N888" s="1"/>
      <c r="O888" s="1"/>
      <c r="P888" s="365"/>
      <c r="Q888" s="1"/>
      <c r="R888" s="1"/>
      <c r="S888" s="1"/>
      <c r="T888" s="1"/>
    </row>
    <row r="889" spans="1:20">
      <c r="A889" s="1">
        <v>4450</v>
      </c>
      <c r="B889" s="1">
        <v>16.087</v>
      </c>
      <c r="C889" s="1">
        <v>14.843999999999999</v>
      </c>
      <c r="D889" s="1">
        <v>14.257</v>
      </c>
      <c r="E889" s="1">
        <v>13.694000000000001</v>
      </c>
      <c r="F889" s="1">
        <v>13.154</v>
      </c>
      <c r="G889" s="1">
        <v>12.638</v>
      </c>
      <c r="H889" s="1">
        <v>11.676</v>
      </c>
      <c r="I889" s="1">
        <v>10.807</v>
      </c>
      <c r="J889" s="296">
        <v>619</v>
      </c>
      <c r="K889" s="1"/>
      <c r="L889" s="1"/>
      <c r="M889" s="1"/>
      <c r="N889" s="1"/>
      <c r="O889" s="1"/>
      <c r="P889" s="365"/>
      <c r="Q889" s="1"/>
      <c r="R889" s="1"/>
      <c r="S889" s="1"/>
      <c r="T889" s="1"/>
    </row>
    <row r="890" spans="1:20">
      <c r="A890" s="1">
        <v>4500</v>
      </c>
      <c r="B890" s="1">
        <v>14.337</v>
      </c>
      <c r="C890" s="1">
        <v>13.164</v>
      </c>
      <c r="D890" s="1">
        <v>12.612</v>
      </c>
      <c r="E890" s="1">
        <v>12.084</v>
      </c>
      <c r="F890" s="1">
        <v>11.579000000000001</v>
      </c>
      <c r="G890" s="1">
        <v>11.098000000000001</v>
      </c>
      <c r="H890" s="1">
        <v>10.205</v>
      </c>
      <c r="I890" s="1">
        <v>9.4060000000000006</v>
      </c>
      <c r="J890" s="296">
        <v>569</v>
      </c>
      <c r="K890" s="1"/>
      <c r="L890" s="1"/>
      <c r="M890" s="1"/>
      <c r="N890" s="1"/>
      <c r="O890" s="1"/>
      <c r="P890" s="365"/>
      <c r="Q890" s="1"/>
      <c r="R890" s="1"/>
      <c r="S890" s="1"/>
      <c r="T890" s="1"/>
    </row>
    <row r="891" spans="1:20">
      <c r="A891" s="1">
        <v>4550</v>
      </c>
      <c r="B891" s="1">
        <v>12.689</v>
      </c>
      <c r="C891" s="1">
        <v>11.585000000000001</v>
      </c>
      <c r="D891" s="1">
        <v>11.068</v>
      </c>
      <c r="E891" s="1">
        <v>10.574999999999999</v>
      </c>
      <c r="F891" s="1">
        <v>10.105</v>
      </c>
      <c r="G891" s="1">
        <v>9.6579999999999995</v>
      </c>
      <c r="H891" s="1">
        <v>8.8350000000000009</v>
      </c>
      <c r="I891" s="1">
        <v>8.1059999999999999</v>
      </c>
      <c r="J891" s="296">
        <v>519</v>
      </c>
      <c r="K891" s="1"/>
      <c r="L891" s="1"/>
      <c r="M891" s="1"/>
      <c r="N891" s="1"/>
      <c r="O891" s="1"/>
      <c r="P891" s="365"/>
      <c r="Q891" s="1"/>
      <c r="R891" s="1"/>
      <c r="S891" s="1"/>
      <c r="T891" s="1"/>
    </row>
    <row r="892" spans="1:20">
      <c r="A892" s="1">
        <v>4600</v>
      </c>
      <c r="B892" s="1">
        <v>11.141</v>
      </c>
      <c r="C892" s="1">
        <v>10.106999999999999</v>
      </c>
      <c r="D892" s="1">
        <v>9.625</v>
      </c>
      <c r="E892" s="1">
        <v>9.1660000000000004</v>
      </c>
      <c r="F892" s="1">
        <v>8.7309999999999999</v>
      </c>
      <c r="G892" s="1">
        <v>8.32</v>
      </c>
      <c r="H892" s="1">
        <v>7.5659999999999998</v>
      </c>
      <c r="I892" s="1">
        <v>6.907</v>
      </c>
      <c r="J892" s="296">
        <v>469</v>
      </c>
      <c r="K892" s="1"/>
      <c r="L892" s="1"/>
      <c r="M892" s="1"/>
      <c r="N892" s="1"/>
      <c r="O892" s="1"/>
      <c r="P892" s="365"/>
      <c r="Q892" s="1"/>
      <c r="R892" s="1"/>
      <c r="S892" s="1"/>
      <c r="T892" s="1"/>
    </row>
    <row r="893" spans="1:20">
      <c r="A893" s="1">
        <v>4650</v>
      </c>
      <c r="B893" s="1">
        <v>9.6940000000000008</v>
      </c>
      <c r="C893" s="1">
        <v>8.7289999999999992</v>
      </c>
      <c r="D893" s="1">
        <v>8.282</v>
      </c>
      <c r="E893" s="1">
        <v>7.859</v>
      </c>
      <c r="F893" s="1">
        <v>7.4589999999999996</v>
      </c>
      <c r="G893" s="1">
        <v>7.0819999999999999</v>
      </c>
      <c r="H893" s="1">
        <v>6.3979999999999997</v>
      </c>
      <c r="I893" s="1">
        <v>5.8090000000000002</v>
      </c>
      <c r="J893" s="296">
        <v>419</v>
      </c>
      <c r="K893" s="1"/>
      <c r="L893" s="1"/>
      <c r="M893" s="1"/>
      <c r="N893" s="1"/>
      <c r="O893" s="1"/>
      <c r="P893" s="365"/>
      <c r="Q893" s="1"/>
      <c r="R893" s="1"/>
      <c r="S893" s="1"/>
      <c r="T893" s="1"/>
    </row>
    <row r="894" spans="1:20">
      <c r="A894" s="1">
        <v>4700</v>
      </c>
      <c r="B894" s="1">
        <v>8.3469999999999995</v>
      </c>
      <c r="C894" s="1">
        <v>7.4530000000000003</v>
      </c>
      <c r="D894" s="1">
        <v>7.0410000000000004</v>
      </c>
      <c r="E894" s="1">
        <v>6.6520000000000001</v>
      </c>
      <c r="F894" s="1">
        <v>6.2869999999999999</v>
      </c>
      <c r="G894" s="1">
        <v>5.9450000000000003</v>
      </c>
      <c r="H894" s="1">
        <v>5.3310000000000004</v>
      </c>
      <c r="I894" s="1">
        <v>4.8109999999999999</v>
      </c>
      <c r="J894" s="296">
        <v>369</v>
      </c>
      <c r="K894" s="1"/>
      <c r="L894" s="1"/>
      <c r="M894" s="1"/>
      <c r="N894" s="1"/>
      <c r="O894" s="1"/>
      <c r="P894" s="365"/>
      <c r="Q894" s="1"/>
      <c r="R894" s="1"/>
      <c r="S894" s="1"/>
      <c r="T894" s="1"/>
    </row>
    <row r="895" spans="1:20">
      <c r="A895" s="1">
        <v>4750</v>
      </c>
      <c r="B895" s="1">
        <v>7.1020000000000003</v>
      </c>
      <c r="C895" s="1">
        <v>6.2770000000000001</v>
      </c>
      <c r="D895" s="1">
        <v>5.9</v>
      </c>
      <c r="E895" s="1">
        <v>5.5460000000000003</v>
      </c>
      <c r="F895" s="1">
        <v>5.2160000000000002</v>
      </c>
      <c r="G895" s="1">
        <v>4.9089999999999998</v>
      </c>
      <c r="H895" s="1">
        <v>4.3650000000000002</v>
      </c>
      <c r="I895" s="1">
        <v>3.9140000000000001</v>
      </c>
      <c r="J895" s="296">
        <v>319</v>
      </c>
      <c r="K895" s="1"/>
      <c r="L895" s="1"/>
      <c r="M895" s="1"/>
      <c r="N895" s="1"/>
      <c r="O895" s="1"/>
      <c r="P895" s="365"/>
      <c r="Q895" s="1"/>
      <c r="R895" s="1"/>
      <c r="S895" s="1"/>
      <c r="T895" s="1"/>
    </row>
    <row r="896" spans="1:20">
      <c r="A896" s="1">
        <v>4800</v>
      </c>
      <c r="B896" s="1">
        <v>5.9580000000000002</v>
      </c>
      <c r="C896" s="1">
        <v>5.2030000000000003</v>
      </c>
      <c r="D896" s="1">
        <v>4.8600000000000003</v>
      </c>
      <c r="E896" s="1">
        <v>4.5410000000000004</v>
      </c>
      <c r="F896" s="1">
        <v>4.2450000000000001</v>
      </c>
      <c r="G896" s="1">
        <v>3.9729999999999999</v>
      </c>
      <c r="H896" s="1">
        <v>3.4990000000000001</v>
      </c>
      <c r="I896" s="1">
        <v>3.1179999999999999</v>
      </c>
      <c r="J896" s="296">
        <v>269</v>
      </c>
      <c r="K896" s="1"/>
      <c r="L896" s="1"/>
      <c r="M896" s="1"/>
      <c r="N896" s="1"/>
      <c r="O896" s="1"/>
      <c r="P896" s="365"/>
      <c r="Q896" s="1"/>
      <c r="R896" s="1"/>
      <c r="S896" s="1"/>
      <c r="T896" s="1"/>
    </row>
    <row r="897" spans="1:20">
      <c r="A897" s="1">
        <v>4850</v>
      </c>
      <c r="B897" s="1">
        <v>4.9139999999999997</v>
      </c>
      <c r="C897" s="1">
        <v>4.2290000000000001</v>
      </c>
      <c r="D897" s="1">
        <v>3.9209999999999998</v>
      </c>
      <c r="E897" s="1">
        <v>3.637</v>
      </c>
      <c r="F897" s="1">
        <v>3.3759999999999999</v>
      </c>
      <c r="G897" s="1">
        <v>3.1389999999999998</v>
      </c>
      <c r="H897" s="1">
        <v>2.734</v>
      </c>
      <c r="I897" s="1">
        <v>2.423</v>
      </c>
      <c r="J897" s="296">
        <v>219</v>
      </c>
      <c r="K897" s="1"/>
      <c r="L897" s="1"/>
      <c r="M897" s="1"/>
      <c r="N897" s="1"/>
      <c r="O897" s="1"/>
      <c r="P897" s="365"/>
      <c r="Q897" s="1"/>
      <c r="R897" s="1"/>
      <c r="S897" s="1"/>
      <c r="T897" s="1"/>
    </row>
    <row r="898" spans="1:20">
      <c r="A898" s="1">
        <v>4900</v>
      </c>
      <c r="B898" s="1">
        <v>3.9710000000000001</v>
      </c>
      <c r="C898" s="1">
        <v>3.355</v>
      </c>
      <c r="D898" s="1">
        <v>3.0830000000000002</v>
      </c>
      <c r="E898" s="1">
        <v>2.8330000000000002</v>
      </c>
      <c r="F898" s="1">
        <v>2.6080000000000001</v>
      </c>
      <c r="G898" s="1">
        <v>2.4049999999999998</v>
      </c>
      <c r="H898" s="1">
        <v>2.0699999999999998</v>
      </c>
      <c r="I898" s="1">
        <v>1.829</v>
      </c>
      <c r="J898" s="296">
        <v>169</v>
      </c>
      <c r="K898" s="1"/>
      <c r="L898" s="1"/>
      <c r="M898" s="1"/>
      <c r="N898" s="1"/>
      <c r="O898" s="1"/>
      <c r="P898" s="365"/>
      <c r="Q898" s="1"/>
      <c r="R898" s="1"/>
      <c r="S898" s="1"/>
      <c r="T898" s="1"/>
    </row>
    <row r="899" spans="1:20">
      <c r="A899" s="1">
        <v>4950</v>
      </c>
      <c r="B899" s="1">
        <v>3.129</v>
      </c>
      <c r="C899" s="1">
        <v>2.5830000000000002</v>
      </c>
      <c r="D899" s="1">
        <v>2.3450000000000002</v>
      </c>
      <c r="E899" s="1">
        <v>2.1309999999999998</v>
      </c>
      <c r="F899" s="1">
        <v>1.94</v>
      </c>
      <c r="G899" s="1">
        <v>1.772</v>
      </c>
      <c r="H899" s="1">
        <v>1.5069999999999999</v>
      </c>
      <c r="I899" s="1">
        <v>1.3360000000000001</v>
      </c>
      <c r="J899" s="296">
        <v>119</v>
      </c>
      <c r="K899" s="1"/>
      <c r="L899" s="1"/>
      <c r="M899" s="1"/>
      <c r="N899" s="1"/>
      <c r="O899" s="1"/>
      <c r="P899" s="365"/>
      <c r="Q899" s="1"/>
      <c r="R899" s="1"/>
      <c r="S899" s="1"/>
      <c r="T899" s="1"/>
    </row>
    <row r="900" spans="1:20">
      <c r="A900" s="1">
        <v>5000</v>
      </c>
      <c r="B900" s="1">
        <v>2.3879999999999999</v>
      </c>
      <c r="C900" s="1">
        <v>1.9119999999999999</v>
      </c>
      <c r="D900" s="1">
        <v>1.7090000000000001</v>
      </c>
      <c r="E900" s="1">
        <v>1.5289999999999999</v>
      </c>
      <c r="F900" s="1">
        <v>1.373</v>
      </c>
      <c r="G900" s="1">
        <v>1.24</v>
      </c>
      <c r="H900" s="1">
        <v>1.0449999999999999</v>
      </c>
      <c r="I900" s="1">
        <v>0.94099999999999995</v>
      </c>
      <c r="J900" s="296">
        <v>69</v>
      </c>
      <c r="K900" s="1"/>
      <c r="L900" s="1"/>
      <c r="M900" s="1"/>
      <c r="N900" s="1"/>
      <c r="O900" s="1"/>
      <c r="P900" s="365"/>
      <c r="Q900" s="1"/>
      <c r="R900" s="1"/>
      <c r="S900" s="1"/>
      <c r="T900" s="1"/>
    </row>
    <row r="901" spans="1:20">
      <c r="A901" s="1">
        <v>5050</v>
      </c>
      <c r="B901" s="1">
        <v>1.748</v>
      </c>
      <c r="C901" s="1">
        <v>1.341</v>
      </c>
      <c r="D901" s="1">
        <v>1.173</v>
      </c>
      <c r="E901" s="1">
        <v>1.028</v>
      </c>
      <c r="F901" s="1">
        <v>0.90700000000000003</v>
      </c>
      <c r="G901" s="1">
        <v>0.80900000000000005</v>
      </c>
      <c r="H901" s="1">
        <v>0.68300000000000005</v>
      </c>
      <c r="I901" s="1">
        <v>0.63100000000000001</v>
      </c>
      <c r="J901" s="296">
        <v>19</v>
      </c>
      <c r="K901" s="1"/>
      <c r="L901" s="1"/>
      <c r="M901" s="1"/>
      <c r="N901" s="1"/>
      <c r="O901" s="1"/>
      <c r="P901" s="365"/>
      <c r="Q901" s="1"/>
      <c r="R901" s="1"/>
      <c r="S901" s="1"/>
      <c r="T901" s="1"/>
    </row>
    <row r="902" spans="1:20">
      <c r="A902" s="365">
        <v>5069</v>
      </c>
      <c r="B902" s="365">
        <v>1.528</v>
      </c>
      <c r="C902" s="365">
        <v>1.149</v>
      </c>
      <c r="D902" s="365">
        <v>0.99399999999999999</v>
      </c>
      <c r="E902" s="365">
        <v>0.86299999999999999</v>
      </c>
      <c r="F902" s="365">
        <v>0.755</v>
      </c>
      <c r="G902" s="365">
        <v>0.67</v>
      </c>
      <c r="H902" s="365">
        <v>0.57099999999999995</v>
      </c>
      <c r="I902" s="365">
        <v>0.53300000000000003</v>
      </c>
      <c r="J902" s="296">
        <v>0</v>
      </c>
      <c r="K902" s="365"/>
      <c r="L902" s="365"/>
      <c r="M902" s="365"/>
      <c r="N902" s="365"/>
      <c r="O902" s="365"/>
      <c r="P902" s="365"/>
      <c r="Q902" s="365"/>
      <c r="R902" s="365"/>
      <c r="S902" s="365"/>
      <c r="T902" s="365"/>
    </row>
    <row r="903" spans="1:20" hidden="1">
      <c r="B903" s="19"/>
      <c r="C903" s="19"/>
      <c r="D903" s="19"/>
      <c r="E903" s="19"/>
      <c r="F903" s="19"/>
      <c r="G903" s="19"/>
      <c r="H903" s="19"/>
      <c r="I903" s="19"/>
      <c r="J903" s="19"/>
      <c r="K903" s="421"/>
      <c r="L903" s="23"/>
      <c r="M903" s="19"/>
      <c r="N903" s="19"/>
      <c r="O903" s="19"/>
      <c r="P903" s="19"/>
      <c r="Q903" s="19"/>
    </row>
    <row r="904" spans="1:20" hidden="1">
      <c r="B904" s="19"/>
      <c r="C904" s="19"/>
      <c r="D904" s="19"/>
      <c r="E904" s="19"/>
      <c r="F904" s="19"/>
      <c r="G904" s="19"/>
      <c r="H904" s="19"/>
      <c r="I904" s="19"/>
      <c r="J904" s="19"/>
      <c r="K904" s="421"/>
      <c r="L904" s="23"/>
      <c r="M904" s="19"/>
      <c r="N904" s="19"/>
      <c r="O904" s="19"/>
      <c r="P904" s="19"/>
      <c r="Q904" s="19"/>
    </row>
    <row r="905" spans="1:20" hidden="1">
      <c r="B905" s="19"/>
      <c r="C905" s="19"/>
      <c r="D905" s="19"/>
      <c r="E905" s="19"/>
      <c r="F905" s="19"/>
      <c r="G905" s="19"/>
      <c r="H905" s="19"/>
      <c r="I905" s="19"/>
      <c r="J905" s="19"/>
      <c r="K905" s="421"/>
      <c r="L905" s="23"/>
      <c r="M905" s="19"/>
      <c r="N905" s="19"/>
      <c r="O905" s="19"/>
      <c r="P905" s="19"/>
      <c r="Q905" s="19"/>
    </row>
    <row r="906" spans="1:20" hidden="1">
      <c r="B906" s="19"/>
      <c r="C906" s="19"/>
      <c r="D906" s="19"/>
      <c r="E906" s="19"/>
      <c r="F906" s="19"/>
      <c r="G906" s="19"/>
      <c r="H906" s="19"/>
      <c r="I906" s="19"/>
      <c r="J906" s="19"/>
      <c r="K906" s="421"/>
      <c r="L906" s="23"/>
      <c r="M906" s="19"/>
      <c r="N906" s="19"/>
      <c r="O906" s="19"/>
      <c r="P906" s="19"/>
      <c r="Q906" s="19"/>
    </row>
    <row r="907" spans="1:20" hidden="1">
      <c r="B907" s="19"/>
      <c r="C907" s="19"/>
      <c r="D907" s="19"/>
      <c r="E907" s="19"/>
      <c r="F907" s="19"/>
      <c r="G907" s="19"/>
      <c r="H907" s="19"/>
      <c r="I907" s="19"/>
      <c r="J907" s="19"/>
      <c r="K907" s="421"/>
      <c r="L907" s="23"/>
      <c r="M907" s="19"/>
      <c r="N907" s="19"/>
      <c r="O907" s="19"/>
      <c r="P907" s="19"/>
      <c r="Q907" s="19"/>
    </row>
    <row r="908" spans="1:20" ht="15" hidden="1" customHeight="1">
      <c r="B908" s="19"/>
      <c r="C908" s="19"/>
      <c r="D908" s="19"/>
      <c r="E908" s="19"/>
      <c r="F908" s="19"/>
      <c r="G908" s="19"/>
      <c r="H908" s="19"/>
      <c r="I908" s="19"/>
      <c r="J908" s="19"/>
      <c r="K908" s="421"/>
      <c r="L908" s="23"/>
      <c r="M908" s="19"/>
      <c r="N908" s="19"/>
      <c r="O908" s="19"/>
      <c r="P908" s="19"/>
      <c r="Q908" s="19"/>
    </row>
    <row r="909" spans="1:20" hidden="1">
      <c r="B909" s="19"/>
      <c r="C909" s="19"/>
      <c r="D909" s="19"/>
      <c r="E909" s="19"/>
      <c r="F909" s="19"/>
      <c r="G909" s="19"/>
      <c r="H909" s="19"/>
      <c r="I909" s="19"/>
      <c r="J909" s="19"/>
      <c r="K909" s="421"/>
      <c r="L909" s="23"/>
      <c r="M909" s="19"/>
      <c r="N909" s="19"/>
      <c r="O909" s="19"/>
      <c r="P909" s="19"/>
      <c r="Q909" s="19"/>
    </row>
    <row r="910" spans="1:20" hidden="1">
      <c r="B910" s="19"/>
      <c r="C910" s="19"/>
      <c r="D910" s="19"/>
      <c r="E910" s="19"/>
      <c r="F910" s="19"/>
      <c r="G910" s="19"/>
      <c r="H910" s="19"/>
      <c r="I910" s="19"/>
      <c r="J910" s="19"/>
      <c r="K910" s="421"/>
      <c r="L910" s="23"/>
      <c r="M910" s="19"/>
      <c r="N910" s="19"/>
      <c r="O910" s="19"/>
      <c r="P910" s="19"/>
      <c r="Q910" s="19"/>
    </row>
    <row r="911" spans="1:20" hidden="1">
      <c r="B911" s="19"/>
      <c r="C911" s="19"/>
      <c r="D911" s="19"/>
      <c r="E911" s="19"/>
      <c r="F911" s="19"/>
      <c r="G911" s="19"/>
      <c r="H911" s="19"/>
      <c r="I911" s="19"/>
      <c r="J911" s="19"/>
      <c r="K911" s="421"/>
      <c r="L911" s="23"/>
      <c r="M911" s="19"/>
      <c r="N911" s="19"/>
      <c r="O911" s="19"/>
      <c r="P911" s="19"/>
      <c r="Q911" s="19"/>
    </row>
    <row r="912" spans="1:20" hidden="1">
      <c r="B912" s="19"/>
      <c r="C912" s="19"/>
      <c r="D912" s="19"/>
      <c r="E912" s="19"/>
      <c r="F912" s="19"/>
      <c r="G912" s="19"/>
      <c r="H912" s="19"/>
      <c r="I912" s="19"/>
      <c r="J912" s="19"/>
      <c r="K912" s="421"/>
      <c r="L912" s="23"/>
      <c r="M912" s="19"/>
      <c r="N912" s="19"/>
      <c r="O912" s="19"/>
      <c r="P912" s="19"/>
      <c r="Q912" s="19"/>
    </row>
    <row r="913" spans="2:17" hidden="1">
      <c r="B913" s="19"/>
      <c r="C913" s="19"/>
      <c r="D913" s="19"/>
      <c r="E913" s="19"/>
      <c r="F913" s="19"/>
      <c r="G913" s="19"/>
      <c r="H913" s="19"/>
      <c r="I913" s="19"/>
      <c r="J913" s="19"/>
      <c r="K913" s="421"/>
      <c r="L913" s="23"/>
      <c r="M913" s="19"/>
      <c r="N913" s="19"/>
      <c r="O913" s="19"/>
      <c r="P913" s="19"/>
      <c r="Q913" s="19"/>
    </row>
    <row r="914" spans="2:17" hidden="1">
      <c r="B914" s="19"/>
      <c r="C914" s="19"/>
      <c r="D914" s="19"/>
      <c r="E914" s="19"/>
      <c r="F914" s="19"/>
      <c r="G914" s="19"/>
      <c r="H914" s="19"/>
      <c r="I914" s="19"/>
      <c r="J914" s="19"/>
      <c r="K914" s="421"/>
      <c r="L914" s="23"/>
      <c r="M914" s="19"/>
      <c r="N914" s="19"/>
      <c r="O914" s="19"/>
      <c r="P914" s="19"/>
      <c r="Q914" s="19"/>
    </row>
    <row r="915" spans="2:17" hidden="1">
      <c r="B915" s="19"/>
      <c r="C915" s="19"/>
      <c r="D915" s="19"/>
      <c r="E915" s="19"/>
      <c r="F915" s="19"/>
      <c r="G915" s="19"/>
      <c r="H915" s="19"/>
      <c r="I915" s="19"/>
      <c r="J915" s="19"/>
      <c r="K915" s="421"/>
      <c r="L915" s="23"/>
      <c r="M915" s="19"/>
      <c r="N915" s="19"/>
      <c r="O915" s="19"/>
      <c r="P915" s="19"/>
      <c r="Q915" s="19"/>
    </row>
    <row r="916" spans="2:17" hidden="1">
      <c r="B916" s="19"/>
      <c r="C916" s="19"/>
      <c r="D916" s="19"/>
      <c r="E916" s="19"/>
      <c r="F916" s="19"/>
      <c r="G916" s="19"/>
      <c r="H916" s="19"/>
      <c r="I916" s="19"/>
      <c r="J916" s="19"/>
      <c r="K916" s="421"/>
      <c r="L916" s="23"/>
      <c r="M916" s="19"/>
      <c r="N916" s="19"/>
      <c r="O916" s="19"/>
      <c r="P916" s="19"/>
      <c r="Q916" s="19"/>
    </row>
    <row r="917" spans="2:17" hidden="1">
      <c r="B917" s="19"/>
      <c r="C917" s="19"/>
      <c r="D917" s="19"/>
      <c r="E917" s="19"/>
      <c r="F917" s="19"/>
      <c r="G917" s="19"/>
      <c r="H917" s="19"/>
      <c r="I917" s="19"/>
      <c r="J917" s="19"/>
      <c r="K917" s="421"/>
      <c r="L917" s="23"/>
      <c r="M917" s="19"/>
      <c r="N917" s="19"/>
      <c r="O917" s="19"/>
      <c r="P917" s="19"/>
      <c r="Q917" s="19"/>
    </row>
    <row r="918" spans="2:17" hidden="1">
      <c r="B918" s="19"/>
      <c r="C918" s="19"/>
      <c r="D918" s="19"/>
      <c r="E918" s="19"/>
      <c r="F918" s="19"/>
      <c r="G918" s="19"/>
      <c r="H918" s="19"/>
      <c r="I918" s="19"/>
      <c r="J918" s="19"/>
      <c r="K918" s="421"/>
      <c r="L918" s="23"/>
      <c r="M918" s="19"/>
      <c r="N918" s="19"/>
      <c r="O918" s="19"/>
      <c r="P918" s="19"/>
      <c r="Q918" s="19"/>
    </row>
    <row r="919" spans="2:17" hidden="1">
      <c r="B919" s="19"/>
      <c r="C919" s="19"/>
      <c r="D919" s="19"/>
      <c r="E919" s="19"/>
      <c r="F919" s="19"/>
      <c r="G919" s="19"/>
      <c r="H919" s="19"/>
      <c r="I919" s="19"/>
      <c r="J919" s="19"/>
      <c r="K919" s="421"/>
      <c r="L919" s="23"/>
      <c r="M919" s="19"/>
      <c r="N919" s="19"/>
      <c r="O919" s="19"/>
      <c r="P919" s="19"/>
      <c r="Q919" s="19"/>
    </row>
    <row r="920" spans="2:17" hidden="1">
      <c r="B920" s="19"/>
      <c r="C920" s="19"/>
      <c r="D920" s="19"/>
      <c r="E920" s="19"/>
      <c r="F920" s="19"/>
      <c r="G920" s="19"/>
      <c r="H920" s="19"/>
      <c r="I920" s="19"/>
      <c r="J920" s="19"/>
      <c r="K920" s="421"/>
      <c r="L920" s="23"/>
      <c r="M920" s="19"/>
      <c r="N920" s="19"/>
      <c r="O920" s="19"/>
      <c r="P920" s="19"/>
      <c r="Q920" s="19"/>
    </row>
    <row r="921" spans="2:17" hidden="1">
      <c r="B921" s="19"/>
      <c r="C921" s="19"/>
      <c r="D921" s="19"/>
      <c r="E921" s="19"/>
      <c r="F921" s="19"/>
      <c r="G921" s="19"/>
      <c r="H921" s="19"/>
      <c r="I921" s="19"/>
      <c r="J921" s="19"/>
      <c r="K921" s="421"/>
      <c r="L921" s="23"/>
      <c r="M921" s="19"/>
      <c r="N921" s="19"/>
      <c r="O921" s="19"/>
      <c r="P921" s="19"/>
      <c r="Q921" s="19"/>
    </row>
    <row r="922" spans="2:17" hidden="1">
      <c r="B922" s="19"/>
      <c r="C922" s="19"/>
      <c r="D922" s="19"/>
      <c r="E922" s="19"/>
      <c r="F922" s="19"/>
      <c r="G922" s="19"/>
      <c r="H922" s="19"/>
      <c r="I922" s="19"/>
      <c r="J922" s="19"/>
      <c r="K922" s="421"/>
      <c r="L922" s="23"/>
      <c r="M922" s="19"/>
      <c r="N922" s="19"/>
      <c r="O922" s="19"/>
      <c r="P922" s="19"/>
      <c r="Q922" s="19"/>
    </row>
    <row r="923" spans="2:17" hidden="1">
      <c r="B923" s="19"/>
      <c r="C923" s="19"/>
      <c r="D923" s="19"/>
      <c r="E923" s="19"/>
      <c r="F923" s="19"/>
      <c r="G923" s="19"/>
      <c r="H923" s="19"/>
      <c r="I923" s="19"/>
      <c r="J923" s="19"/>
      <c r="K923" s="421"/>
      <c r="L923" s="23"/>
      <c r="M923" s="19"/>
      <c r="N923" s="19"/>
      <c r="O923" s="19"/>
      <c r="P923" s="19"/>
      <c r="Q923" s="19"/>
    </row>
    <row r="924" spans="2:17" hidden="1">
      <c r="B924" s="19"/>
      <c r="C924" s="19"/>
      <c r="D924" s="19"/>
      <c r="E924" s="19"/>
      <c r="F924" s="19"/>
      <c r="G924" s="19"/>
      <c r="H924" s="19"/>
      <c r="I924" s="19"/>
      <c r="J924" s="19"/>
      <c r="K924" s="421"/>
      <c r="L924" s="23"/>
      <c r="M924" s="19"/>
      <c r="N924" s="19"/>
      <c r="O924" s="19"/>
      <c r="P924" s="19"/>
      <c r="Q924" s="19"/>
    </row>
    <row r="925" spans="2:17" hidden="1">
      <c r="B925" s="19"/>
      <c r="C925" s="19"/>
      <c r="D925" s="19"/>
      <c r="E925" s="19"/>
      <c r="F925" s="19"/>
      <c r="G925" s="19"/>
      <c r="H925" s="19"/>
      <c r="I925" s="19"/>
      <c r="J925" s="19"/>
      <c r="K925" s="421"/>
      <c r="L925" s="23"/>
      <c r="M925" s="19"/>
      <c r="N925" s="19"/>
      <c r="O925" s="19"/>
      <c r="P925" s="19"/>
      <c r="Q925" s="19"/>
    </row>
    <row r="926" spans="2:17" hidden="1">
      <c r="B926" s="19"/>
      <c r="C926" s="19"/>
      <c r="D926" s="19"/>
      <c r="E926" s="19"/>
      <c r="F926" s="19"/>
      <c r="G926" s="19"/>
      <c r="H926" s="19"/>
      <c r="I926" s="19"/>
      <c r="J926" s="19"/>
      <c r="K926" s="421"/>
      <c r="L926" s="23"/>
      <c r="M926" s="19"/>
      <c r="N926" s="19"/>
      <c r="O926" s="19"/>
      <c r="P926" s="19"/>
      <c r="Q926" s="19"/>
    </row>
    <row r="927" spans="2:17" hidden="1">
      <c r="B927" s="19"/>
      <c r="C927" s="19"/>
      <c r="D927" s="19"/>
      <c r="E927" s="19"/>
      <c r="F927" s="19"/>
      <c r="G927" s="19"/>
      <c r="H927" s="19"/>
      <c r="I927" s="19"/>
      <c r="J927" s="19"/>
      <c r="K927" s="421"/>
      <c r="L927" s="23"/>
      <c r="M927" s="19"/>
      <c r="N927" s="19"/>
      <c r="O927" s="19"/>
      <c r="P927" s="19"/>
      <c r="Q927" s="19"/>
    </row>
    <row r="928" spans="2:17" hidden="1">
      <c r="B928" s="19"/>
      <c r="C928" s="19"/>
      <c r="D928" s="19"/>
      <c r="E928" s="19"/>
      <c r="F928" s="19"/>
      <c r="G928" s="19"/>
      <c r="H928" s="19"/>
      <c r="I928" s="19"/>
      <c r="J928" s="19"/>
      <c r="K928" s="421"/>
      <c r="L928" s="23"/>
      <c r="M928" s="19"/>
      <c r="N928" s="19"/>
      <c r="O928" s="19"/>
      <c r="P928" s="19"/>
      <c r="Q928" s="19"/>
    </row>
    <row r="929" spans="2:17" hidden="1">
      <c r="B929" s="19"/>
      <c r="C929" s="19"/>
      <c r="D929" s="19"/>
      <c r="E929" s="19"/>
      <c r="F929" s="19"/>
      <c r="G929" s="19"/>
      <c r="H929" s="19"/>
      <c r="I929" s="19"/>
      <c r="J929" s="19"/>
      <c r="K929" s="421"/>
      <c r="L929" s="23"/>
      <c r="M929" s="19"/>
      <c r="N929" s="19"/>
      <c r="O929" s="19"/>
      <c r="P929" s="19"/>
      <c r="Q929" s="19"/>
    </row>
    <row r="930" spans="2:17" hidden="1">
      <c r="B930" s="19"/>
      <c r="C930" s="19"/>
      <c r="D930" s="19"/>
      <c r="E930" s="19"/>
      <c r="F930" s="19"/>
      <c r="G930" s="19"/>
      <c r="H930" s="19"/>
      <c r="I930" s="19"/>
      <c r="J930" s="19"/>
      <c r="K930" s="421"/>
      <c r="L930" s="23"/>
      <c r="M930" s="19"/>
      <c r="N930" s="19"/>
      <c r="O930" s="19"/>
      <c r="P930" s="19"/>
      <c r="Q930" s="19"/>
    </row>
    <row r="931" spans="2:17" hidden="1">
      <c r="B931" s="19"/>
      <c r="C931" s="19"/>
      <c r="D931" s="19"/>
      <c r="E931" s="19"/>
      <c r="F931" s="19"/>
      <c r="G931" s="19"/>
      <c r="H931" s="19"/>
      <c r="I931" s="19"/>
      <c r="J931" s="19"/>
      <c r="K931" s="421"/>
      <c r="L931" s="23"/>
      <c r="M931" s="19"/>
      <c r="N931" s="19"/>
      <c r="O931" s="19"/>
      <c r="P931" s="19"/>
      <c r="Q931" s="19"/>
    </row>
    <row r="932" spans="2:17" hidden="1">
      <c r="B932" s="19"/>
      <c r="C932" s="19"/>
      <c r="D932" s="19"/>
      <c r="E932" s="19"/>
      <c r="F932" s="19"/>
      <c r="G932" s="19"/>
      <c r="H932" s="19"/>
      <c r="I932" s="19"/>
      <c r="J932" s="19"/>
      <c r="K932" s="421"/>
      <c r="L932" s="23"/>
      <c r="M932" s="19"/>
      <c r="N932" s="19"/>
      <c r="O932" s="19"/>
      <c r="P932" s="19"/>
      <c r="Q932" s="19"/>
    </row>
    <row r="933" spans="2:17" hidden="1">
      <c r="B933" s="19"/>
      <c r="C933" s="19"/>
      <c r="D933" s="19"/>
      <c r="E933" s="19"/>
      <c r="F933" s="19"/>
      <c r="G933" s="19"/>
      <c r="H933" s="19"/>
      <c r="I933" s="19"/>
      <c r="J933" s="19"/>
      <c r="K933" s="421"/>
      <c r="L933" s="23"/>
      <c r="M933" s="19"/>
      <c r="N933" s="19"/>
      <c r="O933" s="19"/>
      <c r="P933" s="19"/>
      <c r="Q933" s="19"/>
    </row>
    <row r="934" spans="2:17" hidden="1">
      <c r="B934" s="19"/>
      <c r="C934" s="19"/>
      <c r="D934" s="19"/>
      <c r="E934" s="19"/>
      <c r="F934" s="19"/>
      <c r="G934" s="19"/>
      <c r="H934" s="19"/>
      <c r="I934" s="19"/>
      <c r="J934" s="19"/>
      <c r="K934" s="421"/>
      <c r="L934" s="23"/>
      <c r="M934" s="19"/>
      <c r="N934" s="19"/>
      <c r="O934" s="19"/>
      <c r="P934" s="19"/>
      <c r="Q934" s="19"/>
    </row>
    <row r="935" spans="2:17" hidden="1">
      <c r="B935" s="19"/>
      <c r="C935" s="19"/>
      <c r="D935" s="19"/>
      <c r="E935" s="19"/>
      <c r="F935" s="19"/>
      <c r="G935" s="19"/>
      <c r="H935" s="19"/>
      <c r="I935" s="19"/>
      <c r="J935" s="19"/>
      <c r="K935" s="421"/>
      <c r="L935" s="23"/>
      <c r="M935" s="19"/>
      <c r="N935" s="19"/>
      <c r="O935" s="19"/>
      <c r="P935" s="19"/>
      <c r="Q935" s="19"/>
    </row>
    <row r="936" spans="2:17" hidden="1">
      <c r="B936" s="19"/>
      <c r="C936" s="19"/>
      <c r="D936" s="19"/>
      <c r="E936" s="19"/>
      <c r="F936" s="19"/>
      <c r="G936" s="19"/>
      <c r="H936" s="19"/>
      <c r="I936" s="19"/>
      <c r="J936" s="19"/>
      <c r="K936" s="421"/>
      <c r="L936" s="23"/>
      <c r="M936" s="19"/>
      <c r="N936" s="19"/>
      <c r="O936" s="19"/>
      <c r="P936" s="19"/>
      <c r="Q936" s="19"/>
    </row>
    <row r="937" spans="2:17" hidden="1">
      <c r="B937" s="19"/>
      <c r="C937" s="19"/>
      <c r="D937" s="19"/>
      <c r="E937" s="19"/>
      <c r="F937" s="19"/>
      <c r="G937" s="19"/>
      <c r="H937" s="19"/>
      <c r="I937" s="19"/>
      <c r="J937" s="19"/>
      <c r="K937" s="421"/>
      <c r="L937" s="23"/>
      <c r="M937" s="19"/>
      <c r="N937" s="19"/>
      <c r="O937" s="19"/>
      <c r="P937" s="19"/>
      <c r="Q937" s="19"/>
    </row>
    <row r="938" spans="2:17" hidden="1">
      <c r="B938" s="19"/>
      <c r="C938" s="19"/>
      <c r="D938" s="19"/>
      <c r="E938" s="19"/>
      <c r="F938" s="19"/>
      <c r="G938" s="19"/>
      <c r="H938" s="19"/>
      <c r="I938" s="19"/>
      <c r="J938" s="19"/>
      <c r="K938" s="421"/>
      <c r="L938" s="23"/>
      <c r="M938" s="19"/>
      <c r="N938" s="19"/>
      <c r="O938" s="19"/>
      <c r="P938" s="19"/>
      <c r="Q938" s="19"/>
    </row>
    <row r="939" spans="2:17" hidden="1">
      <c r="B939" s="19"/>
      <c r="C939" s="19"/>
      <c r="D939" s="19"/>
      <c r="E939" s="19"/>
      <c r="F939" s="19"/>
      <c r="G939" s="19"/>
      <c r="H939" s="19"/>
      <c r="I939" s="19"/>
      <c r="J939" s="19"/>
      <c r="K939" s="421"/>
      <c r="L939" s="23"/>
      <c r="M939" s="19"/>
      <c r="N939" s="19"/>
      <c r="O939" s="19"/>
      <c r="P939" s="19"/>
      <c r="Q939" s="19"/>
    </row>
    <row r="940" spans="2:17" hidden="1">
      <c r="B940" s="19"/>
      <c r="C940" s="19"/>
      <c r="D940" s="19"/>
      <c r="E940" s="19"/>
      <c r="F940" s="19"/>
      <c r="G940" s="19"/>
      <c r="H940" s="19"/>
      <c r="I940" s="19"/>
      <c r="J940" s="19"/>
      <c r="K940" s="421"/>
      <c r="L940" s="23"/>
      <c r="M940" s="19"/>
      <c r="N940" s="19"/>
      <c r="O940" s="19"/>
      <c r="P940" s="19"/>
      <c r="Q940" s="19"/>
    </row>
    <row r="941" spans="2:17" hidden="1">
      <c r="B941" s="19"/>
      <c r="C941" s="19"/>
      <c r="D941" s="19"/>
      <c r="E941" s="19"/>
      <c r="F941" s="19"/>
      <c r="G941" s="19"/>
      <c r="H941" s="19"/>
      <c r="I941" s="19"/>
      <c r="J941" s="19"/>
      <c r="K941" s="421"/>
      <c r="L941" s="23"/>
      <c r="M941" s="19"/>
      <c r="N941" s="19"/>
      <c r="O941" s="19"/>
      <c r="P941" s="19"/>
      <c r="Q941" s="19"/>
    </row>
    <row r="942" spans="2:17" hidden="1">
      <c r="B942" s="19"/>
      <c r="C942" s="19"/>
      <c r="D942" s="19"/>
      <c r="E942" s="19"/>
      <c r="F942" s="19"/>
      <c r="G942" s="19"/>
      <c r="H942" s="19"/>
      <c r="I942" s="19"/>
      <c r="J942" s="19"/>
      <c r="K942" s="421"/>
      <c r="L942" s="23"/>
      <c r="M942" s="19"/>
      <c r="N942" s="19"/>
      <c r="O942" s="19"/>
      <c r="P942" s="19"/>
      <c r="Q942" s="19"/>
    </row>
    <row r="943" spans="2:17" hidden="1">
      <c r="B943" s="19"/>
      <c r="C943" s="19"/>
      <c r="D943" s="19"/>
      <c r="E943" s="19"/>
      <c r="F943" s="19"/>
      <c r="G943" s="19"/>
      <c r="H943" s="19"/>
      <c r="I943" s="19"/>
      <c r="J943" s="19"/>
      <c r="K943" s="421"/>
      <c r="L943" s="23"/>
      <c r="M943" s="19"/>
      <c r="N943" s="19"/>
      <c r="O943" s="19"/>
      <c r="P943" s="19"/>
      <c r="Q943" s="19"/>
    </row>
    <row r="944" spans="2:17" hidden="1">
      <c r="B944" s="19"/>
      <c r="C944" s="19"/>
      <c r="D944" s="19"/>
      <c r="E944" s="19"/>
      <c r="F944" s="19"/>
      <c r="G944" s="19"/>
      <c r="H944" s="19"/>
      <c r="I944" s="19"/>
      <c r="J944" s="19"/>
      <c r="K944" s="421"/>
      <c r="L944" s="23"/>
      <c r="M944" s="19"/>
      <c r="N944" s="19"/>
      <c r="O944" s="19"/>
      <c r="P944" s="19"/>
      <c r="Q944" s="19"/>
    </row>
    <row r="945" spans="2:17" hidden="1">
      <c r="B945" s="19"/>
      <c r="C945" s="19"/>
      <c r="D945" s="19"/>
      <c r="E945" s="19"/>
      <c r="F945" s="19"/>
      <c r="G945" s="19"/>
      <c r="H945" s="19"/>
      <c r="I945" s="19"/>
      <c r="J945" s="19"/>
      <c r="K945" s="421"/>
      <c r="L945" s="23"/>
      <c r="M945" s="19"/>
      <c r="N945" s="19"/>
      <c r="O945" s="19"/>
      <c r="P945" s="19"/>
      <c r="Q945" s="19"/>
    </row>
    <row r="946" spans="2:17" hidden="1">
      <c r="B946" s="19"/>
      <c r="C946" s="19"/>
      <c r="D946" s="19"/>
      <c r="E946" s="19"/>
      <c r="F946" s="19"/>
      <c r="G946" s="19"/>
      <c r="H946" s="19"/>
      <c r="I946" s="19"/>
      <c r="J946" s="19"/>
      <c r="K946" s="421"/>
      <c r="L946" s="23"/>
      <c r="M946" s="19"/>
      <c r="N946" s="19"/>
      <c r="O946" s="19"/>
      <c r="P946" s="19"/>
      <c r="Q946" s="19"/>
    </row>
    <row r="947" spans="2:17" hidden="1">
      <c r="B947" s="19"/>
      <c r="C947" s="19"/>
      <c r="D947" s="19"/>
      <c r="E947" s="19"/>
      <c r="F947" s="19"/>
      <c r="G947" s="19"/>
      <c r="H947" s="19"/>
      <c r="I947" s="19"/>
      <c r="J947" s="19"/>
      <c r="K947" s="421"/>
      <c r="L947" s="23"/>
      <c r="M947" s="19"/>
      <c r="N947" s="19"/>
      <c r="O947" s="19"/>
      <c r="P947" s="19"/>
      <c r="Q947" s="19"/>
    </row>
    <row r="948" spans="2:17" hidden="1">
      <c r="B948" s="19"/>
      <c r="C948" s="19"/>
      <c r="D948" s="19"/>
      <c r="E948" s="19"/>
      <c r="F948" s="19"/>
      <c r="G948" s="19"/>
      <c r="H948" s="19"/>
      <c r="I948" s="19"/>
      <c r="J948" s="19"/>
      <c r="K948" s="421"/>
      <c r="L948" s="23"/>
      <c r="M948" s="19"/>
      <c r="N948" s="19"/>
      <c r="O948" s="19"/>
      <c r="P948" s="19"/>
      <c r="Q948" s="19"/>
    </row>
    <row r="949" spans="2:17" hidden="1">
      <c r="B949" s="19"/>
      <c r="C949" s="19"/>
      <c r="D949" s="19"/>
      <c r="E949" s="19"/>
      <c r="F949" s="19"/>
      <c r="G949" s="19"/>
      <c r="H949" s="19"/>
      <c r="I949" s="19"/>
      <c r="J949" s="19"/>
      <c r="K949" s="421"/>
      <c r="L949" s="23"/>
      <c r="M949" s="19"/>
      <c r="N949" s="19"/>
      <c r="O949" s="19"/>
      <c r="P949" s="19"/>
      <c r="Q949" s="19"/>
    </row>
    <row r="950" spans="2:17" hidden="1">
      <c r="B950" s="19"/>
      <c r="C950" s="19"/>
      <c r="D950" s="19"/>
      <c r="E950" s="19"/>
      <c r="F950" s="19"/>
      <c r="G950" s="19"/>
      <c r="H950" s="19"/>
      <c r="I950" s="19"/>
      <c r="J950" s="19"/>
      <c r="K950" s="421"/>
      <c r="L950" s="23"/>
      <c r="M950" s="19"/>
      <c r="N950" s="19"/>
      <c r="O950" s="19"/>
      <c r="P950" s="19"/>
      <c r="Q950" s="19"/>
    </row>
    <row r="951" spans="2:17" hidden="1">
      <c r="B951" s="19"/>
      <c r="C951" s="19"/>
      <c r="D951" s="19"/>
      <c r="E951" s="19"/>
      <c r="F951" s="19"/>
      <c r="G951" s="19"/>
      <c r="H951" s="19"/>
      <c r="I951" s="19"/>
      <c r="J951" s="19"/>
      <c r="K951" s="421"/>
      <c r="L951" s="23"/>
      <c r="M951" s="19"/>
      <c r="N951" s="19"/>
      <c r="O951" s="19"/>
      <c r="P951" s="19"/>
      <c r="Q951" s="19"/>
    </row>
    <row r="952" spans="2:17" hidden="1">
      <c r="B952" s="19"/>
      <c r="C952" s="19"/>
      <c r="D952" s="19"/>
      <c r="E952" s="19"/>
      <c r="F952" s="19"/>
      <c r="G952" s="19"/>
      <c r="H952" s="19"/>
      <c r="I952" s="19"/>
      <c r="J952" s="19"/>
      <c r="K952" s="421"/>
      <c r="L952" s="23"/>
      <c r="M952" s="19"/>
      <c r="N952" s="19"/>
      <c r="O952" s="19"/>
      <c r="P952" s="19"/>
      <c r="Q952" s="19"/>
    </row>
    <row r="953" spans="2:17" hidden="1">
      <c r="B953" s="19"/>
      <c r="C953" s="19"/>
      <c r="D953" s="19"/>
      <c r="E953" s="19"/>
      <c r="F953" s="19"/>
      <c r="G953" s="19"/>
      <c r="H953" s="19"/>
      <c r="I953" s="19"/>
      <c r="J953" s="19"/>
      <c r="K953" s="421"/>
      <c r="L953" s="23"/>
      <c r="M953" s="19"/>
      <c r="N953" s="19"/>
      <c r="O953" s="19"/>
      <c r="P953" s="19"/>
      <c r="Q953" s="19"/>
    </row>
    <row r="954" spans="2:17" hidden="1">
      <c r="B954" s="19"/>
      <c r="C954" s="19"/>
      <c r="D954" s="19"/>
      <c r="E954" s="19"/>
      <c r="F954" s="19"/>
      <c r="G954" s="19"/>
      <c r="H954" s="19"/>
      <c r="I954" s="19"/>
      <c r="J954" s="19"/>
      <c r="K954" s="421"/>
      <c r="L954" s="23"/>
      <c r="M954" s="19"/>
      <c r="N954" s="19"/>
      <c r="O954" s="19"/>
      <c r="P954" s="19"/>
      <c r="Q954" s="19"/>
    </row>
    <row r="955" spans="2:17" hidden="1">
      <c r="B955" s="19"/>
      <c r="C955" s="19"/>
      <c r="D955" s="19"/>
      <c r="E955" s="19"/>
      <c r="F955" s="19"/>
      <c r="G955" s="19"/>
      <c r="H955" s="19"/>
      <c r="I955" s="19"/>
      <c r="J955" s="19"/>
      <c r="K955" s="421"/>
      <c r="L955" s="23"/>
      <c r="M955" s="19"/>
      <c r="N955" s="19"/>
      <c r="O955" s="19"/>
      <c r="P955" s="19"/>
      <c r="Q955" s="19"/>
    </row>
    <row r="956" spans="2:17" hidden="1">
      <c r="B956" s="19"/>
      <c r="C956" s="19"/>
      <c r="D956" s="19"/>
      <c r="E956" s="19"/>
      <c r="F956" s="19"/>
      <c r="G956" s="19"/>
      <c r="H956" s="19"/>
      <c r="I956" s="19"/>
      <c r="J956" s="19"/>
      <c r="K956" s="421"/>
      <c r="L956" s="23"/>
      <c r="M956" s="19"/>
      <c r="N956" s="19"/>
      <c r="O956" s="19"/>
      <c r="P956" s="19"/>
      <c r="Q956" s="19"/>
    </row>
    <row r="957" spans="2:17" hidden="1">
      <c r="B957" s="19"/>
      <c r="C957" s="19"/>
      <c r="D957" s="19"/>
      <c r="E957" s="19"/>
      <c r="F957" s="19"/>
      <c r="G957" s="19"/>
      <c r="H957" s="19"/>
      <c r="I957" s="19"/>
      <c r="J957" s="19"/>
      <c r="K957" s="421"/>
      <c r="L957" s="23"/>
      <c r="M957" s="19"/>
      <c r="N957" s="19"/>
      <c r="O957" s="19"/>
      <c r="P957" s="19"/>
      <c r="Q957" s="19"/>
    </row>
    <row r="958" spans="2:17" hidden="1">
      <c r="B958" s="19"/>
      <c r="C958" s="19"/>
      <c r="D958" s="19"/>
      <c r="E958" s="19"/>
      <c r="F958" s="19"/>
      <c r="G958" s="19"/>
      <c r="H958" s="19"/>
      <c r="I958" s="19"/>
      <c r="J958" s="19"/>
      <c r="K958" s="421"/>
      <c r="L958" s="23"/>
      <c r="M958" s="19"/>
      <c r="N958" s="19"/>
      <c r="O958" s="19"/>
      <c r="P958" s="19"/>
      <c r="Q958" s="19"/>
    </row>
    <row r="959" spans="2:17" hidden="1">
      <c r="B959" s="19"/>
      <c r="C959" s="19"/>
      <c r="D959" s="19"/>
      <c r="E959" s="19"/>
      <c r="F959" s="19"/>
      <c r="G959" s="19"/>
      <c r="H959" s="19"/>
      <c r="I959" s="19"/>
      <c r="J959" s="19"/>
      <c r="K959" s="421"/>
      <c r="L959" s="23"/>
      <c r="M959" s="19"/>
      <c r="N959" s="19"/>
      <c r="O959" s="19"/>
      <c r="P959" s="19"/>
      <c r="Q959" s="19"/>
    </row>
    <row r="960" spans="2:17" hidden="1">
      <c r="B960" s="19"/>
      <c r="C960" s="19"/>
      <c r="D960" s="19"/>
      <c r="E960" s="19"/>
      <c r="F960" s="19"/>
      <c r="G960" s="19"/>
      <c r="H960" s="19"/>
      <c r="I960" s="19"/>
      <c r="J960" s="19"/>
      <c r="K960" s="421"/>
      <c r="L960" s="23"/>
      <c r="M960" s="19"/>
      <c r="N960" s="19"/>
      <c r="O960" s="19"/>
      <c r="P960" s="19"/>
      <c r="Q960" s="19"/>
    </row>
    <row r="961" spans="2:17" hidden="1">
      <c r="B961" s="19"/>
      <c r="C961" s="19"/>
      <c r="D961" s="19"/>
      <c r="E961" s="19"/>
      <c r="F961" s="19"/>
      <c r="G961" s="19"/>
      <c r="H961" s="19"/>
      <c r="I961" s="19"/>
      <c r="J961" s="19"/>
      <c r="K961" s="421"/>
      <c r="L961" s="23"/>
      <c r="M961" s="19"/>
      <c r="N961" s="19"/>
      <c r="O961" s="19"/>
      <c r="P961" s="19"/>
      <c r="Q961" s="19"/>
    </row>
    <row r="962" spans="2:17" hidden="1">
      <c r="B962" s="19"/>
      <c r="C962" s="19"/>
      <c r="D962" s="19"/>
      <c r="E962" s="19"/>
      <c r="F962" s="19"/>
      <c r="G962" s="19"/>
      <c r="H962" s="19"/>
      <c r="I962" s="19"/>
      <c r="J962" s="19"/>
      <c r="K962" s="421"/>
      <c r="L962" s="23"/>
      <c r="M962" s="19"/>
      <c r="N962" s="19"/>
      <c r="O962" s="19"/>
      <c r="P962" s="19"/>
      <c r="Q962" s="19"/>
    </row>
    <row r="963" spans="2:17" hidden="1">
      <c r="B963" s="19"/>
      <c r="C963" s="19"/>
      <c r="D963" s="19"/>
      <c r="E963" s="19"/>
      <c r="F963" s="19"/>
      <c r="G963" s="19"/>
      <c r="H963" s="19"/>
      <c r="I963" s="19"/>
      <c r="J963" s="19"/>
      <c r="K963" s="421"/>
      <c r="L963" s="23"/>
      <c r="M963" s="19"/>
      <c r="N963" s="19"/>
      <c r="O963" s="19"/>
      <c r="P963" s="19"/>
      <c r="Q963" s="19"/>
    </row>
    <row r="964" spans="2:17" hidden="1">
      <c r="B964" s="19"/>
      <c r="C964" s="19"/>
      <c r="D964" s="19"/>
      <c r="E964" s="19"/>
      <c r="F964" s="19"/>
      <c r="G964" s="19"/>
      <c r="H964" s="19"/>
      <c r="I964" s="19"/>
      <c r="J964" s="19"/>
      <c r="K964" s="421"/>
      <c r="L964" s="23"/>
      <c r="M964" s="19"/>
      <c r="N964" s="19"/>
      <c r="O964" s="19"/>
      <c r="P964" s="19"/>
      <c r="Q964" s="19"/>
    </row>
    <row r="965" spans="2:17" hidden="1">
      <c r="B965" s="19"/>
      <c r="C965" s="19"/>
      <c r="D965" s="19"/>
      <c r="E965" s="19"/>
      <c r="F965" s="19"/>
      <c r="G965" s="19"/>
      <c r="H965" s="19"/>
      <c r="I965" s="19"/>
      <c r="J965" s="19"/>
      <c r="K965" s="421"/>
      <c r="L965" s="23"/>
      <c r="M965" s="19"/>
      <c r="N965" s="19"/>
      <c r="O965" s="19"/>
      <c r="P965" s="19"/>
      <c r="Q965" s="19"/>
    </row>
    <row r="966" spans="2:17" hidden="1">
      <c r="B966" s="19"/>
      <c r="C966" s="19"/>
      <c r="D966" s="19"/>
      <c r="E966" s="19"/>
      <c r="F966" s="19"/>
      <c r="G966" s="19"/>
      <c r="H966" s="19"/>
      <c r="I966" s="19"/>
      <c r="J966" s="19"/>
      <c r="K966" s="421"/>
      <c r="L966" s="23"/>
      <c r="M966" s="19"/>
      <c r="N966" s="19"/>
      <c r="O966" s="19"/>
      <c r="P966" s="19"/>
      <c r="Q966" s="19"/>
    </row>
    <row r="967" spans="2:17" hidden="1">
      <c r="B967" s="19"/>
      <c r="C967" s="19"/>
      <c r="D967" s="19"/>
      <c r="E967" s="19"/>
      <c r="F967" s="19"/>
      <c r="G967" s="19"/>
      <c r="H967" s="19"/>
      <c r="I967" s="19"/>
      <c r="J967" s="19"/>
      <c r="K967" s="421"/>
      <c r="L967" s="23"/>
      <c r="M967" s="19"/>
      <c r="N967" s="19"/>
      <c r="O967" s="19"/>
      <c r="P967" s="19"/>
      <c r="Q967" s="19"/>
    </row>
    <row r="968" spans="2:17" hidden="1">
      <c r="B968" s="19"/>
      <c r="C968" s="19"/>
      <c r="D968" s="19"/>
      <c r="E968" s="19"/>
      <c r="F968" s="19"/>
      <c r="G968" s="19"/>
      <c r="H968" s="19"/>
      <c r="I968" s="19"/>
      <c r="J968" s="19"/>
      <c r="K968" s="421"/>
      <c r="L968" s="23"/>
      <c r="M968" s="19"/>
      <c r="N968" s="19"/>
      <c r="O968" s="19"/>
      <c r="P968" s="19"/>
      <c r="Q968" s="19"/>
    </row>
    <row r="969" spans="2:17" hidden="1">
      <c r="B969" s="19"/>
      <c r="C969" s="19"/>
      <c r="D969" s="19"/>
      <c r="E969" s="19"/>
      <c r="F969" s="19"/>
      <c r="G969" s="19"/>
      <c r="H969" s="19"/>
      <c r="I969" s="19"/>
      <c r="J969" s="19"/>
      <c r="K969" s="421"/>
      <c r="L969" s="23"/>
      <c r="M969" s="19"/>
      <c r="N969" s="19"/>
      <c r="O969" s="19"/>
      <c r="P969" s="19"/>
      <c r="Q969" s="19"/>
    </row>
    <row r="970" spans="2:17" hidden="1">
      <c r="B970" s="19"/>
      <c r="C970" s="19"/>
      <c r="D970" s="19"/>
      <c r="E970" s="19"/>
      <c r="F970" s="19"/>
      <c r="G970" s="19"/>
      <c r="H970" s="19"/>
      <c r="I970" s="19"/>
      <c r="J970" s="19"/>
      <c r="K970" s="421"/>
      <c r="L970" s="23"/>
      <c r="M970" s="19"/>
      <c r="N970" s="19"/>
      <c r="O970" s="19"/>
      <c r="P970" s="19"/>
      <c r="Q970" s="19"/>
    </row>
    <row r="971" spans="2:17" hidden="1">
      <c r="B971" s="19"/>
      <c r="C971" s="19"/>
      <c r="D971" s="19"/>
      <c r="E971" s="19"/>
      <c r="F971" s="19"/>
      <c r="G971" s="19"/>
      <c r="H971" s="19"/>
      <c r="I971" s="19"/>
      <c r="J971" s="19"/>
      <c r="K971" s="421"/>
      <c r="L971" s="23"/>
      <c r="M971" s="19"/>
      <c r="N971" s="19"/>
      <c r="O971" s="19"/>
      <c r="P971" s="19"/>
      <c r="Q971" s="19"/>
    </row>
    <row r="972" spans="2:17" hidden="1">
      <c r="B972" s="19"/>
      <c r="C972" s="19"/>
      <c r="D972" s="19"/>
      <c r="E972" s="19"/>
      <c r="F972" s="19"/>
      <c r="G972" s="19"/>
      <c r="H972" s="19"/>
      <c r="I972" s="19"/>
      <c r="J972" s="19"/>
      <c r="K972" s="421"/>
      <c r="L972" s="23"/>
      <c r="M972" s="19"/>
      <c r="N972" s="19"/>
      <c r="O972" s="19"/>
      <c r="P972" s="19"/>
      <c r="Q972" s="19"/>
    </row>
    <row r="973" spans="2:17" hidden="1">
      <c r="B973" s="19"/>
      <c r="C973" s="19"/>
      <c r="D973" s="19"/>
      <c r="E973" s="19"/>
      <c r="F973" s="19"/>
      <c r="G973" s="19"/>
      <c r="H973" s="19"/>
      <c r="I973" s="19"/>
      <c r="J973" s="19"/>
      <c r="K973" s="421"/>
      <c r="L973" s="23"/>
      <c r="M973" s="19"/>
      <c r="N973" s="19"/>
      <c r="O973" s="19"/>
      <c r="P973" s="19"/>
      <c r="Q973" s="19"/>
    </row>
    <row r="974" spans="2:17" hidden="1">
      <c r="B974" s="19"/>
      <c r="C974" s="19"/>
      <c r="D974" s="19"/>
      <c r="E974" s="19"/>
      <c r="F974" s="19"/>
      <c r="G974" s="19"/>
      <c r="H974" s="19"/>
      <c r="I974" s="19"/>
      <c r="J974" s="19"/>
      <c r="K974" s="421"/>
      <c r="L974" s="23"/>
      <c r="M974" s="19"/>
      <c r="N974" s="19"/>
      <c r="O974" s="19"/>
      <c r="P974" s="19"/>
      <c r="Q974" s="19"/>
    </row>
    <row r="975" spans="2:17" hidden="1">
      <c r="B975" s="19"/>
      <c r="C975" s="19"/>
      <c r="D975" s="19"/>
      <c r="E975" s="19"/>
      <c r="F975" s="19"/>
      <c r="G975" s="19"/>
      <c r="H975" s="19"/>
      <c r="I975" s="19"/>
      <c r="J975" s="19"/>
      <c r="K975" s="421"/>
      <c r="L975" s="23"/>
      <c r="M975" s="19"/>
      <c r="N975" s="19"/>
      <c r="O975" s="19"/>
      <c r="P975" s="19"/>
      <c r="Q975" s="19"/>
    </row>
    <row r="976" spans="2:17" hidden="1">
      <c r="B976" s="19"/>
      <c r="C976" s="19"/>
      <c r="D976" s="19"/>
      <c r="E976" s="19"/>
      <c r="F976" s="19"/>
      <c r="G976" s="19"/>
      <c r="H976" s="19"/>
      <c r="I976" s="19"/>
      <c r="J976" s="19"/>
      <c r="K976" s="421"/>
      <c r="L976" s="23"/>
      <c r="M976" s="19"/>
      <c r="N976" s="19"/>
      <c r="O976" s="19"/>
      <c r="P976" s="19"/>
      <c r="Q976" s="19"/>
    </row>
    <row r="977" spans="2:17" hidden="1">
      <c r="B977" s="19"/>
      <c r="C977" s="19"/>
      <c r="D977" s="19"/>
      <c r="E977" s="19"/>
      <c r="F977" s="19"/>
      <c r="G977" s="19"/>
      <c r="H977" s="19"/>
      <c r="I977" s="19"/>
      <c r="J977" s="19"/>
      <c r="K977" s="421"/>
      <c r="L977" s="23"/>
      <c r="M977" s="19"/>
      <c r="N977" s="19"/>
      <c r="O977" s="19"/>
      <c r="P977" s="19"/>
      <c r="Q977" s="19"/>
    </row>
    <row r="978" spans="2:17" hidden="1">
      <c r="B978" s="19"/>
      <c r="C978" s="19"/>
      <c r="D978" s="19"/>
      <c r="E978" s="19"/>
      <c r="F978" s="19"/>
      <c r="G978" s="19"/>
      <c r="H978" s="19"/>
      <c r="I978" s="19"/>
      <c r="J978" s="19"/>
      <c r="K978" s="421"/>
      <c r="L978" s="23"/>
      <c r="M978" s="19"/>
      <c r="N978" s="19"/>
      <c r="O978" s="19"/>
      <c r="P978" s="19"/>
      <c r="Q978" s="19"/>
    </row>
    <row r="979" spans="2:17" hidden="1">
      <c r="B979" s="19"/>
      <c r="C979" s="19"/>
      <c r="D979" s="19"/>
      <c r="E979" s="19"/>
      <c r="F979" s="19"/>
      <c r="G979" s="19"/>
      <c r="H979" s="19"/>
      <c r="I979" s="19"/>
      <c r="J979" s="19"/>
      <c r="K979" s="421"/>
      <c r="L979" s="23"/>
      <c r="M979" s="19"/>
      <c r="N979" s="19"/>
      <c r="O979" s="19"/>
      <c r="P979" s="19"/>
      <c r="Q979" s="19"/>
    </row>
    <row r="980" spans="2:17" hidden="1">
      <c r="B980" s="19"/>
      <c r="C980" s="19"/>
      <c r="D980" s="19"/>
      <c r="E980" s="19"/>
      <c r="F980" s="19"/>
      <c r="G980" s="19"/>
      <c r="H980" s="19"/>
      <c r="I980" s="19"/>
      <c r="J980" s="19"/>
      <c r="K980" s="421"/>
      <c r="L980" s="23"/>
      <c r="M980" s="19"/>
      <c r="N980" s="19"/>
      <c r="O980" s="19"/>
      <c r="P980" s="19"/>
      <c r="Q980" s="19"/>
    </row>
    <row r="981" spans="2:17" hidden="1">
      <c r="B981" s="19"/>
      <c r="C981" s="19"/>
      <c r="D981" s="19"/>
      <c r="E981" s="19"/>
      <c r="F981" s="19"/>
      <c r="G981" s="19"/>
      <c r="H981" s="19"/>
      <c r="I981" s="19"/>
      <c r="J981" s="19"/>
      <c r="K981" s="421"/>
      <c r="L981" s="23"/>
      <c r="M981" s="19"/>
      <c r="N981" s="19"/>
      <c r="O981" s="19"/>
      <c r="P981" s="19"/>
      <c r="Q981" s="19"/>
    </row>
    <row r="982" spans="2:17" hidden="1">
      <c r="B982" s="19"/>
      <c r="C982" s="19"/>
      <c r="D982" s="19"/>
      <c r="E982" s="19"/>
      <c r="F982" s="19"/>
      <c r="G982" s="19"/>
      <c r="H982" s="19"/>
      <c r="I982" s="19"/>
      <c r="J982" s="19"/>
      <c r="K982" s="421"/>
      <c r="L982" s="23"/>
      <c r="M982" s="19"/>
      <c r="N982" s="19"/>
      <c r="O982" s="19"/>
      <c r="P982" s="19"/>
      <c r="Q982" s="19"/>
    </row>
    <row r="983" spans="2:17" hidden="1">
      <c r="B983" s="19"/>
      <c r="C983" s="19"/>
      <c r="D983" s="19"/>
      <c r="E983" s="19"/>
      <c r="F983" s="19"/>
      <c r="G983" s="19"/>
      <c r="H983" s="19"/>
      <c r="I983" s="19"/>
      <c r="J983" s="19"/>
      <c r="K983" s="421"/>
      <c r="L983" s="23"/>
      <c r="M983" s="19"/>
      <c r="N983" s="19"/>
      <c r="O983" s="19"/>
      <c r="P983" s="19"/>
      <c r="Q983" s="19"/>
    </row>
    <row r="984" spans="2:17" hidden="1">
      <c r="B984" s="19"/>
      <c r="C984" s="19"/>
      <c r="D984" s="19"/>
      <c r="E984" s="19"/>
      <c r="F984" s="19"/>
      <c r="G984" s="19"/>
      <c r="H984" s="19"/>
      <c r="I984" s="19"/>
      <c r="J984" s="19"/>
      <c r="K984" s="421"/>
      <c r="L984" s="23"/>
      <c r="M984" s="19"/>
      <c r="N984" s="19"/>
      <c r="O984" s="19"/>
      <c r="P984" s="19"/>
      <c r="Q984" s="19"/>
    </row>
    <row r="985" spans="2:17" hidden="1">
      <c r="B985" s="19"/>
      <c r="C985" s="19"/>
      <c r="D985" s="19"/>
      <c r="E985" s="19"/>
      <c r="F985" s="19"/>
      <c r="G985" s="19"/>
      <c r="H985" s="19"/>
      <c r="I985" s="19"/>
      <c r="J985" s="19"/>
      <c r="K985" s="421"/>
      <c r="L985" s="23"/>
      <c r="M985" s="19"/>
      <c r="N985" s="19"/>
      <c r="O985" s="19"/>
      <c r="P985" s="19"/>
      <c r="Q985" s="19"/>
    </row>
    <row r="986" spans="2:17" hidden="1">
      <c r="B986" s="19"/>
      <c r="C986" s="19"/>
      <c r="D986" s="19"/>
      <c r="E986" s="19"/>
      <c r="F986" s="19"/>
      <c r="G986" s="19"/>
      <c r="H986" s="19"/>
      <c r="I986" s="19"/>
      <c r="J986" s="19"/>
      <c r="K986" s="421"/>
      <c r="L986" s="23"/>
      <c r="M986" s="19"/>
      <c r="N986" s="19"/>
      <c r="O986" s="19"/>
      <c r="P986" s="19"/>
      <c r="Q986" s="19"/>
    </row>
    <row r="987" spans="2:17" hidden="1">
      <c r="B987" s="19"/>
      <c r="C987" s="19"/>
      <c r="D987" s="19"/>
      <c r="E987" s="19"/>
      <c r="F987" s="19"/>
      <c r="G987" s="19"/>
      <c r="H987" s="19"/>
      <c r="I987" s="19"/>
      <c r="J987" s="19"/>
      <c r="K987" s="421"/>
      <c r="L987" s="23"/>
      <c r="M987" s="19"/>
      <c r="N987" s="19"/>
      <c r="O987" s="19"/>
      <c r="P987" s="19"/>
      <c r="Q987" s="19"/>
    </row>
    <row r="988" spans="2:17" hidden="1">
      <c r="B988" s="19"/>
      <c r="C988" s="19"/>
      <c r="D988" s="19"/>
      <c r="E988" s="19"/>
      <c r="F988" s="19"/>
      <c r="G988" s="19"/>
      <c r="H988" s="19"/>
      <c r="I988" s="19"/>
      <c r="J988" s="19"/>
      <c r="K988" s="421"/>
      <c r="L988" s="23"/>
      <c r="M988" s="19"/>
      <c r="N988" s="19"/>
      <c r="O988" s="19"/>
      <c r="P988" s="19"/>
      <c r="Q988" s="19"/>
    </row>
    <row r="989" spans="2:17" hidden="1">
      <c r="B989" s="19"/>
      <c r="C989" s="19"/>
      <c r="D989" s="19"/>
      <c r="E989" s="19"/>
      <c r="F989" s="19"/>
      <c r="G989" s="19"/>
      <c r="H989" s="19"/>
      <c r="I989" s="19"/>
      <c r="J989" s="19"/>
      <c r="K989" s="421"/>
      <c r="L989" s="23"/>
      <c r="M989" s="19"/>
      <c r="N989" s="19"/>
      <c r="O989" s="19"/>
      <c r="P989" s="19"/>
      <c r="Q989" s="19"/>
    </row>
    <row r="990" spans="2:17" hidden="1">
      <c r="B990" s="19"/>
      <c r="C990" s="19"/>
      <c r="D990" s="19"/>
      <c r="E990" s="19"/>
      <c r="F990" s="19"/>
      <c r="G990" s="19"/>
      <c r="H990" s="19"/>
      <c r="I990" s="19"/>
      <c r="J990" s="19"/>
      <c r="K990" s="421"/>
      <c r="L990" s="23"/>
      <c r="M990" s="19"/>
      <c r="N990" s="19"/>
      <c r="O990" s="19"/>
      <c r="P990" s="19"/>
      <c r="Q990" s="19"/>
    </row>
    <row r="991" spans="2:17" hidden="1">
      <c r="B991" s="19"/>
      <c r="C991" s="19"/>
      <c r="D991" s="19"/>
      <c r="E991" s="19"/>
      <c r="F991" s="19"/>
      <c r="G991" s="19"/>
      <c r="H991" s="19"/>
      <c r="I991" s="19"/>
      <c r="J991" s="19"/>
      <c r="K991" s="421"/>
      <c r="L991" s="23"/>
      <c r="M991" s="19"/>
      <c r="N991" s="19"/>
      <c r="O991" s="19"/>
      <c r="P991" s="19"/>
      <c r="Q991" s="19"/>
    </row>
    <row r="992" spans="2:17" hidden="1">
      <c r="B992" s="19"/>
      <c r="C992" s="19"/>
      <c r="D992" s="19"/>
      <c r="E992" s="19"/>
      <c r="F992" s="19"/>
      <c r="G992" s="19"/>
      <c r="H992" s="19"/>
      <c r="I992" s="19"/>
      <c r="J992" s="19"/>
      <c r="K992" s="421"/>
      <c r="L992" s="23"/>
      <c r="M992" s="19"/>
      <c r="N992" s="19"/>
      <c r="O992" s="19"/>
      <c r="P992" s="19"/>
      <c r="Q992" s="19"/>
    </row>
    <row r="993" spans="2:17" hidden="1">
      <c r="B993" s="19"/>
      <c r="C993" s="19"/>
      <c r="D993" s="19"/>
      <c r="E993" s="19"/>
      <c r="F993" s="19"/>
      <c r="G993" s="19"/>
      <c r="H993" s="19"/>
      <c r="I993" s="19"/>
      <c r="J993" s="19"/>
      <c r="K993" s="421"/>
      <c r="L993" s="23"/>
      <c r="M993" s="19"/>
      <c r="N993" s="19"/>
      <c r="O993" s="19"/>
      <c r="P993" s="19"/>
      <c r="Q993" s="19"/>
    </row>
    <row r="994" spans="2:17" hidden="1">
      <c r="B994" s="19"/>
      <c r="C994" s="19"/>
      <c r="D994" s="19"/>
      <c r="E994" s="19"/>
      <c r="F994" s="19"/>
      <c r="G994" s="19"/>
      <c r="H994" s="19"/>
      <c r="I994" s="19"/>
      <c r="J994" s="19"/>
      <c r="K994" s="421"/>
      <c r="L994" s="23"/>
      <c r="M994" s="19"/>
      <c r="N994" s="19"/>
      <c r="O994" s="19"/>
      <c r="P994" s="19"/>
      <c r="Q994" s="19"/>
    </row>
    <row r="995" spans="2:17" hidden="1">
      <c r="B995" s="19"/>
      <c r="C995" s="19"/>
      <c r="D995" s="19"/>
      <c r="E995" s="19"/>
      <c r="F995" s="19"/>
      <c r="G995" s="19"/>
      <c r="H995" s="19"/>
      <c r="I995" s="19"/>
      <c r="J995" s="19"/>
      <c r="K995" s="421"/>
      <c r="L995" s="23"/>
      <c r="M995" s="19"/>
      <c r="N995" s="19"/>
      <c r="O995" s="19"/>
      <c r="P995" s="19"/>
      <c r="Q995" s="19"/>
    </row>
    <row r="996" spans="2:17" hidden="1">
      <c r="B996" s="19"/>
      <c r="C996" s="19"/>
      <c r="D996" s="19"/>
      <c r="E996" s="19"/>
      <c r="F996" s="19"/>
      <c r="G996" s="19"/>
      <c r="H996" s="19"/>
      <c r="I996" s="19"/>
      <c r="J996" s="19"/>
      <c r="K996" s="421"/>
      <c r="L996" s="23"/>
      <c r="M996" s="19"/>
      <c r="N996" s="19"/>
      <c r="O996" s="19"/>
      <c r="P996" s="19"/>
      <c r="Q996" s="19"/>
    </row>
    <row r="997" spans="2:17" hidden="1">
      <c r="B997" s="19"/>
      <c r="C997" s="19"/>
      <c r="D997" s="19"/>
      <c r="E997" s="19"/>
      <c r="F997" s="19"/>
      <c r="G997" s="19"/>
      <c r="H997" s="19"/>
      <c r="I997" s="19"/>
      <c r="J997" s="19"/>
      <c r="K997" s="421"/>
      <c r="L997" s="23"/>
      <c r="M997" s="19"/>
      <c r="N997" s="19"/>
      <c r="O997" s="19"/>
      <c r="P997" s="19"/>
      <c r="Q997" s="19"/>
    </row>
    <row r="998" spans="2:17" hidden="1">
      <c r="B998" s="19"/>
      <c r="C998" s="19"/>
      <c r="D998" s="19"/>
      <c r="E998" s="19"/>
      <c r="F998" s="19"/>
      <c r="G998" s="19"/>
      <c r="H998" s="19"/>
      <c r="I998" s="19"/>
      <c r="J998" s="19"/>
      <c r="K998" s="421"/>
      <c r="L998" s="23"/>
      <c r="M998" s="19"/>
      <c r="N998" s="19"/>
      <c r="O998" s="19"/>
      <c r="P998" s="19"/>
      <c r="Q998" s="19"/>
    </row>
    <row r="999" spans="2:17" hidden="1">
      <c r="B999" s="19"/>
      <c r="C999" s="19"/>
      <c r="D999" s="19"/>
      <c r="E999" s="19"/>
      <c r="F999" s="19"/>
      <c r="G999" s="19"/>
      <c r="H999" s="19"/>
      <c r="I999" s="19"/>
      <c r="J999" s="19"/>
      <c r="K999" s="421"/>
      <c r="L999" s="23"/>
      <c r="M999" s="19"/>
      <c r="N999" s="19"/>
      <c r="O999" s="19"/>
      <c r="P999" s="19"/>
      <c r="Q999" s="19"/>
    </row>
    <row r="1000" spans="2:17" hidden="1">
      <c r="B1000" s="19"/>
      <c r="C1000" s="19"/>
      <c r="D1000" s="19"/>
      <c r="E1000" s="19"/>
      <c r="F1000" s="19"/>
      <c r="G1000" s="19"/>
      <c r="H1000" s="19"/>
      <c r="I1000" s="19"/>
      <c r="J1000" s="19"/>
      <c r="K1000" s="421"/>
      <c r="L1000" s="23"/>
      <c r="M1000" s="19"/>
      <c r="N1000" s="19"/>
      <c r="O1000" s="19"/>
      <c r="P1000" s="19"/>
      <c r="Q1000" s="19"/>
    </row>
    <row r="1001" spans="2:17" hidden="1">
      <c r="B1001" s="19"/>
      <c r="C1001" s="19"/>
      <c r="D1001" s="19"/>
      <c r="E1001" s="19"/>
      <c r="F1001" s="19"/>
      <c r="G1001" s="19"/>
      <c r="H1001" s="19"/>
      <c r="I1001" s="19"/>
      <c r="J1001" s="19"/>
      <c r="K1001" s="421"/>
      <c r="L1001" s="23"/>
      <c r="M1001" s="19"/>
      <c r="N1001" s="19"/>
      <c r="O1001" s="19"/>
      <c r="P1001" s="19"/>
      <c r="Q1001" s="19"/>
    </row>
    <row r="1002" spans="2:17" hidden="1">
      <c r="B1002" s="19"/>
      <c r="C1002" s="19"/>
      <c r="D1002" s="19"/>
      <c r="E1002" s="19"/>
      <c r="F1002" s="19"/>
      <c r="G1002" s="19"/>
      <c r="H1002" s="19"/>
      <c r="I1002" s="19"/>
      <c r="J1002" s="19"/>
      <c r="K1002" s="421"/>
      <c r="L1002" s="23"/>
      <c r="M1002" s="19"/>
      <c r="N1002" s="19"/>
      <c r="O1002" s="19"/>
      <c r="P1002" s="19"/>
      <c r="Q1002" s="19"/>
    </row>
    <row r="1003" spans="2:17" hidden="1">
      <c r="B1003" s="19"/>
      <c r="C1003" s="19"/>
      <c r="D1003" s="19"/>
      <c r="E1003" s="19"/>
      <c r="F1003" s="19"/>
      <c r="G1003" s="19"/>
      <c r="H1003" s="19"/>
      <c r="I1003" s="19"/>
      <c r="J1003" s="19"/>
      <c r="K1003" s="421"/>
      <c r="L1003" s="23"/>
      <c r="M1003" s="19"/>
      <c r="N1003" s="19"/>
      <c r="O1003" s="19"/>
      <c r="P1003" s="19"/>
      <c r="Q1003" s="19"/>
    </row>
    <row r="1004" spans="2:17" hidden="1">
      <c r="B1004" s="19"/>
      <c r="C1004" s="19"/>
      <c r="D1004" s="19"/>
      <c r="E1004" s="19"/>
      <c r="F1004" s="19"/>
      <c r="G1004" s="19"/>
      <c r="H1004" s="19"/>
      <c r="I1004" s="19"/>
      <c r="J1004" s="19"/>
      <c r="K1004" s="421"/>
      <c r="L1004" s="23"/>
      <c r="M1004" s="19"/>
      <c r="N1004" s="19"/>
      <c r="O1004" s="19"/>
      <c r="P1004" s="19"/>
      <c r="Q1004" s="19"/>
    </row>
    <row r="1005" spans="2:17" hidden="1">
      <c r="B1005" s="19"/>
      <c r="C1005" s="19"/>
      <c r="D1005" s="19"/>
      <c r="E1005" s="19"/>
      <c r="F1005" s="19"/>
      <c r="G1005" s="19"/>
      <c r="H1005" s="19"/>
      <c r="I1005" s="19"/>
      <c r="J1005" s="19"/>
      <c r="K1005" s="421"/>
      <c r="L1005" s="23"/>
      <c r="M1005" s="19"/>
      <c r="N1005" s="19"/>
      <c r="O1005" s="19"/>
      <c r="P1005" s="19"/>
      <c r="Q1005" s="19"/>
    </row>
    <row r="1006" spans="2:17" hidden="1">
      <c r="B1006" s="19"/>
      <c r="C1006" s="19"/>
      <c r="D1006" s="19"/>
      <c r="E1006" s="19"/>
      <c r="F1006" s="19"/>
      <c r="G1006" s="19"/>
      <c r="H1006" s="19"/>
      <c r="I1006" s="19"/>
      <c r="J1006" s="19"/>
      <c r="K1006" s="421"/>
      <c r="L1006" s="23"/>
      <c r="M1006" s="19"/>
      <c r="N1006" s="19"/>
      <c r="O1006" s="19"/>
      <c r="P1006" s="19"/>
      <c r="Q1006" s="19"/>
    </row>
    <row r="1007" spans="2:17" hidden="1">
      <c r="B1007" s="19"/>
      <c r="C1007" s="19"/>
      <c r="D1007" s="19"/>
      <c r="E1007" s="19"/>
      <c r="F1007" s="19"/>
      <c r="G1007" s="19"/>
      <c r="H1007" s="19"/>
      <c r="I1007" s="19"/>
      <c r="J1007" s="19"/>
      <c r="K1007" s="421"/>
      <c r="L1007" s="23"/>
      <c r="M1007" s="19"/>
      <c r="N1007" s="19"/>
      <c r="O1007" s="19"/>
      <c r="P1007" s="19"/>
      <c r="Q1007" s="19"/>
    </row>
    <row r="1008" spans="2:17" hidden="1">
      <c r="B1008" s="19"/>
      <c r="C1008" s="19"/>
      <c r="D1008" s="19"/>
      <c r="E1008" s="19"/>
      <c r="F1008" s="19"/>
      <c r="G1008" s="19"/>
      <c r="H1008" s="19"/>
      <c r="I1008" s="19"/>
      <c r="J1008" s="19"/>
      <c r="K1008" s="421"/>
      <c r="L1008" s="23"/>
      <c r="M1008" s="19"/>
      <c r="N1008" s="19"/>
      <c r="O1008" s="19"/>
      <c r="P1008" s="19"/>
      <c r="Q1008" s="19"/>
    </row>
    <row r="1009" spans="2:17" hidden="1">
      <c r="B1009" s="19"/>
      <c r="C1009" s="19"/>
      <c r="D1009" s="19"/>
      <c r="E1009" s="19"/>
      <c r="F1009" s="19"/>
      <c r="G1009" s="19"/>
      <c r="H1009" s="19"/>
      <c r="I1009" s="19"/>
      <c r="J1009" s="19"/>
      <c r="K1009" s="421"/>
      <c r="L1009" s="23"/>
      <c r="M1009" s="19"/>
      <c r="N1009" s="19"/>
      <c r="O1009" s="19"/>
      <c r="P1009" s="19"/>
      <c r="Q1009" s="19"/>
    </row>
    <row r="1010" spans="2:17" hidden="1">
      <c r="B1010" s="19"/>
      <c r="C1010" s="19"/>
      <c r="D1010" s="19"/>
      <c r="E1010" s="19"/>
      <c r="F1010" s="19"/>
      <c r="G1010" s="19"/>
      <c r="H1010" s="19"/>
      <c r="I1010" s="19"/>
      <c r="J1010" s="19"/>
      <c r="K1010" s="421"/>
      <c r="L1010" s="23"/>
      <c r="M1010" s="19"/>
      <c r="N1010" s="19"/>
      <c r="O1010" s="19"/>
      <c r="P1010" s="19"/>
      <c r="Q1010" s="19"/>
    </row>
    <row r="1011" spans="2:17" hidden="1">
      <c r="B1011" s="19"/>
      <c r="C1011" s="19"/>
      <c r="D1011" s="19"/>
      <c r="E1011" s="19"/>
      <c r="F1011" s="19"/>
      <c r="G1011" s="19"/>
      <c r="H1011" s="19"/>
      <c r="I1011" s="19"/>
      <c r="J1011" s="19"/>
      <c r="K1011" s="421"/>
      <c r="L1011" s="23"/>
      <c r="M1011" s="19"/>
      <c r="N1011" s="19"/>
      <c r="O1011" s="19"/>
      <c r="P1011" s="19"/>
      <c r="Q1011" s="19"/>
    </row>
    <row r="1012" spans="2:17" hidden="1">
      <c r="B1012" s="19"/>
      <c r="C1012" s="19"/>
      <c r="D1012" s="19"/>
      <c r="E1012" s="19"/>
      <c r="F1012" s="19"/>
      <c r="G1012" s="19"/>
      <c r="H1012" s="19"/>
      <c r="I1012" s="19"/>
      <c r="J1012" s="19"/>
      <c r="K1012" s="421"/>
      <c r="L1012" s="23"/>
      <c r="M1012" s="19"/>
      <c r="N1012" s="19"/>
      <c r="O1012" s="19"/>
      <c r="P1012" s="19"/>
      <c r="Q1012" s="19"/>
    </row>
    <row r="1013" spans="2:17" hidden="1">
      <c r="B1013" s="19"/>
      <c r="C1013" s="19"/>
      <c r="D1013" s="19"/>
      <c r="E1013" s="19"/>
      <c r="F1013" s="19"/>
      <c r="G1013" s="19"/>
      <c r="H1013" s="19"/>
      <c r="I1013" s="19"/>
      <c r="J1013" s="19"/>
      <c r="K1013" s="421"/>
      <c r="L1013" s="23"/>
      <c r="M1013" s="19"/>
      <c r="N1013" s="19"/>
      <c r="O1013" s="19"/>
      <c r="P1013" s="19"/>
      <c r="Q1013" s="19"/>
    </row>
    <row r="1014" spans="2:17" hidden="1">
      <c r="B1014" s="19"/>
      <c r="C1014" s="19"/>
      <c r="D1014" s="19"/>
      <c r="E1014" s="19"/>
      <c r="F1014" s="19"/>
      <c r="G1014" s="19"/>
      <c r="H1014" s="19"/>
      <c r="I1014" s="19"/>
      <c r="J1014" s="19"/>
      <c r="K1014" s="421"/>
      <c r="L1014" s="23"/>
      <c r="M1014" s="19"/>
      <c r="N1014" s="19"/>
      <c r="O1014" s="19"/>
      <c r="P1014" s="19"/>
      <c r="Q1014" s="19"/>
    </row>
    <row r="1015" spans="2:17" hidden="1">
      <c r="B1015" s="19"/>
      <c r="C1015" s="19"/>
      <c r="D1015" s="19"/>
      <c r="E1015" s="19"/>
      <c r="F1015" s="19"/>
      <c r="G1015" s="19"/>
      <c r="H1015" s="19"/>
      <c r="I1015" s="19"/>
      <c r="J1015" s="19"/>
      <c r="K1015" s="421"/>
      <c r="L1015" s="23"/>
      <c r="M1015" s="19"/>
      <c r="N1015" s="19"/>
      <c r="O1015" s="19"/>
      <c r="P1015" s="19"/>
      <c r="Q1015" s="19"/>
    </row>
    <row r="1016" spans="2:17" hidden="1">
      <c r="B1016" s="19"/>
      <c r="C1016" s="19"/>
      <c r="D1016" s="19"/>
      <c r="E1016" s="19"/>
      <c r="F1016" s="19"/>
      <c r="G1016" s="19"/>
      <c r="H1016" s="19"/>
      <c r="I1016" s="19"/>
      <c r="J1016" s="19"/>
      <c r="K1016" s="421"/>
      <c r="L1016" s="23"/>
      <c r="M1016" s="19"/>
      <c r="N1016" s="19"/>
      <c r="O1016" s="19"/>
      <c r="P1016" s="19"/>
      <c r="Q1016" s="19"/>
    </row>
    <row r="1017" spans="2:17" hidden="1">
      <c r="B1017" s="19"/>
      <c r="C1017" s="19"/>
      <c r="D1017" s="19"/>
      <c r="E1017" s="19"/>
      <c r="F1017" s="19"/>
      <c r="G1017" s="19"/>
      <c r="H1017" s="19"/>
      <c r="I1017" s="19"/>
      <c r="J1017" s="19"/>
      <c r="K1017" s="421"/>
      <c r="L1017" s="23"/>
      <c r="M1017" s="19"/>
      <c r="N1017" s="19"/>
      <c r="O1017" s="19"/>
      <c r="P1017" s="19"/>
      <c r="Q1017" s="19"/>
    </row>
    <row r="1018" spans="2:17" hidden="1">
      <c r="B1018" s="19"/>
      <c r="C1018" s="19"/>
      <c r="D1018" s="19"/>
      <c r="E1018" s="19"/>
      <c r="F1018" s="19"/>
      <c r="G1018" s="19"/>
      <c r="H1018" s="19"/>
      <c r="I1018" s="19"/>
      <c r="J1018" s="19"/>
      <c r="K1018" s="421"/>
      <c r="L1018" s="23"/>
      <c r="M1018" s="19"/>
      <c r="N1018" s="19"/>
      <c r="O1018" s="19"/>
      <c r="P1018" s="19"/>
      <c r="Q1018" s="19"/>
    </row>
    <row r="1019" spans="2:17" hidden="1">
      <c r="B1019" s="19"/>
      <c r="C1019" s="19"/>
      <c r="D1019" s="19"/>
      <c r="E1019" s="19"/>
      <c r="F1019" s="19"/>
      <c r="G1019" s="19"/>
      <c r="H1019" s="19"/>
      <c r="I1019" s="19"/>
      <c r="J1019" s="19"/>
      <c r="K1019" s="421"/>
      <c r="L1019" s="23"/>
      <c r="M1019" s="19"/>
      <c r="N1019" s="19"/>
      <c r="O1019" s="19"/>
      <c r="P1019" s="19"/>
      <c r="Q1019" s="19"/>
    </row>
    <row r="1020" spans="2:17" hidden="1">
      <c r="B1020" s="19"/>
      <c r="C1020" s="19"/>
      <c r="D1020" s="19"/>
      <c r="E1020" s="19"/>
      <c r="F1020" s="19"/>
      <c r="G1020" s="19"/>
      <c r="H1020" s="19"/>
      <c r="I1020" s="19"/>
      <c r="J1020" s="19"/>
      <c r="K1020" s="421"/>
      <c r="L1020" s="23"/>
      <c r="M1020" s="19"/>
      <c r="N1020" s="19"/>
      <c r="O1020" s="19"/>
      <c r="P1020" s="19"/>
      <c r="Q1020" s="19"/>
    </row>
    <row r="1021" spans="2:17" hidden="1">
      <c r="B1021" s="19"/>
      <c r="C1021" s="19"/>
      <c r="D1021" s="19"/>
      <c r="E1021" s="19"/>
      <c r="F1021" s="19"/>
      <c r="G1021" s="19"/>
      <c r="H1021" s="19"/>
      <c r="I1021" s="19"/>
      <c r="J1021" s="19"/>
      <c r="K1021" s="421"/>
      <c r="L1021" s="23"/>
      <c r="M1021" s="19"/>
      <c r="N1021" s="19"/>
      <c r="O1021" s="19"/>
      <c r="P1021" s="19"/>
      <c r="Q1021" s="19"/>
    </row>
    <row r="1022" spans="2:17" hidden="1">
      <c r="B1022" s="19"/>
      <c r="C1022" s="19"/>
      <c r="D1022" s="19"/>
      <c r="E1022" s="19"/>
      <c r="F1022" s="19"/>
      <c r="G1022" s="19"/>
      <c r="H1022" s="19"/>
      <c r="I1022" s="19"/>
      <c r="J1022" s="19"/>
      <c r="K1022" s="421"/>
      <c r="L1022" s="23"/>
      <c r="M1022" s="19"/>
      <c r="N1022" s="19"/>
      <c r="O1022" s="19"/>
      <c r="P1022" s="19"/>
      <c r="Q1022" s="19"/>
    </row>
    <row r="1023" spans="2:17" hidden="1">
      <c r="B1023" s="19"/>
      <c r="C1023" s="19"/>
      <c r="D1023" s="19"/>
      <c r="E1023" s="19"/>
      <c r="F1023" s="19"/>
      <c r="G1023" s="19"/>
      <c r="H1023" s="19"/>
      <c r="I1023" s="19"/>
      <c r="J1023" s="19"/>
      <c r="K1023" s="421"/>
      <c r="L1023" s="23"/>
      <c r="M1023" s="19"/>
      <c r="N1023" s="19"/>
      <c r="O1023" s="19"/>
      <c r="P1023" s="19"/>
      <c r="Q1023" s="19"/>
    </row>
    <row r="1024" spans="2:17" hidden="1">
      <c r="B1024" s="19"/>
      <c r="C1024" s="19"/>
      <c r="D1024" s="19"/>
      <c r="E1024" s="19"/>
      <c r="F1024" s="19"/>
      <c r="G1024" s="19"/>
      <c r="H1024" s="19"/>
      <c r="I1024" s="19"/>
      <c r="J1024" s="19"/>
      <c r="K1024" s="421"/>
      <c r="L1024" s="23"/>
      <c r="M1024" s="19"/>
      <c r="N1024" s="19"/>
      <c r="O1024" s="19"/>
      <c r="P1024" s="19"/>
      <c r="Q1024" s="19"/>
    </row>
    <row r="1025" spans="2:17" hidden="1">
      <c r="B1025" s="19"/>
      <c r="C1025" s="19"/>
      <c r="D1025" s="19"/>
      <c r="E1025" s="19"/>
      <c r="F1025" s="19"/>
      <c r="G1025" s="19"/>
      <c r="H1025" s="19"/>
      <c r="I1025" s="19"/>
      <c r="J1025" s="19"/>
      <c r="K1025" s="421"/>
      <c r="L1025" s="23"/>
      <c r="M1025" s="19"/>
      <c r="N1025" s="19"/>
      <c r="O1025" s="19"/>
      <c r="P1025" s="19"/>
      <c r="Q1025" s="19"/>
    </row>
    <row r="1026" spans="2:17" hidden="1">
      <c r="B1026" s="19"/>
      <c r="C1026" s="19"/>
      <c r="D1026" s="19"/>
      <c r="E1026" s="19"/>
      <c r="F1026" s="19"/>
      <c r="G1026" s="19"/>
      <c r="H1026" s="19"/>
      <c r="I1026" s="19"/>
      <c r="J1026" s="19"/>
      <c r="K1026" s="421"/>
      <c r="L1026" s="23"/>
      <c r="M1026" s="19"/>
      <c r="N1026" s="19"/>
      <c r="O1026" s="19"/>
      <c r="P1026" s="19"/>
      <c r="Q1026" s="19"/>
    </row>
    <row r="1027" spans="2:17" hidden="1">
      <c r="B1027" s="19"/>
      <c r="C1027" s="19"/>
      <c r="D1027" s="19"/>
      <c r="E1027" s="19"/>
      <c r="F1027" s="19"/>
      <c r="G1027" s="19"/>
      <c r="H1027" s="19"/>
      <c r="I1027" s="19"/>
      <c r="J1027" s="19"/>
      <c r="K1027" s="421"/>
      <c r="L1027" s="23"/>
      <c r="M1027" s="19"/>
      <c r="N1027" s="19"/>
      <c r="O1027" s="19"/>
      <c r="P1027" s="19"/>
      <c r="Q1027" s="19"/>
    </row>
    <row r="1028" spans="2:17" hidden="1">
      <c r="B1028" s="19"/>
      <c r="C1028" s="19"/>
      <c r="D1028" s="19"/>
      <c r="E1028" s="19"/>
      <c r="F1028" s="19"/>
      <c r="G1028" s="19"/>
      <c r="H1028" s="19"/>
      <c r="I1028" s="19"/>
      <c r="J1028" s="19"/>
      <c r="K1028" s="421"/>
      <c r="L1028" s="23"/>
      <c r="M1028" s="19"/>
      <c r="N1028" s="19"/>
      <c r="O1028" s="19"/>
      <c r="P1028" s="19"/>
      <c r="Q1028" s="19"/>
    </row>
    <row r="1029" spans="2:17" hidden="1">
      <c r="B1029" s="19"/>
      <c r="C1029" s="19"/>
      <c r="D1029" s="19"/>
      <c r="E1029" s="19"/>
      <c r="F1029" s="19"/>
      <c r="G1029" s="19"/>
      <c r="H1029" s="19"/>
      <c r="I1029" s="19"/>
      <c r="J1029" s="19"/>
      <c r="K1029" s="421"/>
      <c r="L1029" s="23"/>
      <c r="M1029" s="19"/>
      <c r="N1029" s="19"/>
      <c r="O1029" s="19"/>
      <c r="P1029" s="19"/>
      <c r="Q1029" s="19"/>
    </row>
    <row r="1030" spans="2:17" hidden="1">
      <c r="B1030" s="19"/>
      <c r="C1030" s="19"/>
      <c r="D1030" s="19"/>
      <c r="E1030" s="19"/>
      <c r="F1030" s="19"/>
      <c r="G1030" s="19"/>
      <c r="H1030" s="19"/>
      <c r="I1030" s="19"/>
      <c r="J1030" s="19"/>
      <c r="K1030" s="421"/>
      <c r="L1030" s="23"/>
      <c r="M1030" s="19"/>
      <c r="N1030" s="19"/>
      <c r="O1030" s="19"/>
      <c r="P1030" s="19"/>
      <c r="Q1030" s="19"/>
    </row>
    <row r="1031" spans="2:17" hidden="1">
      <c r="B1031" s="19"/>
      <c r="C1031" s="19"/>
      <c r="D1031" s="19"/>
      <c r="E1031" s="19"/>
      <c r="F1031" s="19"/>
      <c r="G1031" s="19"/>
      <c r="H1031" s="19"/>
      <c r="I1031" s="19"/>
      <c r="J1031" s="19"/>
      <c r="K1031" s="421"/>
      <c r="L1031" s="23"/>
      <c r="M1031" s="19"/>
      <c r="N1031" s="19"/>
      <c r="O1031" s="19"/>
      <c r="P1031" s="19"/>
      <c r="Q1031" s="19"/>
    </row>
    <row r="1032" spans="2:17" hidden="1">
      <c r="B1032" s="19"/>
      <c r="C1032" s="19"/>
      <c r="D1032" s="19"/>
      <c r="E1032" s="19"/>
      <c r="F1032" s="19"/>
      <c r="G1032" s="19"/>
      <c r="H1032" s="19"/>
      <c r="I1032" s="19"/>
      <c r="J1032" s="19"/>
      <c r="K1032" s="421"/>
      <c r="L1032" s="23"/>
      <c r="M1032" s="19"/>
      <c r="N1032" s="19"/>
      <c r="O1032" s="19"/>
      <c r="P1032" s="19"/>
      <c r="Q1032" s="19"/>
    </row>
    <row r="1033" spans="2:17" hidden="1">
      <c r="B1033" s="19"/>
      <c r="C1033" s="19"/>
      <c r="D1033" s="19"/>
      <c r="E1033" s="19"/>
      <c r="F1033" s="19"/>
      <c r="G1033" s="19"/>
      <c r="H1033" s="19"/>
      <c r="I1033" s="19"/>
      <c r="J1033" s="19"/>
      <c r="K1033" s="421"/>
      <c r="L1033" s="23"/>
      <c r="M1033" s="19"/>
      <c r="N1033" s="19"/>
      <c r="O1033" s="19"/>
      <c r="P1033" s="19"/>
      <c r="Q1033" s="19"/>
    </row>
    <row r="1034" spans="2:17" hidden="1">
      <c r="B1034" s="19"/>
      <c r="C1034" s="19"/>
      <c r="D1034" s="19"/>
      <c r="E1034" s="19"/>
      <c r="F1034" s="19"/>
      <c r="G1034" s="19"/>
      <c r="H1034" s="19"/>
      <c r="I1034" s="19"/>
      <c r="J1034" s="19"/>
      <c r="K1034" s="421"/>
      <c r="L1034" s="23"/>
      <c r="M1034" s="19"/>
      <c r="N1034" s="19"/>
      <c r="O1034" s="19"/>
      <c r="P1034" s="19"/>
      <c r="Q1034" s="19"/>
    </row>
    <row r="1035" spans="2:17" hidden="1">
      <c r="B1035" s="19"/>
      <c r="C1035" s="19"/>
      <c r="D1035" s="19"/>
      <c r="E1035" s="19"/>
      <c r="F1035" s="19"/>
      <c r="G1035" s="19"/>
      <c r="H1035" s="19"/>
      <c r="I1035" s="19"/>
      <c r="J1035" s="19"/>
      <c r="K1035" s="421"/>
      <c r="L1035" s="23"/>
      <c r="M1035" s="19"/>
      <c r="N1035" s="19"/>
      <c r="O1035" s="19"/>
      <c r="P1035" s="19"/>
      <c r="Q1035" s="19"/>
    </row>
    <row r="1036" spans="2:17" hidden="1">
      <c r="B1036" s="19"/>
      <c r="C1036" s="19"/>
      <c r="D1036" s="19"/>
      <c r="E1036" s="19"/>
      <c r="F1036" s="19"/>
      <c r="G1036" s="19"/>
      <c r="H1036" s="19"/>
      <c r="I1036" s="19"/>
      <c r="J1036" s="19"/>
      <c r="K1036" s="421"/>
      <c r="L1036" s="23"/>
      <c r="M1036" s="19"/>
      <c r="N1036" s="19"/>
      <c r="O1036" s="19"/>
      <c r="P1036" s="19"/>
      <c r="Q1036" s="19"/>
    </row>
    <row r="1037" spans="2:17" hidden="1">
      <c r="B1037" s="19"/>
      <c r="C1037" s="19"/>
      <c r="D1037" s="19"/>
      <c r="E1037" s="19"/>
      <c r="F1037" s="19"/>
      <c r="G1037" s="19"/>
      <c r="H1037" s="19"/>
      <c r="I1037" s="19"/>
      <c r="J1037" s="19"/>
      <c r="K1037" s="421"/>
      <c r="L1037" s="23"/>
      <c r="M1037" s="19"/>
      <c r="N1037" s="19"/>
      <c r="O1037" s="19"/>
      <c r="P1037" s="19"/>
      <c r="Q1037" s="19"/>
    </row>
    <row r="1038" spans="2:17" hidden="1">
      <c r="B1038" s="19"/>
      <c r="C1038" s="19"/>
      <c r="D1038" s="19"/>
      <c r="E1038" s="19"/>
      <c r="F1038" s="19"/>
      <c r="G1038" s="19"/>
      <c r="H1038" s="19"/>
      <c r="I1038" s="19"/>
      <c r="J1038" s="19"/>
      <c r="K1038" s="421"/>
      <c r="L1038" s="23"/>
      <c r="M1038" s="19"/>
      <c r="N1038" s="19"/>
      <c r="O1038" s="19"/>
      <c r="P1038" s="19"/>
      <c r="Q1038" s="19"/>
    </row>
    <row r="1039" spans="2:17" hidden="1">
      <c r="B1039" s="19"/>
      <c r="C1039" s="19"/>
      <c r="D1039" s="19"/>
      <c r="E1039" s="19"/>
      <c r="F1039" s="19"/>
      <c r="G1039" s="19"/>
      <c r="H1039" s="19"/>
      <c r="I1039" s="19"/>
      <c r="J1039" s="19"/>
      <c r="K1039" s="421"/>
      <c r="L1039" s="23"/>
      <c r="M1039" s="19"/>
      <c r="N1039" s="19"/>
      <c r="O1039" s="19"/>
      <c r="P1039" s="19"/>
      <c r="Q1039" s="19"/>
    </row>
    <row r="1040" spans="2:17" hidden="1">
      <c r="B1040" s="19"/>
      <c r="C1040" s="19"/>
      <c r="D1040" s="19"/>
      <c r="E1040" s="19"/>
      <c r="F1040" s="19"/>
      <c r="G1040" s="19"/>
      <c r="H1040" s="19"/>
      <c r="I1040" s="19"/>
      <c r="J1040" s="19"/>
      <c r="K1040" s="421"/>
      <c r="L1040" s="23"/>
      <c r="M1040" s="19"/>
      <c r="N1040" s="19"/>
      <c r="O1040" s="19"/>
      <c r="P1040" s="19"/>
      <c r="Q1040" s="19"/>
    </row>
    <row r="1041" spans="2:17" hidden="1">
      <c r="B1041" s="19"/>
      <c r="C1041" s="19"/>
      <c r="D1041" s="19"/>
      <c r="E1041" s="19"/>
      <c r="F1041" s="19"/>
      <c r="G1041" s="19"/>
      <c r="H1041" s="19"/>
      <c r="I1041" s="19"/>
      <c r="J1041" s="19"/>
      <c r="K1041" s="421"/>
      <c r="L1041" s="23"/>
      <c r="M1041" s="19"/>
      <c r="N1041" s="19"/>
      <c r="O1041" s="19"/>
      <c r="P1041" s="19"/>
      <c r="Q1041" s="19"/>
    </row>
    <row r="1042" spans="2:17" hidden="1">
      <c r="B1042" s="19"/>
      <c r="C1042" s="19"/>
      <c r="D1042" s="19"/>
      <c r="E1042" s="19"/>
      <c r="F1042" s="19"/>
      <c r="G1042" s="19"/>
      <c r="H1042" s="19"/>
      <c r="I1042" s="19"/>
      <c r="J1042" s="19"/>
      <c r="K1042" s="421"/>
      <c r="L1042" s="23"/>
      <c r="M1042" s="19"/>
      <c r="N1042" s="19"/>
      <c r="O1042" s="19"/>
      <c r="P1042" s="19"/>
      <c r="Q1042" s="19"/>
    </row>
    <row r="1043" spans="2:17" hidden="1">
      <c r="B1043" s="19"/>
      <c r="C1043" s="19"/>
      <c r="D1043" s="19"/>
      <c r="E1043" s="19"/>
      <c r="F1043" s="19"/>
      <c r="G1043" s="19"/>
      <c r="H1043" s="19"/>
      <c r="I1043" s="19"/>
      <c r="J1043" s="19"/>
      <c r="K1043" s="421"/>
      <c r="L1043" s="23"/>
      <c r="M1043" s="19"/>
      <c r="N1043" s="19"/>
      <c r="O1043" s="19"/>
      <c r="P1043" s="19"/>
      <c r="Q1043" s="19"/>
    </row>
    <row r="1044" spans="2:17" hidden="1">
      <c r="B1044" s="19"/>
      <c r="C1044" s="19"/>
      <c r="D1044" s="19"/>
      <c r="E1044" s="19"/>
      <c r="F1044" s="19"/>
      <c r="G1044" s="19"/>
      <c r="H1044" s="19"/>
      <c r="I1044" s="19"/>
      <c r="J1044" s="19"/>
      <c r="K1044" s="421"/>
      <c r="L1044" s="23"/>
      <c r="M1044" s="19"/>
      <c r="N1044" s="19"/>
      <c r="O1044" s="19"/>
      <c r="P1044" s="19"/>
      <c r="Q1044" s="19"/>
    </row>
    <row r="1045" spans="2:17" hidden="1">
      <c r="B1045" s="19"/>
      <c r="C1045" s="19"/>
      <c r="D1045" s="19"/>
      <c r="E1045" s="19"/>
      <c r="F1045" s="19"/>
      <c r="G1045" s="19"/>
      <c r="H1045" s="19"/>
      <c r="I1045" s="19"/>
      <c r="J1045" s="19"/>
      <c r="K1045" s="421"/>
      <c r="L1045" s="23"/>
      <c r="M1045" s="19"/>
      <c r="N1045" s="19"/>
      <c r="O1045" s="19"/>
      <c r="P1045" s="19"/>
      <c r="Q1045" s="19"/>
    </row>
    <row r="1046" spans="2:17" hidden="1">
      <c r="B1046" s="19"/>
      <c r="C1046" s="19"/>
      <c r="D1046" s="19"/>
      <c r="E1046" s="19"/>
      <c r="F1046" s="19"/>
      <c r="G1046" s="19"/>
      <c r="H1046" s="19"/>
      <c r="I1046" s="19"/>
      <c r="J1046" s="19"/>
      <c r="K1046" s="421"/>
      <c r="L1046" s="23"/>
      <c r="M1046" s="19"/>
      <c r="N1046" s="19"/>
      <c r="O1046" s="19"/>
      <c r="P1046" s="19"/>
      <c r="Q1046" s="19"/>
    </row>
    <row r="1047" spans="2:17" hidden="1">
      <c r="B1047" s="19"/>
      <c r="C1047" s="19"/>
      <c r="D1047" s="19"/>
      <c r="E1047" s="19"/>
      <c r="F1047" s="19"/>
      <c r="G1047" s="19"/>
      <c r="H1047" s="19"/>
      <c r="I1047" s="19"/>
      <c r="J1047" s="19"/>
      <c r="K1047" s="421"/>
      <c r="L1047" s="23"/>
      <c r="M1047" s="19"/>
      <c r="N1047" s="19"/>
      <c r="O1047" s="19"/>
      <c r="P1047" s="19"/>
      <c r="Q1047" s="19"/>
    </row>
    <row r="1048" spans="2:17" hidden="1">
      <c r="B1048" s="19"/>
      <c r="C1048" s="19"/>
      <c r="D1048" s="19"/>
      <c r="E1048" s="19"/>
      <c r="F1048" s="19"/>
      <c r="G1048" s="19"/>
      <c r="H1048" s="19"/>
      <c r="I1048" s="19"/>
      <c r="J1048" s="19"/>
      <c r="K1048" s="421"/>
      <c r="L1048" s="23"/>
      <c r="M1048" s="19"/>
      <c r="N1048" s="19"/>
      <c r="O1048" s="19"/>
      <c r="P1048" s="19"/>
      <c r="Q1048" s="19"/>
    </row>
    <row r="1049" spans="2:17" hidden="1">
      <c r="B1049" s="19"/>
      <c r="C1049" s="19"/>
      <c r="D1049" s="19"/>
      <c r="E1049" s="19"/>
      <c r="F1049" s="19"/>
      <c r="G1049" s="19"/>
      <c r="H1049" s="19"/>
      <c r="I1049" s="19"/>
      <c r="J1049" s="19"/>
      <c r="K1049" s="421"/>
      <c r="L1049" s="23"/>
      <c r="M1049" s="19"/>
      <c r="N1049" s="19"/>
      <c r="O1049" s="19"/>
      <c r="P1049" s="19"/>
      <c r="Q1049" s="19"/>
    </row>
    <row r="1050" spans="2:17" hidden="1">
      <c r="B1050" s="19"/>
      <c r="C1050" s="19"/>
      <c r="D1050" s="19"/>
      <c r="E1050" s="19"/>
      <c r="F1050" s="19"/>
      <c r="G1050" s="19"/>
      <c r="H1050" s="19"/>
      <c r="I1050" s="19"/>
      <c r="J1050" s="19"/>
      <c r="K1050" s="421"/>
      <c r="L1050" s="23"/>
      <c r="M1050" s="19"/>
      <c r="N1050" s="19"/>
      <c r="O1050" s="19"/>
      <c r="P1050" s="19"/>
      <c r="Q1050" s="19"/>
    </row>
    <row r="1051" spans="2:17" hidden="1">
      <c r="B1051" s="19"/>
      <c r="C1051" s="19"/>
      <c r="D1051" s="19"/>
      <c r="E1051" s="19"/>
      <c r="F1051" s="19"/>
      <c r="G1051" s="19"/>
      <c r="H1051" s="19"/>
      <c r="I1051" s="19"/>
      <c r="J1051" s="19"/>
      <c r="K1051" s="421"/>
      <c r="L1051" s="23"/>
      <c r="M1051" s="19"/>
      <c r="N1051" s="19"/>
      <c r="O1051" s="19"/>
      <c r="P1051" s="19"/>
      <c r="Q1051" s="19"/>
    </row>
    <row r="1052" spans="2:17" hidden="1">
      <c r="B1052" s="19"/>
      <c r="C1052" s="19"/>
      <c r="D1052" s="19"/>
      <c r="E1052" s="19"/>
      <c r="F1052" s="19"/>
      <c r="G1052" s="19"/>
      <c r="H1052" s="19"/>
      <c r="I1052" s="19"/>
      <c r="J1052" s="19"/>
      <c r="K1052" s="421"/>
      <c r="L1052" s="23"/>
      <c r="M1052" s="19"/>
      <c r="N1052" s="19"/>
      <c r="O1052" s="19"/>
      <c r="P1052" s="19"/>
      <c r="Q1052" s="19"/>
    </row>
    <row r="1053" spans="2:17" hidden="1">
      <c r="B1053" s="19"/>
      <c r="C1053" s="19"/>
      <c r="D1053" s="19"/>
      <c r="E1053" s="19"/>
      <c r="F1053" s="19"/>
      <c r="G1053" s="19"/>
      <c r="H1053" s="19"/>
      <c r="I1053" s="19"/>
      <c r="J1053" s="19"/>
      <c r="K1053" s="421"/>
      <c r="L1053" s="23"/>
      <c r="M1053" s="19"/>
      <c r="N1053" s="19"/>
      <c r="O1053" s="19"/>
      <c r="P1053" s="19"/>
      <c r="Q1053" s="19"/>
    </row>
    <row r="1054" spans="2:17" hidden="1">
      <c r="B1054" s="19"/>
      <c r="C1054" s="19"/>
      <c r="D1054" s="19"/>
      <c r="E1054" s="19"/>
      <c r="F1054" s="19"/>
      <c r="G1054" s="19"/>
      <c r="H1054" s="19"/>
      <c r="I1054" s="19"/>
      <c r="J1054" s="19"/>
      <c r="K1054" s="421"/>
      <c r="L1054" s="23"/>
      <c r="M1054" s="19"/>
      <c r="N1054" s="19"/>
      <c r="O1054" s="19"/>
      <c r="P1054" s="19"/>
      <c r="Q1054" s="19"/>
    </row>
    <row r="1055" spans="2:17" hidden="1">
      <c r="B1055" s="19"/>
      <c r="C1055" s="19"/>
      <c r="D1055" s="19"/>
      <c r="E1055" s="19"/>
      <c r="F1055" s="19"/>
      <c r="G1055" s="19"/>
      <c r="H1055" s="19"/>
      <c r="I1055" s="19"/>
      <c r="J1055" s="19"/>
      <c r="K1055" s="421"/>
      <c r="L1055" s="23"/>
      <c r="M1055" s="19"/>
      <c r="N1055" s="19"/>
      <c r="O1055" s="19"/>
      <c r="P1055" s="19"/>
      <c r="Q1055" s="19"/>
    </row>
    <row r="1056" spans="2:17" hidden="1"/>
    <row r="1057" spans="1:28" hidden="1"/>
    <row r="1058" spans="1:28" hidden="1"/>
    <row r="1060" spans="1:28" ht="18.75">
      <c r="A1060" s="410" t="s">
        <v>433</v>
      </c>
      <c r="B1060" s="410"/>
      <c r="C1060" s="410"/>
      <c r="D1060" s="410"/>
      <c r="E1060" s="410"/>
      <c r="F1060" s="410"/>
      <c r="G1060" s="410"/>
      <c r="H1060" s="410"/>
      <c r="I1060" s="410"/>
      <c r="J1060" s="410"/>
      <c r="K1060" s="410"/>
      <c r="L1060" s="410"/>
      <c r="M1060" s="410"/>
      <c r="N1060" s="410"/>
      <c r="O1060" s="410"/>
      <c r="P1060" s="410"/>
      <c r="Q1060" s="410"/>
      <c r="V1060" s="914"/>
      <c r="W1060" s="914"/>
      <c r="X1060" s="38"/>
    </row>
    <row r="1061" spans="1:28">
      <c r="B1061" s="21">
        <f>COUNT(B1064:B1283)</f>
        <v>220</v>
      </c>
      <c r="C1061" s="21">
        <f t="shared" ref="C1061:I1061" si="16">COUNT(C1064:C1283)</f>
        <v>220</v>
      </c>
      <c r="D1061" s="21">
        <f t="shared" si="16"/>
        <v>220</v>
      </c>
      <c r="E1061" s="21">
        <f t="shared" si="16"/>
        <v>220</v>
      </c>
      <c r="F1061" s="21">
        <f t="shared" si="16"/>
        <v>220</v>
      </c>
      <c r="G1061" s="21">
        <f t="shared" si="16"/>
        <v>220</v>
      </c>
      <c r="H1061" s="21">
        <f t="shared" si="16"/>
        <v>220</v>
      </c>
      <c r="I1061" s="21">
        <f t="shared" si="16"/>
        <v>220</v>
      </c>
      <c r="L1061" s="21">
        <f>COUNT(L1064:L1174)</f>
        <v>111</v>
      </c>
      <c r="M1061" s="21">
        <f t="shared" ref="M1061:T1061" si="17">COUNT(M1064:M1174)</f>
        <v>111</v>
      </c>
      <c r="N1061" s="21">
        <f t="shared" si="17"/>
        <v>111</v>
      </c>
      <c r="O1061" s="21">
        <f t="shared" si="17"/>
        <v>111</v>
      </c>
      <c r="P1061" s="21">
        <f t="shared" si="17"/>
        <v>111</v>
      </c>
      <c r="Q1061" s="21">
        <f t="shared" si="17"/>
        <v>111</v>
      </c>
      <c r="R1061" s="21">
        <f t="shared" si="17"/>
        <v>111</v>
      </c>
      <c r="S1061" s="21">
        <f t="shared" si="17"/>
        <v>111</v>
      </c>
      <c r="T1061" s="21">
        <f t="shared" si="17"/>
        <v>111</v>
      </c>
      <c r="V1061" s="916"/>
      <c r="W1061" s="916"/>
      <c r="X1061" s="39"/>
      <c r="Z1061" s="916"/>
      <c r="AA1061" s="916"/>
      <c r="AB1061" s="40"/>
    </row>
    <row r="1062" spans="1:28" ht="15" customHeight="1">
      <c r="A1062" s="915" t="s">
        <v>417</v>
      </c>
      <c r="B1062" s="21">
        <f>COUNTA(B1064:B1283)</f>
        <v>220</v>
      </c>
      <c r="C1062" s="21">
        <f t="shared" ref="C1062:I1062" si="18">COUNTA(C1064:C1283)</f>
        <v>220</v>
      </c>
      <c r="D1062" s="21">
        <f t="shared" si="18"/>
        <v>220</v>
      </c>
      <c r="E1062" s="21">
        <f t="shared" si="18"/>
        <v>220</v>
      </c>
      <c r="F1062" s="21">
        <f t="shared" si="18"/>
        <v>220</v>
      </c>
      <c r="G1062" s="21">
        <f t="shared" si="18"/>
        <v>220</v>
      </c>
      <c r="H1062" s="21">
        <f t="shared" si="18"/>
        <v>220</v>
      </c>
      <c r="I1062" s="21">
        <f t="shared" si="18"/>
        <v>220</v>
      </c>
      <c r="J1062" s="905" t="s">
        <v>418</v>
      </c>
      <c r="K1062" s="906" t="s">
        <v>419</v>
      </c>
      <c r="L1062" s="21">
        <f>COUNTA(L1064:L1174)</f>
        <v>111</v>
      </c>
      <c r="M1062" s="21">
        <f t="shared" ref="M1062:T1062" si="19">COUNTA(M1064:M1174)</f>
        <v>111</v>
      </c>
      <c r="N1062" s="21">
        <f t="shared" si="19"/>
        <v>111</v>
      </c>
      <c r="O1062" s="21">
        <f t="shared" si="19"/>
        <v>111</v>
      </c>
      <c r="P1062" s="21">
        <f t="shared" si="19"/>
        <v>111</v>
      </c>
      <c r="Q1062" s="21">
        <f t="shared" si="19"/>
        <v>111</v>
      </c>
      <c r="R1062" s="21">
        <f t="shared" si="19"/>
        <v>111</v>
      </c>
      <c r="S1062" s="21">
        <f t="shared" si="19"/>
        <v>111</v>
      </c>
      <c r="T1062" s="21">
        <f t="shared" si="19"/>
        <v>111</v>
      </c>
      <c r="V1062" s="1">
        <f>heeling</f>
        <v>0</v>
      </c>
      <c r="W1062" s="382">
        <f>sound25</f>
        <v>11624</v>
      </c>
      <c r="X1062" s="186">
        <f>IF((W1062+W1065)&lt;0,W1062,W1062+W1065)</f>
        <v>11624</v>
      </c>
      <c r="Y1062" s="381">
        <f>IF(Y1064=Y1063,Y1063,Interp1(X1063:X1064,Y1063:Y1064,X1062))</f>
        <v>0.93</v>
      </c>
      <c r="AA1062" s="30"/>
    </row>
    <row r="1063" spans="1:28">
      <c r="A1063" s="915"/>
      <c r="B1063" s="36">
        <v>-1</v>
      </c>
      <c r="C1063" s="35">
        <v>0</v>
      </c>
      <c r="D1063" s="35">
        <v>0.5</v>
      </c>
      <c r="E1063" s="35">
        <v>1</v>
      </c>
      <c r="F1063" s="35">
        <v>1.5</v>
      </c>
      <c r="G1063" s="35">
        <v>2</v>
      </c>
      <c r="H1063" s="37">
        <v>3</v>
      </c>
      <c r="I1063" s="21">
        <v>4</v>
      </c>
      <c r="J1063" s="905"/>
      <c r="K1063" s="906"/>
      <c r="L1063" s="21">
        <v>-4</v>
      </c>
      <c r="M1063" s="35">
        <v>-3</v>
      </c>
      <c r="N1063" s="35">
        <v>-2</v>
      </c>
      <c r="O1063" s="35">
        <v>-1</v>
      </c>
      <c r="P1063" s="35">
        <v>0</v>
      </c>
      <c r="Q1063" s="35">
        <v>1</v>
      </c>
      <c r="R1063" s="35">
        <v>2</v>
      </c>
      <c r="S1063" s="35">
        <v>3</v>
      </c>
      <c r="T1063" s="35">
        <v>4</v>
      </c>
      <c r="V1063" s="1">
        <f>IF(tankSound5=soundingPipe5,tankSound5,FLOOR(W1062,incHeel))</f>
        <v>11600</v>
      </c>
      <c r="W1063" s="1">
        <f>Interp2(tank5Heel1,tank5Heel2,tank5Heel3,V1063,V1062)</f>
        <v>0</v>
      </c>
      <c r="X1063" s="1">
        <f>IF(X1062=soundingPipe5,Tank1!X1062,FLOOR(X1062,inc))</f>
        <v>11600</v>
      </c>
      <c r="Y1063" s="42">
        <f>IF(W1068=W1067,W1067,Interp1(V1067:V1068,W1067:W1068,V1066))</f>
        <v>1.1339999999999999</v>
      </c>
      <c r="AA1063" s="30"/>
    </row>
    <row r="1064" spans="1:28">
      <c r="A1064" s="1">
        <v>750</v>
      </c>
      <c r="B1064" s="42">
        <v>110.67700000000001</v>
      </c>
      <c r="C1064" s="42">
        <v>110.67700000000001</v>
      </c>
      <c r="D1064" s="42">
        <v>110.67700000000001</v>
      </c>
      <c r="E1064" s="42">
        <v>110.67700000000001</v>
      </c>
      <c r="F1064" s="42">
        <v>110.67700000000001</v>
      </c>
      <c r="G1064" s="42">
        <v>110.67700000000001</v>
      </c>
      <c r="H1064" s="42">
        <v>110.67700000000001</v>
      </c>
      <c r="I1064" s="42">
        <v>110.67700000000001</v>
      </c>
      <c r="J1064" s="296">
        <v>10934</v>
      </c>
      <c r="K1064" s="274">
        <v>700</v>
      </c>
      <c r="L1064" s="42">
        <v>0</v>
      </c>
      <c r="M1064" s="42">
        <v>0</v>
      </c>
      <c r="N1064" s="42">
        <v>0</v>
      </c>
      <c r="O1064" s="42">
        <v>0</v>
      </c>
      <c r="P1064" s="419">
        <v>0</v>
      </c>
      <c r="Q1064" s="42">
        <v>0</v>
      </c>
      <c r="R1064" s="42">
        <v>0</v>
      </c>
      <c r="S1064" s="42">
        <v>0</v>
      </c>
      <c r="T1064" s="42">
        <v>0</v>
      </c>
      <c r="U1064" s="24"/>
      <c r="V1064" s="1">
        <f>IF(V1063=tankSound5,V1063,CEILING(W1062,incHeel))</f>
        <v>11700</v>
      </c>
      <c r="W1064" s="1">
        <f>Interp2(tank5Heel1,tank5Heel2,tank5Heel3,V1064,V1062)</f>
        <v>0</v>
      </c>
      <c r="X1064" s="1">
        <f>IF(X1063=X1062,X1063,CEILING(X1062,inc))</f>
        <v>11650</v>
      </c>
      <c r="Y1064" s="42">
        <f>IF(X1068=X1067,X1067,Interp1(V1067:V1068,X1067:X1068,V1066))</f>
        <v>0.71</v>
      </c>
      <c r="AA1064" s="30"/>
      <c r="AB1064" s="42"/>
    </row>
    <row r="1065" spans="1:28">
      <c r="A1065" s="1">
        <v>800</v>
      </c>
      <c r="B1065" s="42">
        <v>110.67700000000001</v>
      </c>
      <c r="C1065" s="42">
        <v>110.67700000000001</v>
      </c>
      <c r="D1065" s="42">
        <v>110.67700000000001</v>
      </c>
      <c r="E1065" s="42">
        <v>110.67700000000001</v>
      </c>
      <c r="F1065" s="42">
        <v>110.676</v>
      </c>
      <c r="G1065" s="42">
        <v>110.675</v>
      </c>
      <c r="H1065" s="42">
        <v>110.672</v>
      </c>
      <c r="I1065" s="42">
        <v>110.66800000000001</v>
      </c>
      <c r="J1065" s="296">
        <v>10884</v>
      </c>
      <c r="K1065" s="274">
        <v>800</v>
      </c>
      <c r="L1065" s="42">
        <v>0</v>
      </c>
      <c r="M1065" s="42">
        <v>0</v>
      </c>
      <c r="N1065" s="42">
        <v>0</v>
      </c>
      <c r="O1065" s="42">
        <v>0</v>
      </c>
      <c r="P1065" s="419">
        <v>0</v>
      </c>
      <c r="Q1065" s="42">
        <v>0</v>
      </c>
      <c r="R1065" s="42">
        <v>5.5060000000000002</v>
      </c>
      <c r="S1065" s="42">
        <v>58.673999999999999</v>
      </c>
      <c r="T1065" s="42">
        <v>128.50899999999999</v>
      </c>
      <c r="U1065" s="25"/>
      <c r="W1065" s="1">
        <f>IF(W1064=W1063,W1063,Interp1(V1063:V1064,W1063:W1064,W1062))</f>
        <v>0</v>
      </c>
      <c r="Y1065" s="42"/>
      <c r="AA1065" s="30"/>
      <c r="AB1065" s="42"/>
    </row>
    <row r="1066" spans="1:28">
      <c r="A1066" s="1">
        <v>850</v>
      </c>
      <c r="B1066" s="42">
        <v>110.639</v>
      </c>
      <c r="C1066" s="42">
        <v>110.631</v>
      </c>
      <c r="D1066" s="42">
        <v>110.627</v>
      </c>
      <c r="E1066" s="42">
        <v>110.621</v>
      </c>
      <c r="F1066" s="42">
        <v>110.61499999999999</v>
      </c>
      <c r="G1066" s="42">
        <v>110.60899999999999</v>
      </c>
      <c r="H1066" s="42">
        <v>110.595</v>
      </c>
      <c r="I1066" s="42">
        <v>110.57899999999999</v>
      </c>
      <c r="J1066" s="296">
        <v>10834</v>
      </c>
      <c r="K1066" s="274">
        <v>900</v>
      </c>
      <c r="L1066" s="42">
        <v>-88.004000000000005</v>
      </c>
      <c r="M1066" s="42">
        <v>-78.665000000000006</v>
      </c>
      <c r="N1066" s="42">
        <v>-63.999000000000002</v>
      </c>
      <c r="O1066" s="42">
        <v>-40.4</v>
      </c>
      <c r="P1066" s="419">
        <v>0</v>
      </c>
      <c r="Q1066" s="42">
        <v>24.664000000000001</v>
      </c>
      <c r="R1066" s="42">
        <v>65.584000000000003</v>
      </c>
      <c r="S1066" s="42">
        <v>106.057</v>
      </c>
      <c r="T1066" s="42">
        <v>141.649</v>
      </c>
      <c r="U1066" s="25"/>
      <c r="V1066" s="1">
        <f>trim</f>
        <v>0.36</v>
      </c>
      <c r="AA1066" s="30"/>
      <c r="AB1066" s="42"/>
    </row>
    <row r="1067" spans="1:28">
      <c r="A1067" s="1">
        <v>900</v>
      </c>
      <c r="B1067" s="42">
        <v>110.47499999999999</v>
      </c>
      <c r="C1067" s="42">
        <v>110.455</v>
      </c>
      <c r="D1067" s="42">
        <v>110.44499999999999</v>
      </c>
      <c r="E1067" s="42">
        <v>110.434</v>
      </c>
      <c r="F1067" s="42">
        <v>110.422</v>
      </c>
      <c r="G1067" s="42">
        <v>110.411</v>
      </c>
      <c r="H1067" s="42">
        <v>110.38500000000001</v>
      </c>
      <c r="I1067" s="42">
        <v>110.35899999999999</v>
      </c>
      <c r="J1067" s="296">
        <v>10784</v>
      </c>
      <c r="K1067" s="274">
        <v>1000</v>
      </c>
      <c r="L1067" s="42">
        <v>-94.713999999999999</v>
      </c>
      <c r="M1067" s="42">
        <v>-82.346000000000004</v>
      </c>
      <c r="N1067" s="42">
        <v>-64.869</v>
      </c>
      <c r="O1067" s="42">
        <v>-38.802</v>
      </c>
      <c r="P1067" s="419">
        <v>0</v>
      </c>
      <c r="Q1067" s="42">
        <v>35.116999999999997</v>
      </c>
      <c r="R1067" s="42">
        <v>70.253</v>
      </c>
      <c r="S1067" s="42">
        <v>105.43600000000001</v>
      </c>
      <c r="T1067" s="42">
        <v>140.68100000000001</v>
      </c>
      <c r="U1067" s="25"/>
      <c r="V1067" s="1">
        <f>INDEX(tank5Trim2,0,MATCH(V1066,tank5Trim2,1))</f>
        <v>0</v>
      </c>
      <c r="W1067" s="1">
        <f>Interp2(tank5Trim1,tank5Trim2,tank5Trim3,X1063,V1067)</f>
        <v>1.1399999999999999</v>
      </c>
      <c r="X1067" s="1">
        <f>Interp2(tank5Trim1,tank5Trim2,tank5Trim3,X1064,V1067)</f>
        <v>0.71599999999999997</v>
      </c>
      <c r="AA1067" s="30"/>
    </row>
    <row r="1068" spans="1:28">
      <c r="A1068" s="1">
        <v>950</v>
      </c>
      <c r="B1068" s="42">
        <v>110.185</v>
      </c>
      <c r="C1068" s="42">
        <v>110.154</v>
      </c>
      <c r="D1068" s="42">
        <v>110.13800000000001</v>
      </c>
      <c r="E1068" s="42">
        <v>110.122</v>
      </c>
      <c r="F1068" s="42">
        <v>110.105</v>
      </c>
      <c r="G1068" s="42">
        <v>110.08799999999999</v>
      </c>
      <c r="H1068" s="42">
        <v>110.05200000000001</v>
      </c>
      <c r="I1068" s="42">
        <v>110.017</v>
      </c>
      <c r="J1068" s="296">
        <v>10734</v>
      </c>
      <c r="K1068" s="274">
        <v>1100</v>
      </c>
      <c r="L1068" s="42">
        <v>-127.752</v>
      </c>
      <c r="M1068" s="42">
        <v>-101.004</v>
      </c>
      <c r="N1068" s="42">
        <v>-69.432000000000002</v>
      </c>
      <c r="O1068" s="42">
        <v>-34.704999999999998</v>
      </c>
      <c r="P1068" s="419">
        <v>0</v>
      </c>
      <c r="Q1068" s="42">
        <v>34.707000000000001</v>
      </c>
      <c r="R1068" s="42">
        <v>69.432000000000002</v>
      </c>
      <c r="S1068" s="42">
        <v>104.203</v>
      </c>
      <c r="T1068" s="42">
        <v>139.035</v>
      </c>
      <c r="U1068" s="25"/>
      <c r="V1068" s="1">
        <f>IF(V1067=V1066,V1066,INDEX(tank5Trim2,0,MATCH(V1066,tank5Trim2,1)+1))</f>
        <v>0.5</v>
      </c>
      <c r="W1068" s="1">
        <f>Interp2(tank5Trim1,tank5Trim2,tank5Trim3,X1063,V1068)</f>
        <v>1.131</v>
      </c>
      <c r="X1068" s="1">
        <f>Interp2(tank5Trim1,tank5Trim2,tank5Trim3,X1064,V1068)</f>
        <v>0.70699999999999996</v>
      </c>
      <c r="AA1068" s="30"/>
      <c r="AB1068" s="42"/>
    </row>
    <row r="1069" spans="1:28">
      <c r="A1069" s="1">
        <v>1000</v>
      </c>
      <c r="B1069" s="42">
        <v>109.79</v>
      </c>
      <c r="C1069" s="42">
        <v>109.754</v>
      </c>
      <c r="D1069" s="42">
        <v>109.736</v>
      </c>
      <c r="E1069" s="42">
        <v>109.718</v>
      </c>
      <c r="F1069" s="42">
        <v>109.70099999999999</v>
      </c>
      <c r="G1069" s="42">
        <v>109.68300000000001</v>
      </c>
      <c r="H1069" s="42">
        <v>109.64700000000001</v>
      </c>
      <c r="I1069" s="42">
        <v>109.611</v>
      </c>
      <c r="J1069" s="296">
        <v>10684</v>
      </c>
      <c r="K1069" s="274">
        <v>1200</v>
      </c>
      <c r="L1069" s="42">
        <v>-137.37799999999999</v>
      </c>
      <c r="M1069" s="42">
        <v>-102.968</v>
      </c>
      <c r="N1069" s="42">
        <v>-68.611999999999995</v>
      </c>
      <c r="O1069" s="42">
        <v>-34.295999999999999</v>
      </c>
      <c r="P1069" s="419">
        <v>0</v>
      </c>
      <c r="Q1069" s="42">
        <v>34.293999999999997</v>
      </c>
      <c r="R1069" s="42">
        <v>68.605999999999995</v>
      </c>
      <c r="S1069" s="42">
        <v>102.965</v>
      </c>
      <c r="T1069" s="42">
        <v>137.38200000000001</v>
      </c>
      <c r="U1069" s="25"/>
      <c r="W1069" s="43"/>
      <c r="X1069" s="42"/>
      <c r="AA1069" s="30"/>
      <c r="AB1069" s="42"/>
    </row>
    <row r="1070" spans="1:28">
      <c r="A1070" s="1">
        <v>1050</v>
      </c>
      <c r="B1070" s="42">
        <v>109.381</v>
      </c>
      <c r="C1070" s="42">
        <v>109.345</v>
      </c>
      <c r="D1070" s="42">
        <v>109.327</v>
      </c>
      <c r="E1070" s="42">
        <v>109.309</v>
      </c>
      <c r="F1070" s="42">
        <v>109.291</v>
      </c>
      <c r="G1070" s="42">
        <v>109.273</v>
      </c>
      <c r="H1070" s="42">
        <v>109.23699999999999</v>
      </c>
      <c r="I1070" s="42">
        <v>109.20099999999999</v>
      </c>
      <c r="J1070" s="296">
        <v>10634</v>
      </c>
      <c r="K1070" s="274">
        <v>1300</v>
      </c>
      <c r="L1070" s="42">
        <v>-135.73699999999999</v>
      </c>
      <c r="M1070" s="42">
        <v>-101.72799999999999</v>
      </c>
      <c r="N1070" s="42">
        <v>-67.787999999999997</v>
      </c>
      <c r="O1070" s="42">
        <v>-33.883000000000003</v>
      </c>
      <c r="P1070" s="419">
        <v>0</v>
      </c>
      <c r="Q1070" s="42">
        <v>33.881</v>
      </c>
      <c r="R1070" s="42">
        <v>67.786000000000001</v>
      </c>
      <c r="S1070" s="42">
        <v>101.72499999999999</v>
      </c>
      <c r="T1070" s="42">
        <v>135.64400000000001</v>
      </c>
      <c r="U1070" s="25"/>
    </row>
    <row r="1071" spans="1:28">
      <c r="A1071" s="1">
        <v>1100</v>
      </c>
      <c r="B1071" s="42">
        <v>108.97199999999999</v>
      </c>
      <c r="C1071" s="42">
        <v>108.93600000000001</v>
      </c>
      <c r="D1071" s="42">
        <v>108.91800000000001</v>
      </c>
      <c r="E1071" s="42">
        <v>108.9</v>
      </c>
      <c r="F1071" s="42">
        <v>108.88200000000001</v>
      </c>
      <c r="G1071" s="42">
        <v>108.864</v>
      </c>
      <c r="H1071" s="42">
        <v>108.828</v>
      </c>
      <c r="I1071" s="42">
        <v>108.792</v>
      </c>
      <c r="J1071" s="296">
        <v>10584</v>
      </c>
      <c r="K1071" s="274">
        <v>1400</v>
      </c>
      <c r="L1071" s="42">
        <v>-134.089</v>
      </c>
      <c r="M1071" s="42">
        <v>-100.495</v>
      </c>
      <c r="N1071" s="42">
        <v>-66.962999999999994</v>
      </c>
      <c r="O1071" s="42">
        <v>-33.47</v>
      </c>
      <c r="P1071" s="419">
        <v>0</v>
      </c>
      <c r="Q1071" s="42">
        <v>33.387</v>
      </c>
      <c r="R1071" s="42">
        <v>66.792000000000002</v>
      </c>
      <c r="S1071" s="42">
        <v>100.235</v>
      </c>
      <c r="T1071" s="42">
        <v>132.886</v>
      </c>
      <c r="U1071" s="25"/>
      <c r="V1071" s="1">
        <f>Bunkering!heeling1</f>
        <v>0</v>
      </c>
      <c r="W1071" s="382">
        <f>sound35</f>
        <v>11594</v>
      </c>
      <c r="X1071" s="186">
        <f>IF((W1071+W1074)&lt;0,W1071,W1071+W1074)</f>
        <v>11594</v>
      </c>
      <c r="Y1071" s="381">
        <f>IF(Y1073=Y1072,Y1072,Interp1(X1072:X1073,Y1072:Y1073,X1071))</f>
        <v>1.1850000000000001</v>
      </c>
    </row>
    <row r="1072" spans="1:28">
      <c r="A1072" s="1">
        <v>1150</v>
      </c>
      <c r="B1072" s="42">
        <v>108.563</v>
      </c>
      <c r="C1072" s="42">
        <v>108.527</v>
      </c>
      <c r="D1072" s="42">
        <v>108.508</v>
      </c>
      <c r="E1072" s="42">
        <v>108.49</v>
      </c>
      <c r="F1072" s="42">
        <v>108.47199999999999</v>
      </c>
      <c r="G1072" s="42">
        <v>108.45399999999999</v>
      </c>
      <c r="H1072" s="42">
        <v>108.41800000000001</v>
      </c>
      <c r="I1072" s="42">
        <v>108.38200000000001</v>
      </c>
      <c r="J1072" s="296">
        <v>10534</v>
      </c>
      <c r="K1072" s="274">
        <v>1500</v>
      </c>
      <c r="L1072" s="42">
        <v>-132.334</v>
      </c>
      <c r="M1072" s="42">
        <v>-99.116</v>
      </c>
      <c r="N1072" s="42">
        <v>-66.043999999999997</v>
      </c>
      <c r="O1072" s="42">
        <v>-33.012999999999998</v>
      </c>
      <c r="P1072" s="419">
        <v>0</v>
      </c>
      <c r="Q1072" s="42">
        <v>32.168999999999997</v>
      </c>
      <c r="R1072" s="42">
        <v>64.358000000000004</v>
      </c>
      <c r="S1072" s="42">
        <v>96.588999999999999</v>
      </c>
      <c r="T1072" s="42">
        <v>128.876</v>
      </c>
      <c r="U1072" s="25"/>
      <c r="V1072" s="1">
        <f>IF(tankSound25=soundingPipe5,tankSound25,FLOOR(W1071,incHeel))</f>
        <v>11500</v>
      </c>
      <c r="W1072" s="1">
        <f>Interp2(tank5Heel1,tank5Heel2,tank5Heel3,V1072,V1071)</f>
        <v>0</v>
      </c>
      <c r="X1072" s="1">
        <f>IF(X1071=soundingPipe5,Tank1!X1071,FLOOR(X1071,inc))</f>
        <v>11550</v>
      </c>
      <c r="Y1072" s="42">
        <f>IF(W1077=W1076,W1076,Interp1(V1076:V1077,W1076:W1077,V1075))</f>
        <v>1.5589999999999999</v>
      </c>
      <c r="Z1072" s="918"/>
      <c r="AA1072" s="918"/>
      <c r="AB1072" s="42"/>
    </row>
    <row r="1073" spans="1:28">
      <c r="A1073" s="1">
        <v>1200</v>
      </c>
      <c r="B1073" s="42">
        <v>108.15300000000001</v>
      </c>
      <c r="C1073" s="42">
        <v>108.117</v>
      </c>
      <c r="D1073" s="42">
        <v>108.099</v>
      </c>
      <c r="E1073" s="42">
        <v>108.081</v>
      </c>
      <c r="F1073" s="42">
        <v>108.063</v>
      </c>
      <c r="G1073" s="42">
        <v>108.045</v>
      </c>
      <c r="H1073" s="42">
        <v>108.009</v>
      </c>
      <c r="I1073" s="42">
        <v>107.973</v>
      </c>
      <c r="J1073" s="296">
        <v>10484</v>
      </c>
      <c r="K1073" s="274">
        <v>1600</v>
      </c>
      <c r="L1073" s="42">
        <v>-129.63300000000001</v>
      </c>
      <c r="M1073" s="42">
        <v>-96.587000000000003</v>
      </c>
      <c r="N1073" s="42">
        <v>-64.358000000000004</v>
      </c>
      <c r="O1073" s="42">
        <v>-32.168999999999997</v>
      </c>
      <c r="P1073" s="419">
        <v>0</v>
      </c>
      <c r="Q1073" s="42">
        <v>32.17</v>
      </c>
      <c r="R1073" s="42">
        <v>64.358000000000004</v>
      </c>
      <c r="S1073" s="42">
        <v>96.587999999999994</v>
      </c>
      <c r="T1073" s="42">
        <v>128.876</v>
      </c>
      <c r="U1073" s="25"/>
      <c r="V1073" s="1">
        <f>IF(V1072=tankSound25,V1072,CEILING(W1071,incHeel))</f>
        <v>11600</v>
      </c>
      <c r="W1073" s="1">
        <f>Interp2(tank5Heel1,tank5Heel2,tank5Heel3,V1073,V1071)</f>
        <v>0</v>
      </c>
      <c r="X1073" s="1">
        <f>IF(X1072=X1071,X1072,CEILING(X1071,inc))</f>
        <v>11600</v>
      </c>
      <c r="Y1073" s="42">
        <f>IF(X1077=X1076,X1076,Interp1(V1076:V1077,X1076:X1077,V1075))</f>
        <v>1.1339999999999999</v>
      </c>
    </row>
    <row r="1074" spans="1:28">
      <c r="A1074" s="1">
        <v>1250</v>
      </c>
      <c r="B1074" s="42">
        <v>107.744</v>
      </c>
      <c r="C1074" s="42">
        <v>107.708</v>
      </c>
      <c r="D1074" s="42">
        <v>107.69</v>
      </c>
      <c r="E1074" s="42">
        <v>107.672</v>
      </c>
      <c r="F1074" s="42">
        <v>107.654</v>
      </c>
      <c r="G1074" s="42">
        <v>107.63500000000001</v>
      </c>
      <c r="H1074" s="42">
        <v>107.599</v>
      </c>
      <c r="I1074" s="42">
        <v>107.563</v>
      </c>
      <c r="J1074" s="296">
        <v>10434</v>
      </c>
      <c r="K1074" s="274">
        <v>1700</v>
      </c>
      <c r="L1074" s="42">
        <v>-128.876</v>
      </c>
      <c r="M1074" s="42">
        <v>-96.587000000000003</v>
      </c>
      <c r="N1074" s="42">
        <v>-64.356999999999999</v>
      </c>
      <c r="O1074" s="42">
        <v>-32.17</v>
      </c>
      <c r="P1074" s="419">
        <v>0</v>
      </c>
      <c r="Q1074" s="42">
        <v>32.171999999999997</v>
      </c>
      <c r="R1074" s="42">
        <v>64.36</v>
      </c>
      <c r="S1074" s="42">
        <v>96.590999999999994</v>
      </c>
      <c r="T1074" s="42">
        <v>128.876</v>
      </c>
      <c r="U1074" s="26"/>
      <c r="W1074" s="1">
        <f>IF(W1073=W1072,W1072,Interp1(V1072:V1073,W1072:W1073,W1071))</f>
        <v>0</v>
      </c>
      <c r="Y1074" s="42"/>
    </row>
    <row r="1075" spans="1:28">
      <c r="A1075" s="1">
        <v>1300</v>
      </c>
      <c r="B1075" s="42">
        <v>107.33499999999999</v>
      </c>
      <c r="C1075" s="42">
        <v>107.29900000000001</v>
      </c>
      <c r="D1075" s="42">
        <v>107.28100000000001</v>
      </c>
      <c r="E1075" s="42">
        <v>107.262</v>
      </c>
      <c r="F1075" s="42">
        <v>107.244</v>
      </c>
      <c r="G1075" s="42">
        <v>107.226</v>
      </c>
      <c r="H1075" s="42">
        <v>107.19</v>
      </c>
      <c r="I1075" s="42">
        <v>107.15300000000001</v>
      </c>
      <c r="J1075" s="296">
        <v>10384</v>
      </c>
      <c r="K1075" s="274">
        <v>1800</v>
      </c>
      <c r="L1075" s="42">
        <v>-128.87700000000001</v>
      </c>
      <c r="M1075" s="42">
        <v>-96.588999999999999</v>
      </c>
      <c r="N1075" s="42">
        <v>-64.36</v>
      </c>
      <c r="O1075" s="42">
        <v>-32.168999999999997</v>
      </c>
      <c r="P1075" s="419">
        <v>0</v>
      </c>
      <c r="Q1075" s="42">
        <v>32.17</v>
      </c>
      <c r="R1075" s="42">
        <v>64.356999999999999</v>
      </c>
      <c r="S1075" s="42">
        <v>96.587999999999994</v>
      </c>
      <c r="T1075" s="42">
        <v>122.986</v>
      </c>
      <c r="U1075" s="25"/>
      <c r="V1075" s="1">
        <f>Bunkering!trim1</f>
        <v>0.36</v>
      </c>
    </row>
    <row r="1076" spans="1:28">
      <c r="A1076" s="1">
        <v>1350</v>
      </c>
      <c r="B1076" s="42">
        <v>106.926</v>
      </c>
      <c r="C1076" s="42">
        <v>106.89</v>
      </c>
      <c r="D1076" s="42">
        <v>106.871</v>
      </c>
      <c r="E1076" s="42">
        <v>106.85299999999999</v>
      </c>
      <c r="F1076" s="42">
        <v>106.83499999999999</v>
      </c>
      <c r="G1076" s="42">
        <v>106.81699999999999</v>
      </c>
      <c r="H1076" s="42">
        <v>106.78</v>
      </c>
      <c r="I1076" s="42">
        <v>106.744</v>
      </c>
      <c r="J1076" s="296">
        <v>10334</v>
      </c>
      <c r="K1076" s="274">
        <v>1900</v>
      </c>
      <c r="L1076" s="42">
        <v>-128.84100000000001</v>
      </c>
      <c r="M1076" s="42">
        <v>-96.587000000000003</v>
      </c>
      <c r="N1076" s="42">
        <v>-64.358999999999995</v>
      </c>
      <c r="O1076" s="42">
        <v>-32.17</v>
      </c>
      <c r="P1076" s="419">
        <v>0</v>
      </c>
      <c r="Q1076" s="42">
        <v>25.608000000000001</v>
      </c>
      <c r="R1076" s="42">
        <v>51.23</v>
      </c>
      <c r="S1076" s="42">
        <v>76.921000000000006</v>
      </c>
      <c r="T1076" s="42">
        <v>102.746</v>
      </c>
      <c r="U1076" s="25"/>
      <c r="V1076" s="1">
        <f>INDEX(tank5Trim2,0,MATCH(V1075,tank5Trim2,1))</f>
        <v>0</v>
      </c>
      <c r="W1076" s="1">
        <f>Interp2(tank5Trim1,tank5Trim2,tank5Trim3,X1072,V1076)</f>
        <v>1.5649999999999999</v>
      </c>
      <c r="X1076" s="1">
        <f>Interp2(tank5Trim1,tank5Trim2,tank5Trim3,X1073,V1076)</f>
        <v>1.1399999999999999</v>
      </c>
      <c r="Z1076" s="916"/>
      <c r="AA1076" s="916"/>
      <c r="AB1076" s="40"/>
    </row>
    <row r="1077" spans="1:28">
      <c r="A1077" s="1">
        <v>1400</v>
      </c>
      <c r="B1077" s="42">
        <v>106.517</v>
      </c>
      <c r="C1077" s="42">
        <v>106.48</v>
      </c>
      <c r="D1077" s="42">
        <v>106.462</v>
      </c>
      <c r="E1077" s="42">
        <v>106.444</v>
      </c>
      <c r="F1077" s="42">
        <v>106.425</v>
      </c>
      <c r="G1077" s="42">
        <v>106.407</v>
      </c>
      <c r="H1077" s="42">
        <v>106.371</v>
      </c>
      <c r="I1077" s="42">
        <v>106.334</v>
      </c>
      <c r="J1077" s="296">
        <v>10284</v>
      </c>
      <c r="K1077" s="274">
        <v>2000</v>
      </c>
      <c r="L1077" s="42">
        <v>-104.72</v>
      </c>
      <c r="M1077" s="42">
        <v>-77.763000000000005</v>
      </c>
      <c r="N1077" s="42">
        <v>-51.814999999999998</v>
      </c>
      <c r="O1077" s="42">
        <v>-25.901</v>
      </c>
      <c r="P1077" s="419">
        <v>0</v>
      </c>
      <c r="Q1077" s="42">
        <v>24.402000000000001</v>
      </c>
      <c r="R1077" s="42">
        <v>48.817</v>
      </c>
      <c r="S1077" s="42">
        <v>73.266000000000005</v>
      </c>
      <c r="T1077" s="42">
        <v>97.757000000000005</v>
      </c>
      <c r="U1077" s="25"/>
      <c r="V1077" s="1">
        <f>IF(V1076=V1075,V1075,INDEX(tank5Trim2,0,MATCH(V1075,tank5Trim2,1)+1))</f>
        <v>0.5</v>
      </c>
      <c r="W1077" s="1">
        <f>Interp2(tank5Trim1,tank5Trim2,tank5Trim3,X1072,V1077)</f>
        <v>1.556</v>
      </c>
      <c r="X1077" s="1">
        <f>Interp2(tank5Trim1,tank5Trim2,tank5Trim3,X1073,V1077)</f>
        <v>1.131</v>
      </c>
      <c r="AA1077" s="30"/>
    </row>
    <row r="1078" spans="1:28">
      <c r="A1078" s="1">
        <v>1450</v>
      </c>
      <c r="B1078" s="42">
        <v>106.108</v>
      </c>
      <c r="C1078" s="42">
        <v>106.071</v>
      </c>
      <c r="D1078" s="42">
        <v>106.053</v>
      </c>
      <c r="E1078" s="42">
        <v>106.03400000000001</v>
      </c>
      <c r="F1078" s="42">
        <v>106.01600000000001</v>
      </c>
      <c r="G1078" s="42">
        <v>105.998</v>
      </c>
      <c r="H1078" s="42">
        <v>105.961</v>
      </c>
      <c r="I1078" s="42">
        <v>105.92400000000001</v>
      </c>
      <c r="J1078" s="296">
        <v>10234</v>
      </c>
      <c r="K1078" s="274">
        <v>2100</v>
      </c>
      <c r="L1078" s="42">
        <v>-97.759</v>
      </c>
      <c r="M1078" s="42">
        <v>-73.266999999999996</v>
      </c>
      <c r="N1078" s="42">
        <v>-48.819000000000003</v>
      </c>
      <c r="O1078" s="42">
        <v>-24.402000000000001</v>
      </c>
      <c r="P1078" s="419">
        <v>0</v>
      </c>
      <c r="Q1078" s="42">
        <v>24.864000000000001</v>
      </c>
      <c r="R1078" s="42">
        <v>49.738999999999997</v>
      </c>
      <c r="S1078" s="42">
        <v>74.650000000000006</v>
      </c>
      <c r="T1078" s="42">
        <v>99.602000000000004</v>
      </c>
      <c r="U1078" s="25"/>
      <c r="W1078" s="30"/>
      <c r="AA1078" s="30"/>
    </row>
    <row r="1079" spans="1:28">
      <c r="A1079" s="1">
        <v>1500</v>
      </c>
      <c r="B1079" s="42">
        <v>105.697</v>
      </c>
      <c r="C1079" s="42">
        <v>105.66</v>
      </c>
      <c r="D1079" s="42">
        <v>105.64100000000001</v>
      </c>
      <c r="E1079" s="42">
        <v>105.623</v>
      </c>
      <c r="F1079" s="42">
        <v>105.605</v>
      </c>
      <c r="G1079" s="42">
        <v>105.586</v>
      </c>
      <c r="H1079" s="42">
        <v>105.55</v>
      </c>
      <c r="I1079" s="42">
        <v>105.51300000000001</v>
      </c>
      <c r="J1079" s="296">
        <v>10184</v>
      </c>
      <c r="K1079" s="274">
        <v>2200</v>
      </c>
      <c r="L1079" s="42">
        <v>-99.603999999999999</v>
      </c>
      <c r="M1079" s="42">
        <v>-74.650000000000006</v>
      </c>
      <c r="N1079" s="42">
        <v>-49.741</v>
      </c>
      <c r="O1079" s="42">
        <v>-24.864000000000001</v>
      </c>
      <c r="P1079" s="419">
        <v>0</v>
      </c>
      <c r="Q1079" s="42">
        <v>25.157</v>
      </c>
      <c r="R1079" s="42">
        <v>50.326999999999998</v>
      </c>
      <c r="S1079" s="42">
        <v>75.531000000000006</v>
      </c>
      <c r="T1079" s="42">
        <v>100.78</v>
      </c>
      <c r="U1079" s="24"/>
      <c r="W1079" s="30"/>
      <c r="X1079" s="42"/>
      <c r="AA1079" s="30"/>
      <c r="AB1079" s="42"/>
    </row>
    <row r="1080" spans="1:28">
      <c r="A1080" s="1">
        <v>1550</v>
      </c>
      <c r="B1080" s="42">
        <v>105.276</v>
      </c>
      <c r="C1080" s="42">
        <v>105.239</v>
      </c>
      <c r="D1080" s="42">
        <v>105.22</v>
      </c>
      <c r="E1080" s="42">
        <v>105.202</v>
      </c>
      <c r="F1080" s="42">
        <v>105.184</v>
      </c>
      <c r="G1080" s="42">
        <v>105.16500000000001</v>
      </c>
      <c r="H1080" s="42">
        <v>105.129</v>
      </c>
      <c r="I1080" s="42">
        <v>105.092</v>
      </c>
      <c r="J1080" s="296">
        <v>10134</v>
      </c>
      <c r="K1080" s="274">
        <v>2300</v>
      </c>
      <c r="L1080" s="42">
        <v>-100.77200000000001</v>
      </c>
      <c r="M1080" s="42">
        <v>-75.531000000000006</v>
      </c>
      <c r="N1080" s="42">
        <v>-50.328000000000003</v>
      </c>
      <c r="O1080" s="42">
        <v>-25.158000000000001</v>
      </c>
      <c r="P1080" s="419">
        <v>0</v>
      </c>
      <c r="Q1080" s="42">
        <v>25.155999999999999</v>
      </c>
      <c r="R1080" s="42">
        <v>50.326000000000001</v>
      </c>
      <c r="S1080" s="42">
        <v>75.53</v>
      </c>
      <c r="T1080" s="42">
        <v>100.777</v>
      </c>
      <c r="U1080" s="24"/>
      <c r="V1080" s="1">
        <f>bunkerPlanTrim</f>
        <v>-0.15</v>
      </c>
      <c r="W1080" s="383">
        <v>3</v>
      </c>
      <c r="X1080" s="384" t="str">
        <f>ADDRESS(X1082,10,1,1)</f>
        <v>$J$1172</v>
      </c>
      <c r="Y1080" s="1">
        <f>1063+X1082</f>
        <v>2235</v>
      </c>
      <c r="AA1080" s="30"/>
      <c r="AB1080" s="42"/>
    </row>
    <row r="1081" spans="1:28">
      <c r="A1081" s="1">
        <v>1600</v>
      </c>
      <c r="B1081" s="42">
        <v>104.854</v>
      </c>
      <c r="C1081" s="42">
        <v>104.818</v>
      </c>
      <c r="D1081" s="42">
        <v>104.79900000000001</v>
      </c>
      <c r="E1081" s="42">
        <v>104.78100000000001</v>
      </c>
      <c r="F1081" s="42">
        <v>104.76300000000001</v>
      </c>
      <c r="G1081" s="42">
        <v>104.744</v>
      </c>
      <c r="H1081" s="42">
        <v>104.708</v>
      </c>
      <c r="I1081" s="42">
        <v>104.67100000000001</v>
      </c>
      <c r="J1081" s="296">
        <v>10084</v>
      </c>
      <c r="K1081" s="274">
        <v>2400</v>
      </c>
      <c r="L1081" s="42">
        <v>-100.779</v>
      </c>
      <c r="M1081" s="42">
        <v>-75.528000000000006</v>
      </c>
      <c r="N1081" s="42">
        <v>-50.326999999999998</v>
      </c>
      <c r="O1081" s="42">
        <v>-25.155000000000001</v>
      </c>
      <c r="P1081" s="419">
        <v>0</v>
      </c>
      <c r="Q1081" s="42">
        <v>25.158000000000001</v>
      </c>
      <c r="R1081" s="42">
        <v>50.326999999999998</v>
      </c>
      <c r="S1081" s="42">
        <v>75.531999999999996</v>
      </c>
      <c r="T1081" s="42">
        <v>100.779</v>
      </c>
      <c r="U1081" s="24"/>
      <c r="V1081" s="188">
        <f>INDEX(tank5Trim2,0,MATCH(V1080,tank5Trim2,1))</f>
        <v>-1</v>
      </c>
      <c r="W1081" s="188">
        <f>MATCH(V1081,tank5Trim2,0)+1</f>
        <v>2</v>
      </c>
      <c r="X1081" s="188">
        <f>MATCH(targetTank5,IF(W1081=2,B1064:B1283,IF(W1081=3,C1064:C1283,IF(W1081=4,D1064:D1283,IF(W1081=5,E1064:E1283,IF(W1081=6,F1064:F1283,IF(W1081=7,G1064:G1283,IF(W1081=8,H1064:H1283,IF(W1081=9,I1064:I1283)))))))),-1)</f>
        <v>109</v>
      </c>
      <c r="AA1081" s="30"/>
      <c r="AB1081" s="42"/>
    </row>
    <row r="1082" spans="1:28">
      <c r="A1082" s="1">
        <v>1650</v>
      </c>
      <c r="B1082" s="42">
        <v>104.43300000000001</v>
      </c>
      <c r="C1082" s="42">
        <v>104.39700000000001</v>
      </c>
      <c r="D1082" s="42">
        <v>104.378</v>
      </c>
      <c r="E1082" s="42">
        <v>104.36</v>
      </c>
      <c r="F1082" s="42">
        <v>104.342</v>
      </c>
      <c r="G1082" s="42">
        <v>104.32299999999999</v>
      </c>
      <c r="H1082" s="42">
        <v>104.286</v>
      </c>
      <c r="I1082" s="42">
        <v>104.25</v>
      </c>
      <c r="J1082" s="296">
        <v>10034</v>
      </c>
      <c r="K1082" s="274">
        <v>2500</v>
      </c>
      <c r="L1082" s="42">
        <v>-100.78100000000001</v>
      </c>
      <c r="M1082" s="42">
        <v>-75.531000000000006</v>
      </c>
      <c r="N1082" s="42">
        <v>-50.328000000000003</v>
      </c>
      <c r="O1082" s="42">
        <v>-25.157</v>
      </c>
      <c r="P1082" s="419">
        <v>0</v>
      </c>
      <c r="Q1082" s="42">
        <v>25.157</v>
      </c>
      <c r="R1082" s="42">
        <v>50.326999999999998</v>
      </c>
      <c r="S1082" s="42">
        <v>75.531999999999996</v>
      </c>
      <c r="T1082" s="42">
        <v>100.77800000000001</v>
      </c>
      <c r="U1082" s="24"/>
      <c r="V1082" s="386">
        <v>608</v>
      </c>
      <c r="X1082" s="188">
        <f>X1081+1063</f>
        <v>1172</v>
      </c>
      <c r="AA1082" s="30"/>
    </row>
    <row r="1083" spans="1:28">
      <c r="A1083" s="1">
        <v>1700</v>
      </c>
      <c r="B1083" s="42">
        <v>104.012</v>
      </c>
      <c r="C1083" s="42">
        <v>103.976</v>
      </c>
      <c r="D1083" s="42">
        <v>103.95699999999999</v>
      </c>
      <c r="E1083" s="42">
        <v>103.93899999999999</v>
      </c>
      <c r="F1083" s="42">
        <v>103.92100000000001</v>
      </c>
      <c r="G1083" s="42">
        <v>103.902</v>
      </c>
      <c r="H1083" s="42">
        <v>103.86499999999999</v>
      </c>
      <c r="I1083" s="42">
        <v>103.82899999999999</v>
      </c>
      <c r="J1083" s="296">
        <v>9984</v>
      </c>
      <c r="K1083" s="274">
        <v>2600</v>
      </c>
      <c r="L1083" s="42">
        <v>-100.779</v>
      </c>
      <c r="M1083" s="42">
        <v>-75.531000000000006</v>
      </c>
      <c r="N1083" s="42">
        <v>-50.328000000000003</v>
      </c>
      <c r="O1083" s="42">
        <v>-25.157</v>
      </c>
      <c r="P1083" s="419">
        <v>0</v>
      </c>
      <c r="Q1083" s="42">
        <v>25.157</v>
      </c>
      <c r="R1083" s="42">
        <v>50.326999999999998</v>
      </c>
      <c r="S1083" s="42">
        <v>75.531000000000006</v>
      </c>
      <c r="T1083" s="42">
        <v>100.779</v>
      </c>
      <c r="U1083" s="25"/>
      <c r="V1083" s="188">
        <f>FLOOR(V1082,inc)</f>
        <v>600</v>
      </c>
      <c r="W1083" s="384">
        <f>Interp2(tank5Trim1,tank5Trim2,tank5Trim3,V1083,V1081)</f>
        <v>110.67700000000001</v>
      </c>
      <c r="X1083" s="188"/>
      <c r="AA1083" s="30"/>
      <c r="AB1083" s="42"/>
    </row>
    <row r="1084" spans="1:28">
      <c r="A1084" s="1">
        <v>1750</v>
      </c>
      <c r="B1084" s="42">
        <v>103.59099999999999</v>
      </c>
      <c r="C1084" s="42">
        <v>103.55500000000001</v>
      </c>
      <c r="D1084" s="42">
        <v>103.536</v>
      </c>
      <c r="E1084" s="42">
        <v>103.518</v>
      </c>
      <c r="F1084" s="42">
        <v>103.5</v>
      </c>
      <c r="G1084" s="42">
        <v>103.48099999999999</v>
      </c>
      <c r="H1084" s="42">
        <v>103.444</v>
      </c>
      <c r="I1084" s="42">
        <v>103.408</v>
      </c>
      <c r="J1084" s="296">
        <v>9934</v>
      </c>
      <c r="K1084" s="274">
        <v>2700</v>
      </c>
      <c r="L1084" s="42">
        <v>-100.78</v>
      </c>
      <c r="M1084" s="42">
        <v>-75.531000000000006</v>
      </c>
      <c r="N1084" s="42">
        <v>-50.328000000000003</v>
      </c>
      <c r="O1084" s="42">
        <v>-25.158999999999999</v>
      </c>
      <c r="P1084" s="419">
        <v>0</v>
      </c>
      <c r="Q1084" s="42">
        <v>25.155999999999999</v>
      </c>
      <c r="R1084" s="42">
        <v>50.326999999999998</v>
      </c>
      <c r="S1084" s="42">
        <v>75.531000000000006</v>
      </c>
      <c r="T1084" s="42">
        <v>100.78</v>
      </c>
      <c r="U1084" s="27"/>
      <c r="W1084" s="43"/>
      <c r="X1084" s="42"/>
      <c r="AA1084" s="30"/>
      <c r="AB1084" s="42"/>
    </row>
    <row r="1085" spans="1:28">
      <c r="A1085" s="1">
        <v>1800</v>
      </c>
      <c r="B1085" s="42">
        <v>103.17</v>
      </c>
      <c r="C1085" s="42">
        <v>103.134</v>
      </c>
      <c r="D1085" s="42">
        <v>103.11499999999999</v>
      </c>
      <c r="E1085" s="42">
        <v>103.09699999999999</v>
      </c>
      <c r="F1085" s="42">
        <v>103.07899999999999</v>
      </c>
      <c r="G1085" s="42">
        <v>103.06</v>
      </c>
      <c r="H1085" s="42">
        <v>103.023</v>
      </c>
      <c r="I1085" s="42">
        <v>102.98699999999999</v>
      </c>
      <c r="J1085" s="296">
        <v>9884</v>
      </c>
      <c r="K1085" s="274">
        <v>2800</v>
      </c>
      <c r="L1085" s="42">
        <v>-100.78</v>
      </c>
      <c r="M1085" s="42">
        <v>-75.531000000000006</v>
      </c>
      <c r="N1085" s="42">
        <v>-50.328000000000003</v>
      </c>
      <c r="O1085" s="42">
        <v>-25.155999999999999</v>
      </c>
      <c r="P1085" s="419">
        <v>0</v>
      </c>
      <c r="Q1085" s="42">
        <v>25.157</v>
      </c>
      <c r="R1085" s="42">
        <v>50.326000000000001</v>
      </c>
      <c r="S1085" s="42">
        <v>75.531000000000006</v>
      </c>
      <c r="T1085" s="42">
        <v>100.77800000000001</v>
      </c>
      <c r="U1085" s="25"/>
    </row>
    <row r="1086" spans="1:28">
      <c r="A1086" s="1">
        <v>1850</v>
      </c>
      <c r="B1086" s="42">
        <v>102.749</v>
      </c>
      <c r="C1086" s="42">
        <v>102.71299999999999</v>
      </c>
      <c r="D1086" s="42">
        <v>102.694</v>
      </c>
      <c r="E1086" s="42">
        <v>102.676</v>
      </c>
      <c r="F1086" s="42">
        <v>102.658</v>
      </c>
      <c r="G1086" s="42">
        <v>102.639</v>
      </c>
      <c r="H1086" s="42">
        <v>102.602</v>
      </c>
      <c r="I1086" s="42">
        <v>102.566</v>
      </c>
      <c r="J1086" s="296">
        <v>9834</v>
      </c>
      <c r="K1086" s="274">
        <v>2900</v>
      </c>
      <c r="L1086" s="42">
        <v>-100.77800000000001</v>
      </c>
      <c r="M1086" s="42">
        <v>-75.528999999999996</v>
      </c>
      <c r="N1086" s="42">
        <v>-50.326999999999998</v>
      </c>
      <c r="O1086" s="42">
        <v>-25.155999999999999</v>
      </c>
      <c r="P1086" s="419">
        <v>0</v>
      </c>
      <c r="Q1086" s="42">
        <v>25.157</v>
      </c>
      <c r="R1086" s="42">
        <v>50.326000000000001</v>
      </c>
      <c r="S1086" s="42">
        <v>75.53</v>
      </c>
      <c r="T1086" s="42">
        <v>100.77800000000001</v>
      </c>
      <c r="U1086" s="24"/>
      <c r="V1086" s="1">
        <f>bunkerPlanHeel</f>
        <v>0</v>
      </c>
      <c r="W1086" s="382">
        <f>currentSounding5</f>
        <v>608</v>
      </c>
      <c r="X1086" s="186">
        <f>IF((W1086+W1089)&lt;0,W1086,W1086+W1089)</f>
        <v>608</v>
      </c>
      <c r="Y1086" s="381">
        <f>IF(Y1088=Y1087,Y1087,Interp1(X1087:X1088,Y1087:Y1088,X1086))</f>
        <v>110.67700000000001</v>
      </c>
    </row>
    <row r="1087" spans="1:28">
      <c r="A1087" s="1">
        <v>1900</v>
      </c>
      <c r="B1087" s="42">
        <v>102.328</v>
      </c>
      <c r="C1087" s="42">
        <v>102.292</v>
      </c>
      <c r="D1087" s="42">
        <v>102.273</v>
      </c>
      <c r="E1087" s="42">
        <v>102.255</v>
      </c>
      <c r="F1087" s="42">
        <v>102.23699999999999</v>
      </c>
      <c r="G1087" s="42">
        <v>102.218</v>
      </c>
      <c r="H1087" s="42">
        <v>102.176</v>
      </c>
      <c r="I1087" s="42">
        <v>102.134</v>
      </c>
      <c r="J1087" s="296">
        <v>9784</v>
      </c>
      <c r="K1087" s="274">
        <v>3000</v>
      </c>
      <c r="L1087" s="42">
        <v>-100.77800000000001</v>
      </c>
      <c r="M1087" s="42">
        <v>-75.53</v>
      </c>
      <c r="N1087" s="42">
        <v>-50.326999999999998</v>
      </c>
      <c r="O1087" s="42">
        <v>-25.157</v>
      </c>
      <c r="P1087" s="419">
        <v>0</v>
      </c>
      <c r="Q1087" s="42">
        <v>25.155999999999999</v>
      </c>
      <c r="R1087" s="42">
        <v>50.326999999999998</v>
      </c>
      <c r="S1087" s="42">
        <v>75.531000000000006</v>
      </c>
      <c r="T1087" s="42">
        <v>100.78</v>
      </c>
      <c r="U1087" s="25"/>
      <c r="V1087" s="1">
        <f>FLOOR(W1086,inc)</f>
        <v>600</v>
      </c>
      <c r="W1087" s="1">
        <f>Interp2(tank5Heel1,tank5Heel2,tank5Heel3,V1087,V1086)</f>
        <v>0</v>
      </c>
      <c r="X1087" s="1">
        <f>FLOOR(X1086,inc)</f>
        <v>600</v>
      </c>
      <c r="Y1087" s="42">
        <f>IF(W1092=W1091,W1091,Interp1(V1091:V1092,W1091:W1092,V1090))</f>
        <v>110.67700000000001</v>
      </c>
      <c r="Z1087" s="918"/>
      <c r="AA1087" s="918"/>
      <c r="AB1087" s="42"/>
    </row>
    <row r="1088" spans="1:28">
      <c r="A1088" s="1">
        <v>1950</v>
      </c>
      <c r="B1088" s="42">
        <v>101.84399999999999</v>
      </c>
      <c r="C1088" s="42">
        <v>101.795</v>
      </c>
      <c r="D1088" s="42">
        <v>101.771</v>
      </c>
      <c r="E1088" s="42">
        <v>101.746</v>
      </c>
      <c r="F1088" s="42">
        <v>101.72199999999999</v>
      </c>
      <c r="G1088" s="42">
        <v>101.697</v>
      </c>
      <c r="H1088" s="42">
        <v>101.648</v>
      </c>
      <c r="I1088" s="42">
        <v>101.599</v>
      </c>
      <c r="J1088" s="296">
        <v>9734</v>
      </c>
      <c r="K1088" s="274">
        <v>3100</v>
      </c>
      <c r="L1088" s="42">
        <v>-100.78100000000001</v>
      </c>
      <c r="M1088" s="42">
        <v>-75.53</v>
      </c>
      <c r="N1088" s="42">
        <v>-50.328000000000003</v>
      </c>
      <c r="O1088" s="42">
        <v>-25.157</v>
      </c>
      <c r="P1088" s="419">
        <v>0</v>
      </c>
      <c r="Q1088" s="42">
        <v>25.155999999999999</v>
      </c>
      <c r="R1088" s="42">
        <v>50.326000000000001</v>
      </c>
      <c r="S1088" s="42">
        <v>75.531000000000006</v>
      </c>
      <c r="T1088" s="42">
        <v>100.777</v>
      </c>
      <c r="U1088" s="25"/>
      <c r="V1088" s="1">
        <f>IF(V1087=currentSounding25,V1087,CEILING(W1086,inc))</f>
        <v>650</v>
      </c>
      <c r="W1088" s="1">
        <f>Interp2(tank5Heel1,tank5Heel2,tank5Heel3,V1088,V1086)</f>
        <v>0</v>
      </c>
      <c r="X1088" s="1">
        <f>CEILING(X1086,inc)</f>
        <v>650</v>
      </c>
      <c r="Y1088" s="42">
        <f>IF(X1092=X1091,X1091,Interp1(V1091:V1092,X1091:X1092,V1090))</f>
        <v>110.67700000000001</v>
      </c>
    </row>
    <row r="1089" spans="1:28">
      <c r="A1089" s="1">
        <v>2000</v>
      </c>
      <c r="B1089" s="42">
        <v>101.283</v>
      </c>
      <c r="C1089" s="42">
        <v>101.23399999999999</v>
      </c>
      <c r="D1089" s="42">
        <v>101.209</v>
      </c>
      <c r="E1089" s="42">
        <v>101.185</v>
      </c>
      <c r="F1089" s="42">
        <v>101.16</v>
      </c>
      <c r="G1089" s="42">
        <v>101.136</v>
      </c>
      <c r="H1089" s="42">
        <v>101.087</v>
      </c>
      <c r="I1089" s="42">
        <v>101.038</v>
      </c>
      <c r="J1089" s="296">
        <v>9684</v>
      </c>
      <c r="K1089" s="274">
        <v>3200</v>
      </c>
      <c r="L1089" s="42">
        <v>-100.779</v>
      </c>
      <c r="M1089" s="42">
        <v>-75.528999999999996</v>
      </c>
      <c r="N1089" s="42">
        <v>-50.326999999999998</v>
      </c>
      <c r="O1089" s="42">
        <v>-25.155999999999999</v>
      </c>
      <c r="P1089" s="419">
        <v>0</v>
      </c>
      <c r="Q1089" s="42">
        <v>25.158000000000001</v>
      </c>
      <c r="R1089" s="42">
        <v>50.328000000000003</v>
      </c>
      <c r="S1089" s="42">
        <v>75.533000000000001</v>
      </c>
      <c r="T1089" s="42">
        <v>100.78</v>
      </c>
      <c r="U1089" s="25"/>
      <c r="W1089" s="1">
        <f>IF(W1088=W1087,W1087,Interp1(V1087:V1088,W1087:W1088,W1086))</f>
        <v>0</v>
      </c>
      <c r="Y1089" s="42"/>
    </row>
    <row r="1090" spans="1:28">
      <c r="A1090" s="1">
        <v>2050</v>
      </c>
      <c r="B1090" s="42">
        <v>100.721</v>
      </c>
      <c r="C1090" s="42">
        <v>100.673</v>
      </c>
      <c r="D1090" s="42">
        <v>100.648</v>
      </c>
      <c r="E1090" s="42">
        <v>100.623</v>
      </c>
      <c r="F1090" s="42">
        <v>100.599</v>
      </c>
      <c r="G1090" s="42">
        <v>100.574</v>
      </c>
      <c r="H1090" s="42">
        <v>100.52500000000001</v>
      </c>
      <c r="I1090" s="42">
        <v>100.477</v>
      </c>
      <c r="J1090" s="296">
        <v>9634</v>
      </c>
      <c r="K1090" s="274">
        <v>3300</v>
      </c>
      <c r="L1090" s="42">
        <v>-100.783</v>
      </c>
      <c r="M1090" s="42">
        <v>-75.533000000000001</v>
      </c>
      <c r="N1090" s="42">
        <v>-50.329000000000001</v>
      </c>
      <c r="O1090" s="42">
        <v>-25.158000000000001</v>
      </c>
      <c r="P1090" s="419">
        <v>0</v>
      </c>
      <c r="Q1090" s="42">
        <v>25.155999999999999</v>
      </c>
      <c r="R1090" s="42">
        <v>50.326000000000001</v>
      </c>
      <c r="S1090" s="42">
        <v>75.53</v>
      </c>
      <c r="T1090" s="42">
        <v>100.777</v>
      </c>
      <c r="U1090" s="25"/>
      <c r="V1090" s="1">
        <f>bunkerPlanTrim</f>
        <v>-0.15</v>
      </c>
    </row>
    <row r="1091" spans="1:28">
      <c r="A1091" s="1">
        <v>2100</v>
      </c>
      <c r="B1091" s="42">
        <v>100.16</v>
      </c>
      <c r="C1091" s="42">
        <v>100.111</v>
      </c>
      <c r="D1091" s="42">
        <v>100.087</v>
      </c>
      <c r="E1091" s="42">
        <v>100.062</v>
      </c>
      <c r="F1091" s="42">
        <v>100.038</v>
      </c>
      <c r="G1091" s="42">
        <v>100.01300000000001</v>
      </c>
      <c r="H1091" s="42">
        <v>99.963999999999999</v>
      </c>
      <c r="I1091" s="42">
        <v>99.915000000000006</v>
      </c>
      <c r="J1091" s="296">
        <v>9584</v>
      </c>
      <c r="K1091" s="274">
        <v>3400</v>
      </c>
      <c r="L1091" s="42">
        <v>-100.777</v>
      </c>
      <c r="M1091" s="42">
        <v>-75.528999999999996</v>
      </c>
      <c r="N1091" s="42">
        <v>-50.326999999999998</v>
      </c>
      <c r="O1091" s="42">
        <v>-25.155999999999999</v>
      </c>
      <c r="P1091" s="419">
        <v>0</v>
      </c>
      <c r="Q1091" s="42">
        <v>25.157</v>
      </c>
      <c r="R1091" s="42">
        <v>50.326000000000001</v>
      </c>
      <c r="S1091" s="42">
        <v>75.531000000000006</v>
      </c>
      <c r="T1091" s="42">
        <v>100.779</v>
      </c>
      <c r="U1091" s="24"/>
      <c r="V1091" s="1">
        <f>INDEX(tank5Trim2,0,MATCH(V1090,tank5Trim2,1))</f>
        <v>-1</v>
      </c>
      <c r="W1091" s="1">
        <f>Interp2(tank5Trim1,tank5Trim2,tank5Trim3,X1087,V1091)</f>
        <v>110.67700000000001</v>
      </c>
      <c r="X1091" s="1">
        <f>Interp2(tank5Trim1,tank5Trim2,tank5Trim3,X1088,V1091)</f>
        <v>110.67700000000001</v>
      </c>
    </row>
    <row r="1092" spans="1:28">
      <c r="A1092" s="1">
        <v>2150</v>
      </c>
      <c r="B1092" s="42">
        <v>99.602999999999994</v>
      </c>
      <c r="C1092" s="42">
        <v>99.554000000000002</v>
      </c>
      <c r="D1092" s="42">
        <v>99.528999999999996</v>
      </c>
      <c r="E1092" s="42">
        <v>99.504999999999995</v>
      </c>
      <c r="F1092" s="42">
        <v>99.48</v>
      </c>
      <c r="G1092" s="42">
        <v>99.456000000000003</v>
      </c>
      <c r="H1092" s="42">
        <v>99.406999999999996</v>
      </c>
      <c r="I1092" s="42">
        <v>99.358000000000004</v>
      </c>
      <c r="J1092" s="296">
        <v>9534</v>
      </c>
      <c r="K1092" s="274">
        <v>3500</v>
      </c>
      <c r="L1092" s="42">
        <v>-100.777</v>
      </c>
      <c r="M1092" s="42">
        <v>-75.528999999999996</v>
      </c>
      <c r="N1092" s="42">
        <v>-50.326999999999998</v>
      </c>
      <c r="O1092" s="42">
        <v>-25.157</v>
      </c>
      <c r="P1092" s="419">
        <v>0</v>
      </c>
      <c r="Q1092" s="42">
        <v>25.155999999999999</v>
      </c>
      <c r="R1092" s="42">
        <v>50.326999999999998</v>
      </c>
      <c r="S1092" s="42">
        <v>75.531999999999996</v>
      </c>
      <c r="T1092" s="42">
        <v>100.78</v>
      </c>
      <c r="U1092" s="25"/>
      <c r="V1092" s="1">
        <f>IF(V1091=V1090,V1090,INDEX(tank5Trim2,0,MATCH(V1090,tank5Trim2,1)+1))</f>
        <v>0</v>
      </c>
      <c r="W1092" s="1">
        <f>Interp2(tank5Trim1,tank5Trim2,tank5Trim3,X1087,V1092)</f>
        <v>110.67700000000001</v>
      </c>
      <c r="X1092" s="1">
        <f>Interp2(tank5Trim1,tank5Trim2,tank5Trim3,X1088,V1092)</f>
        <v>110.67700000000001</v>
      </c>
    </row>
    <row r="1093" spans="1:28">
      <c r="A1093" s="1">
        <v>2200</v>
      </c>
      <c r="B1093" s="42">
        <v>99.057000000000002</v>
      </c>
      <c r="C1093" s="42">
        <v>99.009</v>
      </c>
      <c r="D1093" s="42">
        <v>98.984999999999999</v>
      </c>
      <c r="E1093" s="42">
        <v>98.960999999999999</v>
      </c>
      <c r="F1093" s="42">
        <v>98.936999999999998</v>
      </c>
      <c r="G1093" s="42">
        <v>98.912999999999997</v>
      </c>
      <c r="H1093" s="42">
        <v>98.864000000000004</v>
      </c>
      <c r="I1093" s="42">
        <v>98.816000000000003</v>
      </c>
      <c r="J1093" s="296">
        <v>9484</v>
      </c>
      <c r="K1093" s="274">
        <v>3600</v>
      </c>
      <c r="L1093" s="42">
        <v>-100.78</v>
      </c>
      <c r="M1093" s="42">
        <v>-75.531000000000006</v>
      </c>
      <c r="N1093" s="42">
        <v>-50.328000000000003</v>
      </c>
      <c r="O1093" s="42">
        <v>-25.155999999999999</v>
      </c>
      <c r="P1093" s="419">
        <v>0</v>
      </c>
      <c r="Q1093" s="42">
        <v>25.157</v>
      </c>
      <c r="R1093" s="42">
        <v>50.326000000000001</v>
      </c>
      <c r="S1093" s="42">
        <v>75.531000000000006</v>
      </c>
      <c r="T1093" s="42">
        <v>100.78</v>
      </c>
      <c r="U1093" s="24"/>
    </row>
    <row r="1094" spans="1:28">
      <c r="A1094" s="1">
        <v>2250</v>
      </c>
      <c r="B1094" s="42">
        <v>98.512</v>
      </c>
      <c r="C1094" s="42">
        <v>98.465000000000003</v>
      </c>
      <c r="D1094" s="42">
        <v>98.441000000000003</v>
      </c>
      <c r="E1094" s="42">
        <v>98.417000000000002</v>
      </c>
      <c r="F1094" s="42">
        <v>98.393000000000001</v>
      </c>
      <c r="G1094" s="42">
        <v>98.369</v>
      </c>
      <c r="H1094" s="42">
        <v>98.322000000000003</v>
      </c>
      <c r="I1094" s="42">
        <v>98.274000000000001</v>
      </c>
      <c r="J1094" s="296">
        <v>9434</v>
      </c>
      <c r="K1094" s="274">
        <v>3700</v>
      </c>
      <c r="L1094" s="42">
        <v>-100.78</v>
      </c>
      <c r="M1094" s="42">
        <v>-75.531999999999996</v>
      </c>
      <c r="N1094" s="42">
        <v>-50.329000000000001</v>
      </c>
      <c r="O1094" s="42">
        <v>-25.158000000000001</v>
      </c>
      <c r="P1094" s="419">
        <v>0</v>
      </c>
      <c r="Q1094" s="42">
        <v>25.155999999999999</v>
      </c>
      <c r="R1094" s="42">
        <v>50.325000000000003</v>
      </c>
      <c r="S1094" s="42">
        <v>75.528000000000006</v>
      </c>
      <c r="T1094" s="42">
        <v>100.776</v>
      </c>
      <c r="U1094" s="26"/>
      <c r="V1094" s="914"/>
      <c r="W1094" s="914"/>
      <c r="X1094" s="38"/>
    </row>
    <row r="1095" spans="1:28">
      <c r="A1095" s="1">
        <v>2300</v>
      </c>
      <c r="B1095" s="42">
        <v>97.966999999999999</v>
      </c>
      <c r="C1095" s="42">
        <v>97.92</v>
      </c>
      <c r="D1095" s="42">
        <v>97.897000000000006</v>
      </c>
      <c r="E1095" s="42">
        <v>97.873000000000005</v>
      </c>
      <c r="F1095" s="42">
        <v>97.85</v>
      </c>
      <c r="G1095" s="42">
        <v>97.825999999999993</v>
      </c>
      <c r="H1095" s="42">
        <v>97.778999999999996</v>
      </c>
      <c r="I1095" s="42">
        <v>97.731999999999999</v>
      </c>
      <c r="J1095" s="296">
        <v>9384</v>
      </c>
      <c r="K1095" s="274">
        <v>3800</v>
      </c>
      <c r="L1095" s="42">
        <v>-100.77800000000001</v>
      </c>
      <c r="M1095" s="42">
        <v>-75.528999999999996</v>
      </c>
      <c r="N1095" s="42">
        <v>-50.328000000000003</v>
      </c>
      <c r="O1095" s="42">
        <v>-25.158000000000001</v>
      </c>
      <c r="P1095" s="419">
        <v>0</v>
      </c>
      <c r="Q1095" s="42">
        <v>25.155999999999999</v>
      </c>
      <c r="R1095" s="42">
        <v>50.326999999999998</v>
      </c>
      <c r="S1095" s="42">
        <v>75.531999999999996</v>
      </c>
      <c r="T1095" s="42">
        <v>100.78</v>
      </c>
      <c r="U1095" s="24"/>
      <c r="V1095" s="916"/>
      <c r="W1095" s="916"/>
      <c r="X1095" s="39"/>
      <c r="Z1095" s="916"/>
      <c r="AA1095" s="916"/>
      <c r="AB1095" s="40"/>
    </row>
    <row r="1096" spans="1:28">
      <c r="A1096" s="1">
        <v>2350</v>
      </c>
      <c r="B1096" s="42">
        <v>97.421999999999997</v>
      </c>
      <c r="C1096" s="42">
        <v>97.376000000000005</v>
      </c>
      <c r="D1096" s="42">
        <v>97.352000000000004</v>
      </c>
      <c r="E1096" s="42">
        <v>97.328999999999994</v>
      </c>
      <c r="F1096" s="42">
        <v>97.305999999999997</v>
      </c>
      <c r="G1096" s="42">
        <v>97.283000000000001</v>
      </c>
      <c r="H1096" s="42">
        <v>97.236000000000004</v>
      </c>
      <c r="I1096" s="42">
        <v>97.19</v>
      </c>
      <c r="J1096" s="296">
        <v>9334</v>
      </c>
      <c r="K1096" s="274">
        <v>3900</v>
      </c>
      <c r="L1096" s="42">
        <v>-100.78100000000001</v>
      </c>
      <c r="M1096" s="42">
        <v>-75.531000000000006</v>
      </c>
      <c r="N1096" s="42">
        <v>-50.328000000000003</v>
      </c>
      <c r="O1096" s="42">
        <v>-25.157</v>
      </c>
      <c r="P1096" s="419">
        <v>0</v>
      </c>
      <c r="Q1096" s="42">
        <v>25.155999999999999</v>
      </c>
      <c r="R1096" s="42">
        <v>50.326000000000001</v>
      </c>
      <c r="S1096" s="42">
        <v>75.531000000000006</v>
      </c>
      <c r="T1096" s="42">
        <v>100.77800000000001</v>
      </c>
      <c r="U1096" s="24"/>
      <c r="W1096" s="41"/>
      <c r="AA1096" s="30"/>
    </row>
    <row r="1097" spans="1:28">
      <c r="A1097" s="1">
        <v>2400</v>
      </c>
      <c r="B1097" s="42">
        <v>96.876999999999995</v>
      </c>
      <c r="C1097" s="42">
        <v>96.831000000000003</v>
      </c>
      <c r="D1097" s="42">
        <v>96.808000000000007</v>
      </c>
      <c r="E1097" s="42">
        <v>96.784999999999997</v>
      </c>
      <c r="F1097" s="42">
        <v>96.762</v>
      </c>
      <c r="G1097" s="42">
        <v>96.73</v>
      </c>
      <c r="H1097" s="42">
        <v>96.694000000000003</v>
      </c>
      <c r="I1097" s="42">
        <v>96.647999999999996</v>
      </c>
      <c r="J1097" s="296">
        <v>9284</v>
      </c>
      <c r="K1097" s="274">
        <v>4000</v>
      </c>
      <c r="L1097" s="42">
        <v>-100.78</v>
      </c>
      <c r="M1097" s="42">
        <v>-75.531000000000006</v>
      </c>
      <c r="N1097" s="42">
        <v>-50.328000000000003</v>
      </c>
      <c r="O1097" s="42">
        <v>-25.155999999999999</v>
      </c>
      <c r="P1097" s="419">
        <v>0</v>
      </c>
      <c r="Q1097" s="42">
        <v>25.157</v>
      </c>
      <c r="R1097" s="42">
        <v>50.326000000000001</v>
      </c>
      <c r="S1097" s="42">
        <v>75.528999999999996</v>
      </c>
      <c r="T1097" s="42">
        <v>100.777</v>
      </c>
      <c r="U1097" s="25"/>
      <c r="W1097" s="30"/>
      <c r="AA1097" s="30"/>
    </row>
    <row r="1098" spans="1:28">
      <c r="A1098" s="1">
        <v>2450</v>
      </c>
      <c r="B1098" s="42">
        <v>96.331999999999994</v>
      </c>
      <c r="C1098" s="42">
        <v>96.287000000000006</v>
      </c>
      <c r="D1098" s="42">
        <v>96.263999999999996</v>
      </c>
      <c r="E1098" s="42">
        <v>96.241</v>
      </c>
      <c r="F1098" s="42">
        <v>96.218999999999994</v>
      </c>
      <c r="G1098" s="42">
        <v>96.195999999999998</v>
      </c>
      <c r="H1098" s="42">
        <v>96.150999999999996</v>
      </c>
      <c r="I1098" s="42">
        <v>96.105999999999995</v>
      </c>
      <c r="J1098" s="296">
        <v>9234</v>
      </c>
      <c r="K1098" s="274">
        <v>4100</v>
      </c>
      <c r="L1098" s="42">
        <v>-100.779</v>
      </c>
      <c r="M1098" s="42">
        <v>-75.528999999999996</v>
      </c>
      <c r="N1098" s="42">
        <v>-50.328000000000003</v>
      </c>
      <c r="O1098" s="42">
        <v>-25.155999999999999</v>
      </c>
      <c r="P1098" s="419">
        <v>0</v>
      </c>
      <c r="Q1098" s="42">
        <v>25.123999999999999</v>
      </c>
      <c r="R1098" s="42">
        <v>50.261000000000003</v>
      </c>
      <c r="S1098" s="42">
        <v>75.433000000000007</v>
      </c>
      <c r="T1098" s="42">
        <v>100.627</v>
      </c>
      <c r="U1098" s="28"/>
      <c r="W1098" s="30"/>
      <c r="X1098" s="42"/>
      <c r="AA1098" s="30"/>
      <c r="AB1098" s="42"/>
    </row>
    <row r="1099" spans="1:28">
      <c r="A1099" s="1">
        <v>2500</v>
      </c>
      <c r="B1099" s="42">
        <v>95.787000000000006</v>
      </c>
      <c r="C1099" s="42">
        <v>95.742000000000004</v>
      </c>
      <c r="D1099" s="42">
        <v>95.72</v>
      </c>
      <c r="E1099" s="42">
        <v>95.697000000000003</v>
      </c>
      <c r="F1099" s="42">
        <v>95.674999999999997</v>
      </c>
      <c r="G1099" s="42">
        <v>95.653000000000006</v>
      </c>
      <c r="H1099" s="42">
        <v>95.608000000000004</v>
      </c>
      <c r="I1099" s="42">
        <v>95.563999999999993</v>
      </c>
      <c r="J1099" s="296">
        <v>9184</v>
      </c>
      <c r="K1099" s="274">
        <v>4200</v>
      </c>
      <c r="L1099" s="42">
        <v>-100.64700000000001</v>
      </c>
      <c r="M1099" s="42">
        <v>-75.430999999999997</v>
      </c>
      <c r="N1099" s="42">
        <v>-50.262999999999998</v>
      </c>
      <c r="O1099" s="42">
        <v>-25.123999999999999</v>
      </c>
      <c r="P1099" s="419">
        <v>0</v>
      </c>
      <c r="Q1099" s="42">
        <v>24.402999999999999</v>
      </c>
      <c r="R1099" s="42">
        <v>48.819000000000003</v>
      </c>
      <c r="S1099" s="42">
        <v>73.268000000000001</v>
      </c>
      <c r="T1099" s="42">
        <v>97.759</v>
      </c>
      <c r="W1099" s="30"/>
      <c r="X1099" s="42"/>
      <c r="AA1099" s="30"/>
      <c r="AB1099" s="42"/>
    </row>
    <row r="1100" spans="1:28">
      <c r="A1100" s="1">
        <v>2550</v>
      </c>
      <c r="B1100" s="42">
        <v>95.242000000000004</v>
      </c>
      <c r="C1100" s="42">
        <v>95.197999999999993</v>
      </c>
      <c r="D1100" s="42">
        <v>95.174999999999997</v>
      </c>
      <c r="E1100" s="42">
        <v>95.153999999999996</v>
      </c>
      <c r="F1100" s="42">
        <v>95.132000000000005</v>
      </c>
      <c r="G1100" s="42">
        <v>95.108999999999995</v>
      </c>
      <c r="H1100" s="42">
        <v>95.066000000000003</v>
      </c>
      <c r="I1100" s="42">
        <v>95.022000000000006</v>
      </c>
      <c r="J1100" s="296">
        <v>9134</v>
      </c>
      <c r="K1100" s="274">
        <v>4300</v>
      </c>
      <c r="L1100" s="42">
        <v>-97.76</v>
      </c>
      <c r="M1100" s="42">
        <v>-73.268000000000001</v>
      </c>
      <c r="N1100" s="42">
        <v>-48.82</v>
      </c>
      <c r="O1100" s="42">
        <v>-24.402999999999999</v>
      </c>
      <c r="P1100" s="419">
        <v>0</v>
      </c>
      <c r="Q1100" s="42">
        <v>24.402000000000001</v>
      </c>
      <c r="R1100" s="42">
        <v>48.817</v>
      </c>
      <c r="S1100" s="42">
        <v>73.266999999999996</v>
      </c>
      <c r="T1100" s="42">
        <v>97.757999999999996</v>
      </c>
      <c r="W1100" s="30"/>
      <c r="X1100" s="42"/>
      <c r="AA1100" s="30"/>
      <c r="AB1100" s="42"/>
    </row>
    <row r="1101" spans="1:28">
      <c r="A1101" s="1">
        <v>2600</v>
      </c>
      <c r="B1101" s="42">
        <v>94.695999999999998</v>
      </c>
      <c r="C1101" s="42">
        <v>94.653000000000006</v>
      </c>
      <c r="D1101" s="42">
        <v>94.631</v>
      </c>
      <c r="E1101" s="42">
        <v>94.61</v>
      </c>
      <c r="F1101" s="42">
        <v>94.587999999999994</v>
      </c>
      <c r="G1101" s="42">
        <v>94.566000000000003</v>
      </c>
      <c r="H1101" s="42">
        <v>94.522999999999996</v>
      </c>
      <c r="I1101" s="42">
        <v>94.478999999999999</v>
      </c>
      <c r="J1101" s="296">
        <v>9084</v>
      </c>
      <c r="K1101" s="274">
        <v>4400</v>
      </c>
      <c r="L1101" s="42">
        <v>-97.757000000000005</v>
      </c>
      <c r="M1101" s="42">
        <v>-73.266000000000005</v>
      </c>
      <c r="N1101" s="42">
        <v>-48.817999999999998</v>
      </c>
      <c r="O1101" s="42">
        <v>-24.402999999999999</v>
      </c>
      <c r="P1101" s="419">
        <v>0</v>
      </c>
      <c r="Q1101" s="42">
        <v>24.402999999999999</v>
      </c>
      <c r="R1101" s="42">
        <v>48.819000000000003</v>
      </c>
      <c r="S1101" s="42">
        <v>73.266999999999996</v>
      </c>
      <c r="T1101" s="42">
        <v>97.757999999999996</v>
      </c>
      <c r="W1101" s="30"/>
      <c r="AA1101" s="30"/>
    </row>
    <row r="1102" spans="1:28">
      <c r="A1102" s="1">
        <v>2650</v>
      </c>
      <c r="B1102" s="42">
        <v>94.150999999999996</v>
      </c>
      <c r="C1102" s="42">
        <v>94.108000000000004</v>
      </c>
      <c r="D1102" s="42">
        <v>94.087000000000003</v>
      </c>
      <c r="E1102" s="42">
        <v>94.066000000000003</v>
      </c>
      <c r="F1102" s="42">
        <v>94.043999999999997</v>
      </c>
      <c r="G1102" s="42">
        <v>94.022999999999996</v>
      </c>
      <c r="H1102" s="42">
        <v>-93.98</v>
      </c>
      <c r="I1102" s="42">
        <v>93.936999999999998</v>
      </c>
      <c r="J1102" s="296">
        <v>9034</v>
      </c>
      <c r="K1102" s="274">
        <v>4500</v>
      </c>
      <c r="L1102" s="42">
        <v>-97.757999999999996</v>
      </c>
      <c r="M1102" s="42">
        <v>-73.266999999999996</v>
      </c>
      <c r="N1102" s="42">
        <v>-48.817999999999998</v>
      </c>
      <c r="O1102" s="42">
        <v>-24.402999999999999</v>
      </c>
      <c r="P1102" s="419">
        <v>0</v>
      </c>
      <c r="Q1102" s="42">
        <v>24.402000000000001</v>
      </c>
      <c r="R1102" s="42">
        <v>48.819000000000003</v>
      </c>
      <c r="S1102" s="42">
        <v>73.266000000000005</v>
      </c>
      <c r="T1102" s="42">
        <v>97.757000000000005</v>
      </c>
      <c r="W1102" s="43"/>
      <c r="X1102" s="42"/>
      <c r="AA1102" s="30"/>
      <c r="AB1102" s="42"/>
    </row>
    <row r="1103" spans="1:28">
      <c r="A1103" s="1">
        <v>2700</v>
      </c>
      <c r="B1103" s="42">
        <v>93.605999999999995</v>
      </c>
      <c r="C1103" s="42">
        <v>93.563999999999993</v>
      </c>
      <c r="D1103" s="42">
        <v>93.543000000000006</v>
      </c>
      <c r="E1103" s="42">
        <v>93.522000000000006</v>
      </c>
      <c r="F1103" s="42">
        <v>93.501000000000005</v>
      </c>
      <c r="G1103" s="42">
        <v>93.48</v>
      </c>
      <c r="H1103" s="42">
        <v>93.436999999999998</v>
      </c>
      <c r="I1103" s="42">
        <v>93.394999999999996</v>
      </c>
      <c r="J1103" s="296">
        <v>8984</v>
      </c>
      <c r="K1103" s="274">
        <v>4600</v>
      </c>
      <c r="L1103" s="42">
        <v>-97.757999999999996</v>
      </c>
      <c r="M1103" s="42">
        <v>-73.266999999999996</v>
      </c>
      <c r="N1103" s="42">
        <v>-48.817999999999998</v>
      </c>
      <c r="O1103" s="42">
        <v>-24.404</v>
      </c>
      <c r="P1103" s="419">
        <v>0</v>
      </c>
      <c r="Q1103" s="42">
        <v>24.402000000000001</v>
      </c>
      <c r="R1103" s="42">
        <v>48.819000000000003</v>
      </c>
      <c r="S1103" s="42">
        <v>73.266000000000005</v>
      </c>
      <c r="T1103" s="42">
        <v>97.756</v>
      </c>
      <c r="W1103" s="43"/>
      <c r="X1103" s="42"/>
      <c r="AA1103" s="30"/>
      <c r="AB1103" s="42"/>
    </row>
    <row r="1104" spans="1:28">
      <c r="A1104" s="1">
        <v>2750</v>
      </c>
      <c r="B1104" s="42">
        <v>93.061000000000007</v>
      </c>
      <c r="C1104" s="42">
        <v>93.019000000000005</v>
      </c>
      <c r="D1104" s="42">
        <v>92.998999999999995</v>
      </c>
      <c r="E1104" s="42">
        <v>92.977999999999994</v>
      </c>
      <c r="F1104" s="42">
        <v>92.956999999999994</v>
      </c>
      <c r="G1104" s="42">
        <v>92.936000000000007</v>
      </c>
      <c r="H1104" s="42">
        <v>92.894999999999996</v>
      </c>
      <c r="I1104" s="42">
        <v>92.852999999999994</v>
      </c>
      <c r="J1104" s="296">
        <v>8934</v>
      </c>
      <c r="K1104" s="274">
        <v>4700</v>
      </c>
      <c r="L1104" s="42">
        <v>-97.757000000000005</v>
      </c>
      <c r="M1104" s="42">
        <v>-73.266000000000005</v>
      </c>
      <c r="N1104" s="42">
        <v>-48.817999999999998</v>
      </c>
      <c r="O1104" s="42">
        <v>-24.402999999999999</v>
      </c>
      <c r="P1104" s="419">
        <v>0</v>
      </c>
      <c r="Q1104" s="42">
        <v>24.402999999999999</v>
      </c>
      <c r="R1104" s="42">
        <v>48.82</v>
      </c>
      <c r="S1104" s="42">
        <v>73.269000000000005</v>
      </c>
      <c r="T1104" s="42">
        <v>97.760999999999996</v>
      </c>
    </row>
    <row r="1105" spans="1:28">
      <c r="A1105" s="1">
        <v>2800</v>
      </c>
      <c r="B1105" s="42">
        <v>92.516000000000005</v>
      </c>
      <c r="C1105" s="42">
        <v>92.474999999999994</v>
      </c>
      <c r="D1105" s="42">
        <v>92.453999999999994</v>
      </c>
      <c r="E1105" s="42">
        <v>92.433999999999997</v>
      </c>
      <c r="F1105" s="42">
        <v>92.412999999999997</v>
      </c>
      <c r="G1105" s="42">
        <v>92.393000000000001</v>
      </c>
      <c r="H1105" s="42">
        <v>92.352000000000004</v>
      </c>
      <c r="I1105" s="42">
        <v>92.311000000000007</v>
      </c>
      <c r="J1105" s="296">
        <v>8884</v>
      </c>
      <c r="K1105" s="1">
        <v>4800</v>
      </c>
      <c r="L1105" s="1">
        <v>-97.759</v>
      </c>
      <c r="M1105" s="1">
        <v>-73.266999999999996</v>
      </c>
      <c r="N1105" s="1">
        <v>-48.817999999999998</v>
      </c>
      <c r="O1105" s="1">
        <v>-24.404</v>
      </c>
      <c r="P1105" s="365">
        <v>0</v>
      </c>
      <c r="Q1105" s="1">
        <v>24.402000000000001</v>
      </c>
      <c r="R1105" s="1">
        <v>48.817999999999998</v>
      </c>
      <c r="S1105" s="1">
        <v>73.266999999999996</v>
      </c>
      <c r="T1105" s="1">
        <v>97.757000000000005</v>
      </c>
    </row>
    <row r="1106" spans="1:28">
      <c r="A1106" s="1">
        <v>2850</v>
      </c>
      <c r="B1106" s="42">
        <v>91.971000000000004</v>
      </c>
      <c r="C1106" s="42">
        <v>91.93</v>
      </c>
      <c r="D1106" s="42">
        <v>91.91</v>
      </c>
      <c r="E1106" s="42">
        <v>91.89</v>
      </c>
      <c r="F1106" s="42">
        <v>91.87</v>
      </c>
      <c r="G1106" s="42">
        <v>91.85</v>
      </c>
      <c r="H1106" s="42">
        <v>91.808999999999997</v>
      </c>
      <c r="I1106" s="42">
        <v>91.769000000000005</v>
      </c>
      <c r="J1106" s="296">
        <v>8834</v>
      </c>
      <c r="K1106" s="1">
        <v>4900</v>
      </c>
      <c r="L1106" s="1">
        <v>-97.757000000000005</v>
      </c>
      <c r="M1106" s="1">
        <v>-73.265000000000001</v>
      </c>
      <c r="N1106" s="1">
        <v>-48.817999999999998</v>
      </c>
      <c r="O1106" s="1">
        <v>-24.404</v>
      </c>
      <c r="P1106" s="365">
        <v>0</v>
      </c>
      <c r="Q1106" s="1">
        <v>24.401</v>
      </c>
      <c r="R1106" s="1">
        <v>48.82</v>
      </c>
      <c r="S1106" s="1">
        <v>73.266999999999996</v>
      </c>
      <c r="T1106" s="1">
        <v>97.757999999999996</v>
      </c>
      <c r="V1106" s="918"/>
      <c r="W1106" s="918"/>
      <c r="X1106" s="42"/>
      <c r="Z1106" s="918"/>
      <c r="AA1106" s="918"/>
      <c r="AB1106" s="42"/>
    </row>
    <row r="1107" spans="1:28">
      <c r="A1107" s="1">
        <v>2900</v>
      </c>
      <c r="B1107" s="42">
        <v>91.426000000000002</v>
      </c>
      <c r="C1107" s="42">
        <v>91.385999999999996</v>
      </c>
      <c r="D1107" s="42">
        <v>91.366</v>
      </c>
      <c r="E1107" s="42">
        <v>91.346000000000004</v>
      </c>
      <c r="F1107" s="42">
        <v>91.325999999999993</v>
      </c>
      <c r="G1107" s="42">
        <v>91.305999999999997</v>
      </c>
      <c r="H1107" s="42">
        <v>91.266000000000005</v>
      </c>
      <c r="I1107" s="42">
        <v>91.227000000000004</v>
      </c>
      <c r="J1107" s="296">
        <v>8784</v>
      </c>
      <c r="K1107" s="1">
        <v>5000</v>
      </c>
      <c r="L1107" s="1">
        <v>-97.757000000000005</v>
      </c>
      <c r="M1107" s="1">
        <v>-73.266000000000005</v>
      </c>
      <c r="N1107" s="1">
        <v>-48.819000000000003</v>
      </c>
      <c r="O1107" s="1">
        <v>-24.404</v>
      </c>
      <c r="P1107" s="365">
        <v>0</v>
      </c>
      <c r="Q1107" s="1">
        <v>24.402999999999999</v>
      </c>
      <c r="R1107" s="1">
        <v>48.819000000000003</v>
      </c>
      <c r="S1107" s="1">
        <v>73.266999999999996</v>
      </c>
      <c r="T1107" s="1">
        <v>97.759</v>
      </c>
    </row>
    <row r="1108" spans="1:28">
      <c r="A1108" s="1">
        <v>2950</v>
      </c>
      <c r="B1108" s="42">
        <v>90.88</v>
      </c>
      <c r="C1108" s="42">
        <v>90.840999999999994</v>
      </c>
      <c r="D1108" s="42">
        <v>90.822000000000003</v>
      </c>
      <c r="E1108" s="42">
        <v>90.802000000000007</v>
      </c>
      <c r="F1108" s="42">
        <v>90.781999999999996</v>
      </c>
      <c r="G1108" s="42">
        <v>90.763000000000005</v>
      </c>
      <c r="H1108" s="42">
        <v>90.724000000000004</v>
      </c>
      <c r="I1108" s="42">
        <v>90.685000000000002</v>
      </c>
      <c r="J1108" s="296">
        <v>8734</v>
      </c>
      <c r="K1108" s="1">
        <v>5100</v>
      </c>
      <c r="L1108" s="1">
        <v>-97.756</v>
      </c>
      <c r="M1108" s="1">
        <v>-73.266000000000005</v>
      </c>
      <c r="N1108" s="1">
        <v>-48.82</v>
      </c>
      <c r="O1108" s="1">
        <v>-24.404</v>
      </c>
      <c r="P1108" s="365">
        <v>0</v>
      </c>
      <c r="Q1108" s="1">
        <v>24.401</v>
      </c>
      <c r="R1108" s="1">
        <v>48.819000000000003</v>
      </c>
      <c r="S1108" s="1">
        <v>73.266000000000005</v>
      </c>
      <c r="T1108" s="1">
        <v>97.757000000000005</v>
      </c>
    </row>
    <row r="1109" spans="1:28">
      <c r="A1109" s="1">
        <v>3000</v>
      </c>
      <c r="B1109" s="42">
        <v>90.334999999999994</v>
      </c>
      <c r="C1109" s="42">
        <v>90.296999999999997</v>
      </c>
      <c r="D1109" s="42">
        <v>90.277000000000001</v>
      </c>
      <c r="E1109" s="42">
        <v>90.257999999999996</v>
      </c>
      <c r="F1109" s="42">
        <v>90.239000000000004</v>
      </c>
      <c r="G1109" s="42">
        <v>90.22</v>
      </c>
      <c r="H1109" s="42">
        <v>90.180999999999997</v>
      </c>
      <c r="I1109" s="42">
        <v>90.141999999999996</v>
      </c>
      <c r="J1109" s="296">
        <v>8684</v>
      </c>
      <c r="K1109" s="1">
        <v>5200</v>
      </c>
      <c r="L1109" s="1">
        <v>-97.757000000000005</v>
      </c>
      <c r="M1109" s="1">
        <v>-73.266000000000005</v>
      </c>
      <c r="N1109" s="1">
        <v>-48.82</v>
      </c>
      <c r="O1109" s="1">
        <v>-24.402999999999999</v>
      </c>
      <c r="P1109" s="365">
        <v>0</v>
      </c>
      <c r="Q1109" s="1">
        <v>24.402000000000001</v>
      </c>
      <c r="R1109" s="1">
        <v>48.819000000000003</v>
      </c>
      <c r="S1109" s="1">
        <v>73.266000000000005</v>
      </c>
      <c r="T1109" s="1">
        <v>97.757000000000005</v>
      </c>
    </row>
    <row r="1110" spans="1:28">
      <c r="A1110" s="1">
        <v>3050</v>
      </c>
      <c r="B1110" s="42">
        <v>89.79</v>
      </c>
      <c r="C1110" s="42">
        <v>89.751999999999995</v>
      </c>
      <c r="D1110" s="42">
        <v>89.733000000000004</v>
      </c>
      <c r="E1110" s="42">
        <v>89.713999999999999</v>
      </c>
      <c r="F1110" s="42">
        <v>89.694999999999993</v>
      </c>
      <c r="G1110" s="42">
        <v>89.676000000000002</v>
      </c>
      <c r="H1110" s="42">
        <v>89.638000000000005</v>
      </c>
      <c r="I1110" s="42">
        <v>89.6</v>
      </c>
      <c r="J1110" s="296">
        <v>8634</v>
      </c>
      <c r="K1110" s="1">
        <v>5300</v>
      </c>
      <c r="L1110" s="1">
        <v>-97.757999999999996</v>
      </c>
      <c r="M1110" s="1">
        <v>-73.263999999999996</v>
      </c>
      <c r="N1110" s="1">
        <v>-48.82</v>
      </c>
      <c r="O1110" s="1">
        <v>-24.402999999999999</v>
      </c>
      <c r="P1110" s="365">
        <v>0</v>
      </c>
      <c r="Q1110" s="1">
        <v>24.402999999999999</v>
      </c>
      <c r="R1110" s="1">
        <v>48.82</v>
      </c>
      <c r="S1110" s="1">
        <v>73.27</v>
      </c>
      <c r="T1110" s="1">
        <v>97.759</v>
      </c>
    </row>
    <row r="1111" spans="1:28">
      <c r="A1111" s="1">
        <v>3100</v>
      </c>
      <c r="B1111" s="42">
        <v>89.245000000000005</v>
      </c>
      <c r="C1111" s="42">
        <v>89.207999999999998</v>
      </c>
      <c r="D1111" s="42">
        <v>89.188999999999993</v>
      </c>
      <c r="E1111" s="42">
        <v>89.17</v>
      </c>
      <c r="F1111" s="42">
        <v>89.152000000000001</v>
      </c>
      <c r="G1111" s="42">
        <v>89.132999999999996</v>
      </c>
      <c r="H1111" s="42">
        <v>89.096000000000004</v>
      </c>
      <c r="I1111" s="42">
        <v>89.058000000000007</v>
      </c>
      <c r="J1111" s="296">
        <v>8584</v>
      </c>
      <c r="K1111" s="1">
        <v>5400</v>
      </c>
      <c r="L1111" s="1">
        <v>-97.76</v>
      </c>
      <c r="M1111" s="1">
        <v>-73.266999999999996</v>
      </c>
      <c r="N1111" s="1">
        <v>-48.820999999999998</v>
      </c>
      <c r="O1111" s="1">
        <v>-24.402999999999999</v>
      </c>
      <c r="P1111" s="365">
        <v>0</v>
      </c>
      <c r="Q1111" s="1">
        <v>24.402999999999999</v>
      </c>
      <c r="R1111" s="1">
        <v>48.82</v>
      </c>
      <c r="S1111" s="1">
        <v>73.266999999999996</v>
      </c>
      <c r="T1111" s="1">
        <v>97.757000000000005</v>
      </c>
    </row>
    <row r="1112" spans="1:28">
      <c r="A1112" s="1">
        <v>3150</v>
      </c>
      <c r="B1112" s="42">
        <v>88.7</v>
      </c>
      <c r="C1112" s="42">
        <v>88.662999999999997</v>
      </c>
      <c r="D1112" s="42">
        <v>88.644999999999996</v>
      </c>
      <c r="E1112" s="42">
        <v>88.626000000000005</v>
      </c>
      <c r="F1112" s="42">
        <v>88.608000000000004</v>
      </c>
      <c r="G1112" s="42">
        <v>88.59</v>
      </c>
      <c r="H1112" s="42">
        <v>88.552999999999997</v>
      </c>
      <c r="I1112" s="42">
        <v>88.516000000000005</v>
      </c>
      <c r="J1112" s="296">
        <v>8534</v>
      </c>
      <c r="K1112" s="1">
        <v>5500</v>
      </c>
      <c r="L1112" s="1">
        <v>-97.757000000000005</v>
      </c>
      <c r="M1112" s="1">
        <v>-73.265000000000001</v>
      </c>
      <c r="N1112" s="1">
        <v>-48.82</v>
      </c>
      <c r="O1112" s="1">
        <v>-24.402000000000001</v>
      </c>
      <c r="P1112" s="365">
        <v>0</v>
      </c>
      <c r="Q1112" s="1">
        <v>24.402999999999999</v>
      </c>
      <c r="R1112" s="1">
        <v>48.819000000000003</v>
      </c>
      <c r="S1112" s="1">
        <v>73.266999999999996</v>
      </c>
      <c r="T1112" s="1">
        <v>97.757000000000005</v>
      </c>
    </row>
    <row r="1113" spans="1:28">
      <c r="A1113" s="1">
        <v>3200</v>
      </c>
      <c r="B1113" s="42">
        <v>88.155000000000001</v>
      </c>
      <c r="C1113" s="42">
        <v>88.119</v>
      </c>
      <c r="D1113" s="42">
        <v>88.100999999999999</v>
      </c>
      <c r="E1113" s="42">
        <v>88.081999999999994</v>
      </c>
      <c r="F1113" s="42">
        <v>88.063999999999993</v>
      </c>
      <c r="G1113" s="42">
        <v>88.046000000000006</v>
      </c>
      <c r="H1113" s="42">
        <v>88.01</v>
      </c>
      <c r="I1113" s="42">
        <v>87.974000000000004</v>
      </c>
      <c r="J1113" s="296">
        <v>8484</v>
      </c>
      <c r="K1113" s="1">
        <v>5600</v>
      </c>
      <c r="L1113" s="1">
        <v>-97.756</v>
      </c>
      <c r="M1113" s="1">
        <v>-73.265000000000001</v>
      </c>
      <c r="N1113" s="1">
        <v>-48.819000000000003</v>
      </c>
      <c r="O1113" s="1">
        <v>-24.402000000000001</v>
      </c>
      <c r="P1113" s="365">
        <v>0</v>
      </c>
      <c r="Q1113" s="1">
        <v>24.402000000000001</v>
      </c>
      <c r="R1113" s="1">
        <v>48.819000000000003</v>
      </c>
      <c r="S1113" s="1">
        <v>73.266000000000005</v>
      </c>
      <c r="T1113" s="1">
        <v>97.757999999999996</v>
      </c>
    </row>
    <row r="1114" spans="1:28">
      <c r="A1114" s="1">
        <v>3250</v>
      </c>
      <c r="B1114" s="42">
        <v>87.61</v>
      </c>
      <c r="C1114" s="42">
        <v>87.573999999999998</v>
      </c>
      <c r="D1114" s="42">
        <v>87.555999999999997</v>
      </c>
      <c r="E1114" s="42">
        <v>87.539000000000001</v>
      </c>
      <c r="F1114" s="42">
        <v>87.521000000000001</v>
      </c>
      <c r="G1114" s="42">
        <v>87.503</v>
      </c>
      <c r="H1114" s="42">
        <v>87.466999999999999</v>
      </c>
      <c r="I1114" s="42">
        <v>87.432000000000002</v>
      </c>
      <c r="J1114" s="296">
        <v>8434</v>
      </c>
      <c r="K1114" s="1">
        <v>5700</v>
      </c>
      <c r="L1114" s="1">
        <v>-97.757999999999996</v>
      </c>
      <c r="M1114" s="1">
        <v>-73.266000000000005</v>
      </c>
      <c r="N1114" s="1">
        <v>-48.82</v>
      </c>
      <c r="O1114" s="1">
        <v>-24.402000000000001</v>
      </c>
      <c r="P1114" s="365">
        <v>0</v>
      </c>
      <c r="Q1114" s="1">
        <v>24.402999999999999</v>
      </c>
      <c r="R1114" s="1">
        <v>48.82</v>
      </c>
      <c r="S1114" s="1">
        <v>73.266999999999996</v>
      </c>
      <c r="T1114" s="1">
        <v>97.757999999999996</v>
      </c>
    </row>
    <row r="1115" spans="1:28">
      <c r="A1115" s="1">
        <v>3300</v>
      </c>
      <c r="B1115" s="42">
        <v>87.063999999999993</v>
      </c>
      <c r="C1115" s="42">
        <v>87.03</v>
      </c>
      <c r="D1115" s="42">
        <v>87.012</v>
      </c>
      <c r="E1115" s="42">
        <v>86.995000000000005</v>
      </c>
      <c r="F1115" s="42">
        <v>86.977000000000004</v>
      </c>
      <c r="G1115" s="42">
        <v>86.96</v>
      </c>
      <c r="H1115" s="42">
        <v>86.924999999999997</v>
      </c>
      <c r="I1115" s="42">
        <v>86.89</v>
      </c>
      <c r="J1115" s="296">
        <v>8384</v>
      </c>
      <c r="K1115" s="1">
        <v>5800</v>
      </c>
      <c r="L1115" s="1">
        <v>-97.757999999999996</v>
      </c>
      <c r="M1115" s="1">
        <v>-73.266999999999996</v>
      </c>
      <c r="N1115" s="1">
        <v>-48.82</v>
      </c>
      <c r="O1115" s="1">
        <v>-24.402000000000001</v>
      </c>
      <c r="P1115" s="365">
        <v>0</v>
      </c>
      <c r="Q1115" s="1">
        <v>24.402000000000001</v>
      </c>
      <c r="R1115" s="1">
        <v>48.819000000000003</v>
      </c>
      <c r="S1115" s="1">
        <v>73.266000000000005</v>
      </c>
      <c r="T1115" s="1">
        <v>97.757000000000005</v>
      </c>
    </row>
    <row r="1116" spans="1:28">
      <c r="A1116" s="1">
        <v>3350</v>
      </c>
      <c r="B1116" s="42">
        <v>86.519000000000005</v>
      </c>
      <c r="C1116" s="42">
        <v>86.484999999999999</v>
      </c>
      <c r="D1116" s="42">
        <v>86.468000000000004</v>
      </c>
      <c r="E1116" s="42">
        <v>86.450999999999993</v>
      </c>
      <c r="F1116" s="42">
        <v>86.433999999999997</v>
      </c>
      <c r="G1116" s="42">
        <v>86.415999999999997</v>
      </c>
      <c r="H1116" s="42">
        <v>86.382000000000005</v>
      </c>
      <c r="I1116" s="42">
        <v>86.347999999999999</v>
      </c>
      <c r="J1116" s="296">
        <v>8334</v>
      </c>
      <c r="K1116" s="1">
        <v>5900</v>
      </c>
      <c r="L1116" s="1">
        <v>-97.757000000000005</v>
      </c>
      <c r="M1116" s="1">
        <v>-73.265000000000001</v>
      </c>
      <c r="N1116" s="1">
        <v>-48.82</v>
      </c>
      <c r="O1116" s="1">
        <v>-24.402000000000001</v>
      </c>
      <c r="P1116" s="365">
        <v>0</v>
      </c>
      <c r="Q1116" s="1">
        <v>24.402000000000001</v>
      </c>
      <c r="R1116" s="1">
        <v>48.82</v>
      </c>
      <c r="S1116" s="1">
        <v>73.266000000000005</v>
      </c>
      <c r="T1116" s="1">
        <v>97.757999999999996</v>
      </c>
    </row>
    <row r="1117" spans="1:28">
      <c r="A1117" s="1">
        <v>3400</v>
      </c>
      <c r="B1117" s="42">
        <v>85.974000000000004</v>
      </c>
      <c r="C1117" s="42">
        <v>85.941000000000003</v>
      </c>
      <c r="D1117" s="42">
        <v>85.924000000000007</v>
      </c>
      <c r="E1117" s="42">
        <v>85.906999999999996</v>
      </c>
      <c r="F1117" s="42">
        <v>85.89</v>
      </c>
      <c r="G1117" s="42">
        <v>85.873000000000005</v>
      </c>
      <c r="H1117" s="42">
        <v>85.838999999999999</v>
      </c>
      <c r="I1117" s="42">
        <v>85.805999999999997</v>
      </c>
      <c r="J1117" s="296">
        <v>8284</v>
      </c>
      <c r="K1117" s="1">
        <v>6000</v>
      </c>
      <c r="L1117" s="1">
        <v>-97.757000000000005</v>
      </c>
      <c r="M1117" s="1">
        <v>-73.265000000000001</v>
      </c>
      <c r="N1117" s="1">
        <v>-48.819000000000003</v>
      </c>
      <c r="O1117" s="1">
        <v>-24.402000000000001</v>
      </c>
      <c r="P1117" s="365">
        <v>0</v>
      </c>
      <c r="Q1117" s="1">
        <v>24.402000000000001</v>
      </c>
      <c r="R1117" s="1">
        <v>48.82</v>
      </c>
      <c r="S1117" s="1">
        <v>73.266999999999996</v>
      </c>
      <c r="T1117" s="1">
        <v>97.757999999999996</v>
      </c>
    </row>
    <row r="1118" spans="1:28">
      <c r="A1118" s="1">
        <v>3450</v>
      </c>
      <c r="B1118" s="42">
        <v>85.429000000000002</v>
      </c>
      <c r="C1118" s="42">
        <v>85.396000000000001</v>
      </c>
      <c r="D1118" s="42">
        <v>85.379000000000005</v>
      </c>
      <c r="E1118" s="42">
        <v>85.363</v>
      </c>
      <c r="F1118" s="42">
        <v>85.346000000000004</v>
      </c>
      <c r="G1118" s="42">
        <v>85.33</v>
      </c>
      <c r="H1118" s="42">
        <v>85.296999999999997</v>
      </c>
      <c r="I1118" s="42">
        <v>85.263000000000005</v>
      </c>
      <c r="J1118" s="296">
        <v>8234</v>
      </c>
      <c r="K1118" s="1">
        <v>6100</v>
      </c>
      <c r="L1118" s="1">
        <v>-97.757999999999996</v>
      </c>
      <c r="M1118" s="1">
        <v>-73.266000000000005</v>
      </c>
      <c r="N1118" s="1">
        <v>-48.82</v>
      </c>
      <c r="O1118" s="1">
        <v>-24.401</v>
      </c>
      <c r="P1118" s="365">
        <v>0</v>
      </c>
      <c r="Q1118" s="1">
        <v>24.402000000000001</v>
      </c>
      <c r="R1118" s="1">
        <v>48.82</v>
      </c>
      <c r="S1118" s="1">
        <v>73.266000000000005</v>
      </c>
      <c r="T1118" s="1">
        <v>97.757000000000005</v>
      </c>
    </row>
    <row r="1119" spans="1:28">
      <c r="A1119" s="1">
        <v>3500</v>
      </c>
      <c r="B1119" s="42">
        <v>84.884</v>
      </c>
      <c r="C1119" s="42">
        <v>84.850999999999999</v>
      </c>
      <c r="D1119" s="42">
        <v>84.834999999999994</v>
      </c>
      <c r="E1119" s="42">
        <v>84.819000000000003</v>
      </c>
      <c r="F1119" s="42">
        <v>84.802999999999997</v>
      </c>
      <c r="G1119" s="42">
        <v>84.786000000000001</v>
      </c>
      <c r="H1119" s="42">
        <v>84.754000000000005</v>
      </c>
      <c r="I1119" s="42">
        <v>84.721000000000004</v>
      </c>
      <c r="J1119" s="296">
        <v>8184</v>
      </c>
      <c r="K1119" s="1">
        <v>6200</v>
      </c>
      <c r="L1119" s="1">
        <v>-97.757999999999996</v>
      </c>
      <c r="M1119" s="1">
        <v>-73.265000000000001</v>
      </c>
      <c r="N1119" s="1">
        <v>-48.82</v>
      </c>
      <c r="O1119" s="1">
        <v>-24.402000000000001</v>
      </c>
      <c r="P1119" s="365">
        <v>0</v>
      </c>
      <c r="Q1119" s="1">
        <v>24.402000000000001</v>
      </c>
      <c r="R1119" s="1">
        <v>48.82</v>
      </c>
      <c r="S1119" s="1">
        <v>73.266999999999996</v>
      </c>
      <c r="T1119" s="1">
        <v>97.757999999999996</v>
      </c>
    </row>
    <row r="1120" spans="1:28">
      <c r="A1120" s="1">
        <v>3550</v>
      </c>
      <c r="B1120" s="42">
        <v>84.338999999999999</v>
      </c>
      <c r="C1120" s="42">
        <v>84.307000000000002</v>
      </c>
      <c r="D1120" s="42">
        <v>84.290999999999997</v>
      </c>
      <c r="E1120" s="42">
        <v>84.275000000000006</v>
      </c>
      <c r="F1120" s="42">
        <v>84.259</v>
      </c>
      <c r="G1120" s="42">
        <v>84.242999999999995</v>
      </c>
      <c r="H1120" s="42">
        <v>84.210999999999999</v>
      </c>
      <c r="I1120" s="42">
        <v>84.179000000000002</v>
      </c>
      <c r="J1120" s="296">
        <v>8134</v>
      </c>
      <c r="K1120" s="1">
        <v>6300</v>
      </c>
      <c r="L1120" s="1">
        <v>-97.757000000000005</v>
      </c>
      <c r="M1120" s="1">
        <v>-73.266000000000005</v>
      </c>
      <c r="N1120" s="1">
        <v>-48.82</v>
      </c>
      <c r="O1120" s="1">
        <v>-24.402000000000001</v>
      </c>
      <c r="P1120" s="365">
        <v>0</v>
      </c>
      <c r="Q1120" s="1">
        <v>24.402000000000001</v>
      </c>
      <c r="R1120" s="1">
        <v>48.819000000000003</v>
      </c>
      <c r="S1120" s="1">
        <v>73.266000000000005</v>
      </c>
      <c r="T1120" s="1">
        <v>97.724000000000004</v>
      </c>
    </row>
    <row r="1121" spans="1:20">
      <c r="A1121" s="1">
        <v>3600</v>
      </c>
      <c r="B1121" s="42">
        <v>83.793999999999997</v>
      </c>
      <c r="C1121" s="42">
        <v>83.762</v>
      </c>
      <c r="D1121" s="42">
        <v>83.747</v>
      </c>
      <c r="E1121" s="42">
        <v>83.730999999999995</v>
      </c>
      <c r="F1121" s="42">
        <v>83.715000000000003</v>
      </c>
      <c r="G1121" s="42">
        <v>83.7</v>
      </c>
      <c r="H1121" s="42">
        <v>83.668000000000006</v>
      </c>
      <c r="I1121" s="42">
        <v>83.637</v>
      </c>
      <c r="J1121" s="296">
        <v>8084</v>
      </c>
      <c r="K1121" s="1">
        <v>6400</v>
      </c>
      <c r="L1121" s="1">
        <v>-97.757000000000005</v>
      </c>
      <c r="M1121" s="1">
        <v>-73.266000000000005</v>
      </c>
      <c r="N1121" s="1">
        <v>-48.82</v>
      </c>
      <c r="O1121" s="1">
        <v>-24.402999999999999</v>
      </c>
      <c r="P1121" s="365">
        <v>0</v>
      </c>
      <c r="Q1121" s="1">
        <v>24.402999999999999</v>
      </c>
      <c r="R1121" s="1">
        <v>48.805999999999997</v>
      </c>
      <c r="S1121" s="1">
        <v>73.111000000000004</v>
      </c>
      <c r="T1121" s="1">
        <v>97.316999999999993</v>
      </c>
    </row>
    <row r="1122" spans="1:20">
      <c r="A1122" s="1">
        <v>3650</v>
      </c>
      <c r="B1122" s="42">
        <v>83.248000000000005</v>
      </c>
      <c r="C1122" s="42">
        <v>83.218000000000004</v>
      </c>
      <c r="D1122" s="42">
        <v>83.201999999999998</v>
      </c>
      <c r="E1122" s="42">
        <v>83.186999999999998</v>
      </c>
      <c r="F1122" s="42">
        <v>83.171999999999997</v>
      </c>
      <c r="G1122" s="42">
        <v>83.156000000000006</v>
      </c>
      <c r="H1122" s="42">
        <v>83.126000000000005</v>
      </c>
      <c r="I1122" s="42">
        <v>83.094999999999999</v>
      </c>
      <c r="J1122" s="296">
        <v>8034</v>
      </c>
      <c r="K1122" s="1">
        <v>6500</v>
      </c>
      <c r="L1122" s="1">
        <v>-97.757000000000005</v>
      </c>
      <c r="M1122" s="1">
        <v>-73.263000000000005</v>
      </c>
      <c r="N1122" s="1">
        <v>-48.816000000000003</v>
      </c>
      <c r="O1122" s="1">
        <v>-24.398</v>
      </c>
      <c r="P1122" s="365">
        <v>0</v>
      </c>
      <c r="Q1122" s="1">
        <v>24.364000000000001</v>
      </c>
      <c r="R1122" s="1">
        <v>48.6</v>
      </c>
      <c r="S1122" s="1">
        <v>72.718999999999994</v>
      </c>
      <c r="T1122" s="1">
        <v>96.736999999999995</v>
      </c>
    </row>
    <row r="1123" spans="1:20">
      <c r="A1123" s="1">
        <v>3700</v>
      </c>
      <c r="B1123" s="42">
        <v>82.703000000000003</v>
      </c>
      <c r="C1123" s="42">
        <v>82.673000000000002</v>
      </c>
      <c r="D1123" s="42">
        <v>82.658000000000001</v>
      </c>
      <c r="E1123" s="42">
        <v>82.643000000000001</v>
      </c>
      <c r="F1123" s="42">
        <v>82.628</v>
      </c>
      <c r="G1123" s="42">
        <v>82.613</v>
      </c>
      <c r="H1123" s="42">
        <v>82.582999999999998</v>
      </c>
      <c r="I1123" s="42">
        <v>82.552999999999997</v>
      </c>
      <c r="J1123" s="296">
        <v>7984</v>
      </c>
      <c r="K1123" s="1">
        <v>6600</v>
      </c>
      <c r="L1123" s="1">
        <v>-97.745999999999995</v>
      </c>
      <c r="M1123" s="1">
        <v>-73.177000000000007</v>
      </c>
      <c r="N1123" s="1">
        <v>-48.655999999999999</v>
      </c>
      <c r="O1123" s="1">
        <v>-24.247</v>
      </c>
      <c r="P1123" s="365">
        <v>0</v>
      </c>
      <c r="Q1123" s="1">
        <v>24.216999999999999</v>
      </c>
      <c r="R1123" s="1">
        <v>48.305</v>
      </c>
      <c r="S1123" s="1">
        <v>72.278000000000006</v>
      </c>
      <c r="T1123" s="1">
        <v>96.15</v>
      </c>
    </row>
    <row r="1124" spans="1:20">
      <c r="A1124" s="1">
        <v>3750</v>
      </c>
      <c r="B1124" s="42">
        <v>82.158000000000001</v>
      </c>
      <c r="C1124" s="42">
        <v>82.129000000000005</v>
      </c>
      <c r="D1124" s="42">
        <v>82.114000000000004</v>
      </c>
      <c r="E1124" s="42">
        <v>82.099000000000004</v>
      </c>
      <c r="F1124" s="42">
        <v>82.084000000000003</v>
      </c>
      <c r="G1124" s="42">
        <v>82.07</v>
      </c>
      <c r="H1124" s="42">
        <v>82.04</v>
      </c>
      <c r="I1124" s="42">
        <v>82.010999999999996</v>
      </c>
      <c r="J1124" s="296">
        <v>7934</v>
      </c>
      <c r="K1124" s="1">
        <v>6700</v>
      </c>
      <c r="L1124" s="1">
        <v>-97.421000000000006</v>
      </c>
      <c r="M1124" s="1">
        <v>-72.793000000000006</v>
      </c>
      <c r="N1124" s="1">
        <v>-48.357999999999997</v>
      </c>
      <c r="O1124" s="1">
        <v>-23.95</v>
      </c>
      <c r="P1124" s="365">
        <v>0</v>
      </c>
      <c r="Q1124" s="1">
        <v>23.920999999999999</v>
      </c>
      <c r="R1124" s="1">
        <v>47.716000000000001</v>
      </c>
      <c r="S1124" s="1">
        <v>71.394999999999996</v>
      </c>
      <c r="T1124" s="1">
        <v>94.977999999999994</v>
      </c>
    </row>
    <row r="1125" spans="1:20">
      <c r="A1125" s="1">
        <v>3800</v>
      </c>
      <c r="B1125" s="42">
        <v>81.613</v>
      </c>
      <c r="C1125" s="42">
        <v>81.584000000000003</v>
      </c>
      <c r="D1125" s="42">
        <v>81.569999999999993</v>
      </c>
      <c r="E1125" s="42">
        <v>81.555000000000007</v>
      </c>
      <c r="F1125" s="42">
        <v>81.540999999999997</v>
      </c>
      <c r="G1125" s="42">
        <v>81.525999999999996</v>
      </c>
      <c r="H1125" s="42">
        <v>81.498000000000005</v>
      </c>
      <c r="I1125" s="42">
        <v>81.468999999999994</v>
      </c>
      <c r="J1125" s="296">
        <v>7884</v>
      </c>
      <c r="K1125" s="1">
        <v>6800</v>
      </c>
      <c r="L1125" s="1">
        <v>-96.822999999999993</v>
      </c>
      <c r="M1125" s="1">
        <v>-72.344999999999999</v>
      </c>
      <c r="N1125" s="1">
        <v>-48.06</v>
      </c>
      <c r="O1125" s="1">
        <v>-23.802</v>
      </c>
      <c r="P1125" s="365">
        <v>0</v>
      </c>
      <c r="Q1125" s="1">
        <v>23.774000000000001</v>
      </c>
      <c r="R1125" s="1">
        <v>47.420999999999999</v>
      </c>
      <c r="S1125" s="1">
        <v>70.954999999999998</v>
      </c>
      <c r="T1125" s="1">
        <v>94.391000000000005</v>
      </c>
    </row>
    <row r="1126" spans="1:20">
      <c r="A1126" s="1">
        <v>3850</v>
      </c>
      <c r="B1126" s="42">
        <v>81.067999999999998</v>
      </c>
      <c r="C1126" s="42">
        <v>81.040000000000006</v>
      </c>
      <c r="D1126" s="42">
        <v>81.025999999999996</v>
      </c>
      <c r="E1126" s="42">
        <v>81.010999999999996</v>
      </c>
      <c r="F1126" s="42">
        <v>80.997</v>
      </c>
      <c r="G1126" s="42">
        <v>80.983000000000004</v>
      </c>
      <c r="H1126" s="42">
        <v>80.954999999999998</v>
      </c>
      <c r="I1126" s="42">
        <v>80.927000000000007</v>
      </c>
      <c r="J1126" s="296">
        <v>7834</v>
      </c>
      <c r="K1126" s="1">
        <v>6900</v>
      </c>
      <c r="L1126" s="1">
        <v>-96.222999999999999</v>
      </c>
      <c r="M1126" s="1">
        <v>-71.897000000000006</v>
      </c>
      <c r="N1126" s="1">
        <v>-47.762</v>
      </c>
      <c r="O1126" s="1">
        <v>-23.802</v>
      </c>
      <c r="P1126" s="365">
        <v>0</v>
      </c>
      <c r="Q1126" s="1">
        <v>23.774000000000001</v>
      </c>
      <c r="R1126" s="1">
        <v>47.420999999999999</v>
      </c>
      <c r="S1126" s="1">
        <v>70.954999999999998</v>
      </c>
      <c r="T1126" s="1">
        <v>94.391000000000005</v>
      </c>
    </row>
    <row r="1127" spans="1:20">
      <c r="A1127" s="1">
        <v>3900</v>
      </c>
      <c r="B1127" s="42">
        <v>80.522999999999996</v>
      </c>
      <c r="C1127" s="42">
        <v>80.495000000000005</v>
      </c>
      <c r="D1127" s="42">
        <v>80.480999999999995</v>
      </c>
      <c r="E1127" s="42">
        <v>80.466999999999999</v>
      </c>
      <c r="F1127" s="42">
        <v>80.453999999999994</v>
      </c>
      <c r="G1127" s="42">
        <v>80.44</v>
      </c>
      <c r="H1127" s="42">
        <v>80.412000000000006</v>
      </c>
      <c r="I1127" s="42">
        <v>80.384</v>
      </c>
      <c r="J1127" s="296">
        <v>7784</v>
      </c>
      <c r="K1127" s="1">
        <v>7000</v>
      </c>
      <c r="L1127" s="1">
        <v>-95.623000000000005</v>
      </c>
      <c r="M1127" s="1">
        <v>-71.447999999999993</v>
      </c>
      <c r="N1127" s="1">
        <v>-47.465000000000003</v>
      </c>
      <c r="O1127" s="1">
        <v>-23.654</v>
      </c>
      <c r="P1127" s="365">
        <v>0</v>
      </c>
      <c r="Q1127" s="1">
        <v>23.626000000000001</v>
      </c>
      <c r="R1127" s="1">
        <v>47.127000000000002</v>
      </c>
      <c r="S1127" s="1">
        <v>70.513999999999996</v>
      </c>
      <c r="T1127" s="1">
        <v>93.805999999999997</v>
      </c>
    </row>
    <row r="1128" spans="1:20">
      <c r="A1128" s="1">
        <v>3950</v>
      </c>
      <c r="B1128" s="42">
        <v>79.977999999999994</v>
      </c>
      <c r="C1128" s="42">
        <v>79.950999999999993</v>
      </c>
      <c r="D1128" s="42">
        <v>79.936999999999998</v>
      </c>
      <c r="E1128" s="42">
        <v>79.924000000000007</v>
      </c>
      <c r="F1128" s="42">
        <v>79.91</v>
      </c>
      <c r="G1128" s="42">
        <v>79.896000000000001</v>
      </c>
      <c r="H1128" s="42">
        <v>79.869</v>
      </c>
      <c r="I1128" s="42">
        <v>79.841999999999999</v>
      </c>
      <c r="J1128" s="296">
        <v>7734</v>
      </c>
      <c r="K1128" s="1">
        <v>7100</v>
      </c>
      <c r="L1128" s="1">
        <v>-95.025000000000006</v>
      </c>
      <c r="M1128" s="1">
        <v>-71.001000000000005</v>
      </c>
      <c r="N1128" s="1">
        <v>-47.167000000000002</v>
      </c>
      <c r="O1128" s="1">
        <v>-23.504999999999999</v>
      </c>
      <c r="P1128" s="365">
        <v>0</v>
      </c>
      <c r="Q1128" s="1">
        <v>23.478999999999999</v>
      </c>
      <c r="R1128" s="1">
        <v>46.832000000000001</v>
      </c>
      <c r="S1128" s="1">
        <v>70.075000000000003</v>
      </c>
      <c r="T1128" s="1">
        <v>93.22</v>
      </c>
    </row>
    <row r="1129" spans="1:20">
      <c r="A1129" s="1">
        <v>4000</v>
      </c>
      <c r="B1129" s="42">
        <v>79.433000000000007</v>
      </c>
      <c r="C1129" s="42">
        <v>79.406000000000006</v>
      </c>
      <c r="D1129" s="42">
        <v>79.393000000000001</v>
      </c>
      <c r="E1129" s="42">
        <v>79.38</v>
      </c>
      <c r="F1129" s="42">
        <v>79.366</v>
      </c>
      <c r="G1129" s="42">
        <v>79.352999999999994</v>
      </c>
      <c r="H1129" s="42">
        <v>79.326999999999998</v>
      </c>
      <c r="I1129" s="42">
        <v>79.3</v>
      </c>
      <c r="J1129" s="296">
        <v>7684</v>
      </c>
      <c r="K1129" s="1">
        <v>7200</v>
      </c>
      <c r="L1129" s="1">
        <v>-94.427000000000007</v>
      </c>
      <c r="M1129" s="1">
        <v>-70.552999999999997</v>
      </c>
      <c r="N1129" s="1">
        <v>-46.87</v>
      </c>
      <c r="O1129" s="1">
        <v>-23.356999999999999</v>
      </c>
      <c r="P1129" s="365">
        <v>0</v>
      </c>
      <c r="Q1129" s="1">
        <v>23.331</v>
      </c>
      <c r="R1129" s="1">
        <v>46.537999999999997</v>
      </c>
      <c r="S1129" s="1">
        <v>69.634</v>
      </c>
      <c r="T1129" s="1">
        <v>92.634</v>
      </c>
    </row>
    <row r="1130" spans="1:20">
      <c r="A1130" s="1">
        <v>4050</v>
      </c>
      <c r="B1130" s="42">
        <v>78.887</v>
      </c>
      <c r="C1130" s="42">
        <v>78.861999999999995</v>
      </c>
      <c r="D1130" s="42">
        <v>78.849000000000004</v>
      </c>
      <c r="E1130" s="42">
        <v>78.835999999999999</v>
      </c>
      <c r="F1130" s="42">
        <v>78.822999999999993</v>
      </c>
      <c r="G1130" s="42">
        <v>78.81</v>
      </c>
      <c r="H1130" s="42">
        <v>78.784000000000006</v>
      </c>
      <c r="I1130" s="42">
        <v>78.757999999999996</v>
      </c>
      <c r="J1130" s="296">
        <v>7634</v>
      </c>
      <c r="K1130" s="1">
        <v>7300</v>
      </c>
      <c r="L1130" s="1">
        <v>-93.826999999999998</v>
      </c>
      <c r="M1130" s="1">
        <v>-70.105000000000004</v>
      </c>
      <c r="N1130" s="1">
        <v>-46.572000000000003</v>
      </c>
      <c r="O1130" s="1">
        <v>-23.207999999999998</v>
      </c>
      <c r="P1130" s="365">
        <v>0</v>
      </c>
      <c r="Q1130" s="1">
        <v>23.181999999999999</v>
      </c>
      <c r="R1130" s="1">
        <v>46.243000000000002</v>
      </c>
      <c r="S1130" s="1">
        <v>69.192999999999998</v>
      </c>
      <c r="T1130" s="1">
        <v>92.046000000000006</v>
      </c>
    </row>
    <row r="1131" spans="1:20">
      <c r="A1131" s="1">
        <v>4100</v>
      </c>
      <c r="B1131" s="42">
        <v>78.341999999999999</v>
      </c>
      <c r="C1131" s="42">
        <v>78.316999999999993</v>
      </c>
      <c r="D1131" s="42">
        <v>78.304000000000002</v>
      </c>
      <c r="E1131" s="42">
        <v>78.292000000000002</v>
      </c>
      <c r="F1131" s="42">
        <v>78.278999999999996</v>
      </c>
      <c r="G1131" s="42">
        <v>78.266000000000005</v>
      </c>
      <c r="H1131" s="42">
        <v>78.241</v>
      </c>
      <c r="I1131" s="42">
        <v>78.215999999999994</v>
      </c>
      <c r="J1131" s="296">
        <v>7584</v>
      </c>
      <c r="K1131" s="1">
        <v>7400</v>
      </c>
      <c r="L1131" s="1">
        <v>-93.225999999999999</v>
      </c>
      <c r="M1131" s="1">
        <v>-69.656999999999996</v>
      </c>
      <c r="N1131" s="1">
        <v>-46.274999999999999</v>
      </c>
      <c r="O1131" s="1">
        <v>-23.06</v>
      </c>
      <c r="P1131" s="365">
        <v>0</v>
      </c>
      <c r="Q1131" s="1">
        <v>23.036000000000001</v>
      </c>
      <c r="R1131" s="1">
        <v>45.95</v>
      </c>
      <c r="S1131" s="1">
        <v>68.753</v>
      </c>
      <c r="T1131" s="1">
        <v>91.462999999999994</v>
      </c>
    </row>
    <row r="1132" spans="1:20">
      <c r="A1132" s="1">
        <v>4150</v>
      </c>
      <c r="B1132" s="42">
        <v>77.796999999999997</v>
      </c>
      <c r="C1132" s="42">
        <v>77.772999999999996</v>
      </c>
      <c r="D1132" s="42">
        <v>77.760000000000005</v>
      </c>
      <c r="E1132" s="42">
        <v>77.748000000000005</v>
      </c>
      <c r="F1132" s="42">
        <v>77.734999999999999</v>
      </c>
      <c r="G1132" s="42">
        <v>77.722999999999999</v>
      </c>
      <c r="H1132" s="42">
        <v>77.698999999999998</v>
      </c>
      <c r="I1132" s="42">
        <v>77.674000000000007</v>
      </c>
      <c r="J1132" s="296">
        <v>7534</v>
      </c>
      <c r="K1132" s="1">
        <v>7500</v>
      </c>
      <c r="L1132" s="1">
        <v>-92.628</v>
      </c>
      <c r="M1132" s="1">
        <v>-69.210999999999999</v>
      </c>
      <c r="N1132" s="1">
        <v>-45.976999999999997</v>
      </c>
      <c r="O1132" s="1">
        <v>-22.911999999999999</v>
      </c>
      <c r="P1132" s="365">
        <v>0</v>
      </c>
      <c r="Q1132" s="1">
        <v>22.888000000000002</v>
      </c>
      <c r="R1132" s="1">
        <v>45.654000000000003</v>
      </c>
      <c r="S1132" s="1">
        <v>68.31</v>
      </c>
      <c r="T1132" s="1">
        <v>90.875</v>
      </c>
    </row>
    <row r="1133" spans="1:20">
      <c r="A1133" s="1">
        <v>4200</v>
      </c>
      <c r="B1133" s="42">
        <v>77.251000000000005</v>
      </c>
      <c r="C1133" s="42">
        <v>77.221000000000004</v>
      </c>
      <c r="D1133" s="42">
        <v>77.213999999999999</v>
      </c>
      <c r="E1133" s="42">
        <v>77.201999999999998</v>
      </c>
      <c r="F1133" s="42">
        <v>77.19</v>
      </c>
      <c r="G1133" s="42">
        <v>77.177999999999997</v>
      </c>
      <c r="H1133" s="42">
        <v>77.153999999999996</v>
      </c>
      <c r="I1133" s="42">
        <v>77.13</v>
      </c>
      <c r="J1133" s="296">
        <v>7484</v>
      </c>
      <c r="K1133" s="1">
        <v>7600</v>
      </c>
      <c r="L1133" s="1">
        <v>-92.027000000000001</v>
      </c>
      <c r="M1133" s="1">
        <v>-68.760000000000005</v>
      </c>
      <c r="N1133" s="1">
        <v>-45.679000000000002</v>
      </c>
      <c r="O1133" s="1">
        <v>-22.763000000000002</v>
      </c>
      <c r="P1133" s="365">
        <v>0</v>
      </c>
      <c r="Q1133" s="1">
        <v>22.74</v>
      </c>
      <c r="R1133" s="1">
        <v>45.360999999999997</v>
      </c>
      <c r="S1133" s="1">
        <v>67.870999999999995</v>
      </c>
      <c r="T1133" s="1">
        <v>90.287999999999997</v>
      </c>
    </row>
    <row r="1134" spans="1:20">
      <c r="A1134" s="1">
        <v>4250</v>
      </c>
      <c r="B1134" s="42">
        <v>76.688999999999993</v>
      </c>
      <c r="C1134" s="42">
        <v>76.665000000000006</v>
      </c>
      <c r="D1134" s="42">
        <v>76.653000000000006</v>
      </c>
      <c r="E1134" s="42">
        <v>76.641000000000005</v>
      </c>
      <c r="F1134" s="42">
        <v>76.629000000000005</v>
      </c>
      <c r="G1134" s="42">
        <v>76.617000000000004</v>
      </c>
      <c r="H1134" s="42">
        <v>76.593000000000004</v>
      </c>
      <c r="I1134" s="42">
        <v>76.569000000000003</v>
      </c>
      <c r="J1134" s="296">
        <v>7434</v>
      </c>
      <c r="K1134" s="1">
        <v>7700</v>
      </c>
      <c r="L1134" s="1">
        <v>-91.427000000000007</v>
      </c>
      <c r="M1134" s="1">
        <v>-68.313999999999993</v>
      </c>
      <c r="N1134" s="1">
        <v>-45.381999999999998</v>
      </c>
      <c r="O1134" s="1">
        <v>-22.614999999999998</v>
      </c>
      <c r="P1134" s="365">
        <v>0</v>
      </c>
      <c r="Q1134" s="1">
        <v>22.593</v>
      </c>
      <c r="R1134" s="1">
        <v>45.066000000000003</v>
      </c>
      <c r="S1134" s="1">
        <v>67.430999999999997</v>
      </c>
      <c r="T1134" s="1">
        <v>89.703999999999994</v>
      </c>
    </row>
    <row r="1135" spans="1:20">
      <c r="A1135" s="1">
        <v>4300</v>
      </c>
      <c r="B1135" s="42">
        <v>76.128</v>
      </c>
      <c r="C1135" s="42">
        <v>76.103999999999999</v>
      </c>
      <c r="D1135" s="42">
        <v>76.091999999999999</v>
      </c>
      <c r="E1135" s="42">
        <v>76.08</v>
      </c>
      <c r="F1135" s="42">
        <v>76.067999999999998</v>
      </c>
      <c r="G1135" s="42">
        <v>76.055999999999997</v>
      </c>
      <c r="H1135" s="42">
        <v>76.031999999999996</v>
      </c>
      <c r="I1135" s="42">
        <v>76.007000000000005</v>
      </c>
      <c r="J1135" s="296">
        <v>7384</v>
      </c>
      <c r="K1135" s="1">
        <v>7800</v>
      </c>
      <c r="L1135" s="1">
        <v>-90.831000000000003</v>
      </c>
      <c r="M1135" s="1">
        <v>-67.867000000000004</v>
      </c>
      <c r="N1135" s="1">
        <v>-45.085000000000001</v>
      </c>
      <c r="O1135" s="1">
        <v>-22.466999999999999</v>
      </c>
      <c r="P1135" s="365">
        <v>0</v>
      </c>
      <c r="Q1135" s="1">
        <v>22.445</v>
      </c>
      <c r="R1135" s="1">
        <v>44.771000000000001</v>
      </c>
      <c r="S1135" s="1">
        <v>66.989000000000004</v>
      </c>
      <c r="T1135" s="1">
        <v>89.116</v>
      </c>
    </row>
    <row r="1136" spans="1:20">
      <c r="A1136" s="1">
        <v>4350</v>
      </c>
      <c r="B1136" s="42">
        <v>75.566999999999993</v>
      </c>
      <c r="C1136" s="42">
        <v>75.543000000000006</v>
      </c>
      <c r="D1136" s="42">
        <v>75.53</v>
      </c>
      <c r="E1136" s="42">
        <v>75.518000000000001</v>
      </c>
      <c r="F1136" s="42">
        <v>75.506</v>
      </c>
      <c r="G1136" s="42">
        <v>75.494</v>
      </c>
      <c r="H1136" s="42">
        <v>75.47</v>
      </c>
      <c r="I1136" s="42">
        <v>75.445999999999998</v>
      </c>
      <c r="J1136" s="296">
        <v>7334</v>
      </c>
      <c r="K1136" s="1">
        <v>7900</v>
      </c>
      <c r="L1136" s="1">
        <v>-90.228999999999999</v>
      </c>
      <c r="M1136" s="1">
        <v>-67.417000000000002</v>
      </c>
      <c r="N1136" s="1">
        <v>-44.786999999999999</v>
      </c>
      <c r="O1136" s="1">
        <v>-22.318000000000001</v>
      </c>
      <c r="P1136" s="365">
        <v>0</v>
      </c>
      <c r="Q1136" s="1">
        <v>22.297999999999998</v>
      </c>
      <c r="R1136" s="1">
        <v>44.476999999999997</v>
      </c>
      <c r="S1136" s="1">
        <v>66.549000000000007</v>
      </c>
      <c r="T1136" s="1">
        <v>88.53</v>
      </c>
    </row>
    <row r="1137" spans="1:20">
      <c r="A1137" s="1">
        <v>4400</v>
      </c>
      <c r="B1137" s="42">
        <v>75.004999999999995</v>
      </c>
      <c r="C1137" s="42">
        <v>74.980999999999995</v>
      </c>
      <c r="D1137" s="42">
        <v>74.968999999999994</v>
      </c>
      <c r="E1137" s="42">
        <v>74.956999999999994</v>
      </c>
      <c r="F1137" s="42">
        <v>74.944999999999993</v>
      </c>
      <c r="G1137" s="42">
        <v>74.933000000000007</v>
      </c>
      <c r="H1137" s="42">
        <v>74.909000000000006</v>
      </c>
      <c r="I1137" s="42">
        <v>74.885000000000005</v>
      </c>
      <c r="J1137" s="296">
        <v>7284</v>
      </c>
      <c r="K1137" s="1">
        <v>8000</v>
      </c>
      <c r="L1137" s="1">
        <v>-89.63</v>
      </c>
      <c r="M1137" s="1">
        <v>-66.968999999999994</v>
      </c>
      <c r="N1137" s="1">
        <v>-44.488</v>
      </c>
      <c r="O1137" s="1">
        <v>-22.170999999999999</v>
      </c>
      <c r="P1137" s="365">
        <v>0</v>
      </c>
      <c r="Q1137" s="1">
        <v>22.151</v>
      </c>
      <c r="R1137" s="1">
        <v>44.182000000000002</v>
      </c>
      <c r="S1137" s="1">
        <v>66.108000000000004</v>
      </c>
      <c r="T1137" s="1">
        <v>87.942999999999998</v>
      </c>
    </row>
    <row r="1138" spans="1:20">
      <c r="A1138" s="1">
        <v>4450</v>
      </c>
      <c r="B1138" s="42">
        <v>74.444000000000003</v>
      </c>
      <c r="C1138" s="42">
        <v>74.42</v>
      </c>
      <c r="D1138" s="42">
        <v>74.408000000000001</v>
      </c>
      <c r="E1138" s="42">
        <v>74.396000000000001</v>
      </c>
      <c r="F1138" s="42">
        <v>74.384</v>
      </c>
      <c r="G1138" s="42">
        <v>74.372</v>
      </c>
      <c r="H1138" s="42">
        <v>74.346999999999994</v>
      </c>
      <c r="I1138" s="42">
        <v>74.322999999999993</v>
      </c>
      <c r="J1138" s="296">
        <v>7234</v>
      </c>
      <c r="K1138" s="1">
        <v>8100</v>
      </c>
      <c r="L1138" s="1">
        <v>-89.03</v>
      </c>
      <c r="M1138" s="1">
        <v>-66.522000000000006</v>
      </c>
      <c r="N1138" s="1">
        <v>-44.191000000000003</v>
      </c>
      <c r="O1138" s="1">
        <v>-22.021999999999998</v>
      </c>
      <c r="P1138" s="365">
        <v>0</v>
      </c>
      <c r="Q1138" s="1">
        <v>22.001999999999999</v>
      </c>
      <c r="R1138" s="1">
        <v>43.889000000000003</v>
      </c>
      <c r="S1138" s="1">
        <v>65.668999999999997</v>
      </c>
      <c r="T1138" s="1">
        <v>87.358000000000004</v>
      </c>
    </row>
    <row r="1139" spans="1:20">
      <c r="A1139" s="1">
        <v>4500</v>
      </c>
      <c r="B1139" s="42">
        <v>73.882000000000005</v>
      </c>
      <c r="C1139" s="42">
        <v>73.858000000000004</v>
      </c>
      <c r="D1139" s="42">
        <v>73.846000000000004</v>
      </c>
      <c r="E1139" s="42">
        <v>73.834000000000003</v>
      </c>
      <c r="F1139" s="42">
        <v>73.822000000000003</v>
      </c>
      <c r="G1139" s="42">
        <v>73.81</v>
      </c>
      <c r="H1139" s="42">
        <v>73.786000000000001</v>
      </c>
      <c r="I1139" s="42">
        <v>73.762</v>
      </c>
      <c r="J1139" s="296">
        <v>7184</v>
      </c>
      <c r="K1139" s="1">
        <v>8200</v>
      </c>
      <c r="L1139" s="1">
        <v>-88.432000000000002</v>
      </c>
      <c r="M1139" s="1">
        <v>-66.073999999999998</v>
      </c>
      <c r="N1139" s="1">
        <v>-43.893999999999998</v>
      </c>
      <c r="O1139" s="1">
        <v>-21.873999999999999</v>
      </c>
      <c r="P1139" s="365">
        <v>0</v>
      </c>
      <c r="Q1139" s="1">
        <v>21.853999999999999</v>
      </c>
      <c r="R1139" s="1">
        <v>43.593000000000004</v>
      </c>
      <c r="S1139" s="1">
        <v>65.227999999999994</v>
      </c>
      <c r="T1139" s="1">
        <v>86.772000000000006</v>
      </c>
    </row>
    <row r="1140" spans="1:20">
      <c r="A1140" s="1">
        <v>4550</v>
      </c>
      <c r="B1140" s="42">
        <v>73.320999999999998</v>
      </c>
      <c r="C1140" s="42">
        <v>73.296999999999997</v>
      </c>
      <c r="D1140" s="42">
        <v>73.284999999999997</v>
      </c>
      <c r="E1140" s="42">
        <v>73.272999999999996</v>
      </c>
      <c r="F1140" s="42">
        <v>73.260999999999996</v>
      </c>
      <c r="G1140" s="42">
        <v>73.248999999999995</v>
      </c>
      <c r="H1140" s="42">
        <v>73.224999999999994</v>
      </c>
      <c r="I1140" s="42">
        <v>73.200999999999993</v>
      </c>
      <c r="J1140" s="296">
        <v>7134</v>
      </c>
      <c r="K1140" s="1">
        <v>8300</v>
      </c>
      <c r="L1140" s="1">
        <v>-87.831999999999994</v>
      </c>
      <c r="M1140" s="1">
        <v>-65.626000000000005</v>
      </c>
      <c r="N1140" s="1">
        <v>-43.595999999999997</v>
      </c>
      <c r="O1140" s="1">
        <v>-21.725999999999999</v>
      </c>
      <c r="P1140" s="365">
        <v>0</v>
      </c>
      <c r="Q1140" s="1">
        <v>21.707000000000001</v>
      </c>
      <c r="R1140" s="1">
        <v>43.298999999999999</v>
      </c>
      <c r="S1140" s="1">
        <v>64.787000000000006</v>
      </c>
      <c r="T1140" s="1">
        <v>86.185000000000002</v>
      </c>
    </row>
    <row r="1141" spans="1:20">
      <c r="A1141" s="1">
        <v>4600</v>
      </c>
      <c r="B1141" s="42">
        <v>72.760000000000005</v>
      </c>
      <c r="C1141" s="42">
        <v>72.736000000000004</v>
      </c>
      <c r="D1141" s="42">
        <v>72.724000000000004</v>
      </c>
      <c r="E1141" s="42">
        <v>72.712000000000003</v>
      </c>
      <c r="F1141" s="42">
        <v>72.7</v>
      </c>
      <c r="G1141" s="42">
        <v>72.686999999999998</v>
      </c>
      <c r="H1141" s="42">
        <v>72.662999999999997</v>
      </c>
      <c r="I1141" s="42">
        <v>72.638999999999996</v>
      </c>
      <c r="J1141" s="296">
        <v>7084</v>
      </c>
      <c r="K1141" s="1">
        <v>8400</v>
      </c>
      <c r="L1141" s="1">
        <v>-87.233000000000004</v>
      </c>
      <c r="M1141" s="1">
        <v>-65.179000000000002</v>
      </c>
      <c r="N1141" s="1">
        <v>-43.3</v>
      </c>
      <c r="O1141" s="1">
        <v>-21.577000000000002</v>
      </c>
      <c r="P1141" s="365">
        <v>0</v>
      </c>
      <c r="Q1141" s="1">
        <v>21.56</v>
      </c>
      <c r="R1141" s="1">
        <v>43.005000000000003</v>
      </c>
      <c r="S1141" s="1">
        <v>64.346000000000004</v>
      </c>
      <c r="T1141" s="1">
        <v>85.599000000000004</v>
      </c>
    </row>
    <row r="1142" spans="1:20">
      <c r="A1142" s="1">
        <v>4650</v>
      </c>
      <c r="B1142" s="42">
        <v>72.197999999999993</v>
      </c>
      <c r="C1142" s="42">
        <v>72.174000000000007</v>
      </c>
      <c r="D1142" s="42">
        <v>72.162000000000006</v>
      </c>
      <c r="E1142" s="42">
        <v>72.150000000000006</v>
      </c>
      <c r="F1142" s="42">
        <v>72.138000000000005</v>
      </c>
      <c r="G1142" s="42">
        <v>72.126000000000005</v>
      </c>
      <c r="H1142" s="42">
        <v>72.102000000000004</v>
      </c>
      <c r="I1142" s="42">
        <v>72.078000000000003</v>
      </c>
      <c r="J1142" s="296">
        <v>7034</v>
      </c>
      <c r="K1142" s="1">
        <v>8500</v>
      </c>
      <c r="L1142" s="1">
        <v>-86.634</v>
      </c>
      <c r="M1142" s="1">
        <v>-64.731999999999999</v>
      </c>
      <c r="N1142" s="1">
        <v>-43.002000000000002</v>
      </c>
      <c r="O1142" s="1">
        <v>-21.428999999999998</v>
      </c>
      <c r="P1142" s="365">
        <v>0</v>
      </c>
      <c r="Q1142" s="1">
        <v>21.413</v>
      </c>
      <c r="R1142" s="1">
        <v>42.71</v>
      </c>
      <c r="S1142" s="1">
        <v>63.905999999999999</v>
      </c>
      <c r="T1142" s="1">
        <v>85.012</v>
      </c>
    </row>
    <row r="1143" spans="1:20">
      <c r="A1143" s="1">
        <v>4700</v>
      </c>
      <c r="B1143" s="42">
        <v>71.637</v>
      </c>
      <c r="C1143" s="42">
        <v>71.613</v>
      </c>
      <c r="D1143" s="42">
        <v>71.600999999999999</v>
      </c>
      <c r="E1143" s="42">
        <v>71.588999999999999</v>
      </c>
      <c r="F1143" s="42">
        <v>71.576999999999998</v>
      </c>
      <c r="G1143" s="42">
        <v>71.564999999999998</v>
      </c>
      <c r="H1143" s="42">
        <v>71.540999999999997</v>
      </c>
      <c r="I1143" s="42">
        <v>71.516999999999996</v>
      </c>
      <c r="J1143" s="296">
        <v>6984</v>
      </c>
      <c r="K1143" s="1">
        <v>8600</v>
      </c>
      <c r="L1143" s="1">
        <v>-86.034000000000006</v>
      </c>
      <c r="M1143" s="1">
        <v>-64.281999999999996</v>
      </c>
      <c r="N1143" s="1">
        <v>-42.704999999999998</v>
      </c>
      <c r="O1143" s="1">
        <v>-21.28</v>
      </c>
      <c r="P1143" s="365">
        <v>0</v>
      </c>
      <c r="Q1143" s="1">
        <v>21.265000000000001</v>
      </c>
      <c r="R1143" s="1">
        <v>42.417000000000002</v>
      </c>
      <c r="S1143" s="1">
        <v>63.466000000000001</v>
      </c>
      <c r="T1143" s="1">
        <v>84.426000000000002</v>
      </c>
    </row>
    <row r="1144" spans="1:20">
      <c r="A1144" s="1">
        <v>4750</v>
      </c>
      <c r="B1144" s="42">
        <v>71.075999999999993</v>
      </c>
      <c r="C1144" s="42">
        <v>71.052000000000007</v>
      </c>
      <c r="D1144" s="42">
        <v>71.040000000000006</v>
      </c>
      <c r="E1144" s="42">
        <v>71.027000000000001</v>
      </c>
      <c r="F1144" s="42">
        <v>71.015000000000001</v>
      </c>
      <c r="G1144" s="42">
        <v>71.003</v>
      </c>
      <c r="H1144" s="42">
        <v>70.978999999999999</v>
      </c>
      <c r="I1144" s="42">
        <v>70.954999999999998</v>
      </c>
      <c r="J1144" s="296">
        <v>6934</v>
      </c>
      <c r="K1144" s="1">
        <v>8700</v>
      </c>
      <c r="L1144" s="1">
        <v>-85.436000000000007</v>
      </c>
      <c r="M1144" s="1">
        <v>-63.834000000000003</v>
      </c>
      <c r="N1144" s="1">
        <v>-42.406999999999996</v>
      </c>
      <c r="O1144" s="1">
        <v>-21.132000000000001</v>
      </c>
      <c r="P1144" s="365">
        <v>0</v>
      </c>
      <c r="Q1144" s="1">
        <v>21.117000000000001</v>
      </c>
      <c r="R1144" s="1">
        <v>42.121000000000002</v>
      </c>
      <c r="S1144" s="1">
        <v>63.024999999999999</v>
      </c>
      <c r="T1144" s="1">
        <v>83.84</v>
      </c>
    </row>
    <row r="1145" spans="1:20">
      <c r="A1145" s="1">
        <v>4800</v>
      </c>
      <c r="B1145" s="42">
        <v>70.513999999999996</v>
      </c>
      <c r="C1145" s="42">
        <v>70.489999999999995</v>
      </c>
      <c r="D1145" s="42">
        <v>70.477999999999994</v>
      </c>
      <c r="E1145" s="42">
        <v>70.465999999999994</v>
      </c>
      <c r="F1145" s="42">
        <v>70.453999999999994</v>
      </c>
      <c r="G1145" s="42">
        <v>70.441999999999993</v>
      </c>
      <c r="H1145" s="42">
        <v>70.418000000000006</v>
      </c>
      <c r="I1145" s="42">
        <v>70.394000000000005</v>
      </c>
      <c r="J1145" s="296">
        <v>6884</v>
      </c>
      <c r="K1145" s="1">
        <v>8800</v>
      </c>
      <c r="L1145" s="1">
        <v>-84.834999999999994</v>
      </c>
      <c r="M1145" s="1">
        <v>-63.387</v>
      </c>
      <c r="N1145" s="1">
        <v>-42.109000000000002</v>
      </c>
      <c r="O1145" s="1">
        <v>-20.984000000000002</v>
      </c>
      <c r="P1145" s="365">
        <v>0</v>
      </c>
      <c r="Q1145" s="1">
        <v>20.969000000000001</v>
      </c>
      <c r="R1145" s="1">
        <v>41.826999999999998</v>
      </c>
      <c r="S1145" s="1">
        <v>62.584000000000003</v>
      </c>
      <c r="T1145" s="1">
        <v>83.254000000000005</v>
      </c>
    </row>
    <row r="1146" spans="1:20">
      <c r="A1146" s="1">
        <v>4850</v>
      </c>
      <c r="B1146" s="42">
        <v>69.953000000000003</v>
      </c>
      <c r="C1146" s="42">
        <v>69.929000000000002</v>
      </c>
      <c r="D1146" s="42">
        <v>69.917000000000002</v>
      </c>
      <c r="E1146" s="42">
        <v>69.905000000000001</v>
      </c>
      <c r="F1146" s="42">
        <v>69.893000000000001</v>
      </c>
      <c r="G1146" s="42">
        <v>69.881</v>
      </c>
      <c r="H1146" s="42">
        <v>69.856999999999999</v>
      </c>
      <c r="I1146" s="42">
        <v>69.832999999999998</v>
      </c>
      <c r="J1146" s="296">
        <v>6834</v>
      </c>
      <c r="K1146" s="1">
        <v>8900</v>
      </c>
      <c r="L1146" s="1">
        <v>-84.236000000000004</v>
      </c>
      <c r="M1146" s="1">
        <v>-62.939</v>
      </c>
      <c r="N1146" s="1">
        <v>-41.811</v>
      </c>
      <c r="O1146" s="1">
        <v>-20.835000000000001</v>
      </c>
      <c r="P1146" s="365">
        <v>0</v>
      </c>
      <c r="Q1146" s="1">
        <v>20.821999999999999</v>
      </c>
      <c r="R1146" s="1">
        <v>41.533000000000001</v>
      </c>
      <c r="S1146" s="1">
        <v>62.143000000000001</v>
      </c>
      <c r="T1146" s="1">
        <v>82.667000000000002</v>
      </c>
    </row>
    <row r="1147" spans="1:20">
      <c r="A1147" s="1">
        <v>4900</v>
      </c>
      <c r="B1147" s="42">
        <v>69.391999999999996</v>
      </c>
      <c r="C1147" s="42">
        <v>69.367999999999995</v>
      </c>
      <c r="D1147" s="42">
        <v>69.355000000000004</v>
      </c>
      <c r="E1147" s="42">
        <v>69.343000000000004</v>
      </c>
      <c r="F1147" s="42">
        <v>69.331000000000003</v>
      </c>
      <c r="G1147" s="42">
        <v>69.319000000000003</v>
      </c>
      <c r="H1147" s="42">
        <v>69.295000000000002</v>
      </c>
      <c r="I1147" s="42">
        <v>69.271000000000001</v>
      </c>
      <c r="J1147" s="296">
        <v>6784</v>
      </c>
      <c r="K1147" s="1">
        <v>9000</v>
      </c>
      <c r="L1147" s="1">
        <v>-83.637</v>
      </c>
      <c r="M1147" s="1">
        <v>-62.491</v>
      </c>
      <c r="N1147" s="1">
        <v>-41.512999999999998</v>
      </c>
      <c r="O1147" s="1">
        <v>-20.687000000000001</v>
      </c>
      <c r="P1147" s="365">
        <v>0</v>
      </c>
      <c r="Q1147" s="1">
        <v>20.673999999999999</v>
      </c>
      <c r="R1147" s="1">
        <v>41.238</v>
      </c>
      <c r="S1147" s="1">
        <v>61.701999999999998</v>
      </c>
      <c r="T1147" s="1">
        <v>82.081000000000003</v>
      </c>
    </row>
    <row r="1148" spans="1:20">
      <c r="A1148" s="1">
        <v>4950</v>
      </c>
      <c r="B1148" s="42">
        <v>68.83</v>
      </c>
      <c r="C1148" s="42">
        <v>68.805999999999997</v>
      </c>
      <c r="D1148" s="42">
        <v>68.793999999999997</v>
      </c>
      <c r="E1148" s="42">
        <v>68.781999999999996</v>
      </c>
      <c r="F1148" s="42">
        <v>68.77</v>
      </c>
      <c r="G1148" s="42">
        <v>68.757999999999996</v>
      </c>
      <c r="H1148" s="42">
        <v>68.733999999999995</v>
      </c>
      <c r="I1148" s="42">
        <v>68.709999999999994</v>
      </c>
      <c r="J1148" s="296">
        <v>6734</v>
      </c>
      <c r="K1148" s="1">
        <v>9100</v>
      </c>
      <c r="L1148" s="1">
        <v>-83.037000000000006</v>
      </c>
      <c r="M1148" s="1">
        <v>-62.043999999999997</v>
      </c>
      <c r="N1148" s="1">
        <v>-41.216999999999999</v>
      </c>
      <c r="O1148" s="1">
        <v>-20.538</v>
      </c>
      <c r="P1148" s="365">
        <v>0</v>
      </c>
      <c r="Q1148" s="1">
        <v>20.527000000000001</v>
      </c>
      <c r="R1148" s="1">
        <v>40.942999999999998</v>
      </c>
      <c r="S1148" s="1">
        <v>61.261000000000003</v>
      </c>
      <c r="T1148" s="1">
        <v>81.495000000000005</v>
      </c>
    </row>
    <row r="1149" spans="1:20">
      <c r="A1149" s="1">
        <v>5000</v>
      </c>
      <c r="B1149" s="42">
        <v>68.269000000000005</v>
      </c>
      <c r="C1149" s="42">
        <v>68.245000000000005</v>
      </c>
      <c r="D1149" s="42">
        <v>68.233000000000004</v>
      </c>
      <c r="E1149" s="42">
        <v>68.221000000000004</v>
      </c>
      <c r="F1149" s="42">
        <v>68.209000000000003</v>
      </c>
      <c r="G1149" s="42">
        <v>68.197000000000003</v>
      </c>
      <c r="H1149" s="42">
        <v>68.173000000000002</v>
      </c>
      <c r="I1149" s="42">
        <v>68.147999999999996</v>
      </c>
      <c r="J1149" s="296">
        <v>6684</v>
      </c>
      <c r="K1149" s="1">
        <v>9200</v>
      </c>
      <c r="L1149" s="1">
        <v>-82.438999999999993</v>
      </c>
      <c r="M1149" s="1">
        <v>-61.597000000000001</v>
      </c>
      <c r="N1149" s="1">
        <v>-40.917999999999999</v>
      </c>
      <c r="O1149" s="1">
        <v>-20.390999999999998</v>
      </c>
      <c r="P1149" s="365">
        <v>0</v>
      </c>
      <c r="Q1149" s="1">
        <v>20.379000000000001</v>
      </c>
      <c r="R1149" s="1">
        <v>40.649000000000001</v>
      </c>
      <c r="S1149" s="1">
        <v>60.820999999999998</v>
      </c>
      <c r="T1149" s="1">
        <v>80.909000000000006</v>
      </c>
    </row>
    <row r="1150" spans="1:20">
      <c r="A1150" s="1">
        <v>5050</v>
      </c>
      <c r="B1150" s="42">
        <v>67.707999999999998</v>
      </c>
      <c r="C1150" s="42">
        <v>67.683000000000007</v>
      </c>
      <c r="D1150" s="42">
        <v>67.671000000000006</v>
      </c>
      <c r="E1150" s="42">
        <v>67.659000000000006</v>
      </c>
      <c r="F1150" s="42">
        <v>67.647000000000006</v>
      </c>
      <c r="G1150" s="42">
        <v>67.635000000000005</v>
      </c>
      <c r="H1150" s="42">
        <v>67.611000000000004</v>
      </c>
      <c r="I1150" s="42">
        <v>67.587000000000003</v>
      </c>
      <c r="J1150" s="296">
        <v>6634</v>
      </c>
      <c r="K1150" s="1">
        <v>9300</v>
      </c>
      <c r="L1150" s="1">
        <v>-81.838999999999999</v>
      </c>
      <c r="M1150" s="1">
        <v>-61.148000000000003</v>
      </c>
      <c r="N1150" s="1">
        <v>-40.622</v>
      </c>
      <c r="O1150" s="1">
        <v>-20.242000000000001</v>
      </c>
      <c r="P1150" s="365">
        <v>0</v>
      </c>
      <c r="Q1150" s="1">
        <v>20.231000000000002</v>
      </c>
      <c r="R1150" s="1">
        <v>40.353999999999999</v>
      </c>
      <c r="S1150" s="1">
        <v>60.381</v>
      </c>
      <c r="T1150" s="1">
        <v>80.322999999999993</v>
      </c>
    </row>
    <row r="1151" spans="1:20">
      <c r="A1151" s="1">
        <v>5100</v>
      </c>
      <c r="B1151" s="42">
        <v>67.146000000000001</v>
      </c>
      <c r="C1151" s="42">
        <v>67.122</v>
      </c>
      <c r="D1151" s="42">
        <v>67.11</v>
      </c>
      <c r="E1151" s="42">
        <v>67.097999999999999</v>
      </c>
      <c r="F1151" s="42">
        <v>67.085999999999999</v>
      </c>
      <c r="G1151" s="42">
        <v>67.073999999999998</v>
      </c>
      <c r="H1151" s="42">
        <v>67.05</v>
      </c>
      <c r="I1151" s="42">
        <v>67.025999999999996</v>
      </c>
      <c r="J1151" s="296">
        <v>6584</v>
      </c>
      <c r="K1151" s="1">
        <v>9400</v>
      </c>
      <c r="L1151" s="1">
        <v>-81.241</v>
      </c>
      <c r="M1151" s="1">
        <v>-60.698999999999998</v>
      </c>
      <c r="N1151" s="1">
        <v>-40.323</v>
      </c>
      <c r="O1151" s="1">
        <v>-20.094000000000001</v>
      </c>
      <c r="P1151" s="365">
        <v>0</v>
      </c>
      <c r="Q1151" s="1">
        <v>20.084</v>
      </c>
      <c r="R1151" s="1">
        <v>40.06</v>
      </c>
      <c r="S1151" s="1">
        <v>59.939</v>
      </c>
      <c r="T1151" s="1">
        <v>79.736000000000004</v>
      </c>
    </row>
    <row r="1152" spans="1:20">
      <c r="A1152" s="1">
        <v>5150</v>
      </c>
      <c r="B1152" s="42">
        <v>66.584999999999994</v>
      </c>
      <c r="C1152" s="42">
        <v>66.561000000000007</v>
      </c>
      <c r="D1152" s="42">
        <v>66.549000000000007</v>
      </c>
      <c r="E1152" s="42">
        <v>66.537000000000006</v>
      </c>
      <c r="F1152" s="42">
        <v>66.525000000000006</v>
      </c>
      <c r="G1152" s="42">
        <v>66.513000000000005</v>
      </c>
      <c r="H1152" s="42">
        <v>66.488</v>
      </c>
      <c r="I1152" s="42">
        <v>66.463999999999999</v>
      </c>
      <c r="J1152" s="296">
        <v>6534</v>
      </c>
      <c r="K1152" s="1">
        <v>9500</v>
      </c>
      <c r="L1152" s="1">
        <v>-80.64</v>
      </c>
      <c r="M1152" s="1">
        <v>-60.252000000000002</v>
      </c>
      <c r="N1152" s="1">
        <v>-40.027000000000001</v>
      </c>
      <c r="O1152" s="1">
        <v>-19.946000000000002</v>
      </c>
      <c r="P1152" s="365">
        <v>0</v>
      </c>
      <c r="Q1152" s="1">
        <v>19.937000000000001</v>
      </c>
      <c r="R1152" s="1">
        <v>39.765000000000001</v>
      </c>
      <c r="S1152" s="1">
        <v>59.499000000000002</v>
      </c>
      <c r="T1152" s="1">
        <v>79.150000000000006</v>
      </c>
    </row>
    <row r="1153" spans="1:20">
      <c r="A1153" s="1">
        <v>5200</v>
      </c>
      <c r="B1153" s="42">
        <v>66.022999999999996</v>
      </c>
      <c r="C1153" s="42">
        <v>65.998999999999995</v>
      </c>
      <c r="D1153" s="42">
        <v>65.986999999999995</v>
      </c>
      <c r="E1153" s="42">
        <v>65.974999999999994</v>
      </c>
      <c r="F1153" s="42">
        <v>65.962999999999994</v>
      </c>
      <c r="G1153" s="42">
        <v>65.950999999999993</v>
      </c>
      <c r="H1153" s="42">
        <v>65.927000000000007</v>
      </c>
      <c r="I1153" s="42">
        <v>65.903000000000006</v>
      </c>
      <c r="J1153" s="296">
        <v>6484</v>
      </c>
      <c r="K1153" s="1">
        <v>9600</v>
      </c>
      <c r="L1153" s="1">
        <v>-80.040999999999997</v>
      </c>
      <c r="M1153" s="1">
        <v>-59.804000000000002</v>
      </c>
      <c r="N1153" s="1">
        <v>-39.728000000000002</v>
      </c>
      <c r="O1153" s="1">
        <v>-19.797000000000001</v>
      </c>
      <c r="P1153" s="365">
        <v>0</v>
      </c>
      <c r="Q1153" s="1">
        <v>19.789000000000001</v>
      </c>
      <c r="R1153" s="1">
        <v>39.472000000000001</v>
      </c>
      <c r="S1153" s="1">
        <v>59.058999999999997</v>
      </c>
      <c r="T1153" s="1">
        <v>78.564999999999998</v>
      </c>
    </row>
    <row r="1154" spans="1:20">
      <c r="A1154" s="1">
        <v>5250</v>
      </c>
      <c r="B1154" s="42">
        <v>65.462000000000003</v>
      </c>
      <c r="C1154" s="42">
        <v>65.438000000000002</v>
      </c>
      <c r="D1154" s="42">
        <v>65.426000000000002</v>
      </c>
      <c r="E1154" s="42">
        <v>65.414000000000001</v>
      </c>
      <c r="F1154" s="42">
        <v>65.402000000000001</v>
      </c>
      <c r="G1154" s="42">
        <v>65.39</v>
      </c>
      <c r="H1154" s="42">
        <v>65.366</v>
      </c>
      <c r="I1154" s="42">
        <v>65.341999999999999</v>
      </c>
      <c r="J1154" s="296">
        <v>6434</v>
      </c>
      <c r="K1154" s="1">
        <v>9700</v>
      </c>
      <c r="L1154" s="1">
        <v>-79.441999999999993</v>
      </c>
      <c r="M1154" s="1">
        <v>-59.356000000000002</v>
      </c>
      <c r="N1154" s="1">
        <v>-39.430999999999997</v>
      </c>
      <c r="O1154" s="1">
        <v>-19.649999999999999</v>
      </c>
      <c r="P1154" s="365">
        <v>0</v>
      </c>
      <c r="Q1154" s="1">
        <v>19.640999999999998</v>
      </c>
      <c r="R1154" s="1">
        <v>39.177</v>
      </c>
      <c r="S1154" s="1">
        <v>58.618000000000002</v>
      </c>
      <c r="T1154" s="1">
        <v>77.977999999999994</v>
      </c>
    </row>
    <row r="1155" spans="1:20">
      <c r="A1155" s="1">
        <v>5300</v>
      </c>
      <c r="B1155" s="42">
        <v>64.900999999999996</v>
      </c>
      <c r="C1155" s="42">
        <v>64.876999999999995</v>
      </c>
      <c r="D1155" s="42">
        <v>64.864999999999995</v>
      </c>
      <c r="E1155" s="42">
        <v>64.852999999999994</v>
      </c>
      <c r="F1155" s="42">
        <v>64.84</v>
      </c>
      <c r="G1155" s="42">
        <v>64.828000000000003</v>
      </c>
      <c r="H1155" s="42">
        <v>64.804000000000002</v>
      </c>
      <c r="I1155" s="42">
        <v>64.78</v>
      </c>
      <c r="J1155" s="296">
        <v>6384</v>
      </c>
      <c r="K1155" s="1">
        <v>9800</v>
      </c>
      <c r="L1155" s="1">
        <v>-78.841999999999999</v>
      </c>
      <c r="M1155" s="1">
        <v>-58.908000000000001</v>
      </c>
      <c r="N1155" s="1">
        <v>-39.133000000000003</v>
      </c>
      <c r="O1155" s="1">
        <v>-19.501000000000001</v>
      </c>
      <c r="P1155" s="365">
        <v>0</v>
      </c>
      <c r="Q1155" s="1">
        <v>19.492999999999999</v>
      </c>
      <c r="R1155" s="1">
        <v>38.881999999999998</v>
      </c>
      <c r="S1155" s="1">
        <v>58.177</v>
      </c>
      <c r="T1155" s="1">
        <v>77.393000000000001</v>
      </c>
    </row>
    <row r="1156" spans="1:20">
      <c r="A1156" s="1">
        <v>5350</v>
      </c>
      <c r="B1156" s="42">
        <v>64.338999999999999</v>
      </c>
      <c r="C1156" s="42">
        <v>64.314999999999998</v>
      </c>
      <c r="D1156" s="42">
        <v>64.302999999999997</v>
      </c>
      <c r="E1156" s="42">
        <v>64.290999999999997</v>
      </c>
      <c r="F1156" s="42">
        <v>64.278999999999996</v>
      </c>
      <c r="G1156" s="42">
        <v>64.266999999999996</v>
      </c>
      <c r="H1156" s="42">
        <v>64.242999999999995</v>
      </c>
      <c r="I1156" s="42">
        <v>64.218999999999994</v>
      </c>
      <c r="J1156" s="296">
        <v>6334</v>
      </c>
      <c r="K1156" s="1">
        <v>9900</v>
      </c>
      <c r="L1156" s="1">
        <v>-78.242999999999995</v>
      </c>
      <c r="M1156" s="1">
        <v>-58.46</v>
      </c>
      <c r="N1156" s="1">
        <v>-38.835999999999999</v>
      </c>
      <c r="O1156" s="1">
        <v>-19.353000000000002</v>
      </c>
      <c r="P1156" s="365">
        <v>0</v>
      </c>
      <c r="Q1156" s="1">
        <v>19.344999999999999</v>
      </c>
      <c r="R1156" s="1">
        <v>38.588000000000001</v>
      </c>
      <c r="S1156" s="1">
        <v>57.737000000000002</v>
      </c>
      <c r="T1156" s="1">
        <v>76.804000000000002</v>
      </c>
    </row>
    <row r="1157" spans="1:20">
      <c r="A1157" s="1">
        <v>5400</v>
      </c>
      <c r="B1157" s="42">
        <v>63.777999999999999</v>
      </c>
      <c r="C1157" s="42">
        <v>63.753999999999998</v>
      </c>
      <c r="D1157" s="42">
        <v>63.741999999999997</v>
      </c>
      <c r="E1157" s="42">
        <v>63.73</v>
      </c>
      <c r="F1157" s="42">
        <v>63.718000000000004</v>
      </c>
      <c r="G1157" s="42">
        <v>63.706000000000003</v>
      </c>
      <c r="H1157" s="42">
        <v>63.682000000000002</v>
      </c>
      <c r="I1157" s="42">
        <v>63.658000000000001</v>
      </c>
      <c r="J1157" s="296">
        <v>6284</v>
      </c>
      <c r="K1157" s="1">
        <v>10000</v>
      </c>
      <c r="L1157" s="1">
        <v>-77.644000000000005</v>
      </c>
      <c r="M1157" s="1">
        <v>-58.012999999999998</v>
      </c>
      <c r="N1157" s="1">
        <v>-38.539000000000001</v>
      </c>
      <c r="O1157" s="1">
        <v>-19.204000000000001</v>
      </c>
      <c r="P1157" s="365">
        <v>0</v>
      </c>
      <c r="Q1157" s="1">
        <v>19.196999999999999</v>
      </c>
      <c r="R1157" s="1">
        <v>38.293999999999997</v>
      </c>
      <c r="S1157" s="1">
        <v>57.295999999999999</v>
      </c>
      <c r="T1157" s="1">
        <v>76.218999999999994</v>
      </c>
    </row>
    <row r="1158" spans="1:20">
      <c r="A1158" s="1">
        <v>5450</v>
      </c>
      <c r="B1158" s="42">
        <v>63.216999999999999</v>
      </c>
      <c r="C1158" s="42">
        <v>63.192999999999998</v>
      </c>
      <c r="D1158" s="42">
        <v>63.180999999999997</v>
      </c>
      <c r="E1158" s="42">
        <v>63.167999999999999</v>
      </c>
      <c r="F1158" s="42">
        <v>63.155999999999999</v>
      </c>
      <c r="G1158" s="42">
        <v>63.143999999999998</v>
      </c>
      <c r="H1158" s="42">
        <v>63.12</v>
      </c>
      <c r="I1158" s="42">
        <v>63.095999999999997</v>
      </c>
      <c r="J1158" s="296">
        <v>6234</v>
      </c>
      <c r="K1158" s="1">
        <v>10100</v>
      </c>
      <c r="L1158" s="1">
        <v>-77.045000000000002</v>
      </c>
      <c r="M1158" s="1">
        <v>-57.566000000000003</v>
      </c>
      <c r="N1158" s="1">
        <v>-38.241</v>
      </c>
      <c r="O1158" s="1">
        <v>-19.055</v>
      </c>
      <c r="P1158" s="365">
        <v>0</v>
      </c>
      <c r="Q1158" s="1">
        <v>19.05</v>
      </c>
      <c r="R1158" s="1">
        <v>37.997999999999998</v>
      </c>
      <c r="S1158" s="1">
        <v>56.854999999999997</v>
      </c>
      <c r="T1158" s="1">
        <v>75.632000000000005</v>
      </c>
    </row>
    <row r="1159" spans="1:20">
      <c r="A1159" s="1">
        <v>5500</v>
      </c>
      <c r="B1159" s="42">
        <v>62.655000000000001</v>
      </c>
      <c r="C1159" s="42">
        <v>62.631</v>
      </c>
      <c r="D1159" s="42">
        <v>62.619</v>
      </c>
      <c r="E1159" s="42">
        <v>62.606999999999999</v>
      </c>
      <c r="F1159" s="42">
        <v>62.594999999999999</v>
      </c>
      <c r="G1159" s="42">
        <v>62.582999999999998</v>
      </c>
      <c r="H1159" s="42">
        <v>62.558999999999997</v>
      </c>
      <c r="I1159" s="42">
        <v>62.534999999999997</v>
      </c>
      <c r="J1159" s="296">
        <v>6184</v>
      </c>
      <c r="K1159" s="1">
        <v>10200</v>
      </c>
      <c r="L1159" s="1">
        <v>-76.445999999999998</v>
      </c>
      <c r="M1159" s="1">
        <v>-57.118000000000002</v>
      </c>
      <c r="N1159" s="1">
        <v>-37.944000000000003</v>
      </c>
      <c r="O1159" s="1">
        <v>-18.908999999999999</v>
      </c>
      <c r="P1159" s="365">
        <v>0</v>
      </c>
      <c r="Q1159" s="1">
        <v>18.902000000000001</v>
      </c>
      <c r="R1159" s="1">
        <v>37.704000000000001</v>
      </c>
      <c r="S1159" s="1">
        <v>56.414000000000001</v>
      </c>
      <c r="T1159" s="1">
        <v>75.046999999999997</v>
      </c>
    </row>
    <row r="1160" spans="1:20">
      <c r="A1160" s="1">
        <v>5550</v>
      </c>
      <c r="B1160" s="42">
        <v>62.094000000000001</v>
      </c>
      <c r="C1160" s="42">
        <v>62.07</v>
      </c>
      <c r="D1160" s="42">
        <v>62.058</v>
      </c>
      <c r="E1160" s="42">
        <v>62.045999999999999</v>
      </c>
      <c r="F1160" s="42">
        <v>62.033999999999999</v>
      </c>
      <c r="G1160" s="42">
        <v>62.021999999999998</v>
      </c>
      <c r="H1160" s="42">
        <v>61.997999999999998</v>
      </c>
      <c r="I1160" s="42">
        <v>61.972999999999999</v>
      </c>
      <c r="J1160" s="296">
        <v>6134</v>
      </c>
      <c r="K1160" s="1">
        <v>10300</v>
      </c>
      <c r="L1160" s="1">
        <v>-75.846000000000004</v>
      </c>
      <c r="M1160" s="1">
        <v>-56.668999999999997</v>
      </c>
      <c r="N1160" s="1">
        <v>-37.646000000000001</v>
      </c>
      <c r="O1160" s="1">
        <v>-18.760000000000002</v>
      </c>
      <c r="P1160" s="365">
        <v>0</v>
      </c>
      <c r="Q1160" s="1">
        <v>18.754999999999999</v>
      </c>
      <c r="R1160" s="1">
        <v>37.408999999999999</v>
      </c>
      <c r="S1160" s="1">
        <v>55.973999999999997</v>
      </c>
      <c r="T1160" s="1">
        <v>74.459999999999994</v>
      </c>
    </row>
    <row r="1161" spans="1:20">
      <c r="A1161" s="1">
        <v>5600</v>
      </c>
      <c r="B1161" s="42">
        <v>61.533000000000001</v>
      </c>
      <c r="C1161" s="42">
        <v>61.509</v>
      </c>
      <c r="D1161" s="42">
        <v>61.496000000000002</v>
      </c>
      <c r="E1161" s="42">
        <v>61.484000000000002</v>
      </c>
      <c r="F1161" s="42">
        <v>61.472000000000001</v>
      </c>
      <c r="G1161" s="42">
        <v>61.46</v>
      </c>
      <c r="H1161" s="42">
        <v>61.436</v>
      </c>
      <c r="I1161" s="42">
        <v>61.411999999999999</v>
      </c>
      <c r="J1161" s="296">
        <v>6084</v>
      </c>
      <c r="K1161" s="1">
        <v>10400</v>
      </c>
      <c r="L1161" s="1">
        <v>-75.247</v>
      </c>
      <c r="M1161" s="1">
        <v>-56.222000000000001</v>
      </c>
      <c r="N1161" s="1">
        <v>-37.347999999999999</v>
      </c>
      <c r="O1161" s="1">
        <v>-18.611999999999998</v>
      </c>
      <c r="P1161" s="365">
        <v>0</v>
      </c>
      <c r="Q1161" s="1">
        <v>18.606999999999999</v>
      </c>
      <c r="R1161" s="1">
        <v>37.115000000000002</v>
      </c>
      <c r="S1161" s="1">
        <v>55.531999999999996</v>
      </c>
      <c r="T1161" s="1">
        <v>73.873999999999995</v>
      </c>
    </row>
    <row r="1162" spans="1:20">
      <c r="A1162" s="1">
        <v>5650</v>
      </c>
      <c r="B1162" s="42">
        <v>60.970999999999997</v>
      </c>
      <c r="C1162" s="42">
        <v>60.947000000000003</v>
      </c>
      <c r="D1162" s="42">
        <v>60.935000000000002</v>
      </c>
      <c r="E1162" s="42">
        <v>60.923000000000002</v>
      </c>
      <c r="F1162" s="42">
        <v>60.911000000000001</v>
      </c>
      <c r="G1162" s="42">
        <v>60.899000000000001</v>
      </c>
      <c r="H1162" s="42">
        <v>60.875</v>
      </c>
      <c r="I1162" s="42">
        <v>60.850999999999999</v>
      </c>
      <c r="J1162" s="296">
        <v>6034</v>
      </c>
      <c r="K1162" s="1">
        <v>10500</v>
      </c>
      <c r="L1162" s="1">
        <v>-74.647000000000006</v>
      </c>
      <c r="M1162" s="1">
        <v>-55.774000000000001</v>
      </c>
      <c r="N1162" s="1">
        <v>-37.049999999999997</v>
      </c>
      <c r="O1162" s="1">
        <v>-18.463000000000001</v>
      </c>
      <c r="P1162" s="365">
        <v>0</v>
      </c>
      <c r="Q1162" s="1">
        <v>18.459</v>
      </c>
      <c r="R1162" s="1">
        <v>36.820999999999998</v>
      </c>
      <c r="S1162" s="1">
        <v>55.091999999999999</v>
      </c>
      <c r="T1162" s="1">
        <v>73.287999999999997</v>
      </c>
    </row>
    <row r="1163" spans="1:20">
      <c r="A1163" s="1">
        <v>5700</v>
      </c>
      <c r="B1163" s="42">
        <v>60.41</v>
      </c>
      <c r="C1163" s="42">
        <v>60.386000000000003</v>
      </c>
      <c r="D1163" s="42">
        <v>60.374000000000002</v>
      </c>
      <c r="E1163" s="42">
        <v>60.362000000000002</v>
      </c>
      <c r="F1163" s="42">
        <v>60.35</v>
      </c>
      <c r="G1163" s="42">
        <v>60.338000000000001</v>
      </c>
      <c r="H1163" s="42">
        <v>60.314</v>
      </c>
      <c r="I1163" s="42">
        <v>60.289000000000001</v>
      </c>
      <c r="J1163" s="296">
        <v>5984</v>
      </c>
      <c r="K1163" s="1">
        <v>10600</v>
      </c>
      <c r="L1163" s="1">
        <v>-74.049000000000007</v>
      </c>
      <c r="M1163" s="1">
        <v>-55.326000000000001</v>
      </c>
      <c r="N1163" s="1">
        <v>-36.753</v>
      </c>
      <c r="O1163" s="1">
        <v>-18.315000000000001</v>
      </c>
      <c r="P1163" s="365">
        <v>0</v>
      </c>
      <c r="Q1163" s="1">
        <v>18.312000000000001</v>
      </c>
      <c r="R1163" s="1">
        <v>36.527000000000001</v>
      </c>
      <c r="S1163" s="1">
        <v>54.652000000000001</v>
      </c>
      <c r="T1163" s="1">
        <v>72.700999999999993</v>
      </c>
    </row>
    <row r="1164" spans="1:20">
      <c r="A1164" s="1">
        <v>5750</v>
      </c>
      <c r="B1164" s="42">
        <v>59.848999999999997</v>
      </c>
      <c r="C1164" s="42">
        <v>59.823999999999998</v>
      </c>
      <c r="D1164" s="42">
        <v>59.811999999999998</v>
      </c>
      <c r="E1164" s="42">
        <v>59.8</v>
      </c>
      <c r="F1164" s="42">
        <v>59.787999999999997</v>
      </c>
      <c r="G1164" s="42">
        <v>59.776000000000003</v>
      </c>
      <c r="H1164" s="42">
        <v>59.752000000000002</v>
      </c>
      <c r="I1164" s="42">
        <v>59.728000000000002</v>
      </c>
      <c r="J1164" s="296">
        <v>5934</v>
      </c>
      <c r="K1164" s="1">
        <v>10700</v>
      </c>
      <c r="L1164" s="1">
        <v>-73.448999999999998</v>
      </c>
      <c r="M1164" s="1">
        <v>-54.878999999999998</v>
      </c>
      <c r="N1164" s="1">
        <v>-36.454999999999998</v>
      </c>
      <c r="O1164" s="1">
        <v>-18.167000000000002</v>
      </c>
      <c r="P1164" s="365">
        <v>0</v>
      </c>
      <c r="Q1164" s="1">
        <v>18.164999999999999</v>
      </c>
      <c r="R1164" s="1">
        <v>36.231999999999999</v>
      </c>
      <c r="S1164" s="1">
        <v>54.21</v>
      </c>
      <c r="T1164" s="1">
        <v>72.114999999999995</v>
      </c>
    </row>
    <row r="1165" spans="1:20">
      <c r="A1165" s="1">
        <v>5800</v>
      </c>
      <c r="B1165" s="42">
        <v>59.286999999999999</v>
      </c>
      <c r="C1165" s="42">
        <v>59.262999999999998</v>
      </c>
      <c r="D1165" s="42">
        <v>59.250999999999998</v>
      </c>
      <c r="E1165" s="42">
        <v>59.238999999999997</v>
      </c>
      <c r="F1165" s="42">
        <v>59.226999999999997</v>
      </c>
      <c r="G1165" s="42">
        <v>59.215000000000003</v>
      </c>
      <c r="H1165" s="42">
        <v>59.191000000000003</v>
      </c>
      <c r="I1165" s="42">
        <v>59.167000000000002</v>
      </c>
      <c r="J1165" s="296">
        <v>5884</v>
      </c>
      <c r="K1165" s="1">
        <v>10800</v>
      </c>
      <c r="L1165" s="1">
        <v>-72.849000000000004</v>
      </c>
      <c r="M1165" s="1">
        <v>-54.43</v>
      </c>
      <c r="N1165" s="1">
        <v>-36.158999999999999</v>
      </c>
      <c r="O1165" s="1">
        <v>-18.018999999999998</v>
      </c>
      <c r="P1165" s="365">
        <v>0</v>
      </c>
      <c r="Q1165" s="1">
        <v>18.016999999999999</v>
      </c>
      <c r="R1165" s="1">
        <v>35.936</v>
      </c>
      <c r="S1165" s="1">
        <v>53.768999999999998</v>
      </c>
      <c r="T1165" s="1">
        <v>71.528000000000006</v>
      </c>
    </row>
    <row r="1166" spans="1:20">
      <c r="A1166" s="1">
        <v>5850</v>
      </c>
      <c r="B1166" s="42">
        <v>58.725999999999999</v>
      </c>
      <c r="C1166" s="42">
        <v>58.701999999999998</v>
      </c>
      <c r="D1166" s="42">
        <v>58.69</v>
      </c>
      <c r="E1166" s="42">
        <v>58.677999999999997</v>
      </c>
      <c r="F1166" s="42">
        <v>58.665999999999997</v>
      </c>
      <c r="G1166" s="42">
        <v>58.654000000000003</v>
      </c>
      <c r="H1166" s="42">
        <v>58.628999999999998</v>
      </c>
      <c r="I1166" s="42">
        <v>58.604999999999997</v>
      </c>
      <c r="J1166" s="296">
        <v>5834</v>
      </c>
      <c r="K1166" s="1">
        <v>10900</v>
      </c>
      <c r="L1166" s="1">
        <v>-72.25</v>
      </c>
      <c r="M1166" s="1">
        <v>-53.982999999999997</v>
      </c>
      <c r="N1166" s="1">
        <v>-35.86</v>
      </c>
      <c r="O1166" s="1">
        <v>-17.869</v>
      </c>
      <c r="P1166" s="365">
        <v>0</v>
      </c>
      <c r="Q1166" s="1">
        <v>17.869</v>
      </c>
      <c r="R1166" s="1">
        <v>35.643000000000001</v>
      </c>
      <c r="S1166" s="1">
        <v>53.329000000000001</v>
      </c>
      <c r="T1166" s="1">
        <v>70.941999999999993</v>
      </c>
    </row>
    <row r="1167" spans="1:20">
      <c r="A1167" s="1">
        <v>5900</v>
      </c>
      <c r="B1167" s="42">
        <v>58.164000000000001</v>
      </c>
      <c r="C1167" s="42">
        <v>58.14</v>
      </c>
      <c r="D1167" s="42">
        <v>58.128</v>
      </c>
      <c r="E1167" s="42">
        <v>58.116</v>
      </c>
      <c r="F1167" s="42">
        <v>58.103999999999999</v>
      </c>
      <c r="G1167" s="42">
        <v>58.091999999999999</v>
      </c>
      <c r="H1167" s="42">
        <v>58.067999999999998</v>
      </c>
      <c r="I1167" s="42">
        <v>58.043999999999997</v>
      </c>
      <c r="J1167" s="296">
        <v>5784</v>
      </c>
      <c r="K1167" s="1">
        <v>11000</v>
      </c>
      <c r="L1167" s="1">
        <v>-71.650999999999996</v>
      </c>
      <c r="M1167" s="1">
        <v>-53.536000000000001</v>
      </c>
      <c r="N1167" s="1">
        <v>-35.564</v>
      </c>
      <c r="O1167" s="1">
        <v>-17.722000000000001</v>
      </c>
      <c r="P1167" s="365">
        <v>0</v>
      </c>
      <c r="Q1167" s="1">
        <v>17.721</v>
      </c>
      <c r="R1167" s="1">
        <v>35.347999999999999</v>
      </c>
      <c r="S1167" s="1">
        <v>52.889000000000003</v>
      </c>
      <c r="T1167" s="1">
        <v>70.355000000000004</v>
      </c>
    </row>
    <row r="1168" spans="1:20">
      <c r="A1168" s="1">
        <v>5950</v>
      </c>
      <c r="B1168" s="42">
        <v>57.603000000000002</v>
      </c>
      <c r="C1168" s="42">
        <v>57.579000000000001</v>
      </c>
      <c r="D1168" s="42">
        <v>57.567</v>
      </c>
      <c r="E1168" s="42">
        <v>57.555</v>
      </c>
      <c r="F1168" s="42">
        <v>57.542999999999999</v>
      </c>
      <c r="G1168" s="42">
        <v>57.530999999999999</v>
      </c>
      <c r="H1168" s="42">
        <v>57.506999999999998</v>
      </c>
      <c r="I1168" s="42">
        <v>57.482999999999997</v>
      </c>
      <c r="J1168" s="296">
        <v>5734</v>
      </c>
      <c r="K1168" s="1">
        <v>11100</v>
      </c>
      <c r="L1168" s="1">
        <v>-71.052999999999997</v>
      </c>
      <c r="M1168" s="1">
        <v>-53.088000000000001</v>
      </c>
      <c r="N1168" s="1">
        <v>-35.265999999999998</v>
      </c>
      <c r="O1168" s="1">
        <v>-17.573</v>
      </c>
      <c r="P1168" s="365">
        <v>0</v>
      </c>
      <c r="Q1168" s="1">
        <v>17.573</v>
      </c>
      <c r="R1168" s="1">
        <v>35.052</v>
      </c>
      <c r="S1168" s="1">
        <v>52.447000000000003</v>
      </c>
      <c r="T1168" s="1">
        <v>69.769000000000005</v>
      </c>
    </row>
    <row r="1169" spans="1:20">
      <c r="A1169" s="1">
        <v>6000</v>
      </c>
      <c r="B1169" s="42">
        <v>51.042000000000002</v>
      </c>
      <c r="C1169" s="42">
        <v>57.018000000000001</v>
      </c>
      <c r="D1169" s="42">
        <v>57.006</v>
      </c>
      <c r="E1169" s="42">
        <v>56.994</v>
      </c>
      <c r="F1169" s="42">
        <v>56.981999999999999</v>
      </c>
      <c r="G1169" s="42">
        <v>56.969000000000001</v>
      </c>
      <c r="H1169" s="42">
        <v>56.945</v>
      </c>
      <c r="I1169" s="42">
        <v>56.920999999999999</v>
      </c>
      <c r="J1169" s="296">
        <v>5684</v>
      </c>
      <c r="K1169" s="1">
        <v>11200</v>
      </c>
      <c r="L1169" s="1">
        <v>-70.453999999999994</v>
      </c>
      <c r="M1169" s="1">
        <v>-52.64</v>
      </c>
      <c r="N1169" s="1">
        <v>-34.968000000000004</v>
      </c>
      <c r="O1169" s="1">
        <v>-17.425999999999998</v>
      </c>
      <c r="P1169" s="365">
        <v>0</v>
      </c>
      <c r="Q1169" s="1">
        <v>17.425999999999998</v>
      </c>
      <c r="R1169" s="1">
        <v>34.76</v>
      </c>
      <c r="S1169" s="1">
        <v>52.006999999999998</v>
      </c>
      <c r="T1169" s="1">
        <v>69.183000000000007</v>
      </c>
    </row>
    <row r="1170" spans="1:20">
      <c r="A1170" s="1">
        <v>6050</v>
      </c>
      <c r="B1170" s="42">
        <v>56.48</v>
      </c>
      <c r="C1170" s="42">
        <v>56.456000000000003</v>
      </c>
      <c r="D1170" s="42">
        <v>56.444000000000003</v>
      </c>
      <c r="E1170" s="42">
        <v>56.432000000000002</v>
      </c>
      <c r="F1170" s="42">
        <v>56.42</v>
      </c>
      <c r="G1170" s="42">
        <v>56.408000000000001</v>
      </c>
      <c r="H1170" s="42">
        <v>56.384</v>
      </c>
      <c r="I1170" s="42">
        <v>56.36</v>
      </c>
      <c r="J1170" s="296">
        <v>5634</v>
      </c>
      <c r="K1170" s="1">
        <v>11300</v>
      </c>
      <c r="L1170" s="1">
        <v>-69.855000000000004</v>
      </c>
      <c r="M1170" s="1">
        <v>-52.192</v>
      </c>
      <c r="N1170" s="1">
        <v>-34.671999999999997</v>
      </c>
      <c r="O1170" s="1">
        <v>-17.277999999999999</v>
      </c>
      <c r="P1170" s="365">
        <v>0</v>
      </c>
      <c r="Q1170" s="1">
        <v>17.277999999999999</v>
      </c>
      <c r="R1170" s="1">
        <v>34.463999999999999</v>
      </c>
      <c r="S1170" s="1">
        <v>51.567</v>
      </c>
      <c r="T1170" s="1">
        <v>68.596000000000004</v>
      </c>
    </row>
    <row r="1171" spans="1:20">
      <c r="A1171" s="1">
        <v>6100</v>
      </c>
      <c r="B1171" s="42">
        <v>55.918999999999997</v>
      </c>
      <c r="C1171" s="42">
        <v>55.895000000000003</v>
      </c>
      <c r="D1171" s="42">
        <v>55.883000000000003</v>
      </c>
      <c r="E1171" s="42">
        <v>55.871000000000002</v>
      </c>
      <c r="F1171" s="42">
        <v>55.859000000000002</v>
      </c>
      <c r="G1171" s="42">
        <v>55.847000000000001</v>
      </c>
      <c r="H1171" s="42">
        <v>55.823</v>
      </c>
      <c r="I1171" s="42">
        <v>55.798999999999999</v>
      </c>
      <c r="J1171" s="296">
        <v>5584</v>
      </c>
      <c r="K1171" s="1">
        <v>11400</v>
      </c>
      <c r="L1171" s="1">
        <v>-69.254999999999995</v>
      </c>
      <c r="M1171" s="1">
        <v>-51.744</v>
      </c>
      <c r="N1171" s="1">
        <v>-34.372999999999998</v>
      </c>
      <c r="O1171" s="1">
        <v>-17.129000000000001</v>
      </c>
      <c r="P1171" s="365">
        <v>0</v>
      </c>
      <c r="Q1171" s="1">
        <v>17.13</v>
      </c>
      <c r="R1171" s="1">
        <v>34.17</v>
      </c>
      <c r="S1171" s="1">
        <v>51.125</v>
      </c>
      <c r="T1171" s="1">
        <v>68.010000000000005</v>
      </c>
    </row>
    <row r="1172" spans="1:20">
      <c r="A1172" s="1">
        <v>6150</v>
      </c>
      <c r="B1172" s="42">
        <v>55.357999999999997</v>
      </c>
      <c r="C1172" s="42">
        <v>55.334000000000003</v>
      </c>
      <c r="D1172" s="42">
        <v>55.322000000000003</v>
      </c>
      <c r="E1172" s="42">
        <v>55.308999999999997</v>
      </c>
      <c r="F1172" s="42">
        <v>55.296999999999997</v>
      </c>
      <c r="G1172" s="42">
        <v>55.284999999999997</v>
      </c>
      <c r="H1172" s="42">
        <v>55.261000000000003</v>
      </c>
      <c r="I1172" s="42">
        <v>55.237000000000002</v>
      </c>
      <c r="J1172" s="296">
        <v>5534</v>
      </c>
      <c r="K1172" s="1">
        <v>11500</v>
      </c>
      <c r="L1172" s="1">
        <v>-68.655000000000001</v>
      </c>
      <c r="M1172" s="1">
        <v>-51.296999999999997</v>
      </c>
      <c r="N1172" s="1">
        <v>-34.076999999999998</v>
      </c>
      <c r="O1172" s="1">
        <v>-16.981000000000002</v>
      </c>
      <c r="P1172" s="365">
        <v>0</v>
      </c>
      <c r="Q1172" s="1">
        <v>16.983000000000001</v>
      </c>
      <c r="R1172" s="1">
        <v>33.875</v>
      </c>
      <c r="S1172" s="1">
        <v>50.685000000000002</v>
      </c>
      <c r="T1172" s="1">
        <v>67.424999999999997</v>
      </c>
    </row>
    <row r="1173" spans="1:20">
      <c r="A1173" s="1">
        <v>6200</v>
      </c>
      <c r="B1173" s="42">
        <v>0.54700000000000004</v>
      </c>
      <c r="C1173" s="42">
        <v>54.771999999999998</v>
      </c>
      <c r="D1173" s="42">
        <v>54.76</v>
      </c>
      <c r="E1173" s="42">
        <v>54.747999999999998</v>
      </c>
      <c r="F1173" s="42">
        <v>54.735999999999997</v>
      </c>
      <c r="G1173" s="42">
        <v>54.723999999999997</v>
      </c>
      <c r="H1173" s="42">
        <v>54.7</v>
      </c>
      <c r="I1173" s="42">
        <v>54.676000000000002</v>
      </c>
      <c r="J1173" s="296">
        <v>5484</v>
      </c>
      <c r="K1173" s="1">
        <v>11600</v>
      </c>
      <c r="L1173" s="1">
        <v>-68.057000000000002</v>
      </c>
      <c r="M1173" s="1">
        <v>-50.848999999999997</v>
      </c>
      <c r="N1173" s="1">
        <v>-33.777999999999999</v>
      </c>
      <c r="O1173" s="1">
        <v>-16.831</v>
      </c>
      <c r="P1173" s="365">
        <v>0</v>
      </c>
      <c r="Q1173" s="1">
        <v>16.827999999999999</v>
      </c>
      <c r="R1173" s="1">
        <v>33.564</v>
      </c>
      <c r="S1173" s="1">
        <v>50.219000000000001</v>
      </c>
      <c r="T1173" s="1">
        <v>65.132999999999996</v>
      </c>
    </row>
    <row r="1174" spans="1:20">
      <c r="A1174" s="1">
        <v>6250</v>
      </c>
      <c r="B1174" s="42">
        <v>54.234999999999999</v>
      </c>
      <c r="C1174" s="42">
        <v>54.210999999999999</v>
      </c>
      <c r="D1174" s="42">
        <v>54.198999999999998</v>
      </c>
      <c r="E1174" s="42">
        <v>54.186999999999998</v>
      </c>
      <c r="F1174" s="42">
        <v>54.174999999999997</v>
      </c>
      <c r="G1174" s="42">
        <v>54.162999999999997</v>
      </c>
      <c r="H1174" s="42">
        <v>54.139000000000003</v>
      </c>
      <c r="I1174" s="42">
        <v>54.113999999999997</v>
      </c>
      <c r="J1174" s="296">
        <v>5434</v>
      </c>
      <c r="K1174" s="1">
        <v>11684</v>
      </c>
      <c r="L1174" s="1">
        <v>-67.588999999999999</v>
      </c>
      <c r="M1174" s="1">
        <v>-50.5</v>
      </c>
      <c r="N1174" s="1">
        <v>-33.545000000000002</v>
      </c>
      <c r="O1174" s="1">
        <v>-16.716000000000001</v>
      </c>
      <c r="P1174" s="365">
        <v>0</v>
      </c>
      <c r="Q1174" s="1">
        <v>0</v>
      </c>
      <c r="R1174" s="1">
        <v>0</v>
      </c>
      <c r="S1174" s="1">
        <v>0</v>
      </c>
      <c r="T1174" s="1">
        <v>0</v>
      </c>
    </row>
    <row r="1175" spans="1:20">
      <c r="A1175" s="1">
        <v>6300</v>
      </c>
      <c r="B1175" s="42">
        <v>53.673999999999999</v>
      </c>
      <c r="C1175" s="42">
        <v>53.65</v>
      </c>
      <c r="D1175" s="42">
        <v>53.637</v>
      </c>
      <c r="E1175" s="42">
        <v>53.625</v>
      </c>
      <c r="F1175" s="42">
        <v>53.613</v>
      </c>
      <c r="G1175" s="42">
        <v>53.600999999999999</v>
      </c>
      <c r="H1175" s="42">
        <v>53.576999999999998</v>
      </c>
      <c r="I1175" s="42">
        <v>53.552999999999997</v>
      </c>
      <c r="J1175" s="296">
        <v>5384</v>
      </c>
      <c r="K1175" s="1"/>
      <c r="L1175" s="1"/>
      <c r="M1175" s="1"/>
      <c r="N1175" s="1"/>
      <c r="O1175" s="1"/>
      <c r="P1175" s="365"/>
      <c r="Q1175" s="1"/>
      <c r="R1175" s="1"/>
      <c r="S1175" s="1"/>
      <c r="T1175" s="1"/>
    </row>
    <row r="1176" spans="1:20">
      <c r="A1176" s="1">
        <v>6350</v>
      </c>
      <c r="B1176" s="42">
        <v>53.112000000000002</v>
      </c>
      <c r="C1176" s="42">
        <v>53.088000000000001</v>
      </c>
      <c r="D1176" s="42">
        <v>53.076000000000001</v>
      </c>
      <c r="E1176" s="42">
        <v>53.064</v>
      </c>
      <c r="F1176" s="42">
        <v>53.052</v>
      </c>
      <c r="G1176" s="42">
        <v>53.04</v>
      </c>
      <c r="H1176" s="42">
        <v>53.015999999999998</v>
      </c>
      <c r="I1176" s="42">
        <v>52.991999999999997</v>
      </c>
      <c r="J1176" s="296">
        <v>5334</v>
      </c>
      <c r="K1176" s="1"/>
      <c r="L1176" s="1"/>
      <c r="M1176" s="1"/>
      <c r="N1176" s="1"/>
      <c r="O1176" s="1"/>
      <c r="P1176" s="365"/>
      <c r="Q1176" s="1"/>
      <c r="R1176" s="1"/>
      <c r="S1176" s="1"/>
      <c r="T1176" s="1"/>
    </row>
    <row r="1177" spans="1:20">
      <c r="A1177" s="1">
        <v>6400</v>
      </c>
      <c r="B1177" s="42">
        <v>52.551000000000002</v>
      </c>
      <c r="C1177" s="42">
        <v>52.527000000000001</v>
      </c>
      <c r="D1177" s="42">
        <v>52.515000000000001</v>
      </c>
      <c r="E1177" s="42">
        <v>52.503</v>
      </c>
      <c r="F1177" s="42">
        <v>52.491</v>
      </c>
      <c r="G1177" s="42">
        <v>52.478999999999999</v>
      </c>
      <c r="H1177" s="42">
        <v>52.454999999999998</v>
      </c>
      <c r="I1177" s="42">
        <v>52.43</v>
      </c>
      <c r="J1177" s="296">
        <v>5284</v>
      </c>
      <c r="K1177" s="1"/>
      <c r="L1177" s="1"/>
      <c r="M1177" s="1"/>
      <c r="N1177" s="1"/>
      <c r="O1177" s="1"/>
      <c r="P1177" s="365"/>
      <c r="Q1177" s="1"/>
      <c r="R1177" s="1"/>
      <c r="S1177" s="1"/>
      <c r="T1177" s="1"/>
    </row>
    <row r="1178" spans="1:20">
      <c r="A1178" s="1">
        <v>6450</v>
      </c>
      <c r="B1178" s="42">
        <v>51.99</v>
      </c>
      <c r="C1178" s="42">
        <v>51.965000000000003</v>
      </c>
      <c r="D1178" s="42">
        <v>51.953000000000003</v>
      </c>
      <c r="E1178" s="42">
        <v>51.941000000000003</v>
      </c>
      <c r="F1178" s="42">
        <v>51.929000000000002</v>
      </c>
      <c r="G1178" s="42">
        <v>51.917000000000002</v>
      </c>
      <c r="H1178" s="42">
        <v>51.893000000000001</v>
      </c>
      <c r="I1178" s="42">
        <v>51.869</v>
      </c>
      <c r="J1178" s="296">
        <v>5234</v>
      </c>
      <c r="K1178" s="1"/>
      <c r="L1178" s="1"/>
      <c r="M1178" s="1"/>
      <c r="N1178" s="1"/>
      <c r="O1178" s="1"/>
      <c r="P1178" s="365"/>
      <c r="Q1178" s="1"/>
      <c r="R1178" s="1"/>
      <c r="S1178" s="1"/>
      <c r="T1178" s="1"/>
    </row>
    <row r="1179" spans="1:20">
      <c r="A1179" s="1">
        <v>6500</v>
      </c>
      <c r="B1179" s="42">
        <v>51.427999999999997</v>
      </c>
      <c r="C1179" s="42">
        <v>51.404000000000003</v>
      </c>
      <c r="D1179" s="42">
        <v>51.392000000000003</v>
      </c>
      <c r="E1179" s="42">
        <v>51.38</v>
      </c>
      <c r="F1179" s="42">
        <v>51.368000000000002</v>
      </c>
      <c r="G1179" s="42">
        <v>51.356000000000002</v>
      </c>
      <c r="H1179" s="42">
        <v>51.332000000000001</v>
      </c>
      <c r="I1179" s="42">
        <v>51.308</v>
      </c>
      <c r="J1179" s="296">
        <v>5184</v>
      </c>
      <c r="K1179" s="1"/>
      <c r="L1179" s="1"/>
      <c r="M1179" s="1"/>
      <c r="N1179" s="1"/>
      <c r="O1179" s="1"/>
      <c r="P1179" s="365"/>
      <c r="Q1179" s="1"/>
      <c r="R1179" s="1"/>
      <c r="S1179" s="1"/>
      <c r="T1179" s="1"/>
    </row>
    <row r="1180" spans="1:20">
      <c r="A1180" s="1">
        <v>6550</v>
      </c>
      <c r="B1180" s="42">
        <v>50.868000000000002</v>
      </c>
      <c r="C1180" s="42">
        <v>50.844000000000001</v>
      </c>
      <c r="D1180" s="42">
        <v>50.832000000000001</v>
      </c>
      <c r="E1180" s="42">
        <v>50.82</v>
      </c>
      <c r="F1180" s="42">
        <v>50.808</v>
      </c>
      <c r="G1180" s="42">
        <v>50.795999999999999</v>
      </c>
      <c r="H1180" s="42">
        <v>50.771999999999998</v>
      </c>
      <c r="I1180" s="42">
        <v>50.747999999999998</v>
      </c>
      <c r="J1180" s="296">
        <v>5134</v>
      </c>
      <c r="K1180" s="1"/>
      <c r="L1180" s="1"/>
      <c r="M1180" s="1"/>
      <c r="N1180" s="1"/>
      <c r="O1180" s="1"/>
      <c r="P1180" s="365"/>
      <c r="Q1180" s="1"/>
      <c r="R1180" s="1"/>
      <c r="S1180" s="1"/>
      <c r="T1180" s="1"/>
    </row>
    <row r="1181" spans="1:20">
      <c r="A1181" s="1">
        <v>6600</v>
      </c>
      <c r="B1181" s="42">
        <v>50.308999999999997</v>
      </c>
      <c r="C1181" s="42">
        <v>50.284999999999997</v>
      </c>
      <c r="D1181" s="42">
        <v>50.273000000000003</v>
      </c>
      <c r="E1181" s="42">
        <v>50.261000000000003</v>
      </c>
      <c r="F1181" s="42">
        <v>50.249000000000002</v>
      </c>
      <c r="G1181" s="42">
        <v>50.237000000000002</v>
      </c>
      <c r="H1181" s="42">
        <v>50.213000000000001</v>
      </c>
      <c r="I1181" s="42">
        <v>50.189</v>
      </c>
      <c r="J1181" s="296">
        <v>5084</v>
      </c>
      <c r="K1181" s="1"/>
      <c r="L1181" s="1"/>
      <c r="M1181" s="1"/>
      <c r="N1181" s="1"/>
      <c r="O1181" s="1"/>
      <c r="P1181" s="365"/>
      <c r="Q1181" s="1"/>
      <c r="R1181" s="1"/>
      <c r="S1181" s="1"/>
      <c r="T1181" s="1"/>
    </row>
    <row r="1182" spans="1:20">
      <c r="A1182" s="1">
        <v>6650</v>
      </c>
      <c r="B1182" s="42">
        <v>49.750999999999998</v>
      </c>
      <c r="C1182" s="42">
        <v>49.726999999999997</v>
      </c>
      <c r="D1182" s="42">
        <v>49.715000000000003</v>
      </c>
      <c r="E1182" s="42">
        <v>49.703000000000003</v>
      </c>
      <c r="F1182" s="42">
        <v>49.691000000000003</v>
      </c>
      <c r="G1182" s="42">
        <v>49.68</v>
      </c>
      <c r="H1182" s="42">
        <v>49.655999999999999</v>
      </c>
      <c r="I1182" s="42">
        <v>49.631999999999998</v>
      </c>
      <c r="J1182" s="296">
        <v>5034</v>
      </c>
      <c r="K1182" s="1"/>
      <c r="L1182" s="1"/>
      <c r="M1182" s="1"/>
      <c r="N1182" s="1"/>
      <c r="O1182" s="1"/>
      <c r="P1182" s="365"/>
      <c r="Q1182" s="1"/>
      <c r="R1182" s="1"/>
      <c r="S1182" s="1"/>
      <c r="T1182" s="1"/>
    </row>
    <row r="1183" spans="1:20">
      <c r="A1183" s="1">
        <v>6700</v>
      </c>
      <c r="B1183" s="42">
        <v>49.195</v>
      </c>
      <c r="C1183" s="42">
        <v>49.170999999999999</v>
      </c>
      <c r="D1183" s="42">
        <v>49.158999999999999</v>
      </c>
      <c r="E1183" s="42">
        <v>49.146999999999998</v>
      </c>
      <c r="F1183" s="42">
        <v>49.134999999999998</v>
      </c>
      <c r="G1183" s="42">
        <v>49.122999999999998</v>
      </c>
      <c r="H1183" s="42">
        <v>49.1</v>
      </c>
      <c r="I1183" s="42">
        <v>49.076000000000001</v>
      </c>
      <c r="J1183" s="296">
        <v>4984</v>
      </c>
      <c r="K1183" s="1"/>
      <c r="L1183" s="1"/>
      <c r="M1183" s="1"/>
      <c r="N1183" s="1"/>
      <c r="O1183" s="1"/>
      <c r="P1183" s="365"/>
      <c r="Q1183" s="1"/>
      <c r="R1183" s="1"/>
      <c r="S1183" s="1"/>
      <c r="T1183" s="1"/>
    </row>
    <row r="1184" spans="1:20">
      <c r="A1184" s="1">
        <v>6750</v>
      </c>
      <c r="B1184" s="42">
        <v>48.646000000000001</v>
      </c>
      <c r="C1184" s="42">
        <v>48.616</v>
      </c>
      <c r="D1184" s="42">
        <v>48.603999999999999</v>
      </c>
      <c r="E1184" s="42">
        <v>48.591999999999999</v>
      </c>
      <c r="F1184" s="42">
        <v>48.58</v>
      </c>
      <c r="G1184" s="42">
        <v>48.569000000000003</v>
      </c>
      <c r="H1184" s="42">
        <v>48.545000000000002</v>
      </c>
      <c r="I1184" s="42">
        <v>48.521000000000001</v>
      </c>
      <c r="J1184" s="296">
        <v>4934</v>
      </c>
      <c r="K1184" s="1"/>
      <c r="L1184" s="1"/>
      <c r="M1184" s="1"/>
      <c r="N1184" s="1"/>
      <c r="O1184" s="1"/>
      <c r="P1184" s="365"/>
      <c r="Q1184" s="1"/>
      <c r="R1184" s="1"/>
      <c r="S1184" s="1"/>
      <c r="T1184" s="1"/>
    </row>
    <row r="1185" spans="1:20">
      <c r="A1185" s="1">
        <v>6800</v>
      </c>
      <c r="B1185" s="42">
        <v>48.085999999999999</v>
      </c>
      <c r="C1185" s="42">
        <v>48.063000000000002</v>
      </c>
      <c r="D1185" s="42">
        <v>48.051000000000002</v>
      </c>
      <c r="E1185" s="42">
        <v>48.039000000000001</v>
      </c>
      <c r="F1185" s="42">
        <v>48.027000000000001</v>
      </c>
      <c r="G1185" s="42">
        <v>48.015000000000001</v>
      </c>
      <c r="H1185" s="42">
        <v>47.991</v>
      </c>
      <c r="I1185" s="42">
        <v>47.968000000000004</v>
      </c>
      <c r="J1185" s="296">
        <v>4884</v>
      </c>
      <c r="K1185" s="1"/>
      <c r="L1185" s="1"/>
      <c r="M1185" s="1"/>
      <c r="N1185" s="1"/>
      <c r="O1185" s="1"/>
      <c r="P1185" s="365"/>
      <c r="Q1185" s="1"/>
      <c r="R1185" s="1"/>
      <c r="S1185" s="1"/>
      <c r="T1185" s="1"/>
    </row>
    <row r="1186" spans="1:20">
      <c r="A1186" s="1">
        <v>6850</v>
      </c>
      <c r="B1186" s="42">
        <v>47.533999999999999</v>
      </c>
      <c r="C1186" s="42">
        <v>47.51</v>
      </c>
      <c r="D1186" s="42">
        <v>47.497999999999998</v>
      </c>
      <c r="E1186" s="42">
        <v>47.487000000000002</v>
      </c>
      <c r="F1186" s="42">
        <v>47.475000000000001</v>
      </c>
      <c r="G1186" s="42">
        <v>47.463000000000001</v>
      </c>
      <c r="H1186" s="42">
        <v>47.439</v>
      </c>
      <c r="I1186" s="42">
        <v>47.415999999999997</v>
      </c>
      <c r="J1186" s="296">
        <v>4834</v>
      </c>
      <c r="K1186" s="1"/>
      <c r="L1186" s="1"/>
      <c r="M1186" s="1"/>
      <c r="N1186" s="1"/>
      <c r="O1186" s="1"/>
      <c r="P1186" s="365"/>
      <c r="Q1186" s="1"/>
      <c r="R1186" s="1"/>
      <c r="S1186" s="1"/>
      <c r="T1186" s="1"/>
    </row>
    <row r="1187" spans="1:20">
      <c r="A1187" s="1">
        <v>6900</v>
      </c>
      <c r="B1187" s="42">
        <v>46.982999999999997</v>
      </c>
      <c r="C1187" s="42">
        <v>46.959000000000003</v>
      </c>
      <c r="D1187" s="42">
        <v>46.948</v>
      </c>
      <c r="E1187" s="42">
        <v>46.936</v>
      </c>
      <c r="F1187" s="42">
        <v>46.923999999999999</v>
      </c>
      <c r="G1187" s="42">
        <v>46.911999999999999</v>
      </c>
      <c r="H1187" s="42">
        <v>46.887999999999998</v>
      </c>
      <c r="I1187" s="42">
        <v>46.865000000000002</v>
      </c>
      <c r="J1187" s="296">
        <v>4784</v>
      </c>
      <c r="K1187" s="1"/>
      <c r="L1187" s="1"/>
      <c r="M1187" s="1"/>
      <c r="N1187" s="1"/>
      <c r="O1187" s="1"/>
      <c r="P1187" s="365"/>
      <c r="Q1187" s="1"/>
      <c r="R1187" s="1"/>
      <c r="S1187" s="1"/>
      <c r="T1187" s="1"/>
    </row>
    <row r="1188" spans="1:20">
      <c r="A1188" s="1">
        <v>6950</v>
      </c>
      <c r="B1188" s="42">
        <v>46.433</v>
      </c>
      <c r="C1188" s="42">
        <v>46.41</v>
      </c>
      <c r="D1188" s="42">
        <v>46.398000000000003</v>
      </c>
      <c r="E1188" s="42">
        <v>46.386000000000003</v>
      </c>
      <c r="F1188" s="42">
        <v>46.374000000000002</v>
      </c>
      <c r="G1188" s="42">
        <v>46.363</v>
      </c>
      <c r="H1188" s="42">
        <v>46.338999999999999</v>
      </c>
      <c r="I1188" s="42">
        <v>46.316000000000003</v>
      </c>
      <c r="J1188" s="296">
        <v>4734</v>
      </c>
      <c r="K1188" s="1"/>
      <c r="L1188" s="1"/>
      <c r="M1188" s="1"/>
      <c r="N1188" s="1"/>
      <c r="O1188" s="1"/>
      <c r="P1188" s="365"/>
      <c r="Q1188" s="1"/>
      <c r="R1188" s="1"/>
      <c r="S1188" s="1"/>
      <c r="T1188" s="1"/>
    </row>
    <row r="1189" spans="1:20">
      <c r="A1189" s="1">
        <v>7000</v>
      </c>
      <c r="B1189" s="42">
        <v>45.884999999999998</v>
      </c>
      <c r="C1189" s="42">
        <v>45.860999999999997</v>
      </c>
      <c r="D1189" s="42">
        <v>45.85</v>
      </c>
      <c r="E1189" s="42">
        <v>45.838000000000001</v>
      </c>
      <c r="F1189" s="42">
        <v>45.826000000000001</v>
      </c>
      <c r="G1189" s="42">
        <v>45.814</v>
      </c>
      <c r="H1189" s="42">
        <v>45.790999999999997</v>
      </c>
      <c r="I1189" s="42">
        <v>45.768000000000001</v>
      </c>
      <c r="J1189" s="296">
        <v>4684</v>
      </c>
      <c r="K1189" s="1"/>
      <c r="L1189" s="1"/>
      <c r="M1189" s="1"/>
      <c r="N1189" s="1"/>
      <c r="O1189" s="1"/>
      <c r="P1189" s="365"/>
      <c r="Q1189" s="1"/>
      <c r="R1189" s="1"/>
      <c r="S1189" s="1"/>
      <c r="T1189" s="1"/>
    </row>
    <row r="1190" spans="1:20">
      <c r="A1190" s="1">
        <v>7050</v>
      </c>
      <c r="B1190" s="42">
        <v>45.338000000000001</v>
      </c>
      <c r="C1190" s="42">
        <v>45.314999999999998</v>
      </c>
      <c r="D1190" s="42">
        <v>45.302999999999997</v>
      </c>
      <c r="E1190" s="42">
        <v>45.290999999999997</v>
      </c>
      <c r="F1190" s="42">
        <v>45.279000000000003</v>
      </c>
      <c r="G1190" s="42">
        <v>45.268000000000001</v>
      </c>
      <c r="H1190" s="42">
        <v>45.244</v>
      </c>
      <c r="I1190" s="42">
        <v>45.220999999999997</v>
      </c>
      <c r="J1190" s="296">
        <v>4634</v>
      </c>
      <c r="K1190" s="1"/>
      <c r="L1190" s="1"/>
      <c r="M1190" s="1"/>
      <c r="N1190" s="1"/>
      <c r="O1190" s="1"/>
      <c r="P1190" s="365"/>
      <c r="Q1190" s="1"/>
      <c r="R1190" s="1"/>
      <c r="S1190" s="1"/>
      <c r="T1190" s="1"/>
    </row>
    <row r="1191" spans="1:20">
      <c r="A1191" s="1">
        <v>7100</v>
      </c>
      <c r="B1191" s="42">
        <v>44.792000000000002</v>
      </c>
      <c r="C1191" s="42">
        <v>44.768999999999998</v>
      </c>
      <c r="D1191" s="42">
        <v>44.756999999999998</v>
      </c>
      <c r="E1191" s="42">
        <v>44.746000000000002</v>
      </c>
      <c r="F1191" s="42">
        <v>44.734000000000002</v>
      </c>
      <c r="G1191" s="42">
        <v>44.722000000000001</v>
      </c>
      <c r="H1191" s="42">
        <v>44.698999999999998</v>
      </c>
      <c r="I1191" s="42">
        <v>44.674999999999997</v>
      </c>
      <c r="J1191" s="296">
        <v>4584</v>
      </c>
      <c r="K1191" s="1"/>
      <c r="L1191" s="1"/>
      <c r="M1191" s="1"/>
      <c r="N1191" s="1"/>
      <c r="O1191" s="1"/>
      <c r="P1191" s="365"/>
      <c r="Q1191" s="1"/>
      <c r="R1191" s="1"/>
      <c r="S1191" s="1"/>
      <c r="T1191" s="1"/>
    </row>
    <row r="1192" spans="1:20">
      <c r="A1192" s="1">
        <v>7150</v>
      </c>
      <c r="B1192" s="42">
        <v>44.247999999999998</v>
      </c>
      <c r="C1192" s="42">
        <v>44.225000000000001</v>
      </c>
      <c r="D1192" s="42">
        <v>44.213000000000001</v>
      </c>
      <c r="E1192" s="42">
        <v>44.201000000000001</v>
      </c>
      <c r="F1192" s="42">
        <v>44.19</v>
      </c>
      <c r="G1192" s="42">
        <v>44.177999999999997</v>
      </c>
      <c r="H1192" s="42">
        <v>44.155000000000001</v>
      </c>
      <c r="I1192" s="42">
        <v>44.131</v>
      </c>
      <c r="J1192" s="296">
        <v>4534</v>
      </c>
      <c r="K1192" s="1"/>
      <c r="L1192" s="1"/>
      <c r="M1192" s="1"/>
      <c r="N1192" s="1"/>
      <c r="O1192" s="1"/>
      <c r="P1192" s="365"/>
      <c r="Q1192" s="1"/>
      <c r="R1192" s="1"/>
      <c r="S1192" s="1"/>
      <c r="T1192" s="1"/>
    </row>
    <row r="1193" spans="1:20">
      <c r="A1193" s="1">
        <v>7200</v>
      </c>
      <c r="B1193" s="42">
        <v>43.704999999999998</v>
      </c>
      <c r="C1193" s="42">
        <v>43.682000000000002</v>
      </c>
      <c r="D1193" s="42">
        <v>43.67</v>
      </c>
      <c r="E1193" s="42">
        <v>43.658999999999999</v>
      </c>
      <c r="F1193" s="42">
        <v>43.646999999999998</v>
      </c>
      <c r="G1193" s="42">
        <v>43.634999999999998</v>
      </c>
      <c r="H1193" s="42">
        <v>43.612000000000002</v>
      </c>
      <c r="I1193" s="42">
        <v>43.588999999999999</v>
      </c>
      <c r="J1193" s="296">
        <v>4484</v>
      </c>
      <c r="K1193" s="1"/>
      <c r="L1193" s="1"/>
      <c r="M1193" s="1"/>
      <c r="N1193" s="1"/>
      <c r="O1193" s="1"/>
      <c r="P1193" s="365"/>
      <c r="Q1193" s="1"/>
      <c r="R1193" s="1"/>
      <c r="S1193" s="1"/>
      <c r="T1193" s="1"/>
    </row>
    <row r="1194" spans="1:20">
      <c r="A1194" s="1">
        <v>7250</v>
      </c>
      <c r="B1194" s="42">
        <v>43.162999999999997</v>
      </c>
      <c r="C1194" s="42">
        <v>43.14</v>
      </c>
      <c r="D1194" s="42">
        <v>43.128999999999998</v>
      </c>
      <c r="E1194" s="42">
        <v>43.116999999999997</v>
      </c>
      <c r="F1194" s="42">
        <v>43.104999999999997</v>
      </c>
      <c r="G1194" s="42">
        <v>43.094000000000001</v>
      </c>
      <c r="H1194" s="42">
        <v>43.070999999999998</v>
      </c>
      <c r="I1194" s="42">
        <v>43.046999999999997</v>
      </c>
      <c r="J1194" s="296">
        <v>4434</v>
      </c>
      <c r="K1194" s="1"/>
      <c r="L1194" s="1"/>
      <c r="M1194" s="1"/>
      <c r="N1194" s="1"/>
      <c r="O1194" s="1"/>
      <c r="P1194" s="365"/>
      <c r="Q1194" s="1"/>
      <c r="R1194" s="1"/>
      <c r="S1194" s="1"/>
      <c r="T1194" s="1"/>
    </row>
    <row r="1195" spans="1:20">
      <c r="A1195" s="1">
        <v>7300</v>
      </c>
      <c r="B1195" s="42">
        <v>42.622999999999998</v>
      </c>
      <c r="C1195" s="42">
        <v>42.6</v>
      </c>
      <c r="D1195" s="42">
        <v>42.588000000000001</v>
      </c>
      <c r="E1195" s="42">
        <v>42.576999999999998</v>
      </c>
      <c r="F1195" s="42">
        <v>42.564999999999998</v>
      </c>
      <c r="G1195" s="42">
        <v>42.554000000000002</v>
      </c>
      <c r="H1195" s="42">
        <v>42.530999999999999</v>
      </c>
      <c r="I1195" s="42">
        <v>42.506999999999998</v>
      </c>
      <c r="J1195" s="296">
        <v>4384</v>
      </c>
      <c r="K1195" s="1"/>
      <c r="L1195" s="1"/>
      <c r="M1195" s="1"/>
      <c r="N1195" s="1"/>
      <c r="O1195" s="1"/>
      <c r="P1195" s="365"/>
      <c r="Q1195" s="1"/>
      <c r="R1195" s="1"/>
      <c r="S1195" s="1"/>
      <c r="T1195" s="1"/>
    </row>
    <row r="1196" spans="1:20">
      <c r="A1196" s="1">
        <v>7350</v>
      </c>
      <c r="B1196" s="42">
        <v>42.084000000000003</v>
      </c>
      <c r="C1196" s="42">
        <v>42.061</v>
      </c>
      <c r="D1196" s="42">
        <v>42.05</v>
      </c>
      <c r="E1196" s="42">
        <v>42.037999999999997</v>
      </c>
      <c r="F1196" s="42">
        <v>42.026000000000003</v>
      </c>
      <c r="G1196" s="42">
        <v>42.015000000000001</v>
      </c>
      <c r="H1196" s="42">
        <v>41.991999999999997</v>
      </c>
      <c r="I1196" s="42">
        <v>41.969000000000001</v>
      </c>
      <c r="J1196" s="296">
        <v>4334</v>
      </c>
      <c r="K1196" s="1"/>
      <c r="L1196" s="1"/>
      <c r="M1196" s="1"/>
      <c r="N1196" s="1"/>
      <c r="O1196" s="1"/>
      <c r="P1196" s="365"/>
      <c r="Q1196" s="1"/>
      <c r="R1196" s="1"/>
      <c r="S1196" s="1"/>
      <c r="T1196" s="1"/>
    </row>
    <row r="1197" spans="1:20">
      <c r="A1197" s="1">
        <v>7400</v>
      </c>
      <c r="B1197" s="42">
        <v>41.546999999999997</v>
      </c>
      <c r="C1197" s="42">
        <v>41.524000000000001</v>
      </c>
      <c r="D1197" s="42">
        <v>41.512</v>
      </c>
      <c r="E1197" s="42">
        <v>41.500999999999998</v>
      </c>
      <c r="F1197" s="42">
        <v>41.488999999999997</v>
      </c>
      <c r="G1197" s="42">
        <v>41.476999999999997</v>
      </c>
      <c r="H1197" s="42">
        <v>41.454000000000001</v>
      </c>
      <c r="I1197" s="42">
        <v>41.430999999999997</v>
      </c>
      <c r="J1197" s="296">
        <v>4284</v>
      </c>
      <c r="K1197" s="1"/>
      <c r="L1197" s="1"/>
      <c r="M1197" s="1"/>
      <c r="N1197" s="1"/>
      <c r="O1197" s="1"/>
      <c r="P1197" s="365"/>
      <c r="Q1197" s="1"/>
      <c r="R1197" s="1"/>
      <c r="S1197" s="1"/>
      <c r="T1197" s="1"/>
    </row>
    <row r="1198" spans="1:20">
      <c r="A1198" s="1">
        <v>7450</v>
      </c>
      <c r="B1198" s="42">
        <v>41.01</v>
      </c>
      <c r="C1198" s="42">
        <v>40.987000000000002</v>
      </c>
      <c r="D1198" s="42">
        <v>40.975999999999999</v>
      </c>
      <c r="E1198" s="42">
        <v>40.963999999999999</v>
      </c>
      <c r="F1198" s="42">
        <v>40.953000000000003</v>
      </c>
      <c r="G1198" s="42">
        <v>40.941000000000003</v>
      </c>
      <c r="H1198" s="42">
        <v>40.917999999999999</v>
      </c>
      <c r="I1198" s="42">
        <v>40.895000000000003</v>
      </c>
      <c r="J1198" s="296">
        <v>4234</v>
      </c>
      <c r="K1198" s="1"/>
      <c r="L1198" s="1"/>
      <c r="M1198" s="1"/>
      <c r="N1198" s="1"/>
      <c r="O1198" s="1"/>
      <c r="P1198" s="365"/>
      <c r="Q1198" s="1"/>
      <c r="R1198" s="1"/>
      <c r="S1198" s="1"/>
      <c r="T1198" s="1"/>
    </row>
    <row r="1199" spans="1:20">
      <c r="A1199" s="1">
        <v>7500</v>
      </c>
      <c r="B1199" s="42">
        <v>40.475000000000001</v>
      </c>
      <c r="C1199" s="42">
        <v>40.451999999999998</v>
      </c>
      <c r="D1199" s="42">
        <v>40.441000000000003</v>
      </c>
      <c r="E1199" s="42">
        <v>40.43</v>
      </c>
      <c r="F1199" s="42">
        <v>40.417999999999999</v>
      </c>
      <c r="G1199" s="42">
        <v>40.406999999999996</v>
      </c>
      <c r="H1199" s="42">
        <v>40.384</v>
      </c>
      <c r="I1199" s="42">
        <v>40.360999999999997</v>
      </c>
      <c r="J1199" s="296">
        <v>4184</v>
      </c>
      <c r="K1199" s="1"/>
      <c r="L1199" s="1"/>
      <c r="M1199" s="1"/>
      <c r="N1199" s="1"/>
      <c r="O1199" s="1"/>
      <c r="P1199" s="365"/>
      <c r="Q1199" s="1"/>
      <c r="R1199" s="1"/>
      <c r="S1199" s="1"/>
      <c r="T1199" s="1"/>
    </row>
    <row r="1200" spans="1:20">
      <c r="A1200" s="1">
        <v>7550</v>
      </c>
      <c r="B1200" s="42">
        <v>39.942</v>
      </c>
      <c r="C1200" s="42">
        <v>39.918999999999997</v>
      </c>
      <c r="D1200" s="42">
        <v>39.906999999999996</v>
      </c>
      <c r="E1200" s="42">
        <v>39.896000000000001</v>
      </c>
      <c r="F1200" s="42">
        <v>39.884999999999998</v>
      </c>
      <c r="G1200" s="42">
        <v>39.872999999999998</v>
      </c>
      <c r="H1200" s="42">
        <v>39.85</v>
      </c>
      <c r="I1200" s="42">
        <v>39.826999999999998</v>
      </c>
      <c r="J1200" s="296">
        <v>4134</v>
      </c>
      <c r="K1200" s="1"/>
      <c r="L1200" s="1"/>
      <c r="M1200" s="1"/>
      <c r="N1200" s="1"/>
      <c r="O1200" s="1"/>
      <c r="P1200" s="365"/>
      <c r="Q1200" s="1"/>
      <c r="R1200" s="1"/>
      <c r="S1200" s="1"/>
      <c r="T1200" s="1"/>
    </row>
    <row r="1201" spans="1:20">
      <c r="A1201" s="1">
        <v>7600</v>
      </c>
      <c r="B1201" s="42">
        <v>39.408999999999999</v>
      </c>
      <c r="C1201" s="42">
        <v>39.387</v>
      </c>
      <c r="D1201" s="42">
        <v>39.375</v>
      </c>
      <c r="E1201" s="42">
        <v>39.363999999999997</v>
      </c>
      <c r="F1201" s="42">
        <v>39.351999999999997</v>
      </c>
      <c r="G1201" s="42">
        <v>39.341000000000001</v>
      </c>
      <c r="H1201" s="42">
        <v>39.317999999999998</v>
      </c>
      <c r="I1201" s="42">
        <v>39.295000000000002</v>
      </c>
      <c r="J1201" s="296">
        <v>4084</v>
      </c>
      <c r="K1201" s="1"/>
      <c r="L1201" s="1"/>
      <c r="M1201" s="1"/>
      <c r="N1201" s="1"/>
      <c r="O1201" s="1"/>
      <c r="P1201" s="365"/>
      <c r="Q1201" s="1"/>
      <c r="R1201" s="1"/>
      <c r="S1201" s="1"/>
      <c r="T1201" s="1"/>
    </row>
    <row r="1202" spans="1:20">
      <c r="A1202" s="1">
        <v>7650</v>
      </c>
      <c r="B1202" s="42">
        <v>38.878999999999998</v>
      </c>
      <c r="C1202" s="42">
        <v>38.856000000000002</v>
      </c>
      <c r="D1202" s="42">
        <v>38.844000000000001</v>
      </c>
      <c r="E1202" s="42">
        <v>38.832999999999998</v>
      </c>
      <c r="F1202" s="42">
        <v>38.822000000000003</v>
      </c>
      <c r="G1202" s="42">
        <v>38.81</v>
      </c>
      <c r="H1202" s="42">
        <v>38.787999999999997</v>
      </c>
      <c r="I1202" s="42">
        <v>38.765000000000001</v>
      </c>
      <c r="J1202" s="296">
        <v>4034</v>
      </c>
      <c r="K1202" s="1"/>
      <c r="L1202" s="1"/>
      <c r="M1202" s="1"/>
      <c r="N1202" s="1"/>
      <c r="O1202" s="1"/>
      <c r="P1202" s="365"/>
      <c r="Q1202" s="1"/>
      <c r="R1202" s="1"/>
      <c r="S1202" s="1"/>
      <c r="T1202" s="1"/>
    </row>
    <row r="1203" spans="1:20">
      <c r="A1203" s="1">
        <v>7700</v>
      </c>
      <c r="B1203" s="42">
        <v>38.348999999999997</v>
      </c>
      <c r="C1203" s="42">
        <v>38.326000000000001</v>
      </c>
      <c r="D1203" s="42">
        <v>38.314999999999998</v>
      </c>
      <c r="E1203" s="42">
        <v>38.304000000000002</v>
      </c>
      <c r="F1203" s="42">
        <v>38.292000000000002</v>
      </c>
      <c r="G1203" s="42">
        <v>38.280999999999999</v>
      </c>
      <c r="H1203" s="42">
        <v>38.258000000000003</v>
      </c>
      <c r="I1203" s="42">
        <v>38.235999999999997</v>
      </c>
      <c r="J1203" s="296">
        <v>3984</v>
      </c>
      <c r="K1203" s="1"/>
      <c r="L1203" s="1"/>
      <c r="M1203" s="1"/>
      <c r="N1203" s="1"/>
      <c r="O1203" s="1"/>
      <c r="P1203" s="365"/>
      <c r="Q1203" s="1"/>
      <c r="R1203" s="1"/>
      <c r="S1203" s="1"/>
      <c r="T1203" s="1"/>
    </row>
    <row r="1204" spans="1:20">
      <c r="A1204" s="1">
        <v>7750</v>
      </c>
      <c r="B1204" s="42">
        <v>37.820999999999998</v>
      </c>
      <c r="C1204" s="42">
        <v>37.798000000000002</v>
      </c>
      <c r="D1204" s="42">
        <v>37.786999999999999</v>
      </c>
      <c r="E1204" s="42">
        <v>37.774999999999999</v>
      </c>
      <c r="F1204" s="42">
        <v>37.764000000000003</v>
      </c>
      <c r="G1204" s="42">
        <v>37.753</v>
      </c>
      <c r="H1204" s="42">
        <v>37.729999999999997</v>
      </c>
      <c r="I1204" s="42">
        <v>37.707999999999998</v>
      </c>
      <c r="J1204" s="296">
        <v>3934</v>
      </c>
      <c r="K1204" s="1"/>
      <c r="L1204" s="1"/>
      <c r="M1204" s="1"/>
      <c r="N1204" s="1"/>
      <c r="O1204" s="1"/>
      <c r="P1204" s="365"/>
      <c r="Q1204" s="1"/>
      <c r="R1204" s="1"/>
      <c r="S1204" s="1"/>
      <c r="T1204" s="1"/>
    </row>
    <row r="1205" spans="1:20">
      <c r="A1205" s="1">
        <v>7800</v>
      </c>
      <c r="B1205" s="42">
        <v>37.293999999999997</v>
      </c>
      <c r="C1205" s="42">
        <v>37.271000000000001</v>
      </c>
      <c r="D1205" s="42">
        <v>37.26</v>
      </c>
      <c r="E1205" s="42">
        <v>37.249000000000002</v>
      </c>
      <c r="F1205" s="42">
        <v>37.237000000000002</v>
      </c>
      <c r="G1205" s="42">
        <v>37.225999999999999</v>
      </c>
      <c r="H1205" s="42">
        <v>37.203000000000003</v>
      </c>
      <c r="I1205" s="42">
        <v>37.180999999999997</v>
      </c>
      <c r="J1205" s="296">
        <v>3884</v>
      </c>
      <c r="K1205" s="1"/>
      <c r="L1205" s="1"/>
      <c r="M1205" s="1"/>
      <c r="N1205" s="1"/>
      <c r="O1205" s="1"/>
      <c r="P1205" s="365"/>
      <c r="Q1205" s="1"/>
      <c r="R1205" s="1"/>
      <c r="S1205" s="1"/>
      <c r="T1205" s="1"/>
    </row>
    <row r="1206" spans="1:20">
      <c r="A1206" s="1">
        <v>7850</v>
      </c>
      <c r="B1206" s="42">
        <v>36.768000000000001</v>
      </c>
      <c r="C1206" s="42">
        <v>36.746000000000002</v>
      </c>
      <c r="D1206" s="42">
        <v>36.734000000000002</v>
      </c>
      <c r="E1206" s="42">
        <v>36.722999999999999</v>
      </c>
      <c r="F1206" s="42">
        <v>36.712000000000003</v>
      </c>
      <c r="G1206" s="42">
        <v>36.701000000000001</v>
      </c>
      <c r="H1206" s="42">
        <v>36.677999999999997</v>
      </c>
      <c r="I1206" s="42">
        <v>36.655999999999999</v>
      </c>
      <c r="J1206" s="296">
        <v>3834</v>
      </c>
      <c r="K1206" s="1"/>
      <c r="L1206" s="1"/>
      <c r="M1206" s="1"/>
      <c r="N1206" s="1"/>
      <c r="O1206" s="1"/>
      <c r="P1206" s="365"/>
      <c r="Q1206" s="1"/>
      <c r="R1206" s="1"/>
      <c r="S1206" s="1"/>
      <c r="T1206" s="1"/>
    </row>
    <row r="1207" spans="1:20">
      <c r="A1207" s="1">
        <v>7900</v>
      </c>
      <c r="B1207" s="42">
        <v>36.244</v>
      </c>
      <c r="C1207" s="42">
        <v>36.220999999999997</v>
      </c>
      <c r="D1207" s="42">
        <v>36.21</v>
      </c>
      <c r="E1207" s="42">
        <v>36.198999999999998</v>
      </c>
      <c r="F1207" s="42">
        <v>36.188000000000002</v>
      </c>
      <c r="G1207" s="42">
        <v>36.177</v>
      </c>
      <c r="H1207" s="42">
        <v>36.154000000000003</v>
      </c>
      <c r="I1207" s="42">
        <v>36.131999999999998</v>
      </c>
      <c r="J1207" s="296">
        <v>3784</v>
      </c>
      <c r="K1207" s="1"/>
      <c r="L1207" s="1"/>
      <c r="M1207" s="1"/>
      <c r="N1207" s="1"/>
      <c r="O1207" s="1"/>
      <c r="P1207" s="365"/>
      <c r="Q1207" s="1"/>
      <c r="R1207" s="1"/>
      <c r="S1207" s="1"/>
      <c r="T1207" s="1"/>
    </row>
    <row r="1208" spans="1:20">
      <c r="A1208" s="1">
        <v>7950</v>
      </c>
      <c r="B1208" s="42">
        <v>35.720999999999997</v>
      </c>
      <c r="C1208" s="42">
        <v>35.698999999999998</v>
      </c>
      <c r="D1208" s="42">
        <v>35.686999999999998</v>
      </c>
      <c r="E1208" s="42">
        <v>35.676000000000002</v>
      </c>
      <c r="F1208" s="42">
        <v>35.664999999999999</v>
      </c>
      <c r="G1208" s="42">
        <v>35.654000000000003</v>
      </c>
      <c r="H1208" s="42">
        <v>35.631</v>
      </c>
      <c r="I1208" s="42">
        <v>35.609000000000002</v>
      </c>
      <c r="J1208" s="296">
        <v>3734</v>
      </c>
      <c r="K1208" s="1"/>
      <c r="L1208" s="1"/>
      <c r="M1208" s="1"/>
      <c r="N1208" s="1"/>
      <c r="O1208" s="1"/>
      <c r="P1208" s="365"/>
      <c r="Q1208" s="1"/>
      <c r="R1208" s="1"/>
      <c r="S1208" s="1"/>
      <c r="T1208" s="1"/>
    </row>
    <row r="1209" spans="1:20">
      <c r="A1209" s="1">
        <v>8000</v>
      </c>
      <c r="B1209" s="42">
        <v>35.198999999999998</v>
      </c>
      <c r="C1209" s="42">
        <v>35.177</v>
      </c>
      <c r="D1209" s="42">
        <v>35.165999999999997</v>
      </c>
      <c r="E1209" s="42">
        <v>35.155000000000001</v>
      </c>
      <c r="F1209" s="42">
        <v>35.143999999999998</v>
      </c>
      <c r="G1209" s="42">
        <v>35.131999999999998</v>
      </c>
      <c r="H1209" s="42">
        <v>35.11</v>
      </c>
      <c r="I1209" s="42">
        <v>35.088000000000001</v>
      </c>
      <c r="J1209" s="296">
        <v>3684</v>
      </c>
      <c r="K1209" s="1"/>
      <c r="L1209" s="1"/>
      <c r="M1209" s="1"/>
      <c r="N1209" s="1"/>
      <c r="O1209" s="1"/>
      <c r="P1209" s="365"/>
      <c r="Q1209" s="1"/>
      <c r="R1209" s="1"/>
      <c r="S1209" s="1"/>
      <c r="T1209" s="1"/>
    </row>
    <row r="1210" spans="1:20">
      <c r="A1210" s="1">
        <v>8050</v>
      </c>
      <c r="B1210" s="42">
        <v>34.679000000000002</v>
      </c>
      <c r="C1210" s="42">
        <v>34.656999999999996</v>
      </c>
      <c r="D1210" s="42">
        <v>34.646000000000001</v>
      </c>
      <c r="E1210" s="42">
        <v>34.634999999999998</v>
      </c>
      <c r="F1210" s="42">
        <v>34.622999999999998</v>
      </c>
      <c r="G1210" s="42">
        <v>34.612000000000002</v>
      </c>
      <c r="H1210" s="42">
        <v>34.590000000000003</v>
      </c>
      <c r="I1210" s="42">
        <v>34.567999999999998</v>
      </c>
      <c r="J1210" s="296">
        <v>3634</v>
      </c>
      <c r="K1210" s="1"/>
      <c r="L1210" s="1"/>
      <c r="M1210" s="1"/>
      <c r="N1210" s="1"/>
      <c r="O1210" s="1"/>
      <c r="P1210" s="365"/>
      <c r="Q1210" s="1"/>
      <c r="R1210" s="1"/>
      <c r="S1210" s="1"/>
      <c r="T1210" s="1"/>
    </row>
    <row r="1211" spans="1:20">
      <c r="A1211" s="1">
        <v>8100</v>
      </c>
      <c r="B1211" s="42">
        <v>34.159999999999997</v>
      </c>
      <c r="C1211" s="42">
        <v>34.137999999999998</v>
      </c>
      <c r="D1211" s="42">
        <v>34.127000000000002</v>
      </c>
      <c r="E1211" s="42">
        <v>34.116</v>
      </c>
      <c r="F1211" s="42">
        <v>34.104999999999997</v>
      </c>
      <c r="G1211" s="42">
        <v>34.094000000000001</v>
      </c>
      <c r="H1211" s="42">
        <v>34.070999999999998</v>
      </c>
      <c r="I1211" s="42">
        <v>34.048999999999999</v>
      </c>
      <c r="J1211" s="296">
        <v>3584</v>
      </c>
      <c r="K1211" s="1"/>
      <c r="L1211" s="1"/>
      <c r="M1211" s="1"/>
      <c r="N1211" s="1"/>
      <c r="O1211" s="1"/>
      <c r="P1211" s="365"/>
      <c r="Q1211" s="1"/>
      <c r="R1211" s="1"/>
      <c r="S1211" s="1"/>
      <c r="T1211" s="1"/>
    </row>
    <row r="1212" spans="1:20">
      <c r="A1212" s="1">
        <v>8150</v>
      </c>
      <c r="B1212" s="42">
        <v>33.643000000000001</v>
      </c>
      <c r="C1212" s="42">
        <v>33.621000000000002</v>
      </c>
      <c r="D1212" s="42">
        <v>33.609000000000002</v>
      </c>
      <c r="E1212" s="42">
        <v>33.597999999999999</v>
      </c>
      <c r="F1212" s="42">
        <v>33.587000000000003</v>
      </c>
      <c r="G1212" s="42">
        <v>33.576000000000001</v>
      </c>
      <c r="H1212" s="42">
        <v>33.554000000000002</v>
      </c>
      <c r="I1212" s="42">
        <v>33.531999999999996</v>
      </c>
      <c r="J1212" s="296">
        <v>3534</v>
      </c>
      <c r="K1212" s="1"/>
      <c r="L1212" s="1"/>
      <c r="M1212" s="1"/>
      <c r="N1212" s="1"/>
      <c r="O1212" s="1"/>
      <c r="P1212" s="365"/>
      <c r="Q1212" s="1"/>
      <c r="R1212" s="1"/>
      <c r="S1212" s="1"/>
      <c r="T1212" s="1"/>
    </row>
    <row r="1213" spans="1:20">
      <c r="A1213" s="1">
        <v>8200</v>
      </c>
      <c r="B1213" s="42">
        <v>33.125999999999998</v>
      </c>
      <c r="C1213" s="42">
        <v>33.103999999999999</v>
      </c>
      <c r="D1213" s="42">
        <v>33.093000000000004</v>
      </c>
      <c r="E1213" s="42">
        <v>33.082000000000001</v>
      </c>
      <c r="F1213" s="42">
        <v>33.070999999999998</v>
      </c>
      <c r="G1213" s="42">
        <v>33.06</v>
      </c>
      <c r="H1213" s="42">
        <v>33.037999999999997</v>
      </c>
      <c r="I1213" s="42">
        <v>33.015999999999998</v>
      </c>
      <c r="J1213" s="296">
        <v>3484</v>
      </c>
      <c r="K1213" s="1"/>
      <c r="L1213" s="1"/>
      <c r="M1213" s="1"/>
      <c r="N1213" s="1"/>
      <c r="O1213" s="1"/>
      <c r="P1213" s="365"/>
      <c r="Q1213" s="1"/>
      <c r="R1213" s="1"/>
      <c r="S1213" s="1"/>
      <c r="T1213" s="1"/>
    </row>
    <row r="1214" spans="1:20">
      <c r="A1214" s="1">
        <v>8250</v>
      </c>
      <c r="B1214" s="42">
        <v>32.612000000000002</v>
      </c>
      <c r="C1214" s="42">
        <v>32.590000000000003</v>
      </c>
      <c r="D1214" s="42">
        <v>32.578000000000003</v>
      </c>
      <c r="E1214" s="42">
        <v>32.567</v>
      </c>
      <c r="F1214" s="42">
        <v>32.555999999999997</v>
      </c>
      <c r="G1214" s="42">
        <v>32.545000000000002</v>
      </c>
      <c r="H1214" s="42">
        <v>32.523000000000003</v>
      </c>
      <c r="I1214" s="42">
        <v>32.500999999999998</v>
      </c>
      <c r="J1214" s="296">
        <v>3434</v>
      </c>
      <c r="K1214" s="1"/>
      <c r="L1214" s="1"/>
      <c r="M1214" s="1"/>
      <c r="N1214" s="1"/>
      <c r="O1214" s="1"/>
      <c r="P1214" s="365"/>
      <c r="Q1214" s="1"/>
      <c r="R1214" s="1"/>
      <c r="S1214" s="1"/>
      <c r="T1214" s="1"/>
    </row>
    <row r="1215" spans="1:20">
      <c r="A1215" s="1">
        <v>8300</v>
      </c>
      <c r="B1215" s="42">
        <v>32.097999999999999</v>
      </c>
      <c r="C1215" s="42">
        <v>32.076000000000001</v>
      </c>
      <c r="D1215" s="42">
        <v>32.064999999999998</v>
      </c>
      <c r="E1215" s="42">
        <v>32.054000000000002</v>
      </c>
      <c r="F1215" s="42">
        <v>32.042999999999999</v>
      </c>
      <c r="G1215" s="42">
        <v>32.031999999999996</v>
      </c>
      <c r="H1215" s="42">
        <v>32.01</v>
      </c>
      <c r="I1215" s="42">
        <v>31.988</v>
      </c>
      <c r="J1215" s="296">
        <v>3384</v>
      </c>
      <c r="K1215" s="1"/>
      <c r="L1215" s="1"/>
      <c r="M1215" s="1"/>
      <c r="N1215" s="1"/>
      <c r="O1215" s="1"/>
      <c r="P1215" s="365"/>
      <c r="Q1215" s="1"/>
      <c r="R1215" s="1"/>
      <c r="S1215" s="1"/>
      <c r="T1215" s="1"/>
    </row>
    <row r="1216" spans="1:20">
      <c r="A1216" s="1">
        <v>8350</v>
      </c>
      <c r="B1216" s="42">
        <v>31.585999999999999</v>
      </c>
      <c r="C1216" s="42">
        <v>31.564</v>
      </c>
      <c r="D1216" s="42">
        <v>31.553000000000001</v>
      </c>
      <c r="E1216" s="42">
        <v>31.542000000000002</v>
      </c>
      <c r="F1216" s="42">
        <v>31.530999999999999</v>
      </c>
      <c r="G1216" s="42">
        <v>31.52</v>
      </c>
      <c r="H1216" s="42">
        <v>31.498000000000001</v>
      </c>
      <c r="I1216" s="42">
        <v>31.475999999999999</v>
      </c>
      <c r="J1216" s="296">
        <v>3334</v>
      </c>
      <c r="K1216" s="1"/>
      <c r="L1216" s="1"/>
      <c r="M1216" s="1"/>
      <c r="N1216" s="1"/>
      <c r="O1216" s="1"/>
      <c r="P1216" s="365"/>
      <c r="Q1216" s="1"/>
      <c r="R1216" s="1"/>
      <c r="S1216" s="1"/>
      <c r="T1216" s="1"/>
    </row>
    <row r="1217" spans="1:20">
      <c r="A1217" s="1">
        <v>8400</v>
      </c>
      <c r="B1217" s="42">
        <v>31.074999999999999</v>
      </c>
      <c r="C1217" s="42">
        <v>31.053000000000001</v>
      </c>
      <c r="D1217" s="42">
        <v>31.042000000000002</v>
      </c>
      <c r="E1217" s="42">
        <v>31.030999999999999</v>
      </c>
      <c r="F1217" s="42">
        <v>31.02</v>
      </c>
      <c r="G1217" s="42">
        <v>31.009</v>
      </c>
      <c r="H1217" s="42">
        <v>30.986999999999998</v>
      </c>
      <c r="I1217" s="42">
        <v>30.965</v>
      </c>
      <c r="J1217" s="296">
        <v>3284</v>
      </c>
      <c r="K1217" s="1"/>
      <c r="L1217" s="1"/>
      <c r="M1217" s="1"/>
      <c r="N1217" s="1"/>
      <c r="O1217" s="1"/>
      <c r="P1217" s="365"/>
      <c r="Q1217" s="1"/>
      <c r="R1217" s="1"/>
      <c r="S1217" s="1"/>
      <c r="T1217" s="1"/>
    </row>
    <row r="1218" spans="1:20">
      <c r="A1218" s="1">
        <v>8450</v>
      </c>
      <c r="B1218" s="42">
        <v>30.565000000000001</v>
      </c>
      <c r="C1218" s="42">
        <v>30.544</v>
      </c>
      <c r="D1218" s="42">
        <v>30.533000000000001</v>
      </c>
      <c r="E1218" s="42">
        <v>30.521999999999998</v>
      </c>
      <c r="F1218" s="42">
        <v>30.510999999999999</v>
      </c>
      <c r="G1218" s="42">
        <v>30.5</v>
      </c>
      <c r="H1218" s="42">
        <v>30.478000000000002</v>
      </c>
      <c r="I1218" s="42">
        <v>30.456</v>
      </c>
      <c r="J1218" s="296">
        <v>3234</v>
      </c>
      <c r="K1218" s="1"/>
      <c r="L1218" s="1"/>
      <c r="M1218" s="1"/>
      <c r="N1218" s="1"/>
      <c r="O1218" s="1"/>
      <c r="P1218" s="365"/>
      <c r="Q1218" s="1"/>
      <c r="R1218" s="1"/>
      <c r="S1218" s="1"/>
      <c r="T1218" s="1"/>
    </row>
    <row r="1219" spans="1:20">
      <c r="A1219" s="1">
        <v>8500</v>
      </c>
      <c r="B1219" s="42">
        <v>30.056999999999999</v>
      </c>
      <c r="C1219" s="42">
        <v>30.035</v>
      </c>
      <c r="D1219" s="42">
        <v>30.024000000000001</v>
      </c>
      <c r="E1219" s="42">
        <v>30.013999999999999</v>
      </c>
      <c r="F1219" s="42">
        <v>30.003</v>
      </c>
      <c r="G1219" s="42">
        <v>29.992000000000001</v>
      </c>
      <c r="H1219" s="42">
        <v>29.97</v>
      </c>
      <c r="I1219" s="42">
        <v>29.948</v>
      </c>
      <c r="J1219" s="296">
        <v>3184</v>
      </c>
      <c r="K1219" s="1"/>
      <c r="L1219" s="1"/>
      <c r="M1219" s="1"/>
      <c r="N1219" s="1"/>
      <c r="O1219" s="1"/>
      <c r="P1219" s="365"/>
      <c r="Q1219" s="1"/>
      <c r="R1219" s="1"/>
      <c r="S1219" s="1"/>
      <c r="T1219" s="1"/>
    </row>
    <row r="1220" spans="1:20">
      <c r="A1220" s="1">
        <v>8550</v>
      </c>
      <c r="B1220" s="42">
        <v>29.55</v>
      </c>
      <c r="C1220" s="42">
        <v>29.529</v>
      </c>
      <c r="D1220" s="42">
        <v>29.518000000000001</v>
      </c>
      <c r="E1220" s="42">
        <v>29.507000000000001</v>
      </c>
      <c r="F1220" s="42">
        <v>29.495999999999999</v>
      </c>
      <c r="G1220" s="42">
        <v>29.484999999999999</v>
      </c>
      <c r="H1220" s="42">
        <v>29.463000000000001</v>
      </c>
      <c r="I1220" s="42">
        <v>29.442</v>
      </c>
      <c r="J1220" s="296">
        <v>3134</v>
      </c>
      <c r="K1220" s="1"/>
      <c r="L1220" s="1"/>
      <c r="M1220" s="1"/>
      <c r="N1220" s="1"/>
      <c r="O1220" s="1"/>
      <c r="P1220" s="365"/>
      <c r="Q1220" s="1"/>
      <c r="R1220" s="1"/>
      <c r="S1220" s="1"/>
      <c r="T1220" s="1"/>
    </row>
    <row r="1221" spans="1:20">
      <c r="A1221" s="1">
        <v>8600</v>
      </c>
      <c r="B1221" s="42">
        <v>29.045000000000002</v>
      </c>
      <c r="C1221" s="42">
        <v>29.023</v>
      </c>
      <c r="D1221" s="42">
        <v>29.012</v>
      </c>
      <c r="E1221" s="42">
        <v>29.001000000000001</v>
      </c>
      <c r="F1221" s="42">
        <v>28.991</v>
      </c>
      <c r="G1221" s="42">
        <v>28.98</v>
      </c>
      <c r="H1221" s="42">
        <v>28.957999999999998</v>
      </c>
      <c r="I1221" s="42">
        <v>28.936</v>
      </c>
      <c r="J1221" s="296">
        <v>3084</v>
      </c>
      <c r="K1221" s="1"/>
      <c r="L1221" s="1"/>
      <c r="M1221" s="1"/>
      <c r="N1221" s="1"/>
      <c r="O1221" s="1"/>
      <c r="P1221" s="365"/>
      <c r="Q1221" s="1"/>
      <c r="R1221" s="1"/>
      <c r="S1221" s="1"/>
      <c r="T1221" s="1"/>
    </row>
    <row r="1222" spans="1:20">
      <c r="A1222" s="1">
        <v>8650</v>
      </c>
      <c r="B1222" s="42">
        <v>28.541</v>
      </c>
      <c r="C1222" s="42">
        <v>28.518999999999998</v>
      </c>
      <c r="D1222" s="42">
        <v>28.507999999999999</v>
      </c>
      <c r="E1222" s="42">
        <v>28.497</v>
      </c>
      <c r="F1222" s="42">
        <v>28.486000000000001</v>
      </c>
      <c r="G1222" s="42">
        <v>28.475999999999999</v>
      </c>
      <c r="H1222" s="42">
        <v>28.454000000000001</v>
      </c>
      <c r="I1222" s="42">
        <v>28.433</v>
      </c>
      <c r="J1222" s="296">
        <v>3034</v>
      </c>
      <c r="K1222" s="1"/>
      <c r="L1222" s="1"/>
      <c r="M1222" s="1"/>
      <c r="N1222" s="1"/>
      <c r="O1222" s="1"/>
      <c r="P1222" s="365"/>
      <c r="Q1222" s="1"/>
      <c r="R1222" s="1"/>
      <c r="S1222" s="1"/>
      <c r="T1222" s="1"/>
    </row>
    <row r="1223" spans="1:20">
      <c r="A1223" s="1">
        <v>8700</v>
      </c>
      <c r="B1223" s="42">
        <v>28.038</v>
      </c>
      <c r="C1223" s="42">
        <v>28.015999999999998</v>
      </c>
      <c r="D1223" s="42">
        <v>28.004999999999999</v>
      </c>
      <c r="E1223" s="42">
        <v>27.995000000000001</v>
      </c>
      <c r="F1223" s="42">
        <v>27.984000000000002</v>
      </c>
      <c r="G1223" s="42">
        <v>27.972999999999999</v>
      </c>
      <c r="H1223" s="42">
        <v>27.951000000000001</v>
      </c>
      <c r="I1223" s="42">
        <v>27.93</v>
      </c>
      <c r="J1223" s="296">
        <v>2984</v>
      </c>
      <c r="K1223" s="1"/>
      <c r="L1223" s="1"/>
      <c r="M1223" s="1"/>
      <c r="N1223" s="1"/>
      <c r="O1223" s="1"/>
      <c r="P1223" s="365"/>
      <c r="Q1223" s="1"/>
      <c r="R1223" s="1"/>
      <c r="S1223" s="1"/>
      <c r="T1223" s="1"/>
    </row>
    <row r="1224" spans="1:20">
      <c r="A1224" s="1">
        <v>8750</v>
      </c>
      <c r="B1224" s="42">
        <v>27.536000000000001</v>
      </c>
      <c r="C1224" s="42">
        <v>27.515000000000001</v>
      </c>
      <c r="D1224" s="42">
        <v>27.504000000000001</v>
      </c>
      <c r="E1224" s="42">
        <v>27.492999999999999</v>
      </c>
      <c r="F1224" s="42">
        <v>27.481999999999999</v>
      </c>
      <c r="G1224" s="42">
        <v>27.472000000000001</v>
      </c>
      <c r="H1224" s="42">
        <v>27.45</v>
      </c>
      <c r="I1224" s="42">
        <v>27.428999999999998</v>
      </c>
      <c r="J1224" s="296">
        <v>2934</v>
      </c>
      <c r="K1224" s="1"/>
      <c r="L1224" s="1"/>
      <c r="M1224" s="1"/>
      <c r="N1224" s="1"/>
      <c r="O1224" s="1"/>
      <c r="P1224" s="365"/>
      <c r="Q1224" s="1"/>
      <c r="R1224" s="1"/>
      <c r="S1224" s="1"/>
      <c r="T1224" s="1"/>
    </row>
    <row r="1225" spans="1:20">
      <c r="A1225" s="1">
        <v>8800</v>
      </c>
      <c r="B1225" s="42">
        <v>27.036000000000001</v>
      </c>
      <c r="C1225" s="42">
        <v>27.013999999999999</v>
      </c>
      <c r="D1225" s="42">
        <v>27.004000000000001</v>
      </c>
      <c r="E1225" s="42">
        <v>26.992999999999999</v>
      </c>
      <c r="F1225" s="42">
        <v>26.981999999999999</v>
      </c>
      <c r="G1225" s="42">
        <v>26.972000000000001</v>
      </c>
      <c r="H1225" s="42">
        <v>26.95</v>
      </c>
      <c r="I1225" s="42">
        <v>26.928999999999998</v>
      </c>
      <c r="J1225" s="296">
        <v>2884</v>
      </c>
      <c r="K1225" s="1"/>
      <c r="L1225" s="1"/>
      <c r="M1225" s="1"/>
      <c r="N1225" s="1"/>
      <c r="O1225" s="1"/>
      <c r="P1225" s="365"/>
      <c r="Q1225" s="1"/>
      <c r="R1225" s="1"/>
      <c r="S1225" s="1"/>
      <c r="T1225" s="1"/>
    </row>
    <row r="1226" spans="1:20">
      <c r="A1226" s="1">
        <v>8850</v>
      </c>
      <c r="B1226" s="42">
        <v>26.536999999999999</v>
      </c>
      <c r="C1226" s="42">
        <v>26.515999999999998</v>
      </c>
      <c r="D1226" s="42">
        <v>26.504999999999999</v>
      </c>
      <c r="E1226" s="42">
        <v>26.494</v>
      </c>
      <c r="F1226" s="42">
        <v>26.484000000000002</v>
      </c>
      <c r="G1226" s="42">
        <v>26.472999999999999</v>
      </c>
      <c r="H1226" s="42">
        <v>26.452000000000002</v>
      </c>
      <c r="I1226" s="42">
        <v>26.43</v>
      </c>
      <c r="J1226" s="296">
        <v>2834</v>
      </c>
      <c r="K1226" s="1"/>
      <c r="L1226" s="1"/>
      <c r="M1226" s="1"/>
      <c r="N1226" s="1"/>
      <c r="O1226" s="1"/>
      <c r="P1226" s="365"/>
      <c r="Q1226" s="1"/>
      <c r="R1226" s="1"/>
      <c r="S1226" s="1"/>
      <c r="T1226" s="1"/>
    </row>
    <row r="1227" spans="1:20">
      <c r="A1227" s="1">
        <v>8900</v>
      </c>
      <c r="B1227" s="42">
        <v>26.04</v>
      </c>
      <c r="C1227" s="42">
        <v>26.018000000000001</v>
      </c>
      <c r="D1227" s="42">
        <v>26.007999999999999</v>
      </c>
      <c r="E1227" s="42">
        <v>25.997</v>
      </c>
      <c r="F1227" s="42">
        <v>25.986000000000001</v>
      </c>
      <c r="G1227" s="42">
        <v>25.975999999999999</v>
      </c>
      <c r="H1227" s="42">
        <v>25.954000000000001</v>
      </c>
      <c r="I1227" s="42">
        <v>25.933</v>
      </c>
      <c r="J1227" s="296">
        <v>2784</v>
      </c>
      <c r="K1227" s="1"/>
      <c r="L1227" s="1"/>
      <c r="M1227" s="1"/>
      <c r="N1227" s="1"/>
      <c r="O1227" s="1"/>
      <c r="P1227" s="365"/>
      <c r="Q1227" s="1"/>
      <c r="R1227" s="1"/>
      <c r="S1227" s="1"/>
      <c r="T1227" s="1"/>
    </row>
    <row r="1228" spans="1:20">
      <c r="A1228" s="1">
        <v>8950</v>
      </c>
      <c r="B1228" s="42">
        <v>25.542999999999999</v>
      </c>
      <c r="C1228" s="42">
        <v>25.521999999999998</v>
      </c>
      <c r="D1228" s="42">
        <v>25.510999999999999</v>
      </c>
      <c r="E1228" s="42">
        <v>25.501000000000001</v>
      </c>
      <c r="F1228" s="42">
        <v>25.49</v>
      </c>
      <c r="G1228" s="42">
        <v>25.48</v>
      </c>
      <c r="H1228" s="42">
        <v>25.457999999999998</v>
      </c>
      <c r="I1228" s="42">
        <v>25.437000000000001</v>
      </c>
      <c r="J1228" s="296">
        <v>2734</v>
      </c>
      <c r="K1228" s="1"/>
      <c r="L1228" s="1"/>
      <c r="M1228" s="1"/>
      <c r="N1228" s="1"/>
      <c r="O1228" s="1"/>
      <c r="P1228" s="365"/>
      <c r="Q1228" s="1"/>
      <c r="R1228" s="1"/>
      <c r="S1228" s="1"/>
      <c r="T1228" s="1"/>
    </row>
    <row r="1229" spans="1:20">
      <c r="A1229" s="1">
        <v>9000</v>
      </c>
      <c r="B1229" s="42">
        <v>25.048999999999999</v>
      </c>
      <c r="C1229" s="42">
        <v>25.027000000000001</v>
      </c>
      <c r="D1229" s="42">
        <v>25.016999999999999</v>
      </c>
      <c r="E1229" s="42">
        <v>25.006</v>
      </c>
      <c r="F1229" s="42">
        <v>24.995000000000001</v>
      </c>
      <c r="G1229" s="42">
        <v>24.984999999999999</v>
      </c>
      <c r="H1229" s="42">
        <v>24.963999999999999</v>
      </c>
      <c r="I1229" s="42">
        <v>24.943000000000001</v>
      </c>
      <c r="J1229" s="296">
        <v>2684</v>
      </c>
      <c r="K1229" s="1"/>
      <c r="L1229" s="1"/>
      <c r="M1229" s="1"/>
      <c r="N1229" s="1"/>
      <c r="O1229" s="1"/>
      <c r="P1229" s="365"/>
      <c r="Q1229" s="1"/>
      <c r="R1229" s="1"/>
      <c r="S1229" s="1"/>
      <c r="T1229" s="1"/>
    </row>
    <row r="1230" spans="1:20">
      <c r="A1230" s="1">
        <v>9050</v>
      </c>
      <c r="B1230" s="42">
        <v>24.555</v>
      </c>
      <c r="C1230" s="42">
        <v>24.533999999999999</v>
      </c>
      <c r="D1230" s="42">
        <v>24.523</v>
      </c>
      <c r="E1230" s="42">
        <v>24.513000000000002</v>
      </c>
      <c r="F1230" s="42">
        <v>24.501999999999999</v>
      </c>
      <c r="G1230" s="42">
        <v>24.492000000000001</v>
      </c>
      <c r="H1230" s="42">
        <v>24.47</v>
      </c>
      <c r="I1230" s="42">
        <v>24.449000000000002</v>
      </c>
      <c r="J1230" s="296">
        <v>2634</v>
      </c>
      <c r="K1230" s="1"/>
      <c r="L1230" s="1"/>
      <c r="M1230" s="1"/>
      <c r="N1230" s="1"/>
      <c r="O1230" s="1"/>
      <c r="P1230" s="365"/>
      <c r="Q1230" s="1"/>
      <c r="R1230" s="1"/>
      <c r="S1230" s="1"/>
      <c r="T1230" s="1"/>
    </row>
    <row r="1231" spans="1:20">
      <c r="A1231" s="1">
        <v>9100</v>
      </c>
      <c r="B1231" s="42">
        <v>24.062999999999999</v>
      </c>
      <c r="C1231" s="42">
        <v>24.042000000000002</v>
      </c>
      <c r="D1231" s="42">
        <v>24.030999999999999</v>
      </c>
      <c r="E1231" s="42">
        <v>24.021000000000001</v>
      </c>
      <c r="F1231" s="42">
        <v>24.01</v>
      </c>
      <c r="G1231" s="42">
        <v>24</v>
      </c>
      <c r="H1231" s="42">
        <v>23.978000000000002</v>
      </c>
      <c r="I1231" s="42">
        <v>23.957000000000001</v>
      </c>
      <c r="J1231" s="296">
        <v>2584</v>
      </c>
      <c r="K1231" s="1"/>
      <c r="L1231" s="1"/>
      <c r="M1231" s="1"/>
      <c r="N1231" s="1"/>
      <c r="O1231" s="1"/>
      <c r="P1231" s="365"/>
      <c r="Q1231" s="1"/>
      <c r="R1231" s="1"/>
      <c r="S1231" s="1"/>
      <c r="T1231" s="1"/>
    </row>
    <row r="1232" spans="1:20">
      <c r="A1232" s="1">
        <v>9150</v>
      </c>
      <c r="B1232" s="42">
        <v>23.571999999999999</v>
      </c>
      <c r="C1232" s="42">
        <v>23.550999999999998</v>
      </c>
      <c r="D1232" s="42">
        <v>23.54</v>
      </c>
      <c r="E1232" s="42">
        <v>23.53</v>
      </c>
      <c r="F1232" s="42">
        <v>23.518999999999998</v>
      </c>
      <c r="G1232" s="42">
        <v>23.509</v>
      </c>
      <c r="H1232" s="42">
        <v>23.488</v>
      </c>
      <c r="I1232" s="42">
        <v>23.466999999999999</v>
      </c>
      <c r="J1232" s="296">
        <v>2534</v>
      </c>
      <c r="K1232" s="1"/>
      <c r="L1232" s="1"/>
      <c r="M1232" s="1"/>
      <c r="N1232" s="1"/>
      <c r="O1232" s="1"/>
      <c r="P1232" s="365"/>
      <c r="Q1232" s="1"/>
      <c r="R1232" s="1"/>
      <c r="S1232" s="1"/>
      <c r="T1232" s="1"/>
    </row>
    <row r="1233" spans="1:20">
      <c r="A1233" s="1">
        <v>9200</v>
      </c>
      <c r="B1233" s="42">
        <v>23.082000000000001</v>
      </c>
      <c r="C1233" s="42">
        <v>23.062000000000001</v>
      </c>
      <c r="D1233" s="42">
        <v>23.050999999999998</v>
      </c>
      <c r="E1233" s="42">
        <v>23.041</v>
      </c>
      <c r="F1233" s="42">
        <v>23.03</v>
      </c>
      <c r="G1233" s="42">
        <v>23.02</v>
      </c>
      <c r="H1233" s="42">
        <v>22.998999999999999</v>
      </c>
      <c r="I1233" s="42">
        <v>22.978000000000002</v>
      </c>
      <c r="J1233" s="296">
        <v>2484</v>
      </c>
      <c r="K1233" s="1"/>
      <c r="L1233" s="1"/>
      <c r="M1233" s="1"/>
      <c r="N1233" s="1"/>
      <c r="O1233" s="1"/>
      <c r="P1233" s="365"/>
      <c r="Q1233" s="1"/>
      <c r="R1233" s="1"/>
      <c r="S1233" s="1"/>
      <c r="T1233" s="1"/>
    </row>
    <row r="1234" spans="1:20">
      <c r="A1234" s="1">
        <v>9250</v>
      </c>
      <c r="B1234" s="42">
        <v>22.594000000000001</v>
      </c>
      <c r="C1234" s="42">
        <v>22.573</v>
      </c>
      <c r="D1234" s="42">
        <v>22.562999999999999</v>
      </c>
      <c r="E1234" s="42">
        <v>22.552</v>
      </c>
      <c r="F1234" s="42">
        <v>22.542000000000002</v>
      </c>
      <c r="G1234" s="42">
        <v>22.532</v>
      </c>
      <c r="H1234" s="42">
        <v>22.510999999999999</v>
      </c>
      <c r="I1234" s="42">
        <v>22.49</v>
      </c>
      <c r="J1234" s="296">
        <v>2434</v>
      </c>
      <c r="K1234" s="1"/>
      <c r="L1234" s="1"/>
      <c r="M1234" s="1"/>
      <c r="N1234" s="1"/>
      <c r="O1234" s="1"/>
      <c r="P1234" s="365"/>
      <c r="Q1234" s="1"/>
      <c r="R1234" s="1"/>
      <c r="S1234" s="1"/>
      <c r="T1234" s="1"/>
    </row>
    <row r="1235" spans="1:20">
      <c r="A1235" s="1">
        <v>9300</v>
      </c>
      <c r="B1235" s="42">
        <v>22.106999999999999</v>
      </c>
      <c r="C1235" s="42">
        <v>22.087</v>
      </c>
      <c r="D1235" s="42">
        <v>22.076000000000001</v>
      </c>
      <c r="E1235" s="42">
        <v>22.065999999999999</v>
      </c>
      <c r="F1235" s="42">
        <v>22.055</v>
      </c>
      <c r="G1235" s="42">
        <v>22.045000000000002</v>
      </c>
      <c r="H1235" s="42">
        <v>22.024000000000001</v>
      </c>
      <c r="I1235" s="42">
        <v>22.003</v>
      </c>
      <c r="J1235" s="296">
        <v>2384</v>
      </c>
      <c r="K1235" s="1"/>
      <c r="L1235" s="1"/>
      <c r="M1235" s="1"/>
      <c r="N1235" s="1"/>
      <c r="O1235" s="1"/>
      <c r="P1235" s="365"/>
      <c r="Q1235" s="1"/>
      <c r="R1235" s="1"/>
      <c r="S1235" s="1"/>
      <c r="T1235" s="1"/>
    </row>
    <row r="1236" spans="1:20">
      <c r="A1236" s="1">
        <v>9350</v>
      </c>
      <c r="B1236" s="42">
        <v>21.622</v>
      </c>
      <c r="C1236" s="42">
        <v>21.600999999999999</v>
      </c>
      <c r="D1236" s="42">
        <v>21.591000000000001</v>
      </c>
      <c r="E1236" s="42">
        <v>21.58</v>
      </c>
      <c r="F1236" s="42">
        <v>21.57</v>
      </c>
      <c r="G1236" s="42">
        <v>21.56</v>
      </c>
      <c r="H1236" s="42">
        <v>21.539000000000001</v>
      </c>
      <c r="I1236" s="42">
        <v>21.518000000000001</v>
      </c>
      <c r="J1236" s="296">
        <v>2334</v>
      </c>
      <c r="K1236" s="1"/>
      <c r="L1236" s="1"/>
      <c r="M1236" s="1"/>
      <c r="N1236" s="1"/>
      <c r="O1236" s="1"/>
      <c r="P1236" s="365"/>
      <c r="Q1236" s="1"/>
      <c r="R1236" s="1"/>
      <c r="S1236" s="1"/>
      <c r="T1236" s="1"/>
    </row>
    <row r="1237" spans="1:20">
      <c r="A1237" s="1">
        <v>9400</v>
      </c>
      <c r="B1237" s="42">
        <v>21.138000000000002</v>
      </c>
      <c r="C1237" s="42">
        <v>21.117000000000001</v>
      </c>
      <c r="D1237" s="42">
        <v>21.106999999999999</v>
      </c>
      <c r="E1237" s="42">
        <v>21.096</v>
      </c>
      <c r="F1237" s="42">
        <v>21.085999999999999</v>
      </c>
      <c r="G1237" s="42">
        <v>21.076000000000001</v>
      </c>
      <c r="H1237" s="42">
        <v>21.055</v>
      </c>
      <c r="I1237" s="42">
        <v>21.033999999999999</v>
      </c>
      <c r="J1237" s="296">
        <v>2284</v>
      </c>
      <c r="K1237" s="1"/>
      <c r="L1237" s="1"/>
      <c r="M1237" s="1"/>
      <c r="N1237" s="1"/>
      <c r="O1237" s="1"/>
      <c r="P1237" s="365"/>
      <c r="Q1237" s="1"/>
      <c r="R1237" s="1"/>
      <c r="S1237" s="1"/>
      <c r="T1237" s="1"/>
    </row>
    <row r="1238" spans="1:20">
      <c r="A1238" s="1">
        <v>9450</v>
      </c>
      <c r="B1238" s="42">
        <v>20.655000000000001</v>
      </c>
      <c r="C1238" s="42">
        <v>20.634</v>
      </c>
      <c r="D1238" s="42">
        <v>20.623999999999999</v>
      </c>
      <c r="E1238" s="42">
        <v>20.614000000000001</v>
      </c>
      <c r="F1238" s="42">
        <v>20.603000000000002</v>
      </c>
      <c r="G1238" s="42">
        <v>20.593</v>
      </c>
      <c r="H1238" s="42">
        <v>20.571999999999999</v>
      </c>
      <c r="I1238" s="42">
        <v>20.552</v>
      </c>
      <c r="J1238" s="296">
        <v>2234</v>
      </c>
      <c r="K1238" s="1"/>
      <c r="L1238" s="1"/>
      <c r="M1238" s="1"/>
      <c r="N1238" s="1"/>
      <c r="O1238" s="1"/>
      <c r="P1238" s="365"/>
      <c r="Q1238" s="1"/>
      <c r="R1238" s="1"/>
      <c r="S1238" s="1"/>
      <c r="T1238" s="1"/>
    </row>
    <row r="1239" spans="1:20">
      <c r="A1239" s="1">
        <v>9500</v>
      </c>
      <c r="B1239" s="42">
        <v>20.173999999999999</v>
      </c>
      <c r="C1239" s="42">
        <v>20.152999999999999</v>
      </c>
      <c r="D1239" s="42">
        <v>20.143000000000001</v>
      </c>
      <c r="E1239" s="42">
        <v>20.132000000000001</v>
      </c>
      <c r="F1239" s="42">
        <v>20.122</v>
      </c>
      <c r="G1239" s="42">
        <v>20.111999999999998</v>
      </c>
      <c r="H1239" s="42">
        <v>20.091000000000001</v>
      </c>
      <c r="I1239" s="42">
        <v>20.07</v>
      </c>
      <c r="J1239" s="296">
        <v>2184</v>
      </c>
      <c r="K1239" s="1"/>
      <c r="L1239" s="1"/>
      <c r="M1239" s="1"/>
      <c r="N1239" s="1"/>
      <c r="O1239" s="1"/>
      <c r="P1239" s="365"/>
      <c r="Q1239" s="1"/>
      <c r="R1239" s="1"/>
      <c r="S1239" s="1"/>
      <c r="T1239" s="1"/>
    </row>
    <row r="1240" spans="1:20">
      <c r="A1240" s="1">
        <v>9550</v>
      </c>
      <c r="B1240" s="42">
        <v>19.693000000000001</v>
      </c>
      <c r="C1240" s="42">
        <v>19.672999999999998</v>
      </c>
      <c r="D1240" s="42">
        <v>19.663</v>
      </c>
      <c r="E1240" s="42">
        <v>19.652000000000001</v>
      </c>
      <c r="F1240" s="42">
        <v>19.641999999999999</v>
      </c>
      <c r="G1240" s="42">
        <v>19.632000000000001</v>
      </c>
      <c r="H1240" s="42">
        <v>19.611000000000001</v>
      </c>
      <c r="I1240" s="42">
        <v>19.591000000000001</v>
      </c>
      <c r="J1240" s="296">
        <v>2134</v>
      </c>
      <c r="K1240" s="1"/>
      <c r="L1240" s="1"/>
      <c r="M1240" s="1"/>
      <c r="N1240" s="1"/>
      <c r="O1240" s="1"/>
      <c r="P1240" s="365"/>
      <c r="Q1240" s="1"/>
      <c r="R1240" s="1"/>
      <c r="S1240" s="1"/>
      <c r="T1240" s="1"/>
    </row>
    <row r="1241" spans="1:20">
      <c r="A1241" s="1">
        <v>9600</v>
      </c>
      <c r="B1241" s="42">
        <v>19.215</v>
      </c>
      <c r="C1241" s="42">
        <v>19.193999999999999</v>
      </c>
      <c r="D1241" s="42">
        <v>19.184000000000001</v>
      </c>
      <c r="E1241" s="42">
        <v>19.173999999999999</v>
      </c>
      <c r="F1241" s="42">
        <v>19.163</v>
      </c>
      <c r="G1241" s="42">
        <v>19.152999999999999</v>
      </c>
      <c r="H1241" s="42">
        <v>19.132999999999999</v>
      </c>
      <c r="I1241" s="42">
        <v>19.111999999999998</v>
      </c>
      <c r="J1241" s="296">
        <v>2084</v>
      </c>
      <c r="K1241" s="1"/>
      <c r="L1241" s="1"/>
      <c r="M1241" s="1"/>
      <c r="N1241" s="1"/>
      <c r="O1241" s="1"/>
      <c r="P1241" s="365"/>
      <c r="Q1241" s="1"/>
      <c r="R1241" s="1"/>
      <c r="S1241" s="1"/>
      <c r="T1241" s="1"/>
    </row>
    <row r="1242" spans="1:20">
      <c r="A1242" s="1">
        <v>9650</v>
      </c>
      <c r="B1242" s="42">
        <v>18.736999999999998</v>
      </c>
      <c r="C1242" s="42">
        <v>18.716999999999999</v>
      </c>
      <c r="D1242" s="42">
        <v>18.706</v>
      </c>
      <c r="E1242" s="42">
        <v>18.696000000000002</v>
      </c>
      <c r="F1242" s="42">
        <v>18.686</v>
      </c>
      <c r="G1242" s="42">
        <v>18.675999999999998</v>
      </c>
      <c r="H1242" s="42">
        <v>18.655000000000001</v>
      </c>
      <c r="I1242" s="42">
        <v>18.635000000000002</v>
      </c>
      <c r="J1242" s="296">
        <v>2034</v>
      </c>
      <c r="K1242" s="1"/>
      <c r="L1242" s="1"/>
      <c r="M1242" s="1"/>
      <c r="N1242" s="1"/>
      <c r="O1242" s="1"/>
      <c r="P1242" s="365"/>
      <c r="Q1242" s="1"/>
      <c r="R1242" s="1"/>
      <c r="S1242" s="1"/>
      <c r="T1242" s="1"/>
    </row>
    <row r="1243" spans="1:20">
      <c r="A1243" s="1">
        <v>9700</v>
      </c>
      <c r="B1243" s="42">
        <v>18.260999999999999</v>
      </c>
      <c r="C1243" s="42">
        <v>18.241</v>
      </c>
      <c r="D1243" s="42">
        <v>18.23</v>
      </c>
      <c r="E1243" s="42">
        <v>18.22</v>
      </c>
      <c r="F1243" s="42">
        <v>18.21</v>
      </c>
      <c r="G1243" s="42">
        <v>18.2</v>
      </c>
      <c r="H1243" s="42">
        <v>18.178999999999998</v>
      </c>
      <c r="I1243" s="42">
        <v>18.158999999999999</v>
      </c>
      <c r="J1243" s="296">
        <v>1984</v>
      </c>
      <c r="K1243" s="1"/>
      <c r="L1243" s="1"/>
      <c r="M1243" s="1"/>
      <c r="N1243" s="1"/>
      <c r="O1243" s="1"/>
      <c r="P1243" s="365"/>
      <c r="Q1243" s="1"/>
      <c r="R1243" s="1"/>
      <c r="S1243" s="1"/>
      <c r="T1243" s="1"/>
    </row>
    <row r="1244" spans="1:20">
      <c r="A1244" s="1">
        <v>9750</v>
      </c>
      <c r="B1244" s="42">
        <v>17.786000000000001</v>
      </c>
      <c r="C1244" s="42">
        <v>17.765999999999998</v>
      </c>
      <c r="D1244" s="42">
        <v>17.756</v>
      </c>
      <c r="E1244" s="42">
        <v>17.745000000000001</v>
      </c>
      <c r="F1244" s="42">
        <v>17.734999999999999</v>
      </c>
      <c r="G1244" s="42">
        <v>17.725000000000001</v>
      </c>
      <c r="H1244" s="42">
        <v>17.704999999999998</v>
      </c>
      <c r="I1244" s="42">
        <v>17.684999999999999</v>
      </c>
      <c r="J1244" s="296">
        <v>1934</v>
      </c>
      <c r="K1244" s="1"/>
      <c r="L1244" s="1"/>
      <c r="M1244" s="1"/>
      <c r="N1244" s="1"/>
      <c r="O1244" s="1"/>
      <c r="P1244" s="365"/>
      <c r="Q1244" s="1"/>
      <c r="R1244" s="1"/>
      <c r="S1244" s="1"/>
      <c r="T1244" s="1"/>
    </row>
    <row r="1245" spans="1:20">
      <c r="A1245" s="1">
        <v>9800</v>
      </c>
      <c r="B1245" s="42">
        <v>17.312999999999999</v>
      </c>
      <c r="C1245" s="42">
        <v>17.292000000000002</v>
      </c>
      <c r="D1245" s="42">
        <v>17.282</v>
      </c>
      <c r="E1245" s="42">
        <v>17.271999999999998</v>
      </c>
      <c r="F1245" s="42">
        <v>17.262</v>
      </c>
      <c r="G1245" s="42">
        <v>17.251999999999999</v>
      </c>
      <c r="H1245" s="42">
        <v>17.231999999999999</v>
      </c>
      <c r="I1245" s="42">
        <v>17.210999999999999</v>
      </c>
      <c r="J1245" s="296">
        <v>1884</v>
      </c>
      <c r="K1245" s="1"/>
      <c r="L1245" s="1"/>
      <c r="M1245" s="1"/>
      <c r="N1245" s="1"/>
      <c r="O1245" s="1"/>
      <c r="P1245" s="365"/>
      <c r="Q1245" s="1"/>
      <c r="R1245" s="1"/>
      <c r="S1245" s="1"/>
      <c r="T1245" s="1"/>
    </row>
    <row r="1246" spans="1:20">
      <c r="A1246" s="1">
        <v>9850</v>
      </c>
      <c r="B1246" s="42">
        <v>16.841000000000001</v>
      </c>
      <c r="C1246" s="42">
        <v>16.82</v>
      </c>
      <c r="D1246" s="42">
        <v>16.809999999999999</v>
      </c>
      <c r="E1246" s="42">
        <v>16.8</v>
      </c>
      <c r="F1246" s="42">
        <v>16.79</v>
      </c>
      <c r="G1246" s="42">
        <v>16.78</v>
      </c>
      <c r="H1246" s="42">
        <v>16.760000000000002</v>
      </c>
      <c r="I1246" s="42">
        <v>16.739000000000001</v>
      </c>
      <c r="J1246" s="296">
        <v>1834</v>
      </c>
      <c r="K1246" s="1"/>
      <c r="L1246" s="1"/>
      <c r="M1246" s="1"/>
      <c r="N1246" s="1"/>
      <c r="O1246" s="1"/>
      <c r="P1246" s="365"/>
      <c r="Q1246" s="1"/>
      <c r="R1246" s="1"/>
      <c r="S1246" s="1"/>
      <c r="T1246" s="1"/>
    </row>
    <row r="1247" spans="1:20">
      <c r="A1247" s="1">
        <v>9900</v>
      </c>
      <c r="B1247" s="42">
        <v>16.37</v>
      </c>
      <c r="C1247" s="42">
        <v>16.350000000000001</v>
      </c>
      <c r="D1247" s="42">
        <v>16.34</v>
      </c>
      <c r="E1247" s="42">
        <v>16.329000000000001</v>
      </c>
      <c r="F1247" s="42">
        <v>16.318999999999999</v>
      </c>
      <c r="G1247" s="42">
        <v>16.309000000000001</v>
      </c>
      <c r="H1247" s="42">
        <v>16.289000000000001</v>
      </c>
      <c r="I1247" s="42">
        <v>16.268999999999998</v>
      </c>
      <c r="J1247" s="296">
        <v>1784</v>
      </c>
      <c r="K1247" s="1"/>
      <c r="L1247" s="1"/>
      <c r="M1247" s="1"/>
      <c r="N1247" s="1"/>
      <c r="O1247" s="1"/>
      <c r="P1247" s="365"/>
      <c r="Q1247" s="1"/>
      <c r="R1247" s="1"/>
      <c r="S1247" s="1"/>
      <c r="T1247" s="1"/>
    </row>
    <row r="1248" spans="1:20">
      <c r="A1248" s="1">
        <v>9950</v>
      </c>
      <c r="B1248" s="42">
        <v>15.9</v>
      </c>
      <c r="C1248" s="42">
        <v>15.88</v>
      </c>
      <c r="D1248" s="42">
        <v>15.87</v>
      </c>
      <c r="E1248" s="42">
        <v>15.86</v>
      </c>
      <c r="F1248" s="42">
        <v>15.85</v>
      </c>
      <c r="G1248" s="42">
        <v>15.84</v>
      </c>
      <c r="H1248" s="42">
        <v>15.82</v>
      </c>
      <c r="I1248" s="42">
        <v>15.8</v>
      </c>
      <c r="J1248" s="296">
        <v>1734</v>
      </c>
      <c r="K1248" s="1"/>
      <c r="L1248" s="1"/>
      <c r="M1248" s="1"/>
      <c r="N1248" s="1"/>
      <c r="O1248" s="1"/>
      <c r="P1248" s="365"/>
      <c r="Q1248" s="1"/>
      <c r="R1248" s="1"/>
      <c r="S1248" s="1"/>
      <c r="T1248" s="1"/>
    </row>
    <row r="1249" spans="1:20">
      <c r="A1249" s="1">
        <v>10000</v>
      </c>
      <c r="B1249" s="42">
        <v>15.432</v>
      </c>
      <c r="C1249" s="42">
        <v>15.412000000000001</v>
      </c>
      <c r="D1249" s="42">
        <v>15.401999999999999</v>
      </c>
      <c r="E1249" s="42">
        <v>15.391999999999999</v>
      </c>
      <c r="F1249" s="42">
        <v>15.382</v>
      </c>
      <c r="G1249" s="42">
        <v>15.372</v>
      </c>
      <c r="H1249" s="42">
        <v>15.352</v>
      </c>
      <c r="I1249" s="42">
        <v>15.332000000000001</v>
      </c>
      <c r="J1249" s="296">
        <v>1684</v>
      </c>
      <c r="K1249" s="1"/>
      <c r="L1249" s="1"/>
      <c r="M1249" s="1"/>
      <c r="N1249" s="1"/>
      <c r="O1249" s="1"/>
      <c r="P1249" s="365"/>
      <c r="Q1249" s="1"/>
      <c r="R1249" s="1"/>
      <c r="S1249" s="1"/>
      <c r="T1249" s="1"/>
    </row>
    <row r="1250" spans="1:20">
      <c r="A1250" s="1">
        <v>10050</v>
      </c>
      <c r="B1250" s="42">
        <v>14.965</v>
      </c>
      <c r="C1250" s="42">
        <v>14.945</v>
      </c>
      <c r="D1250" s="42">
        <v>14.935</v>
      </c>
      <c r="E1250" s="42">
        <v>14.925000000000001</v>
      </c>
      <c r="F1250" s="42">
        <v>14.914999999999999</v>
      </c>
      <c r="G1250" s="42">
        <v>14.904999999999999</v>
      </c>
      <c r="H1250" s="42">
        <v>14.885</v>
      </c>
      <c r="I1250" s="42">
        <v>14.865</v>
      </c>
      <c r="J1250" s="296">
        <v>1634</v>
      </c>
      <c r="K1250" s="1"/>
      <c r="L1250" s="1"/>
      <c r="M1250" s="1"/>
      <c r="N1250" s="1"/>
      <c r="O1250" s="1"/>
      <c r="P1250" s="365"/>
      <c r="Q1250" s="1"/>
      <c r="R1250" s="1"/>
      <c r="S1250" s="1"/>
      <c r="T1250" s="1"/>
    </row>
    <row r="1251" spans="1:20">
      <c r="A1251" s="1">
        <v>10100</v>
      </c>
      <c r="B1251" s="42">
        <v>14.5</v>
      </c>
      <c r="C1251" s="42">
        <v>14.48</v>
      </c>
      <c r="D1251" s="42">
        <v>14.47</v>
      </c>
      <c r="E1251" s="42">
        <v>14.46</v>
      </c>
      <c r="F1251" s="42">
        <v>14.45</v>
      </c>
      <c r="G1251" s="42">
        <v>14.44</v>
      </c>
      <c r="H1251" s="42">
        <v>14.42</v>
      </c>
      <c r="I1251" s="42">
        <v>14.4</v>
      </c>
      <c r="J1251" s="296">
        <v>1584</v>
      </c>
      <c r="K1251" s="1"/>
      <c r="L1251" s="1"/>
      <c r="M1251" s="1"/>
      <c r="N1251" s="1"/>
      <c r="O1251" s="1"/>
      <c r="P1251" s="365"/>
      <c r="Q1251" s="1"/>
      <c r="R1251" s="1"/>
      <c r="S1251" s="1"/>
      <c r="T1251" s="1"/>
    </row>
    <row r="1252" spans="1:20">
      <c r="A1252" s="1">
        <v>10150</v>
      </c>
      <c r="B1252" s="42">
        <v>14.036</v>
      </c>
      <c r="C1252" s="42">
        <v>14.016</v>
      </c>
      <c r="D1252" s="42">
        <v>14.006</v>
      </c>
      <c r="E1252" s="42">
        <v>13.996</v>
      </c>
      <c r="F1252" s="42">
        <v>13.986000000000001</v>
      </c>
      <c r="G1252" s="42">
        <v>13.976000000000001</v>
      </c>
      <c r="H1252" s="42">
        <v>13.956</v>
      </c>
      <c r="I1252" s="42">
        <v>13.936999999999999</v>
      </c>
      <c r="J1252" s="296">
        <v>1534</v>
      </c>
      <c r="K1252" s="1"/>
      <c r="L1252" s="1"/>
      <c r="M1252" s="1"/>
      <c r="N1252" s="1"/>
      <c r="O1252" s="1"/>
      <c r="P1252" s="365"/>
      <c r="Q1252" s="1"/>
      <c r="R1252" s="1"/>
      <c r="S1252" s="1"/>
      <c r="T1252" s="1"/>
    </row>
    <row r="1253" spans="1:20">
      <c r="A1253" s="1">
        <v>10200</v>
      </c>
      <c r="B1253" s="42">
        <v>13.573</v>
      </c>
      <c r="C1253" s="42">
        <v>13.553000000000001</v>
      </c>
      <c r="D1253" s="42">
        <v>13.542999999999999</v>
      </c>
      <c r="E1253" s="42">
        <v>13.532999999999999</v>
      </c>
      <c r="F1253" s="42">
        <v>13.523999999999999</v>
      </c>
      <c r="G1253" s="42">
        <v>13.513999999999999</v>
      </c>
      <c r="H1253" s="42">
        <v>13.494</v>
      </c>
      <c r="I1253" s="42">
        <v>13.474</v>
      </c>
      <c r="J1253" s="296">
        <v>1484</v>
      </c>
      <c r="K1253" s="1"/>
      <c r="L1253" s="1"/>
      <c r="M1253" s="1"/>
      <c r="N1253" s="1"/>
      <c r="O1253" s="1"/>
      <c r="P1253" s="365"/>
      <c r="Q1253" s="1"/>
      <c r="R1253" s="1"/>
      <c r="S1253" s="1"/>
      <c r="T1253" s="1"/>
    </row>
    <row r="1254" spans="1:20">
      <c r="A1254" s="1">
        <v>10250</v>
      </c>
      <c r="B1254" s="42">
        <v>13.112</v>
      </c>
      <c r="C1254" s="42">
        <v>13.092000000000001</v>
      </c>
      <c r="D1254" s="42">
        <v>13.082000000000001</v>
      </c>
      <c r="E1254" s="42">
        <v>13.071999999999999</v>
      </c>
      <c r="F1254" s="42">
        <v>13.061999999999999</v>
      </c>
      <c r="G1254" s="42">
        <v>13.052</v>
      </c>
      <c r="H1254" s="42">
        <v>13.032999999999999</v>
      </c>
      <c r="I1254" s="42">
        <v>13.013</v>
      </c>
      <c r="J1254" s="296">
        <v>1434</v>
      </c>
      <c r="K1254" s="1"/>
      <c r="L1254" s="1"/>
      <c r="M1254" s="1"/>
      <c r="N1254" s="1"/>
      <c r="O1254" s="1"/>
      <c r="P1254" s="365"/>
      <c r="Q1254" s="1"/>
      <c r="R1254" s="1"/>
      <c r="S1254" s="1"/>
      <c r="T1254" s="1"/>
    </row>
    <row r="1255" spans="1:20">
      <c r="A1255" s="1">
        <v>10300</v>
      </c>
      <c r="B1255" s="42">
        <v>12.651999999999999</v>
      </c>
      <c r="C1255" s="42">
        <v>12.632</v>
      </c>
      <c r="D1255" s="42">
        <v>12.622</v>
      </c>
      <c r="E1255" s="42">
        <v>12.612</v>
      </c>
      <c r="F1255" s="42">
        <v>12.602</v>
      </c>
      <c r="G1255" s="42">
        <v>12.592000000000001</v>
      </c>
      <c r="H1255" s="42">
        <v>12.573</v>
      </c>
      <c r="I1255" s="42">
        <v>12.553000000000001</v>
      </c>
      <c r="J1255" s="296">
        <v>1384</v>
      </c>
      <c r="K1255" s="1"/>
      <c r="L1255" s="1"/>
      <c r="M1255" s="1"/>
      <c r="N1255" s="1"/>
      <c r="O1255" s="1"/>
      <c r="P1255" s="365"/>
      <c r="Q1255" s="1"/>
      <c r="R1255" s="1"/>
      <c r="S1255" s="1"/>
      <c r="T1255" s="1"/>
    </row>
    <row r="1256" spans="1:20">
      <c r="A1256" s="1">
        <v>10350</v>
      </c>
      <c r="B1256" s="42">
        <v>12.193</v>
      </c>
      <c r="C1256" s="42">
        <v>12.173</v>
      </c>
      <c r="D1256" s="42">
        <v>12.163</v>
      </c>
      <c r="E1256" s="42">
        <v>12.154</v>
      </c>
      <c r="F1256" s="42">
        <v>12.144</v>
      </c>
      <c r="G1256" s="42">
        <v>12.134</v>
      </c>
      <c r="H1256" s="42">
        <v>12.114000000000001</v>
      </c>
      <c r="I1256" s="42">
        <v>12.095000000000001</v>
      </c>
      <c r="J1256" s="296">
        <v>1334</v>
      </c>
      <c r="K1256" s="1"/>
      <c r="L1256" s="1"/>
      <c r="M1256" s="1"/>
      <c r="N1256" s="1"/>
      <c r="O1256" s="1"/>
      <c r="P1256" s="365"/>
      <c r="Q1256" s="1"/>
      <c r="R1256" s="1"/>
      <c r="S1256" s="1"/>
      <c r="T1256" s="1"/>
    </row>
    <row r="1257" spans="1:20">
      <c r="A1257" s="1">
        <v>10400</v>
      </c>
      <c r="B1257" s="42">
        <v>11.734999999999999</v>
      </c>
      <c r="C1257" s="42">
        <v>11.715999999999999</v>
      </c>
      <c r="D1257" s="42">
        <v>11.706</v>
      </c>
      <c r="E1257" s="42">
        <v>11.696</v>
      </c>
      <c r="F1257" s="42">
        <v>11.686</v>
      </c>
      <c r="G1257" s="42">
        <v>11.677</v>
      </c>
      <c r="H1257" s="42">
        <v>11.657</v>
      </c>
      <c r="I1257" s="42">
        <v>11.637</v>
      </c>
      <c r="J1257" s="296">
        <v>1284</v>
      </c>
      <c r="K1257" s="1"/>
      <c r="L1257" s="1"/>
      <c r="M1257" s="1"/>
      <c r="N1257" s="1"/>
      <c r="O1257" s="1"/>
      <c r="P1257" s="365"/>
      <c r="Q1257" s="1"/>
      <c r="R1257" s="1"/>
      <c r="S1257" s="1"/>
      <c r="T1257" s="1"/>
    </row>
    <row r="1258" spans="1:20">
      <c r="A1258" s="1">
        <v>10450</v>
      </c>
      <c r="B1258" s="42">
        <v>11.279</v>
      </c>
      <c r="C1258" s="42">
        <v>11.26</v>
      </c>
      <c r="D1258" s="42">
        <v>11.25</v>
      </c>
      <c r="E1258" s="42">
        <v>11.24</v>
      </c>
      <c r="F1258" s="42">
        <v>11.23</v>
      </c>
      <c r="G1258" s="42">
        <v>11.221</v>
      </c>
      <c r="H1258" s="42">
        <v>11.201000000000001</v>
      </c>
      <c r="I1258" s="42">
        <v>11.182</v>
      </c>
      <c r="J1258" s="296">
        <v>1234</v>
      </c>
      <c r="K1258" s="1"/>
      <c r="L1258" s="1"/>
      <c r="M1258" s="1"/>
      <c r="N1258" s="1"/>
      <c r="O1258" s="1"/>
      <c r="P1258" s="365"/>
      <c r="Q1258" s="1"/>
      <c r="R1258" s="1"/>
      <c r="S1258" s="1"/>
      <c r="T1258" s="1"/>
    </row>
    <row r="1259" spans="1:20">
      <c r="A1259" s="1">
        <v>10500</v>
      </c>
      <c r="B1259" s="42">
        <v>10.824999999999999</v>
      </c>
      <c r="C1259" s="42">
        <v>10.805</v>
      </c>
      <c r="D1259" s="42">
        <v>10.795</v>
      </c>
      <c r="E1259" s="42">
        <v>10.786</v>
      </c>
      <c r="F1259" s="42">
        <v>10.776</v>
      </c>
      <c r="G1259" s="42">
        <v>10.766</v>
      </c>
      <c r="H1259" s="42">
        <v>10.747</v>
      </c>
      <c r="I1259" s="42">
        <v>10.727</v>
      </c>
      <c r="J1259" s="296">
        <v>1184</v>
      </c>
      <c r="K1259" s="1"/>
      <c r="L1259" s="1"/>
      <c r="M1259" s="1"/>
      <c r="N1259" s="1"/>
      <c r="O1259" s="1"/>
      <c r="P1259" s="365"/>
      <c r="Q1259" s="1"/>
      <c r="R1259" s="1"/>
      <c r="S1259" s="1"/>
      <c r="T1259" s="1"/>
    </row>
    <row r="1260" spans="1:20">
      <c r="A1260" s="1">
        <v>10550</v>
      </c>
      <c r="B1260" s="42">
        <v>10.371</v>
      </c>
      <c r="C1260" s="42">
        <v>10.352</v>
      </c>
      <c r="D1260" s="42">
        <v>10.342000000000001</v>
      </c>
      <c r="E1260" s="42">
        <v>10.332000000000001</v>
      </c>
      <c r="F1260" s="42">
        <v>10.323</v>
      </c>
      <c r="G1260" s="42">
        <v>10.313000000000001</v>
      </c>
      <c r="H1260" s="42">
        <v>10.292999999999999</v>
      </c>
      <c r="I1260" s="42">
        <v>10.273999999999999</v>
      </c>
      <c r="J1260" s="296">
        <v>1134</v>
      </c>
      <c r="K1260" s="1"/>
      <c r="L1260" s="1"/>
      <c r="M1260" s="1"/>
      <c r="N1260" s="1"/>
      <c r="O1260" s="1"/>
      <c r="P1260" s="365"/>
      <c r="Q1260" s="1"/>
      <c r="R1260" s="1"/>
      <c r="S1260" s="1"/>
      <c r="T1260" s="1"/>
    </row>
    <row r="1261" spans="1:20">
      <c r="A1261" s="1">
        <v>10600</v>
      </c>
      <c r="B1261" s="42">
        <v>9.9190000000000005</v>
      </c>
      <c r="C1261" s="42">
        <v>9.9</v>
      </c>
      <c r="D1261" s="42">
        <v>9.89</v>
      </c>
      <c r="E1261" s="42">
        <v>9.8800000000000008</v>
      </c>
      <c r="F1261" s="42">
        <v>9.8710000000000004</v>
      </c>
      <c r="G1261" s="42">
        <v>9.8610000000000007</v>
      </c>
      <c r="H1261" s="42">
        <v>9.8420000000000005</v>
      </c>
      <c r="I1261" s="42">
        <v>9.8219999999999992</v>
      </c>
      <c r="J1261" s="296">
        <v>1084</v>
      </c>
      <c r="K1261" s="1"/>
      <c r="L1261" s="1"/>
      <c r="M1261" s="1"/>
      <c r="N1261" s="1"/>
      <c r="O1261" s="1"/>
      <c r="P1261" s="365"/>
      <c r="Q1261" s="1"/>
      <c r="R1261" s="1"/>
      <c r="S1261" s="1"/>
      <c r="T1261" s="1"/>
    </row>
    <row r="1262" spans="1:20">
      <c r="A1262" s="1">
        <v>10650</v>
      </c>
      <c r="B1262" s="42">
        <v>9.468</v>
      </c>
      <c r="C1262" s="42">
        <v>9.4489999999999998</v>
      </c>
      <c r="D1262" s="42">
        <v>9.4390000000000001</v>
      </c>
      <c r="E1262" s="42">
        <v>9.43</v>
      </c>
      <c r="F1262" s="42">
        <v>9.42</v>
      </c>
      <c r="G1262" s="42">
        <v>9.41</v>
      </c>
      <c r="H1262" s="42">
        <v>9.391</v>
      </c>
      <c r="I1262" s="42">
        <v>9.3719999999999999</v>
      </c>
      <c r="J1262" s="296">
        <v>1034</v>
      </c>
      <c r="K1262" s="1"/>
      <c r="L1262" s="1"/>
      <c r="M1262" s="1"/>
      <c r="N1262" s="1"/>
      <c r="O1262" s="1"/>
      <c r="P1262" s="365"/>
      <c r="Q1262" s="1"/>
      <c r="R1262" s="1"/>
      <c r="S1262" s="1"/>
      <c r="T1262" s="1"/>
    </row>
    <row r="1263" spans="1:20">
      <c r="A1263" s="1">
        <v>10700</v>
      </c>
      <c r="B1263" s="42">
        <v>9.0190000000000001</v>
      </c>
      <c r="C1263" s="42">
        <v>9</v>
      </c>
      <c r="D1263" s="42">
        <v>8.99</v>
      </c>
      <c r="E1263" s="42">
        <v>8.98</v>
      </c>
      <c r="F1263" s="42">
        <v>8.9710000000000001</v>
      </c>
      <c r="G1263" s="42">
        <v>8.9610000000000003</v>
      </c>
      <c r="H1263" s="42">
        <v>8.9420000000000002</v>
      </c>
      <c r="I1263" s="42">
        <v>8.923</v>
      </c>
      <c r="J1263" s="296">
        <v>984</v>
      </c>
      <c r="K1263" s="1"/>
      <c r="L1263" s="1"/>
      <c r="M1263" s="1"/>
      <c r="N1263" s="1"/>
      <c r="O1263" s="1"/>
      <c r="P1263" s="365"/>
      <c r="Q1263" s="1"/>
      <c r="R1263" s="1"/>
      <c r="S1263" s="1"/>
      <c r="T1263" s="1"/>
    </row>
    <row r="1264" spans="1:20">
      <c r="A1264" s="1">
        <v>10750</v>
      </c>
      <c r="B1264" s="42">
        <v>8.5709999999999997</v>
      </c>
      <c r="C1264" s="42">
        <v>8.5519999999999996</v>
      </c>
      <c r="D1264" s="42">
        <v>8.5419999999999998</v>
      </c>
      <c r="E1264" s="42">
        <v>8.532</v>
      </c>
      <c r="F1264" s="42">
        <v>8.5229999999999997</v>
      </c>
      <c r="G1264" s="42">
        <v>8.5129999999999999</v>
      </c>
      <c r="H1264" s="42">
        <v>8.4939999999999998</v>
      </c>
      <c r="I1264" s="42">
        <v>8.4749999999999996</v>
      </c>
      <c r="J1264" s="296">
        <v>934</v>
      </c>
      <c r="K1264" s="1"/>
      <c r="L1264" s="1"/>
      <c r="M1264" s="1"/>
      <c r="N1264" s="1"/>
      <c r="O1264" s="1"/>
      <c r="P1264" s="365"/>
      <c r="Q1264" s="1"/>
      <c r="R1264" s="1"/>
      <c r="S1264" s="1"/>
      <c r="T1264" s="1"/>
    </row>
    <row r="1265" spans="1:20">
      <c r="A1265" s="1">
        <v>10800</v>
      </c>
      <c r="B1265" s="42">
        <v>8.1240000000000006</v>
      </c>
      <c r="C1265" s="42">
        <v>8.1050000000000004</v>
      </c>
      <c r="D1265" s="42">
        <v>8.0950000000000006</v>
      </c>
      <c r="E1265" s="42">
        <v>8.0860000000000003</v>
      </c>
      <c r="F1265" s="42">
        <v>8.0760000000000005</v>
      </c>
      <c r="G1265" s="42">
        <v>8.0670000000000002</v>
      </c>
      <c r="H1265" s="42">
        <v>8.048</v>
      </c>
      <c r="I1265" s="42">
        <v>8.0280000000000005</v>
      </c>
      <c r="J1265" s="296">
        <v>884</v>
      </c>
      <c r="K1265" s="1"/>
      <c r="L1265" s="1"/>
      <c r="M1265" s="1"/>
      <c r="N1265" s="1"/>
      <c r="O1265" s="1"/>
      <c r="P1265" s="365"/>
      <c r="Q1265" s="1"/>
      <c r="R1265" s="1"/>
      <c r="S1265" s="1"/>
      <c r="T1265" s="1"/>
    </row>
    <row r="1266" spans="1:20">
      <c r="A1266" s="1">
        <v>10850</v>
      </c>
      <c r="B1266" s="42">
        <v>7.6790000000000003</v>
      </c>
      <c r="C1266" s="42">
        <v>7.66</v>
      </c>
      <c r="D1266" s="42">
        <v>7.65</v>
      </c>
      <c r="E1266" s="42">
        <v>7.641</v>
      </c>
      <c r="F1266" s="42">
        <v>7.6310000000000002</v>
      </c>
      <c r="G1266" s="42">
        <v>7.6210000000000004</v>
      </c>
      <c r="H1266" s="42">
        <v>7.6020000000000003</v>
      </c>
      <c r="I1266" s="42">
        <v>7.5830000000000002</v>
      </c>
      <c r="J1266" s="296">
        <v>834</v>
      </c>
      <c r="K1266" s="1"/>
      <c r="L1266" s="1"/>
      <c r="M1266" s="1"/>
      <c r="N1266" s="1"/>
      <c r="O1266" s="1"/>
      <c r="P1266" s="365"/>
      <c r="Q1266" s="1"/>
      <c r="R1266" s="1"/>
      <c r="S1266" s="1"/>
      <c r="T1266" s="1"/>
    </row>
    <row r="1267" spans="1:20">
      <c r="A1267" s="1">
        <v>10900</v>
      </c>
      <c r="B1267" s="42">
        <v>7.2350000000000003</v>
      </c>
      <c r="C1267" s="42">
        <v>7.2160000000000002</v>
      </c>
      <c r="D1267" s="42">
        <v>7.2060000000000004</v>
      </c>
      <c r="E1267" s="42">
        <v>7.1970000000000001</v>
      </c>
      <c r="F1267" s="42">
        <v>7.1870000000000003</v>
      </c>
      <c r="G1267" s="42">
        <v>7.1779999999999999</v>
      </c>
      <c r="H1267" s="42">
        <v>7.1589999999999998</v>
      </c>
      <c r="I1267" s="42">
        <v>7.14</v>
      </c>
      <c r="J1267" s="296">
        <v>784</v>
      </c>
      <c r="K1267" s="1"/>
      <c r="L1267" s="1"/>
      <c r="M1267" s="1"/>
      <c r="N1267" s="1"/>
      <c r="O1267" s="1"/>
      <c r="P1267" s="365"/>
      <c r="Q1267" s="1"/>
      <c r="R1267" s="1"/>
      <c r="S1267" s="1"/>
      <c r="T1267" s="1"/>
    </row>
    <row r="1268" spans="1:20">
      <c r="A1268" s="1">
        <v>10950</v>
      </c>
      <c r="B1268" s="42">
        <v>6.7919999999999998</v>
      </c>
      <c r="C1268" s="42">
        <v>6.7729999999999997</v>
      </c>
      <c r="D1268" s="42">
        <v>6.7629999999999999</v>
      </c>
      <c r="E1268" s="42">
        <v>6.7539999999999996</v>
      </c>
      <c r="F1268" s="42">
        <v>6.7439999999999998</v>
      </c>
      <c r="G1268" s="42">
        <v>6.7350000000000003</v>
      </c>
      <c r="H1268" s="42">
        <v>6.7160000000000002</v>
      </c>
      <c r="I1268" s="42">
        <v>6.6970000000000001</v>
      </c>
      <c r="J1268" s="296">
        <v>734</v>
      </c>
      <c r="K1268" s="1"/>
      <c r="L1268" s="1"/>
      <c r="M1268" s="1"/>
      <c r="N1268" s="1"/>
      <c r="O1268" s="1"/>
      <c r="P1268" s="365"/>
      <c r="Q1268" s="1"/>
      <c r="R1268" s="1"/>
      <c r="S1268" s="1"/>
      <c r="T1268" s="1"/>
    </row>
    <row r="1269" spans="1:20">
      <c r="A1269" s="1">
        <v>11000</v>
      </c>
      <c r="B1269" s="42">
        <v>6.351</v>
      </c>
      <c r="C1269" s="42">
        <v>6.3319999999999999</v>
      </c>
      <c r="D1269" s="42">
        <v>6.3220000000000001</v>
      </c>
      <c r="E1269" s="42">
        <v>6.3129999999999997</v>
      </c>
      <c r="F1269" s="42">
        <v>6.3029999999999999</v>
      </c>
      <c r="G1269" s="42">
        <v>6.2939999999999996</v>
      </c>
      <c r="H1269" s="42">
        <v>6.2750000000000004</v>
      </c>
      <c r="I1269" s="42">
        <v>6.2560000000000002</v>
      </c>
      <c r="J1269" s="296">
        <v>684</v>
      </c>
      <c r="K1269" s="1"/>
      <c r="L1269" s="1"/>
      <c r="M1269" s="1"/>
      <c r="N1269" s="1"/>
      <c r="O1269" s="1"/>
      <c r="P1269" s="365"/>
      <c r="Q1269" s="1"/>
      <c r="R1269" s="1"/>
      <c r="S1269" s="1"/>
      <c r="T1269" s="1"/>
    </row>
    <row r="1270" spans="1:20">
      <c r="A1270" s="1">
        <v>11050</v>
      </c>
      <c r="B1270" s="42">
        <v>5.9109999999999996</v>
      </c>
      <c r="C1270" s="42">
        <v>5.8920000000000003</v>
      </c>
      <c r="D1270" s="42">
        <v>5.8819999999999997</v>
      </c>
      <c r="E1270" s="42">
        <v>5.8730000000000002</v>
      </c>
      <c r="F1270" s="42">
        <v>5.8630000000000004</v>
      </c>
      <c r="G1270" s="42">
        <v>5.8540000000000001</v>
      </c>
      <c r="H1270" s="42">
        <v>5.835</v>
      </c>
      <c r="I1270" s="42">
        <v>5.8159999999999998</v>
      </c>
      <c r="J1270" s="296">
        <v>634</v>
      </c>
      <c r="K1270" s="1"/>
      <c r="L1270" s="1"/>
      <c r="M1270" s="1"/>
      <c r="N1270" s="1"/>
      <c r="O1270" s="1"/>
      <c r="P1270" s="365"/>
      <c r="Q1270" s="1"/>
      <c r="R1270" s="1"/>
      <c r="S1270" s="1"/>
      <c r="T1270" s="1"/>
    </row>
    <row r="1271" spans="1:20">
      <c r="A1271" s="1">
        <v>11100</v>
      </c>
      <c r="B1271" s="42">
        <v>5.4720000000000004</v>
      </c>
      <c r="C1271" s="42">
        <v>5.4530000000000003</v>
      </c>
      <c r="D1271" s="42">
        <v>5.444</v>
      </c>
      <c r="E1271" s="42">
        <v>5.4340000000000002</v>
      </c>
      <c r="F1271" s="42">
        <v>5.4249999999999998</v>
      </c>
      <c r="G1271" s="42">
        <v>5.415</v>
      </c>
      <c r="H1271" s="42">
        <v>5.3970000000000002</v>
      </c>
      <c r="I1271" s="42">
        <v>5.3780000000000001</v>
      </c>
      <c r="J1271" s="296">
        <v>584</v>
      </c>
      <c r="K1271" s="1"/>
      <c r="L1271" s="1"/>
      <c r="M1271" s="1"/>
      <c r="N1271" s="1"/>
      <c r="O1271" s="1"/>
      <c r="P1271" s="365"/>
      <c r="Q1271" s="1"/>
      <c r="R1271" s="1"/>
      <c r="S1271" s="1"/>
      <c r="T1271" s="1"/>
    </row>
    <row r="1272" spans="1:20">
      <c r="A1272" s="1">
        <v>11150</v>
      </c>
      <c r="B1272" s="42">
        <v>5.0339999999999998</v>
      </c>
      <c r="C1272" s="42">
        <v>5.016</v>
      </c>
      <c r="D1272" s="42">
        <v>5.0060000000000002</v>
      </c>
      <c r="E1272" s="42">
        <v>-4.9969999999999999</v>
      </c>
      <c r="F1272" s="42">
        <v>4.9880000000000004</v>
      </c>
      <c r="G1272" s="42">
        <v>4.9779999999999998</v>
      </c>
      <c r="H1272" s="42">
        <v>4.9589999999999996</v>
      </c>
      <c r="I1272" s="42">
        <v>4.9409999999999998</v>
      </c>
      <c r="J1272" s="296">
        <v>534</v>
      </c>
      <c r="K1272" s="1"/>
      <c r="L1272" s="1"/>
      <c r="M1272" s="1"/>
      <c r="N1272" s="1"/>
      <c r="O1272" s="1"/>
      <c r="P1272" s="365"/>
      <c r="Q1272" s="1"/>
      <c r="R1272" s="1"/>
      <c r="S1272" s="1"/>
      <c r="T1272" s="1"/>
    </row>
    <row r="1273" spans="1:20">
      <c r="A1273" s="1">
        <v>11200</v>
      </c>
      <c r="B1273" s="42">
        <v>4.5979999999999999</v>
      </c>
      <c r="C1273" s="42">
        <v>4.58</v>
      </c>
      <c r="D1273" s="42">
        <v>4.57</v>
      </c>
      <c r="E1273" s="42">
        <v>4.5609999999999999</v>
      </c>
      <c r="F1273" s="42">
        <v>4.5519999999999996</v>
      </c>
      <c r="G1273" s="42">
        <v>4.5419999999999998</v>
      </c>
      <c r="H1273" s="42">
        <v>4.524</v>
      </c>
      <c r="I1273" s="42">
        <v>4.5049999999999999</v>
      </c>
      <c r="J1273" s="296">
        <v>484</v>
      </c>
      <c r="K1273" s="1"/>
      <c r="L1273" s="1"/>
      <c r="M1273" s="1"/>
      <c r="N1273" s="1"/>
      <c r="O1273" s="1"/>
      <c r="P1273" s="365"/>
      <c r="Q1273" s="1"/>
      <c r="R1273" s="1"/>
      <c r="S1273" s="1"/>
      <c r="T1273" s="1"/>
    </row>
    <row r="1274" spans="1:20">
      <c r="A1274" s="1">
        <v>11250</v>
      </c>
      <c r="B1274" s="42">
        <v>4.1639999999999997</v>
      </c>
      <c r="C1274" s="42">
        <v>4.1449999999999996</v>
      </c>
      <c r="D1274" s="42">
        <v>4.1360000000000001</v>
      </c>
      <c r="E1274" s="42">
        <v>4.1260000000000003</v>
      </c>
      <c r="F1274" s="42">
        <v>4.117</v>
      </c>
      <c r="G1274" s="42">
        <v>4.1079999999999997</v>
      </c>
      <c r="H1274" s="42">
        <v>4.0890000000000004</v>
      </c>
      <c r="I1274" s="42">
        <v>4.0709999999999997</v>
      </c>
      <c r="J1274" s="296">
        <v>434</v>
      </c>
      <c r="K1274" s="1"/>
      <c r="L1274" s="1"/>
      <c r="M1274" s="1"/>
      <c r="N1274" s="1"/>
      <c r="O1274" s="1"/>
      <c r="P1274" s="365"/>
      <c r="Q1274" s="1"/>
      <c r="R1274" s="1"/>
      <c r="S1274" s="1"/>
      <c r="T1274" s="1"/>
    </row>
    <row r="1275" spans="1:20">
      <c r="A1275" s="1">
        <v>11300</v>
      </c>
      <c r="B1275" s="42">
        <v>3.73</v>
      </c>
      <c r="C1275" s="42">
        <v>3.7120000000000002</v>
      </c>
      <c r="D1275" s="42">
        <v>3.702</v>
      </c>
      <c r="E1275" s="42">
        <v>3.6930000000000001</v>
      </c>
      <c r="F1275" s="42">
        <v>3.6840000000000002</v>
      </c>
      <c r="G1275" s="42">
        <v>3.6749999999999998</v>
      </c>
      <c r="H1275" s="42">
        <v>3.6560000000000001</v>
      </c>
      <c r="I1275" s="42">
        <v>3.6379999999999999</v>
      </c>
      <c r="J1275" s="296">
        <v>384</v>
      </c>
      <c r="K1275" s="1"/>
      <c r="L1275" s="1"/>
      <c r="M1275" s="1"/>
      <c r="N1275" s="1"/>
      <c r="O1275" s="1"/>
      <c r="P1275" s="365"/>
      <c r="Q1275" s="1"/>
      <c r="R1275" s="1"/>
      <c r="S1275" s="1"/>
      <c r="T1275" s="1"/>
    </row>
    <row r="1276" spans="1:20">
      <c r="A1276" s="1">
        <v>11350</v>
      </c>
      <c r="B1276" s="42">
        <v>3.298</v>
      </c>
      <c r="C1276" s="42">
        <v>3.28</v>
      </c>
      <c r="D1276" s="42">
        <v>3.27</v>
      </c>
      <c r="E1276" s="42">
        <v>3.2610000000000001</v>
      </c>
      <c r="F1276" s="42">
        <v>3.2519999999999998</v>
      </c>
      <c r="G1276" s="42">
        <v>3.2429999999999999</v>
      </c>
      <c r="H1276" s="42">
        <v>3.2240000000000002</v>
      </c>
      <c r="I1276" s="42">
        <v>3.206</v>
      </c>
      <c r="J1276" s="296">
        <v>334</v>
      </c>
      <c r="K1276" s="1"/>
      <c r="L1276" s="1"/>
      <c r="M1276" s="1"/>
      <c r="N1276" s="1"/>
      <c r="O1276" s="1"/>
      <c r="P1276" s="365"/>
      <c r="Q1276" s="1"/>
      <c r="R1276" s="1"/>
      <c r="S1276" s="1"/>
      <c r="T1276" s="1"/>
    </row>
    <row r="1277" spans="1:20">
      <c r="A1277" s="1">
        <v>11400</v>
      </c>
      <c r="B1277" s="42">
        <v>2.8679999999999999</v>
      </c>
      <c r="C1277" s="42">
        <v>2.8490000000000002</v>
      </c>
      <c r="D1277" s="42">
        <v>2.84</v>
      </c>
      <c r="E1277" s="42">
        <v>2.831</v>
      </c>
      <c r="F1277" s="42">
        <v>2.8210000000000002</v>
      </c>
      <c r="G1277" s="42">
        <v>2.8119999999999998</v>
      </c>
      <c r="H1277" s="42">
        <v>2.794</v>
      </c>
      <c r="I1277" s="42">
        <v>2.7749999999999999</v>
      </c>
      <c r="J1277" s="296">
        <v>284</v>
      </c>
      <c r="K1277" s="1"/>
      <c r="L1277" s="1"/>
      <c r="M1277" s="1"/>
      <c r="N1277" s="1"/>
      <c r="O1277" s="1"/>
      <c r="P1277" s="365"/>
      <c r="Q1277" s="1"/>
      <c r="R1277" s="1"/>
      <c r="S1277" s="1"/>
      <c r="T1277" s="1"/>
    </row>
    <row r="1278" spans="1:20">
      <c r="A1278" s="1">
        <v>11450</v>
      </c>
      <c r="B1278" s="42">
        <v>2.4380000000000002</v>
      </c>
      <c r="C1278" s="42">
        <v>2.42</v>
      </c>
      <c r="D1278" s="42">
        <v>2.411</v>
      </c>
      <c r="E1278" s="42">
        <v>2.4009999999999998</v>
      </c>
      <c r="F1278" s="42">
        <v>2.3919999999999999</v>
      </c>
      <c r="G1278" s="42">
        <v>2.383</v>
      </c>
      <c r="H1278" s="42">
        <v>2.3650000000000002</v>
      </c>
      <c r="I1278" s="42">
        <v>2.3460000000000001</v>
      </c>
      <c r="J1278" s="296">
        <v>234</v>
      </c>
      <c r="K1278" s="1"/>
      <c r="L1278" s="1"/>
      <c r="M1278" s="1"/>
      <c r="N1278" s="1"/>
      <c r="O1278" s="1"/>
      <c r="P1278" s="365"/>
      <c r="Q1278" s="1"/>
      <c r="R1278" s="1"/>
      <c r="S1278" s="1"/>
      <c r="T1278" s="1"/>
    </row>
    <row r="1279" spans="1:20">
      <c r="A1279" s="1">
        <v>11500</v>
      </c>
      <c r="B1279" s="42">
        <v>2.0099999999999998</v>
      </c>
      <c r="C1279" s="42">
        <v>1.992</v>
      </c>
      <c r="D1279" s="42">
        <v>1.9830000000000001</v>
      </c>
      <c r="E1279" s="42">
        <v>1.974</v>
      </c>
      <c r="F1279" s="42">
        <v>1.964</v>
      </c>
      <c r="G1279" s="42">
        <v>1.9550000000000001</v>
      </c>
      <c r="H1279" s="42">
        <v>1.9370000000000001</v>
      </c>
      <c r="I1279" s="42">
        <v>1.919</v>
      </c>
      <c r="J1279" s="296">
        <v>184</v>
      </c>
      <c r="K1279" s="1"/>
      <c r="L1279" s="1"/>
      <c r="M1279" s="1"/>
      <c r="N1279" s="1"/>
      <c r="O1279" s="1"/>
      <c r="P1279" s="365"/>
      <c r="Q1279" s="1"/>
      <c r="R1279" s="1"/>
      <c r="S1279" s="1"/>
      <c r="T1279" s="1"/>
    </row>
    <row r="1280" spans="1:20">
      <c r="A1280" s="1">
        <v>11550</v>
      </c>
      <c r="B1280" s="42">
        <v>1.5840000000000001</v>
      </c>
      <c r="C1280" s="42">
        <v>1.5649999999999999</v>
      </c>
      <c r="D1280" s="42">
        <v>1.556</v>
      </c>
      <c r="E1280" s="42">
        <v>1.5469999999999999</v>
      </c>
      <c r="F1280" s="42">
        <v>1.538</v>
      </c>
      <c r="G1280" s="42">
        <v>1.5289999999999999</v>
      </c>
      <c r="H1280" s="42">
        <v>1.51</v>
      </c>
      <c r="I1280" s="42">
        <v>1.492</v>
      </c>
      <c r="J1280" s="296">
        <v>134</v>
      </c>
      <c r="K1280" s="1"/>
      <c r="L1280" s="1"/>
      <c r="M1280" s="1"/>
      <c r="N1280" s="1"/>
      <c r="O1280" s="1"/>
      <c r="P1280" s="365"/>
      <c r="Q1280" s="1"/>
      <c r="R1280" s="1"/>
      <c r="S1280" s="1"/>
      <c r="T1280" s="1"/>
    </row>
    <row r="1281" spans="1:20">
      <c r="A1281" s="1">
        <v>11600</v>
      </c>
      <c r="B1281" s="42">
        <v>1.1579999999999999</v>
      </c>
      <c r="C1281" s="42">
        <v>1.1399999999999999</v>
      </c>
      <c r="D1281" s="42">
        <v>1.131</v>
      </c>
      <c r="E1281" s="42">
        <v>1.1220000000000001</v>
      </c>
      <c r="F1281" s="42">
        <v>1.113</v>
      </c>
      <c r="G1281" s="42">
        <v>1.103</v>
      </c>
      <c r="H1281" s="42">
        <v>1.085</v>
      </c>
      <c r="I1281" s="42">
        <v>1.0669999999999999</v>
      </c>
      <c r="J1281" s="296">
        <v>84</v>
      </c>
      <c r="K1281" s="1"/>
      <c r="L1281" s="1"/>
      <c r="M1281" s="1"/>
      <c r="N1281" s="1"/>
      <c r="O1281" s="1"/>
      <c r="P1281" s="365"/>
      <c r="Q1281" s="1"/>
      <c r="R1281" s="1"/>
      <c r="S1281" s="1"/>
      <c r="T1281" s="1"/>
    </row>
    <row r="1282" spans="1:20">
      <c r="A1282" s="1">
        <v>11650</v>
      </c>
      <c r="B1282" s="42">
        <v>0.73399999999999999</v>
      </c>
      <c r="C1282" s="42">
        <v>0.71599999999999997</v>
      </c>
      <c r="D1282" s="42">
        <v>0.70699999999999996</v>
      </c>
      <c r="E1282" s="42">
        <v>0.69799999999999995</v>
      </c>
      <c r="F1282" s="42">
        <v>0.68899999999999995</v>
      </c>
      <c r="G1282" s="42">
        <v>0.68</v>
      </c>
      <c r="H1282" s="42">
        <v>0.66200000000000003</v>
      </c>
      <c r="I1282" s="42">
        <v>0.64300000000000002</v>
      </c>
      <c r="J1282" s="296">
        <v>34</v>
      </c>
      <c r="K1282" s="1"/>
      <c r="L1282" s="1"/>
      <c r="M1282" s="1"/>
      <c r="N1282" s="1"/>
      <c r="O1282" s="1"/>
      <c r="P1282" s="365"/>
      <c r="Q1282" s="1"/>
      <c r="R1282" s="1"/>
      <c r="S1282" s="1"/>
      <c r="T1282" s="1"/>
    </row>
    <row r="1283" spans="1:20">
      <c r="A1283" s="1">
        <v>11684</v>
      </c>
      <c r="B1283" s="42">
        <v>0.44800000000000001</v>
      </c>
      <c r="C1283" s="42">
        <v>0.43</v>
      </c>
      <c r="D1283" s="42">
        <v>0.42099999999999999</v>
      </c>
      <c r="E1283" s="42">
        <v>0.41199999999999998</v>
      </c>
      <c r="F1283" s="42">
        <v>0.40300000000000002</v>
      </c>
      <c r="G1283" s="42">
        <v>0.39400000000000002</v>
      </c>
      <c r="H1283" s="42">
        <v>0.376</v>
      </c>
      <c r="I1283" s="42">
        <v>0.35799999999999998</v>
      </c>
      <c r="J1283" s="296">
        <v>0</v>
      </c>
      <c r="K1283" s="1"/>
      <c r="L1283" s="1"/>
      <c r="M1283" s="1"/>
      <c r="N1283" s="1"/>
      <c r="O1283" s="1"/>
      <c r="P1283" s="365"/>
      <c r="Q1283" s="1"/>
      <c r="R1283" s="1"/>
      <c r="S1283" s="1"/>
      <c r="T1283" s="1"/>
    </row>
    <row r="1284" spans="1:20" hidden="1">
      <c r="B1284" s="19"/>
      <c r="C1284" s="19"/>
      <c r="D1284" s="19"/>
      <c r="E1284" s="19"/>
      <c r="F1284" s="19"/>
      <c r="G1284" s="19"/>
      <c r="H1284" s="19"/>
      <c r="I1284" s="19"/>
      <c r="J1284" s="19"/>
      <c r="K1284" s="421"/>
      <c r="L1284" s="23"/>
      <c r="M1284" s="19"/>
      <c r="N1284" s="19"/>
      <c r="O1284" s="19"/>
      <c r="P1284" s="19"/>
      <c r="Q1284" s="19"/>
    </row>
    <row r="1285" spans="1:20" hidden="1">
      <c r="B1285" s="19"/>
      <c r="C1285" s="19"/>
      <c r="D1285" s="19"/>
      <c r="E1285" s="19"/>
      <c r="F1285" s="19"/>
      <c r="G1285" s="19"/>
      <c r="H1285" s="19"/>
      <c r="I1285" s="19"/>
      <c r="J1285" s="19"/>
      <c r="K1285" s="421"/>
      <c r="L1285" s="23"/>
      <c r="M1285" s="19"/>
      <c r="N1285" s="19"/>
      <c r="O1285" s="19"/>
      <c r="P1285" s="19"/>
      <c r="Q1285" s="19"/>
    </row>
    <row r="1286" spans="1:20" hidden="1">
      <c r="B1286" s="19"/>
      <c r="C1286" s="19"/>
      <c r="D1286" s="19"/>
      <c r="E1286" s="19"/>
      <c r="F1286" s="19"/>
      <c r="G1286" s="19"/>
      <c r="H1286" s="19"/>
      <c r="I1286" s="19"/>
      <c r="J1286" s="19"/>
      <c r="K1286" s="421"/>
      <c r="L1286" s="23"/>
      <c r="M1286" s="19"/>
      <c r="N1286" s="19"/>
      <c r="O1286" s="19"/>
      <c r="P1286" s="19"/>
      <c r="Q1286" s="19"/>
    </row>
    <row r="1287" spans="1:20" hidden="1">
      <c r="B1287" s="19"/>
      <c r="C1287" s="19"/>
      <c r="D1287" s="19"/>
      <c r="E1287" s="19"/>
      <c r="F1287" s="19"/>
      <c r="G1287" s="19"/>
      <c r="H1287" s="19"/>
      <c r="I1287" s="19"/>
      <c r="J1287" s="19"/>
      <c r="K1287" s="421"/>
      <c r="L1287" s="23"/>
      <c r="M1287" s="19"/>
      <c r="N1287" s="19"/>
      <c r="O1287" s="19"/>
      <c r="P1287" s="19"/>
      <c r="Q1287" s="19"/>
    </row>
    <row r="1288" spans="1:20" hidden="1">
      <c r="B1288" s="19"/>
      <c r="C1288" s="19"/>
      <c r="D1288" s="19"/>
      <c r="E1288" s="19"/>
      <c r="F1288" s="19"/>
      <c r="G1288" s="19"/>
      <c r="H1288" s="19"/>
      <c r="I1288" s="19"/>
      <c r="J1288" s="19"/>
      <c r="K1288" s="421"/>
      <c r="L1288" s="23"/>
      <c r="M1288" s="19"/>
      <c r="N1288" s="19"/>
      <c r="O1288" s="19"/>
      <c r="P1288" s="19"/>
      <c r="Q1288" s="19"/>
    </row>
    <row r="1289" spans="1:20" hidden="1">
      <c r="B1289" s="19"/>
      <c r="C1289" s="19"/>
      <c r="D1289" s="19"/>
      <c r="E1289" s="19"/>
      <c r="F1289" s="19"/>
      <c r="G1289" s="19"/>
      <c r="H1289" s="19"/>
      <c r="I1289" s="19"/>
      <c r="J1289" s="19"/>
      <c r="K1289" s="421"/>
      <c r="L1289" s="23"/>
      <c r="M1289" s="19"/>
      <c r="N1289" s="19"/>
      <c r="O1289" s="19"/>
      <c r="P1289" s="19"/>
      <c r="Q1289" s="19"/>
    </row>
    <row r="1290" spans="1:20" hidden="1">
      <c r="B1290" s="19"/>
      <c r="C1290" s="19"/>
      <c r="D1290" s="19"/>
      <c r="E1290" s="19"/>
      <c r="F1290" s="19"/>
      <c r="G1290" s="19"/>
      <c r="H1290" s="19"/>
      <c r="I1290" s="19"/>
      <c r="J1290" s="19"/>
      <c r="K1290" s="421"/>
      <c r="L1290" s="23"/>
      <c r="M1290" s="19"/>
      <c r="N1290" s="19"/>
      <c r="O1290" s="19"/>
      <c r="P1290" s="19"/>
      <c r="Q1290" s="19"/>
    </row>
    <row r="1291" spans="1:20" hidden="1">
      <c r="B1291" s="19"/>
      <c r="C1291" s="19"/>
      <c r="D1291" s="19"/>
      <c r="E1291" s="19"/>
      <c r="F1291" s="19"/>
      <c r="G1291" s="19"/>
      <c r="H1291" s="19"/>
      <c r="I1291" s="19"/>
      <c r="J1291" s="19"/>
      <c r="K1291" s="421"/>
      <c r="L1291" s="23"/>
      <c r="M1291" s="19"/>
      <c r="N1291" s="19"/>
      <c r="O1291" s="19"/>
      <c r="P1291" s="19"/>
      <c r="Q1291" s="19"/>
    </row>
    <row r="1292" spans="1:20" hidden="1">
      <c r="B1292" s="19"/>
      <c r="C1292" s="19"/>
      <c r="D1292" s="19"/>
      <c r="E1292" s="19"/>
      <c r="F1292" s="19"/>
      <c r="G1292" s="19"/>
      <c r="H1292" s="19"/>
      <c r="I1292" s="19"/>
      <c r="J1292" s="19"/>
      <c r="K1292" s="421"/>
      <c r="L1292" s="23"/>
      <c r="M1292" s="19"/>
      <c r="N1292" s="19"/>
      <c r="O1292" s="19"/>
      <c r="P1292" s="19"/>
      <c r="Q1292" s="19"/>
    </row>
    <row r="1293" spans="1:20" hidden="1">
      <c r="B1293" s="19"/>
      <c r="C1293" s="19"/>
      <c r="D1293" s="19"/>
      <c r="E1293" s="19"/>
      <c r="F1293" s="19"/>
      <c r="G1293" s="19"/>
      <c r="H1293" s="19"/>
      <c r="I1293" s="19"/>
      <c r="J1293" s="19"/>
      <c r="K1293" s="421"/>
      <c r="L1293" s="23"/>
      <c r="M1293" s="19"/>
      <c r="N1293" s="19"/>
      <c r="O1293" s="19"/>
      <c r="P1293" s="19"/>
      <c r="Q1293" s="19"/>
    </row>
    <row r="1294" spans="1:20" hidden="1">
      <c r="B1294" s="19"/>
      <c r="C1294" s="19"/>
      <c r="D1294" s="19"/>
      <c r="E1294" s="19"/>
      <c r="F1294" s="19"/>
      <c r="G1294" s="19"/>
      <c r="H1294" s="19"/>
      <c r="I1294" s="19"/>
      <c r="J1294" s="19"/>
      <c r="K1294" s="421"/>
      <c r="L1294" s="23"/>
      <c r="M1294" s="19"/>
      <c r="N1294" s="19"/>
      <c r="O1294" s="19"/>
      <c r="P1294" s="19"/>
      <c r="Q1294" s="19"/>
    </row>
    <row r="1295" spans="1:20" hidden="1">
      <c r="B1295" s="19"/>
      <c r="C1295" s="19"/>
      <c r="D1295" s="19"/>
      <c r="E1295" s="19"/>
      <c r="F1295" s="19"/>
      <c r="G1295" s="19"/>
      <c r="H1295" s="19"/>
      <c r="I1295" s="19"/>
      <c r="J1295" s="19"/>
      <c r="K1295" s="421"/>
      <c r="L1295" s="23"/>
      <c r="M1295" s="19"/>
      <c r="N1295" s="19"/>
      <c r="O1295" s="19"/>
      <c r="P1295" s="19"/>
      <c r="Q1295" s="19"/>
    </row>
    <row r="1296" spans="1:20" hidden="1">
      <c r="B1296" s="19"/>
      <c r="C1296" s="19"/>
      <c r="D1296" s="19"/>
      <c r="E1296" s="19"/>
      <c r="F1296" s="19"/>
      <c r="G1296" s="19"/>
      <c r="H1296" s="19"/>
      <c r="I1296" s="19"/>
      <c r="J1296" s="19"/>
      <c r="K1296" s="421"/>
      <c r="L1296" s="23"/>
      <c r="M1296" s="19"/>
      <c r="N1296" s="19"/>
      <c r="O1296" s="19"/>
      <c r="P1296" s="19"/>
      <c r="Q1296" s="19"/>
    </row>
    <row r="1297" spans="2:17" hidden="1">
      <c r="B1297" s="19"/>
      <c r="C1297" s="19"/>
      <c r="D1297" s="19"/>
      <c r="E1297" s="19"/>
      <c r="F1297" s="19"/>
      <c r="G1297" s="19"/>
      <c r="H1297" s="19"/>
      <c r="I1297" s="19"/>
      <c r="J1297" s="19"/>
      <c r="K1297" s="421"/>
      <c r="L1297" s="23"/>
      <c r="M1297" s="19"/>
      <c r="N1297" s="19"/>
      <c r="O1297" s="19"/>
      <c r="P1297" s="19"/>
      <c r="Q1297" s="19"/>
    </row>
    <row r="1298" spans="2:17" hidden="1">
      <c r="B1298" s="19"/>
      <c r="C1298" s="19"/>
      <c r="D1298" s="19"/>
      <c r="E1298" s="19"/>
      <c r="F1298" s="19"/>
      <c r="G1298" s="19"/>
      <c r="H1298" s="19"/>
      <c r="I1298" s="19"/>
      <c r="J1298" s="19"/>
      <c r="K1298" s="421"/>
      <c r="L1298" s="23"/>
      <c r="M1298" s="19"/>
      <c r="N1298" s="19"/>
      <c r="O1298" s="19"/>
      <c r="P1298" s="19"/>
      <c r="Q1298" s="19"/>
    </row>
    <row r="1299" spans="2:17" hidden="1">
      <c r="B1299" s="19"/>
      <c r="C1299" s="19"/>
      <c r="D1299" s="19"/>
      <c r="E1299" s="19"/>
      <c r="F1299" s="19"/>
      <c r="G1299" s="19"/>
      <c r="H1299" s="19"/>
      <c r="I1299" s="19"/>
      <c r="J1299" s="19"/>
      <c r="K1299" s="421"/>
      <c r="L1299" s="23"/>
      <c r="M1299" s="19"/>
      <c r="N1299" s="19"/>
      <c r="O1299" s="19"/>
      <c r="P1299" s="19"/>
      <c r="Q1299" s="19"/>
    </row>
    <row r="1300" spans="2:17" hidden="1">
      <c r="B1300" s="19"/>
      <c r="C1300" s="19"/>
      <c r="D1300" s="19"/>
      <c r="E1300" s="19"/>
      <c r="F1300" s="19"/>
      <c r="G1300" s="19"/>
      <c r="H1300" s="19"/>
      <c r="I1300" s="19"/>
      <c r="J1300" s="19"/>
      <c r="K1300" s="421"/>
      <c r="L1300" s="23"/>
      <c r="M1300" s="19"/>
      <c r="N1300" s="19"/>
      <c r="O1300" s="19"/>
      <c r="P1300" s="19"/>
      <c r="Q1300" s="19"/>
    </row>
    <row r="1301" spans="2:17" hidden="1">
      <c r="B1301" s="19"/>
      <c r="C1301" s="19"/>
      <c r="D1301" s="19"/>
      <c r="E1301" s="19"/>
      <c r="F1301" s="19"/>
      <c r="G1301" s="19"/>
      <c r="H1301" s="19"/>
      <c r="I1301" s="19"/>
      <c r="J1301" s="19"/>
      <c r="K1301" s="421"/>
      <c r="L1301" s="23"/>
      <c r="M1301" s="19"/>
      <c r="N1301" s="19"/>
      <c r="O1301" s="19"/>
      <c r="P1301" s="19"/>
      <c r="Q1301" s="19"/>
    </row>
    <row r="1302" spans="2:17" hidden="1">
      <c r="B1302" s="19"/>
      <c r="C1302" s="19"/>
      <c r="D1302" s="19"/>
      <c r="E1302" s="19"/>
      <c r="F1302" s="19"/>
      <c r="G1302" s="19"/>
      <c r="H1302" s="19"/>
      <c r="I1302" s="19"/>
      <c r="J1302" s="19"/>
      <c r="K1302" s="421"/>
      <c r="L1302" s="23"/>
      <c r="M1302" s="19"/>
      <c r="N1302" s="19"/>
      <c r="O1302" s="19"/>
      <c r="P1302" s="19"/>
      <c r="Q1302" s="19"/>
    </row>
    <row r="1303" spans="2:17" hidden="1">
      <c r="B1303" s="19"/>
      <c r="C1303" s="19"/>
      <c r="D1303" s="19"/>
      <c r="E1303" s="19"/>
      <c r="F1303" s="19"/>
      <c r="G1303" s="19"/>
      <c r="H1303" s="19"/>
      <c r="I1303" s="19"/>
      <c r="J1303" s="19"/>
      <c r="K1303" s="421"/>
      <c r="L1303" s="23"/>
      <c r="M1303" s="19"/>
      <c r="N1303" s="19"/>
      <c r="O1303" s="19"/>
      <c r="P1303" s="19"/>
      <c r="Q1303" s="19"/>
    </row>
    <row r="1304" spans="2:17" hidden="1">
      <c r="B1304" s="19"/>
      <c r="C1304" s="19"/>
      <c r="D1304" s="19"/>
      <c r="E1304" s="19"/>
      <c r="F1304" s="19"/>
      <c r="G1304" s="19"/>
      <c r="H1304" s="19"/>
      <c r="I1304" s="19"/>
      <c r="J1304" s="19"/>
      <c r="K1304" s="421"/>
      <c r="L1304" s="23"/>
      <c r="M1304" s="19"/>
      <c r="N1304" s="19"/>
      <c r="O1304" s="19"/>
      <c r="P1304" s="19"/>
      <c r="Q1304" s="19"/>
    </row>
    <row r="1305" spans="2:17" hidden="1">
      <c r="B1305" s="19"/>
      <c r="C1305" s="19"/>
      <c r="D1305" s="19"/>
      <c r="E1305" s="19"/>
      <c r="F1305" s="19"/>
      <c r="G1305" s="19"/>
      <c r="H1305" s="19"/>
      <c r="I1305" s="19"/>
      <c r="J1305" s="19"/>
      <c r="K1305" s="421"/>
      <c r="L1305" s="23"/>
      <c r="M1305" s="19"/>
      <c r="N1305" s="19"/>
      <c r="O1305" s="19"/>
      <c r="P1305" s="19"/>
      <c r="Q1305" s="19"/>
    </row>
    <row r="1306" spans="2:17" hidden="1">
      <c r="B1306" s="19"/>
      <c r="C1306" s="19"/>
      <c r="D1306" s="19"/>
      <c r="E1306" s="19"/>
      <c r="F1306" s="19"/>
      <c r="G1306" s="19"/>
      <c r="H1306" s="19"/>
      <c r="I1306" s="19"/>
      <c r="J1306" s="19"/>
      <c r="K1306" s="421"/>
      <c r="L1306" s="23"/>
      <c r="M1306" s="19"/>
      <c r="N1306" s="19"/>
      <c r="O1306" s="19"/>
      <c r="P1306" s="19"/>
      <c r="Q1306" s="19"/>
    </row>
    <row r="1307" spans="2:17" hidden="1">
      <c r="B1307" s="19"/>
      <c r="C1307" s="19"/>
      <c r="D1307" s="19"/>
      <c r="E1307" s="19"/>
      <c r="F1307" s="19"/>
      <c r="G1307" s="19"/>
      <c r="H1307" s="19"/>
      <c r="I1307" s="19"/>
      <c r="J1307" s="19"/>
      <c r="K1307" s="421"/>
      <c r="L1307" s="23"/>
      <c r="M1307" s="19"/>
      <c r="N1307" s="19"/>
      <c r="O1307" s="19"/>
      <c r="P1307" s="19"/>
      <c r="Q1307" s="19"/>
    </row>
    <row r="1308" spans="2:17" hidden="1">
      <c r="B1308" s="19"/>
      <c r="C1308" s="19"/>
      <c r="D1308" s="19"/>
      <c r="E1308" s="19"/>
      <c r="F1308" s="19"/>
      <c r="G1308" s="19"/>
      <c r="H1308" s="19"/>
      <c r="I1308" s="19"/>
      <c r="J1308" s="19"/>
      <c r="K1308" s="421"/>
      <c r="L1308" s="23"/>
      <c r="M1308" s="19"/>
      <c r="N1308" s="19"/>
      <c r="O1308" s="19"/>
      <c r="P1308" s="19"/>
      <c r="Q1308" s="19"/>
    </row>
    <row r="1309" spans="2:17" hidden="1">
      <c r="B1309" s="19"/>
      <c r="C1309" s="19"/>
      <c r="D1309" s="19"/>
      <c r="E1309" s="19"/>
      <c r="F1309" s="19"/>
      <c r="G1309" s="19"/>
      <c r="H1309" s="19"/>
      <c r="I1309" s="19"/>
      <c r="J1309" s="19"/>
      <c r="K1309" s="421"/>
      <c r="L1309" s="23"/>
      <c r="M1309" s="19"/>
      <c r="N1309" s="19"/>
      <c r="O1309" s="19"/>
      <c r="P1309" s="19"/>
      <c r="Q1309" s="19"/>
    </row>
    <row r="1310" spans="2:17" hidden="1">
      <c r="B1310" s="19"/>
      <c r="C1310" s="19"/>
      <c r="D1310" s="19"/>
      <c r="E1310" s="19"/>
      <c r="F1310" s="19"/>
      <c r="G1310" s="19"/>
      <c r="H1310" s="19"/>
      <c r="I1310" s="19"/>
      <c r="J1310" s="19"/>
      <c r="K1310" s="421"/>
      <c r="L1310" s="23"/>
      <c r="M1310" s="19"/>
      <c r="N1310" s="19"/>
      <c r="O1310" s="19"/>
      <c r="P1310" s="19"/>
      <c r="Q1310" s="19"/>
    </row>
    <row r="1311" spans="2:17" hidden="1">
      <c r="B1311" s="19"/>
      <c r="C1311" s="19"/>
      <c r="D1311" s="19"/>
      <c r="E1311" s="19"/>
      <c r="F1311" s="19"/>
      <c r="G1311" s="19"/>
      <c r="H1311" s="19"/>
      <c r="I1311" s="19"/>
      <c r="J1311" s="19"/>
      <c r="K1311" s="421"/>
      <c r="L1311" s="23"/>
      <c r="M1311" s="19"/>
      <c r="N1311" s="19"/>
      <c r="O1311" s="19"/>
      <c r="P1311" s="19"/>
      <c r="Q1311" s="19"/>
    </row>
    <row r="1312" spans="2:17" hidden="1">
      <c r="B1312" s="19"/>
      <c r="C1312" s="19"/>
      <c r="D1312" s="19"/>
      <c r="E1312" s="19"/>
      <c r="F1312" s="19"/>
      <c r="G1312" s="19"/>
      <c r="H1312" s="19"/>
      <c r="I1312" s="19"/>
      <c r="J1312" s="19"/>
      <c r="K1312" s="421"/>
      <c r="L1312" s="23"/>
      <c r="M1312" s="19"/>
      <c r="N1312" s="19"/>
      <c r="O1312" s="19"/>
      <c r="P1312" s="19"/>
      <c r="Q1312" s="19"/>
    </row>
    <row r="1313" spans="2:17" hidden="1">
      <c r="B1313" s="19"/>
      <c r="C1313" s="19"/>
      <c r="D1313" s="19"/>
      <c r="E1313" s="19"/>
      <c r="F1313" s="19"/>
      <c r="G1313" s="19"/>
      <c r="H1313" s="19"/>
      <c r="I1313" s="19"/>
      <c r="J1313" s="19"/>
      <c r="K1313" s="421"/>
      <c r="L1313" s="23"/>
      <c r="M1313" s="19"/>
      <c r="N1313" s="19"/>
      <c r="O1313" s="19"/>
      <c r="P1313" s="19"/>
      <c r="Q1313" s="19"/>
    </row>
    <row r="1314" spans="2:17" hidden="1">
      <c r="B1314" s="19"/>
      <c r="C1314" s="19"/>
      <c r="D1314" s="19"/>
      <c r="E1314" s="19"/>
      <c r="F1314" s="19"/>
      <c r="G1314" s="19"/>
      <c r="H1314" s="19"/>
      <c r="I1314" s="19"/>
      <c r="J1314" s="19"/>
      <c r="K1314" s="421"/>
      <c r="L1314" s="23"/>
      <c r="M1314" s="19"/>
      <c r="N1314" s="19"/>
      <c r="O1314" s="19"/>
      <c r="P1314" s="19"/>
      <c r="Q1314" s="19"/>
    </row>
    <row r="1315" spans="2:17" hidden="1">
      <c r="B1315" s="19"/>
      <c r="C1315" s="19"/>
      <c r="D1315" s="19"/>
      <c r="E1315" s="19"/>
      <c r="F1315" s="19"/>
      <c r="G1315" s="19"/>
      <c r="H1315" s="19"/>
      <c r="I1315" s="19"/>
      <c r="J1315" s="19"/>
      <c r="K1315" s="421"/>
      <c r="L1315" s="23"/>
      <c r="M1315" s="19"/>
      <c r="N1315" s="19"/>
      <c r="O1315" s="19"/>
      <c r="P1315" s="19"/>
      <c r="Q1315" s="19"/>
    </row>
    <row r="1316" spans="2:17" hidden="1">
      <c r="B1316" s="19"/>
      <c r="C1316" s="19"/>
      <c r="D1316" s="19"/>
      <c r="E1316" s="19"/>
      <c r="F1316" s="19"/>
      <c r="G1316" s="19"/>
      <c r="H1316" s="19"/>
      <c r="I1316" s="19"/>
      <c r="J1316" s="19"/>
      <c r="K1316" s="421"/>
      <c r="L1316" s="23"/>
      <c r="M1316" s="19"/>
      <c r="N1316" s="19"/>
      <c r="O1316" s="19"/>
      <c r="P1316" s="19"/>
      <c r="Q1316" s="19"/>
    </row>
    <row r="1317" spans="2:17" hidden="1">
      <c r="B1317" s="19"/>
      <c r="C1317" s="19"/>
      <c r="D1317" s="19"/>
      <c r="E1317" s="19"/>
      <c r="F1317" s="19"/>
      <c r="G1317" s="19"/>
      <c r="H1317" s="19"/>
      <c r="I1317" s="19"/>
      <c r="J1317" s="19"/>
      <c r="K1317" s="421"/>
      <c r="L1317" s="23"/>
      <c r="M1317" s="19"/>
      <c r="N1317" s="19"/>
      <c r="O1317" s="19"/>
      <c r="P1317" s="19"/>
      <c r="Q1317" s="19"/>
    </row>
    <row r="1318" spans="2:17" hidden="1">
      <c r="B1318" s="19"/>
      <c r="C1318" s="19"/>
      <c r="D1318" s="19"/>
      <c r="E1318" s="19"/>
      <c r="F1318" s="19"/>
      <c r="G1318" s="19"/>
      <c r="H1318" s="19"/>
      <c r="I1318" s="19"/>
      <c r="J1318" s="19"/>
      <c r="K1318" s="421"/>
      <c r="L1318" s="23"/>
      <c r="M1318" s="19"/>
      <c r="N1318" s="19"/>
      <c r="O1318" s="19"/>
      <c r="P1318" s="19"/>
      <c r="Q1318" s="19"/>
    </row>
    <row r="1319" spans="2:17" hidden="1">
      <c r="B1319" s="19"/>
      <c r="C1319" s="19"/>
      <c r="D1319" s="19"/>
      <c r="E1319" s="19"/>
      <c r="F1319" s="19"/>
      <c r="G1319" s="19"/>
      <c r="H1319" s="19"/>
      <c r="I1319" s="19"/>
      <c r="J1319" s="19"/>
      <c r="K1319" s="421"/>
      <c r="L1319" s="23"/>
      <c r="M1319" s="19"/>
      <c r="N1319" s="19"/>
      <c r="O1319" s="19"/>
      <c r="P1319" s="19"/>
      <c r="Q1319" s="19"/>
    </row>
    <row r="1320" spans="2:17" hidden="1">
      <c r="I1320" s="20"/>
      <c r="K1320" s="423"/>
      <c r="L1320" s="44"/>
      <c r="M1320" s="44"/>
      <c r="N1320" s="44"/>
      <c r="O1320" s="19"/>
    </row>
    <row r="1321" spans="2:17" hidden="1">
      <c r="I1321" s="20"/>
      <c r="O1321" s="19"/>
    </row>
    <row r="1322" spans="2:17" hidden="1">
      <c r="I1322" s="20"/>
      <c r="O1322" s="19"/>
    </row>
    <row r="1323" spans="2:17" hidden="1">
      <c r="I1323" s="20"/>
      <c r="O1323" s="19"/>
    </row>
    <row r="1324" spans="2:17" hidden="1">
      <c r="I1324" s="20"/>
      <c r="O1324" s="19"/>
    </row>
    <row r="1325" spans="2:17" hidden="1">
      <c r="I1325" s="20"/>
      <c r="O1325" s="19"/>
    </row>
    <row r="1326" spans="2:17" hidden="1">
      <c r="I1326" s="20"/>
      <c r="O1326" s="19"/>
    </row>
    <row r="1327" spans="2:17" hidden="1">
      <c r="I1327" s="20"/>
      <c r="O1327" s="19"/>
    </row>
    <row r="1328" spans="2:17" hidden="1">
      <c r="I1328" s="20"/>
      <c r="O1328" s="19"/>
    </row>
    <row r="1329" spans="9:15" hidden="1">
      <c r="I1329" s="20"/>
      <c r="O1329" s="19"/>
    </row>
    <row r="1330" spans="9:15" hidden="1">
      <c r="I1330" s="20"/>
      <c r="O1330" s="19"/>
    </row>
    <row r="1331" spans="9:15" hidden="1">
      <c r="I1331" s="20"/>
      <c r="O1331" s="19"/>
    </row>
    <row r="1332" spans="9:15" hidden="1">
      <c r="I1332" s="20"/>
      <c r="O1332" s="19"/>
    </row>
    <row r="1333" spans="9:15" hidden="1">
      <c r="I1333" s="20"/>
      <c r="O1333" s="19"/>
    </row>
    <row r="1334" spans="9:15" hidden="1">
      <c r="I1334" s="20"/>
      <c r="O1334" s="19"/>
    </row>
    <row r="1335" spans="9:15" hidden="1">
      <c r="I1335" s="20"/>
      <c r="O1335" s="19"/>
    </row>
    <row r="1336" spans="9:15" hidden="1">
      <c r="I1336" s="20"/>
      <c r="O1336" s="19"/>
    </row>
    <row r="1337" spans="9:15" hidden="1">
      <c r="I1337" s="20"/>
      <c r="O1337" s="19"/>
    </row>
    <row r="1338" spans="9:15" hidden="1">
      <c r="I1338" s="20"/>
      <c r="O1338" s="19"/>
    </row>
    <row r="1339" spans="9:15" hidden="1">
      <c r="I1339" s="20"/>
      <c r="O1339" s="19"/>
    </row>
    <row r="1340" spans="9:15" hidden="1">
      <c r="I1340" s="20"/>
      <c r="O1340" s="19"/>
    </row>
    <row r="1341" spans="9:15" hidden="1">
      <c r="I1341" s="20"/>
      <c r="O1341" s="19"/>
    </row>
    <row r="1342" spans="9:15" hidden="1">
      <c r="I1342" s="20"/>
      <c r="O1342" s="19"/>
    </row>
    <row r="1343" spans="9:15" hidden="1">
      <c r="I1343" s="20"/>
      <c r="O1343" s="19"/>
    </row>
    <row r="1344" spans="9:15" hidden="1">
      <c r="I1344" s="20"/>
      <c r="O1344" s="19"/>
    </row>
    <row r="1345" spans="9:15" hidden="1">
      <c r="I1345" s="20"/>
      <c r="O1345" s="19"/>
    </row>
    <row r="1346" spans="9:15" hidden="1">
      <c r="I1346" s="20"/>
      <c r="O1346" s="19"/>
    </row>
    <row r="1347" spans="9:15" hidden="1">
      <c r="I1347" s="20"/>
      <c r="O1347" s="19"/>
    </row>
    <row r="1348" spans="9:15" hidden="1">
      <c r="I1348" s="20"/>
      <c r="O1348" s="19"/>
    </row>
    <row r="1349" spans="9:15" hidden="1">
      <c r="I1349" s="20"/>
      <c r="O1349" s="19"/>
    </row>
    <row r="1350" spans="9:15" hidden="1">
      <c r="I1350" s="20"/>
      <c r="O1350" s="19"/>
    </row>
    <row r="1351" spans="9:15" hidden="1">
      <c r="I1351" s="20"/>
      <c r="O1351" s="19"/>
    </row>
    <row r="1352" spans="9:15" hidden="1">
      <c r="I1352" s="20"/>
      <c r="O1352" s="19"/>
    </row>
    <row r="1353" spans="9:15" hidden="1">
      <c r="I1353" s="20"/>
      <c r="O1353" s="19"/>
    </row>
    <row r="1354" spans="9:15" hidden="1">
      <c r="I1354" s="20"/>
      <c r="O1354" s="19"/>
    </row>
    <row r="1355" spans="9:15" hidden="1">
      <c r="I1355" s="20"/>
      <c r="O1355" s="19"/>
    </row>
    <row r="1356" spans="9:15" hidden="1">
      <c r="I1356" s="20"/>
      <c r="O1356" s="19"/>
    </row>
    <row r="1357" spans="9:15" hidden="1">
      <c r="I1357" s="20"/>
      <c r="O1357" s="19"/>
    </row>
    <row r="1358" spans="9:15" hidden="1">
      <c r="I1358" s="20"/>
      <c r="O1358" s="19"/>
    </row>
    <row r="1359" spans="9:15" hidden="1">
      <c r="I1359" s="20"/>
      <c r="O1359" s="19"/>
    </row>
    <row r="1360" spans="9:15" hidden="1">
      <c r="I1360" s="20"/>
      <c r="O1360" s="19"/>
    </row>
    <row r="1361" spans="9:15" hidden="1">
      <c r="I1361" s="20"/>
      <c r="O1361" s="19"/>
    </row>
    <row r="1362" spans="9:15" hidden="1">
      <c r="I1362" s="20"/>
      <c r="O1362" s="19"/>
    </row>
    <row r="1363" spans="9:15" hidden="1">
      <c r="I1363" s="20"/>
      <c r="O1363" s="19"/>
    </row>
    <row r="1364" spans="9:15" hidden="1">
      <c r="I1364" s="20"/>
      <c r="O1364" s="19"/>
    </row>
    <row r="1365" spans="9:15" hidden="1">
      <c r="I1365" s="20"/>
      <c r="O1365" s="19"/>
    </row>
    <row r="1366" spans="9:15" hidden="1">
      <c r="I1366" s="20"/>
      <c r="O1366" s="19"/>
    </row>
    <row r="1367" spans="9:15" hidden="1">
      <c r="I1367" s="20"/>
      <c r="O1367" s="19"/>
    </row>
    <row r="1368" spans="9:15" hidden="1">
      <c r="I1368" s="20"/>
      <c r="O1368" s="19"/>
    </row>
    <row r="1369" spans="9:15" hidden="1">
      <c r="I1369" s="20"/>
      <c r="O1369" s="19"/>
    </row>
    <row r="1370" spans="9:15" hidden="1">
      <c r="I1370" s="20"/>
      <c r="O1370" s="19"/>
    </row>
    <row r="1371" spans="9:15" hidden="1">
      <c r="I1371" s="20"/>
      <c r="O1371" s="19"/>
    </row>
    <row r="1372" spans="9:15" hidden="1">
      <c r="I1372" s="20"/>
      <c r="O1372" s="19"/>
    </row>
    <row r="1373" spans="9:15" hidden="1">
      <c r="I1373" s="20"/>
      <c r="O1373" s="19"/>
    </row>
    <row r="1374" spans="9:15" hidden="1">
      <c r="I1374" s="20"/>
      <c r="O1374" s="19"/>
    </row>
    <row r="1375" spans="9:15" hidden="1">
      <c r="I1375" s="20"/>
      <c r="O1375" s="19"/>
    </row>
    <row r="1376" spans="9:15" hidden="1">
      <c r="I1376" s="20"/>
      <c r="O1376" s="19"/>
    </row>
    <row r="1377" spans="9:15" hidden="1">
      <c r="I1377" s="20"/>
      <c r="O1377" s="19"/>
    </row>
    <row r="1378" spans="9:15" hidden="1">
      <c r="I1378" s="20"/>
      <c r="O1378" s="19"/>
    </row>
    <row r="1379" spans="9:15" hidden="1">
      <c r="I1379" s="20"/>
      <c r="O1379" s="19"/>
    </row>
    <row r="1380" spans="9:15" hidden="1">
      <c r="I1380" s="20"/>
      <c r="O1380" s="19"/>
    </row>
    <row r="1381" spans="9:15" hidden="1">
      <c r="I1381" s="20"/>
      <c r="O1381" s="19"/>
    </row>
    <row r="1382" spans="9:15" hidden="1">
      <c r="I1382" s="20"/>
      <c r="O1382" s="19"/>
    </row>
    <row r="1383" spans="9:15" hidden="1">
      <c r="I1383" s="20"/>
      <c r="O1383" s="19"/>
    </row>
    <row r="1384" spans="9:15" hidden="1">
      <c r="I1384" s="20"/>
      <c r="O1384" s="19"/>
    </row>
    <row r="1385" spans="9:15" hidden="1">
      <c r="I1385" s="20"/>
      <c r="O1385" s="19"/>
    </row>
    <row r="1386" spans="9:15" hidden="1">
      <c r="I1386" s="20"/>
      <c r="O1386" s="19"/>
    </row>
    <row r="1387" spans="9:15" hidden="1">
      <c r="I1387" s="20"/>
      <c r="O1387" s="19"/>
    </row>
    <row r="1388" spans="9:15" hidden="1">
      <c r="I1388" s="20"/>
      <c r="O1388" s="19"/>
    </row>
    <row r="1389" spans="9:15" hidden="1">
      <c r="I1389" s="20"/>
      <c r="O1389" s="19"/>
    </row>
    <row r="1390" spans="9:15" hidden="1">
      <c r="I1390" s="20"/>
      <c r="O1390" s="19"/>
    </row>
    <row r="1391" spans="9:15" hidden="1">
      <c r="I1391" s="20"/>
      <c r="O1391" s="19"/>
    </row>
    <row r="1392" spans="9:15" hidden="1">
      <c r="I1392" s="20"/>
      <c r="O1392" s="19"/>
    </row>
    <row r="1393" spans="9:15" hidden="1">
      <c r="I1393" s="20"/>
      <c r="O1393" s="19"/>
    </row>
    <row r="1394" spans="9:15" hidden="1">
      <c r="I1394" s="20"/>
      <c r="O1394" s="19"/>
    </row>
    <row r="1395" spans="9:15" hidden="1">
      <c r="I1395" s="20"/>
      <c r="O1395" s="19"/>
    </row>
    <row r="1396" spans="9:15" hidden="1">
      <c r="I1396" s="20"/>
      <c r="O1396" s="19"/>
    </row>
    <row r="1397" spans="9:15" hidden="1">
      <c r="I1397" s="20"/>
      <c r="O1397" s="19"/>
    </row>
    <row r="1398" spans="9:15" hidden="1">
      <c r="I1398" s="20"/>
      <c r="O1398" s="19"/>
    </row>
    <row r="1399" spans="9:15" hidden="1">
      <c r="I1399" s="20"/>
      <c r="O1399" s="19"/>
    </row>
    <row r="1400" spans="9:15" hidden="1">
      <c r="I1400" s="20"/>
      <c r="O1400" s="19"/>
    </row>
    <row r="1401" spans="9:15" hidden="1">
      <c r="I1401" s="20"/>
      <c r="O1401" s="19"/>
    </row>
    <row r="1402" spans="9:15" hidden="1">
      <c r="I1402" s="20"/>
      <c r="O1402" s="19"/>
    </row>
    <row r="1403" spans="9:15" hidden="1">
      <c r="I1403" s="20"/>
      <c r="O1403" s="19"/>
    </row>
    <row r="1404" spans="9:15" hidden="1">
      <c r="I1404" s="20"/>
      <c r="O1404" s="19"/>
    </row>
    <row r="1405" spans="9:15" hidden="1">
      <c r="I1405" s="20"/>
      <c r="O1405" s="19"/>
    </row>
    <row r="1406" spans="9:15" hidden="1">
      <c r="I1406" s="20"/>
      <c r="O1406" s="19"/>
    </row>
    <row r="1407" spans="9:15" hidden="1">
      <c r="I1407" s="20"/>
      <c r="O1407" s="19"/>
    </row>
    <row r="1408" spans="9:15" hidden="1">
      <c r="I1408" s="20"/>
      <c r="O1408" s="19"/>
    </row>
    <row r="1409" spans="9:15" hidden="1">
      <c r="I1409" s="20"/>
      <c r="O1409" s="19"/>
    </row>
    <row r="1410" spans="9:15" hidden="1">
      <c r="I1410" s="20"/>
      <c r="O1410" s="19"/>
    </row>
    <row r="1411" spans="9:15" hidden="1">
      <c r="I1411" s="20"/>
      <c r="O1411" s="19"/>
    </row>
    <row r="1412" spans="9:15" hidden="1">
      <c r="I1412" s="20"/>
      <c r="O1412" s="19"/>
    </row>
    <row r="1413" spans="9:15" hidden="1">
      <c r="I1413" s="20"/>
      <c r="O1413" s="19"/>
    </row>
    <row r="1414" spans="9:15" hidden="1">
      <c r="I1414" s="20"/>
      <c r="O1414" s="19"/>
    </row>
    <row r="1415" spans="9:15" hidden="1">
      <c r="I1415" s="20"/>
      <c r="O1415" s="19"/>
    </row>
    <row r="1416" spans="9:15" hidden="1">
      <c r="I1416" s="20"/>
      <c r="O1416" s="19"/>
    </row>
    <row r="1417" spans="9:15" hidden="1">
      <c r="I1417" s="20"/>
      <c r="O1417" s="19"/>
    </row>
    <row r="1418" spans="9:15" hidden="1">
      <c r="I1418" s="20"/>
      <c r="O1418" s="19"/>
    </row>
    <row r="1419" spans="9:15" hidden="1">
      <c r="I1419" s="20"/>
      <c r="O1419" s="19"/>
    </row>
    <row r="1420" spans="9:15" hidden="1">
      <c r="I1420" s="20"/>
      <c r="O1420" s="19"/>
    </row>
    <row r="1421" spans="9:15" hidden="1">
      <c r="I1421" s="20"/>
      <c r="O1421" s="19"/>
    </row>
    <row r="1422" spans="9:15" hidden="1">
      <c r="I1422" s="20"/>
      <c r="O1422" s="19"/>
    </row>
    <row r="1423" spans="9:15" hidden="1">
      <c r="I1423" s="20"/>
      <c r="O1423" s="19"/>
    </row>
    <row r="1424" spans="9:15" hidden="1">
      <c r="I1424" s="20"/>
      <c r="O1424" s="19"/>
    </row>
    <row r="1425" spans="9:15" hidden="1">
      <c r="I1425" s="20"/>
      <c r="O1425" s="19"/>
    </row>
    <row r="1426" spans="9:15" hidden="1">
      <c r="I1426" s="20"/>
      <c r="O1426" s="19"/>
    </row>
    <row r="1427" spans="9:15" hidden="1">
      <c r="I1427" s="20"/>
      <c r="O1427" s="19"/>
    </row>
    <row r="1428" spans="9:15" hidden="1">
      <c r="I1428" s="20"/>
      <c r="O1428" s="19"/>
    </row>
    <row r="1429" spans="9:15" hidden="1">
      <c r="I1429" s="20"/>
      <c r="O1429" s="19"/>
    </row>
    <row r="1430" spans="9:15" hidden="1">
      <c r="I1430" s="20"/>
      <c r="O1430" s="19"/>
    </row>
    <row r="1431" spans="9:15" hidden="1">
      <c r="I1431" s="20"/>
      <c r="O1431" s="19"/>
    </row>
    <row r="1432" spans="9:15" hidden="1">
      <c r="I1432" s="20"/>
      <c r="O1432" s="19"/>
    </row>
    <row r="1433" spans="9:15" hidden="1">
      <c r="I1433" s="20"/>
      <c r="O1433" s="19"/>
    </row>
    <row r="1434" spans="9:15" hidden="1">
      <c r="I1434" s="20"/>
      <c r="O1434" s="19"/>
    </row>
    <row r="1435" spans="9:15" hidden="1">
      <c r="I1435" s="20"/>
      <c r="O1435" s="19"/>
    </row>
    <row r="1436" spans="9:15" hidden="1">
      <c r="I1436" s="20"/>
      <c r="O1436" s="19"/>
    </row>
    <row r="1437" spans="9:15" hidden="1">
      <c r="I1437" s="20"/>
      <c r="O1437" s="19"/>
    </row>
    <row r="1438" spans="9:15" hidden="1">
      <c r="I1438" s="20"/>
      <c r="O1438" s="19"/>
    </row>
    <row r="1439" spans="9:15" hidden="1">
      <c r="I1439" s="20"/>
      <c r="O1439" s="19"/>
    </row>
    <row r="1440" spans="9:15" hidden="1">
      <c r="I1440" s="20"/>
      <c r="O1440" s="19"/>
    </row>
    <row r="1441" spans="9:15" hidden="1">
      <c r="I1441" s="20"/>
      <c r="O1441" s="19"/>
    </row>
    <row r="1442" spans="9:15" hidden="1">
      <c r="I1442" s="20"/>
      <c r="O1442" s="19"/>
    </row>
    <row r="1443" spans="9:15" hidden="1">
      <c r="I1443" s="20"/>
      <c r="O1443" s="19"/>
    </row>
    <row r="1444" spans="9:15" hidden="1">
      <c r="I1444" s="20"/>
      <c r="O1444" s="19"/>
    </row>
    <row r="1445" spans="9:15" hidden="1">
      <c r="I1445" s="20"/>
      <c r="O1445" s="19"/>
    </row>
    <row r="1446" spans="9:15" hidden="1">
      <c r="I1446" s="20"/>
      <c r="O1446" s="19"/>
    </row>
    <row r="1447" spans="9:15" hidden="1">
      <c r="I1447" s="20"/>
      <c r="O1447" s="19"/>
    </row>
    <row r="1448" spans="9:15" hidden="1">
      <c r="I1448" s="20"/>
      <c r="O1448" s="19"/>
    </row>
    <row r="1449" spans="9:15" hidden="1">
      <c r="I1449" s="20"/>
      <c r="O1449" s="19"/>
    </row>
    <row r="1450" spans="9:15" hidden="1">
      <c r="I1450" s="20"/>
      <c r="O1450" s="19"/>
    </row>
    <row r="1451" spans="9:15" hidden="1">
      <c r="I1451" s="20"/>
      <c r="O1451" s="19"/>
    </row>
    <row r="1452" spans="9:15" hidden="1">
      <c r="I1452" s="20"/>
      <c r="O1452" s="19"/>
    </row>
    <row r="1453" spans="9:15" hidden="1">
      <c r="I1453" s="20"/>
      <c r="O1453" s="19"/>
    </row>
    <row r="1454" spans="9:15" hidden="1">
      <c r="I1454" s="20"/>
      <c r="O1454" s="19"/>
    </row>
    <row r="1455" spans="9:15" hidden="1">
      <c r="I1455" s="20"/>
      <c r="O1455" s="19"/>
    </row>
    <row r="1456" spans="9:15" hidden="1">
      <c r="I1456" s="20"/>
      <c r="O1456" s="19"/>
    </row>
    <row r="1457" spans="9:15" hidden="1">
      <c r="I1457" s="20"/>
      <c r="O1457" s="19"/>
    </row>
    <row r="1458" spans="9:15" hidden="1">
      <c r="I1458" s="20"/>
      <c r="O1458" s="19"/>
    </row>
    <row r="1459" spans="9:15" hidden="1">
      <c r="I1459" s="20"/>
      <c r="O1459" s="19"/>
    </row>
    <row r="1460" spans="9:15" hidden="1">
      <c r="I1460" s="20"/>
      <c r="O1460" s="19"/>
    </row>
    <row r="1461" spans="9:15" hidden="1">
      <c r="I1461" s="20"/>
      <c r="O1461" s="19"/>
    </row>
    <row r="1462" spans="9:15" hidden="1">
      <c r="I1462" s="20"/>
      <c r="O1462" s="19"/>
    </row>
    <row r="1463" spans="9:15" hidden="1">
      <c r="I1463" s="20"/>
      <c r="O1463" s="19"/>
    </row>
    <row r="1464" spans="9:15" hidden="1">
      <c r="I1464" s="20"/>
      <c r="O1464" s="19"/>
    </row>
    <row r="1465" spans="9:15" hidden="1">
      <c r="I1465" s="20"/>
      <c r="O1465" s="19"/>
    </row>
    <row r="1466" spans="9:15" hidden="1">
      <c r="I1466" s="20"/>
      <c r="O1466" s="19"/>
    </row>
    <row r="1467" spans="9:15" hidden="1">
      <c r="I1467" s="20"/>
      <c r="O1467" s="19"/>
    </row>
    <row r="1468" spans="9:15" hidden="1">
      <c r="I1468" s="20"/>
      <c r="O1468" s="19"/>
    </row>
    <row r="1469" spans="9:15" hidden="1">
      <c r="I1469" s="20"/>
      <c r="O1469" s="19"/>
    </row>
    <row r="1470" spans="9:15" hidden="1">
      <c r="I1470" s="20"/>
      <c r="O1470" s="19"/>
    </row>
    <row r="1471" spans="9:15" hidden="1">
      <c r="I1471" s="20"/>
      <c r="O1471" s="19"/>
    </row>
    <row r="1472" spans="9:15" hidden="1">
      <c r="I1472" s="20"/>
      <c r="O1472" s="19"/>
    </row>
    <row r="1473" spans="9:15" hidden="1">
      <c r="I1473" s="20"/>
      <c r="O1473" s="19"/>
    </row>
    <row r="1474" spans="9:15" hidden="1">
      <c r="I1474" s="20"/>
      <c r="O1474" s="19"/>
    </row>
    <row r="1475" spans="9:15" hidden="1">
      <c r="I1475" s="20"/>
      <c r="O1475" s="19"/>
    </row>
    <row r="1476" spans="9:15" hidden="1">
      <c r="I1476" s="20"/>
      <c r="O1476" s="19"/>
    </row>
    <row r="1477" spans="9:15" hidden="1">
      <c r="I1477" s="20"/>
      <c r="O1477" s="19"/>
    </row>
    <row r="1478" spans="9:15" hidden="1">
      <c r="I1478" s="20"/>
      <c r="O1478" s="19"/>
    </row>
    <row r="1479" spans="9:15" hidden="1">
      <c r="I1479" s="20"/>
      <c r="O1479" s="19"/>
    </row>
    <row r="1480" spans="9:15" hidden="1">
      <c r="I1480" s="20"/>
      <c r="O1480" s="19"/>
    </row>
    <row r="1481" spans="9:15" hidden="1">
      <c r="I1481" s="20"/>
      <c r="O1481" s="19"/>
    </row>
    <row r="1482" spans="9:15" hidden="1">
      <c r="I1482" s="20"/>
      <c r="O1482" s="19"/>
    </row>
    <row r="1483" spans="9:15" hidden="1">
      <c r="I1483" s="20"/>
      <c r="O1483" s="19"/>
    </row>
    <row r="1484" spans="9:15" hidden="1">
      <c r="I1484" s="20"/>
      <c r="O1484" s="19"/>
    </row>
    <row r="1485" spans="9:15" hidden="1">
      <c r="I1485" s="20"/>
      <c r="O1485" s="19"/>
    </row>
    <row r="1486" spans="9:15" hidden="1">
      <c r="I1486" s="20"/>
      <c r="O1486" s="19"/>
    </row>
    <row r="1487" spans="9:15" hidden="1">
      <c r="I1487" s="20"/>
      <c r="O1487" s="19"/>
    </row>
    <row r="1488" spans="9:15" hidden="1">
      <c r="I1488" s="20"/>
      <c r="O1488" s="19"/>
    </row>
    <row r="1489" spans="9:15" hidden="1">
      <c r="I1489" s="20"/>
      <c r="O1489" s="19"/>
    </row>
    <row r="1490" spans="9:15" hidden="1">
      <c r="I1490" s="20"/>
      <c r="O1490" s="19"/>
    </row>
    <row r="1491" spans="9:15" hidden="1">
      <c r="I1491" s="20"/>
      <c r="O1491" s="19"/>
    </row>
    <row r="1492" spans="9:15" hidden="1">
      <c r="I1492" s="20"/>
      <c r="O1492" s="19"/>
    </row>
    <row r="1493" spans="9:15" hidden="1">
      <c r="I1493" s="20"/>
      <c r="O1493" s="19"/>
    </row>
    <row r="1494" spans="9:15" hidden="1">
      <c r="I1494" s="20"/>
      <c r="O1494" s="19"/>
    </row>
    <row r="1495" spans="9:15" hidden="1">
      <c r="I1495" s="20"/>
      <c r="O1495" s="19"/>
    </row>
    <row r="1496" spans="9:15" hidden="1">
      <c r="I1496" s="20"/>
      <c r="O1496" s="19"/>
    </row>
    <row r="1497" spans="9:15" hidden="1">
      <c r="I1497" s="20"/>
      <c r="O1497" s="19"/>
    </row>
    <row r="1498" spans="9:15" hidden="1">
      <c r="I1498" s="20"/>
      <c r="O1498" s="19"/>
    </row>
    <row r="1499" spans="9:15" hidden="1">
      <c r="I1499" s="20"/>
      <c r="O1499" s="19"/>
    </row>
    <row r="1500" spans="9:15" hidden="1">
      <c r="I1500" s="20"/>
      <c r="O1500" s="19"/>
    </row>
    <row r="1501" spans="9:15" hidden="1">
      <c r="I1501" s="20"/>
      <c r="O1501" s="19"/>
    </row>
    <row r="1502" spans="9:15" hidden="1">
      <c r="I1502" s="20"/>
      <c r="O1502" s="19"/>
    </row>
    <row r="1503" spans="9:15" hidden="1">
      <c r="I1503" s="20"/>
      <c r="O1503" s="19"/>
    </row>
    <row r="1504" spans="9:15" hidden="1">
      <c r="I1504" s="20"/>
      <c r="O1504" s="19"/>
    </row>
    <row r="1505" spans="9:15" hidden="1">
      <c r="I1505" s="20"/>
      <c r="O1505" s="19"/>
    </row>
    <row r="1506" spans="9:15" hidden="1">
      <c r="I1506" s="20"/>
      <c r="O1506" s="19"/>
    </row>
    <row r="1507" spans="9:15" hidden="1">
      <c r="I1507" s="20"/>
      <c r="O1507" s="19"/>
    </row>
    <row r="1508" spans="9:15" hidden="1">
      <c r="I1508" s="20"/>
      <c r="O1508" s="19"/>
    </row>
    <row r="1509" spans="9:15" hidden="1">
      <c r="I1509" s="20"/>
      <c r="O1509" s="19"/>
    </row>
    <row r="1510" spans="9:15" hidden="1">
      <c r="I1510" s="20"/>
      <c r="O1510" s="19"/>
    </row>
    <row r="1511" spans="9:15" hidden="1">
      <c r="I1511" s="20"/>
      <c r="O1511" s="19"/>
    </row>
    <row r="1512" spans="9:15" hidden="1">
      <c r="I1512" s="20"/>
      <c r="O1512" s="19"/>
    </row>
    <row r="1513" spans="9:15" hidden="1">
      <c r="I1513" s="20"/>
      <c r="O1513" s="19"/>
    </row>
    <row r="1514" spans="9:15" hidden="1">
      <c r="I1514" s="20"/>
      <c r="O1514" s="19"/>
    </row>
    <row r="1515" spans="9:15" hidden="1">
      <c r="I1515" s="20"/>
      <c r="O1515" s="19"/>
    </row>
    <row r="1516" spans="9:15" hidden="1">
      <c r="I1516" s="20"/>
      <c r="O1516" s="19"/>
    </row>
    <row r="1517" spans="9:15" hidden="1">
      <c r="I1517" s="20"/>
      <c r="O1517" s="19"/>
    </row>
    <row r="1518" spans="9:15" hidden="1">
      <c r="I1518" s="20"/>
      <c r="O1518" s="19"/>
    </row>
    <row r="1519" spans="9:15" hidden="1">
      <c r="I1519" s="20"/>
      <c r="O1519" s="19"/>
    </row>
    <row r="1520" spans="9:15" hidden="1">
      <c r="I1520" s="20"/>
      <c r="O1520" s="19"/>
    </row>
    <row r="1521" spans="9:15" hidden="1">
      <c r="I1521" s="20"/>
      <c r="O1521" s="19"/>
    </row>
    <row r="1522" spans="9:15" hidden="1">
      <c r="I1522" s="20"/>
      <c r="O1522" s="19"/>
    </row>
    <row r="1523" spans="9:15" hidden="1">
      <c r="I1523" s="20"/>
      <c r="O1523" s="19"/>
    </row>
    <row r="1524" spans="9:15" hidden="1">
      <c r="I1524" s="20"/>
      <c r="O1524" s="19"/>
    </row>
    <row r="1525" spans="9:15" hidden="1">
      <c r="I1525" s="20"/>
      <c r="O1525" s="19"/>
    </row>
    <row r="1526" spans="9:15" hidden="1">
      <c r="I1526" s="20"/>
      <c r="O1526" s="19"/>
    </row>
    <row r="1527" spans="9:15" hidden="1">
      <c r="I1527" s="20"/>
      <c r="O1527" s="19"/>
    </row>
    <row r="1528" spans="9:15" hidden="1">
      <c r="I1528" s="20"/>
      <c r="O1528" s="19"/>
    </row>
    <row r="1529" spans="9:15" hidden="1">
      <c r="I1529" s="20"/>
      <c r="O1529" s="19"/>
    </row>
    <row r="1530" spans="9:15" hidden="1">
      <c r="I1530" s="20"/>
      <c r="O1530" s="19"/>
    </row>
    <row r="1531" spans="9:15" hidden="1">
      <c r="I1531" s="20"/>
      <c r="O1531" s="19"/>
    </row>
    <row r="1532" spans="9:15" hidden="1">
      <c r="I1532" s="20"/>
      <c r="O1532" s="19"/>
    </row>
    <row r="1533" spans="9:15" hidden="1">
      <c r="I1533" s="20"/>
      <c r="O1533" s="19"/>
    </row>
    <row r="1534" spans="9:15" hidden="1">
      <c r="I1534" s="20"/>
      <c r="O1534" s="19"/>
    </row>
    <row r="1535" spans="9:15" hidden="1">
      <c r="I1535" s="20"/>
      <c r="O1535" s="19"/>
    </row>
    <row r="1536" spans="9:15" hidden="1">
      <c r="I1536" s="20"/>
      <c r="O1536" s="19"/>
    </row>
    <row r="1537" spans="9:15" hidden="1">
      <c r="I1537" s="20"/>
      <c r="O1537" s="19"/>
    </row>
    <row r="1538" spans="9:15" hidden="1">
      <c r="I1538" s="20"/>
      <c r="O1538" s="19"/>
    </row>
    <row r="1539" spans="9:15" hidden="1">
      <c r="I1539" s="20"/>
      <c r="O1539" s="19"/>
    </row>
    <row r="1540" spans="9:15" hidden="1">
      <c r="I1540" s="20"/>
      <c r="O1540" s="19"/>
    </row>
    <row r="1541" spans="9:15" hidden="1">
      <c r="I1541" s="20"/>
      <c r="O1541" s="19"/>
    </row>
    <row r="1542" spans="9:15" hidden="1">
      <c r="I1542" s="20"/>
      <c r="O1542" s="19"/>
    </row>
    <row r="1543" spans="9:15" hidden="1">
      <c r="I1543" s="20"/>
      <c r="O1543" s="19"/>
    </row>
    <row r="1544" spans="9:15" hidden="1">
      <c r="I1544" s="20"/>
      <c r="O1544" s="19"/>
    </row>
    <row r="1545" spans="9:15" hidden="1">
      <c r="I1545" s="20"/>
      <c r="O1545" s="19"/>
    </row>
    <row r="1546" spans="9:15" hidden="1">
      <c r="I1546" s="20"/>
      <c r="O1546" s="19"/>
    </row>
    <row r="1547" spans="9:15" hidden="1">
      <c r="I1547" s="20"/>
      <c r="O1547" s="19"/>
    </row>
    <row r="1548" spans="9:15" hidden="1">
      <c r="I1548" s="20"/>
      <c r="O1548" s="19"/>
    </row>
    <row r="1549" spans="9:15" hidden="1">
      <c r="I1549" s="20"/>
      <c r="O1549" s="19"/>
    </row>
    <row r="1550" spans="9:15" hidden="1">
      <c r="I1550" s="20"/>
      <c r="O1550" s="19"/>
    </row>
    <row r="1551" spans="9:15" hidden="1">
      <c r="I1551" s="20"/>
      <c r="O1551" s="19"/>
    </row>
    <row r="1552" spans="9:15" hidden="1">
      <c r="I1552" s="20"/>
      <c r="O1552" s="19"/>
    </row>
    <row r="1553" spans="9:15" hidden="1">
      <c r="I1553" s="20"/>
      <c r="O1553" s="19"/>
    </row>
    <row r="1554" spans="9:15" hidden="1">
      <c r="I1554" s="20"/>
      <c r="O1554" s="19"/>
    </row>
    <row r="1555" spans="9:15" hidden="1">
      <c r="I1555" s="20"/>
      <c r="O1555" s="19"/>
    </row>
    <row r="1556" spans="9:15" hidden="1">
      <c r="I1556" s="20"/>
      <c r="O1556" s="19"/>
    </row>
    <row r="1557" spans="9:15" hidden="1">
      <c r="I1557" s="20"/>
      <c r="O1557" s="19"/>
    </row>
    <row r="1558" spans="9:15" hidden="1">
      <c r="I1558" s="20"/>
      <c r="O1558" s="19"/>
    </row>
    <row r="1559" spans="9:15" hidden="1">
      <c r="I1559" s="20"/>
      <c r="O1559" s="19"/>
    </row>
    <row r="1560" spans="9:15" hidden="1">
      <c r="I1560" s="20"/>
      <c r="O1560" s="19"/>
    </row>
    <row r="1561" spans="9:15" hidden="1">
      <c r="I1561" s="20"/>
      <c r="O1561" s="19"/>
    </row>
    <row r="1562" spans="9:15" hidden="1">
      <c r="I1562" s="20"/>
      <c r="O1562" s="19"/>
    </row>
    <row r="1563" spans="9:15" hidden="1">
      <c r="I1563" s="20"/>
      <c r="O1563" s="19"/>
    </row>
    <row r="1564" spans="9:15" hidden="1">
      <c r="I1564" s="20"/>
      <c r="O1564" s="19"/>
    </row>
    <row r="1565" spans="9:15" hidden="1">
      <c r="I1565" s="20"/>
      <c r="O1565" s="19"/>
    </row>
    <row r="1566" spans="9:15" hidden="1">
      <c r="I1566" s="20"/>
      <c r="O1566" s="19"/>
    </row>
    <row r="1567" spans="9:15" hidden="1">
      <c r="I1567" s="20"/>
      <c r="O1567" s="19"/>
    </row>
    <row r="1568" spans="9:15" hidden="1">
      <c r="I1568" s="20"/>
      <c r="O1568" s="19"/>
    </row>
    <row r="1569" spans="9:15" hidden="1">
      <c r="I1569" s="20"/>
      <c r="O1569" s="19"/>
    </row>
    <row r="1570" spans="9:15" hidden="1">
      <c r="I1570" s="20"/>
      <c r="O1570" s="19"/>
    </row>
    <row r="1571" spans="9:15" hidden="1">
      <c r="I1571" s="20"/>
      <c r="O1571" s="19"/>
    </row>
    <row r="1572" spans="9:15" hidden="1">
      <c r="I1572" s="20"/>
      <c r="O1572" s="19"/>
    </row>
    <row r="1573" spans="9:15" hidden="1">
      <c r="I1573" s="20"/>
      <c r="O1573" s="19"/>
    </row>
    <row r="1574" spans="9:15" hidden="1">
      <c r="I1574" s="20"/>
      <c r="O1574" s="19"/>
    </row>
    <row r="1575" spans="9:15" hidden="1">
      <c r="I1575" s="20"/>
      <c r="O1575" s="19"/>
    </row>
    <row r="1576" spans="9:15" hidden="1">
      <c r="I1576" s="20"/>
      <c r="O1576" s="19"/>
    </row>
    <row r="1577" spans="9:15" hidden="1">
      <c r="I1577" s="20"/>
      <c r="O1577" s="19"/>
    </row>
    <row r="1578" spans="9:15" hidden="1">
      <c r="I1578" s="20"/>
      <c r="O1578" s="19"/>
    </row>
    <row r="1579" spans="9:15" hidden="1">
      <c r="I1579" s="20"/>
      <c r="O1579" s="19"/>
    </row>
    <row r="1580" spans="9:15" hidden="1">
      <c r="I1580" s="20"/>
      <c r="O1580" s="19"/>
    </row>
    <row r="1581" spans="9:15" hidden="1">
      <c r="I1581" s="20"/>
      <c r="O1581" s="19"/>
    </row>
    <row r="1582" spans="9:15" hidden="1">
      <c r="I1582" s="20"/>
      <c r="O1582" s="19"/>
    </row>
    <row r="1583" spans="9:15" hidden="1">
      <c r="I1583" s="20"/>
      <c r="O1583" s="19"/>
    </row>
    <row r="1584" spans="9:15" hidden="1">
      <c r="I1584" s="20"/>
      <c r="O1584" s="19"/>
    </row>
    <row r="1585" spans="9:15" hidden="1">
      <c r="I1585" s="20"/>
      <c r="O1585" s="19"/>
    </row>
    <row r="1586" spans="9:15" hidden="1">
      <c r="I1586" s="20"/>
      <c r="O1586" s="19"/>
    </row>
    <row r="1587" spans="9:15" hidden="1">
      <c r="I1587" s="20"/>
      <c r="O1587" s="19"/>
    </row>
    <row r="1588" spans="9:15" hidden="1">
      <c r="I1588" s="20"/>
      <c r="O1588" s="19"/>
    </row>
    <row r="1589" spans="9:15" hidden="1">
      <c r="I1589" s="20"/>
      <c r="O1589" s="19"/>
    </row>
    <row r="1590" spans="9:15" hidden="1">
      <c r="I1590" s="20"/>
      <c r="O1590" s="19"/>
    </row>
    <row r="1591" spans="9:15" hidden="1">
      <c r="I1591" s="20"/>
      <c r="O1591" s="19"/>
    </row>
    <row r="1592" spans="9:15" hidden="1">
      <c r="I1592" s="20"/>
      <c r="O1592" s="19"/>
    </row>
    <row r="1593" spans="9:15" hidden="1">
      <c r="I1593" s="20"/>
      <c r="O1593" s="19"/>
    </row>
    <row r="1594" spans="9:15" hidden="1">
      <c r="I1594" s="20"/>
      <c r="O1594" s="19"/>
    </row>
    <row r="1595" spans="9:15" hidden="1">
      <c r="I1595" s="20"/>
      <c r="O1595" s="19"/>
    </row>
    <row r="1596" spans="9:15" hidden="1">
      <c r="I1596" s="20"/>
      <c r="O1596" s="19"/>
    </row>
    <row r="1597" spans="9:15" hidden="1">
      <c r="I1597" s="20"/>
      <c r="O1597" s="19"/>
    </row>
    <row r="1598" spans="9:15" hidden="1">
      <c r="I1598" s="20"/>
      <c r="O1598" s="19"/>
    </row>
    <row r="1599" spans="9:15" hidden="1">
      <c r="I1599" s="20"/>
      <c r="O1599" s="19"/>
    </row>
    <row r="1600" spans="9:15" hidden="1">
      <c r="I1600" s="20"/>
      <c r="O1600" s="19"/>
    </row>
    <row r="1601" spans="1:28" hidden="1">
      <c r="I1601" s="20"/>
      <c r="O1601" s="19"/>
    </row>
    <row r="1602" spans="1:28" hidden="1">
      <c r="I1602" s="20"/>
      <c r="O1602" s="19"/>
    </row>
    <row r="1603" spans="1:28" hidden="1">
      <c r="I1603" s="20"/>
      <c r="O1603" s="19"/>
    </row>
    <row r="1604" spans="1:28" hidden="1"/>
    <row r="1605" spans="1:28" hidden="1"/>
    <row r="1606" spans="1:28" hidden="1"/>
    <row r="1608" spans="1:28" ht="18.75">
      <c r="A1608" s="410" t="s">
        <v>434</v>
      </c>
      <c r="B1608" s="410"/>
      <c r="C1608" s="410"/>
      <c r="D1608" s="410"/>
      <c r="E1608" s="410"/>
      <c r="F1608" s="410"/>
      <c r="G1608" s="410"/>
      <c r="H1608" s="410"/>
      <c r="I1608" s="410"/>
      <c r="J1608" s="410"/>
      <c r="K1608" s="410"/>
      <c r="L1608" s="410"/>
      <c r="M1608" s="410"/>
      <c r="N1608" s="410"/>
      <c r="O1608" s="410"/>
      <c r="P1608" s="410"/>
      <c r="Q1608" s="410"/>
      <c r="V1608" s="136"/>
      <c r="W1608" s="136"/>
      <c r="X1608" s="38"/>
    </row>
    <row r="1609" spans="1:28">
      <c r="B1609" s="21">
        <f>COUNT(B1612:B1830)</f>
        <v>219</v>
      </c>
      <c r="C1609" s="21">
        <f t="shared" ref="C1609:I1609" si="20">COUNT(C1612:C1830)</f>
        <v>219</v>
      </c>
      <c r="D1609" s="21">
        <f t="shared" si="20"/>
        <v>219</v>
      </c>
      <c r="E1609" s="21">
        <f t="shared" si="20"/>
        <v>219</v>
      </c>
      <c r="F1609" s="21">
        <f t="shared" si="20"/>
        <v>219</v>
      </c>
      <c r="G1609" s="21">
        <f t="shared" si="20"/>
        <v>219</v>
      </c>
      <c r="H1609" s="21">
        <f t="shared" si="20"/>
        <v>219</v>
      </c>
      <c r="I1609" s="21">
        <f t="shared" si="20"/>
        <v>219</v>
      </c>
      <c r="L1609" s="21">
        <f>COUNT(L1612:L1830)</f>
        <v>219</v>
      </c>
      <c r="M1609" s="21">
        <f t="shared" ref="M1609:T1609" si="21">COUNT(M1612:M1830)</f>
        <v>219</v>
      </c>
      <c r="N1609" s="21">
        <f t="shared" si="21"/>
        <v>219</v>
      </c>
      <c r="O1609" s="21">
        <f t="shared" si="21"/>
        <v>219</v>
      </c>
      <c r="P1609" s="21">
        <f t="shared" si="21"/>
        <v>219</v>
      </c>
      <c r="Q1609" s="21">
        <f t="shared" si="21"/>
        <v>219</v>
      </c>
      <c r="R1609" s="21">
        <f t="shared" si="21"/>
        <v>219</v>
      </c>
      <c r="S1609" s="21">
        <f t="shared" si="21"/>
        <v>219</v>
      </c>
      <c r="T1609" s="21">
        <f t="shared" si="21"/>
        <v>219</v>
      </c>
      <c r="V1609" s="187"/>
      <c r="W1609" s="187"/>
      <c r="X1609" s="39"/>
      <c r="Z1609" s="187"/>
      <c r="AA1609" s="187"/>
      <c r="AB1609" s="40"/>
    </row>
    <row r="1610" spans="1:28" ht="15" customHeight="1">
      <c r="A1610" s="915" t="s">
        <v>417</v>
      </c>
      <c r="B1610" s="21">
        <f>COUNTA(B1612:B1830)</f>
        <v>219</v>
      </c>
      <c r="C1610" s="21">
        <f t="shared" ref="C1610:I1610" si="22">COUNTA(C1612:C1830)</f>
        <v>219</v>
      </c>
      <c r="D1610" s="21">
        <f t="shared" si="22"/>
        <v>219</v>
      </c>
      <c r="E1610" s="21">
        <f t="shared" si="22"/>
        <v>219</v>
      </c>
      <c r="F1610" s="21">
        <f t="shared" si="22"/>
        <v>219</v>
      </c>
      <c r="G1610" s="21">
        <f t="shared" si="22"/>
        <v>219</v>
      </c>
      <c r="H1610" s="21">
        <f t="shared" si="22"/>
        <v>219</v>
      </c>
      <c r="I1610" s="21">
        <f t="shared" si="22"/>
        <v>219</v>
      </c>
      <c r="J1610" s="905" t="s">
        <v>418</v>
      </c>
      <c r="K1610" s="906" t="s">
        <v>419</v>
      </c>
      <c r="L1610" s="21">
        <f>COUNTA(L1612:L1830)</f>
        <v>219</v>
      </c>
      <c r="M1610" s="21">
        <f t="shared" ref="M1610:T1610" si="23">COUNTA(M1612:M1830)</f>
        <v>219</v>
      </c>
      <c r="N1610" s="21">
        <f t="shared" si="23"/>
        <v>219</v>
      </c>
      <c r="O1610" s="21">
        <f t="shared" si="23"/>
        <v>219</v>
      </c>
      <c r="P1610" s="21">
        <f t="shared" si="23"/>
        <v>219</v>
      </c>
      <c r="Q1610" s="21">
        <f t="shared" si="23"/>
        <v>219</v>
      </c>
      <c r="R1610" s="21">
        <f t="shared" si="23"/>
        <v>219</v>
      </c>
      <c r="S1610" s="21">
        <f t="shared" si="23"/>
        <v>219</v>
      </c>
      <c r="T1610" s="21">
        <f t="shared" si="23"/>
        <v>219</v>
      </c>
      <c r="V1610" s="1">
        <f>heeling</f>
        <v>0</v>
      </c>
      <c r="W1610" s="382">
        <f>sound26</f>
        <v>10816</v>
      </c>
      <c r="X1610" s="186">
        <f>IF((W1610+W1613)&lt;0,W1610,W1610+W1613)</f>
        <v>10816</v>
      </c>
      <c r="Y1610" s="381">
        <f>IF(Y1612=Y1611,Y1611,Interp1(X1611:X1612,Y1611:Y1612,X1610))</f>
        <v>22.309000000000001</v>
      </c>
      <c r="AA1610" s="30"/>
    </row>
    <row r="1611" spans="1:28">
      <c r="A1611" s="915"/>
      <c r="B1611" s="36">
        <v>-1</v>
      </c>
      <c r="C1611" s="35">
        <v>0</v>
      </c>
      <c r="D1611" s="35">
        <v>0.5</v>
      </c>
      <c r="E1611" s="35">
        <v>1</v>
      </c>
      <c r="F1611" s="35">
        <v>1.5</v>
      </c>
      <c r="G1611" s="35">
        <v>2</v>
      </c>
      <c r="H1611" s="37">
        <v>3</v>
      </c>
      <c r="I1611" s="21">
        <v>4</v>
      </c>
      <c r="J1611" s="905"/>
      <c r="K1611" s="906"/>
      <c r="L1611" s="21">
        <v>-4</v>
      </c>
      <c r="M1611" s="35">
        <v>-3</v>
      </c>
      <c r="N1611" s="35">
        <v>-2</v>
      </c>
      <c r="O1611" s="35">
        <v>-1</v>
      </c>
      <c r="P1611" s="35">
        <v>0</v>
      </c>
      <c r="Q1611" s="35">
        <v>1</v>
      </c>
      <c r="R1611" s="35">
        <v>2</v>
      </c>
      <c r="S1611" s="35">
        <v>3</v>
      </c>
      <c r="T1611" s="35">
        <v>4</v>
      </c>
      <c r="V1611" s="1">
        <f>IF(tankSound6=soundingPipe6,tankSound6,FLOOR(W1610, inc))</f>
        <v>10800</v>
      </c>
      <c r="W1611" s="1">
        <f>Interp2(tank6Heel1,tank6Heel2,tank6Heel3,V1611,V1610)</f>
        <v>0</v>
      </c>
      <c r="X1611" s="1">
        <f>IF(X1610=soundingPipe6,Tank1!X1610,FLOOR(X1610,inc))</f>
        <v>10800</v>
      </c>
      <c r="Y1611" s="42">
        <f>IF(W1616=W1615,W1615,Interp1(V1615:V1616,W1615:W1616,V1614))</f>
        <v>22.736000000000001</v>
      </c>
      <c r="AA1611" s="30"/>
    </row>
    <row r="1612" spans="1:28">
      <c r="A1612" s="1">
        <v>750</v>
      </c>
      <c r="B1612" s="42">
        <v>238.49299999999999</v>
      </c>
      <c r="C1612" s="42">
        <v>238.49299999999999</v>
      </c>
      <c r="D1612" s="42">
        <v>238.49299999999999</v>
      </c>
      <c r="E1612" s="42">
        <v>238.49299999999999</v>
      </c>
      <c r="F1612" s="42">
        <v>238.49299999999999</v>
      </c>
      <c r="G1612" s="42">
        <v>238.49299999999999</v>
      </c>
      <c r="H1612" s="42">
        <v>238.49299999999999</v>
      </c>
      <c r="I1612" s="42">
        <v>238.49299999999999</v>
      </c>
      <c r="J1612" s="19">
        <v>10866</v>
      </c>
      <c r="K1612" s="1">
        <v>750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24"/>
      <c r="V1612" s="1">
        <f>IF(V1611=tankSound6,V1611,CEILING(W1610,inc))</f>
        <v>10850</v>
      </c>
      <c r="W1612" s="1">
        <f>Interp2(tank6Heel1,tank6Heel2,tank6Heel3,V1612,V1610)</f>
        <v>0</v>
      </c>
      <c r="X1612" s="1">
        <f>IF(X1611=X1610,X1611,CEILING(X1610,inc))</f>
        <v>10850</v>
      </c>
      <c r="Y1612" s="42">
        <f>IF(X1616=X1615,X1615,Interp1(V1615:V1616,X1615:X1616,V1614))</f>
        <v>21.401</v>
      </c>
      <c r="AA1612" s="30"/>
      <c r="AB1612" s="42"/>
    </row>
    <row r="1613" spans="1:28">
      <c r="A1613" s="1">
        <v>800</v>
      </c>
      <c r="B1613" s="42">
        <v>238.49299999999999</v>
      </c>
      <c r="C1613" s="42">
        <v>238.49299999999999</v>
      </c>
      <c r="D1613" s="42">
        <v>238.49299999999999</v>
      </c>
      <c r="E1613" s="42">
        <v>238.49299999999999</v>
      </c>
      <c r="F1613" s="42">
        <v>238.49299999999999</v>
      </c>
      <c r="G1613" s="42">
        <v>238.49299999999999</v>
      </c>
      <c r="H1613" s="42">
        <v>238.49299999999999</v>
      </c>
      <c r="I1613" s="42">
        <v>238.49299999999999</v>
      </c>
      <c r="J1613" s="19">
        <v>10816</v>
      </c>
      <c r="K1613" s="1">
        <v>800</v>
      </c>
      <c r="L1613" s="1">
        <v>107.462</v>
      </c>
      <c r="M1613" s="1">
        <v>4.6680000000000001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S1613" s="1">
        <v>0</v>
      </c>
      <c r="T1613" s="1">
        <v>0</v>
      </c>
      <c r="U1613" s="25"/>
      <c r="W1613" s="1">
        <f>IF(W1612=W1611,W1611,Interp1(V1611:V1612,W1611:W1612,W1610))</f>
        <v>0</v>
      </c>
      <c r="Y1613" s="42"/>
      <c r="AA1613" s="30"/>
      <c r="AB1613" s="42"/>
    </row>
    <row r="1614" spans="1:28">
      <c r="A1614" s="1">
        <v>850</v>
      </c>
      <c r="B1614" s="42">
        <v>238.452</v>
      </c>
      <c r="C1614" s="42">
        <v>238.459</v>
      </c>
      <c r="D1614" s="42">
        <v>238.46100000000001</v>
      </c>
      <c r="E1614" s="42">
        <v>238.46299999999999</v>
      </c>
      <c r="F1614" s="42">
        <v>238.46299999999999</v>
      </c>
      <c r="G1614" s="42">
        <v>238.46199999999999</v>
      </c>
      <c r="H1614" s="42">
        <v>238.459</v>
      </c>
      <c r="I1614" s="42">
        <v>238.45099999999999</v>
      </c>
      <c r="J1614" s="19">
        <v>10766</v>
      </c>
      <c r="K1614" s="1">
        <v>850</v>
      </c>
      <c r="L1614" s="1">
        <v>123.36</v>
      </c>
      <c r="M1614" s="1">
        <v>85.994</v>
      </c>
      <c r="N1614" s="1">
        <v>37.325000000000003</v>
      </c>
      <c r="O1614" s="1">
        <v>10.138999999999999</v>
      </c>
      <c r="P1614" s="1">
        <v>0</v>
      </c>
      <c r="Q1614" s="1">
        <v>-29.013999999999999</v>
      </c>
      <c r="R1614" s="1">
        <v>-42.975999999999999</v>
      </c>
      <c r="S1614" s="1">
        <v>-48.734999999999999</v>
      </c>
      <c r="T1614" s="1">
        <v>-49.825000000000003</v>
      </c>
      <c r="U1614" s="25"/>
      <c r="V1614" s="1">
        <f>trim</f>
        <v>0.36</v>
      </c>
      <c r="AA1614" s="30"/>
      <c r="AB1614" s="42"/>
    </row>
    <row r="1615" spans="1:28">
      <c r="A1615" s="1">
        <v>900</v>
      </c>
      <c r="B1615" s="42">
        <v>238.22800000000001</v>
      </c>
      <c r="C1615" s="42">
        <v>238.24199999999999</v>
      </c>
      <c r="D1615" s="42">
        <v>238.24799999999999</v>
      </c>
      <c r="E1615" s="42">
        <v>238.25299999999999</v>
      </c>
      <c r="F1615" s="42">
        <v>238.25700000000001</v>
      </c>
      <c r="G1615" s="42">
        <v>238.261</v>
      </c>
      <c r="H1615" s="42">
        <v>238.26499999999999</v>
      </c>
      <c r="I1615" s="42">
        <v>238.26599999999999</v>
      </c>
      <c r="J1615" s="19">
        <v>10716</v>
      </c>
      <c r="K1615" s="1">
        <v>900</v>
      </c>
      <c r="L1615" s="1">
        <v>124.827</v>
      </c>
      <c r="M1615" s="1">
        <v>93.183000000000007</v>
      </c>
      <c r="N1615" s="1">
        <v>60.145000000000003</v>
      </c>
      <c r="O1615" s="1">
        <v>21.405999999999999</v>
      </c>
      <c r="P1615" s="1">
        <v>0</v>
      </c>
      <c r="Q1615" s="1">
        <v>-21.53</v>
      </c>
      <c r="R1615" s="1">
        <v>-34.420999999999999</v>
      </c>
      <c r="S1615" s="1">
        <v>-42.689</v>
      </c>
      <c r="T1615" s="1">
        <v>-48.219000000000001</v>
      </c>
      <c r="U1615" s="25"/>
      <c r="V1615" s="1">
        <f>INDEX(tank6Trim2,0,MATCH(V1614,tank6Trim2,1))</f>
        <v>0</v>
      </c>
      <c r="W1615" s="1">
        <f>Interp2(tank6Trim1,tank6Trim2,tank6Trim3,X1611,V1615)</f>
        <v>22.614000000000001</v>
      </c>
      <c r="X1615" s="1">
        <f>Interp2(tank6Trim1,tank6Trim2,tank6Trim3,X1612,V1615)</f>
        <v>21.28</v>
      </c>
      <c r="AA1615" s="30"/>
    </row>
    <row r="1616" spans="1:28">
      <c r="A1616" s="1">
        <v>950</v>
      </c>
      <c r="B1616" s="42">
        <v>237.804</v>
      </c>
      <c r="C1616" s="42">
        <v>237.82599999999999</v>
      </c>
      <c r="D1616" s="42">
        <v>237.83600000000001</v>
      </c>
      <c r="E1616" s="42">
        <v>237.845</v>
      </c>
      <c r="F1616" s="42">
        <v>237.85400000000001</v>
      </c>
      <c r="G1616" s="42">
        <v>237.86099999999999</v>
      </c>
      <c r="H1616" s="42">
        <v>237.87299999999999</v>
      </c>
      <c r="I1616" s="42">
        <v>237.88200000000001</v>
      </c>
      <c r="J1616" s="19">
        <v>10666</v>
      </c>
      <c r="K1616" s="1">
        <v>950</v>
      </c>
      <c r="L1616" s="1">
        <v>124.828</v>
      </c>
      <c r="M1616" s="1">
        <v>93.558000000000007</v>
      </c>
      <c r="N1616" s="1">
        <v>62.341000000000001</v>
      </c>
      <c r="O1616" s="1">
        <v>30.065999999999999</v>
      </c>
      <c r="P1616" s="1">
        <v>0</v>
      </c>
      <c r="Q1616" s="1">
        <v>-25.460999999999999</v>
      </c>
      <c r="R1616" s="1">
        <v>-41.16</v>
      </c>
      <c r="S1616" s="1">
        <v>-53.183</v>
      </c>
      <c r="T1616" s="1">
        <v>-67.384</v>
      </c>
      <c r="U1616" s="25"/>
      <c r="V1616" s="1">
        <f>IF(V1615=V1614,V1614,INDEX(tank6Trim2,0,MATCH(V1614,tank6Trim2,1)+1))</f>
        <v>0.5</v>
      </c>
      <c r="W1616" s="1">
        <f>Interp2(tank6Trim1,tank6Trim2,tank6Trim3,X1611,V1616)</f>
        <v>22.783000000000001</v>
      </c>
      <c r="X1616" s="1">
        <f>Interp2(tank6Trim1,tank6Trim2,tank6Trim3,X1612,V1616)</f>
        <v>21.448</v>
      </c>
      <c r="AA1616" s="30"/>
      <c r="AB1616" s="42"/>
    </row>
    <row r="1617" spans="1:28">
      <c r="A1617" s="1">
        <v>1000</v>
      </c>
      <c r="B1617" s="42">
        <v>237.203</v>
      </c>
      <c r="C1617" s="42">
        <v>237.22800000000001</v>
      </c>
      <c r="D1617" s="42">
        <v>237.24100000000001</v>
      </c>
      <c r="E1617" s="42">
        <v>237.25399999999999</v>
      </c>
      <c r="F1617" s="42">
        <v>237.26599999999999</v>
      </c>
      <c r="G1617" s="42">
        <v>237.279</v>
      </c>
      <c r="H1617" s="42">
        <v>237.303</v>
      </c>
      <c r="I1617" s="42">
        <v>237.32499999999999</v>
      </c>
      <c r="J1617" s="19">
        <v>10616</v>
      </c>
      <c r="K1617" s="1">
        <v>1000</v>
      </c>
      <c r="L1617" s="1">
        <v>124.82899999999999</v>
      </c>
      <c r="M1617" s="1">
        <v>93.561000000000007</v>
      </c>
      <c r="N1617" s="1">
        <v>62.341999999999999</v>
      </c>
      <c r="O1617" s="1">
        <v>31.166</v>
      </c>
      <c r="P1617" s="1">
        <v>0</v>
      </c>
      <c r="Q1617" s="1">
        <v>-29.978000000000002</v>
      </c>
      <c r="R1617" s="1">
        <v>-49.506</v>
      </c>
      <c r="S1617" s="1">
        <v>-68.326999999999998</v>
      </c>
      <c r="T1617" s="1">
        <v>-81.977999999999994</v>
      </c>
      <c r="U1617" s="25"/>
      <c r="W1617" s="43"/>
      <c r="X1617" s="42"/>
      <c r="AA1617" s="30"/>
      <c r="AB1617" s="42"/>
    </row>
    <row r="1618" spans="1:28">
      <c r="A1618" s="1">
        <v>1050</v>
      </c>
      <c r="B1618" s="42">
        <v>236.57</v>
      </c>
      <c r="C1618" s="42">
        <v>236.595</v>
      </c>
      <c r="D1618" s="42">
        <v>236.608</v>
      </c>
      <c r="E1618" s="42">
        <v>236.62</v>
      </c>
      <c r="F1618" s="42">
        <v>236.63300000000001</v>
      </c>
      <c r="G1618" s="42">
        <v>236.64599999999999</v>
      </c>
      <c r="H1618" s="42">
        <v>236.67099999999999</v>
      </c>
      <c r="I1618" s="42">
        <v>236.696</v>
      </c>
      <c r="J1618" s="19">
        <v>10566</v>
      </c>
      <c r="K1618" s="1">
        <v>1050</v>
      </c>
      <c r="L1618" s="1">
        <v>124.82899999999999</v>
      </c>
      <c r="M1618" s="1">
        <v>93.561999999999998</v>
      </c>
      <c r="N1618" s="1">
        <v>62.345999999999997</v>
      </c>
      <c r="O1618" s="1">
        <v>31.167999999999999</v>
      </c>
      <c r="P1618" s="1">
        <v>0</v>
      </c>
      <c r="Q1618" s="1">
        <v>-31.149000000000001</v>
      </c>
      <c r="R1618" s="1">
        <v>-59.921999999999997</v>
      </c>
      <c r="S1618" s="1">
        <v>-80.725999999999999</v>
      </c>
      <c r="T1618" s="1">
        <v>-95.745999999999995</v>
      </c>
      <c r="U1618" s="25"/>
    </row>
    <row r="1619" spans="1:28">
      <c r="A1619" s="1">
        <v>1100</v>
      </c>
      <c r="B1619" s="42">
        <v>235.93700000000001</v>
      </c>
      <c r="C1619" s="42">
        <v>235.96199999999999</v>
      </c>
      <c r="D1619" s="42">
        <v>235.97499999999999</v>
      </c>
      <c r="E1619" s="42">
        <v>235.98699999999999</v>
      </c>
      <c r="F1619" s="42">
        <v>236</v>
      </c>
      <c r="G1619" s="42">
        <v>236.01300000000001</v>
      </c>
      <c r="H1619" s="42">
        <v>236.03800000000001</v>
      </c>
      <c r="I1619" s="42">
        <v>236.06299999999999</v>
      </c>
      <c r="J1619" s="19">
        <v>10516</v>
      </c>
      <c r="K1619" s="1">
        <v>1100</v>
      </c>
      <c r="L1619" s="1">
        <v>124.825</v>
      </c>
      <c r="M1619" s="1">
        <v>93.558000000000007</v>
      </c>
      <c r="N1619" s="1">
        <v>62.34</v>
      </c>
      <c r="O1619" s="1">
        <v>31.164999999999999</v>
      </c>
      <c r="P1619" s="1">
        <v>0</v>
      </c>
      <c r="Q1619" s="1">
        <v>-31.149000000000001</v>
      </c>
      <c r="R1619" s="1">
        <v>-62.326000000000001</v>
      </c>
      <c r="S1619" s="1">
        <v>-90.429000000000002</v>
      </c>
      <c r="T1619" s="1">
        <v>-111.623</v>
      </c>
      <c r="U1619" s="25"/>
      <c r="V1619" s="1">
        <f>Bunkering!heeling1</f>
        <v>0</v>
      </c>
      <c r="W1619" s="382">
        <f>sound36</f>
        <v>10230</v>
      </c>
      <c r="X1619" s="186">
        <f>IF((W1619+W1622)&lt;0,W1619,W1619+W1622)</f>
        <v>10230</v>
      </c>
      <c r="Y1619" s="381">
        <f>IF(Y1621=Y1620,Y1620,Interp1(X1620:X1621,Y1620:Y1621,X1619))</f>
        <v>38.232999999999997</v>
      </c>
    </row>
    <row r="1620" spans="1:28">
      <c r="A1620" s="1">
        <v>1150</v>
      </c>
      <c r="B1620" s="42">
        <v>235.304</v>
      </c>
      <c r="C1620" s="42">
        <v>235.32900000000001</v>
      </c>
      <c r="D1620" s="42">
        <v>235.34200000000001</v>
      </c>
      <c r="E1620" s="42">
        <v>235.35400000000001</v>
      </c>
      <c r="F1620" s="42">
        <v>235.36699999999999</v>
      </c>
      <c r="G1620" s="42">
        <v>235.38</v>
      </c>
      <c r="H1620" s="42">
        <v>235.405</v>
      </c>
      <c r="I1620" s="42">
        <v>235.43</v>
      </c>
      <c r="J1620" s="19">
        <v>10466</v>
      </c>
      <c r="K1620" s="1">
        <v>1150</v>
      </c>
      <c r="L1620" s="1">
        <v>124.82599999999999</v>
      </c>
      <c r="M1620" s="1">
        <v>93.558000000000007</v>
      </c>
      <c r="N1620" s="1">
        <v>62.343000000000004</v>
      </c>
      <c r="O1620" s="1">
        <v>31.164999999999999</v>
      </c>
      <c r="P1620" s="1">
        <v>0</v>
      </c>
      <c r="Q1620" s="1">
        <v>-31.146000000000001</v>
      </c>
      <c r="R1620" s="1">
        <v>-62.320999999999998</v>
      </c>
      <c r="S1620" s="1">
        <v>-93.537000000000006</v>
      </c>
      <c r="T1620" s="1">
        <v>-121.508</v>
      </c>
      <c r="U1620" s="25"/>
      <c r="V1620" s="1">
        <f>IF(tankSound26=soundingPipe6,tankSound26,FLOOR(W1619,inc))</f>
        <v>10200</v>
      </c>
      <c r="W1620" s="1">
        <f>Interp2(tank6Heel1,tank6Heel2,tank6Heel3,V1620,V1619)</f>
        <v>0</v>
      </c>
      <c r="X1620" s="1">
        <f>IF(X1619=soundingPipe6,Tank1!X1619,FLOOR(X1619,inc))</f>
        <v>10200</v>
      </c>
      <c r="Y1620" s="42">
        <f>IF(W1625=W1624,W1624,Interp1(V1624:V1625,W1624:W1625,V1623))</f>
        <v>39.061999999999998</v>
      </c>
      <c r="AB1620" s="42"/>
    </row>
    <row r="1621" spans="1:28">
      <c r="A1621" s="1">
        <v>1200</v>
      </c>
      <c r="B1621" s="42">
        <v>234.67099999999999</v>
      </c>
      <c r="C1621" s="42">
        <v>234.696</v>
      </c>
      <c r="D1621" s="42">
        <v>234.708</v>
      </c>
      <c r="E1621" s="42">
        <v>234.721</v>
      </c>
      <c r="F1621" s="42">
        <v>234.73400000000001</v>
      </c>
      <c r="G1621" s="42">
        <v>234.74600000000001</v>
      </c>
      <c r="H1621" s="42">
        <v>234.77199999999999</v>
      </c>
      <c r="I1621" s="42">
        <v>234.797</v>
      </c>
      <c r="J1621" s="19">
        <v>10416</v>
      </c>
      <c r="K1621" s="1">
        <v>1200</v>
      </c>
      <c r="L1621" s="1">
        <v>124.828</v>
      </c>
      <c r="M1621" s="1">
        <v>93.558000000000007</v>
      </c>
      <c r="N1621" s="1">
        <v>62.345999999999997</v>
      </c>
      <c r="O1621" s="1">
        <v>31.167999999999999</v>
      </c>
      <c r="P1621" s="1">
        <v>0</v>
      </c>
      <c r="Q1621" s="1">
        <v>-31.146999999999998</v>
      </c>
      <c r="R1621" s="1">
        <v>-62.32</v>
      </c>
      <c r="S1621" s="1">
        <v>-93.534999999999997</v>
      </c>
      <c r="T1621" s="1">
        <v>-124.809</v>
      </c>
      <c r="U1621" s="25"/>
      <c r="V1621" s="1">
        <f>IF(V1620=tankSound26,V1620,CEILING(W1619,inc))</f>
        <v>10250</v>
      </c>
      <c r="W1621" s="1">
        <f>Interp2(tank6Heel1,tank6Heel2,tank6Heel3,V1621,V1619)</f>
        <v>0</v>
      </c>
      <c r="X1621" s="1">
        <f>IF(X1620=X1619,X1620,CEILING(X1619,inc))</f>
        <v>10250</v>
      </c>
      <c r="Y1621" s="42">
        <f>IF(X1625=X1624,X1624,Interp1(V1624:V1625,X1624:X1625,V1623))</f>
        <v>37.68</v>
      </c>
    </row>
    <row r="1622" spans="1:28">
      <c r="A1622" s="1">
        <v>1250</v>
      </c>
      <c r="B1622" s="42">
        <v>234.03700000000001</v>
      </c>
      <c r="C1622" s="42">
        <v>234.06299999999999</v>
      </c>
      <c r="D1622" s="42">
        <v>234.07499999999999</v>
      </c>
      <c r="E1622" s="42">
        <v>234.08799999999999</v>
      </c>
      <c r="F1622" s="42">
        <v>234.101</v>
      </c>
      <c r="G1622" s="42">
        <v>234.113</v>
      </c>
      <c r="H1622" s="42">
        <v>234.13900000000001</v>
      </c>
      <c r="I1622" s="42">
        <v>234.16399999999999</v>
      </c>
      <c r="J1622" s="19">
        <v>10366</v>
      </c>
      <c r="K1622" s="1">
        <v>1250</v>
      </c>
      <c r="L1622" s="1">
        <v>124.83</v>
      </c>
      <c r="M1622" s="1">
        <v>93.56</v>
      </c>
      <c r="N1622" s="1">
        <v>62.343000000000004</v>
      </c>
      <c r="O1622" s="1">
        <v>31.164999999999999</v>
      </c>
      <c r="P1622" s="1">
        <v>0</v>
      </c>
      <c r="Q1622" s="1">
        <v>-31.149000000000001</v>
      </c>
      <c r="R1622" s="1">
        <v>-62.323</v>
      </c>
      <c r="S1622" s="1">
        <v>-93.536000000000001</v>
      </c>
      <c r="T1622" s="1">
        <v>-124.80800000000001</v>
      </c>
      <c r="U1622" s="26"/>
      <c r="W1622" s="1">
        <f>IF(W1621=W1620,W1620,Interp1(V1620:V1621,W1620:W1621,W1619))</f>
        <v>0</v>
      </c>
      <c r="Y1622" s="42"/>
    </row>
    <row r="1623" spans="1:28">
      <c r="A1623" s="1">
        <v>1300</v>
      </c>
      <c r="B1623" s="42">
        <v>233.404</v>
      </c>
      <c r="C1623" s="42">
        <v>233.43</v>
      </c>
      <c r="D1623" s="42">
        <v>233.44200000000001</v>
      </c>
      <c r="E1623" s="42">
        <v>233.45500000000001</v>
      </c>
      <c r="F1623" s="42">
        <v>233.46799999999999</v>
      </c>
      <c r="G1623" s="42">
        <v>233.48</v>
      </c>
      <c r="H1623" s="42">
        <v>233.505</v>
      </c>
      <c r="I1623" s="42">
        <v>233.53100000000001</v>
      </c>
      <c r="J1623" s="19">
        <v>10316</v>
      </c>
      <c r="K1623" s="1">
        <v>1300</v>
      </c>
      <c r="L1623" s="1">
        <v>124.83</v>
      </c>
      <c r="M1623" s="1">
        <v>93.561000000000007</v>
      </c>
      <c r="N1623" s="1">
        <v>62.347000000000001</v>
      </c>
      <c r="O1623" s="1">
        <v>31.167999999999999</v>
      </c>
      <c r="P1623" s="1">
        <v>0</v>
      </c>
      <c r="Q1623" s="1">
        <v>-31.146000000000001</v>
      </c>
      <c r="R1623" s="1">
        <v>-62.320999999999998</v>
      </c>
      <c r="S1623" s="1">
        <v>-93.537000000000006</v>
      </c>
      <c r="T1623" s="1">
        <v>-124.809</v>
      </c>
      <c r="U1623" s="25"/>
      <c r="V1623" s="1">
        <f>Bunkering!trim1</f>
        <v>0.36</v>
      </c>
    </row>
    <row r="1624" spans="1:28">
      <c r="A1624" s="1">
        <v>1350</v>
      </c>
      <c r="B1624" s="42">
        <v>232.77099999999999</v>
      </c>
      <c r="C1624" s="42">
        <v>232.797</v>
      </c>
      <c r="D1624" s="42">
        <v>232.809</v>
      </c>
      <c r="E1624" s="42">
        <v>232.822</v>
      </c>
      <c r="F1624" s="42">
        <v>232.834</v>
      </c>
      <c r="G1624" s="42">
        <v>232.84700000000001</v>
      </c>
      <c r="H1624" s="42">
        <v>232.87200000000001</v>
      </c>
      <c r="I1624" s="42">
        <v>232.898</v>
      </c>
      <c r="J1624" s="19">
        <v>10266</v>
      </c>
      <c r="K1624" s="1">
        <v>1350</v>
      </c>
      <c r="L1624" s="1">
        <v>124.82899999999999</v>
      </c>
      <c r="M1624" s="1">
        <v>93.558999999999997</v>
      </c>
      <c r="N1624" s="1">
        <v>62.344999999999999</v>
      </c>
      <c r="O1624" s="1">
        <v>31.167000000000002</v>
      </c>
      <c r="P1624" s="1">
        <v>0</v>
      </c>
      <c r="Q1624" s="1">
        <v>-31.148</v>
      </c>
      <c r="R1624" s="1">
        <v>-62.323</v>
      </c>
      <c r="S1624" s="1">
        <v>-93.536000000000001</v>
      </c>
      <c r="T1624" s="1">
        <v>-124.81100000000001</v>
      </c>
      <c r="U1624" s="25"/>
      <c r="V1624" s="1">
        <f>INDEX(tank6Trim2,0,MATCH(V1623,tank6Trim2,1))</f>
        <v>0</v>
      </c>
      <c r="W1624" s="1">
        <f>Interp2(tank6Trim1,tank6Trim2,tank6Trim3,X1620,V1624)</f>
        <v>38.936</v>
      </c>
      <c r="X1624" s="1">
        <f>Interp2(tank6Trim1,tank6Trim2,tank6Trim3,X1621,V1624)</f>
        <v>37.554000000000002</v>
      </c>
      <c r="Z1624" s="187"/>
      <c r="AA1624" s="187"/>
      <c r="AB1624" s="40"/>
    </row>
    <row r="1625" spans="1:28">
      <c r="A1625" s="1">
        <v>1400</v>
      </c>
      <c r="B1625" s="42">
        <v>232.13800000000001</v>
      </c>
      <c r="C1625" s="42">
        <v>232.16300000000001</v>
      </c>
      <c r="D1625" s="42">
        <v>232.17599999999999</v>
      </c>
      <c r="E1625" s="42">
        <v>232.18899999999999</v>
      </c>
      <c r="F1625" s="42">
        <v>232.20099999999999</v>
      </c>
      <c r="G1625" s="42">
        <v>232.214</v>
      </c>
      <c r="H1625" s="42">
        <v>232.239</v>
      </c>
      <c r="I1625" s="42">
        <v>232.26400000000001</v>
      </c>
      <c r="J1625" s="19">
        <v>10216</v>
      </c>
      <c r="K1625" s="1">
        <v>1400</v>
      </c>
      <c r="L1625" s="1">
        <v>124.828</v>
      </c>
      <c r="M1625" s="1">
        <v>93.558999999999997</v>
      </c>
      <c r="N1625" s="1">
        <v>62.344999999999999</v>
      </c>
      <c r="O1625" s="1">
        <v>31.167000000000002</v>
      </c>
      <c r="P1625" s="1">
        <v>0</v>
      </c>
      <c r="Q1625" s="1">
        <v>-31.149000000000001</v>
      </c>
      <c r="R1625" s="1">
        <v>-62.323999999999998</v>
      </c>
      <c r="S1625" s="1">
        <v>-93.539000000000001</v>
      </c>
      <c r="T1625" s="1">
        <v>-124.81</v>
      </c>
      <c r="U1625" s="25"/>
      <c r="V1625" s="1">
        <f>IF(V1624=V1623,V1623,INDEX(tank6Trim2,0,MATCH(V1623,tank6Trim2,1)+1))</f>
        <v>0.5</v>
      </c>
      <c r="W1625" s="1">
        <f>Interp2(tank6Trim1,tank6Trim2,tank6Trim3,X1620,V1625)</f>
        <v>39.110999999999997</v>
      </c>
      <c r="X1625" s="1">
        <f>Interp2(tank6Trim1,tank6Trim2,tank6Trim3,X1621,V1625)</f>
        <v>37.728999999999999</v>
      </c>
      <c r="AA1625" s="30"/>
    </row>
    <row r="1626" spans="1:28">
      <c r="A1626" s="1">
        <v>1450</v>
      </c>
      <c r="B1626" s="42">
        <v>231.505</v>
      </c>
      <c r="C1626" s="42">
        <v>231.53</v>
      </c>
      <c r="D1626" s="42">
        <v>231.54300000000001</v>
      </c>
      <c r="E1626" s="42">
        <v>231.55600000000001</v>
      </c>
      <c r="F1626" s="42">
        <v>231.56800000000001</v>
      </c>
      <c r="G1626" s="42">
        <v>231.58099999999999</v>
      </c>
      <c r="H1626" s="42">
        <v>231.60599999999999</v>
      </c>
      <c r="I1626" s="42">
        <v>231.631</v>
      </c>
      <c r="J1626" s="19">
        <v>10166</v>
      </c>
      <c r="K1626" s="1">
        <v>1450</v>
      </c>
      <c r="L1626" s="1">
        <v>124.82599999999999</v>
      </c>
      <c r="M1626" s="1">
        <v>93.561000000000007</v>
      </c>
      <c r="N1626" s="1">
        <v>62.341999999999999</v>
      </c>
      <c r="O1626" s="1">
        <v>31.166</v>
      </c>
      <c r="P1626" s="1">
        <v>0</v>
      </c>
      <c r="Q1626" s="1">
        <v>-31.148</v>
      </c>
      <c r="R1626" s="1">
        <v>-62.323</v>
      </c>
      <c r="S1626" s="1">
        <v>-93.536000000000001</v>
      </c>
      <c r="T1626" s="1">
        <v>-124.812</v>
      </c>
      <c r="U1626" s="25"/>
      <c r="W1626" s="30"/>
      <c r="AA1626" s="30"/>
    </row>
    <row r="1627" spans="1:28">
      <c r="A1627" s="1">
        <v>1500</v>
      </c>
      <c r="B1627" s="42">
        <v>230.87200000000001</v>
      </c>
      <c r="C1627" s="42">
        <v>230.89699999999999</v>
      </c>
      <c r="D1627" s="42">
        <v>230.91</v>
      </c>
      <c r="E1627" s="42">
        <v>230.922</v>
      </c>
      <c r="F1627" s="42">
        <v>230.935</v>
      </c>
      <c r="G1627" s="42">
        <v>230.94800000000001</v>
      </c>
      <c r="H1627" s="42">
        <v>230.97300000000001</v>
      </c>
      <c r="I1627" s="42">
        <v>230.99799999999999</v>
      </c>
      <c r="J1627" s="19">
        <v>10116</v>
      </c>
      <c r="K1627" s="1">
        <v>1500</v>
      </c>
      <c r="L1627" s="1">
        <v>124.827</v>
      </c>
      <c r="M1627" s="1">
        <v>93.558999999999997</v>
      </c>
      <c r="N1627" s="1">
        <v>62.343000000000004</v>
      </c>
      <c r="O1627" s="1">
        <v>31.166</v>
      </c>
      <c r="P1627" s="1">
        <v>0</v>
      </c>
      <c r="Q1627" s="1">
        <v>-31.149000000000001</v>
      </c>
      <c r="R1627" s="1">
        <v>-62.323999999999998</v>
      </c>
      <c r="S1627" s="1">
        <v>-93.534999999999997</v>
      </c>
      <c r="T1627" s="1">
        <v>-124.809</v>
      </c>
      <c r="U1627" s="24"/>
      <c r="W1627" s="30"/>
      <c r="X1627" s="42"/>
      <c r="AA1627" s="30"/>
      <c r="AB1627" s="42"/>
    </row>
    <row r="1628" spans="1:28">
      <c r="A1628" s="1">
        <v>1550</v>
      </c>
      <c r="B1628" s="42">
        <v>230.239</v>
      </c>
      <c r="C1628" s="42">
        <v>230.26400000000001</v>
      </c>
      <c r="D1628" s="42">
        <v>230.27699999999999</v>
      </c>
      <c r="E1628" s="42">
        <v>230.28899999999999</v>
      </c>
      <c r="F1628" s="42">
        <v>230.30199999999999</v>
      </c>
      <c r="G1628" s="42">
        <v>230.315</v>
      </c>
      <c r="H1628" s="42">
        <v>230.34</v>
      </c>
      <c r="I1628" s="42">
        <v>230.36500000000001</v>
      </c>
      <c r="J1628" s="19">
        <v>10066</v>
      </c>
      <c r="K1628" s="1">
        <v>1550</v>
      </c>
      <c r="L1628" s="1">
        <v>124.82899999999999</v>
      </c>
      <c r="M1628" s="1">
        <v>93.561000000000007</v>
      </c>
      <c r="N1628" s="1">
        <v>62.343000000000004</v>
      </c>
      <c r="O1628" s="1">
        <v>31.164999999999999</v>
      </c>
      <c r="P1628" s="1">
        <v>0</v>
      </c>
      <c r="Q1628" s="1">
        <v>-31.148</v>
      </c>
      <c r="R1628" s="1">
        <v>-62.323</v>
      </c>
      <c r="S1628" s="1">
        <v>-93.536000000000001</v>
      </c>
      <c r="T1628" s="1">
        <v>-124.807</v>
      </c>
      <c r="U1628" s="24"/>
      <c r="V1628" s="1">
        <f>bunkerPlanTrim</f>
        <v>-0.15</v>
      </c>
      <c r="W1628" s="383">
        <v>1</v>
      </c>
      <c r="X1628" s="384" t="str">
        <f>ADDRESS(X1630,10,1,1)</f>
        <v>$J$1830</v>
      </c>
      <c r="Y1628" s="1">
        <f>1063+X1630</f>
        <v>2893</v>
      </c>
      <c r="AA1628" s="30"/>
      <c r="AB1628" s="42"/>
    </row>
    <row r="1629" spans="1:28">
      <c r="A1629" s="1">
        <v>1600</v>
      </c>
      <c r="B1629" s="42">
        <v>229.60599999999999</v>
      </c>
      <c r="C1629" s="42">
        <v>229.631</v>
      </c>
      <c r="D1629" s="42">
        <v>229.64400000000001</v>
      </c>
      <c r="E1629" s="42">
        <v>229.65600000000001</v>
      </c>
      <c r="F1629" s="42">
        <v>229.66900000000001</v>
      </c>
      <c r="G1629" s="42">
        <v>229.68199999999999</v>
      </c>
      <c r="H1629" s="42">
        <v>229.70699999999999</v>
      </c>
      <c r="I1629" s="42">
        <v>229.732</v>
      </c>
      <c r="J1629" s="19">
        <v>10016</v>
      </c>
      <c r="K1629" s="1">
        <v>1600</v>
      </c>
      <c r="L1629" s="1">
        <v>124.82899999999999</v>
      </c>
      <c r="M1629" s="1">
        <v>93.558999999999997</v>
      </c>
      <c r="N1629" s="1">
        <v>62.344000000000001</v>
      </c>
      <c r="O1629" s="1">
        <v>31.166</v>
      </c>
      <c r="P1629" s="1">
        <v>0</v>
      </c>
      <c r="Q1629" s="1">
        <v>-31.146999999999998</v>
      </c>
      <c r="R1629" s="1">
        <v>-62.323999999999998</v>
      </c>
      <c r="S1629" s="1">
        <v>-93.536000000000001</v>
      </c>
      <c r="T1629" s="1">
        <v>-124.81</v>
      </c>
      <c r="U1629" s="24"/>
      <c r="V1629" s="188">
        <f>INDEX(tank6Trim2,0,MATCH(V1628,tank6Trim2,1))</f>
        <v>-1</v>
      </c>
      <c r="W1629" s="188">
        <f>MATCH(V1629,tank6Trim2,0)+1</f>
        <v>2</v>
      </c>
      <c r="X1629" s="188">
        <f>MATCH(targetTank6,IF(W1629=2,B1612:B1830,IF(W1629=3,C1612:C1830,IF(W1629=4,D1612:D1830,IF(W1629=5,E1612:E1830,IF(W1629=6,F1612:F1830,IF(W1629=7,G1612:G1830,IF(W1629=8,H1612:H1830,IF(W1629=9,I1612:I1830)))))))),-1)</f>
        <v>219</v>
      </c>
      <c r="AA1629" s="30"/>
      <c r="AB1629" s="42"/>
    </row>
    <row r="1630" spans="1:28">
      <c r="A1630" s="1">
        <v>1650</v>
      </c>
      <c r="B1630" s="42">
        <v>228.97300000000001</v>
      </c>
      <c r="C1630" s="42">
        <v>228.99799999999999</v>
      </c>
      <c r="D1630" s="42">
        <v>229.01</v>
      </c>
      <c r="E1630" s="42">
        <v>229.023</v>
      </c>
      <c r="F1630" s="42">
        <v>229.036</v>
      </c>
      <c r="G1630" s="42">
        <v>229.048</v>
      </c>
      <c r="H1630" s="42">
        <v>229.07400000000001</v>
      </c>
      <c r="I1630" s="42">
        <v>229.09899999999999</v>
      </c>
      <c r="J1630" s="19">
        <v>9966</v>
      </c>
      <c r="K1630" s="1">
        <v>1650</v>
      </c>
      <c r="L1630" s="1">
        <v>124.82899999999999</v>
      </c>
      <c r="M1630" s="1">
        <v>93.56</v>
      </c>
      <c r="N1630" s="1">
        <v>62.343000000000004</v>
      </c>
      <c r="O1630" s="1">
        <v>31.164999999999999</v>
      </c>
      <c r="P1630" s="1">
        <v>0</v>
      </c>
      <c r="Q1630" s="1">
        <v>-31.148</v>
      </c>
      <c r="R1630" s="1">
        <v>-62.325000000000003</v>
      </c>
      <c r="S1630" s="1">
        <v>-93.536000000000001</v>
      </c>
      <c r="T1630" s="1">
        <v>-124.809</v>
      </c>
      <c r="U1630" s="24"/>
      <c r="V1630" s="386">
        <v>608</v>
      </c>
      <c r="X1630" s="188">
        <f>X1629+1611</f>
        <v>1830</v>
      </c>
      <c r="AA1630" s="30"/>
    </row>
    <row r="1631" spans="1:28">
      <c r="A1631" s="1">
        <v>1700</v>
      </c>
      <c r="B1631" s="42">
        <v>228.339</v>
      </c>
      <c r="C1631" s="42">
        <v>228.36500000000001</v>
      </c>
      <c r="D1631" s="42">
        <v>228.37700000000001</v>
      </c>
      <c r="E1631" s="42">
        <v>228.39</v>
      </c>
      <c r="F1631" s="42">
        <v>228.40299999999999</v>
      </c>
      <c r="G1631" s="42">
        <v>228.41499999999999</v>
      </c>
      <c r="H1631" s="42">
        <v>228.441</v>
      </c>
      <c r="I1631" s="42">
        <v>228.46600000000001</v>
      </c>
      <c r="J1631" s="19">
        <v>9916</v>
      </c>
      <c r="K1631" s="1">
        <v>1700</v>
      </c>
      <c r="L1631" s="1">
        <v>124.833</v>
      </c>
      <c r="M1631" s="1">
        <v>93.561999999999998</v>
      </c>
      <c r="N1631" s="1">
        <v>62.345999999999997</v>
      </c>
      <c r="O1631" s="1">
        <v>31.167000000000002</v>
      </c>
      <c r="P1631" s="1">
        <v>0</v>
      </c>
      <c r="Q1631" s="1">
        <v>-31.148</v>
      </c>
      <c r="R1631" s="1">
        <v>-62.322000000000003</v>
      </c>
      <c r="S1631" s="1">
        <v>-93.537000000000006</v>
      </c>
      <c r="T1631" s="1">
        <v>-124.812</v>
      </c>
      <c r="U1631" s="25"/>
      <c r="V1631" s="188">
        <f>FLOOR(V1630,inc)</f>
        <v>600</v>
      </c>
      <c r="W1631" s="384">
        <f>Interp2(tank6Trim1,tank6Trim2,tank6Trim3,V1631,V1629)</f>
        <v>238.49299999999999</v>
      </c>
      <c r="X1631" s="188"/>
      <c r="AA1631" s="30"/>
      <c r="AB1631" s="42"/>
    </row>
    <row r="1632" spans="1:28">
      <c r="A1632" s="1">
        <v>1750</v>
      </c>
      <c r="B1632" s="42">
        <v>227.70599999999999</v>
      </c>
      <c r="C1632" s="42">
        <v>227.732</v>
      </c>
      <c r="D1632" s="42">
        <v>227.744</v>
      </c>
      <c r="E1632" s="42">
        <v>227.75700000000001</v>
      </c>
      <c r="F1632" s="42">
        <v>227.77</v>
      </c>
      <c r="G1632" s="42">
        <v>227.78200000000001</v>
      </c>
      <c r="H1632" s="42">
        <v>227.80699999999999</v>
      </c>
      <c r="I1632" s="42">
        <v>227.833</v>
      </c>
      <c r="J1632" s="19">
        <v>9866</v>
      </c>
      <c r="K1632" s="1">
        <v>1750</v>
      </c>
      <c r="L1632" s="1">
        <v>124.82899999999999</v>
      </c>
      <c r="M1632" s="1">
        <v>93.56</v>
      </c>
      <c r="N1632" s="1">
        <v>62.345999999999997</v>
      </c>
      <c r="O1632" s="1">
        <v>31.169</v>
      </c>
      <c r="P1632" s="1">
        <v>0</v>
      </c>
      <c r="Q1632" s="1">
        <v>-31.149000000000001</v>
      </c>
      <c r="R1632" s="1">
        <v>-62.323</v>
      </c>
      <c r="S1632" s="1">
        <v>-93.536000000000001</v>
      </c>
      <c r="T1632" s="1">
        <v>-124.81100000000001</v>
      </c>
      <c r="U1632" s="27"/>
      <c r="W1632" s="43"/>
      <c r="X1632" s="42"/>
      <c r="AA1632" s="30"/>
      <c r="AB1632" s="42"/>
    </row>
    <row r="1633" spans="1:28">
      <c r="A1633" s="1">
        <v>1800</v>
      </c>
      <c r="B1633" s="42">
        <v>227.07300000000001</v>
      </c>
      <c r="C1633" s="42">
        <v>227.09899999999999</v>
      </c>
      <c r="D1633" s="42">
        <v>227.11099999999999</v>
      </c>
      <c r="E1633" s="42">
        <v>227.124</v>
      </c>
      <c r="F1633" s="42">
        <v>227.136</v>
      </c>
      <c r="G1633" s="42">
        <v>227.149</v>
      </c>
      <c r="H1633" s="42">
        <v>227.17400000000001</v>
      </c>
      <c r="I1633" s="42">
        <v>227.2</v>
      </c>
      <c r="J1633" s="19">
        <v>9816</v>
      </c>
      <c r="K1633" s="1">
        <v>1800</v>
      </c>
      <c r="L1633" s="1">
        <v>120.57299999999999</v>
      </c>
      <c r="M1633" s="1">
        <v>93.558999999999997</v>
      </c>
      <c r="N1633" s="1">
        <v>62.343000000000004</v>
      </c>
      <c r="O1633" s="1">
        <v>31.164999999999999</v>
      </c>
      <c r="P1633" s="1">
        <v>0</v>
      </c>
      <c r="Q1633" s="1">
        <v>-31.149000000000001</v>
      </c>
      <c r="R1633" s="1">
        <v>-62.323999999999998</v>
      </c>
      <c r="S1633" s="1">
        <v>-93.54</v>
      </c>
      <c r="T1633" s="1">
        <v>-124.81399999999999</v>
      </c>
      <c r="U1633" s="25"/>
    </row>
    <row r="1634" spans="1:28">
      <c r="A1634" s="1">
        <v>1850</v>
      </c>
      <c r="B1634" s="42">
        <v>226.44</v>
      </c>
      <c r="C1634" s="42">
        <v>226.465</v>
      </c>
      <c r="D1634" s="42">
        <v>226.47800000000001</v>
      </c>
      <c r="E1634" s="42">
        <v>226.49100000000001</v>
      </c>
      <c r="F1634" s="42">
        <v>226.50299999999999</v>
      </c>
      <c r="G1634" s="42">
        <v>226.51599999999999</v>
      </c>
      <c r="H1634" s="42">
        <v>226.541</v>
      </c>
      <c r="I1634" s="42">
        <v>226.566</v>
      </c>
      <c r="J1634" s="19">
        <v>9766</v>
      </c>
      <c r="K1634" s="1">
        <v>1850</v>
      </c>
      <c r="L1634" s="1">
        <v>110.86499999999999</v>
      </c>
      <c r="M1634" s="1">
        <v>86.096000000000004</v>
      </c>
      <c r="N1634" s="1">
        <v>60.228999999999999</v>
      </c>
      <c r="O1634" s="1">
        <v>31.166</v>
      </c>
      <c r="P1634" s="1">
        <v>0</v>
      </c>
      <c r="Q1634" s="1">
        <v>-31.146000000000001</v>
      </c>
      <c r="R1634" s="1">
        <v>-62.320999999999998</v>
      </c>
      <c r="S1634" s="1">
        <v>-93.536000000000001</v>
      </c>
      <c r="T1634" s="1">
        <v>-124.812</v>
      </c>
      <c r="U1634" s="24"/>
      <c r="V1634" s="1">
        <f>bunkerPlanHeel</f>
        <v>0</v>
      </c>
      <c r="W1634" s="382">
        <f>currentSounding6</f>
        <v>608</v>
      </c>
      <c r="X1634" s="186">
        <f>IF((W1634+W1637)&lt;0,W1634,W1634+W1637)</f>
        <v>608</v>
      </c>
      <c r="Y1634" s="381">
        <f>IF(Y1636=Y1635,Y1635,Interp1(X1635:X1636,Y1635:Y1636,X1634))</f>
        <v>238.49299999999999</v>
      </c>
    </row>
    <row r="1635" spans="1:28">
      <c r="A1635" s="1">
        <v>1900</v>
      </c>
      <c r="B1635" s="42">
        <v>225.80699999999999</v>
      </c>
      <c r="C1635" s="42">
        <v>225.83199999999999</v>
      </c>
      <c r="D1635" s="42">
        <v>225.845</v>
      </c>
      <c r="E1635" s="42">
        <v>225.858</v>
      </c>
      <c r="F1635" s="42">
        <v>225.87</v>
      </c>
      <c r="G1635" s="42">
        <v>225.88300000000001</v>
      </c>
      <c r="H1635" s="42">
        <v>225.90600000000001</v>
      </c>
      <c r="I1635" s="42">
        <v>225.928</v>
      </c>
      <c r="J1635" s="19">
        <v>9716</v>
      </c>
      <c r="K1635" s="1">
        <v>1900</v>
      </c>
      <c r="L1635" s="1">
        <v>98.677999999999997</v>
      </c>
      <c r="M1635" s="1">
        <v>74.97</v>
      </c>
      <c r="N1635" s="1">
        <v>51.503</v>
      </c>
      <c r="O1635" s="1">
        <v>25.824999999999999</v>
      </c>
      <c r="P1635" s="1">
        <v>0</v>
      </c>
      <c r="Q1635" s="1">
        <v>-31.149000000000001</v>
      </c>
      <c r="R1635" s="1">
        <v>-62.323</v>
      </c>
      <c r="S1635" s="1">
        <v>-93.477999999999994</v>
      </c>
      <c r="T1635" s="1">
        <v>-124.437</v>
      </c>
      <c r="U1635" s="25"/>
      <c r="V1635" s="1">
        <f>FLOOR(W1634,inc)</f>
        <v>600</v>
      </c>
      <c r="W1635" s="1">
        <f>Interp2(tank6Heel1,tank6Heel2,tank6Heel3,V1635,V1634)</f>
        <v>0</v>
      </c>
      <c r="X1635" s="1">
        <f>FLOOR(X1634,inc)</f>
        <v>600</v>
      </c>
      <c r="Y1635" s="42">
        <f>IF(W1640=W1639,W1639,Interp1(V1639:V1640,W1639:W1640,V1638))</f>
        <v>238.49299999999999</v>
      </c>
      <c r="Z1635" s="918"/>
      <c r="AA1635" s="918"/>
      <c r="AB1635" s="42"/>
    </row>
    <row r="1636" spans="1:28">
      <c r="A1636" s="1">
        <v>1950</v>
      </c>
      <c r="B1636" s="42">
        <v>225.035</v>
      </c>
      <c r="C1636" s="42">
        <v>225.06800000000001</v>
      </c>
      <c r="D1636" s="42">
        <v>225.08500000000001</v>
      </c>
      <c r="E1636" s="42">
        <v>225.102</v>
      </c>
      <c r="F1636" s="42">
        <v>225.119</v>
      </c>
      <c r="G1636" s="42">
        <v>225.136</v>
      </c>
      <c r="H1636" s="42">
        <v>225.166</v>
      </c>
      <c r="I1636" s="42">
        <v>225.19399999999999</v>
      </c>
      <c r="J1636" s="19">
        <v>9666</v>
      </c>
      <c r="K1636" s="1">
        <v>1950</v>
      </c>
      <c r="L1636" s="1">
        <v>93.700999999999993</v>
      </c>
      <c r="M1636" s="1">
        <v>70.227999999999994</v>
      </c>
      <c r="N1636" s="1">
        <v>46.792999999999999</v>
      </c>
      <c r="O1636" s="1">
        <v>23.390999999999998</v>
      </c>
      <c r="P1636" s="1">
        <v>0</v>
      </c>
      <c r="Q1636" s="1">
        <v>-25.84</v>
      </c>
      <c r="R1636" s="1">
        <v>-52.05</v>
      </c>
      <c r="S1636" s="1">
        <v>-83.292000000000002</v>
      </c>
      <c r="T1636" s="1">
        <v>-114.593</v>
      </c>
      <c r="U1636" s="25"/>
      <c r="V1636" s="1">
        <f>IF(V1635=currentSounding26,V1635,CEILING(W1634,inc))</f>
        <v>650</v>
      </c>
      <c r="W1636" s="1">
        <f>Interp2(tank6Heel1,tank6Heel2,tank6Heel3,V1636,V1634)</f>
        <v>0</v>
      </c>
      <c r="X1636" s="1">
        <f>CEILING(X1634,inc)</f>
        <v>650</v>
      </c>
      <c r="Y1636" s="42">
        <f>IF(X1640=X1639,X1639,Interp1(V1639:V1640,X1639:X1640,V1638))</f>
        <v>238.49299999999999</v>
      </c>
    </row>
    <row r="1637" spans="1:28">
      <c r="A1637" s="1">
        <v>2000</v>
      </c>
      <c r="B1637" s="42">
        <v>224.19</v>
      </c>
      <c r="C1637" s="42">
        <v>224.22399999999999</v>
      </c>
      <c r="D1637" s="42">
        <v>224.24100000000001</v>
      </c>
      <c r="E1637" s="42">
        <v>224.25800000000001</v>
      </c>
      <c r="F1637" s="42">
        <v>224.27500000000001</v>
      </c>
      <c r="G1637" s="42">
        <v>224.291</v>
      </c>
      <c r="H1637" s="42">
        <v>224.32499999999999</v>
      </c>
      <c r="I1637" s="42">
        <v>224.35900000000001</v>
      </c>
      <c r="J1637" s="19">
        <v>9616</v>
      </c>
      <c r="K1637" s="1">
        <v>2000</v>
      </c>
      <c r="L1637" s="1">
        <v>93.703999999999994</v>
      </c>
      <c r="M1637" s="1">
        <v>70.227999999999994</v>
      </c>
      <c r="N1637" s="1">
        <v>46.793999999999997</v>
      </c>
      <c r="O1637" s="1">
        <v>23.391999999999999</v>
      </c>
      <c r="P1637" s="1">
        <v>0</v>
      </c>
      <c r="Q1637" s="1">
        <v>-23.387</v>
      </c>
      <c r="R1637" s="1">
        <v>-46.792000000000002</v>
      </c>
      <c r="S1637" s="1">
        <v>-72.343999999999994</v>
      </c>
      <c r="T1637" s="1">
        <v>-98.281000000000006</v>
      </c>
      <c r="U1637" s="25"/>
      <c r="W1637" s="1">
        <f>IF(W1636=W1635,W1635,Interp1(V1635:V1636,W1635:W1636,W1634))</f>
        <v>0</v>
      </c>
      <c r="Y1637" s="42"/>
    </row>
    <row r="1638" spans="1:28">
      <c r="A1638" s="1">
        <v>2050</v>
      </c>
      <c r="B1638" s="42">
        <v>223.346</v>
      </c>
      <c r="C1638" s="42">
        <v>223.38</v>
      </c>
      <c r="D1638" s="42">
        <v>223.39699999999999</v>
      </c>
      <c r="E1638" s="42">
        <v>223.41399999999999</v>
      </c>
      <c r="F1638" s="42">
        <v>223.43</v>
      </c>
      <c r="G1638" s="42">
        <v>223.447</v>
      </c>
      <c r="H1638" s="42">
        <v>223.48099999999999</v>
      </c>
      <c r="I1638" s="42">
        <v>223.51499999999999</v>
      </c>
      <c r="J1638" s="19">
        <v>9566</v>
      </c>
      <c r="K1638" s="1">
        <v>2050</v>
      </c>
      <c r="L1638" s="1">
        <v>93.703999999999994</v>
      </c>
      <c r="M1638" s="1">
        <v>70.23</v>
      </c>
      <c r="N1638" s="1">
        <v>46.798000000000002</v>
      </c>
      <c r="O1638" s="1">
        <v>23.391999999999999</v>
      </c>
      <c r="P1638" s="1">
        <v>0</v>
      </c>
      <c r="Q1638" s="1">
        <v>-23.387</v>
      </c>
      <c r="R1638" s="1">
        <v>-46.792000000000002</v>
      </c>
      <c r="S1638" s="1">
        <v>-70.222999999999999</v>
      </c>
      <c r="T1638" s="1">
        <v>-93.698999999999998</v>
      </c>
      <c r="U1638" s="25"/>
      <c r="V1638" s="1">
        <f>bunkerPlanTrim</f>
        <v>-0.15</v>
      </c>
    </row>
    <row r="1639" spans="1:28">
      <c r="A1639" s="1">
        <v>2100</v>
      </c>
      <c r="B1639" s="42">
        <v>222.50200000000001</v>
      </c>
      <c r="C1639" s="42">
        <v>222.536</v>
      </c>
      <c r="D1639" s="42">
        <v>222.553</v>
      </c>
      <c r="E1639" s="42">
        <v>222.56899999999999</v>
      </c>
      <c r="F1639" s="42">
        <v>222.58600000000001</v>
      </c>
      <c r="G1639" s="42">
        <v>222.60300000000001</v>
      </c>
      <c r="H1639" s="42">
        <v>222.637</v>
      </c>
      <c r="I1639" s="42">
        <v>222.67099999999999</v>
      </c>
      <c r="J1639" s="19">
        <v>9516</v>
      </c>
      <c r="K1639" s="1">
        <v>2100</v>
      </c>
      <c r="L1639" s="1">
        <v>93.703999999999994</v>
      </c>
      <c r="M1639" s="1">
        <v>70.230999999999995</v>
      </c>
      <c r="N1639" s="1">
        <v>46.795000000000002</v>
      </c>
      <c r="O1639" s="1">
        <v>23.393000000000001</v>
      </c>
      <c r="P1639" s="1">
        <v>0</v>
      </c>
      <c r="Q1639" s="1">
        <v>-23.387</v>
      </c>
      <c r="R1639" s="1">
        <v>-46.792000000000002</v>
      </c>
      <c r="S1639" s="1">
        <v>-70.222999999999999</v>
      </c>
      <c r="T1639" s="1">
        <v>-93.7</v>
      </c>
      <c r="U1639" s="24"/>
      <c r="V1639" s="1">
        <f>INDEX(tank6Trim2,0,MATCH(V1638,tank6Trim2,1))</f>
        <v>-1</v>
      </c>
      <c r="W1639" s="1">
        <f>Interp2(tank6Trim1,tank6Trim2,tank6Trim3,X1635,V1639)</f>
        <v>238.49299999999999</v>
      </c>
      <c r="X1639" s="1">
        <f>Interp2(tank6Trim1,tank6Trim2,tank6Trim3,X1636,V1639)</f>
        <v>238.49299999999999</v>
      </c>
    </row>
    <row r="1640" spans="1:28">
      <c r="A1640" s="1">
        <v>2150</v>
      </c>
      <c r="B1640" s="42">
        <v>221.65799999999999</v>
      </c>
      <c r="C1640" s="42">
        <v>221.69200000000001</v>
      </c>
      <c r="D1640" s="42">
        <v>221.708</v>
      </c>
      <c r="E1640" s="42">
        <v>221.72499999999999</v>
      </c>
      <c r="F1640" s="42">
        <v>221.74199999999999</v>
      </c>
      <c r="G1640" s="42">
        <v>221.75899999999999</v>
      </c>
      <c r="H1640" s="42">
        <v>221.79300000000001</v>
      </c>
      <c r="I1640" s="42">
        <v>221.82599999999999</v>
      </c>
      <c r="J1640" s="19">
        <v>9466</v>
      </c>
      <c r="K1640" s="1">
        <v>2150</v>
      </c>
      <c r="L1640" s="1">
        <v>93.700999999999993</v>
      </c>
      <c r="M1640" s="1">
        <v>70.230999999999995</v>
      </c>
      <c r="N1640" s="1">
        <v>46.795000000000002</v>
      </c>
      <c r="O1640" s="1">
        <v>23.391999999999999</v>
      </c>
      <c r="P1640" s="1">
        <v>0</v>
      </c>
      <c r="Q1640" s="1">
        <v>-23.387</v>
      </c>
      <c r="R1640" s="1">
        <v>-46.792000000000002</v>
      </c>
      <c r="S1640" s="1">
        <v>-70.224000000000004</v>
      </c>
      <c r="T1640" s="1">
        <v>-93.703000000000003</v>
      </c>
      <c r="U1640" s="25"/>
      <c r="V1640" s="1">
        <f>IF(V1639=V1638,V1638,INDEX(tank6Trim2,0,MATCH(V1638,tank6Trim2,1)+1))</f>
        <v>0</v>
      </c>
      <c r="W1640" s="1">
        <f>Interp2(tank6Trim1,tank6Trim2,tank6Trim3,X1635,V1640)</f>
        <v>238.49299999999999</v>
      </c>
      <c r="X1640" s="1">
        <f>Interp2(tank6Trim1,tank6Trim2,tank6Trim3,X1636,V1640)</f>
        <v>238.49299999999999</v>
      </c>
    </row>
    <row r="1641" spans="1:28">
      <c r="A1641" s="1">
        <v>2200</v>
      </c>
      <c r="B1641" s="42">
        <v>220.81399999999999</v>
      </c>
      <c r="C1641" s="42">
        <v>220.84800000000001</v>
      </c>
      <c r="D1641" s="42">
        <v>220.864</v>
      </c>
      <c r="E1641" s="42">
        <v>220.881</v>
      </c>
      <c r="F1641" s="42">
        <v>220.898</v>
      </c>
      <c r="G1641" s="42">
        <v>220.91499999999999</v>
      </c>
      <c r="H1641" s="42">
        <v>220.94900000000001</v>
      </c>
      <c r="I1641" s="42">
        <v>220.982</v>
      </c>
      <c r="J1641" s="19">
        <v>9416</v>
      </c>
      <c r="K1641" s="1">
        <v>2200</v>
      </c>
      <c r="L1641" s="1">
        <v>93.700999999999993</v>
      </c>
      <c r="M1641" s="1">
        <v>70.228999999999999</v>
      </c>
      <c r="N1641" s="1">
        <v>46.795000000000002</v>
      </c>
      <c r="O1641" s="1">
        <v>23.393000000000001</v>
      </c>
      <c r="P1641" s="1">
        <v>0</v>
      </c>
      <c r="Q1641" s="1">
        <v>-23.388000000000002</v>
      </c>
      <c r="R1641" s="1">
        <v>-46.793999999999997</v>
      </c>
      <c r="S1641" s="1">
        <v>-70.224000000000004</v>
      </c>
      <c r="T1641" s="1">
        <v>-93.701999999999998</v>
      </c>
      <c r="U1641" s="24"/>
    </row>
    <row r="1642" spans="1:28">
      <c r="A1642" s="1">
        <v>2250</v>
      </c>
      <c r="B1642" s="42">
        <v>219.97</v>
      </c>
      <c r="C1642" s="42">
        <v>220.00299999999999</v>
      </c>
      <c r="D1642" s="42">
        <v>220.02</v>
      </c>
      <c r="E1642" s="42">
        <v>220.03700000000001</v>
      </c>
      <c r="F1642" s="42">
        <v>220.054</v>
      </c>
      <c r="G1642" s="42">
        <v>220.071</v>
      </c>
      <c r="H1642" s="42">
        <v>220.10400000000001</v>
      </c>
      <c r="I1642" s="42">
        <v>220.13800000000001</v>
      </c>
      <c r="J1642" s="19">
        <v>9366</v>
      </c>
      <c r="K1642" s="1">
        <v>2250</v>
      </c>
      <c r="L1642" s="1">
        <v>93.706000000000003</v>
      </c>
      <c r="M1642" s="1">
        <v>70.230999999999995</v>
      </c>
      <c r="N1642" s="1">
        <v>46.795999999999999</v>
      </c>
      <c r="O1642" s="1">
        <v>23.393999999999998</v>
      </c>
      <c r="P1642" s="1">
        <v>0</v>
      </c>
      <c r="Q1642" s="1">
        <v>-23.387</v>
      </c>
      <c r="R1642" s="1">
        <v>-46.792000000000002</v>
      </c>
      <c r="S1642" s="1">
        <v>-70.222999999999999</v>
      </c>
      <c r="T1642" s="1">
        <v>-93.701999999999998</v>
      </c>
      <c r="U1642" s="26"/>
    </row>
    <row r="1643" spans="1:28">
      <c r="A1643" s="1">
        <v>2300</v>
      </c>
      <c r="B1643" s="42">
        <v>219.126</v>
      </c>
      <c r="C1643" s="42">
        <v>219.15899999999999</v>
      </c>
      <c r="D1643" s="42">
        <v>219.17599999999999</v>
      </c>
      <c r="E1643" s="42">
        <v>219.19300000000001</v>
      </c>
      <c r="F1643" s="42">
        <v>219.21</v>
      </c>
      <c r="G1643" s="42">
        <v>219.227</v>
      </c>
      <c r="H1643" s="42">
        <v>219.26</v>
      </c>
      <c r="I1643" s="42">
        <v>219.29400000000001</v>
      </c>
      <c r="J1643" s="19">
        <v>9316</v>
      </c>
      <c r="K1643" s="1">
        <v>2300</v>
      </c>
      <c r="L1643" s="1">
        <v>93.703999999999994</v>
      </c>
      <c r="M1643" s="1">
        <v>70.23</v>
      </c>
      <c r="N1643" s="1">
        <v>46.793999999999997</v>
      </c>
      <c r="O1643" s="1">
        <v>23.391999999999999</v>
      </c>
      <c r="P1643" s="1">
        <v>0</v>
      </c>
      <c r="Q1643" s="1">
        <v>-23.388000000000002</v>
      </c>
      <c r="R1643" s="1">
        <v>-46.792999999999999</v>
      </c>
      <c r="S1643" s="1">
        <v>-70.222999999999999</v>
      </c>
      <c r="T1643" s="1">
        <v>-93.700999999999993</v>
      </c>
      <c r="U1643" s="24"/>
    </row>
    <row r="1644" spans="1:28">
      <c r="A1644" s="1">
        <v>2350</v>
      </c>
      <c r="B1644" s="42">
        <v>218.28100000000001</v>
      </c>
      <c r="C1644" s="42">
        <v>218.315</v>
      </c>
      <c r="D1644" s="42">
        <v>218.33199999999999</v>
      </c>
      <c r="E1644" s="42">
        <v>218.34899999999999</v>
      </c>
      <c r="F1644" s="42">
        <v>218.36600000000001</v>
      </c>
      <c r="G1644" s="42">
        <v>218.38200000000001</v>
      </c>
      <c r="H1644" s="42">
        <v>218.416</v>
      </c>
      <c r="I1644" s="42">
        <v>218.45</v>
      </c>
      <c r="J1644" s="19">
        <v>9266</v>
      </c>
      <c r="K1644" s="1">
        <v>2350</v>
      </c>
      <c r="L1644" s="1">
        <v>93.703999999999994</v>
      </c>
      <c r="M1644" s="1">
        <v>70.23</v>
      </c>
      <c r="N1644" s="1">
        <v>46.795000000000002</v>
      </c>
      <c r="O1644" s="1">
        <v>23.393000000000001</v>
      </c>
      <c r="P1644" s="1">
        <v>0</v>
      </c>
      <c r="Q1644" s="1">
        <v>-23.385999999999999</v>
      </c>
      <c r="R1644" s="1">
        <v>-46.792000000000002</v>
      </c>
      <c r="S1644" s="1">
        <v>-70.222999999999999</v>
      </c>
      <c r="T1644" s="1">
        <v>-93.698999999999998</v>
      </c>
      <c r="U1644" s="24"/>
    </row>
    <row r="1645" spans="1:28">
      <c r="A1645" s="1">
        <v>2400</v>
      </c>
      <c r="B1645" s="42">
        <v>217.43700000000001</v>
      </c>
      <c r="C1645" s="42">
        <v>217.471</v>
      </c>
      <c r="D1645" s="42">
        <v>217.488</v>
      </c>
      <c r="E1645" s="42">
        <v>217.505</v>
      </c>
      <c r="F1645" s="42">
        <v>217.52099999999999</v>
      </c>
      <c r="G1645" s="42">
        <v>217.53800000000001</v>
      </c>
      <c r="H1645" s="42">
        <v>217.572</v>
      </c>
      <c r="I1645" s="42">
        <v>217.60599999999999</v>
      </c>
      <c r="J1645" s="19">
        <v>9216</v>
      </c>
      <c r="K1645" s="1">
        <v>2400</v>
      </c>
      <c r="L1645" s="1">
        <v>93.703000000000003</v>
      </c>
      <c r="M1645" s="1">
        <v>70.23</v>
      </c>
      <c r="N1645" s="1">
        <v>46.793999999999997</v>
      </c>
      <c r="O1645" s="1">
        <v>23.391999999999999</v>
      </c>
      <c r="P1645" s="1">
        <v>0</v>
      </c>
      <c r="Q1645" s="1">
        <v>-23.387</v>
      </c>
      <c r="R1645" s="1">
        <v>-46.792999999999999</v>
      </c>
      <c r="S1645" s="1">
        <v>-70.224999999999994</v>
      </c>
      <c r="T1645" s="1">
        <v>-93.7</v>
      </c>
      <c r="U1645" s="25"/>
    </row>
    <row r="1646" spans="1:28">
      <c r="A1646" s="1">
        <v>2450</v>
      </c>
      <c r="B1646" s="42">
        <v>216.59299999999999</v>
      </c>
      <c r="C1646" s="42">
        <v>216.62700000000001</v>
      </c>
      <c r="D1646" s="42">
        <v>216.64400000000001</v>
      </c>
      <c r="E1646" s="42">
        <v>216.66</v>
      </c>
      <c r="F1646" s="42">
        <v>216.67699999999999</v>
      </c>
      <c r="G1646" s="42">
        <v>216.64</v>
      </c>
      <c r="H1646" s="42">
        <v>216.72800000000001</v>
      </c>
      <c r="I1646" s="42">
        <v>216.762</v>
      </c>
      <c r="J1646" s="19">
        <v>9166</v>
      </c>
      <c r="K1646" s="1">
        <v>2450</v>
      </c>
      <c r="L1646" s="1">
        <v>93.7</v>
      </c>
      <c r="M1646" s="1">
        <v>70.227999999999994</v>
      </c>
      <c r="N1646" s="1">
        <v>46.793999999999997</v>
      </c>
      <c r="O1646" s="1">
        <v>23.391999999999999</v>
      </c>
      <c r="P1646" s="1">
        <v>0</v>
      </c>
      <c r="Q1646" s="1">
        <v>-23.388000000000002</v>
      </c>
      <c r="R1646" s="1">
        <v>-46.793999999999997</v>
      </c>
      <c r="S1646" s="1">
        <v>-70.224999999999994</v>
      </c>
      <c r="T1646" s="1">
        <v>-93.700999999999993</v>
      </c>
      <c r="U1646" s="28"/>
    </row>
    <row r="1647" spans="1:28">
      <c r="A1647" s="1">
        <v>2500</v>
      </c>
      <c r="B1647" s="42">
        <v>215.749</v>
      </c>
      <c r="C1647" s="42">
        <v>215.78299999999999</v>
      </c>
      <c r="D1647" s="42">
        <v>215.79900000000001</v>
      </c>
      <c r="E1647" s="42">
        <v>215.816</v>
      </c>
      <c r="F1647" s="42">
        <v>215.833</v>
      </c>
      <c r="G1647" s="42">
        <v>215.85</v>
      </c>
      <c r="H1647" s="42">
        <v>215.88399999999999</v>
      </c>
      <c r="I1647" s="42">
        <v>215.917</v>
      </c>
      <c r="J1647" s="19">
        <v>9116</v>
      </c>
      <c r="K1647" s="1">
        <v>2500</v>
      </c>
      <c r="L1647" s="1">
        <v>93.700999999999993</v>
      </c>
      <c r="M1647" s="1">
        <v>70.227999999999994</v>
      </c>
      <c r="N1647" s="1">
        <v>46.793999999999997</v>
      </c>
      <c r="O1647" s="1">
        <v>23.391999999999999</v>
      </c>
      <c r="P1647" s="1">
        <v>0</v>
      </c>
      <c r="Q1647" s="1">
        <v>-23.385999999999999</v>
      </c>
      <c r="R1647" s="1">
        <v>-46.792999999999999</v>
      </c>
      <c r="S1647" s="1">
        <v>-70.224000000000004</v>
      </c>
      <c r="T1647" s="1">
        <v>-93.7</v>
      </c>
    </row>
    <row r="1648" spans="1:28">
      <c r="A1648" s="1">
        <v>2550</v>
      </c>
      <c r="B1648" s="42">
        <v>214.905</v>
      </c>
      <c r="C1648" s="42">
        <v>214.93799999999999</v>
      </c>
      <c r="D1648" s="42">
        <v>214.95500000000001</v>
      </c>
      <c r="E1648" s="42">
        <v>214.97200000000001</v>
      </c>
      <c r="F1648" s="42">
        <v>214.989</v>
      </c>
      <c r="G1648" s="42">
        <v>215.006</v>
      </c>
      <c r="H1648" s="42">
        <v>215.04</v>
      </c>
      <c r="I1648" s="42">
        <v>215.07300000000001</v>
      </c>
      <c r="J1648" s="19">
        <v>9066</v>
      </c>
      <c r="K1648" s="1">
        <v>2550</v>
      </c>
      <c r="L1648" s="1">
        <v>93.704999999999998</v>
      </c>
      <c r="M1648" s="1">
        <v>70.23</v>
      </c>
      <c r="N1648" s="1">
        <v>46.795000000000002</v>
      </c>
      <c r="O1648" s="1">
        <v>23.391999999999999</v>
      </c>
      <c r="P1648" s="1">
        <v>0</v>
      </c>
      <c r="Q1648" s="1">
        <v>-23.387</v>
      </c>
      <c r="R1648" s="1">
        <v>46.792999999999999</v>
      </c>
      <c r="S1648" s="1">
        <v>-70.222999999999999</v>
      </c>
      <c r="T1648" s="1">
        <v>-93.698999999999998</v>
      </c>
    </row>
    <row r="1649" spans="1:20">
      <c r="A1649" s="1">
        <v>2600</v>
      </c>
      <c r="B1649" s="42">
        <v>214.06100000000001</v>
      </c>
      <c r="C1649" s="42">
        <v>214.09399999999999</v>
      </c>
      <c r="D1649" s="42">
        <v>214.11099999999999</v>
      </c>
      <c r="E1649" s="42">
        <v>214.12799999999999</v>
      </c>
      <c r="F1649" s="42">
        <v>214.14500000000001</v>
      </c>
      <c r="G1649" s="42">
        <v>214.16200000000001</v>
      </c>
      <c r="H1649" s="42">
        <v>214.19499999999999</v>
      </c>
      <c r="I1649" s="42">
        <v>214.22900000000001</v>
      </c>
      <c r="J1649" s="19">
        <v>9016</v>
      </c>
      <c r="K1649" s="1">
        <v>2600</v>
      </c>
      <c r="L1649" s="1">
        <v>93.704999999999998</v>
      </c>
      <c r="M1649" s="1">
        <v>70.23</v>
      </c>
      <c r="N1649" s="1">
        <v>46.795000000000002</v>
      </c>
      <c r="O1649" s="1">
        <v>23.393000000000001</v>
      </c>
      <c r="P1649" s="1">
        <v>0</v>
      </c>
      <c r="Q1649" s="1">
        <v>-23.388000000000002</v>
      </c>
      <c r="R1649" s="1">
        <v>-46.792999999999999</v>
      </c>
      <c r="S1649" s="1">
        <v>-70.224999999999994</v>
      </c>
      <c r="T1649" s="1">
        <v>-93.698999999999998</v>
      </c>
    </row>
    <row r="1650" spans="1:20">
      <c r="A1650" s="1">
        <v>2650</v>
      </c>
      <c r="B1650" s="42">
        <v>213.21700000000001</v>
      </c>
      <c r="C1650" s="42">
        <v>213.25</v>
      </c>
      <c r="D1650" s="42">
        <v>213.267</v>
      </c>
      <c r="E1650" s="42">
        <v>213.28399999999999</v>
      </c>
      <c r="F1650" s="42">
        <v>213.30099999999999</v>
      </c>
      <c r="G1650" s="42">
        <v>213.31800000000001</v>
      </c>
      <c r="H1650" s="42">
        <v>213.351</v>
      </c>
      <c r="I1650" s="42">
        <v>213.38499999999999</v>
      </c>
      <c r="J1650" s="19">
        <v>8966</v>
      </c>
      <c r="K1650" s="1">
        <v>2650</v>
      </c>
      <c r="L1650" s="1">
        <v>93.703000000000003</v>
      </c>
      <c r="M1650" s="1">
        <v>70.23</v>
      </c>
      <c r="N1650" s="1">
        <v>46.795999999999999</v>
      </c>
      <c r="O1650" s="1">
        <v>23.393000000000001</v>
      </c>
      <c r="P1650" s="1">
        <v>0</v>
      </c>
      <c r="Q1650" s="1">
        <v>-23.388999999999999</v>
      </c>
      <c r="R1650" s="1">
        <v>-46.793999999999997</v>
      </c>
      <c r="S1650" s="1">
        <v>-70.227000000000004</v>
      </c>
      <c r="T1650" s="1">
        <v>-93.701999999999998</v>
      </c>
    </row>
    <row r="1651" spans="1:20">
      <c r="A1651" s="1">
        <v>2700</v>
      </c>
      <c r="B1651" s="42">
        <v>212.37200000000001</v>
      </c>
      <c r="C1651" s="42">
        <v>212.40600000000001</v>
      </c>
      <c r="D1651" s="42">
        <v>212.423</v>
      </c>
      <c r="E1651" s="42">
        <v>212.44</v>
      </c>
      <c r="F1651" s="42">
        <v>212.45699999999999</v>
      </c>
      <c r="G1651" s="42">
        <v>212.47300000000001</v>
      </c>
      <c r="H1651" s="42">
        <v>212.50700000000001</v>
      </c>
      <c r="I1651" s="42">
        <v>212.541</v>
      </c>
      <c r="J1651" s="19">
        <v>8916</v>
      </c>
      <c r="K1651" s="1">
        <v>2700</v>
      </c>
      <c r="L1651" s="1">
        <v>93.7</v>
      </c>
      <c r="M1651" s="1">
        <v>70.225999999999999</v>
      </c>
      <c r="N1651" s="1">
        <v>46.792999999999999</v>
      </c>
      <c r="O1651" s="1">
        <v>23.391999999999999</v>
      </c>
      <c r="P1651" s="1">
        <v>0</v>
      </c>
      <c r="Q1651" s="1">
        <v>-23.388999999999999</v>
      </c>
      <c r="R1651" s="1">
        <v>-46.793999999999997</v>
      </c>
      <c r="S1651" s="1">
        <v>-70.225999999999999</v>
      </c>
      <c r="T1651" s="1">
        <v>-93.701999999999998</v>
      </c>
    </row>
    <row r="1652" spans="1:20">
      <c r="A1652" s="1">
        <v>2750</v>
      </c>
      <c r="B1652" s="42">
        <v>211.52799999999999</v>
      </c>
      <c r="C1652" s="42">
        <v>211.56200000000001</v>
      </c>
      <c r="D1652" s="42">
        <v>211.57900000000001</v>
      </c>
      <c r="E1652" s="42">
        <v>211.596</v>
      </c>
      <c r="F1652" s="42">
        <v>211.61199999999999</v>
      </c>
      <c r="G1652" s="42">
        <v>211.62899999999999</v>
      </c>
      <c r="H1652" s="42">
        <v>211.66300000000001</v>
      </c>
      <c r="I1652" s="42">
        <v>211.697</v>
      </c>
      <c r="J1652" s="19">
        <v>8866</v>
      </c>
      <c r="K1652" s="1">
        <v>2750</v>
      </c>
      <c r="L1652" s="1">
        <v>93.701999999999998</v>
      </c>
      <c r="M1652" s="1">
        <v>70.227999999999994</v>
      </c>
      <c r="N1652" s="1">
        <v>46.795000000000002</v>
      </c>
      <c r="O1652" s="1">
        <v>23.390999999999998</v>
      </c>
      <c r="P1652" s="1">
        <v>0</v>
      </c>
      <c r="Q1652" s="1">
        <v>-23.387</v>
      </c>
      <c r="R1652" s="1">
        <v>-46.79</v>
      </c>
      <c r="S1652" s="1">
        <v>-70.224000000000004</v>
      </c>
      <c r="T1652" s="1">
        <v>-93.7</v>
      </c>
    </row>
    <row r="1653" spans="1:20">
      <c r="A1653" s="1">
        <v>2800</v>
      </c>
      <c r="B1653" s="42">
        <v>210.684</v>
      </c>
      <c r="C1653" s="42">
        <v>210.71799999999999</v>
      </c>
      <c r="D1653" s="42">
        <v>210.73500000000001</v>
      </c>
      <c r="E1653" s="42">
        <v>210.751</v>
      </c>
      <c r="F1653" s="42">
        <v>210.768</v>
      </c>
      <c r="G1653" s="42">
        <v>210.785</v>
      </c>
      <c r="H1653" s="42">
        <v>210.81899999999999</v>
      </c>
      <c r="I1653" s="42">
        <v>210.852</v>
      </c>
      <c r="J1653" s="19">
        <v>8816</v>
      </c>
      <c r="K1653" s="1">
        <v>2800</v>
      </c>
      <c r="L1653" s="1">
        <v>93.703000000000003</v>
      </c>
      <c r="M1653" s="1">
        <v>70.233000000000004</v>
      </c>
      <c r="N1653" s="1">
        <v>46.798000000000002</v>
      </c>
      <c r="O1653" s="1">
        <v>23.393000000000001</v>
      </c>
      <c r="P1653" s="1">
        <v>0</v>
      </c>
      <c r="Q1653" s="1">
        <v>-23.387</v>
      </c>
      <c r="R1653" s="1">
        <v>-46.790999999999997</v>
      </c>
      <c r="S1653" s="1">
        <v>-70.221000000000004</v>
      </c>
      <c r="T1653" s="1">
        <v>-93.697999999999993</v>
      </c>
    </row>
    <row r="1654" spans="1:20">
      <c r="A1654" s="1">
        <v>2850</v>
      </c>
      <c r="B1654" s="42">
        <v>209.84</v>
      </c>
      <c r="C1654" s="42">
        <v>209.874</v>
      </c>
      <c r="D1654" s="42">
        <v>209.89</v>
      </c>
      <c r="E1654" s="42">
        <v>209.90700000000001</v>
      </c>
      <c r="F1654" s="42">
        <v>209.92400000000001</v>
      </c>
      <c r="G1654" s="42">
        <v>209.941</v>
      </c>
      <c r="H1654" s="42">
        <v>209.97499999999999</v>
      </c>
      <c r="I1654" s="42">
        <v>210.00800000000001</v>
      </c>
      <c r="J1654" s="19">
        <v>8766</v>
      </c>
      <c r="K1654" s="1">
        <v>2850</v>
      </c>
      <c r="L1654" s="1">
        <v>93.703999999999994</v>
      </c>
      <c r="M1654" s="1">
        <v>70.230999999999995</v>
      </c>
      <c r="N1654" s="1">
        <v>46.795999999999999</v>
      </c>
      <c r="O1654" s="1">
        <v>23.391999999999999</v>
      </c>
      <c r="P1654" s="1">
        <v>0</v>
      </c>
      <c r="Q1654" s="1">
        <v>-23.388000000000002</v>
      </c>
      <c r="R1654" s="1">
        <v>-46.792999999999999</v>
      </c>
      <c r="S1654" s="1">
        <v>-70.224999999999994</v>
      </c>
      <c r="T1654" s="1">
        <v>-93.701999999999998</v>
      </c>
    </row>
    <row r="1655" spans="1:20">
      <c r="A1655" s="1">
        <v>2900</v>
      </c>
      <c r="B1655" s="42">
        <v>208.99600000000001</v>
      </c>
      <c r="C1655" s="42">
        <v>209.029</v>
      </c>
      <c r="D1655" s="42">
        <v>209.04599999999999</v>
      </c>
      <c r="E1655" s="42">
        <v>209.06299999999999</v>
      </c>
      <c r="F1655" s="42">
        <v>209.08</v>
      </c>
      <c r="G1655" s="42">
        <v>209.09700000000001</v>
      </c>
      <c r="H1655" s="42">
        <v>209.131</v>
      </c>
      <c r="I1655" s="42">
        <v>209.16399999999999</v>
      </c>
      <c r="J1655" s="19">
        <v>8716</v>
      </c>
      <c r="K1655" s="1">
        <v>2900</v>
      </c>
      <c r="L1655" s="1">
        <v>93.703999999999994</v>
      </c>
      <c r="M1655" s="1">
        <v>70.23</v>
      </c>
      <c r="N1655" s="1">
        <v>46.796999999999997</v>
      </c>
      <c r="O1655" s="1">
        <v>23.391999999999999</v>
      </c>
      <c r="P1655" s="1">
        <v>0</v>
      </c>
      <c r="Q1655" s="1">
        <v>-23.388000000000002</v>
      </c>
      <c r="R1655" s="1">
        <v>-46.792000000000002</v>
      </c>
      <c r="S1655" s="1">
        <v>-70.224999999999994</v>
      </c>
      <c r="T1655" s="1">
        <v>-93.701999999999998</v>
      </c>
    </row>
    <row r="1656" spans="1:20">
      <c r="A1656" s="1">
        <v>2950</v>
      </c>
      <c r="B1656" s="42">
        <v>208.15199999999999</v>
      </c>
      <c r="C1656" s="42">
        <v>208.185</v>
      </c>
      <c r="D1656" s="42">
        <v>208.202</v>
      </c>
      <c r="E1656" s="42">
        <v>208.21899999999999</v>
      </c>
      <c r="F1656" s="42">
        <v>208.23599999999999</v>
      </c>
      <c r="G1656" s="42">
        <v>208.25299999999999</v>
      </c>
      <c r="H1656" s="42">
        <v>208.286</v>
      </c>
      <c r="I1656" s="42">
        <v>208.32</v>
      </c>
      <c r="J1656" s="19">
        <v>8666</v>
      </c>
      <c r="K1656" s="1">
        <v>2950</v>
      </c>
      <c r="L1656" s="1">
        <v>93.703999999999994</v>
      </c>
      <c r="M1656" s="1">
        <v>70.23</v>
      </c>
      <c r="N1656" s="1">
        <v>46.795000000000002</v>
      </c>
      <c r="O1656" s="1">
        <v>23.39</v>
      </c>
      <c r="P1656" s="1">
        <v>0</v>
      </c>
      <c r="Q1656" s="1">
        <v>-23.388000000000002</v>
      </c>
      <c r="R1656" s="1">
        <v>-46.792999999999999</v>
      </c>
      <c r="S1656" s="1">
        <v>-70.224999999999994</v>
      </c>
      <c r="T1656" s="1">
        <v>-93.700999999999993</v>
      </c>
    </row>
    <row r="1657" spans="1:20">
      <c r="A1657" s="1">
        <v>3000</v>
      </c>
      <c r="B1657" s="42">
        <v>207.30699999999999</v>
      </c>
      <c r="C1657" s="42">
        <v>207.34100000000001</v>
      </c>
      <c r="D1657" s="42">
        <v>207.358</v>
      </c>
      <c r="E1657" s="42">
        <v>207.375</v>
      </c>
      <c r="F1657" s="42">
        <v>207.392</v>
      </c>
      <c r="G1657" s="42">
        <v>207.40899999999999</v>
      </c>
      <c r="H1657" s="42">
        <v>207.44200000000001</v>
      </c>
      <c r="I1657" s="42">
        <v>207.476</v>
      </c>
      <c r="J1657" s="19">
        <v>8616</v>
      </c>
      <c r="K1657" s="1">
        <v>3000</v>
      </c>
      <c r="L1657" s="1">
        <v>93.703000000000003</v>
      </c>
      <c r="M1657" s="1">
        <v>70.230999999999995</v>
      </c>
      <c r="N1657" s="1">
        <v>46.798000000000002</v>
      </c>
      <c r="O1657" s="1">
        <v>23.393000000000001</v>
      </c>
      <c r="P1657" s="1">
        <v>0</v>
      </c>
      <c r="Q1657" s="1">
        <v>-23.387</v>
      </c>
      <c r="R1657" s="1">
        <v>-46.792000000000002</v>
      </c>
      <c r="S1657" s="1">
        <v>-70.224000000000004</v>
      </c>
      <c r="T1657" s="1">
        <v>-93.7</v>
      </c>
    </row>
    <row r="1658" spans="1:20">
      <c r="A1658" s="1">
        <v>3050</v>
      </c>
      <c r="B1658" s="42">
        <v>206.46299999999999</v>
      </c>
      <c r="C1658" s="42">
        <v>206.49700000000001</v>
      </c>
      <c r="D1658" s="42">
        <v>206.51400000000001</v>
      </c>
      <c r="E1658" s="42">
        <v>206.53100000000001</v>
      </c>
      <c r="F1658" s="42">
        <v>206.548</v>
      </c>
      <c r="G1658" s="42">
        <v>206.56399999999999</v>
      </c>
      <c r="H1658" s="42">
        <v>206.59800000000001</v>
      </c>
      <c r="I1658" s="42">
        <v>206.63200000000001</v>
      </c>
      <c r="J1658" s="19">
        <v>8566</v>
      </c>
      <c r="K1658" s="1">
        <v>3050</v>
      </c>
      <c r="L1658" s="1">
        <v>93.7</v>
      </c>
      <c r="M1658" s="1">
        <v>70.228999999999999</v>
      </c>
      <c r="N1658" s="1">
        <v>46.795000000000002</v>
      </c>
      <c r="O1658" s="1">
        <v>23.393000000000001</v>
      </c>
      <c r="P1658" s="1">
        <v>0</v>
      </c>
      <c r="Q1658" s="1">
        <v>-23.388000000000002</v>
      </c>
      <c r="R1658" s="1">
        <v>-46.792999999999999</v>
      </c>
      <c r="S1658" s="1">
        <v>-70.224000000000004</v>
      </c>
      <c r="T1658" s="1">
        <v>-93.7</v>
      </c>
    </row>
    <row r="1659" spans="1:20">
      <c r="A1659" s="1">
        <v>3100</v>
      </c>
      <c r="B1659" s="42">
        <v>205.619</v>
      </c>
      <c r="C1659" s="42">
        <v>205.65299999999999</v>
      </c>
      <c r="D1659" s="42">
        <v>205.67</v>
      </c>
      <c r="E1659" s="42">
        <v>205.68700000000001</v>
      </c>
      <c r="F1659" s="42">
        <v>205.703</v>
      </c>
      <c r="G1659" s="42">
        <v>205.72</v>
      </c>
      <c r="H1659" s="42">
        <v>205.75399999999999</v>
      </c>
      <c r="I1659" s="42">
        <v>205.78800000000001</v>
      </c>
      <c r="J1659" s="19">
        <v>8516</v>
      </c>
      <c r="K1659" s="1">
        <v>3100</v>
      </c>
      <c r="L1659" s="1">
        <v>93.703000000000003</v>
      </c>
      <c r="M1659" s="1">
        <v>70.228999999999999</v>
      </c>
      <c r="N1659" s="1">
        <v>46.795000000000002</v>
      </c>
      <c r="O1659" s="1">
        <v>23.391999999999999</v>
      </c>
      <c r="P1659" s="1">
        <v>0</v>
      </c>
      <c r="Q1659" s="1">
        <v>-23.387</v>
      </c>
      <c r="R1659" s="1">
        <v>-46.79</v>
      </c>
      <c r="S1659" s="1">
        <v>-70.222999999999999</v>
      </c>
      <c r="T1659" s="1">
        <v>-93.7</v>
      </c>
    </row>
    <row r="1660" spans="1:20">
      <c r="A1660" s="1">
        <v>3150</v>
      </c>
      <c r="B1660" s="42">
        <v>204.77500000000001</v>
      </c>
      <c r="C1660" s="42">
        <v>204.809</v>
      </c>
      <c r="D1660" s="42">
        <v>204.82599999999999</v>
      </c>
      <c r="E1660" s="42">
        <v>204.84200000000001</v>
      </c>
      <c r="F1660" s="42">
        <v>204.85900000000001</v>
      </c>
      <c r="G1660" s="42">
        <v>204.876</v>
      </c>
      <c r="H1660" s="42">
        <v>204.91</v>
      </c>
      <c r="I1660" s="42">
        <v>204.94300000000001</v>
      </c>
      <c r="J1660" s="19">
        <v>8466</v>
      </c>
      <c r="K1660" s="1">
        <v>3150</v>
      </c>
      <c r="L1660" s="1">
        <v>93.703999999999994</v>
      </c>
      <c r="M1660" s="1">
        <v>70.233000000000004</v>
      </c>
      <c r="N1660" s="1">
        <v>46.798000000000002</v>
      </c>
      <c r="O1660" s="1">
        <v>23.393000000000001</v>
      </c>
      <c r="P1660" s="1">
        <v>0</v>
      </c>
      <c r="Q1660" s="1">
        <v>-23.387</v>
      </c>
      <c r="R1660" s="1">
        <v>-46.790999999999997</v>
      </c>
      <c r="S1660" s="1">
        <v>-70.221999999999994</v>
      </c>
      <c r="T1660" s="1">
        <v>-93.697999999999993</v>
      </c>
    </row>
    <row r="1661" spans="1:20">
      <c r="A1661" s="1">
        <v>3200</v>
      </c>
      <c r="B1661" s="42">
        <v>203.93100000000001</v>
      </c>
      <c r="C1661" s="42">
        <v>203.965</v>
      </c>
      <c r="D1661" s="42">
        <v>203.98099999999999</v>
      </c>
      <c r="E1661" s="42">
        <v>203.99799999999999</v>
      </c>
      <c r="F1661" s="42">
        <v>204.01499999999999</v>
      </c>
      <c r="G1661" s="42">
        <v>204.03200000000001</v>
      </c>
      <c r="H1661" s="42">
        <v>204.066</v>
      </c>
      <c r="I1661" s="42">
        <v>204.09899999999999</v>
      </c>
      <c r="J1661" s="19">
        <v>8416</v>
      </c>
      <c r="K1661" s="1">
        <v>3200</v>
      </c>
      <c r="L1661" s="1">
        <v>93.701999999999998</v>
      </c>
      <c r="M1661" s="1">
        <v>70.228999999999999</v>
      </c>
      <c r="N1661" s="1">
        <v>46.795999999999999</v>
      </c>
      <c r="O1661" s="1">
        <v>23.393000000000001</v>
      </c>
      <c r="P1661" s="1">
        <v>0</v>
      </c>
      <c r="Q1661" s="1">
        <v>-23.388999999999999</v>
      </c>
      <c r="R1661" s="1">
        <v>-46.795999999999999</v>
      </c>
      <c r="S1661" s="1">
        <v>-70.227000000000004</v>
      </c>
      <c r="T1661" s="1">
        <v>-93.703000000000003</v>
      </c>
    </row>
    <row r="1662" spans="1:20">
      <c r="A1662" s="1">
        <v>3250</v>
      </c>
      <c r="B1662" s="42">
        <v>203.08699999999999</v>
      </c>
      <c r="C1662" s="42">
        <v>203.12</v>
      </c>
      <c r="D1662" s="42">
        <v>203.137</v>
      </c>
      <c r="E1662" s="42">
        <v>203.154</v>
      </c>
      <c r="F1662" s="42">
        <v>203.17099999999999</v>
      </c>
      <c r="G1662" s="42">
        <v>203.18799999999999</v>
      </c>
      <c r="H1662" s="42">
        <v>203.22200000000001</v>
      </c>
      <c r="I1662" s="42">
        <v>203.255</v>
      </c>
      <c r="J1662" s="19">
        <v>8366</v>
      </c>
      <c r="K1662" s="1">
        <v>3250</v>
      </c>
      <c r="L1662" s="1">
        <v>93.700999999999993</v>
      </c>
      <c r="M1662" s="1">
        <v>70.227999999999994</v>
      </c>
      <c r="N1662" s="1">
        <v>46.792999999999999</v>
      </c>
      <c r="O1662" s="1">
        <v>23.390999999999998</v>
      </c>
      <c r="P1662" s="1">
        <v>0</v>
      </c>
      <c r="Q1662" s="1">
        <v>-23.388000000000002</v>
      </c>
      <c r="R1662" s="1">
        <v>-46.792000000000002</v>
      </c>
      <c r="S1662" s="1">
        <v>-70.225999999999999</v>
      </c>
      <c r="T1662" s="1">
        <v>-93.703000000000003</v>
      </c>
    </row>
    <row r="1663" spans="1:20">
      <c r="A1663" s="1">
        <v>3300</v>
      </c>
      <c r="B1663" s="42">
        <v>202.24299999999999</v>
      </c>
      <c r="C1663" s="42">
        <v>202.27600000000001</v>
      </c>
      <c r="D1663" s="42">
        <v>202.29300000000001</v>
      </c>
      <c r="E1663" s="42">
        <v>202.31</v>
      </c>
      <c r="F1663" s="42">
        <v>202.327</v>
      </c>
      <c r="G1663" s="42">
        <v>202.34399999999999</v>
      </c>
      <c r="H1663" s="42">
        <v>202.37700000000001</v>
      </c>
      <c r="I1663" s="42">
        <v>202.411</v>
      </c>
      <c r="J1663" s="19">
        <v>8316</v>
      </c>
      <c r="K1663" s="1">
        <v>3300</v>
      </c>
      <c r="L1663" s="1">
        <v>93.703999999999994</v>
      </c>
      <c r="M1663" s="1">
        <v>70.227999999999994</v>
      </c>
      <c r="N1663" s="1">
        <v>46.793999999999997</v>
      </c>
      <c r="O1663" s="1">
        <v>23.390999999999998</v>
      </c>
      <c r="P1663" s="1">
        <v>0</v>
      </c>
      <c r="Q1663" s="1">
        <v>-23.388999999999999</v>
      </c>
      <c r="R1663" s="1">
        <v>-46.790999999999997</v>
      </c>
      <c r="S1663" s="1">
        <v>-70.224000000000004</v>
      </c>
      <c r="T1663" s="1">
        <v>-93.698999999999998</v>
      </c>
    </row>
    <row r="1664" spans="1:20">
      <c r="A1664" s="1">
        <v>3350</v>
      </c>
      <c r="B1664" s="42">
        <v>201.398</v>
      </c>
      <c r="C1664" s="42">
        <v>201.43199999999999</v>
      </c>
      <c r="D1664" s="42">
        <v>201.44900000000001</v>
      </c>
      <c r="E1664" s="42">
        <v>201.46600000000001</v>
      </c>
      <c r="F1664" s="42">
        <v>201.483</v>
      </c>
      <c r="G1664" s="42">
        <v>201.499</v>
      </c>
      <c r="H1664" s="42">
        <v>201.53299999999999</v>
      </c>
      <c r="I1664" s="42">
        <v>201.56700000000001</v>
      </c>
      <c r="J1664" s="19">
        <v>8266</v>
      </c>
      <c r="K1664" s="1">
        <v>3350</v>
      </c>
      <c r="L1664" s="1">
        <v>93.704999999999998</v>
      </c>
      <c r="M1664" s="1">
        <v>70.23</v>
      </c>
      <c r="N1664" s="1">
        <v>46.796999999999997</v>
      </c>
      <c r="O1664" s="1">
        <v>23.391999999999999</v>
      </c>
      <c r="P1664" s="1">
        <v>0</v>
      </c>
      <c r="Q1664" s="1">
        <v>-23.387</v>
      </c>
      <c r="R1664" s="1">
        <v>-46.790999999999997</v>
      </c>
      <c r="S1664" s="1">
        <v>-70.222999999999999</v>
      </c>
      <c r="T1664" s="1">
        <v>-93.698999999999998</v>
      </c>
    </row>
    <row r="1665" spans="1:20">
      <c r="A1665" s="1">
        <v>3400</v>
      </c>
      <c r="B1665" s="42">
        <v>200.554</v>
      </c>
      <c r="C1665" s="42">
        <v>200.58799999999999</v>
      </c>
      <c r="D1665" s="42">
        <v>200.60499999999999</v>
      </c>
      <c r="E1665" s="42">
        <v>200.62200000000001</v>
      </c>
      <c r="F1665" s="42">
        <v>200.63900000000001</v>
      </c>
      <c r="G1665" s="42">
        <v>200.655</v>
      </c>
      <c r="H1665" s="42">
        <v>200.68899999999999</v>
      </c>
      <c r="I1665" s="42">
        <v>200.72300000000001</v>
      </c>
      <c r="J1665" s="19">
        <v>8216</v>
      </c>
      <c r="K1665" s="1">
        <v>3400</v>
      </c>
      <c r="L1665" s="1">
        <v>93.703999999999994</v>
      </c>
      <c r="M1665" s="1">
        <v>70.228999999999999</v>
      </c>
      <c r="N1665" s="1">
        <v>46.796999999999997</v>
      </c>
      <c r="O1665" s="1">
        <v>23.390999999999998</v>
      </c>
      <c r="P1665" s="1">
        <v>0</v>
      </c>
      <c r="Q1665" s="1">
        <v>-23.388000000000002</v>
      </c>
      <c r="R1665" s="1">
        <v>-46.792000000000002</v>
      </c>
      <c r="S1665" s="1">
        <v>-70.224999999999994</v>
      </c>
      <c r="T1665" s="1">
        <v>-93.7</v>
      </c>
    </row>
    <row r="1666" spans="1:20">
      <c r="A1666" s="1">
        <v>3450</v>
      </c>
      <c r="B1666" s="42">
        <v>199.71</v>
      </c>
      <c r="C1666" s="42">
        <v>199.744</v>
      </c>
      <c r="D1666" s="42">
        <v>199.761</v>
      </c>
      <c r="E1666" s="42">
        <v>199.77799999999999</v>
      </c>
      <c r="F1666" s="42">
        <v>199.79400000000001</v>
      </c>
      <c r="G1666" s="42">
        <v>199.81100000000001</v>
      </c>
      <c r="H1666" s="42">
        <v>199.845</v>
      </c>
      <c r="I1666" s="42">
        <v>199.87899999999999</v>
      </c>
      <c r="J1666" s="19">
        <v>8166</v>
      </c>
      <c r="K1666" s="1">
        <v>3450</v>
      </c>
      <c r="L1666" s="1">
        <v>93.700999999999993</v>
      </c>
      <c r="M1666" s="1">
        <v>70.23</v>
      </c>
      <c r="N1666" s="1">
        <v>46.795999999999999</v>
      </c>
      <c r="O1666" s="1">
        <v>23.391999999999999</v>
      </c>
      <c r="P1666" s="1">
        <v>0</v>
      </c>
      <c r="Q1666" s="1">
        <v>-23.388999999999999</v>
      </c>
      <c r="R1666" s="1">
        <v>-46.792999999999999</v>
      </c>
      <c r="S1666" s="1">
        <v>-70.224000000000004</v>
      </c>
      <c r="T1666" s="1">
        <v>-93.700999999999993</v>
      </c>
    </row>
    <row r="1667" spans="1:20">
      <c r="A1667" s="1">
        <v>3500</v>
      </c>
      <c r="B1667" s="42">
        <v>198.86600000000001</v>
      </c>
      <c r="C1667" s="42">
        <v>198.9</v>
      </c>
      <c r="D1667" s="42">
        <v>198.917</v>
      </c>
      <c r="E1667" s="42">
        <v>198.93299999999999</v>
      </c>
      <c r="F1667" s="42">
        <v>198.95</v>
      </c>
      <c r="G1667" s="42">
        <v>198.96700000000001</v>
      </c>
      <c r="H1667" s="42">
        <v>199.001</v>
      </c>
      <c r="I1667" s="42">
        <v>199.03399999999999</v>
      </c>
      <c r="J1667" s="19">
        <v>8116</v>
      </c>
      <c r="K1667" s="1">
        <v>3500</v>
      </c>
      <c r="L1667" s="1">
        <v>93.700999999999993</v>
      </c>
      <c r="M1667" s="1">
        <v>70.228999999999999</v>
      </c>
      <c r="N1667" s="1">
        <v>46.793999999999997</v>
      </c>
      <c r="O1667" s="1">
        <v>23.393000000000001</v>
      </c>
      <c r="P1667" s="1">
        <v>0</v>
      </c>
      <c r="Q1667" s="1">
        <v>-23.385999999999999</v>
      </c>
      <c r="R1667" s="1">
        <v>-46.790999999999997</v>
      </c>
      <c r="S1667" s="1">
        <v>-70.221999999999994</v>
      </c>
      <c r="T1667" s="1">
        <v>-93.7</v>
      </c>
    </row>
    <row r="1668" spans="1:20">
      <c r="A1668" s="1">
        <v>3550</v>
      </c>
      <c r="B1668" s="42">
        <v>198.02199999999999</v>
      </c>
      <c r="C1668" s="42">
        <v>198.05600000000001</v>
      </c>
      <c r="D1668" s="42">
        <v>198.072</v>
      </c>
      <c r="E1668" s="42">
        <v>198.089</v>
      </c>
      <c r="F1668" s="42">
        <v>198.10599999999999</v>
      </c>
      <c r="G1668" s="42">
        <v>198.12299999999999</v>
      </c>
      <c r="H1668" s="42">
        <v>198.15700000000001</v>
      </c>
      <c r="I1668" s="42">
        <v>198.19</v>
      </c>
      <c r="J1668" s="19">
        <v>8066</v>
      </c>
      <c r="K1668" s="1">
        <v>3550</v>
      </c>
      <c r="L1668" s="1">
        <v>93.703999999999994</v>
      </c>
      <c r="M1668" s="1">
        <v>70.231999999999999</v>
      </c>
      <c r="N1668" s="1">
        <v>46.795000000000002</v>
      </c>
      <c r="O1668" s="1">
        <v>23.393000000000001</v>
      </c>
      <c r="P1668" s="1">
        <v>0</v>
      </c>
      <c r="Q1668" s="1">
        <v>-23.387</v>
      </c>
      <c r="R1668" s="1">
        <v>-46.789000000000001</v>
      </c>
      <c r="S1668" s="1">
        <v>-70.221000000000004</v>
      </c>
      <c r="T1668" s="1">
        <v>-93.697999999999993</v>
      </c>
    </row>
    <row r="1669" spans="1:20">
      <c r="A1669" s="1">
        <v>3600</v>
      </c>
      <c r="B1669" s="42">
        <v>197.178</v>
      </c>
      <c r="C1669" s="42">
        <v>197.21100000000001</v>
      </c>
      <c r="D1669" s="42">
        <v>197.22800000000001</v>
      </c>
      <c r="E1669" s="42">
        <v>197.245</v>
      </c>
      <c r="F1669" s="42">
        <v>197.262</v>
      </c>
      <c r="G1669" s="42">
        <v>197.279</v>
      </c>
      <c r="H1669" s="42">
        <v>197.31200000000001</v>
      </c>
      <c r="I1669" s="42">
        <v>197.346</v>
      </c>
      <c r="J1669" s="19">
        <v>8016</v>
      </c>
      <c r="K1669" s="1">
        <v>3600</v>
      </c>
      <c r="L1669" s="1">
        <v>93.703999999999994</v>
      </c>
      <c r="M1669" s="1">
        <v>70.230999999999995</v>
      </c>
      <c r="N1669" s="1">
        <v>46.798000000000002</v>
      </c>
      <c r="O1669" s="1">
        <v>23.391999999999999</v>
      </c>
      <c r="P1669" s="1">
        <v>0</v>
      </c>
      <c r="Q1669" s="1">
        <v>-23.387</v>
      </c>
      <c r="R1669" s="1">
        <v>-46.792999999999999</v>
      </c>
      <c r="S1669" s="1">
        <v>-70.222999999999999</v>
      </c>
      <c r="T1669" s="1">
        <v>-93.697999999999993</v>
      </c>
    </row>
    <row r="1670" spans="1:20">
      <c r="A1670" s="1">
        <v>3650</v>
      </c>
      <c r="B1670" s="42">
        <v>196.334</v>
      </c>
      <c r="C1670" s="42">
        <v>196.36699999999999</v>
      </c>
      <c r="D1670" s="42">
        <v>196.38399999999999</v>
      </c>
      <c r="E1670" s="42">
        <v>196.40100000000001</v>
      </c>
      <c r="F1670" s="42">
        <v>196.41800000000001</v>
      </c>
      <c r="G1670" s="42">
        <v>196.435</v>
      </c>
      <c r="H1670" s="42">
        <v>196.46799999999999</v>
      </c>
      <c r="I1670" s="42">
        <v>196.50200000000001</v>
      </c>
      <c r="J1670" s="19">
        <v>7966</v>
      </c>
      <c r="K1670" s="1">
        <v>3650</v>
      </c>
      <c r="L1670" s="1">
        <v>93.700999999999993</v>
      </c>
      <c r="M1670" s="1">
        <v>70.228999999999999</v>
      </c>
      <c r="N1670" s="1">
        <v>46.795000000000002</v>
      </c>
      <c r="O1670" s="1">
        <v>23.391999999999999</v>
      </c>
      <c r="P1670" s="1">
        <v>0</v>
      </c>
      <c r="Q1670" s="1">
        <v>-23.388000000000002</v>
      </c>
      <c r="R1670" s="1">
        <v>-46.793999999999997</v>
      </c>
      <c r="S1670" s="1">
        <v>-70.224999999999994</v>
      </c>
      <c r="T1670" s="1">
        <v>-93.700999999999993</v>
      </c>
    </row>
    <row r="1671" spans="1:20">
      <c r="A1671" s="1">
        <v>3700</v>
      </c>
      <c r="B1671" s="42">
        <v>195.489</v>
      </c>
      <c r="C1671" s="42">
        <v>195.523</v>
      </c>
      <c r="D1671" s="42">
        <v>195.54</v>
      </c>
      <c r="E1671" s="42">
        <v>195.55699999999999</v>
      </c>
      <c r="F1671" s="42">
        <v>195.57400000000001</v>
      </c>
      <c r="G1671" s="42">
        <v>195.59100000000001</v>
      </c>
      <c r="H1671" s="42">
        <v>195.624</v>
      </c>
      <c r="I1671" s="42">
        <v>195.65799999999999</v>
      </c>
      <c r="J1671" s="19">
        <v>7916</v>
      </c>
      <c r="K1671" s="1">
        <v>3700</v>
      </c>
      <c r="L1671" s="1">
        <v>93.700999999999993</v>
      </c>
      <c r="M1671" s="1">
        <v>70.227000000000004</v>
      </c>
      <c r="N1671" s="1">
        <v>46.792999999999999</v>
      </c>
      <c r="O1671" s="1">
        <v>23.39</v>
      </c>
      <c r="P1671" s="1">
        <v>0</v>
      </c>
      <c r="Q1671" s="1">
        <v>-23.388999999999999</v>
      </c>
      <c r="R1671" s="1">
        <v>-46.792999999999999</v>
      </c>
      <c r="S1671" s="1">
        <v>-70.224000000000004</v>
      </c>
      <c r="T1671" s="1">
        <v>-93.701999999999998</v>
      </c>
    </row>
    <row r="1672" spans="1:20">
      <c r="A1672" s="1">
        <v>3750</v>
      </c>
      <c r="B1672" s="42">
        <v>194.64500000000001</v>
      </c>
      <c r="C1672" s="42">
        <v>194.679</v>
      </c>
      <c r="D1672" s="42">
        <v>194.696</v>
      </c>
      <c r="E1672" s="42">
        <v>194.71299999999999</v>
      </c>
      <c r="F1672" s="42">
        <v>194.72900000000001</v>
      </c>
      <c r="G1672" s="42">
        <v>194.74600000000001</v>
      </c>
      <c r="H1672" s="42">
        <v>194.78</v>
      </c>
      <c r="I1672" s="42">
        <v>194.81399999999999</v>
      </c>
      <c r="J1672" s="19">
        <v>7866</v>
      </c>
      <c r="K1672" s="1">
        <v>3750</v>
      </c>
      <c r="L1672" s="1">
        <v>93.703999999999994</v>
      </c>
      <c r="M1672" s="1">
        <v>70.227999999999994</v>
      </c>
      <c r="N1672" s="1">
        <v>46.792999999999999</v>
      </c>
      <c r="O1672" s="1">
        <v>23.390999999999998</v>
      </c>
      <c r="P1672" s="1">
        <v>0</v>
      </c>
      <c r="Q1672" s="1">
        <v>-23.388000000000002</v>
      </c>
      <c r="R1672" s="1">
        <v>-46.792000000000002</v>
      </c>
      <c r="S1672" s="1">
        <v>-70.222999999999999</v>
      </c>
      <c r="T1672" s="1">
        <v>-93.698999999999998</v>
      </c>
    </row>
    <row r="1673" spans="1:20">
      <c r="A1673" s="1">
        <v>3800</v>
      </c>
      <c r="B1673" s="42">
        <v>193.80099999999999</v>
      </c>
      <c r="C1673" s="42">
        <v>193.83500000000001</v>
      </c>
      <c r="D1673" s="42">
        <v>193.852</v>
      </c>
      <c r="E1673" s="42">
        <v>193.86799999999999</v>
      </c>
      <c r="F1673" s="42">
        <v>193.88499999999999</v>
      </c>
      <c r="G1673" s="42">
        <v>193.90199999999999</v>
      </c>
      <c r="H1673" s="42">
        <v>193.93600000000001</v>
      </c>
      <c r="I1673" s="42">
        <v>193.97</v>
      </c>
      <c r="J1673" s="19">
        <v>7816</v>
      </c>
      <c r="K1673" s="1">
        <v>3800</v>
      </c>
      <c r="L1673" s="1">
        <v>93.704999999999998</v>
      </c>
      <c r="M1673" s="1">
        <v>70.23</v>
      </c>
      <c r="N1673" s="1">
        <v>46.798000000000002</v>
      </c>
      <c r="O1673" s="1">
        <v>23.391999999999999</v>
      </c>
      <c r="P1673" s="1">
        <v>0</v>
      </c>
      <c r="Q1673" s="1">
        <v>-23.388000000000002</v>
      </c>
      <c r="R1673" s="1">
        <v>-46.792999999999999</v>
      </c>
      <c r="S1673" s="1">
        <v>-70.222999999999999</v>
      </c>
      <c r="T1673" s="1">
        <v>-93.698999999999998</v>
      </c>
    </row>
    <row r="1674" spans="1:20">
      <c r="A1674" s="1">
        <v>3850</v>
      </c>
      <c r="B1674" s="42">
        <v>192.95699999999999</v>
      </c>
      <c r="C1674" s="42">
        <v>192.99100000000001</v>
      </c>
      <c r="D1674" s="42">
        <v>193.00800000000001</v>
      </c>
      <c r="E1674" s="42">
        <v>193.024</v>
      </c>
      <c r="F1674" s="42">
        <v>193.041</v>
      </c>
      <c r="G1674" s="42">
        <v>193.05799999999999</v>
      </c>
      <c r="H1674" s="42">
        <v>193.09200000000001</v>
      </c>
      <c r="I1674" s="42">
        <v>193.125</v>
      </c>
      <c r="J1674" s="19">
        <v>7766</v>
      </c>
      <c r="K1674" s="1">
        <v>3850</v>
      </c>
      <c r="L1674" s="1">
        <v>93.700999999999993</v>
      </c>
      <c r="M1674" s="1">
        <v>70.228999999999999</v>
      </c>
      <c r="N1674" s="1">
        <v>46.793999999999997</v>
      </c>
      <c r="O1674" s="1">
        <v>23.390999999999998</v>
      </c>
      <c r="P1674" s="1">
        <v>0</v>
      </c>
      <c r="Q1674" s="1">
        <v>-23.388999999999999</v>
      </c>
      <c r="R1674" s="1">
        <v>-46.796999999999997</v>
      </c>
      <c r="S1674" s="1">
        <v>-70.227000000000004</v>
      </c>
      <c r="T1674" s="1">
        <v>-93.703000000000003</v>
      </c>
    </row>
    <row r="1675" spans="1:20">
      <c r="A1675" s="1">
        <v>3900</v>
      </c>
      <c r="B1675" s="42">
        <v>192.113</v>
      </c>
      <c r="C1675" s="42">
        <v>192.14599999999999</v>
      </c>
      <c r="D1675" s="42">
        <v>192.16300000000001</v>
      </c>
      <c r="E1675" s="42">
        <v>192.18</v>
      </c>
      <c r="F1675" s="42">
        <v>192.197</v>
      </c>
      <c r="G1675" s="42">
        <v>192.214</v>
      </c>
      <c r="H1675" s="42">
        <v>192.24799999999999</v>
      </c>
      <c r="I1675" s="42">
        <v>192.28100000000001</v>
      </c>
      <c r="J1675" s="19">
        <v>7716</v>
      </c>
      <c r="K1675" s="1">
        <v>3900</v>
      </c>
      <c r="L1675" s="1">
        <v>93.700999999999993</v>
      </c>
      <c r="M1675" s="1">
        <v>70.228999999999999</v>
      </c>
      <c r="N1675" s="1">
        <v>46.795999999999999</v>
      </c>
      <c r="O1675" s="1">
        <v>23.391999999999999</v>
      </c>
      <c r="P1675" s="1">
        <v>0</v>
      </c>
      <c r="Q1675" s="1">
        <v>-23.388000000000002</v>
      </c>
      <c r="R1675" s="1">
        <v>-46.792999999999999</v>
      </c>
      <c r="S1675" s="1">
        <v>-70.224999999999994</v>
      </c>
      <c r="T1675" s="1">
        <v>-93.701999999999998</v>
      </c>
    </row>
    <row r="1676" spans="1:20">
      <c r="A1676" s="1">
        <v>3950</v>
      </c>
      <c r="B1676" s="42">
        <v>191.26900000000001</v>
      </c>
      <c r="C1676" s="42">
        <v>191.30199999999999</v>
      </c>
      <c r="D1676" s="42">
        <v>191.31899999999999</v>
      </c>
      <c r="E1676" s="42">
        <v>191.33600000000001</v>
      </c>
      <c r="F1676" s="42">
        <v>191.35300000000001</v>
      </c>
      <c r="G1676" s="42">
        <v>191.37</v>
      </c>
      <c r="H1676" s="42">
        <v>191.40299999999999</v>
      </c>
      <c r="I1676" s="42">
        <v>191.43700000000001</v>
      </c>
      <c r="J1676" s="19">
        <v>7666</v>
      </c>
      <c r="K1676" s="1">
        <v>3950</v>
      </c>
      <c r="L1676" s="1">
        <v>93.700999999999993</v>
      </c>
      <c r="M1676" s="1">
        <v>70.227999999999994</v>
      </c>
      <c r="N1676" s="1">
        <v>46.792999999999999</v>
      </c>
      <c r="O1676" s="1">
        <v>23.390999999999998</v>
      </c>
      <c r="P1676" s="1">
        <v>0</v>
      </c>
      <c r="Q1676" s="1">
        <v>-23.388000000000002</v>
      </c>
      <c r="R1676" s="1">
        <v>-46.793999999999997</v>
      </c>
      <c r="S1676" s="1">
        <v>-70.224999999999994</v>
      </c>
      <c r="T1676" s="1">
        <v>93.76</v>
      </c>
    </row>
    <row r="1677" spans="1:20">
      <c r="A1677" s="1">
        <v>4000</v>
      </c>
      <c r="B1677" s="42">
        <v>190.42500000000001</v>
      </c>
      <c r="C1677" s="42">
        <v>190.458</v>
      </c>
      <c r="D1677" s="42">
        <v>190.47499999999999</v>
      </c>
      <c r="E1677" s="42">
        <v>190.49199999999999</v>
      </c>
      <c r="F1677" s="42">
        <v>190.50899999999999</v>
      </c>
      <c r="G1677" s="42">
        <v>190.52600000000001</v>
      </c>
      <c r="H1677" s="42">
        <v>190.559</v>
      </c>
      <c r="I1677" s="42">
        <v>190.59299999999999</v>
      </c>
      <c r="J1677" s="19">
        <v>7616</v>
      </c>
      <c r="K1677" s="1">
        <v>4000</v>
      </c>
      <c r="L1677" s="1">
        <v>93.703000000000003</v>
      </c>
      <c r="M1677" s="1">
        <v>70.227000000000004</v>
      </c>
      <c r="N1677" s="1">
        <v>46.793999999999997</v>
      </c>
      <c r="O1677" s="1">
        <v>23.390999999999998</v>
      </c>
      <c r="P1677" s="1">
        <v>0</v>
      </c>
      <c r="Q1677" s="1">
        <v>-23.388000000000002</v>
      </c>
      <c r="R1677" s="1">
        <v>-46.792000000000002</v>
      </c>
      <c r="S1677" s="1">
        <v>-70.224000000000004</v>
      </c>
      <c r="T1677" s="1">
        <v>-93.698999999999998</v>
      </c>
    </row>
    <row r="1678" spans="1:20">
      <c r="A1678" s="1">
        <v>4050</v>
      </c>
      <c r="B1678" s="42">
        <v>189.58</v>
      </c>
      <c r="C1678" s="42">
        <v>189.614</v>
      </c>
      <c r="D1678" s="42">
        <v>189.631</v>
      </c>
      <c r="E1678" s="42">
        <v>189.648</v>
      </c>
      <c r="F1678" s="42">
        <v>189.66499999999999</v>
      </c>
      <c r="G1678" s="42">
        <v>189.68100000000001</v>
      </c>
      <c r="H1678" s="42">
        <v>189.715</v>
      </c>
      <c r="I1678" s="42">
        <v>189.749</v>
      </c>
      <c r="J1678" s="19">
        <v>7566</v>
      </c>
      <c r="K1678" s="1">
        <v>4050</v>
      </c>
      <c r="L1678" s="1">
        <v>93.704999999999998</v>
      </c>
      <c r="M1678" s="1">
        <v>70.23</v>
      </c>
      <c r="N1678" s="1">
        <v>46.795000000000002</v>
      </c>
      <c r="O1678" s="1">
        <v>23.391999999999999</v>
      </c>
      <c r="P1678" s="1">
        <v>0</v>
      </c>
      <c r="Q1678" s="1">
        <v>-23.387</v>
      </c>
      <c r="R1678" s="1">
        <v>-46.792000000000002</v>
      </c>
      <c r="S1678" s="1">
        <v>-70.222999999999999</v>
      </c>
      <c r="T1678" s="1">
        <v>-93.697999999999993</v>
      </c>
    </row>
    <row r="1679" spans="1:20">
      <c r="A1679" s="1">
        <v>4100</v>
      </c>
      <c r="B1679" s="42">
        <v>188.73599999999999</v>
      </c>
      <c r="C1679" s="42">
        <v>188.77</v>
      </c>
      <c r="D1679" s="42">
        <v>188.78700000000001</v>
      </c>
      <c r="E1679" s="42">
        <v>188.804</v>
      </c>
      <c r="F1679" s="42">
        <v>188.82</v>
      </c>
      <c r="G1679" s="42">
        <v>188.83699999999999</v>
      </c>
      <c r="H1679" s="42">
        <v>188.87100000000001</v>
      </c>
      <c r="I1679" s="42">
        <v>188.905</v>
      </c>
      <c r="J1679" s="19">
        <v>7516</v>
      </c>
      <c r="K1679" s="1">
        <v>4100</v>
      </c>
      <c r="L1679" s="1">
        <v>93.703000000000003</v>
      </c>
      <c r="M1679" s="1">
        <v>70.23</v>
      </c>
      <c r="N1679" s="1">
        <v>46.795999999999999</v>
      </c>
      <c r="O1679" s="1">
        <v>23.393000000000001</v>
      </c>
      <c r="P1679" s="1">
        <v>0</v>
      </c>
      <c r="Q1679" s="1">
        <v>-23.388999999999999</v>
      </c>
      <c r="R1679" s="1">
        <v>-46.792999999999999</v>
      </c>
      <c r="S1679" s="1">
        <v>-70.224999999999994</v>
      </c>
      <c r="T1679" s="1">
        <v>-93.698999999999998</v>
      </c>
    </row>
    <row r="1680" spans="1:20">
      <c r="A1680" s="1">
        <v>4150</v>
      </c>
      <c r="B1680" s="42">
        <v>187.892</v>
      </c>
      <c r="C1680" s="42">
        <v>187.92599999999999</v>
      </c>
      <c r="D1680" s="42">
        <v>187.94300000000001</v>
      </c>
      <c r="E1680" s="42">
        <v>187.959</v>
      </c>
      <c r="F1680" s="42">
        <v>187.976</v>
      </c>
      <c r="G1680" s="42">
        <v>187.99299999999999</v>
      </c>
      <c r="H1680" s="42">
        <v>188.02699999999999</v>
      </c>
      <c r="I1680" s="42">
        <v>188.06100000000001</v>
      </c>
      <c r="J1680" s="19">
        <v>7466</v>
      </c>
      <c r="K1680" s="1">
        <v>4150</v>
      </c>
      <c r="L1680" s="1">
        <v>93.703000000000003</v>
      </c>
      <c r="M1680" s="1">
        <v>70.23</v>
      </c>
      <c r="N1680" s="1">
        <v>46.793999999999997</v>
      </c>
      <c r="O1680" s="1">
        <v>23.391999999999999</v>
      </c>
      <c r="P1680" s="1">
        <v>0</v>
      </c>
      <c r="Q1680" s="1">
        <v>-23.388999999999999</v>
      </c>
      <c r="R1680" s="1">
        <v>-46.792999999999999</v>
      </c>
      <c r="S1680" s="1">
        <v>-70.224000000000004</v>
      </c>
      <c r="T1680" s="1">
        <v>-93.701999999999998</v>
      </c>
    </row>
    <row r="1681" spans="1:20">
      <c r="A1681" s="1">
        <v>4200</v>
      </c>
      <c r="B1681" s="42">
        <v>187.048</v>
      </c>
      <c r="C1681" s="42">
        <v>187.08199999999999</v>
      </c>
      <c r="D1681" s="42">
        <v>187.09800000000001</v>
      </c>
      <c r="E1681" s="42">
        <v>187.11500000000001</v>
      </c>
      <c r="F1681" s="42">
        <v>187.13200000000001</v>
      </c>
      <c r="G1681" s="42">
        <v>187.149</v>
      </c>
      <c r="H1681" s="42">
        <v>187.18299999999999</v>
      </c>
      <c r="I1681" s="42">
        <v>187.21600000000001</v>
      </c>
      <c r="J1681" s="19">
        <v>7416</v>
      </c>
      <c r="K1681" s="1">
        <v>4200</v>
      </c>
      <c r="L1681" s="1">
        <v>93.7</v>
      </c>
      <c r="M1681" s="1">
        <v>70.228999999999999</v>
      </c>
      <c r="N1681" s="1">
        <v>46.793999999999997</v>
      </c>
      <c r="O1681" s="1">
        <v>23.391999999999999</v>
      </c>
      <c r="P1681" s="1">
        <v>0</v>
      </c>
      <c r="Q1681" s="1">
        <v>-23.388000000000002</v>
      </c>
      <c r="R1681" s="1">
        <v>-46.792999999999999</v>
      </c>
      <c r="S1681" s="1">
        <v>-70.224000000000004</v>
      </c>
      <c r="T1681" s="1">
        <v>-93.703000000000003</v>
      </c>
    </row>
    <row r="1682" spans="1:20">
      <c r="A1682" s="1">
        <v>4250</v>
      </c>
      <c r="B1682" s="42">
        <v>186.20400000000001</v>
      </c>
      <c r="C1682" s="42">
        <v>186.23699999999999</v>
      </c>
      <c r="D1682" s="42">
        <v>186.25399999999999</v>
      </c>
      <c r="E1682" s="42">
        <v>186.27099999999999</v>
      </c>
      <c r="F1682" s="42">
        <v>186.28800000000001</v>
      </c>
      <c r="G1682" s="42">
        <v>186.30500000000001</v>
      </c>
      <c r="H1682" s="42">
        <v>186.339</v>
      </c>
      <c r="I1682" s="42">
        <v>186.37200000000001</v>
      </c>
      <c r="J1682" s="19">
        <v>7366</v>
      </c>
      <c r="K1682" s="1">
        <v>4250</v>
      </c>
      <c r="L1682" s="1">
        <v>93.701999999999998</v>
      </c>
      <c r="M1682" s="1">
        <v>70.228999999999999</v>
      </c>
      <c r="N1682" s="1">
        <v>46.795000000000002</v>
      </c>
      <c r="O1682" s="1">
        <v>23.390999999999998</v>
      </c>
      <c r="P1682" s="1">
        <v>0</v>
      </c>
      <c r="Q1682" s="1">
        <v>-23.387</v>
      </c>
      <c r="R1682" s="1">
        <v>-46.792999999999999</v>
      </c>
      <c r="S1682" s="1">
        <v>-70.222999999999999</v>
      </c>
      <c r="T1682" s="1">
        <v>-93.7</v>
      </c>
    </row>
    <row r="1683" spans="1:20">
      <c r="A1683" s="1">
        <v>4300</v>
      </c>
      <c r="B1683" s="42">
        <v>185.36</v>
      </c>
      <c r="C1683" s="42">
        <v>185.393</v>
      </c>
      <c r="D1683" s="42">
        <v>185.41</v>
      </c>
      <c r="E1683" s="42">
        <v>185.42699999999999</v>
      </c>
      <c r="F1683" s="42">
        <v>185.44399999999999</v>
      </c>
      <c r="G1683" s="42">
        <v>185.46100000000001</v>
      </c>
      <c r="H1683" s="42">
        <v>185.494</v>
      </c>
      <c r="I1683" s="42">
        <v>185.52799999999999</v>
      </c>
      <c r="J1683" s="19">
        <v>7316</v>
      </c>
      <c r="K1683" s="1">
        <v>4300</v>
      </c>
      <c r="L1683" s="1">
        <v>93.704999999999998</v>
      </c>
      <c r="M1683" s="1">
        <v>70.230999999999995</v>
      </c>
      <c r="N1683" s="1">
        <v>46.793999999999997</v>
      </c>
      <c r="O1683" s="1">
        <v>23.391999999999999</v>
      </c>
      <c r="P1683" s="1">
        <v>0</v>
      </c>
      <c r="Q1683" s="1">
        <v>-23.387</v>
      </c>
      <c r="R1683" s="1">
        <v>-46.790999999999997</v>
      </c>
      <c r="S1683" s="1">
        <v>-70.221999999999994</v>
      </c>
      <c r="T1683" s="1">
        <v>-93.697999999999993</v>
      </c>
    </row>
    <row r="1684" spans="1:20">
      <c r="A1684" s="1">
        <v>4350</v>
      </c>
      <c r="B1684" s="42">
        <v>184.51499999999999</v>
      </c>
      <c r="C1684" s="42">
        <v>184.54900000000001</v>
      </c>
      <c r="D1684" s="42">
        <v>184.566</v>
      </c>
      <c r="E1684" s="42">
        <v>184.583</v>
      </c>
      <c r="F1684" s="42">
        <v>184.6</v>
      </c>
      <c r="G1684" s="42">
        <v>184.61699999999999</v>
      </c>
      <c r="H1684" s="42">
        <v>184.65</v>
      </c>
      <c r="I1684" s="42">
        <v>184.684</v>
      </c>
      <c r="J1684" s="19">
        <v>7266</v>
      </c>
      <c r="K1684" s="1">
        <v>4350</v>
      </c>
      <c r="L1684" s="1">
        <v>93.706000000000003</v>
      </c>
      <c r="M1684" s="1">
        <v>70.23</v>
      </c>
      <c r="N1684" s="1">
        <v>46.796999999999997</v>
      </c>
      <c r="O1684" s="1">
        <v>23.390999999999998</v>
      </c>
      <c r="P1684" s="1">
        <v>0</v>
      </c>
      <c r="Q1684" s="1">
        <v>-23.388999999999999</v>
      </c>
      <c r="R1684" s="1">
        <v>-46.792999999999999</v>
      </c>
      <c r="S1684" s="1">
        <v>70.224000000000004</v>
      </c>
      <c r="T1684" s="1">
        <v>-93.7</v>
      </c>
    </row>
    <row r="1685" spans="1:20">
      <c r="A1685" s="1">
        <v>4400</v>
      </c>
      <c r="B1685" s="42">
        <v>183.67099999999999</v>
      </c>
      <c r="C1685" s="42">
        <v>183.70500000000001</v>
      </c>
      <c r="D1685" s="42">
        <v>183.72200000000001</v>
      </c>
      <c r="E1685" s="42">
        <v>183.739</v>
      </c>
      <c r="F1685" s="42">
        <v>183.756</v>
      </c>
      <c r="G1685" s="42">
        <v>183.77199999999999</v>
      </c>
      <c r="H1685" s="42">
        <v>183.80600000000001</v>
      </c>
      <c r="I1685" s="42">
        <v>183.84</v>
      </c>
      <c r="J1685" s="19">
        <v>7216</v>
      </c>
      <c r="K1685" s="1">
        <v>4400</v>
      </c>
      <c r="L1685" s="1">
        <v>93.703000000000003</v>
      </c>
      <c r="M1685" s="1">
        <v>70.230999999999995</v>
      </c>
      <c r="N1685" s="1">
        <v>46.798000000000002</v>
      </c>
      <c r="O1685" s="1">
        <v>23.393000000000001</v>
      </c>
      <c r="P1685" s="1">
        <v>0</v>
      </c>
      <c r="Q1685" s="1">
        <v>-23.388999999999999</v>
      </c>
      <c r="R1685" s="1">
        <v>-46.792999999999999</v>
      </c>
      <c r="S1685" s="1">
        <v>-70.224999999999994</v>
      </c>
      <c r="T1685" s="1">
        <v>-93.700999999999993</v>
      </c>
    </row>
    <row r="1686" spans="1:20">
      <c r="A1686" s="1">
        <v>4450</v>
      </c>
      <c r="B1686" s="42">
        <v>182.827</v>
      </c>
      <c r="C1686" s="42">
        <v>182.86099999999999</v>
      </c>
      <c r="D1686" s="42">
        <v>182.87799999999999</v>
      </c>
      <c r="E1686" s="42">
        <v>182.89500000000001</v>
      </c>
      <c r="F1686" s="42">
        <v>182.911</v>
      </c>
      <c r="G1686" s="42">
        <v>182.928</v>
      </c>
      <c r="H1686" s="42">
        <v>182.96199999999999</v>
      </c>
      <c r="I1686" s="42">
        <v>182.99600000000001</v>
      </c>
      <c r="J1686" s="19">
        <v>7166</v>
      </c>
      <c r="K1686" s="1">
        <v>4450</v>
      </c>
      <c r="L1686" s="1">
        <v>93.700999999999993</v>
      </c>
      <c r="M1686" s="1">
        <v>70.228999999999999</v>
      </c>
      <c r="N1686" s="1">
        <v>46.795999999999999</v>
      </c>
      <c r="O1686" s="1">
        <v>23.393000000000001</v>
      </c>
      <c r="P1686" s="1">
        <v>0</v>
      </c>
      <c r="Q1686" s="1">
        <v>-23.388000000000002</v>
      </c>
      <c r="R1686" s="1">
        <v>-46.792000000000002</v>
      </c>
      <c r="S1686" s="1">
        <v>-70.227000000000004</v>
      </c>
      <c r="T1686" s="1">
        <v>-93.703000000000003</v>
      </c>
    </row>
    <row r="1687" spans="1:20">
      <c r="A1687" s="1">
        <v>4500</v>
      </c>
      <c r="B1687" s="42">
        <v>181.983</v>
      </c>
      <c r="C1687" s="42">
        <v>182.017</v>
      </c>
      <c r="D1687" s="42">
        <v>182.03399999999999</v>
      </c>
      <c r="E1687" s="42">
        <v>182.05</v>
      </c>
      <c r="F1687" s="42">
        <v>182.06700000000001</v>
      </c>
      <c r="G1687" s="42">
        <v>182.084</v>
      </c>
      <c r="H1687" s="42">
        <v>182.11799999999999</v>
      </c>
      <c r="I1687" s="42">
        <v>182.15100000000001</v>
      </c>
      <c r="J1687" s="19">
        <v>7116</v>
      </c>
      <c r="K1687" s="1">
        <v>4500</v>
      </c>
      <c r="L1687" s="1">
        <v>93.701999999999998</v>
      </c>
      <c r="M1687" s="1">
        <v>70.23</v>
      </c>
      <c r="N1687" s="1">
        <v>46.795999999999999</v>
      </c>
      <c r="O1687" s="1">
        <v>23.391999999999999</v>
      </c>
      <c r="P1687" s="1">
        <v>0</v>
      </c>
      <c r="Q1687" s="1">
        <v>-23.387</v>
      </c>
      <c r="R1687" s="1">
        <v>-46.789000000000001</v>
      </c>
      <c r="S1687" s="1">
        <v>-70.221999999999994</v>
      </c>
      <c r="T1687" s="1">
        <v>-93.700999999999993</v>
      </c>
    </row>
    <row r="1688" spans="1:20">
      <c r="A1688" s="1">
        <v>4550</v>
      </c>
      <c r="B1688" s="42">
        <v>181.13900000000001</v>
      </c>
      <c r="C1688" s="42">
        <v>181.173</v>
      </c>
      <c r="D1688" s="42">
        <v>181.18899999999999</v>
      </c>
      <c r="E1688" s="42">
        <v>181.20599999999999</v>
      </c>
      <c r="F1688" s="42">
        <v>181.22300000000001</v>
      </c>
      <c r="G1688" s="42">
        <v>181.24</v>
      </c>
      <c r="H1688" s="42">
        <v>181.274</v>
      </c>
      <c r="I1688" s="42">
        <v>181.30699999999999</v>
      </c>
      <c r="J1688" s="19">
        <v>7066</v>
      </c>
      <c r="K1688" s="1">
        <v>4550</v>
      </c>
      <c r="L1688" s="1">
        <v>93.701999999999998</v>
      </c>
      <c r="M1688" s="1">
        <v>70.227999999999994</v>
      </c>
      <c r="N1688" s="1">
        <v>46.795000000000002</v>
      </c>
      <c r="O1688" s="1">
        <v>23.390999999999998</v>
      </c>
      <c r="P1688" s="1">
        <v>0</v>
      </c>
      <c r="Q1688" s="1">
        <v>-23.388000000000002</v>
      </c>
      <c r="R1688" s="1">
        <v>-46.792999999999999</v>
      </c>
      <c r="S1688" s="1">
        <v>-70.224000000000004</v>
      </c>
      <c r="T1688" s="1">
        <v>-93.700999999999993</v>
      </c>
    </row>
    <row r="1689" spans="1:20">
      <c r="A1689" s="1">
        <v>4600</v>
      </c>
      <c r="B1689" s="42">
        <v>180.29499999999999</v>
      </c>
      <c r="C1689" s="42">
        <v>180.328</v>
      </c>
      <c r="D1689" s="42">
        <v>180.345</v>
      </c>
      <c r="E1689" s="42">
        <v>180.36199999999999</v>
      </c>
      <c r="F1689" s="42">
        <v>180.37899999999999</v>
      </c>
      <c r="G1689" s="42">
        <v>180.39599999999999</v>
      </c>
      <c r="H1689" s="42">
        <v>180.429</v>
      </c>
      <c r="I1689" s="42">
        <v>180.46299999999999</v>
      </c>
      <c r="J1689" s="19">
        <v>7016</v>
      </c>
      <c r="K1689" s="1">
        <v>4600</v>
      </c>
      <c r="L1689" s="1">
        <v>93.701999999999998</v>
      </c>
      <c r="M1689" s="1">
        <v>70.228999999999999</v>
      </c>
      <c r="N1689" s="1">
        <v>46.795999999999999</v>
      </c>
      <c r="O1689" s="1">
        <v>23.390999999999998</v>
      </c>
      <c r="P1689" s="1">
        <v>0</v>
      </c>
      <c r="Q1689" s="1">
        <v>-23.388000000000002</v>
      </c>
      <c r="R1689" s="1">
        <v>-46.790999999999997</v>
      </c>
      <c r="S1689" s="1">
        <v>-70.224000000000004</v>
      </c>
      <c r="T1689" s="1">
        <v>-93.701999999999998</v>
      </c>
    </row>
    <row r="1690" spans="1:20">
      <c r="A1690" s="1">
        <v>4650</v>
      </c>
      <c r="B1690" s="42">
        <v>179.45099999999999</v>
      </c>
      <c r="C1690" s="42">
        <v>179.48400000000001</v>
      </c>
      <c r="D1690" s="42">
        <v>179.501</v>
      </c>
      <c r="E1690" s="42">
        <v>179.518</v>
      </c>
      <c r="F1690" s="42">
        <v>179.535</v>
      </c>
      <c r="G1690" s="42">
        <v>179.55199999999999</v>
      </c>
      <c r="H1690" s="42">
        <v>179.58500000000001</v>
      </c>
      <c r="I1690" s="42">
        <v>179.619</v>
      </c>
      <c r="J1690" s="19">
        <v>6966</v>
      </c>
      <c r="K1690" s="1">
        <v>4650</v>
      </c>
      <c r="L1690" s="1">
        <v>93.703000000000003</v>
      </c>
      <c r="M1690" s="1">
        <v>70.23</v>
      </c>
      <c r="N1690" s="1">
        <v>46.796999999999997</v>
      </c>
      <c r="O1690" s="1">
        <v>23.391999999999999</v>
      </c>
      <c r="P1690" s="1">
        <v>0</v>
      </c>
      <c r="Q1690" s="1">
        <v>-23.388999999999999</v>
      </c>
      <c r="R1690" s="1">
        <v>-46.792999999999999</v>
      </c>
      <c r="S1690" s="1">
        <v>-70.224999999999994</v>
      </c>
      <c r="T1690" s="1">
        <v>-93.698999999999998</v>
      </c>
    </row>
    <row r="1691" spans="1:20">
      <c r="A1691" s="1">
        <v>4700</v>
      </c>
      <c r="B1691" s="42">
        <v>178.60599999999999</v>
      </c>
      <c r="C1691" s="42">
        <v>178.64</v>
      </c>
      <c r="D1691" s="42">
        <v>178.65700000000001</v>
      </c>
      <c r="E1691" s="42">
        <v>178.67400000000001</v>
      </c>
      <c r="F1691" s="42">
        <v>178.691</v>
      </c>
      <c r="G1691" s="42">
        <v>178.708</v>
      </c>
      <c r="H1691" s="42">
        <v>178.74100000000001</v>
      </c>
      <c r="I1691" s="42">
        <v>178.77500000000001</v>
      </c>
      <c r="J1691" s="19">
        <v>6916</v>
      </c>
      <c r="K1691" s="1">
        <v>4700</v>
      </c>
      <c r="L1691" s="1">
        <v>93.703000000000003</v>
      </c>
      <c r="M1691" s="1">
        <v>70.227999999999994</v>
      </c>
      <c r="N1691" s="1">
        <v>46.795000000000002</v>
      </c>
      <c r="O1691" s="1">
        <v>23.390999999999998</v>
      </c>
      <c r="P1691" s="1">
        <v>0</v>
      </c>
      <c r="Q1691" s="1">
        <v>-23.388999999999999</v>
      </c>
      <c r="R1691" s="1">
        <v>-46.792999999999999</v>
      </c>
      <c r="S1691" s="1">
        <v>-70.227000000000004</v>
      </c>
      <c r="T1691" s="1">
        <v>-93.701999999999998</v>
      </c>
    </row>
    <row r="1692" spans="1:20">
      <c r="A1692" s="1">
        <v>4750</v>
      </c>
      <c r="B1692" s="42">
        <v>177.762</v>
      </c>
      <c r="C1692" s="42">
        <v>177.79599999999999</v>
      </c>
      <c r="D1692" s="42">
        <v>177.81299999999999</v>
      </c>
      <c r="E1692" s="42">
        <v>177.83</v>
      </c>
      <c r="F1692" s="42">
        <v>177.84700000000001</v>
      </c>
      <c r="G1692" s="42">
        <v>177.863</v>
      </c>
      <c r="H1692" s="42">
        <v>177.89699999999999</v>
      </c>
      <c r="I1692" s="42">
        <v>177.93100000000001</v>
      </c>
      <c r="J1692" s="19">
        <v>6866</v>
      </c>
      <c r="K1692" s="1">
        <v>4750</v>
      </c>
      <c r="L1692" s="1">
        <v>93.703999999999994</v>
      </c>
      <c r="M1692" s="1">
        <v>70.228999999999999</v>
      </c>
      <c r="N1692" s="1">
        <v>46.795999999999999</v>
      </c>
      <c r="O1692" s="1">
        <v>23.391999999999999</v>
      </c>
      <c r="P1692" s="1">
        <v>0</v>
      </c>
      <c r="Q1692" s="1">
        <v>-23.387</v>
      </c>
      <c r="R1692" s="1">
        <v>-46.79</v>
      </c>
      <c r="S1692" s="1">
        <v>-70.224000000000004</v>
      </c>
      <c r="T1692" s="1">
        <v>-93.7</v>
      </c>
    </row>
    <row r="1693" spans="1:20">
      <c r="A1693" s="1">
        <v>4800</v>
      </c>
      <c r="B1693" s="42">
        <v>176.91800000000001</v>
      </c>
      <c r="C1693" s="42">
        <v>176.952</v>
      </c>
      <c r="D1693" s="42">
        <v>176.96899999999999</v>
      </c>
      <c r="E1693" s="42">
        <v>176.98599999999999</v>
      </c>
      <c r="F1693" s="42">
        <v>177.00200000000001</v>
      </c>
      <c r="G1693" s="42">
        <v>177.01900000000001</v>
      </c>
      <c r="H1693" s="42">
        <v>177.053</v>
      </c>
      <c r="I1693" s="42">
        <v>177.08699999999999</v>
      </c>
      <c r="J1693" s="19">
        <v>6816</v>
      </c>
      <c r="K1693" s="1">
        <v>4800</v>
      </c>
      <c r="L1693" s="1">
        <v>93.703000000000003</v>
      </c>
      <c r="M1693" s="1">
        <v>70.227999999999994</v>
      </c>
      <c r="N1693" s="1">
        <v>46.795000000000002</v>
      </c>
      <c r="O1693" s="1">
        <v>23.390999999999998</v>
      </c>
      <c r="P1693" s="1">
        <v>0</v>
      </c>
      <c r="Q1693" s="1">
        <v>-23.388999999999999</v>
      </c>
      <c r="R1693" s="1">
        <v>-46.792999999999999</v>
      </c>
      <c r="S1693" s="1">
        <v>-70.224999999999994</v>
      </c>
      <c r="T1693" s="1">
        <v>-93.700999999999993</v>
      </c>
    </row>
    <row r="1694" spans="1:20">
      <c r="A1694" s="1">
        <v>4850</v>
      </c>
      <c r="B1694" s="42">
        <v>176.07400000000001</v>
      </c>
      <c r="C1694" s="42">
        <v>176.108</v>
      </c>
      <c r="D1694" s="42">
        <v>176.125</v>
      </c>
      <c r="E1694" s="42">
        <v>176.14099999999999</v>
      </c>
      <c r="F1694" s="42">
        <v>176.15799999999999</v>
      </c>
      <c r="G1694" s="42">
        <v>176.17500000000001</v>
      </c>
      <c r="H1694" s="42">
        <v>176.209</v>
      </c>
      <c r="I1694" s="42">
        <v>176.24199999999999</v>
      </c>
      <c r="J1694" s="19">
        <v>6766</v>
      </c>
      <c r="K1694" s="1">
        <v>4850</v>
      </c>
      <c r="L1694" s="1">
        <v>93.703999999999994</v>
      </c>
      <c r="M1694" s="1">
        <v>70.230999999999995</v>
      </c>
      <c r="N1694" s="1">
        <v>46.795999999999999</v>
      </c>
      <c r="O1694" s="1">
        <v>23.391999999999999</v>
      </c>
      <c r="P1694" s="1">
        <v>0</v>
      </c>
      <c r="Q1694" s="1">
        <v>-23.387</v>
      </c>
      <c r="R1694" s="1">
        <v>-46.792000000000002</v>
      </c>
      <c r="S1694" s="1">
        <v>-70.222999999999999</v>
      </c>
      <c r="T1694" s="1">
        <v>-93.701999999999998</v>
      </c>
    </row>
    <row r="1695" spans="1:20">
      <c r="A1695" s="1">
        <v>4900</v>
      </c>
      <c r="B1695" s="42">
        <v>175.23</v>
      </c>
      <c r="C1695" s="42">
        <v>175.26400000000001</v>
      </c>
      <c r="D1695" s="42">
        <v>175.28</v>
      </c>
      <c r="E1695" s="42">
        <v>175.297</v>
      </c>
      <c r="F1695" s="42">
        <v>175.31399999999999</v>
      </c>
      <c r="G1695" s="42">
        <v>175.33099999999999</v>
      </c>
      <c r="H1695" s="42">
        <v>175.36500000000001</v>
      </c>
      <c r="I1695" s="42">
        <v>175.398</v>
      </c>
      <c r="J1695" s="19">
        <v>6716</v>
      </c>
      <c r="K1695" s="1">
        <v>4900</v>
      </c>
      <c r="L1695" s="1">
        <v>93.700999999999993</v>
      </c>
      <c r="M1695" s="1">
        <v>70.23</v>
      </c>
      <c r="N1695" s="1">
        <v>46.795999999999999</v>
      </c>
      <c r="O1695" s="1">
        <v>23.391999999999999</v>
      </c>
      <c r="P1695" s="1">
        <v>0</v>
      </c>
      <c r="Q1695" s="1">
        <v>-23.388000000000002</v>
      </c>
      <c r="R1695" s="1">
        <v>-46.792999999999999</v>
      </c>
      <c r="S1695" s="1">
        <v>-70.222999999999999</v>
      </c>
      <c r="T1695" s="1">
        <v>-93.703000000000003</v>
      </c>
    </row>
    <row r="1696" spans="1:20">
      <c r="A1696" s="1">
        <v>4950</v>
      </c>
      <c r="B1696" s="42">
        <v>174.386</v>
      </c>
      <c r="C1696" s="42">
        <v>174.41900000000001</v>
      </c>
      <c r="D1696" s="42">
        <v>174.43600000000001</v>
      </c>
      <c r="E1696" s="42">
        <v>174.453</v>
      </c>
      <c r="F1696" s="42">
        <v>174.47</v>
      </c>
      <c r="G1696" s="42">
        <v>174.48699999999999</v>
      </c>
      <c r="H1696" s="42">
        <v>174.52099999999999</v>
      </c>
      <c r="I1696" s="42">
        <v>174.554</v>
      </c>
      <c r="J1696" s="19">
        <v>6666</v>
      </c>
      <c r="K1696" s="1">
        <v>4950</v>
      </c>
      <c r="L1696" s="1">
        <v>93.700999999999993</v>
      </c>
      <c r="M1696" s="1">
        <v>70.23</v>
      </c>
      <c r="N1696" s="1">
        <v>46.793999999999997</v>
      </c>
      <c r="O1696" s="1">
        <v>23.390999999999998</v>
      </c>
      <c r="P1696" s="1">
        <v>0</v>
      </c>
      <c r="Q1696" s="1">
        <v>-23.388000000000002</v>
      </c>
      <c r="R1696" s="1">
        <v>-46.792000000000002</v>
      </c>
      <c r="S1696" s="1">
        <v>-70.224000000000004</v>
      </c>
      <c r="T1696" s="1">
        <v>-93.703000000000003</v>
      </c>
    </row>
    <row r="1697" spans="1:20">
      <c r="A1697" s="1">
        <v>5000</v>
      </c>
      <c r="B1697" s="42">
        <v>173.542</v>
      </c>
      <c r="C1697" s="42">
        <v>173.57499999999999</v>
      </c>
      <c r="D1697" s="42">
        <v>173.59200000000001</v>
      </c>
      <c r="E1697" s="42">
        <v>173.60900000000001</v>
      </c>
      <c r="F1697" s="42">
        <v>173.626</v>
      </c>
      <c r="G1697" s="42">
        <v>173.643</v>
      </c>
      <c r="H1697" s="42">
        <v>173.67599999999999</v>
      </c>
      <c r="I1697" s="42">
        <v>173.71</v>
      </c>
      <c r="J1697" s="19">
        <v>6616</v>
      </c>
      <c r="K1697" s="1">
        <v>5000</v>
      </c>
      <c r="L1697" s="1">
        <v>93.703999999999994</v>
      </c>
      <c r="M1697" s="1">
        <v>70.23</v>
      </c>
      <c r="N1697" s="1">
        <v>46.796999999999997</v>
      </c>
      <c r="O1697" s="1">
        <v>23.391999999999999</v>
      </c>
      <c r="P1697" s="1">
        <v>0</v>
      </c>
      <c r="Q1697" s="1">
        <v>-23.387</v>
      </c>
      <c r="R1697" s="1">
        <v>-46.792000000000002</v>
      </c>
      <c r="S1697" s="1">
        <v>-70.221999999999994</v>
      </c>
      <c r="T1697" s="1">
        <v>-93.7</v>
      </c>
    </row>
    <row r="1698" spans="1:20">
      <c r="A1698" s="1">
        <v>5050</v>
      </c>
      <c r="B1698" s="42">
        <v>172.697</v>
      </c>
      <c r="C1698" s="42">
        <v>172.73099999999999</v>
      </c>
      <c r="D1698" s="42">
        <v>172.74799999999999</v>
      </c>
      <c r="E1698" s="42">
        <v>172.76499999999999</v>
      </c>
      <c r="F1698" s="42">
        <v>172.78200000000001</v>
      </c>
      <c r="G1698" s="42">
        <v>172.79900000000001</v>
      </c>
      <c r="H1698" s="42">
        <v>172.83199999999999</v>
      </c>
      <c r="I1698" s="42">
        <v>172.86600000000001</v>
      </c>
      <c r="J1698" s="19">
        <v>6566</v>
      </c>
      <c r="K1698" s="1">
        <v>5050</v>
      </c>
      <c r="L1698" s="1">
        <v>93.700999999999993</v>
      </c>
      <c r="M1698" s="1">
        <v>70.228999999999999</v>
      </c>
      <c r="N1698" s="1">
        <v>46.793999999999997</v>
      </c>
      <c r="O1698" s="1">
        <v>23.39</v>
      </c>
      <c r="P1698" s="1">
        <v>0</v>
      </c>
      <c r="Q1698" s="1">
        <v>-23.388000000000002</v>
      </c>
      <c r="R1698" s="1">
        <v>-46.792999999999999</v>
      </c>
      <c r="S1698" s="1">
        <v>-70.224999999999994</v>
      </c>
      <c r="T1698" s="1">
        <v>-93.7</v>
      </c>
    </row>
    <row r="1699" spans="1:20">
      <c r="A1699" s="1">
        <v>5100</v>
      </c>
      <c r="B1699" s="42">
        <v>171.85300000000001</v>
      </c>
      <c r="C1699" s="42">
        <v>171.887</v>
      </c>
      <c r="D1699" s="42">
        <v>171.904</v>
      </c>
      <c r="E1699" s="42">
        <v>171.92099999999999</v>
      </c>
      <c r="F1699" s="42">
        <v>171.93799999999999</v>
      </c>
      <c r="G1699" s="42">
        <v>171.95400000000001</v>
      </c>
      <c r="H1699" s="42">
        <v>171.988</v>
      </c>
      <c r="I1699" s="42">
        <v>172.02199999999999</v>
      </c>
      <c r="J1699" s="19">
        <v>6516</v>
      </c>
      <c r="K1699" s="1">
        <v>5100</v>
      </c>
      <c r="L1699" s="1">
        <v>93.703999999999994</v>
      </c>
      <c r="M1699" s="1">
        <v>70.23</v>
      </c>
      <c r="N1699" s="1">
        <v>46.793999999999997</v>
      </c>
      <c r="O1699" s="1">
        <v>23.39</v>
      </c>
      <c r="P1699" s="1">
        <v>0</v>
      </c>
      <c r="Q1699" s="1">
        <v>-23.388000000000002</v>
      </c>
      <c r="R1699" s="1">
        <v>-46.792000000000002</v>
      </c>
      <c r="S1699" s="1">
        <v>-70.224000000000004</v>
      </c>
      <c r="T1699" s="1">
        <v>-93.7</v>
      </c>
    </row>
    <row r="1700" spans="1:20">
      <c r="A1700" s="1">
        <v>5150</v>
      </c>
      <c r="B1700" s="42">
        <v>171.00899999999999</v>
      </c>
      <c r="C1700" s="42">
        <v>171.04300000000001</v>
      </c>
      <c r="D1700" s="42">
        <v>171.06</v>
      </c>
      <c r="E1700" s="42">
        <v>171.07599999999999</v>
      </c>
      <c r="F1700" s="42">
        <v>171.09299999999999</v>
      </c>
      <c r="G1700" s="42">
        <v>171.11</v>
      </c>
      <c r="H1700" s="42">
        <v>171.14400000000001</v>
      </c>
      <c r="I1700" s="42">
        <v>171.178</v>
      </c>
      <c r="J1700" s="19">
        <v>6466</v>
      </c>
      <c r="K1700" s="1">
        <v>5150</v>
      </c>
      <c r="L1700" s="1">
        <v>93.703999999999994</v>
      </c>
      <c r="M1700" s="1">
        <v>70.230999999999995</v>
      </c>
      <c r="N1700" s="1">
        <v>46.798000000000002</v>
      </c>
      <c r="O1700" s="1">
        <v>23.393000000000001</v>
      </c>
      <c r="P1700" s="1">
        <v>0</v>
      </c>
      <c r="Q1700" s="1">
        <v>-23.387</v>
      </c>
      <c r="R1700" s="1">
        <v>-46.790999999999997</v>
      </c>
      <c r="S1700" s="1">
        <v>-70.222999999999999</v>
      </c>
      <c r="T1700" s="1">
        <v>-93.698999999999998</v>
      </c>
    </row>
    <row r="1701" spans="1:20">
      <c r="A1701" s="1">
        <v>5200</v>
      </c>
      <c r="B1701" s="42">
        <v>170.16499999999999</v>
      </c>
      <c r="C1701" s="42">
        <v>170.19900000000001</v>
      </c>
      <c r="D1701" s="42">
        <v>170.21600000000001</v>
      </c>
      <c r="E1701" s="42">
        <v>170.232</v>
      </c>
      <c r="F1701" s="42">
        <v>170.249</v>
      </c>
      <c r="G1701" s="42">
        <v>170.26599999999999</v>
      </c>
      <c r="H1701" s="42">
        <v>170.3</v>
      </c>
      <c r="I1701" s="42">
        <v>170.333</v>
      </c>
      <c r="J1701" s="19">
        <v>6416</v>
      </c>
      <c r="K1701" s="1">
        <v>5200</v>
      </c>
      <c r="L1701" s="1">
        <v>93.703000000000003</v>
      </c>
      <c r="M1701" s="1">
        <v>70.23</v>
      </c>
      <c r="N1701" s="1">
        <v>46.792999999999999</v>
      </c>
      <c r="O1701" s="1">
        <v>23.390999999999998</v>
      </c>
      <c r="P1701" s="1">
        <v>0</v>
      </c>
      <c r="Q1701" s="1">
        <v>-23.39</v>
      </c>
      <c r="R1701" s="1">
        <v>-46.793999999999997</v>
      </c>
      <c r="S1701" s="1">
        <v>-70.225999999999999</v>
      </c>
      <c r="T1701" s="1">
        <v>-93.703000000000003</v>
      </c>
    </row>
    <row r="1702" spans="1:20">
      <c r="A1702" s="1">
        <v>5250</v>
      </c>
      <c r="B1702" s="42">
        <v>169.321</v>
      </c>
      <c r="C1702" s="42">
        <v>169.35499999999999</v>
      </c>
      <c r="D1702" s="42">
        <v>169.37100000000001</v>
      </c>
      <c r="E1702" s="42">
        <v>169.38800000000001</v>
      </c>
      <c r="F1702" s="42">
        <v>169.405</v>
      </c>
      <c r="G1702" s="42">
        <v>169.422</v>
      </c>
      <c r="H1702" s="42">
        <v>169.45599999999999</v>
      </c>
      <c r="I1702" s="42">
        <v>169.489</v>
      </c>
      <c r="J1702" s="19">
        <v>6366</v>
      </c>
      <c r="K1702" s="1">
        <v>5250</v>
      </c>
      <c r="L1702" s="1">
        <v>93.706000000000003</v>
      </c>
      <c r="M1702" s="1">
        <v>70.230999999999995</v>
      </c>
      <c r="N1702" s="1">
        <v>46.796999999999997</v>
      </c>
      <c r="O1702" s="1">
        <v>23.391999999999999</v>
      </c>
      <c r="P1702" s="1">
        <v>0</v>
      </c>
      <c r="Q1702" s="1">
        <v>-23.388000000000002</v>
      </c>
      <c r="R1702" s="1">
        <v>-46.790999999999997</v>
      </c>
      <c r="S1702" s="1">
        <v>-70.224000000000004</v>
      </c>
      <c r="T1702" s="1">
        <v>-93.700999999999993</v>
      </c>
    </row>
    <row r="1703" spans="1:20">
      <c r="A1703" s="1">
        <v>5300</v>
      </c>
      <c r="B1703" s="42">
        <v>168.477</v>
      </c>
      <c r="C1703" s="42">
        <v>168.51</v>
      </c>
      <c r="D1703" s="42">
        <v>168.52699999999999</v>
      </c>
      <c r="E1703" s="42">
        <v>168.54400000000001</v>
      </c>
      <c r="F1703" s="42">
        <v>168.56100000000001</v>
      </c>
      <c r="G1703" s="42">
        <v>168.578</v>
      </c>
      <c r="H1703" s="42">
        <v>168.61099999999999</v>
      </c>
      <c r="I1703" s="42">
        <v>168.64500000000001</v>
      </c>
      <c r="J1703" s="19">
        <v>6316</v>
      </c>
      <c r="K1703" s="1">
        <v>5300</v>
      </c>
      <c r="L1703" s="1">
        <v>93.701999999999998</v>
      </c>
      <c r="M1703" s="1">
        <v>70.228999999999999</v>
      </c>
      <c r="N1703" s="1">
        <v>46.795000000000002</v>
      </c>
      <c r="O1703" s="1">
        <v>23.390999999999998</v>
      </c>
      <c r="P1703" s="1">
        <v>0</v>
      </c>
      <c r="Q1703" s="1">
        <v>-23.388000000000002</v>
      </c>
      <c r="R1703" s="1">
        <v>-46.792999999999999</v>
      </c>
      <c r="S1703" s="1">
        <v>-70.224999999999994</v>
      </c>
      <c r="T1703" s="1">
        <v>-93.700999999999993</v>
      </c>
    </row>
    <row r="1704" spans="1:20">
      <c r="A1704" s="1">
        <v>5350</v>
      </c>
      <c r="B1704" s="42">
        <v>167.63300000000001</v>
      </c>
      <c r="C1704" s="42">
        <v>167.666</v>
      </c>
      <c r="D1704" s="42">
        <v>167.68299999999999</v>
      </c>
      <c r="E1704" s="42">
        <v>167.7</v>
      </c>
      <c r="F1704" s="42">
        <v>167.71700000000001</v>
      </c>
      <c r="G1704" s="42">
        <v>167.73400000000001</v>
      </c>
      <c r="H1704" s="42">
        <v>167.767</v>
      </c>
      <c r="I1704" s="42">
        <v>167.80099999999999</v>
      </c>
      <c r="J1704" s="19">
        <v>6266</v>
      </c>
      <c r="K1704" s="1">
        <v>5350</v>
      </c>
      <c r="L1704" s="1">
        <v>93.703999999999994</v>
      </c>
      <c r="M1704" s="1">
        <v>70.230999999999995</v>
      </c>
      <c r="N1704" s="1">
        <v>46.795000000000002</v>
      </c>
      <c r="O1704" s="1">
        <v>23.390999999999998</v>
      </c>
      <c r="P1704" s="1">
        <v>0</v>
      </c>
      <c r="Q1704" s="1">
        <v>-23.385999999999999</v>
      </c>
      <c r="R1704" s="1">
        <v>-46.790999999999997</v>
      </c>
      <c r="S1704" s="1">
        <v>-70.222999999999999</v>
      </c>
      <c r="T1704" s="1">
        <v>-93.700999999999993</v>
      </c>
    </row>
    <row r="1705" spans="1:20">
      <c r="A1705" s="1">
        <v>5400</v>
      </c>
      <c r="B1705" s="42">
        <v>166.78800000000001</v>
      </c>
      <c r="C1705" s="42">
        <v>166.822</v>
      </c>
      <c r="D1705" s="42">
        <v>166.839</v>
      </c>
      <c r="E1705" s="42">
        <v>166.85599999999999</v>
      </c>
      <c r="F1705" s="42">
        <v>166.87299999999999</v>
      </c>
      <c r="G1705" s="42">
        <v>166.88900000000001</v>
      </c>
      <c r="H1705" s="42">
        <v>166.923</v>
      </c>
      <c r="I1705" s="42">
        <v>166.95699999999999</v>
      </c>
      <c r="J1705" s="19">
        <v>6216</v>
      </c>
      <c r="K1705" s="1">
        <v>5400</v>
      </c>
      <c r="L1705" s="1">
        <v>93.703999999999994</v>
      </c>
      <c r="M1705" s="1">
        <v>70.230999999999995</v>
      </c>
      <c r="N1705" s="1">
        <v>46.796999999999997</v>
      </c>
      <c r="O1705" s="1">
        <v>23.391999999999999</v>
      </c>
      <c r="P1705" s="1">
        <v>0</v>
      </c>
      <c r="Q1705" s="1">
        <v>-23.388000000000002</v>
      </c>
      <c r="R1705" s="1">
        <v>-46.792000000000002</v>
      </c>
      <c r="S1705" s="1">
        <v>-70.222999999999999</v>
      </c>
      <c r="T1705" s="1">
        <v>-93.7</v>
      </c>
    </row>
    <row r="1706" spans="1:20">
      <c r="A1706" s="1">
        <v>5450</v>
      </c>
      <c r="B1706" s="42">
        <v>165.94399999999999</v>
      </c>
      <c r="C1706" s="42">
        <v>165.97800000000001</v>
      </c>
      <c r="D1706" s="42">
        <v>165.995</v>
      </c>
      <c r="E1706" s="42">
        <v>166.012</v>
      </c>
      <c r="F1706" s="42">
        <v>166.02799999999999</v>
      </c>
      <c r="G1706" s="42">
        <v>166.04499999999999</v>
      </c>
      <c r="H1706" s="42">
        <v>166.07900000000001</v>
      </c>
      <c r="I1706" s="42">
        <v>166.113</v>
      </c>
      <c r="J1706" s="19">
        <v>6166</v>
      </c>
      <c r="K1706" s="1">
        <v>5450</v>
      </c>
      <c r="L1706" s="1">
        <v>93.704999999999998</v>
      </c>
      <c r="M1706" s="1">
        <v>70.23</v>
      </c>
      <c r="N1706" s="1">
        <v>46.795999999999999</v>
      </c>
      <c r="O1706" s="1">
        <v>23.393000000000001</v>
      </c>
      <c r="P1706" s="1">
        <v>0</v>
      </c>
      <c r="Q1706" s="1">
        <v>-23.388999999999999</v>
      </c>
      <c r="R1706" s="1">
        <v>-46.792999999999999</v>
      </c>
      <c r="S1706" s="1">
        <v>-70.224000000000004</v>
      </c>
      <c r="T1706" s="1">
        <v>-93.7</v>
      </c>
    </row>
    <row r="1707" spans="1:20">
      <c r="A1707" s="1">
        <v>5500</v>
      </c>
      <c r="B1707" s="42">
        <v>165.1</v>
      </c>
      <c r="C1707" s="42">
        <v>165.13399999999999</v>
      </c>
      <c r="D1707" s="42">
        <v>165.15100000000001</v>
      </c>
      <c r="E1707" s="42">
        <v>165.167</v>
      </c>
      <c r="F1707" s="42">
        <v>165.113</v>
      </c>
      <c r="G1707" s="42">
        <v>165.20099999999999</v>
      </c>
      <c r="H1707" s="42">
        <v>165.23500000000001</v>
      </c>
      <c r="I1707" s="42">
        <v>165.26900000000001</v>
      </c>
      <c r="J1707" s="19">
        <v>6116</v>
      </c>
      <c r="K1707" s="1">
        <v>5500</v>
      </c>
      <c r="L1707" s="1">
        <v>93.703999999999994</v>
      </c>
      <c r="M1707" s="1">
        <v>70.230999999999995</v>
      </c>
      <c r="N1707" s="1">
        <v>46.795999999999999</v>
      </c>
      <c r="O1707" s="1">
        <v>23.391999999999999</v>
      </c>
      <c r="P1707" s="1">
        <v>0</v>
      </c>
      <c r="Q1707" s="1">
        <v>-23.387</v>
      </c>
      <c r="R1707" s="1">
        <v>-46.792999999999999</v>
      </c>
      <c r="S1707" s="1">
        <v>-70.224000000000004</v>
      </c>
      <c r="T1707" s="1">
        <v>-93.700999999999993</v>
      </c>
    </row>
    <row r="1708" spans="1:20">
      <c r="A1708" s="1">
        <v>5550</v>
      </c>
      <c r="B1708" s="42">
        <v>164.256</v>
      </c>
      <c r="C1708" s="42">
        <v>164.29</v>
      </c>
      <c r="D1708" s="42">
        <v>164.30699999999999</v>
      </c>
      <c r="E1708" s="42">
        <v>164.32300000000001</v>
      </c>
      <c r="F1708" s="42">
        <v>164.34</v>
      </c>
      <c r="G1708" s="42">
        <v>164.357</v>
      </c>
      <c r="H1708" s="42">
        <v>164.39099999999999</v>
      </c>
      <c r="I1708" s="42">
        <v>164.42400000000001</v>
      </c>
      <c r="J1708" s="19">
        <v>6066</v>
      </c>
      <c r="K1708" s="1">
        <v>5550</v>
      </c>
      <c r="L1708" s="1">
        <v>93.701999999999998</v>
      </c>
      <c r="M1708" s="1">
        <v>70.23</v>
      </c>
      <c r="N1708" s="1">
        <v>46.798000000000002</v>
      </c>
      <c r="O1708" s="1">
        <v>23.391999999999999</v>
      </c>
      <c r="P1708" s="1">
        <v>0</v>
      </c>
      <c r="Q1708" s="1">
        <v>-23.388999999999999</v>
      </c>
      <c r="R1708" s="1">
        <v>-46.792000000000002</v>
      </c>
      <c r="S1708" s="1">
        <v>-70.224999999999994</v>
      </c>
      <c r="T1708" s="1">
        <v>-93.701999999999998</v>
      </c>
    </row>
    <row r="1709" spans="1:20">
      <c r="A1709" s="1">
        <v>5600</v>
      </c>
      <c r="B1709" s="42">
        <v>163.41200000000001</v>
      </c>
      <c r="C1709" s="42">
        <v>163.446</v>
      </c>
      <c r="D1709" s="42">
        <v>163.46199999999999</v>
      </c>
      <c r="E1709" s="42">
        <v>163.47900000000001</v>
      </c>
      <c r="F1709" s="42">
        <v>163.49600000000001</v>
      </c>
      <c r="G1709" s="42">
        <v>163.51300000000001</v>
      </c>
      <c r="H1709" s="42">
        <v>163.547</v>
      </c>
      <c r="I1709" s="42">
        <v>163.58000000000001</v>
      </c>
      <c r="J1709" s="19">
        <v>6016</v>
      </c>
      <c r="K1709" s="1">
        <v>5600</v>
      </c>
      <c r="L1709" s="1">
        <v>93.703999999999994</v>
      </c>
      <c r="M1709" s="1">
        <v>70.23</v>
      </c>
      <c r="N1709" s="1">
        <v>46.795999999999999</v>
      </c>
      <c r="O1709" s="1">
        <v>23.390999999999998</v>
      </c>
      <c r="P1709" s="1">
        <v>0</v>
      </c>
      <c r="Q1709" s="1">
        <v>-23.388999999999999</v>
      </c>
      <c r="R1709" s="1">
        <v>-46.792000000000002</v>
      </c>
      <c r="S1709" s="1">
        <v>-70.224999999999994</v>
      </c>
      <c r="T1709" s="1">
        <v>-93.703000000000003</v>
      </c>
    </row>
    <row r="1710" spans="1:20">
      <c r="A1710" s="1">
        <v>5650</v>
      </c>
      <c r="B1710" s="42">
        <v>162.56800000000001</v>
      </c>
      <c r="C1710" s="42">
        <v>162.601</v>
      </c>
      <c r="D1710" s="42">
        <v>162.61799999999999</v>
      </c>
      <c r="E1710" s="42">
        <v>162.63499999999999</v>
      </c>
      <c r="F1710" s="42">
        <v>162.65199999999999</v>
      </c>
      <c r="G1710" s="42">
        <v>162.66900000000001</v>
      </c>
      <c r="H1710" s="42">
        <v>162.702</v>
      </c>
      <c r="I1710" s="42">
        <v>162.73599999999999</v>
      </c>
      <c r="J1710" s="19">
        <v>5966</v>
      </c>
      <c r="K1710" s="1">
        <v>5650</v>
      </c>
      <c r="L1710" s="1">
        <v>93.703999999999994</v>
      </c>
      <c r="M1710" s="1">
        <v>70.23</v>
      </c>
      <c r="N1710" s="1">
        <v>46.796999999999997</v>
      </c>
      <c r="O1710" s="1">
        <v>23.391999999999999</v>
      </c>
      <c r="P1710" s="1">
        <v>0</v>
      </c>
      <c r="Q1710" s="1">
        <v>-23.388999999999999</v>
      </c>
      <c r="R1710" s="1">
        <v>-46.792000000000002</v>
      </c>
      <c r="S1710" s="1">
        <v>-70.224000000000004</v>
      </c>
      <c r="T1710" s="1">
        <v>-93.700999999999993</v>
      </c>
    </row>
    <row r="1711" spans="1:20">
      <c r="A1711" s="1">
        <v>5700</v>
      </c>
      <c r="B1711" s="42">
        <v>161.72399999999999</v>
      </c>
      <c r="C1711" s="42">
        <v>161.75700000000001</v>
      </c>
      <c r="D1711" s="42">
        <v>161.774</v>
      </c>
      <c r="E1711" s="42">
        <v>161.791</v>
      </c>
      <c r="F1711" s="42">
        <v>161.80799999999999</v>
      </c>
      <c r="G1711" s="42">
        <v>161.82499999999999</v>
      </c>
      <c r="H1711" s="42">
        <v>161.858</v>
      </c>
      <c r="I1711" s="42">
        <v>161.892</v>
      </c>
      <c r="J1711" s="19">
        <v>5916</v>
      </c>
      <c r="K1711" s="1">
        <v>5700</v>
      </c>
      <c r="L1711" s="1">
        <v>93.701999999999998</v>
      </c>
      <c r="M1711" s="1">
        <v>70.227999999999994</v>
      </c>
      <c r="N1711" s="1">
        <v>46.793999999999997</v>
      </c>
      <c r="O1711" s="1">
        <v>23.390999999999998</v>
      </c>
      <c r="P1711" s="1">
        <v>0</v>
      </c>
      <c r="Q1711" s="1">
        <v>-23.388999999999999</v>
      </c>
      <c r="R1711" s="1">
        <v>-46.792999999999999</v>
      </c>
      <c r="S1711" s="1">
        <v>-70.225999999999999</v>
      </c>
      <c r="T1711" s="1">
        <v>-93.700999999999993</v>
      </c>
    </row>
    <row r="1712" spans="1:20">
      <c r="A1712" s="1">
        <v>5750</v>
      </c>
      <c r="B1712" s="42">
        <v>160.87899999999999</v>
      </c>
      <c r="C1712" s="42">
        <v>160.91300000000001</v>
      </c>
      <c r="D1712" s="42">
        <v>160.93</v>
      </c>
      <c r="E1712" s="42">
        <v>160.947</v>
      </c>
      <c r="F1712" s="42">
        <v>160.964</v>
      </c>
      <c r="G1712" s="42">
        <v>160.97999999999999</v>
      </c>
      <c r="H1712" s="42">
        <v>161.01400000000001</v>
      </c>
      <c r="I1712" s="42">
        <v>161.048</v>
      </c>
      <c r="J1712" s="19">
        <v>5866</v>
      </c>
      <c r="K1712" s="1">
        <v>5750</v>
      </c>
      <c r="L1712" s="1">
        <v>93.703999999999994</v>
      </c>
      <c r="M1712" s="1">
        <v>70.23</v>
      </c>
      <c r="N1712" s="1">
        <v>46.795999999999999</v>
      </c>
      <c r="O1712" s="1">
        <v>23.390999999999998</v>
      </c>
      <c r="P1712" s="1">
        <v>0</v>
      </c>
      <c r="Q1712" s="1">
        <v>-23.387</v>
      </c>
      <c r="R1712" s="1">
        <v>-46.792000000000002</v>
      </c>
      <c r="S1712" s="1">
        <v>-70.224000000000004</v>
      </c>
      <c r="T1712" s="1">
        <v>-93.701999999999998</v>
      </c>
    </row>
    <row r="1713" spans="1:20">
      <c r="A1713" s="1">
        <v>5800</v>
      </c>
      <c r="B1713" s="42">
        <v>160.035</v>
      </c>
      <c r="C1713" s="42">
        <v>160.06899999999999</v>
      </c>
      <c r="D1713" s="42">
        <v>160.08600000000001</v>
      </c>
      <c r="E1713" s="42">
        <v>160.10300000000001</v>
      </c>
      <c r="F1713" s="42">
        <v>160.119</v>
      </c>
      <c r="G1713" s="42">
        <v>160.136</v>
      </c>
      <c r="H1713" s="42">
        <v>160.16999999999999</v>
      </c>
      <c r="I1713" s="42">
        <v>160.20400000000001</v>
      </c>
      <c r="J1713" s="19">
        <v>5816</v>
      </c>
      <c r="K1713" s="1">
        <v>5800</v>
      </c>
      <c r="L1713" s="1">
        <v>93.703999999999994</v>
      </c>
      <c r="M1713" s="1">
        <v>70.23</v>
      </c>
      <c r="N1713" s="1">
        <v>46.795999999999999</v>
      </c>
      <c r="O1713" s="1">
        <v>23.391999999999999</v>
      </c>
      <c r="P1713" s="1">
        <v>0</v>
      </c>
      <c r="Q1713" s="1">
        <v>-23.39</v>
      </c>
      <c r="R1713" s="1">
        <v>-46.792999999999999</v>
      </c>
      <c r="S1713" s="1">
        <v>-70.224000000000004</v>
      </c>
      <c r="T1713" s="1">
        <v>-93.700999999999993</v>
      </c>
    </row>
    <row r="1714" spans="1:20">
      <c r="A1714" s="1">
        <v>5850</v>
      </c>
      <c r="B1714" s="42">
        <v>159.191</v>
      </c>
      <c r="C1714" s="42">
        <v>159.22499999999999</v>
      </c>
      <c r="D1714" s="42">
        <v>159.24199999999999</v>
      </c>
      <c r="E1714" s="42">
        <v>159.25800000000001</v>
      </c>
      <c r="F1714" s="42">
        <v>159.27500000000001</v>
      </c>
      <c r="G1714" s="42">
        <v>159.292</v>
      </c>
      <c r="H1714" s="42">
        <v>159.32599999999999</v>
      </c>
      <c r="I1714" s="42">
        <v>159.36000000000001</v>
      </c>
      <c r="J1714" s="19">
        <v>5766</v>
      </c>
      <c r="K1714" s="1">
        <v>5850</v>
      </c>
      <c r="L1714" s="1">
        <v>93.703000000000003</v>
      </c>
      <c r="M1714" s="1">
        <v>70.228999999999999</v>
      </c>
      <c r="N1714" s="1">
        <v>46.795999999999999</v>
      </c>
      <c r="O1714" s="1">
        <v>23.390999999999998</v>
      </c>
      <c r="P1714" s="1">
        <v>0</v>
      </c>
      <c r="Q1714" s="1">
        <v>-23.388999999999999</v>
      </c>
      <c r="R1714" s="1">
        <v>-46.792999999999999</v>
      </c>
      <c r="S1714" s="1">
        <v>-70.225999999999999</v>
      </c>
      <c r="T1714" s="1">
        <v>-93.701999999999998</v>
      </c>
    </row>
    <row r="1715" spans="1:20">
      <c r="A1715" s="1">
        <v>5900</v>
      </c>
      <c r="B1715" s="42">
        <v>158.34700000000001</v>
      </c>
      <c r="C1715" s="42">
        <v>158.381</v>
      </c>
      <c r="D1715" s="42">
        <v>158.39699999999999</v>
      </c>
      <c r="E1715" s="42">
        <v>158.41399999999999</v>
      </c>
      <c r="F1715" s="42">
        <v>158.43100000000001</v>
      </c>
      <c r="G1715" s="42">
        <v>158.44800000000001</v>
      </c>
      <c r="H1715" s="42">
        <v>158.482</v>
      </c>
      <c r="I1715" s="42">
        <v>158.51499999999999</v>
      </c>
      <c r="J1715" s="19">
        <v>5716</v>
      </c>
      <c r="K1715" s="1">
        <v>5900</v>
      </c>
      <c r="L1715" s="1">
        <v>93.703000000000003</v>
      </c>
      <c r="M1715" s="1">
        <v>70.23</v>
      </c>
      <c r="N1715" s="1">
        <v>46.796999999999997</v>
      </c>
      <c r="O1715" s="1">
        <v>23.391999999999999</v>
      </c>
      <c r="P1715" s="1">
        <v>0</v>
      </c>
      <c r="Q1715" s="1">
        <v>-23.387</v>
      </c>
      <c r="R1715" s="1">
        <v>-46.790999999999997</v>
      </c>
      <c r="S1715" s="1">
        <v>-70.222999999999999</v>
      </c>
      <c r="T1715" s="1">
        <v>-93.701999999999998</v>
      </c>
    </row>
    <row r="1716" spans="1:20">
      <c r="A1716" s="1">
        <v>5950</v>
      </c>
      <c r="B1716" s="42">
        <v>157.50299999999999</v>
      </c>
      <c r="C1716" s="42">
        <v>157.536</v>
      </c>
      <c r="D1716" s="42">
        <v>157.553</v>
      </c>
      <c r="E1716" s="42">
        <v>157.57</v>
      </c>
      <c r="F1716" s="42">
        <v>157.58699999999999</v>
      </c>
      <c r="G1716" s="42">
        <v>157.60400000000001</v>
      </c>
      <c r="H1716" s="42">
        <v>157.63800000000001</v>
      </c>
      <c r="I1716" s="42">
        <v>157.67099999999999</v>
      </c>
      <c r="J1716" s="19">
        <v>5666</v>
      </c>
      <c r="K1716" s="1">
        <v>5950</v>
      </c>
      <c r="L1716" s="1">
        <v>93.703999999999994</v>
      </c>
      <c r="M1716" s="1">
        <v>70.227999999999994</v>
      </c>
      <c r="N1716" s="1">
        <v>46.795000000000002</v>
      </c>
      <c r="O1716" s="1">
        <v>23.390999999999998</v>
      </c>
      <c r="P1716" s="1">
        <v>0</v>
      </c>
      <c r="Q1716" s="1">
        <v>-23.388999999999999</v>
      </c>
      <c r="R1716" s="1">
        <v>-46.792000000000002</v>
      </c>
      <c r="S1716" s="1">
        <v>-70.225999999999999</v>
      </c>
      <c r="T1716" s="1">
        <v>-93.7</v>
      </c>
    </row>
    <row r="1717" spans="1:20">
      <c r="A1717" s="1">
        <v>6000</v>
      </c>
      <c r="B1717" s="42">
        <v>156.65899999999999</v>
      </c>
      <c r="C1717" s="42">
        <v>156.69200000000001</v>
      </c>
      <c r="D1717" s="42">
        <v>156.709</v>
      </c>
      <c r="E1717" s="42">
        <v>156.726</v>
      </c>
      <c r="F1717" s="42">
        <v>156.74299999999999</v>
      </c>
      <c r="G1717" s="42">
        <v>156.76</v>
      </c>
      <c r="H1717" s="42">
        <v>156.79300000000001</v>
      </c>
      <c r="I1717" s="42">
        <v>156.827</v>
      </c>
      <c r="J1717" s="19">
        <v>5616</v>
      </c>
      <c r="K1717" s="1">
        <v>6000</v>
      </c>
      <c r="L1717" s="1">
        <v>93.706000000000003</v>
      </c>
      <c r="M1717" s="1">
        <v>70.230999999999995</v>
      </c>
      <c r="N1717" s="1">
        <v>46.795999999999999</v>
      </c>
      <c r="O1717" s="1">
        <v>23.391999999999999</v>
      </c>
      <c r="P1717" s="1">
        <v>0</v>
      </c>
      <c r="Q1717" s="1">
        <v>-23.387</v>
      </c>
      <c r="R1717" s="1">
        <v>-46.792000000000002</v>
      </c>
      <c r="S1717" s="1">
        <v>-70.221999999999994</v>
      </c>
      <c r="T1717" s="1">
        <v>-93.7</v>
      </c>
    </row>
    <row r="1718" spans="1:20">
      <c r="A1718" s="1">
        <v>6050</v>
      </c>
      <c r="B1718" s="42">
        <v>155.815</v>
      </c>
      <c r="C1718" s="42">
        <v>155.84800000000001</v>
      </c>
      <c r="D1718" s="42">
        <v>155.86500000000001</v>
      </c>
      <c r="E1718" s="42">
        <v>155.88200000000001</v>
      </c>
      <c r="F1718" s="42">
        <v>155.899</v>
      </c>
      <c r="G1718" s="42">
        <v>155.916</v>
      </c>
      <c r="H1718" s="42">
        <v>155.94900000000001</v>
      </c>
      <c r="I1718" s="42">
        <v>155.983</v>
      </c>
      <c r="J1718" s="19">
        <v>5566</v>
      </c>
      <c r="K1718" s="1">
        <v>6050</v>
      </c>
      <c r="L1718" s="1">
        <v>93.703999999999994</v>
      </c>
      <c r="M1718" s="1">
        <v>70.228999999999999</v>
      </c>
      <c r="N1718" s="1">
        <v>46.796999999999997</v>
      </c>
      <c r="O1718" s="1">
        <v>23.390999999999998</v>
      </c>
      <c r="P1718" s="1">
        <v>0</v>
      </c>
      <c r="Q1718" s="1">
        <v>-23.388999999999999</v>
      </c>
      <c r="R1718" s="1">
        <v>-46.792999999999999</v>
      </c>
      <c r="S1718" s="1">
        <v>-70.224000000000004</v>
      </c>
      <c r="T1718" s="1">
        <v>-93.700999999999993</v>
      </c>
    </row>
    <row r="1719" spans="1:20">
      <c r="A1719" s="1">
        <v>6100</v>
      </c>
      <c r="B1719" s="42">
        <v>154.97</v>
      </c>
      <c r="C1719" s="42">
        <v>155.00399999999999</v>
      </c>
      <c r="D1719" s="42">
        <v>155.02099999999999</v>
      </c>
      <c r="E1719" s="42">
        <v>155.03800000000001</v>
      </c>
      <c r="F1719" s="42">
        <v>155.05500000000001</v>
      </c>
      <c r="G1719" s="42">
        <v>155.071</v>
      </c>
      <c r="H1719" s="42">
        <v>155.10499999999999</v>
      </c>
      <c r="I1719" s="42">
        <v>155.13900000000001</v>
      </c>
      <c r="J1719" s="19">
        <v>5516</v>
      </c>
      <c r="K1719" s="1">
        <v>6100</v>
      </c>
      <c r="L1719" s="1">
        <v>93.703000000000003</v>
      </c>
      <c r="M1719" s="1">
        <v>70.228999999999999</v>
      </c>
      <c r="N1719" s="1">
        <v>46.795000000000002</v>
      </c>
      <c r="O1719" s="1">
        <v>23.390999999999998</v>
      </c>
      <c r="P1719" s="1">
        <v>0</v>
      </c>
      <c r="Q1719" s="1">
        <v>-23.388000000000002</v>
      </c>
      <c r="R1719" s="1">
        <v>-46.792999999999999</v>
      </c>
      <c r="S1719" s="1">
        <v>-70.225999999999999</v>
      </c>
      <c r="T1719" s="1">
        <v>-93.703000000000003</v>
      </c>
    </row>
    <row r="1720" spans="1:20">
      <c r="A1720" s="1">
        <v>6150</v>
      </c>
      <c r="B1720" s="42">
        <v>154.126</v>
      </c>
      <c r="C1720" s="42">
        <v>154.16</v>
      </c>
      <c r="D1720" s="42">
        <v>154.17699999999999</v>
      </c>
      <c r="E1720" s="42">
        <v>154.19399999999999</v>
      </c>
      <c r="F1720" s="42">
        <v>154.21</v>
      </c>
      <c r="G1720" s="42">
        <v>154.227</v>
      </c>
      <c r="H1720" s="42">
        <v>154.261</v>
      </c>
      <c r="I1720" s="42">
        <v>154.29499999999999</v>
      </c>
      <c r="J1720" s="19">
        <v>5466</v>
      </c>
      <c r="K1720" s="1">
        <v>6150</v>
      </c>
      <c r="L1720" s="1">
        <v>93.703999999999994</v>
      </c>
      <c r="M1720" s="1">
        <v>70.228999999999999</v>
      </c>
      <c r="N1720" s="1">
        <v>46.796999999999997</v>
      </c>
      <c r="O1720" s="1">
        <v>23.391999999999999</v>
      </c>
      <c r="P1720" s="1">
        <v>0</v>
      </c>
      <c r="Q1720" s="1">
        <v>-23.388000000000002</v>
      </c>
      <c r="R1720" s="1">
        <v>-46.792000000000002</v>
      </c>
      <c r="S1720" s="1">
        <v>-70.224000000000004</v>
      </c>
      <c r="T1720" s="1">
        <v>-93.7</v>
      </c>
    </row>
    <row r="1721" spans="1:20">
      <c r="A1721" s="1">
        <v>6200</v>
      </c>
      <c r="B1721" s="42">
        <v>153.28200000000001</v>
      </c>
      <c r="C1721" s="42">
        <v>153.316</v>
      </c>
      <c r="D1721" s="42">
        <v>153.333</v>
      </c>
      <c r="E1721" s="42">
        <v>153.34899999999999</v>
      </c>
      <c r="F1721" s="42">
        <v>153.36600000000001</v>
      </c>
      <c r="G1721" s="42">
        <v>153.38300000000001</v>
      </c>
      <c r="H1721" s="42">
        <v>153.417</v>
      </c>
      <c r="I1721" s="42">
        <v>153.45099999999999</v>
      </c>
      <c r="J1721" s="19">
        <v>5416</v>
      </c>
      <c r="K1721" s="1">
        <v>6200</v>
      </c>
      <c r="L1721" s="1">
        <v>93.703000000000003</v>
      </c>
      <c r="M1721" s="1">
        <v>70.228999999999999</v>
      </c>
      <c r="N1721" s="1">
        <v>46.792999999999999</v>
      </c>
      <c r="O1721" s="1">
        <v>23.390999999999998</v>
      </c>
      <c r="P1721" s="1">
        <v>0</v>
      </c>
      <c r="Q1721" s="1">
        <v>-23.39</v>
      </c>
      <c r="R1721" s="1">
        <v>-46.792999999999999</v>
      </c>
      <c r="S1721" s="1">
        <v>-70.224000000000004</v>
      </c>
      <c r="T1721" s="1">
        <v>-93.700999999999993</v>
      </c>
    </row>
    <row r="1722" spans="1:20">
      <c r="A1722" s="1">
        <v>6250</v>
      </c>
      <c r="B1722" s="42">
        <v>152.43799999999999</v>
      </c>
      <c r="C1722" s="42">
        <v>152.47200000000001</v>
      </c>
      <c r="D1722" s="42">
        <v>152.488</v>
      </c>
      <c r="E1722" s="42">
        <v>152.505</v>
      </c>
      <c r="F1722" s="42">
        <v>152.52199999999999</v>
      </c>
      <c r="G1722" s="42">
        <v>152.53899999999999</v>
      </c>
      <c r="H1722" s="42">
        <v>152.57300000000001</v>
      </c>
      <c r="I1722" s="42">
        <v>152.60599999999999</v>
      </c>
      <c r="J1722" s="19">
        <v>5366</v>
      </c>
      <c r="K1722" s="1">
        <v>6250</v>
      </c>
      <c r="L1722" s="1">
        <v>96.847999999999999</v>
      </c>
      <c r="M1722" s="1">
        <v>70.23</v>
      </c>
      <c r="N1722" s="1">
        <v>46.795000000000002</v>
      </c>
      <c r="O1722" s="1">
        <v>23.390999999999998</v>
      </c>
      <c r="P1722" s="1">
        <v>0</v>
      </c>
      <c r="Q1722" s="1">
        <v>-23.388000000000002</v>
      </c>
      <c r="R1722" s="1">
        <v>-46.790999999999997</v>
      </c>
      <c r="S1722" s="1">
        <v>-70.222999999999999</v>
      </c>
      <c r="T1722" s="1">
        <v>-93.700999999999993</v>
      </c>
    </row>
    <row r="1723" spans="1:20">
      <c r="A1723" s="1">
        <v>6300</v>
      </c>
      <c r="B1723" s="42">
        <v>151.59399999999999</v>
      </c>
      <c r="C1723" s="42">
        <v>151.62700000000001</v>
      </c>
      <c r="D1723" s="42">
        <v>151.64400000000001</v>
      </c>
      <c r="E1723" s="42">
        <v>151.661</v>
      </c>
      <c r="F1723" s="42">
        <v>151.678</v>
      </c>
      <c r="G1723" s="42">
        <v>151.69499999999999</v>
      </c>
      <c r="H1723" s="42">
        <v>151.72900000000001</v>
      </c>
      <c r="I1723" s="42">
        <v>151.762</v>
      </c>
      <c r="J1723" s="19">
        <v>5316</v>
      </c>
      <c r="K1723" s="1">
        <v>6300</v>
      </c>
      <c r="L1723" s="1">
        <v>104.592</v>
      </c>
      <c r="M1723" s="1">
        <v>73.69</v>
      </c>
      <c r="N1723" s="1">
        <v>46.793999999999997</v>
      </c>
      <c r="O1723" s="1">
        <v>23.390999999999998</v>
      </c>
      <c r="P1723" s="1">
        <v>0</v>
      </c>
      <c r="Q1723" s="1">
        <v>-23.388999999999999</v>
      </c>
      <c r="R1723" s="1">
        <v>-46.792999999999999</v>
      </c>
      <c r="S1723" s="1">
        <v>-70.224999999999994</v>
      </c>
      <c r="T1723" s="1">
        <v>-93.7</v>
      </c>
    </row>
    <row r="1724" spans="1:20">
      <c r="A1724" s="1">
        <v>6350</v>
      </c>
      <c r="B1724" s="42">
        <v>150.75</v>
      </c>
      <c r="C1724" s="42">
        <v>150.78299999999999</v>
      </c>
      <c r="D1724" s="42">
        <v>150.80000000000001</v>
      </c>
      <c r="E1724" s="42">
        <v>150.81700000000001</v>
      </c>
      <c r="F1724" s="42">
        <v>150.834</v>
      </c>
      <c r="G1724" s="42">
        <v>150.851</v>
      </c>
      <c r="H1724" s="42">
        <v>150.88399999999999</v>
      </c>
      <c r="I1724" s="42">
        <v>150.91800000000001</v>
      </c>
      <c r="J1724" s="19">
        <v>5266</v>
      </c>
      <c r="K1724" s="1">
        <v>6350</v>
      </c>
      <c r="L1724" s="1">
        <v>101.203</v>
      </c>
      <c r="M1724" s="1">
        <v>75.370999999999995</v>
      </c>
      <c r="N1724" s="1">
        <v>50.719000000000001</v>
      </c>
      <c r="O1724" s="1">
        <v>23.390999999999998</v>
      </c>
      <c r="P1724" s="1">
        <v>0</v>
      </c>
      <c r="Q1724" s="1">
        <v>-23.388999999999999</v>
      </c>
      <c r="R1724" s="1">
        <v>-46.790999999999997</v>
      </c>
      <c r="S1724" s="1">
        <v>-70.224999999999994</v>
      </c>
      <c r="T1724" s="1">
        <v>-93.701999999999998</v>
      </c>
    </row>
    <row r="1725" spans="1:20">
      <c r="A1725" s="1">
        <v>6400</v>
      </c>
      <c r="B1725" s="42">
        <v>149.881</v>
      </c>
      <c r="C1725" s="42">
        <v>149.93899999999999</v>
      </c>
      <c r="D1725" s="42">
        <v>149.95599999999999</v>
      </c>
      <c r="E1725" s="42">
        <v>149.97300000000001</v>
      </c>
      <c r="F1725" s="42">
        <v>149.99</v>
      </c>
      <c r="G1725" s="42">
        <v>150.00700000000001</v>
      </c>
      <c r="H1725" s="42">
        <v>150.04</v>
      </c>
      <c r="I1725" s="42">
        <v>150.07400000000001</v>
      </c>
      <c r="J1725" s="19">
        <v>5216</v>
      </c>
      <c r="K1725" s="1">
        <v>6400</v>
      </c>
      <c r="L1725" s="1">
        <v>94.902000000000001</v>
      </c>
      <c r="M1725" s="1">
        <v>71.712999999999994</v>
      </c>
      <c r="N1725" s="1">
        <v>48.262999999999998</v>
      </c>
      <c r="O1725" s="1">
        <v>21.298999999999999</v>
      </c>
      <c r="P1725" s="1">
        <v>0</v>
      </c>
      <c r="Q1725" s="1">
        <v>-23.388000000000002</v>
      </c>
      <c r="R1725" s="1">
        <v>-46.792999999999999</v>
      </c>
      <c r="S1725" s="1">
        <v>-70.194000000000003</v>
      </c>
      <c r="T1725" s="1">
        <v>-93.515000000000001</v>
      </c>
    </row>
    <row r="1726" spans="1:20">
      <c r="A1726" s="1">
        <v>6450</v>
      </c>
      <c r="B1726" s="42">
        <v>148.49100000000001</v>
      </c>
      <c r="C1726" s="42">
        <v>148.74700000000001</v>
      </c>
      <c r="D1726" s="42">
        <v>148.875</v>
      </c>
      <c r="E1726" s="42">
        <v>149.00200000000001</v>
      </c>
      <c r="F1726" s="42">
        <v>149.108</v>
      </c>
      <c r="G1726" s="42">
        <v>149.15600000000001</v>
      </c>
      <c r="H1726" s="42">
        <v>149.197</v>
      </c>
      <c r="I1726" s="42">
        <v>149.22999999999999</v>
      </c>
      <c r="J1726" s="19">
        <v>5166</v>
      </c>
      <c r="K1726" s="1">
        <v>6450</v>
      </c>
      <c r="L1726" s="1">
        <v>92.611999999999995</v>
      </c>
      <c r="M1726" s="1">
        <v>69.59</v>
      </c>
      <c r="N1726" s="1">
        <v>46.478000000000002</v>
      </c>
      <c r="O1726" s="1">
        <v>23.302</v>
      </c>
      <c r="P1726" s="1">
        <v>0</v>
      </c>
      <c r="Q1726" s="1">
        <v>-25.48</v>
      </c>
      <c r="R1726" s="1">
        <v>-43.649000000000001</v>
      </c>
      <c r="S1726" s="1">
        <v>-65.003</v>
      </c>
      <c r="T1726" s="1">
        <v>-88.593000000000004</v>
      </c>
    </row>
    <row r="1727" spans="1:20">
      <c r="A1727" s="1">
        <v>6500</v>
      </c>
      <c r="B1727" s="42">
        <v>147.089</v>
      </c>
      <c r="C1727" s="42">
        <v>147.34399999999999</v>
      </c>
      <c r="D1727" s="42">
        <v>147.471</v>
      </c>
      <c r="E1727" s="42">
        <v>147.59899999999999</v>
      </c>
      <c r="F1727" s="42">
        <v>147.726</v>
      </c>
      <c r="G1727" s="42">
        <v>147.85400000000001</v>
      </c>
      <c r="H1727" s="42">
        <v>148.10900000000001</v>
      </c>
      <c r="I1727" s="42">
        <v>148.29599999999999</v>
      </c>
      <c r="J1727" s="19">
        <v>5116</v>
      </c>
      <c r="K1727" s="1">
        <v>6500</v>
      </c>
      <c r="L1727" s="1">
        <v>92.320999999999998</v>
      </c>
      <c r="M1727" s="1">
        <v>69.37</v>
      </c>
      <c r="N1727" s="1">
        <v>146.33199999999999</v>
      </c>
      <c r="O1727" s="1">
        <v>23.228999999999999</v>
      </c>
      <c r="P1727" s="1">
        <v>0</v>
      </c>
      <c r="Q1727" s="1">
        <v>-23.311</v>
      </c>
      <c r="R1727" s="1">
        <v>-45.499000000000002</v>
      </c>
      <c r="S1727" s="1">
        <v>-65.222999999999999</v>
      </c>
      <c r="T1727" s="1">
        <v>-83.698999999999998</v>
      </c>
    </row>
    <row r="1728" spans="1:20">
      <c r="A1728" s="1">
        <v>6550</v>
      </c>
      <c r="B1728" s="42">
        <v>145.69</v>
      </c>
      <c r="C1728" s="42">
        <v>145.94399999999999</v>
      </c>
      <c r="D1728" s="42">
        <v>146.071</v>
      </c>
      <c r="E1728" s="42">
        <v>146.19800000000001</v>
      </c>
      <c r="F1728" s="42">
        <v>146.32499999999999</v>
      </c>
      <c r="G1728" s="42">
        <v>146.453</v>
      </c>
      <c r="H1728" s="42">
        <v>146.708</v>
      </c>
      <c r="I1728" s="42">
        <v>146.96299999999999</v>
      </c>
      <c r="J1728" s="19">
        <v>5066</v>
      </c>
      <c r="K1728" s="1">
        <v>6550</v>
      </c>
      <c r="L1728" s="1">
        <v>92.025999999999996</v>
      </c>
      <c r="M1728" s="1">
        <v>69.149000000000001</v>
      </c>
      <c r="N1728" s="1">
        <v>46.183999999999997</v>
      </c>
      <c r="O1728" s="1">
        <v>23.154</v>
      </c>
      <c r="P1728" s="1">
        <v>0</v>
      </c>
      <c r="Q1728" s="1">
        <v>-23.239000000000001</v>
      </c>
      <c r="R1728" s="1">
        <v>-46.631999999999998</v>
      </c>
      <c r="S1728" s="1">
        <v>-68.986999999999995</v>
      </c>
      <c r="T1728" s="1">
        <v>-87.54</v>
      </c>
    </row>
    <row r="1729" spans="1:20">
      <c r="A1729" s="1">
        <v>6600</v>
      </c>
      <c r="B1729" s="42">
        <v>144.29400000000001</v>
      </c>
      <c r="C1729" s="42">
        <v>144.547</v>
      </c>
      <c r="D1729" s="42">
        <v>144.67400000000001</v>
      </c>
      <c r="E1729" s="42">
        <v>144.80099999999999</v>
      </c>
      <c r="F1729" s="42">
        <v>144.928</v>
      </c>
      <c r="G1729" s="42">
        <v>145.05500000000001</v>
      </c>
      <c r="H1729" s="42">
        <v>145.309</v>
      </c>
      <c r="I1729" s="42">
        <v>145.56399999999999</v>
      </c>
      <c r="J1729" s="19">
        <v>5016</v>
      </c>
      <c r="K1729" s="1">
        <v>6600</v>
      </c>
      <c r="L1729" s="1">
        <v>91.731999999999999</v>
      </c>
      <c r="M1729" s="1">
        <v>68.927000000000007</v>
      </c>
      <c r="N1729" s="1">
        <v>46.036999999999999</v>
      </c>
      <c r="O1729" s="1">
        <v>23.081</v>
      </c>
      <c r="P1729" s="1">
        <v>0</v>
      </c>
      <c r="Q1729" s="1">
        <v>-23.163</v>
      </c>
      <c r="R1729" s="1">
        <v>-46.481000000000002</v>
      </c>
      <c r="S1729" s="1">
        <v>-69.924999999999997</v>
      </c>
      <c r="T1729" s="1">
        <v>-92.397000000000006</v>
      </c>
    </row>
    <row r="1730" spans="1:20">
      <c r="A1730" s="1">
        <v>6650</v>
      </c>
      <c r="B1730" s="42">
        <v>142.90100000000001</v>
      </c>
      <c r="C1730" s="42">
        <v>143.154</v>
      </c>
      <c r="D1730" s="42">
        <v>143.28100000000001</v>
      </c>
      <c r="E1730" s="42">
        <v>143.40700000000001</v>
      </c>
      <c r="F1730" s="42">
        <v>143.53399999999999</v>
      </c>
      <c r="G1730" s="42">
        <v>143.661</v>
      </c>
      <c r="H1730" s="42">
        <v>143.91399999999999</v>
      </c>
      <c r="I1730" s="42">
        <v>144.16800000000001</v>
      </c>
      <c r="J1730" s="19">
        <v>4966</v>
      </c>
      <c r="K1730" s="1">
        <v>6650</v>
      </c>
      <c r="L1730" s="1">
        <v>91.44</v>
      </c>
      <c r="M1730" s="1">
        <v>68.706999999999994</v>
      </c>
      <c r="N1730" s="1">
        <v>45.889000000000003</v>
      </c>
      <c r="O1730" s="1">
        <v>23.007000000000001</v>
      </c>
      <c r="P1730" s="1">
        <v>0</v>
      </c>
      <c r="Q1730" s="1">
        <v>-23.088999999999999</v>
      </c>
      <c r="R1730" s="1">
        <v>-46.332999999999998</v>
      </c>
      <c r="S1730" s="1">
        <v>-69.7</v>
      </c>
      <c r="T1730" s="1">
        <v>-93.245999999999995</v>
      </c>
    </row>
    <row r="1731" spans="1:20">
      <c r="A1731" s="1">
        <v>6700</v>
      </c>
      <c r="B1731" s="42">
        <v>141.512</v>
      </c>
      <c r="C1731" s="42">
        <v>141.76400000000001</v>
      </c>
      <c r="D1731" s="42">
        <v>141.89099999999999</v>
      </c>
      <c r="E1731" s="42">
        <v>142.017</v>
      </c>
      <c r="F1731" s="42">
        <v>142.143</v>
      </c>
      <c r="G1731" s="42">
        <v>142.27000000000001</v>
      </c>
      <c r="H1731" s="42">
        <v>142.523</v>
      </c>
      <c r="I1731" s="42">
        <v>142.77600000000001</v>
      </c>
      <c r="J1731" s="19">
        <v>4916</v>
      </c>
      <c r="K1731" s="1">
        <v>6700</v>
      </c>
      <c r="L1731" s="1">
        <v>91.147000000000006</v>
      </c>
      <c r="M1731" s="1">
        <v>68.488</v>
      </c>
      <c r="N1731" s="1">
        <v>45.743000000000002</v>
      </c>
      <c r="O1731" s="1">
        <v>22.933</v>
      </c>
      <c r="P1731" s="1">
        <v>0</v>
      </c>
      <c r="Q1731" s="1">
        <v>-23.015000000000001</v>
      </c>
      <c r="R1731" s="1">
        <v>-46.183999999999997</v>
      </c>
      <c r="S1731" s="1">
        <v>-69.475999999999999</v>
      </c>
      <c r="T1731" s="1">
        <v>-92.945999999999998</v>
      </c>
    </row>
    <row r="1732" spans="1:20">
      <c r="A1732" s="1">
        <v>6750</v>
      </c>
      <c r="B1732" s="42">
        <v>140.126</v>
      </c>
      <c r="C1732" s="42">
        <v>140.37799999999999</v>
      </c>
      <c r="D1732" s="42">
        <v>140.50399999999999</v>
      </c>
      <c r="E1732" s="42">
        <v>140.63</v>
      </c>
      <c r="F1732" s="42">
        <v>140.71600000000001</v>
      </c>
      <c r="G1732" s="42">
        <v>140.88200000000001</v>
      </c>
      <c r="H1732" s="42">
        <v>141.13399999999999</v>
      </c>
      <c r="I1732" s="42">
        <v>141.387</v>
      </c>
      <c r="J1732" s="19">
        <v>4866</v>
      </c>
      <c r="K1732" s="1">
        <v>6750</v>
      </c>
      <c r="L1732" s="1">
        <v>90.852999999999994</v>
      </c>
      <c r="M1732" s="1">
        <v>68.266000000000005</v>
      </c>
      <c r="N1732" s="1">
        <v>45.595999999999997</v>
      </c>
      <c r="O1732" s="1">
        <v>22.861000000000001</v>
      </c>
      <c r="P1732" s="1">
        <v>0</v>
      </c>
      <c r="Q1732" s="1">
        <v>-22.940999999999999</v>
      </c>
      <c r="R1732" s="1">
        <v>-46.036000000000001</v>
      </c>
      <c r="S1732" s="1">
        <v>-69.253</v>
      </c>
      <c r="T1732" s="1">
        <v>-92.649000000000001</v>
      </c>
    </row>
    <row r="1733" spans="1:20">
      <c r="A1733" s="1">
        <v>6800</v>
      </c>
      <c r="B1733" s="42">
        <v>138.744</v>
      </c>
      <c r="C1733" s="42">
        <v>138.995</v>
      </c>
      <c r="D1733" s="42">
        <v>139.12100000000001</v>
      </c>
      <c r="E1733" s="42">
        <v>139.24600000000001</v>
      </c>
      <c r="F1733" s="42">
        <v>139.37200000000001</v>
      </c>
      <c r="G1733" s="42">
        <v>139.49799999999999</v>
      </c>
      <c r="H1733" s="42">
        <v>139.75</v>
      </c>
      <c r="I1733" s="42">
        <v>140.00200000000001</v>
      </c>
      <c r="J1733" s="19">
        <v>4816</v>
      </c>
      <c r="K1733" s="1">
        <v>6800</v>
      </c>
      <c r="L1733" s="1">
        <v>90.558000000000007</v>
      </c>
      <c r="M1733" s="1">
        <v>68.045000000000002</v>
      </c>
      <c r="N1733" s="1">
        <v>45.447000000000003</v>
      </c>
      <c r="O1733" s="1">
        <v>22.786999999999999</v>
      </c>
      <c r="P1733" s="1">
        <v>0</v>
      </c>
      <c r="Q1733" s="1">
        <v>-22.867000000000001</v>
      </c>
      <c r="R1733" s="1">
        <v>-45.887999999999998</v>
      </c>
      <c r="S1733" s="1">
        <v>-69.031000000000006</v>
      </c>
      <c r="T1733" s="1">
        <v>-92.35</v>
      </c>
    </row>
    <row r="1734" spans="1:20">
      <c r="A1734" s="1">
        <v>6850</v>
      </c>
      <c r="B1734" s="42">
        <v>137.36500000000001</v>
      </c>
      <c r="C1734" s="42">
        <v>137.61500000000001</v>
      </c>
      <c r="D1734" s="42">
        <v>137.74100000000001</v>
      </c>
      <c r="E1734" s="42">
        <v>137.86600000000001</v>
      </c>
      <c r="F1734" s="42">
        <v>137.99100000000001</v>
      </c>
      <c r="G1734" s="42">
        <v>138.11699999999999</v>
      </c>
      <c r="H1734" s="42">
        <v>138.36799999999999</v>
      </c>
      <c r="I1734" s="42">
        <v>138.619</v>
      </c>
      <c r="J1734" s="19">
        <v>4766</v>
      </c>
      <c r="K1734" s="1">
        <v>6850</v>
      </c>
      <c r="L1734" s="1">
        <v>90.265000000000001</v>
      </c>
      <c r="M1734" s="1">
        <v>67.825000000000003</v>
      </c>
      <c r="N1734" s="1">
        <v>45.3</v>
      </c>
      <c r="O1734" s="1">
        <v>22.713000000000001</v>
      </c>
      <c r="P1734" s="1">
        <v>0</v>
      </c>
      <c r="Q1734" s="1">
        <v>-22.792000000000002</v>
      </c>
      <c r="R1734" s="1">
        <v>-45.738</v>
      </c>
      <c r="S1734" s="1">
        <v>-68.807000000000002</v>
      </c>
      <c r="T1734" s="1">
        <v>-92.05</v>
      </c>
    </row>
    <row r="1735" spans="1:20">
      <c r="A1735" s="1">
        <v>6900</v>
      </c>
      <c r="B1735" s="42">
        <v>135.989</v>
      </c>
      <c r="C1735" s="42">
        <v>136.239</v>
      </c>
      <c r="D1735" s="42">
        <v>136.364</v>
      </c>
      <c r="E1735" s="42">
        <v>136.489</v>
      </c>
      <c r="F1735" s="42">
        <v>136.614</v>
      </c>
      <c r="G1735" s="42">
        <v>136.739</v>
      </c>
      <c r="H1735" s="42">
        <v>136.99</v>
      </c>
      <c r="I1735" s="42">
        <v>137.24100000000001</v>
      </c>
      <c r="J1735" s="19">
        <v>4716</v>
      </c>
      <c r="K1735" s="1">
        <v>6900</v>
      </c>
      <c r="L1735" s="1">
        <v>89.971999999999994</v>
      </c>
      <c r="M1735" s="1">
        <v>67.602999999999994</v>
      </c>
      <c r="N1735" s="1">
        <v>45.152000000000001</v>
      </c>
      <c r="O1735" s="1">
        <v>22.638999999999999</v>
      </c>
      <c r="P1735" s="1">
        <v>0</v>
      </c>
      <c r="Q1735" s="1">
        <v>-22.716999999999999</v>
      </c>
      <c r="R1735" s="1">
        <v>-45.59</v>
      </c>
      <c r="S1735" s="1">
        <v>-68.582999999999998</v>
      </c>
      <c r="T1735" s="1">
        <v>-91.75</v>
      </c>
    </row>
    <row r="1736" spans="1:20">
      <c r="A1736" s="1">
        <v>6950</v>
      </c>
      <c r="B1736" s="42">
        <v>134.61699999999999</v>
      </c>
      <c r="C1736" s="42">
        <v>134.86600000000001</v>
      </c>
      <c r="D1736" s="42">
        <v>134.99100000000001</v>
      </c>
      <c r="E1736" s="42">
        <v>135.11500000000001</v>
      </c>
      <c r="F1736" s="42">
        <v>135.24</v>
      </c>
      <c r="G1736" s="42">
        <v>135.36500000000001</v>
      </c>
      <c r="H1736" s="42">
        <v>135.61500000000001</v>
      </c>
      <c r="I1736" s="42">
        <v>135.86500000000001</v>
      </c>
      <c r="J1736" s="19">
        <v>4666</v>
      </c>
      <c r="K1736" s="1">
        <v>6950</v>
      </c>
      <c r="L1736" s="1">
        <v>89.679000000000002</v>
      </c>
      <c r="M1736" s="1">
        <v>67.384</v>
      </c>
      <c r="N1736" s="1">
        <v>45.006</v>
      </c>
      <c r="O1736" s="1">
        <v>22.565000000000001</v>
      </c>
      <c r="P1736" s="1">
        <v>0</v>
      </c>
      <c r="Q1736" s="1">
        <v>-22.643000000000001</v>
      </c>
      <c r="R1736" s="1">
        <v>-45.44</v>
      </c>
      <c r="S1736" s="1">
        <v>-68.358000000000004</v>
      </c>
      <c r="T1736" s="1">
        <v>-91.45</v>
      </c>
    </row>
    <row r="1737" spans="1:20">
      <c r="A1737" s="1">
        <v>7000</v>
      </c>
      <c r="B1737" s="42">
        <v>133.24799999999999</v>
      </c>
      <c r="C1737" s="42">
        <v>133.49600000000001</v>
      </c>
      <c r="D1737" s="42">
        <v>133.62100000000001</v>
      </c>
      <c r="E1737" s="42">
        <v>133.745</v>
      </c>
      <c r="F1737" s="42">
        <v>133.87</v>
      </c>
      <c r="G1737" s="42">
        <v>133.994</v>
      </c>
      <c r="H1737" s="42">
        <v>134.244</v>
      </c>
      <c r="I1737" s="42">
        <v>134.49299999999999</v>
      </c>
      <c r="J1737" s="19">
        <v>4616</v>
      </c>
      <c r="K1737" s="1">
        <v>7000</v>
      </c>
      <c r="L1737" s="1">
        <v>89.385999999999996</v>
      </c>
      <c r="M1737" s="1">
        <v>67.162999999999997</v>
      </c>
      <c r="N1737" s="1">
        <v>44.859000000000002</v>
      </c>
      <c r="O1737" s="1">
        <v>22.492000000000001</v>
      </c>
      <c r="P1737" s="1">
        <v>0</v>
      </c>
      <c r="Q1737" s="1">
        <v>-22.568999999999999</v>
      </c>
      <c r="R1737" s="1">
        <v>-45.292000000000002</v>
      </c>
      <c r="S1737" s="1">
        <v>-68.135999999999996</v>
      </c>
      <c r="T1737" s="1">
        <v>-91.150999999999996</v>
      </c>
    </row>
    <row r="1738" spans="1:20">
      <c r="A1738" s="1">
        <v>7050</v>
      </c>
      <c r="B1738" s="42">
        <v>131.88200000000001</v>
      </c>
      <c r="C1738" s="42">
        <v>132.13</v>
      </c>
      <c r="D1738" s="42">
        <v>132.25399999999999</v>
      </c>
      <c r="E1738" s="42">
        <v>132.37799999999999</v>
      </c>
      <c r="F1738" s="42">
        <v>132.50200000000001</v>
      </c>
      <c r="G1738" s="42">
        <v>132.62700000000001</v>
      </c>
      <c r="H1738" s="42">
        <v>132.875</v>
      </c>
      <c r="I1738" s="42">
        <v>133.124</v>
      </c>
      <c r="J1738" s="19">
        <v>4566</v>
      </c>
      <c r="K1738" s="1">
        <v>7050</v>
      </c>
      <c r="L1738" s="1">
        <v>89.090999999999994</v>
      </c>
      <c r="M1738" s="1">
        <v>66.941999999999993</v>
      </c>
      <c r="N1738" s="1">
        <v>44.710999999999999</v>
      </c>
      <c r="O1738" s="1">
        <v>22.417999999999999</v>
      </c>
      <c r="P1738" s="1">
        <v>0</v>
      </c>
      <c r="Q1738" s="1">
        <v>-22.495999999999999</v>
      </c>
      <c r="R1738" s="1">
        <v>-45.145000000000003</v>
      </c>
      <c r="S1738" s="1">
        <v>-67.912999999999997</v>
      </c>
      <c r="T1738" s="1">
        <v>-90.853999999999999</v>
      </c>
    </row>
    <row r="1739" spans="1:20">
      <c r="A1739" s="1">
        <v>7100</v>
      </c>
      <c r="B1739" s="42">
        <v>130.52000000000001</v>
      </c>
      <c r="C1739" s="42">
        <v>130.767</v>
      </c>
      <c r="D1739" s="42">
        <v>130.89099999999999</v>
      </c>
      <c r="E1739" s="42">
        <v>131.01499999999999</v>
      </c>
      <c r="F1739" s="42">
        <v>131.13900000000001</v>
      </c>
      <c r="G1739" s="42">
        <v>131.262</v>
      </c>
      <c r="H1739" s="42">
        <v>131.511</v>
      </c>
      <c r="I1739" s="42">
        <v>131.75899999999999</v>
      </c>
      <c r="J1739" s="19">
        <v>4516</v>
      </c>
      <c r="K1739" s="1">
        <v>7100</v>
      </c>
      <c r="L1739" s="1">
        <v>88.796999999999997</v>
      </c>
      <c r="M1739" s="1">
        <v>66.721999999999994</v>
      </c>
      <c r="N1739" s="1">
        <v>44.564999999999998</v>
      </c>
      <c r="O1739" s="1">
        <v>22.344000000000001</v>
      </c>
      <c r="P1739" s="1">
        <v>0</v>
      </c>
      <c r="Q1739" s="1">
        <v>-22.420999999999999</v>
      </c>
      <c r="R1739" s="1">
        <v>-44.994</v>
      </c>
      <c r="S1739" s="1">
        <v>-67.688999999999993</v>
      </c>
      <c r="T1739" s="1">
        <v>-90.554000000000002</v>
      </c>
    </row>
    <row r="1740" spans="1:20">
      <c r="A1740" s="1">
        <v>7150</v>
      </c>
      <c r="B1740" s="42">
        <v>129.161</v>
      </c>
      <c r="C1740" s="42">
        <v>129.40700000000001</v>
      </c>
      <c r="D1740" s="42">
        <v>129.53100000000001</v>
      </c>
      <c r="E1740" s="42">
        <v>129.654</v>
      </c>
      <c r="F1740" s="42">
        <v>129.77799999999999</v>
      </c>
      <c r="G1740" s="42">
        <v>129.90199999999999</v>
      </c>
      <c r="H1740" s="42">
        <v>130.149</v>
      </c>
      <c r="I1740" s="42">
        <v>130.39699999999999</v>
      </c>
      <c r="J1740" s="19">
        <v>4466</v>
      </c>
      <c r="K1740" s="1">
        <v>7150</v>
      </c>
      <c r="L1740" s="1">
        <v>88.503</v>
      </c>
      <c r="M1740" s="1">
        <v>66.5</v>
      </c>
      <c r="N1740" s="1">
        <v>44.417000000000002</v>
      </c>
      <c r="O1740" s="1">
        <v>22.27</v>
      </c>
      <c r="P1740" s="1">
        <v>0</v>
      </c>
      <c r="Q1740" s="1">
        <v>-22.346</v>
      </c>
      <c r="R1740" s="1">
        <v>-44.844999999999999</v>
      </c>
      <c r="S1740" s="1">
        <v>-67.465000000000003</v>
      </c>
      <c r="T1740" s="1">
        <v>-90.254000000000005</v>
      </c>
    </row>
    <row r="1741" spans="1:20">
      <c r="A1741" s="1">
        <v>7200</v>
      </c>
      <c r="B1741" s="42">
        <v>127.80500000000001</v>
      </c>
      <c r="C1741" s="42">
        <v>128.05099999999999</v>
      </c>
      <c r="D1741" s="42">
        <v>128.17400000000001</v>
      </c>
      <c r="E1741" s="42">
        <v>128.297</v>
      </c>
      <c r="F1741" s="42">
        <v>128.42099999999999</v>
      </c>
      <c r="G1741" s="42">
        <v>128.54400000000001</v>
      </c>
      <c r="H1741" s="42">
        <v>128.791</v>
      </c>
      <c r="I1741" s="42">
        <v>129.03800000000001</v>
      </c>
      <c r="J1741" s="19">
        <v>4416</v>
      </c>
      <c r="K1741" s="1">
        <v>7200</v>
      </c>
      <c r="L1741" s="1">
        <v>88.212000000000003</v>
      </c>
      <c r="M1741" s="1">
        <v>66.281000000000006</v>
      </c>
      <c r="N1741" s="1">
        <v>44.271000000000001</v>
      </c>
      <c r="O1741" s="1">
        <v>22.196000000000002</v>
      </c>
      <c r="P1741" s="1">
        <v>0</v>
      </c>
      <c r="Q1741" s="1">
        <v>-22.273</v>
      </c>
      <c r="R1741" s="1">
        <v>-44.695</v>
      </c>
      <c r="S1741" s="1">
        <v>-67.239999999999995</v>
      </c>
      <c r="T1741" s="1">
        <v>-89.953000000000003</v>
      </c>
    </row>
    <row r="1742" spans="1:20">
      <c r="A1742" s="1">
        <v>7250</v>
      </c>
      <c r="B1742" s="42">
        <v>126.453</v>
      </c>
      <c r="C1742" s="42">
        <v>126.69799999999999</v>
      </c>
      <c r="D1742" s="42">
        <v>126.821</v>
      </c>
      <c r="E1742" s="42">
        <v>126.944</v>
      </c>
      <c r="F1742" s="42">
        <v>127.06699999999999</v>
      </c>
      <c r="G1742" s="42">
        <v>127.19</v>
      </c>
      <c r="H1742" s="42">
        <v>127.43600000000001</v>
      </c>
      <c r="I1742" s="42">
        <v>127.68300000000001</v>
      </c>
      <c r="J1742" s="19">
        <v>4366</v>
      </c>
      <c r="K1742" s="1">
        <v>7250</v>
      </c>
      <c r="L1742" s="1">
        <v>88.497</v>
      </c>
      <c r="M1742" s="1">
        <v>66.06</v>
      </c>
      <c r="N1742" s="1">
        <v>44.124000000000002</v>
      </c>
      <c r="O1742" s="1">
        <v>22.123000000000001</v>
      </c>
      <c r="P1742" s="1">
        <v>0</v>
      </c>
      <c r="Q1742" s="1">
        <v>-22.199000000000002</v>
      </c>
      <c r="R1742" s="1">
        <v>-44.548000000000002</v>
      </c>
      <c r="S1742" s="1">
        <v>-67.018000000000001</v>
      </c>
      <c r="T1742" s="1">
        <v>-89.655000000000001</v>
      </c>
    </row>
    <row r="1743" spans="1:20">
      <c r="A1743" s="1">
        <v>7300</v>
      </c>
      <c r="B1743" s="42">
        <v>125.104</v>
      </c>
      <c r="C1743" s="42">
        <v>125.349</v>
      </c>
      <c r="D1743" s="42">
        <v>125.471</v>
      </c>
      <c r="E1743" s="42">
        <v>125.59399999999999</v>
      </c>
      <c r="F1743" s="42">
        <v>125.71599999999999</v>
      </c>
      <c r="G1743" s="42">
        <v>125.839</v>
      </c>
      <c r="H1743" s="42">
        <v>126.08499999999999</v>
      </c>
      <c r="I1743" s="42">
        <v>126.331</v>
      </c>
      <c r="J1743" s="19">
        <v>4316</v>
      </c>
      <c r="K1743" s="1">
        <v>7300</v>
      </c>
      <c r="L1743" s="1">
        <v>90.795000000000002</v>
      </c>
      <c r="M1743" s="1">
        <v>66.545000000000002</v>
      </c>
      <c r="N1743" s="1">
        <v>43.975999999999999</v>
      </c>
      <c r="O1743" s="1">
        <v>22.047999999999998</v>
      </c>
      <c r="P1743" s="1">
        <v>0</v>
      </c>
      <c r="Q1743" s="1">
        <v>-22.126000000000001</v>
      </c>
      <c r="R1743" s="1">
        <v>-44.4</v>
      </c>
      <c r="S1743" s="1">
        <v>-66.796000000000006</v>
      </c>
      <c r="T1743" s="1">
        <v>-89.358000000000004</v>
      </c>
    </row>
    <row r="1744" spans="1:20">
      <c r="A1744" s="1">
        <v>7350</v>
      </c>
      <c r="B1744" s="42">
        <v>123.758</v>
      </c>
      <c r="C1744" s="42">
        <v>124.002</v>
      </c>
      <c r="D1744" s="42">
        <v>124.125</v>
      </c>
      <c r="E1744" s="42">
        <v>124.247</v>
      </c>
      <c r="F1744" s="42">
        <v>124.369</v>
      </c>
      <c r="G1744" s="42">
        <v>124.492</v>
      </c>
      <c r="H1744" s="42">
        <v>124.73699999999999</v>
      </c>
      <c r="I1744" s="42">
        <v>124.982</v>
      </c>
      <c r="J1744" s="19">
        <v>4266</v>
      </c>
      <c r="K1744" s="1">
        <v>7350</v>
      </c>
      <c r="L1744" s="1">
        <v>90.21</v>
      </c>
      <c r="M1744" s="1">
        <v>67.534000000000006</v>
      </c>
      <c r="N1744" s="1">
        <v>44.8</v>
      </c>
      <c r="O1744" s="1">
        <v>21.975000000000001</v>
      </c>
      <c r="P1744" s="1">
        <v>0</v>
      </c>
      <c r="Q1744" s="1">
        <v>-22.05</v>
      </c>
      <c r="R1744" s="1">
        <v>-44.25</v>
      </c>
      <c r="S1744" s="1">
        <v>-66.570999999999998</v>
      </c>
      <c r="T1744" s="1">
        <v>-89.055999999999997</v>
      </c>
    </row>
    <row r="1745" spans="1:20">
      <c r="A1745" s="1">
        <v>7400</v>
      </c>
      <c r="B1745" s="42">
        <v>122.355</v>
      </c>
      <c r="C1745" s="42">
        <v>122.66</v>
      </c>
      <c r="D1745" s="42">
        <v>122.78100000000001</v>
      </c>
      <c r="E1745" s="42">
        <v>122.90300000000001</v>
      </c>
      <c r="F1745" s="42">
        <v>123.026</v>
      </c>
      <c r="G1745" s="42">
        <v>123.148</v>
      </c>
      <c r="H1745" s="42">
        <v>123.392</v>
      </c>
      <c r="I1745" s="42">
        <v>123.637</v>
      </c>
      <c r="J1745" s="19">
        <v>4216</v>
      </c>
      <c r="K1745" s="1">
        <v>7400</v>
      </c>
      <c r="L1745" s="1">
        <v>87.909000000000006</v>
      </c>
      <c r="M1745" s="1">
        <v>66.227999999999994</v>
      </c>
      <c r="N1745" s="1">
        <v>44.140999999999998</v>
      </c>
      <c r="O1745" s="1">
        <v>21.07</v>
      </c>
      <c r="P1745" s="1">
        <v>0</v>
      </c>
      <c r="Q1745" s="1">
        <v>-21.975999999999999</v>
      </c>
      <c r="R1745" s="1">
        <v>-44.100999999999999</v>
      </c>
      <c r="S1745" s="1">
        <v>-66.337999999999994</v>
      </c>
      <c r="T1745" s="1">
        <v>-88.698999999999998</v>
      </c>
    </row>
    <row r="1746" spans="1:20">
      <c r="A1746" s="1">
        <v>7450</v>
      </c>
      <c r="B1746" s="42">
        <v>120.748</v>
      </c>
      <c r="C1746" s="42">
        <v>121.154</v>
      </c>
      <c r="D1746" s="42">
        <v>121.357</v>
      </c>
      <c r="E1746" s="42">
        <v>121.557</v>
      </c>
      <c r="F1746" s="42">
        <v>121.685</v>
      </c>
      <c r="G1746" s="42">
        <v>121.807</v>
      </c>
      <c r="H1746" s="42">
        <v>122.051</v>
      </c>
      <c r="I1746" s="42">
        <v>122.295</v>
      </c>
      <c r="J1746" s="19">
        <v>4166</v>
      </c>
      <c r="K1746" s="1">
        <v>7450</v>
      </c>
      <c r="L1746" s="1">
        <v>86.742000000000004</v>
      </c>
      <c r="M1746" s="1">
        <v>65.174000000000007</v>
      </c>
      <c r="N1746" s="1">
        <v>43.533000000000001</v>
      </c>
      <c r="O1746" s="1">
        <v>21.824999999999999</v>
      </c>
      <c r="P1746" s="1">
        <v>0</v>
      </c>
      <c r="Q1746" s="1">
        <v>-22.75</v>
      </c>
      <c r="R1746" s="1">
        <v>-43.003999999999998</v>
      </c>
      <c r="S1746" s="1">
        <v>-64.481999999999999</v>
      </c>
      <c r="T1746" s="1">
        <v>-86.852999999999994</v>
      </c>
    </row>
    <row r="1747" spans="1:20">
      <c r="A1747" s="1">
        <v>7500</v>
      </c>
      <c r="B1747" s="42">
        <v>119.146</v>
      </c>
      <c r="C1747" s="42">
        <v>119.551</v>
      </c>
      <c r="D1747" s="42">
        <v>119.753</v>
      </c>
      <c r="E1747" s="42">
        <v>119.956</v>
      </c>
      <c r="F1747" s="42">
        <v>120.158</v>
      </c>
      <c r="G1747" s="42">
        <v>120.361</v>
      </c>
      <c r="H1747" s="42">
        <v>120.71299999999999</v>
      </c>
      <c r="I1747" s="42">
        <v>120.956</v>
      </c>
      <c r="J1747" s="19">
        <v>4116</v>
      </c>
      <c r="K1747" s="1">
        <v>7500</v>
      </c>
      <c r="L1747" s="1">
        <v>86.448999999999998</v>
      </c>
      <c r="M1747" s="1">
        <v>64.954999999999998</v>
      </c>
      <c r="N1747" s="1">
        <v>43.387</v>
      </c>
      <c r="O1747" s="1">
        <v>21.751999999999999</v>
      </c>
      <c r="P1747" s="1">
        <v>0</v>
      </c>
      <c r="Q1747" s="1">
        <v>-21.829000000000001</v>
      </c>
      <c r="R1747" s="1">
        <v>-43.459000000000003</v>
      </c>
      <c r="S1747" s="1">
        <v>-64.236999999999995</v>
      </c>
      <c r="T1747" s="1">
        <v>-84.775000000000006</v>
      </c>
    </row>
    <row r="1748" spans="1:20">
      <c r="A1748" s="1">
        <v>7550</v>
      </c>
      <c r="B1748" s="42">
        <v>117.548</v>
      </c>
      <c r="C1748" s="42">
        <v>117.95099999999999</v>
      </c>
      <c r="D1748" s="42">
        <v>118.15300000000001</v>
      </c>
      <c r="E1748" s="42">
        <v>118.355</v>
      </c>
      <c r="F1748" s="42">
        <v>118.557</v>
      </c>
      <c r="G1748" s="42">
        <v>118.76</v>
      </c>
      <c r="H1748" s="42">
        <v>119.16500000000001</v>
      </c>
      <c r="I1748" s="42">
        <v>119.568</v>
      </c>
      <c r="J1748" s="19">
        <v>4066</v>
      </c>
      <c r="K1748" s="1">
        <v>7550</v>
      </c>
      <c r="L1748" s="1">
        <v>86.155000000000001</v>
      </c>
      <c r="M1748" s="1">
        <v>64.733000000000004</v>
      </c>
      <c r="N1748" s="1">
        <v>43.238999999999997</v>
      </c>
      <c r="O1748" s="1">
        <v>21.678000000000001</v>
      </c>
      <c r="P1748" s="1">
        <v>0</v>
      </c>
      <c r="Q1748" s="1">
        <v>-21.756</v>
      </c>
      <c r="R1748" s="1">
        <v>-43.656999999999996</v>
      </c>
      <c r="S1748" s="1">
        <v>-65.414000000000001</v>
      </c>
      <c r="T1748" s="1">
        <v>-85.837000000000003</v>
      </c>
    </row>
    <row r="1749" spans="1:20">
      <c r="A1749" s="1">
        <v>7600</v>
      </c>
      <c r="B1749" s="42">
        <v>115.953</v>
      </c>
      <c r="C1749" s="42">
        <v>116.35599999999999</v>
      </c>
      <c r="D1749" s="42">
        <v>116.557</v>
      </c>
      <c r="E1749" s="42">
        <v>116.759</v>
      </c>
      <c r="F1749" s="42">
        <v>116.961</v>
      </c>
      <c r="G1749" s="42">
        <v>117.16200000000001</v>
      </c>
      <c r="H1749" s="42">
        <v>117.566</v>
      </c>
      <c r="I1749" s="42">
        <v>117.971</v>
      </c>
      <c r="J1749" s="19">
        <v>4016</v>
      </c>
      <c r="K1749" s="1">
        <v>7600</v>
      </c>
      <c r="L1749" s="1">
        <v>85.861999999999995</v>
      </c>
      <c r="M1749" s="1">
        <v>64.513000000000005</v>
      </c>
      <c r="N1749" s="1">
        <v>43.091999999999999</v>
      </c>
      <c r="O1749" s="1">
        <v>21.605</v>
      </c>
      <c r="P1749" s="1">
        <v>0</v>
      </c>
      <c r="Q1749" s="1">
        <v>-21.681000000000001</v>
      </c>
      <c r="R1749" s="1">
        <v>-43.506999999999998</v>
      </c>
      <c r="S1749" s="1">
        <v>-65.453999999999994</v>
      </c>
      <c r="T1749" s="1">
        <v>-87.332999999999998</v>
      </c>
    </row>
    <row r="1750" spans="1:20">
      <c r="A1750" s="1">
        <v>7650</v>
      </c>
      <c r="B1750" s="42">
        <v>114.363</v>
      </c>
      <c r="C1750" s="42">
        <v>114.764</v>
      </c>
      <c r="D1750" s="42">
        <v>114.965</v>
      </c>
      <c r="E1750" s="42">
        <v>115.166</v>
      </c>
      <c r="F1750" s="42">
        <v>115.36799999999999</v>
      </c>
      <c r="G1750" s="42">
        <v>115.569</v>
      </c>
      <c r="H1750" s="42">
        <v>115.97199999999999</v>
      </c>
      <c r="I1750" s="42">
        <v>116.375</v>
      </c>
      <c r="J1750" s="19">
        <v>3966</v>
      </c>
      <c r="K1750" s="1">
        <v>7650</v>
      </c>
      <c r="L1750" s="1">
        <v>85.566999999999993</v>
      </c>
      <c r="M1750" s="1">
        <v>64.292000000000002</v>
      </c>
      <c r="N1750" s="1">
        <v>42.945</v>
      </c>
      <c r="O1750" s="1">
        <v>21.530999999999999</v>
      </c>
      <c r="P1750" s="1">
        <v>0</v>
      </c>
      <c r="Q1750" s="1">
        <v>-21.606000000000002</v>
      </c>
      <c r="R1750" s="1">
        <v>-43.359000000000002</v>
      </c>
      <c r="S1750" s="1">
        <v>-65.230999999999995</v>
      </c>
      <c r="T1750" s="1">
        <v>-87.263000000000005</v>
      </c>
    </row>
    <row r="1751" spans="1:20">
      <c r="A1751" s="1">
        <v>7700</v>
      </c>
      <c r="B1751" s="42">
        <v>112.777</v>
      </c>
      <c r="C1751" s="42">
        <v>113.17700000000001</v>
      </c>
      <c r="D1751" s="42">
        <v>113.378</v>
      </c>
      <c r="E1751" s="42">
        <v>113.578</v>
      </c>
      <c r="F1751" s="42">
        <v>113.779</v>
      </c>
      <c r="G1751" s="42">
        <v>113.98</v>
      </c>
      <c r="H1751" s="42">
        <v>114.38200000000001</v>
      </c>
      <c r="I1751" s="42">
        <v>114.78400000000001</v>
      </c>
      <c r="J1751" s="19">
        <v>3916</v>
      </c>
      <c r="K1751" s="1">
        <v>7700</v>
      </c>
      <c r="L1751" s="1">
        <v>85.275000000000006</v>
      </c>
      <c r="M1751" s="1">
        <v>64.070999999999998</v>
      </c>
      <c r="N1751" s="1">
        <v>42.796999999999997</v>
      </c>
      <c r="O1751" s="1">
        <v>21.456</v>
      </c>
      <c r="P1751" s="1">
        <v>0</v>
      </c>
      <c r="Q1751" s="1">
        <v>-21.533000000000001</v>
      </c>
      <c r="R1751" s="1">
        <v>-43.21</v>
      </c>
      <c r="S1751" s="1">
        <v>-65.007999999999996</v>
      </c>
      <c r="T1751" s="1">
        <v>-86.962999999999994</v>
      </c>
    </row>
    <row r="1752" spans="1:20">
      <c r="A1752" s="1">
        <v>7750</v>
      </c>
      <c r="B1752" s="42">
        <v>111.194</v>
      </c>
      <c r="C1752" s="42">
        <v>111.59399999999999</v>
      </c>
      <c r="D1752" s="42">
        <v>111.794</v>
      </c>
      <c r="E1752" s="42">
        <v>111.994</v>
      </c>
      <c r="F1752" s="42">
        <v>112.194</v>
      </c>
      <c r="G1752" s="42">
        <v>112.39400000000001</v>
      </c>
      <c r="H1752" s="42">
        <v>112.795</v>
      </c>
      <c r="I1752" s="42">
        <v>113.197</v>
      </c>
      <c r="J1752" s="19">
        <v>3866</v>
      </c>
      <c r="K1752" s="1">
        <v>7750</v>
      </c>
      <c r="L1752" s="1">
        <v>84.980999999999995</v>
      </c>
      <c r="M1752" s="1">
        <v>63.851999999999997</v>
      </c>
      <c r="N1752" s="1">
        <v>42.651000000000003</v>
      </c>
      <c r="O1752" s="1">
        <v>21.384</v>
      </c>
      <c r="P1752" s="1">
        <v>0</v>
      </c>
      <c r="Q1752" s="1">
        <v>-21.457999999999998</v>
      </c>
      <c r="R1752" s="1">
        <v>-43.06</v>
      </c>
      <c r="S1752" s="1">
        <v>-64.783000000000001</v>
      </c>
      <c r="T1752" s="1">
        <v>-86.662999999999997</v>
      </c>
    </row>
    <row r="1753" spans="1:20">
      <c r="A1753" s="1">
        <v>7800</v>
      </c>
      <c r="B1753" s="42">
        <v>109.616</v>
      </c>
      <c r="C1753" s="42">
        <v>110.015</v>
      </c>
      <c r="D1753" s="42">
        <v>110.214</v>
      </c>
      <c r="E1753" s="42">
        <v>110.414</v>
      </c>
      <c r="F1753" s="42">
        <v>110.613</v>
      </c>
      <c r="G1753" s="42">
        <v>110.813</v>
      </c>
      <c r="H1753" s="42">
        <v>111.21299999999999</v>
      </c>
      <c r="I1753" s="42">
        <v>111.613</v>
      </c>
      <c r="J1753" s="19">
        <v>3816</v>
      </c>
      <c r="K1753" s="1">
        <v>7800</v>
      </c>
      <c r="L1753" s="1">
        <v>84.686999999999998</v>
      </c>
      <c r="M1753" s="1">
        <v>63.63</v>
      </c>
      <c r="N1753" s="1">
        <v>42.502000000000002</v>
      </c>
      <c r="O1753" s="1">
        <v>21.308</v>
      </c>
      <c r="P1753" s="1">
        <v>0</v>
      </c>
      <c r="Q1753" s="1">
        <v>-21.385000000000002</v>
      </c>
      <c r="R1753" s="1">
        <v>-42.912999999999997</v>
      </c>
      <c r="S1753" s="1">
        <v>-64.561000000000007</v>
      </c>
      <c r="T1753" s="1">
        <v>-86.364999999999995</v>
      </c>
    </row>
    <row r="1754" spans="1:20">
      <c r="A1754" s="1">
        <v>7850</v>
      </c>
      <c r="B1754" s="42">
        <v>108.042</v>
      </c>
      <c r="C1754" s="42">
        <v>108.43899999999999</v>
      </c>
      <c r="D1754" s="42">
        <v>108.63800000000001</v>
      </c>
      <c r="E1754" s="42">
        <v>108.837</v>
      </c>
      <c r="F1754" s="42">
        <v>109.036</v>
      </c>
      <c r="G1754" s="42">
        <v>109.236</v>
      </c>
      <c r="H1754" s="42">
        <v>109.63500000000001</v>
      </c>
      <c r="I1754" s="42">
        <v>110.03400000000001</v>
      </c>
      <c r="J1754" s="19">
        <v>3766</v>
      </c>
      <c r="K1754" s="1">
        <v>7850</v>
      </c>
      <c r="L1754" s="1">
        <v>84.394000000000005</v>
      </c>
      <c r="M1754" s="1">
        <v>63.408999999999999</v>
      </c>
      <c r="N1754" s="1">
        <v>42.354999999999997</v>
      </c>
      <c r="O1754" s="1">
        <v>21.236000000000001</v>
      </c>
      <c r="P1754" s="1">
        <v>0</v>
      </c>
      <c r="Q1754" s="1">
        <v>-21.31</v>
      </c>
      <c r="R1754" s="1">
        <v>-42.762999999999998</v>
      </c>
      <c r="S1754" s="1">
        <v>-64.335999999999999</v>
      </c>
      <c r="T1754" s="1">
        <v>-86.066000000000003</v>
      </c>
    </row>
    <row r="1755" spans="1:20">
      <c r="A1755" s="1">
        <v>7900</v>
      </c>
      <c r="B1755" s="42">
        <v>106.47199999999999</v>
      </c>
      <c r="C1755" s="42">
        <v>106.86799999999999</v>
      </c>
      <c r="D1755" s="42">
        <v>107.06699999999999</v>
      </c>
      <c r="E1755" s="42">
        <v>107.265</v>
      </c>
      <c r="F1755" s="42">
        <v>107.464</v>
      </c>
      <c r="G1755" s="42">
        <v>107.66200000000001</v>
      </c>
      <c r="H1755" s="42">
        <v>108.06</v>
      </c>
      <c r="I1755" s="42">
        <v>108.459</v>
      </c>
      <c r="J1755" s="19">
        <v>3716</v>
      </c>
      <c r="K1755" s="1">
        <v>7900</v>
      </c>
      <c r="L1755" s="1">
        <v>84.1</v>
      </c>
      <c r="M1755" s="1">
        <v>63.189</v>
      </c>
      <c r="N1755" s="1">
        <v>42.209000000000003</v>
      </c>
      <c r="O1755" s="1">
        <v>21.161999999999999</v>
      </c>
      <c r="P1755" s="1">
        <v>0</v>
      </c>
      <c r="Q1755" s="1">
        <v>-21.234999999999999</v>
      </c>
      <c r="R1755" s="1">
        <v>-42.615000000000002</v>
      </c>
      <c r="S1755" s="1">
        <v>-64.113</v>
      </c>
      <c r="T1755" s="1">
        <v>-85.766000000000005</v>
      </c>
    </row>
    <row r="1756" spans="1:20">
      <c r="A1756" s="1">
        <v>7950</v>
      </c>
      <c r="B1756" s="42">
        <v>104.90600000000001</v>
      </c>
      <c r="C1756" s="42">
        <v>105.301</v>
      </c>
      <c r="D1756" s="42">
        <v>105.499</v>
      </c>
      <c r="E1756" s="42">
        <v>105.697</v>
      </c>
      <c r="F1756" s="42">
        <v>105.895</v>
      </c>
      <c r="G1756" s="42">
        <v>106.093</v>
      </c>
      <c r="H1756" s="42">
        <v>106.49</v>
      </c>
      <c r="I1756" s="42">
        <v>106.887</v>
      </c>
      <c r="J1756" s="19">
        <v>3666</v>
      </c>
      <c r="K1756" s="1">
        <v>7950</v>
      </c>
      <c r="L1756" s="1">
        <v>83.805999999999997</v>
      </c>
      <c r="M1756" s="1">
        <v>62.966000000000001</v>
      </c>
      <c r="N1756" s="1">
        <v>42.061</v>
      </c>
      <c r="O1756" s="1">
        <v>21.088000000000001</v>
      </c>
      <c r="P1756" s="1">
        <v>0</v>
      </c>
      <c r="Q1756" s="1">
        <v>-21.163</v>
      </c>
      <c r="R1756" s="1">
        <v>-42.466000000000001</v>
      </c>
      <c r="S1756" s="1">
        <v>-63.89</v>
      </c>
      <c r="T1756" s="1">
        <v>-85.466999999999999</v>
      </c>
    </row>
    <row r="1757" spans="1:20">
      <c r="A1757" s="1">
        <v>8000</v>
      </c>
      <c r="B1757" s="42">
        <v>103.343</v>
      </c>
      <c r="C1757" s="42">
        <v>103.738</v>
      </c>
      <c r="D1757" s="42">
        <v>103.935</v>
      </c>
      <c r="E1757" s="42">
        <v>104.133</v>
      </c>
      <c r="F1757" s="42">
        <v>104.33</v>
      </c>
      <c r="G1757" s="42">
        <v>104.52800000000001</v>
      </c>
      <c r="H1757" s="42">
        <v>104.92400000000001</v>
      </c>
      <c r="I1757" s="42">
        <v>105.32</v>
      </c>
      <c r="J1757" s="19">
        <v>3616</v>
      </c>
      <c r="K1757" s="1">
        <v>8000</v>
      </c>
      <c r="L1757" s="1">
        <v>83.513999999999996</v>
      </c>
      <c r="M1757" s="1">
        <v>62.747</v>
      </c>
      <c r="N1757" s="1">
        <v>41.914000000000001</v>
      </c>
      <c r="O1757" s="1">
        <v>21.013999999999999</v>
      </c>
      <c r="P1757" s="1">
        <v>0</v>
      </c>
      <c r="Q1757" s="1">
        <v>-21.087</v>
      </c>
      <c r="R1757" s="1">
        <v>-42.316000000000003</v>
      </c>
      <c r="S1757" s="1">
        <v>-63.665999999999997</v>
      </c>
      <c r="T1757" s="1">
        <v>-85.168000000000006</v>
      </c>
    </row>
    <row r="1758" spans="1:20">
      <c r="A1758" s="1">
        <v>8050</v>
      </c>
      <c r="B1758" s="42">
        <v>101.785</v>
      </c>
      <c r="C1758" s="42">
        <v>102.178</v>
      </c>
      <c r="D1758" s="42">
        <v>102.375</v>
      </c>
      <c r="E1758" s="42">
        <v>102.572</v>
      </c>
      <c r="F1758" s="42">
        <v>102.76900000000001</v>
      </c>
      <c r="G1758" s="42">
        <v>102.967</v>
      </c>
      <c r="H1758" s="42">
        <v>103.36199999999999</v>
      </c>
      <c r="I1758" s="42">
        <v>103.75700000000001</v>
      </c>
      <c r="J1758" s="19">
        <v>3566</v>
      </c>
      <c r="K1758" s="1">
        <v>8050</v>
      </c>
      <c r="L1758" s="1">
        <v>83.22</v>
      </c>
      <c r="M1758" s="1">
        <v>62.527000000000001</v>
      </c>
      <c r="N1758" s="1">
        <v>41.767000000000003</v>
      </c>
      <c r="O1758" s="1">
        <v>20.940999999999999</v>
      </c>
      <c r="P1758" s="1">
        <v>0</v>
      </c>
      <c r="Q1758" s="1">
        <v>-21.013000000000002</v>
      </c>
      <c r="R1758" s="1">
        <v>-42.167999999999999</v>
      </c>
      <c r="S1758" s="1">
        <v>-63.442999999999998</v>
      </c>
      <c r="T1758" s="1">
        <v>-84.867000000000004</v>
      </c>
    </row>
    <row r="1759" spans="1:20">
      <c r="A1759" s="1">
        <v>8100</v>
      </c>
      <c r="B1759" s="42">
        <v>100.23099999999999</v>
      </c>
      <c r="C1759" s="42">
        <v>100.623</v>
      </c>
      <c r="D1759" s="42">
        <v>100.82</v>
      </c>
      <c r="E1759" s="42">
        <v>101.01600000000001</v>
      </c>
      <c r="F1759" s="42">
        <v>101.21299999999999</v>
      </c>
      <c r="G1759" s="42">
        <v>101.41</v>
      </c>
      <c r="H1759" s="42">
        <v>101.803</v>
      </c>
      <c r="I1759" s="42">
        <v>102.19799999999999</v>
      </c>
      <c r="J1759" s="19">
        <v>3516</v>
      </c>
      <c r="K1759" s="1">
        <v>8100</v>
      </c>
      <c r="L1759" s="1">
        <v>82.924999999999997</v>
      </c>
      <c r="M1759" s="1">
        <v>62.305</v>
      </c>
      <c r="N1759" s="1">
        <v>41.62</v>
      </c>
      <c r="O1759" s="1">
        <v>20.866</v>
      </c>
      <c r="P1759" s="1">
        <v>0</v>
      </c>
      <c r="Q1759" s="1">
        <v>-20.94</v>
      </c>
      <c r="R1759" s="1">
        <v>-42.018999999999998</v>
      </c>
      <c r="S1759" s="1">
        <v>-63.22</v>
      </c>
      <c r="T1759" s="1">
        <v>-84.57</v>
      </c>
    </row>
    <row r="1760" spans="1:20">
      <c r="A1760" s="1">
        <v>8150</v>
      </c>
      <c r="B1760" s="42">
        <v>98.680999999999997</v>
      </c>
      <c r="C1760" s="42">
        <v>99.072000000000003</v>
      </c>
      <c r="D1760" s="42">
        <v>99.268000000000001</v>
      </c>
      <c r="E1760" s="42">
        <v>99.463999999999999</v>
      </c>
      <c r="F1760" s="42">
        <v>99.66</v>
      </c>
      <c r="G1760" s="42">
        <v>99.855999999999995</v>
      </c>
      <c r="H1760" s="42">
        <v>100.249</v>
      </c>
      <c r="I1760" s="42">
        <v>100.642</v>
      </c>
      <c r="J1760" s="19">
        <v>3466</v>
      </c>
      <c r="K1760" s="1">
        <v>8150</v>
      </c>
      <c r="L1760" s="1">
        <v>82.631</v>
      </c>
      <c r="M1760" s="1">
        <v>62.082999999999998</v>
      </c>
      <c r="N1760" s="1">
        <v>41.472000000000001</v>
      </c>
      <c r="O1760" s="1">
        <v>20.792000000000002</v>
      </c>
      <c r="P1760" s="1">
        <v>0</v>
      </c>
      <c r="Q1760" s="1">
        <v>-20.864000000000001</v>
      </c>
      <c r="R1760" s="1">
        <v>-41.87</v>
      </c>
      <c r="S1760" s="1">
        <v>-62.994999999999997</v>
      </c>
      <c r="T1760" s="1">
        <v>-84.27</v>
      </c>
    </row>
    <row r="1761" spans="1:20">
      <c r="A1761" s="1">
        <v>8200</v>
      </c>
      <c r="B1761" s="42">
        <v>97.135000000000005</v>
      </c>
      <c r="C1761" s="42">
        <v>97.525000000000006</v>
      </c>
      <c r="D1761" s="42">
        <v>97.72</v>
      </c>
      <c r="E1761" s="42">
        <v>97.915999999999997</v>
      </c>
      <c r="F1761" s="42">
        <v>98.111000000000004</v>
      </c>
      <c r="G1761" s="42">
        <v>98.307000000000002</v>
      </c>
      <c r="H1761" s="42">
        <v>98.698999999999998</v>
      </c>
      <c r="I1761" s="42">
        <v>99.090999999999994</v>
      </c>
      <c r="J1761" s="19">
        <v>3416</v>
      </c>
      <c r="K1761" s="1">
        <v>8200</v>
      </c>
      <c r="L1761" s="1">
        <v>82.338999999999999</v>
      </c>
      <c r="M1761" s="1">
        <v>61.863999999999997</v>
      </c>
      <c r="N1761" s="1">
        <v>41.326000000000001</v>
      </c>
      <c r="O1761" s="1">
        <v>20.719000000000001</v>
      </c>
      <c r="P1761" s="1">
        <v>0</v>
      </c>
      <c r="Q1761" s="1">
        <v>-20.791</v>
      </c>
      <c r="R1761" s="1">
        <v>-41.72</v>
      </c>
      <c r="S1761" s="1">
        <v>-62.771000000000001</v>
      </c>
      <c r="T1761" s="1">
        <v>-83.971000000000004</v>
      </c>
    </row>
    <row r="1762" spans="1:20">
      <c r="A1762" s="1">
        <v>8250</v>
      </c>
      <c r="B1762" s="42">
        <v>95.593000000000004</v>
      </c>
      <c r="C1762" s="42">
        <v>95.981999999999999</v>
      </c>
      <c r="D1762" s="42">
        <v>96.177000000000007</v>
      </c>
      <c r="E1762" s="42">
        <v>96.372</v>
      </c>
      <c r="F1762" s="42">
        <v>96.566999999999993</v>
      </c>
      <c r="G1762" s="42">
        <v>96.762</v>
      </c>
      <c r="H1762" s="42">
        <v>97.153000000000006</v>
      </c>
      <c r="I1762" s="42">
        <v>97.543999999999997</v>
      </c>
      <c r="J1762" s="19">
        <v>3366</v>
      </c>
      <c r="K1762" s="1">
        <v>8250</v>
      </c>
      <c r="L1762" s="1">
        <v>82.046000000000006</v>
      </c>
      <c r="M1762" s="1">
        <v>61.643999999999998</v>
      </c>
      <c r="N1762" s="1">
        <v>41.179000000000002</v>
      </c>
      <c r="O1762" s="1">
        <v>20.646000000000001</v>
      </c>
      <c r="P1762" s="1">
        <v>0</v>
      </c>
      <c r="Q1762" s="1">
        <v>-20.716999999999999</v>
      </c>
      <c r="R1762" s="1">
        <v>-41.573</v>
      </c>
      <c r="S1762" s="1">
        <v>-62.548999999999999</v>
      </c>
      <c r="T1762" s="1">
        <v>-83.671000000000006</v>
      </c>
    </row>
    <row r="1763" spans="1:20">
      <c r="A1763" s="1">
        <v>8300</v>
      </c>
      <c r="B1763" s="42">
        <v>94.055000000000007</v>
      </c>
      <c r="C1763" s="42">
        <v>94.442999999999998</v>
      </c>
      <c r="D1763" s="42">
        <v>94.637</v>
      </c>
      <c r="E1763" s="42">
        <v>94.831999999999994</v>
      </c>
      <c r="F1763" s="42">
        <v>95.025999999999996</v>
      </c>
      <c r="G1763" s="42">
        <v>95.221000000000004</v>
      </c>
      <c r="H1763" s="42">
        <v>95.611000000000004</v>
      </c>
      <c r="I1763" s="42">
        <v>96.001000000000005</v>
      </c>
      <c r="J1763" s="19">
        <v>3316</v>
      </c>
      <c r="K1763" s="1">
        <v>8300</v>
      </c>
      <c r="L1763" s="1">
        <v>81.152000000000001</v>
      </c>
      <c r="M1763" s="1">
        <v>61.421999999999997</v>
      </c>
      <c r="N1763" s="1">
        <v>41.030999999999999</v>
      </c>
      <c r="O1763" s="1">
        <v>20.571000000000002</v>
      </c>
      <c r="P1763" s="1">
        <v>0</v>
      </c>
      <c r="Q1763" s="1">
        <v>-20.643000000000001</v>
      </c>
      <c r="R1763" s="1">
        <v>-41.424999999999997</v>
      </c>
      <c r="S1763" s="1">
        <v>-62.326000000000001</v>
      </c>
      <c r="T1763" s="1">
        <v>-83.373999999999995</v>
      </c>
    </row>
    <row r="1764" spans="1:20">
      <c r="A1764" s="1">
        <v>8350</v>
      </c>
      <c r="B1764" s="42">
        <v>92.521000000000001</v>
      </c>
      <c r="C1764" s="42">
        <v>92.908000000000001</v>
      </c>
      <c r="D1764" s="42">
        <v>93.102000000000004</v>
      </c>
      <c r="E1764" s="42">
        <v>93.296000000000006</v>
      </c>
      <c r="F1764" s="42">
        <v>93.49</v>
      </c>
      <c r="G1764" s="42">
        <v>93.683999999999997</v>
      </c>
      <c r="H1764" s="42">
        <v>94.072999999999993</v>
      </c>
      <c r="I1764" s="42">
        <v>94.462000000000003</v>
      </c>
      <c r="J1764" s="19">
        <v>3266</v>
      </c>
      <c r="K1764" s="1">
        <v>8350</v>
      </c>
      <c r="L1764" s="1">
        <v>81.456999999999994</v>
      </c>
      <c r="M1764" s="1">
        <v>61.201000000000001</v>
      </c>
      <c r="N1764" s="1">
        <v>40.884</v>
      </c>
      <c r="O1764" s="1">
        <v>20.498000000000001</v>
      </c>
      <c r="P1764" s="1">
        <v>0</v>
      </c>
      <c r="Q1764" s="1">
        <v>-20.568000000000001</v>
      </c>
      <c r="R1764" s="1">
        <v>-41.274999999999999</v>
      </c>
      <c r="S1764" s="1">
        <v>-62.101999999999997</v>
      </c>
      <c r="T1764" s="1">
        <v>-83.075000000000003</v>
      </c>
    </row>
    <row r="1765" spans="1:20">
      <c r="A1765" s="1">
        <v>8400</v>
      </c>
      <c r="B1765" s="42">
        <v>90.991</v>
      </c>
      <c r="C1765" s="42">
        <v>91.376999999999995</v>
      </c>
      <c r="D1765" s="42">
        <v>91.57</v>
      </c>
      <c r="E1765" s="42">
        <v>91.763999999999996</v>
      </c>
      <c r="F1765" s="42">
        <v>91.956999999999994</v>
      </c>
      <c r="G1765" s="42">
        <v>92.150999999999996</v>
      </c>
      <c r="H1765" s="42">
        <v>92.539000000000001</v>
      </c>
      <c r="I1765" s="42">
        <v>92.927000000000007</v>
      </c>
      <c r="J1765" s="19">
        <v>3216</v>
      </c>
      <c r="K1765" s="1">
        <v>8400</v>
      </c>
      <c r="L1765" s="1">
        <v>81.162999999999997</v>
      </c>
      <c r="M1765" s="1">
        <v>60.98</v>
      </c>
      <c r="N1765" s="1">
        <v>40.735999999999997</v>
      </c>
      <c r="O1765" s="1">
        <v>20.423999999999999</v>
      </c>
      <c r="P1765" s="1">
        <v>0</v>
      </c>
      <c r="Q1765" s="1">
        <v>-20.494</v>
      </c>
      <c r="R1765" s="1">
        <v>-41.125999999999998</v>
      </c>
      <c r="S1765" s="1">
        <v>-61.878</v>
      </c>
      <c r="T1765" s="1">
        <v>-82.774000000000001</v>
      </c>
    </row>
    <row r="1766" spans="1:20">
      <c r="A1766" s="1">
        <v>8450</v>
      </c>
      <c r="B1766" s="42">
        <v>89.465000000000003</v>
      </c>
      <c r="C1766" s="42">
        <v>89.85</v>
      </c>
      <c r="D1766" s="42">
        <v>90.043000000000006</v>
      </c>
      <c r="E1766" s="42">
        <v>90.234999999999999</v>
      </c>
      <c r="F1766" s="42">
        <v>90.429000000000002</v>
      </c>
      <c r="G1766" s="42">
        <v>90.622</v>
      </c>
      <c r="H1766" s="42">
        <v>91.007999999999996</v>
      </c>
      <c r="I1766" s="42">
        <v>91.396000000000001</v>
      </c>
      <c r="J1766" s="19">
        <v>3166</v>
      </c>
      <c r="K1766" s="1">
        <v>8450</v>
      </c>
      <c r="L1766" s="1">
        <v>80.870999999999995</v>
      </c>
      <c r="M1766" s="1">
        <v>60.76</v>
      </c>
      <c r="N1766" s="1">
        <v>40.588999999999999</v>
      </c>
      <c r="O1766" s="1">
        <v>20.350000000000001</v>
      </c>
      <c r="P1766" s="1">
        <v>0</v>
      </c>
      <c r="Q1766" s="1">
        <v>-20.420000000000002</v>
      </c>
      <c r="R1766" s="1">
        <v>-40.976999999999997</v>
      </c>
      <c r="S1766" s="1">
        <v>-61.652999999999999</v>
      </c>
      <c r="T1766" s="1">
        <v>-82.474000000000004</v>
      </c>
    </row>
    <row r="1767" spans="1:20">
      <c r="A1767" s="1">
        <v>8500</v>
      </c>
      <c r="B1767" s="42">
        <v>87.942999999999998</v>
      </c>
      <c r="C1767" s="42">
        <v>88.326999999999998</v>
      </c>
      <c r="D1767" s="42">
        <v>88.519000000000005</v>
      </c>
      <c r="E1767" s="42">
        <v>88.710999999999999</v>
      </c>
      <c r="F1767" s="42">
        <v>88.903999999999996</v>
      </c>
      <c r="G1767" s="42">
        <v>89.096999999999994</v>
      </c>
      <c r="H1767" s="42">
        <v>89.481999999999999</v>
      </c>
      <c r="I1767" s="42">
        <v>89.869</v>
      </c>
      <c r="J1767" s="19">
        <v>3116</v>
      </c>
      <c r="K1767" s="1">
        <v>8500</v>
      </c>
      <c r="L1767" s="1">
        <v>80.578000000000003</v>
      </c>
      <c r="M1767" s="1">
        <v>60.54</v>
      </c>
      <c r="N1767" s="1">
        <v>40.442</v>
      </c>
      <c r="O1767" s="1">
        <v>20.277000000000001</v>
      </c>
      <c r="P1767" s="1">
        <v>0</v>
      </c>
      <c r="Q1767" s="1">
        <v>-20.347000000000001</v>
      </c>
      <c r="R1767" s="1">
        <v>-40.829000000000001</v>
      </c>
      <c r="S1767" s="1">
        <v>-61.430999999999997</v>
      </c>
      <c r="T1767" s="1">
        <v>-82.174999999999997</v>
      </c>
    </row>
    <row r="1768" spans="1:20">
      <c r="A1768" s="1">
        <v>8550</v>
      </c>
      <c r="B1768" s="42">
        <v>86.424999999999997</v>
      </c>
      <c r="C1768" s="42">
        <v>86.808000000000007</v>
      </c>
      <c r="D1768" s="42">
        <v>87</v>
      </c>
      <c r="E1768" s="42">
        <v>87.191000000000003</v>
      </c>
      <c r="F1768" s="42">
        <v>87.384</v>
      </c>
      <c r="G1768" s="42">
        <v>87.575999999999993</v>
      </c>
      <c r="H1768" s="42">
        <v>87.96</v>
      </c>
      <c r="I1768" s="42">
        <v>88.346000000000004</v>
      </c>
      <c r="J1768" s="19">
        <v>3066</v>
      </c>
      <c r="K1768" s="1">
        <v>8550</v>
      </c>
      <c r="L1768" s="1">
        <v>80.284000000000006</v>
      </c>
      <c r="M1768" s="1">
        <v>60.319000000000003</v>
      </c>
      <c r="N1768" s="1">
        <v>40.295000000000002</v>
      </c>
      <c r="O1768" s="1">
        <v>20.202000000000002</v>
      </c>
      <c r="P1768" s="1">
        <v>0</v>
      </c>
      <c r="Q1768" s="1">
        <v>-20.271999999999998</v>
      </c>
      <c r="R1768" s="1">
        <v>-40.680999999999997</v>
      </c>
      <c r="S1768" s="1">
        <v>-61.21</v>
      </c>
      <c r="T1768" s="1">
        <v>-81.878</v>
      </c>
    </row>
    <row r="1769" spans="1:20">
      <c r="A1769" s="1">
        <v>8600</v>
      </c>
      <c r="B1769" s="42">
        <v>84.911000000000001</v>
      </c>
      <c r="C1769" s="42">
        <v>85.293000000000006</v>
      </c>
      <c r="D1769" s="42">
        <v>85.483999999999995</v>
      </c>
      <c r="E1769" s="42">
        <v>85.674999999999997</v>
      </c>
      <c r="F1769" s="42">
        <v>85.867000000000004</v>
      </c>
      <c r="G1769" s="42">
        <v>86.058999999999997</v>
      </c>
      <c r="H1769" s="42">
        <v>86.441999999999993</v>
      </c>
      <c r="I1769" s="42">
        <v>86.826999999999998</v>
      </c>
      <c r="J1769" s="19">
        <v>3016</v>
      </c>
      <c r="K1769" s="1">
        <v>8600</v>
      </c>
      <c r="L1769" s="1">
        <v>79.989000000000004</v>
      </c>
      <c r="M1769" s="1">
        <v>60.097999999999999</v>
      </c>
      <c r="N1769" s="1">
        <v>40.149000000000001</v>
      </c>
      <c r="O1769" s="1">
        <v>20.129000000000001</v>
      </c>
      <c r="P1769" s="1">
        <v>0</v>
      </c>
      <c r="Q1769" s="1">
        <v>-20.198</v>
      </c>
      <c r="R1769" s="1">
        <v>-40.530999999999999</v>
      </c>
      <c r="S1769" s="1">
        <v>-60.984999999999999</v>
      </c>
      <c r="T1769" s="1">
        <v>-81.576999999999998</v>
      </c>
    </row>
    <row r="1770" spans="1:20">
      <c r="A1770" s="1">
        <v>8650</v>
      </c>
      <c r="B1770" s="42">
        <v>83.400999999999996</v>
      </c>
      <c r="C1770" s="42">
        <v>83.781999999999996</v>
      </c>
      <c r="D1770" s="42">
        <v>83.972999999999999</v>
      </c>
      <c r="E1770" s="42">
        <v>84.164000000000001</v>
      </c>
      <c r="F1770" s="42">
        <v>84.355000000000004</v>
      </c>
      <c r="G1770" s="42">
        <v>84.546000000000006</v>
      </c>
      <c r="H1770" s="42">
        <v>84.927999999999997</v>
      </c>
      <c r="I1770" s="42">
        <v>85.311999999999998</v>
      </c>
      <c r="J1770" s="19">
        <v>2966</v>
      </c>
      <c r="K1770" s="1">
        <v>8650</v>
      </c>
      <c r="L1770" s="1">
        <v>79.694999999999993</v>
      </c>
      <c r="M1770" s="1">
        <v>59.875</v>
      </c>
      <c r="N1770" s="1">
        <v>40</v>
      </c>
      <c r="O1770" s="1">
        <v>20.055</v>
      </c>
      <c r="P1770" s="1">
        <v>0</v>
      </c>
      <c r="Q1770" s="1">
        <v>-20.123000000000001</v>
      </c>
      <c r="R1770" s="1">
        <v>-40.381999999999998</v>
      </c>
      <c r="S1770" s="1">
        <v>-60.761000000000003</v>
      </c>
      <c r="T1770" s="1">
        <v>-81.278999999999996</v>
      </c>
    </row>
    <row r="1771" spans="1:20">
      <c r="A1771" s="1">
        <v>8700</v>
      </c>
      <c r="B1771" s="42">
        <v>81.894999999999996</v>
      </c>
      <c r="C1771" s="42">
        <v>82.275000000000006</v>
      </c>
      <c r="D1771" s="42">
        <v>82.465000000000003</v>
      </c>
      <c r="E1771" s="42">
        <v>82.656000000000006</v>
      </c>
      <c r="F1771" s="42">
        <v>82.846000000000004</v>
      </c>
      <c r="G1771" s="42">
        <v>83.037000000000006</v>
      </c>
      <c r="H1771" s="42">
        <v>83.418000000000006</v>
      </c>
      <c r="I1771" s="42">
        <v>83.8</v>
      </c>
      <c r="J1771" s="19">
        <v>2916</v>
      </c>
      <c r="K1771" s="1">
        <v>8700</v>
      </c>
      <c r="L1771" s="1">
        <v>79.403000000000006</v>
      </c>
      <c r="M1771" s="1">
        <v>59.655000000000001</v>
      </c>
      <c r="N1771" s="1">
        <v>39.853000000000002</v>
      </c>
      <c r="O1771" s="1">
        <v>19.98</v>
      </c>
      <c r="P1771" s="1">
        <v>0</v>
      </c>
      <c r="Q1771" s="1">
        <v>-20.048999999999999</v>
      </c>
      <c r="R1771" s="1">
        <v>-40.232999999999997</v>
      </c>
      <c r="S1771" s="1">
        <v>-60.536999999999999</v>
      </c>
      <c r="T1771" s="1">
        <v>-80.977999999999994</v>
      </c>
    </row>
    <row r="1772" spans="1:20">
      <c r="A1772" s="1">
        <v>8750</v>
      </c>
      <c r="B1772" s="42">
        <v>80.393000000000001</v>
      </c>
      <c r="C1772" s="42">
        <v>80.772000000000006</v>
      </c>
      <c r="D1772" s="42">
        <v>80.962000000000003</v>
      </c>
      <c r="E1772" s="42">
        <v>81.152000000000001</v>
      </c>
      <c r="F1772" s="42">
        <v>81.341999999999999</v>
      </c>
      <c r="G1772" s="42">
        <v>81.531999999999996</v>
      </c>
      <c r="H1772" s="42">
        <v>81.912000000000006</v>
      </c>
      <c r="I1772" s="42">
        <v>82.293999999999997</v>
      </c>
      <c r="J1772" s="19">
        <v>2866</v>
      </c>
      <c r="K1772" s="1">
        <v>8750</v>
      </c>
      <c r="L1772" s="1">
        <v>79.11</v>
      </c>
      <c r="M1772" s="1">
        <v>59.436999999999998</v>
      </c>
      <c r="N1772" s="1">
        <v>39.707000000000001</v>
      </c>
      <c r="O1772" s="1">
        <v>19.908000000000001</v>
      </c>
      <c r="P1772" s="1">
        <v>0</v>
      </c>
      <c r="Q1772" s="1">
        <v>-19.975000000000001</v>
      </c>
      <c r="R1772" s="1">
        <v>-40.084000000000003</v>
      </c>
      <c r="S1772" s="1">
        <v>-60.313000000000002</v>
      </c>
      <c r="T1772" s="1">
        <v>-80.680000000000007</v>
      </c>
    </row>
    <row r="1773" spans="1:20">
      <c r="A1773" s="1">
        <v>8800</v>
      </c>
      <c r="B1773" s="42">
        <v>78.894999999999996</v>
      </c>
      <c r="C1773" s="42">
        <v>79.272999999999996</v>
      </c>
      <c r="D1773" s="42">
        <v>79.462000000000003</v>
      </c>
      <c r="E1773" s="42">
        <v>79.652000000000001</v>
      </c>
      <c r="F1773" s="42">
        <v>79.840999999999994</v>
      </c>
      <c r="G1773" s="42">
        <v>80.031000000000006</v>
      </c>
      <c r="H1773" s="42">
        <v>80.411000000000001</v>
      </c>
      <c r="I1773" s="42">
        <v>80.790999999999997</v>
      </c>
      <c r="J1773" s="19">
        <v>2816</v>
      </c>
      <c r="K1773" s="1">
        <v>8800</v>
      </c>
      <c r="L1773" s="1">
        <v>78.814999999999998</v>
      </c>
      <c r="M1773" s="1">
        <v>59.216000000000001</v>
      </c>
      <c r="N1773" s="1">
        <v>39.558999999999997</v>
      </c>
      <c r="O1773" s="1">
        <v>19.834</v>
      </c>
      <c r="P1773" s="1">
        <v>0</v>
      </c>
      <c r="Q1773" s="1">
        <v>-19.901</v>
      </c>
      <c r="R1773" s="1">
        <v>-39.936</v>
      </c>
      <c r="S1773" s="1">
        <v>-60.091999999999999</v>
      </c>
      <c r="T1773" s="1">
        <v>-80.382000000000005</v>
      </c>
    </row>
    <row r="1774" spans="1:20">
      <c r="A1774" s="1">
        <v>8850</v>
      </c>
      <c r="B1774" s="42">
        <v>77.400999999999996</v>
      </c>
      <c r="C1774" s="42">
        <v>77.778000000000006</v>
      </c>
      <c r="D1774" s="42">
        <v>77.966999999999999</v>
      </c>
      <c r="E1774" s="42">
        <v>78.156000000000006</v>
      </c>
      <c r="F1774" s="42">
        <v>78.344999999999999</v>
      </c>
      <c r="G1774" s="42">
        <v>78.534000000000006</v>
      </c>
      <c r="H1774" s="42">
        <v>78.912999999999997</v>
      </c>
      <c r="I1774" s="42">
        <v>79.292000000000002</v>
      </c>
      <c r="J1774" s="19">
        <v>2766</v>
      </c>
      <c r="K1774" s="1">
        <v>8850</v>
      </c>
      <c r="L1774" s="1">
        <v>78.522000000000006</v>
      </c>
      <c r="M1774" s="1">
        <v>58.994</v>
      </c>
      <c r="N1774" s="1">
        <v>39.411999999999999</v>
      </c>
      <c r="O1774" s="1">
        <v>19.759</v>
      </c>
      <c r="P1774" s="1">
        <v>0</v>
      </c>
      <c r="Q1774" s="1">
        <v>-19.827000000000002</v>
      </c>
      <c r="R1774" s="1">
        <v>-39.786000000000001</v>
      </c>
      <c r="S1774" s="1">
        <v>-59.866999999999997</v>
      </c>
      <c r="T1774" s="1">
        <v>-80.081999999999994</v>
      </c>
    </row>
    <row r="1775" spans="1:20">
      <c r="A1775" s="1">
        <v>8900</v>
      </c>
      <c r="B1775" s="42">
        <v>75.911000000000001</v>
      </c>
      <c r="C1775" s="42">
        <v>76.287000000000006</v>
      </c>
      <c r="D1775" s="42">
        <v>76.475999999999999</v>
      </c>
      <c r="E1775" s="42">
        <v>76.664000000000001</v>
      </c>
      <c r="F1775" s="42">
        <v>76.852999999999994</v>
      </c>
      <c r="G1775" s="42">
        <v>77.040999999999997</v>
      </c>
      <c r="H1775" s="42">
        <v>77.418999999999997</v>
      </c>
      <c r="I1775" s="42">
        <v>77.796999999999997</v>
      </c>
      <c r="J1775" s="19">
        <v>2716</v>
      </c>
      <c r="K1775" s="1">
        <v>8900</v>
      </c>
      <c r="L1775" s="1">
        <v>78.227999999999994</v>
      </c>
      <c r="M1775" s="1">
        <v>58.774000000000001</v>
      </c>
      <c r="N1775" s="1">
        <v>39.265999999999998</v>
      </c>
      <c r="O1775" s="1">
        <v>19.686</v>
      </c>
      <c r="P1775" s="1">
        <v>0</v>
      </c>
      <c r="Q1775" s="1">
        <v>-19.753</v>
      </c>
      <c r="R1775" s="1">
        <v>-39.637999999999998</v>
      </c>
      <c r="S1775" s="1">
        <v>-59.643999999999998</v>
      </c>
      <c r="T1775" s="1">
        <v>-79.781999999999996</v>
      </c>
    </row>
    <row r="1776" spans="1:20">
      <c r="A1776" s="1">
        <v>8950</v>
      </c>
      <c r="B1776" s="42">
        <v>74.426000000000002</v>
      </c>
      <c r="C1776" s="42">
        <v>74.801000000000002</v>
      </c>
      <c r="D1776" s="42">
        <v>74.988</v>
      </c>
      <c r="E1776" s="42">
        <v>75.176000000000002</v>
      </c>
      <c r="F1776" s="42">
        <v>75.364000000000004</v>
      </c>
      <c r="G1776" s="42">
        <v>75.552000000000007</v>
      </c>
      <c r="H1776" s="42">
        <v>75.929000000000002</v>
      </c>
      <c r="I1776" s="42">
        <v>76.305999999999997</v>
      </c>
      <c r="J1776" s="19">
        <v>2666</v>
      </c>
      <c r="K1776" s="1">
        <v>8950</v>
      </c>
      <c r="L1776" s="1">
        <v>77.933000000000007</v>
      </c>
      <c r="M1776" s="1">
        <v>58.55</v>
      </c>
      <c r="N1776" s="1">
        <v>39.116</v>
      </c>
      <c r="O1776" s="1">
        <v>19.61</v>
      </c>
      <c r="P1776" s="1">
        <v>0</v>
      </c>
      <c r="Q1776" s="1">
        <v>-19.678999999999998</v>
      </c>
      <c r="R1776" s="1">
        <v>-39.49</v>
      </c>
      <c r="S1776" s="1">
        <v>-59.421999999999997</v>
      </c>
      <c r="T1776" s="1">
        <v>-79.484999999999999</v>
      </c>
    </row>
    <row r="1777" spans="1:20">
      <c r="A1777" s="1">
        <v>9000</v>
      </c>
      <c r="B1777" s="42">
        <v>72.944000000000003</v>
      </c>
      <c r="C1777" s="42">
        <v>73.317999999999998</v>
      </c>
      <c r="D1777" s="42">
        <v>73.504999999999995</v>
      </c>
      <c r="E1777" s="42">
        <v>73.691999999999993</v>
      </c>
      <c r="F1777" s="42">
        <v>73.88</v>
      </c>
      <c r="G1777" s="42">
        <v>74.066999999999993</v>
      </c>
      <c r="H1777" s="42">
        <v>74.442999999999998</v>
      </c>
      <c r="I1777" s="42">
        <v>74.819000000000003</v>
      </c>
      <c r="J1777" s="19">
        <v>2616</v>
      </c>
      <c r="K1777" s="1">
        <v>9000</v>
      </c>
      <c r="L1777" s="1">
        <v>77.641000000000005</v>
      </c>
      <c r="M1777" s="1">
        <v>58.331000000000003</v>
      </c>
      <c r="N1777" s="1">
        <v>38.970999999999997</v>
      </c>
      <c r="O1777" s="1">
        <v>19.538</v>
      </c>
      <c r="P1777" s="1">
        <v>0</v>
      </c>
      <c r="Q1777" s="1">
        <v>-19.603000000000002</v>
      </c>
      <c r="R1777" s="1">
        <v>-39.338999999999999</v>
      </c>
      <c r="S1777" s="1">
        <v>-59.195999999999998</v>
      </c>
      <c r="T1777" s="1">
        <v>-79.183999999999997</v>
      </c>
    </row>
    <row r="1778" spans="1:20">
      <c r="A1778" s="1">
        <v>9050</v>
      </c>
      <c r="B1778" s="42">
        <v>71.465999999999994</v>
      </c>
      <c r="C1778" s="42">
        <v>71.838999999999999</v>
      </c>
      <c r="D1778" s="42">
        <v>72.025999999999996</v>
      </c>
      <c r="E1778" s="42">
        <v>72.212999999999994</v>
      </c>
      <c r="F1778" s="42">
        <v>72.400000000000006</v>
      </c>
      <c r="G1778" s="42">
        <v>72.587000000000003</v>
      </c>
      <c r="H1778" s="42">
        <v>72.960999999999999</v>
      </c>
      <c r="I1778" s="42">
        <v>73.335999999999999</v>
      </c>
      <c r="J1778" s="19">
        <v>2566</v>
      </c>
      <c r="K1778" s="1">
        <v>9050</v>
      </c>
      <c r="L1778" s="1">
        <v>77.346999999999994</v>
      </c>
      <c r="M1778" s="1">
        <v>58.109000000000002</v>
      </c>
      <c r="N1778" s="1">
        <v>38.823</v>
      </c>
      <c r="O1778" s="1">
        <v>19.463999999999999</v>
      </c>
      <c r="P1778" s="1">
        <v>0</v>
      </c>
      <c r="Q1778" s="1">
        <v>-19.530999999999999</v>
      </c>
      <c r="R1778" s="1">
        <v>-39.192</v>
      </c>
      <c r="S1778" s="1">
        <v>-58.973999999999997</v>
      </c>
      <c r="T1778" s="1">
        <v>-78.885999999999996</v>
      </c>
    </row>
    <row r="1779" spans="1:20">
      <c r="A1779" s="1">
        <v>9100</v>
      </c>
      <c r="B1779" s="42">
        <v>69.992000000000004</v>
      </c>
      <c r="C1779" s="42">
        <v>70.364000000000004</v>
      </c>
      <c r="D1779" s="42">
        <v>70.55</v>
      </c>
      <c r="E1779" s="42">
        <v>70.736999999999995</v>
      </c>
      <c r="F1779" s="42">
        <v>70.923000000000002</v>
      </c>
      <c r="G1779" s="42">
        <v>71.11</v>
      </c>
      <c r="H1779" s="42">
        <v>71.483000000000004</v>
      </c>
      <c r="I1779" s="42">
        <v>71.856999999999999</v>
      </c>
      <c r="J1779" s="19">
        <v>2516</v>
      </c>
      <c r="K1779" s="1">
        <v>9100</v>
      </c>
      <c r="L1779" s="1">
        <v>77.054000000000002</v>
      </c>
      <c r="M1779" s="1">
        <v>57.890999999999998</v>
      </c>
      <c r="N1779" s="1">
        <v>38.676000000000002</v>
      </c>
      <c r="O1779" s="1">
        <v>19.39</v>
      </c>
      <c r="P1779" s="1">
        <v>0</v>
      </c>
      <c r="Q1779" s="1">
        <v>-19.457000000000001</v>
      </c>
      <c r="R1779" s="1">
        <v>-39.042000000000002</v>
      </c>
      <c r="S1779" s="1">
        <v>-58.75</v>
      </c>
      <c r="T1779" s="1">
        <v>-78.585999999999999</v>
      </c>
    </row>
    <row r="1780" spans="1:20">
      <c r="A1780" s="1">
        <v>9150</v>
      </c>
      <c r="B1780" s="42">
        <v>68.522999999999996</v>
      </c>
      <c r="C1780" s="42">
        <v>68.894000000000005</v>
      </c>
      <c r="D1780" s="42">
        <v>69.078999999999994</v>
      </c>
      <c r="E1780" s="42">
        <v>69.265000000000001</v>
      </c>
      <c r="F1780" s="42">
        <v>69.450999999999993</v>
      </c>
      <c r="G1780" s="42">
        <v>69.637</v>
      </c>
      <c r="H1780" s="42">
        <v>70.010000000000005</v>
      </c>
      <c r="I1780" s="42">
        <v>70.382999999999996</v>
      </c>
      <c r="J1780" s="19">
        <v>2466</v>
      </c>
      <c r="K1780" s="1">
        <v>9150</v>
      </c>
      <c r="L1780" s="1">
        <v>76.759</v>
      </c>
      <c r="M1780" s="1">
        <v>57.668999999999997</v>
      </c>
      <c r="N1780" s="1">
        <v>38.527999999999999</v>
      </c>
      <c r="O1780" s="1">
        <v>19.317</v>
      </c>
      <c r="P1780" s="1">
        <v>0</v>
      </c>
      <c r="Q1780" s="1">
        <v>-19.382000000000001</v>
      </c>
      <c r="R1780" s="1">
        <v>-38.893999999999998</v>
      </c>
      <c r="S1780" s="1">
        <v>-58.527000000000001</v>
      </c>
      <c r="T1780" s="1">
        <v>-78.287000000000006</v>
      </c>
    </row>
    <row r="1781" spans="1:20">
      <c r="A1781" s="1">
        <v>9200</v>
      </c>
      <c r="B1781" s="42">
        <v>67.057000000000002</v>
      </c>
      <c r="C1781" s="42">
        <v>67.427000000000007</v>
      </c>
      <c r="D1781" s="42">
        <v>67.611999999999995</v>
      </c>
      <c r="E1781" s="42">
        <v>67.796999999999997</v>
      </c>
      <c r="F1781" s="42">
        <v>67.983000000000004</v>
      </c>
      <c r="G1781" s="42">
        <v>68.168000000000006</v>
      </c>
      <c r="H1781" s="42">
        <v>68.540000000000006</v>
      </c>
      <c r="I1781" s="42">
        <v>68.912000000000006</v>
      </c>
      <c r="J1781" s="19">
        <v>2416</v>
      </c>
      <c r="K1781" s="1">
        <v>9200</v>
      </c>
      <c r="L1781" s="1">
        <v>76.465999999999994</v>
      </c>
      <c r="M1781" s="1">
        <v>57.445999999999998</v>
      </c>
      <c r="N1781" s="1">
        <v>38.381</v>
      </c>
      <c r="O1781" s="1">
        <v>19.242000000000001</v>
      </c>
      <c r="P1781" s="1">
        <v>0</v>
      </c>
      <c r="Q1781" s="1">
        <v>-19.308</v>
      </c>
      <c r="R1781" s="1">
        <v>-38.744999999999997</v>
      </c>
      <c r="S1781" s="1">
        <v>-58.302999999999997</v>
      </c>
      <c r="T1781" s="1">
        <v>-77.989000000000004</v>
      </c>
    </row>
    <row r="1782" spans="1:20">
      <c r="A1782" s="1">
        <v>9250</v>
      </c>
      <c r="B1782" s="42">
        <v>65.594999999999999</v>
      </c>
      <c r="C1782" s="42">
        <v>65.963999999999999</v>
      </c>
      <c r="D1782" s="42">
        <v>66.149000000000001</v>
      </c>
      <c r="E1782" s="42">
        <v>66.334000000000003</v>
      </c>
      <c r="F1782" s="42">
        <v>66.518000000000001</v>
      </c>
      <c r="G1782" s="42">
        <v>66.703999999999994</v>
      </c>
      <c r="H1782" s="42">
        <v>67.073999999999998</v>
      </c>
      <c r="I1782" s="42">
        <v>67.444999999999993</v>
      </c>
      <c r="J1782" s="19">
        <v>2366</v>
      </c>
      <c r="K1782" s="1">
        <v>9250</v>
      </c>
      <c r="L1782" s="1">
        <v>76.174000000000007</v>
      </c>
      <c r="M1782" s="1">
        <v>57.228000000000002</v>
      </c>
      <c r="N1782" s="1">
        <v>38.234999999999999</v>
      </c>
      <c r="O1782" s="1">
        <v>19.170000000000002</v>
      </c>
      <c r="P1782" s="1">
        <v>0</v>
      </c>
      <c r="Q1782" s="1">
        <v>-19.233000000000001</v>
      </c>
      <c r="R1782" s="1">
        <v>-38.595999999999997</v>
      </c>
      <c r="S1782" s="1">
        <v>-58.079000000000001</v>
      </c>
      <c r="T1782" s="1">
        <v>-77.686999999999998</v>
      </c>
    </row>
    <row r="1783" spans="1:20">
      <c r="A1783" s="1">
        <v>9300</v>
      </c>
      <c r="B1783" s="42">
        <v>64.137</v>
      </c>
      <c r="C1783" s="42">
        <v>64.504999999999995</v>
      </c>
      <c r="D1783" s="42">
        <v>64.69</v>
      </c>
      <c r="E1783" s="42">
        <v>64.873999999999995</v>
      </c>
      <c r="F1783" s="42">
        <v>65.058000000000007</v>
      </c>
      <c r="G1783" s="42">
        <v>65.242999999999995</v>
      </c>
      <c r="H1783" s="42">
        <v>65.611999999999995</v>
      </c>
      <c r="I1783" s="42">
        <v>65.981999999999999</v>
      </c>
      <c r="J1783" s="19">
        <v>2316</v>
      </c>
      <c r="K1783" s="1">
        <v>9300</v>
      </c>
      <c r="L1783" s="1">
        <v>75.88</v>
      </c>
      <c r="M1783" s="1">
        <v>57.006</v>
      </c>
      <c r="N1783" s="1">
        <v>38.087000000000003</v>
      </c>
      <c r="O1783" s="1">
        <v>19.094000000000001</v>
      </c>
      <c r="P1783" s="1">
        <v>0</v>
      </c>
      <c r="Q1783" s="1">
        <v>-19.158999999999999</v>
      </c>
      <c r="R1783" s="1">
        <v>-38.448</v>
      </c>
      <c r="S1783" s="1">
        <v>-57.857999999999997</v>
      </c>
      <c r="T1783" s="1">
        <v>-77.391000000000005</v>
      </c>
    </row>
    <row r="1784" spans="1:20">
      <c r="A1784" s="1">
        <v>9350</v>
      </c>
      <c r="B1784" s="42">
        <v>62.683999999999997</v>
      </c>
      <c r="C1784" s="42">
        <v>63.051000000000002</v>
      </c>
      <c r="D1784" s="42">
        <v>63.234000000000002</v>
      </c>
      <c r="E1784" s="42">
        <v>63.417999999999999</v>
      </c>
      <c r="F1784" s="42">
        <v>63.601999999999997</v>
      </c>
      <c r="G1784" s="42">
        <v>63.786000000000001</v>
      </c>
      <c r="H1784" s="42">
        <v>64.155000000000001</v>
      </c>
      <c r="I1784" s="42">
        <v>64.522999999999996</v>
      </c>
      <c r="J1784" s="19">
        <v>2266</v>
      </c>
      <c r="K1784" s="1">
        <v>9350</v>
      </c>
      <c r="L1784" s="1">
        <v>75.584000000000003</v>
      </c>
      <c r="M1784" s="1">
        <v>56.786000000000001</v>
      </c>
      <c r="N1784" s="1">
        <v>37.94</v>
      </c>
      <c r="O1784" s="1">
        <v>19.021999999999998</v>
      </c>
      <c r="P1784" s="1">
        <v>0</v>
      </c>
      <c r="Q1784" s="1">
        <v>-19.085000000000001</v>
      </c>
      <c r="R1784" s="1">
        <v>-38.299999999999997</v>
      </c>
      <c r="S1784" s="1">
        <v>-57.633000000000003</v>
      </c>
      <c r="T1784" s="1">
        <v>-77.09</v>
      </c>
    </row>
    <row r="1785" spans="1:20">
      <c r="A1785" s="1">
        <v>9400</v>
      </c>
      <c r="B1785" s="42">
        <v>61.234000000000002</v>
      </c>
      <c r="C1785" s="42">
        <v>61.6</v>
      </c>
      <c r="D1785" s="42">
        <v>61.783000000000001</v>
      </c>
      <c r="E1785" s="42">
        <v>61.966999999999999</v>
      </c>
      <c r="F1785" s="42">
        <v>62.15</v>
      </c>
      <c r="G1785" s="42">
        <v>62.332999999999998</v>
      </c>
      <c r="H1785" s="42">
        <v>62.701000000000001</v>
      </c>
      <c r="I1785" s="42">
        <v>63.069000000000003</v>
      </c>
      <c r="J1785" s="19">
        <v>2216</v>
      </c>
      <c r="K1785" s="1">
        <v>9400</v>
      </c>
      <c r="L1785" s="1">
        <v>75.290999999999997</v>
      </c>
      <c r="M1785" s="1">
        <v>56.563000000000002</v>
      </c>
      <c r="N1785" s="1">
        <v>37.792000000000002</v>
      </c>
      <c r="O1785" s="1">
        <v>18.948</v>
      </c>
      <c r="P1785" s="1">
        <v>0</v>
      </c>
      <c r="Q1785" s="1">
        <v>-19.010999999999999</v>
      </c>
      <c r="R1785" s="1">
        <v>-38.15</v>
      </c>
      <c r="S1785" s="1">
        <v>-57.408999999999999</v>
      </c>
      <c r="T1785" s="1">
        <v>-76.792000000000002</v>
      </c>
    </row>
    <row r="1786" spans="1:20">
      <c r="A1786" s="1">
        <v>9450</v>
      </c>
      <c r="B1786" s="42">
        <v>59.789000000000001</v>
      </c>
      <c r="C1786" s="42">
        <v>60.152999999999999</v>
      </c>
      <c r="D1786" s="42">
        <v>60.335999999999999</v>
      </c>
      <c r="E1786" s="42">
        <v>60.518999999999998</v>
      </c>
      <c r="F1786" s="42">
        <v>60.701999999999998</v>
      </c>
      <c r="G1786" s="42">
        <v>60.884999999999998</v>
      </c>
      <c r="H1786" s="42">
        <v>61.250999999999998</v>
      </c>
      <c r="I1786" s="42">
        <v>61.618000000000002</v>
      </c>
      <c r="J1786" s="19">
        <v>2166</v>
      </c>
      <c r="K1786" s="1">
        <v>9450</v>
      </c>
      <c r="L1786" s="1">
        <v>74.998000000000005</v>
      </c>
      <c r="M1786" s="1">
        <v>56.344000000000001</v>
      </c>
      <c r="N1786" s="1">
        <v>37.643999999999998</v>
      </c>
      <c r="O1786" s="1">
        <v>18.873999999999999</v>
      </c>
      <c r="P1786" s="1">
        <v>0</v>
      </c>
      <c r="Q1786" s="1">
        <v>-18.937000000000001</v>
      </c>
      <c r="R1786" s="1">
        <v>-38.002000000000002</v>
      </c>
      <c r="S1786" s="1">
        <v>-57.185000000000002</v>
      </c>
      <c r="T1786" s="1">
        <v>-76.491</v>
      </c>
    </row>
    <row r="1787" spans="1:20">
      <c r="A1787" s="1">
        <v>9500</v>
      </c>
      <c r="B1787" s="42">
        <v>58.347000000000001</v>
      </c>
      <c r="C1787" s="42">
        <v>58.710999999999999</v>
      </c>
      <c r="D1787" s="42">
        <v>58.893000000000001</v>
      </c>
      <c r="E1787" s="42">
        <v>59.075000000000003</v>
      </c>
      <c r="F1787" s="42">
        <v>59.258000000000003</v>
      </c>
      <c r="G1787" s="42">
        <v>59.44</v>
      </c>
      <c r="H1787" s="42">
        <v>59.805999999999997</v>
      </c>
      <c r="I1787" s="42">
        <v>60.170999999999999</v>
      </c>
      <c r="J1787" s="19">
        <v>2116</v>
      </c>
      <c r="K1787" s="1">
        <v>9500</v>
      </c>
      <c r="L1787" s="1">
        <v>74.703000000000003</v>
      </c>
      <c r="M1787" s="1">
        <v>56.122999999999998</v>
      </c>
      <c r="N1787" s="1">
        <v>37.497999999999998</v>
      </c>
      <c r="O1787" s="1">
        <v>18.8</v>
      </c>
      <c r="P1787" s="1">
        <v>0</v>
      </c>
      <c r="Q1787" s="1">
        <v>-18.863</v>
      </c>
      <c r="R1787" s="1">
        <v>-37.851999999999997</v>
      </c>
      <c r="S1787" s="1">
        <v>-56.962000000000003</v>
      </c>
      <c r="T1787" s="1">
        <v>-76.194000000000003</v>
      </c>
    </row>
    <row r="1788" spans="1:20">
      <c r="A1788" s="1">
        <v>9550</v>
      </c>
      <c r="B1788" s="42">
        <v>56.908999999999999</v>
      </c>
      <c r="C1788" s="42">
        <v>57.271999999999998</v>
      </c>
      <c r="D1788" s="42">
        <v>57.454000000000001</v>
      </c>
      <c r="E1788" s="42">
        <v>57.636000000000003</v>
      </c>
      <c r="F1788" s="42">
        <v>57.817999999999998</v>
      </c>
      <c r="G1788" s="42">
        <v>58</v>
      </c>
      <c r="H1788" s="42">
        <v>58.363999999999997</v>
      </c>
      <c r="I1788" s="42">
        <v>58.728999999999999</v>
      </c>
      <c r="J1788" s="19">
        <v>2066</v>
      </c>
      <c r="K1788" s="1">
        <v>9550</v>
      </c>
      <c r="L1788" s="1">
        <v>74.409000000000006</v>
      </c>
      <c r="M1788" s="1">
        <v>55.902000000000001</v>
      </c>
      <c r="N1788" s="1">
        <v>37.351999999999997</v>
      </c>
      <c r="O1788" s="1">
        <v>18.725999999999999</v>
      </c>
      <c r="P1788" s="1">
        <v>0</v>
      </c>
      <c r="Q1788" s="1">
        <v>-18.789000000000001</v>
      </c>
      <c r="R1788" s="1">
        <v>-37.704000000000001</v>
      </c>
      <c r="S1788" s="1">
        <v>-56.738999999999997</v>
      </c>
      <c r="T1788" s="1">
        <v>-75.894999999999996</v>
      </c>
    </row>
    <row r="1789" spans="1:20">
      <c r="A1789" s="1">
        <v>9600</v>
      </c>
      <c r="B1789" s="42">
        <v>55.475999999999999</v>
      </c>
      <c r="C1789" s="42">
        <v>55.838000000000001</v>
      </c>
      <c r="D1789" s="42">
        <v>56.018999999999998</v>
      </c>
      <c r="E1789" s="42">
        <v>56.2</v>
      </c>
      <c r="F1789" s="42">
        <v>56.381</v>
      </c>
      <c r="G1789" s="42">
        <v>56.563000000000002</v>
      </c>
      <c r="H1789" s="42">
        <v>56.926000000000002</v>
      </c>
      <c r="I1789" s="42">
        <v>57.29</v>
      </c>
      <c r="J1789" s="19">
        <v>2016</v>
      </c>
      <c r="K1789" s="1">
        <v>9600</v>
      </c>
      <c r="L1789" s="1">
        <v>74.117000000000004</v>
      </c>
      <c r="M1789" s="1">
        <v>55.680999999999997</v>
      </c>
      <c r="N1789" s="1">
        <v>37.204000000000001</v>
      </c>
      <c r="O1789" s="1">
        <v>18.652999999999999</v>
      </c>
      <c r="P1789" s="1">
        <v>0</v>
      </c>
      <c r="Q1789" s="1">
        <v>-18.715</v>
      </c>
      <c r="R1789" s="1">
        <v>-37.554000000000002</v>
      </c>
      <c r="S1789" s="1">
        <v>-56.515999999999998</v>
      </c>
      <c r="T1789" s="1">
        <v>-75.594999999999999</v>
      </c>
    </row>
    <row r="1790" spans="1:20">
      <c r="A1790" s="1">
        <v>9650</v>
      </c>
      <c r="B1790" s="42">
        <v>54.045999999999999</v>
      </c>
      <c r="C1790" s="42">
        <v>54.406999999999996</v>
      </c>
      <c r="D1790" s="42">
        <v>54.588000000000001</v>
      </c>
      <c r="E1790" s="42">
        <v>54.768000000000001</v>
      </c>
      <c r="F1790" s="42">
        <v>54.948999999999998</v>
      </c>
      <c r="G1790" s="42">
        <v>55.13</v>
      </c>
      <c r="H1790" s="42">
        <v>55.493000000000002</v>
      </c>
      <c r="I1790" s="42">
        <v>55.856000000000002</v>
      </c>
      <c r="J1790" s="19">
        <v>1966</v>
      </c>
      <c r="K1790" s="1">
        <v>9650</v>
      </c>
      <c r="L1790" s="1">
        <v>73.822000000000003</v>
      </c>
      <c r="M1790" s="1">
        <v>55.460999999999999</v>
      </c>
      <c r="N1790" s="1">
        <v>37.057000000000002</v>
      </c>
      <c r="O1790" s="1">
        <v>18.579000000000001</v>
      </c>
      <c r="P1790" s="1">
        <v>0</v>
      </c>
      <c r="Q1790" s="1">
        <v>-18.640999999999998</v>
      </c>
      <c r="R1790" s="1">
        <v>-37.405000000000001</v>
      </c>
      <c r="S1790" s="1">
        <v>-56.292999999999999</v>
      </c>
      <c r="T1790" s="1">
        <v>-75.295000000000002</v>
      </c>
    </row>
    <row r="1791" spans="1:20">
      <c r="A1791" s="1">
        <v>9700</v>
      </c>
      <c r="B1791" s="42">
        <v>52.621000000000002</v>
      </c>
      <c r="C1791" s="42">
        <v>52.981000000000002</v>
      </c>
      <c r="D1791" s="42">
        <v>53.161000000000001</v>
      </c>
      <c r="E1791" s="42">
        <v>53.341000000000001</v>
      </c>
      <c r="F1791" s="42">
        <v>53.521000000000001</v>
      </c>
      <c r="G1791" s="42">
        <v>53.701999999999998</v>
      </c>
      <c r="H1791" s="42">
        <v>54.063000000000002</v>
      </c>
      <c r="I1791" s="42">
        <v>54.424999999999997</v>
      </c>
      <c r="J1791" s="19">
        <v>1916</v>
      </c>
      <c r="K1791" s="1">
        <v>9700</v>
      </c>
      <c r="L1791" s="1">
        <v>73.528999999999996</v>
      </c>
      <c r="M1791" s="1">
        <v>55.238999999999997</v>
      </c>
      <c r="N1791" s="1">
        <v>36.909999999999997</v>
      </c>
      <c r="O1791" s="1">
        <v>18.504999999999999</v>
      </c>
      <c r="P1791" s="1">
        <v>0</v>
      </c>
      <c r="Q1791" s="1">
        <v>-18.565999999999999</v>
      </c>
      <c r="R1791" s="1">
        <v>-37.256999999999998</v>
      </c>
      <c r="S1791" s="1">
        <v>-56.069000000000003</v>
      </c>
      <c r="T1791" s="1">
        <v>-74.998000000000005</v>
      </c>
    </row>
    <row r="1792" spans="1:20">
      <c r="A1792" s="1">
        <v>9750</v>
      </c>
      <c r="B1792" s="42">
        <v>51.198999999999998</v>
      </c>
      <c r="C1792" s="42">
        <v>51.558</v>
      </c>
      <c r="D1792" s="42">
        <v>51.738</v>
      </c>
      <c r="E1792" s="42">
        <v>51.917000000000002</v>
      </c>
      <c r="F1792" s="42">
        <v>52.097000000000001</v>
      </c>
      <c r="G1792" s="42">
        <v>52.277000000000001</v>
      </c>
      <c r="H1792" s="42">
        <v>52.637999999999998</v>
      </c>
      <c r="I1792" s="42">
        <v>52.997999999999998</v>
      </c>
      <c r="J1792" s="19">
        <v>1866</v>
      </c>
      <c r="K1792" s="1">
        <v>9750</v>
      </c>
      <c r="L1792" s="1">
        <v>73.234999999999999</v>
      </c>
      <c r="M1792" s="1">
        <v>55.018999999999998</v>
      </c>
      <c r="N1792" s="1">
        <v>36.762</v>
      </c>
      <c r="O1792" s="1">
        <v>18.431999999999999</v>
      </c>
      <c r="P1792" s="1">
        <v>0</v>
      </c>
      <c r="Q1792" s="1">
        <v>-18.492999999999999</v>
      </c>
      <c r="R1792" s="1">
        <v>-37.107999999999997</v>
      </c>
      <c r="S1792" s="1">
        <v>-55.844000000000001</v>
      </c>
      <c r="T1792" s="1">
        <v>-74.697999999999993</v>
      </c>
    </row>
    <row r="1793" spans="1:20">
      <c r="A1793" s="1">
        <v>9800</v>
      </c>
      <c r="B1793" s="42">
        <v>49.781999999999996</v>
      </c>
      <c r="C1793" s="42">
        <v>50.14</v>
      </c>
      <c r="D1793" s="42">
        <v>50.319000000000003</v>
      </c>
      <c r="E1793" s="42">
        <v>50.497999999999998</v>
      </c>
      <c r="F1793" s="42">
        <v>50.677</v>
      </c>
      <c r="G1793" s="42">
        <v>50.856999999999999</v>
      </c>
      <c r="H1793" s="42">
        <v>51.216000000000001</v>
      </c>
      <c r="I1793" s="42">
        <v>51.576000000000001</v>
      </c>
      <c r="J1793" s="19">
        <v>1816</v>
      </c>
      <c r="K1793" s="1">
        <v>9800</v>
      </c>
      <c r="L1793" s="1">
        <v>72.942999999999998</v>
      </c>
      <c r="M1793" s="1">
        <v>54.798999999999999</v>
      </c>
      <c r="N1793" s="1">
        <v>36.615000000000002</v>
      </c>
      <c r="O1793" s="1">
        <v>18.356999999999999</v>
      </c>
      <c r="P1793" s="1">
        <v>0</v>
      </c>
      <c r="Q1793" s="1">
        <v>-18.417999999999999</v>
      </c>
      <c r="R1793" s="1">
        <v>-36.96</v>
      </c>
      <c r="S1793" s="1">
        <v>-55.622</v>
      </c>
      <c r="T1793" s="1">
        <v>-74.397999999999996</v>
      </c>
    </row>
    <row r="1794" spans="1:20">
      <c r="A1794" s="1">
        <v>9850</v>
      </c>
      <c r="B1794" s="42">
        <v>48.368000000000002</v>
      </c>
      <c r="C1794" s="42">
        <v>48.725000000000001</v>
      </c>
      <c r="D1794" s="42">
        <v>48.904000000000003</v>
      </c>
      <c r="E1794" s="42">
        <v>49.082000000000001</v>
      </c>
      <c r="F1794" s="42">
        <v>49.261000000000003</v>
      </c>
      <c r="G1794" s="42">
        <v>49.44</v>
      </c>
      <c r="H1794" s="42">
        <v>49.798999999999999</v>
      </c>
      <c r="I1794" s="42">
        <v>50.156999999999996</v>
      </c>
      <c r="J1794" s="19">
        <v>1766</v>
      </c>
      <c r="K1794" s="1">
        <v>9850</v>
      </c>
      <c r="L1794" s="1">
        <v>72.647999999999996</v>
      </c>
      <c r="M1794" s="1">
        <v>54.576999999999998</v>
      </c>
      <c r="N1794" s="1">
        <v>36.468000000000004</v>
      </c>
      <c r="O1794" s="1">
        <v>18.283000000000001</v>
      </c>
      <c r="P1794" s="1">
        <v>0</v>
      </c>
      <c r="Q1794" s="1">
        <v>-18.344000000000001</v>
      </c>
      <c r="R1794" s="1">
        <v>-36.811</v>
      </c>
      <c r="S1794" s="1">
        <v>-55.399000000000001</v>
      </c>
      <c r="T1794" s="1">
        <v>-74.099999999999994</v>
      </c>
    </row>
    <row r="1795" spans="1:20">
      <c r="A1795" s="1">
        <v>9900</v>
      </c>
      <c r="B1795" s="42">
        <v>46.959000000000003</v>
      </c>
      <c r="C1795" s="42">
        <v>47.314999999999998</v>
      </c>
      <c r="D1795" s="42">
        <v>47.493000000000002</v>
      </c>
      <c r="E1795" s="42">
        <v>47.670999999999999</v>
      </c>
      <c r="F1795" s="42">
        <v>47.848999999999997</v>
      </c>
      <c r="G1795" s="42">
        <v>48.027999999999999</v>
      </c>
      <c r="H1795" s="42">
        <v>48.384999999999998</v>
      </c>
      <c r="I1795" s="42">
        <v>48.743000000000002</v>
      </c>
      <c r="J1795" s="19">
        <v>1716</v>
      </c>
      <c r="K1795" s="1">
        <v>9900</v>
      </c>
      <c r="L1795" s="1">
        <v>72.352999999999994</v>
      </c>
      <c r="M1795" s="1">
        <v>54.356000000000002</v>
      </c>
      <c r="N1795" s="1">
        <v>36.320999999999998</v>
      </c>
      <c r="O1795" s="1">
        <v>18.209</v>
      </c>
      <c r="P1795" s="1">
        <v>0</v>
      </c>
      <c r="Q1795" s="1">
        <v>-18.27</v>
      </c>
      <c r="R1795" s="1">
        <v>-36.661999999999999</v>
      </c>
      <c r="S1795" s="1">
        <v>-55.176000000000002</v>
      </c>
      <c r="T1795" s="1">
        <v>-73.801000000000002</v>
      </c>
    </row>
    <row r="1796" spans="1:20">
      <c r="A1796" s="1">
        <v>9950</v>
      </c>
      <c r="B1796" s="42">
        <v>45.554000000000002</v>
      </c>
      <c r="C1796" s="42">
        <v>45.908000000000001</v>
      </c>
      <c r="D1796" s="42">
        <v>46.085999999999999</v>
      </c>
      <c r="E1796" s="42">
        <v>46.264000000000003</v>
      </c>
      <c r="F1796" s="42">
        <v>46.441000000000003</v>
      </c>
      <c r="G1796" s="42">
        <v>46.619</v>
      </c>
      <c r="H1796" s="42">
        <v>46.975999999999999</v>
      </c>
      <c r="I1796" s="42">
        <v>47.332000000000001</v>
      </c>
      <c r="J1796" s="19">
        <v>1666</v>
      </c>
      <c r="K1796" s="1">
        <v>9950</v>
      </c>
      <c r="L1796" s="1">
        <v>72.061000000000007</v>
      </c>
      <c r="M1796" s="1">
        <v>54.134</v>
      </c>
      <c r="N1796" s="1">
        <v>36.173000000000002</v>
      </c>
      <c r="O1796" s="1">
        <v>18.135999999999999</v>
      </c>
      <c r="P1796" s="1">
        <v>0</v>
      </c>
      <c r="Q1796" s="1">
        <v>-18.195</v>
      </c>
      <c r="R1796" s="1">
        <v>-36.512999999999998</v>
      </c>
      <c r="S1796" s="1">
        <v>-54.951999999999998</v>
      </c>
      <c r="T1796" s="1">
        <v>-73.501000000000005</v>
      </c>
    </row>
    <row r="1797" spans="1:20">
      <c r="A1797" s="1">
        <v>10000</v>
      </c>
      <c r="B1797" s="42">
        <v>44.152000000000001</v>
      </c>
      <c r="C1797" s="42">
        <v>44.506</v>
      </c>
      <c r="D1797" s="42">
        <v>44.683</v>
      </c>
      <c r="E1797" s="42">
        <v>44.86</v>
      </c>
      <c r="F1797" s="42">
        <v>45.036999999999999</v>
      </c>
      <c r="G1797" s="42">
        <v>45.215000000000003</v>
      </c>
      <c r="H1797" s="42">
        <v>45.57</v>
      </c>
      <c r="I1797" s="42">
        <v>45.926000000000002</v>
      </c>
      <c r="J1797" s="19">
        <v>1616</v>
      </c>
      <c r="K1797" s="1">
        <v>10000</v>
      </c>
      <c r="L1797" s="1">
        <v>71.768000000000001</v>
      </c>
      <c r="M1797" s="1">
        <v>53.914999999999999</v>
      </c>
      <c r="N1797" s="1">
        <v>36.027000000000001</v>
      </c>
      <c r="O1797" s="1">
        <v>18.064</v>
      </c>
      <c r="P1797" s="1">
        <v>0</v>
      </c>
      <c r="Q1797" s="1">
        <v>-18.12</v>
      </c>
      <c r="R1797" s="1">
        <v>-36.365000000000002</v>
      </c>
      <c r="S1797" s="1">
        <v>-54.728999999999999</v>
      </c>
      <c r="T1797" s="1">
        <v>-73.201999999999998</v>
      </c>
    </row>
    <row r="1798" spans="1:20">
      <c r="A1798" s="1">
        <v>10050</v>
      </c>
      <c r="B1798" s="42">
        <v>42.755000000000003</v>
      </c>
      <c r="C1798" s="42">
        <v>43.106999999999999</v>
      </c>
      <c r="D1798" s="42">
        <v>43.283999999999999</v>
      </c>
      <c r="E1798" s="42">
        <v>43.460999999999999</v>
      </c>
      <c r="F1798" s="42">
        <v>43.637999999999998</v>
      </c>
      <c r="G1798" s="42">
        <v>43.814</v>
      </c>
      <c r="H1798" s="42">
        <v>44.168999999999997</v>
      </c>
      <c r="I1798" s="42">
        <v>44.523000000000003</v>
      </c>
      <c r="J1798" s="19">
        <v>1566</v>
      </c>
      <c r="K1798" s="1">
        <v>10050</v>
      </c>
      <c r="L1798" s="1">
        <v>71.474000000000004</v>
      </c>
      <c r="M1798" s="1">
        <v>53.692999999999998</v>
      </c>
      <c r="N1798" s="1">
        <v>35.878999999999998</v>
      </c>
      <c r="O1798" s="1">
        <v>17.989000000000001</v>
      </c>
      <c r="P1798" s="1">
        <v>0</v>
      </c>
      <c r="Q1798" s="1">
        <v>-18.045999999999999</v>
      </c>
      <c r="R1798" s="1">
        <v>-36.216999999999999</v>
      </c>
      <c r="S1798" s="1">
        <v>-54.506999999999998</v>
      </c>
      <c r="T1798" s="1">
        <v>-72.905000000000001</v>
      </c>
    </row>
    <row r="1799" spans="1:20">
      <c r="A1799" s="1">
        <v>10100</v>
      </c>
      <c r="B1799" s="42">
        <v>41.360999999999997</v>
      </c>
      <c r="C1799" s="42">
        <v>41.713000000000001</v>
      </c>
      <c r="D1799" s="42">
        <v>41.889000000000003</v>
      </c>
      <c r="E1799" s="42">
        <v>42.064999999999998</v>
      </c>
      <c r="F1799" s="42">
        <v>42.241999999999997</v>
      </c>
      <c r="G1799" s="42">
        <v>42.417999999999999</v>
      </c>
      <c r="H1799" s="42">
        <v>42.771000000000001</v>
      </c>
      <c r="I1799" s="42">
        <v>43.125</v>
      </c>
      <c r="J1799" s="19">
        <v>1516</v>
      </c>
      <c r="K1799" s="1">
        <v>10100</v>
      </c>
      <c r="L1799" s="1">
        <v>71.177999999999997</v>
      </c>
      <c r="M1799" s="1">
        <v>53.472999999999999</v>
      </c>
      <c r="N1799" s="1">
        <v>35.731000000000002</v>
      </c>
      <c r="O1799" s="1">
        <v>17.916</v>
      </c>
      <c r="P1799" s="1">
        <v>0</v>
      </c>
      <c r="Q1799" s="1">
        <v>-17.972999999999999</v>
      </c>
      <c r="R1799" s="1">
        <v>-36.067</v>
      </c>
      <c r="S1799" s="1">
        <v>-54.281999999999996</v>
      </c>
      <c r="T1799" s="1">
        <v>-72.605999999999995</v>
      </c>
    </row>
    <row r="1800" spans="1:20">
      <c r="A1800" s="1">
        <v>10150</v>
      </c>
      <c r="B1800" s="42">
        <v>39.972000000000001</v>
      </c>
      <c r="C1800" s="42">
        <v>40.323</v>
      </c>
      <c r="D1800" s="42">
        <v>40.497999999999998</v>
      </c>
      <c r="E1800" s="42">
        <v>40.673999999999999</v>
      </c>
      <c r="F1800" s="42">
        <v>40.85</v>
      </c>
      <c r="G1800" s="42">
        <v>41.026000000000003</v>
      </c>
      <c r="H1800" s="42">
        <v>41.378</v>
      </c>
      <c r="I1800" s="42">
        <v>41.73</v>
      </c>
      <c r="J1800" s="19">
        <v>1466</v>
      </c>
      <c r="K1800" s="1">
        <v>10150</v>
      </c>
      <c r="L1800" s="1">
        <v>70.885000000000005</v>
      </c>
      <c r="M1800" s="1">
        <v>53.252000000000002</v>
      </c>
      <c r="N1800" s="1">
        <v>35.584000000000003</v>
      </c>
      <c r="O1800" s="1">
        <v>17.841000000000001</v>
      </c>
      <c r="P1800" s="1">
        <v>0</v>
      </c>
      <c r="Q1800" s="1">
        <v>-17.898</v>
      </c>
      <c r="R1800" s="1">
        <v>-35.917999999999999</v>
      </c>
      <c r="S1800" s="1">
        <v>-54.058</v>
      </c>
      <c r="T1800" s="1">
        <v>-72.305000000000007</v>
      </c>
    </row>
    <row r="1801" spans="1:20">
      <c r="A1801" s="1">
        <v>10200</v>
      </c>
      <c r="B1801" s="42">
        <v>38.587000000000003</v>
      </c>
      <c r="C1801" s="42">
        <v>38.936</v>
      </c>
      <c r="D1801" s="42">
        <v>39.110999999999997</v>
      </c>
      <c r="E1801" s="42">
        <v>39.286999999999999</v>
      </c>
      <c r="F1801" s="42">
        <v>39.462000000000003</v>
      </c>
      <c r="G1801" s="42">
        <v>39.637</v>
      </c>
      <c r="H1801" s="42">
        <v>39.988</v>
      </c>
      <c r="I1801" s="42">
        <v>40.340000000000003</v>
      </c>
      <c r="J1801" s="19">
        <v>1416</v>
      </c>
      <c r="K1801" s="1">
        <v>10200</v>
      </c>
      <c r="L1801" s="1">
        <v>70.590999999999994</v>
      </c>
      <c r="M1801" s="1">
        <v>53.03</v>
      </c>
      <c r="N1801" s="1">
        <v>35.436999999999998</v>
      </c>
      <c r="O1801" s="1">
        <v>17.766999999999999</v>
      </c>
      <c r="P1801" s="1">
        <v>0</v>
      </c>
      <c r="Q1801" s="1">
        <v>-17.824000000000002</v>
      </c>
      <c r="R1801" s="1">
        <v>-35.768999999999998</v>
      </c>
      <c r="S1801" s="1">
        <v>-53.835999999999999</v>
      </c>
      <c r="T1801" s="1">
        <v>-72.007000000000005</v>
      </c>
    </row>
    <row r="1802" spans="1:20">
      <c r="A1802" s="1">
        <v>10250</v>
      </c>
      <c r="B1802" s="42">
        <v>37.204999999999998</v>
      </c>
      <c r="C1802" s="42">
        <v>37.554000000000002</v>
      </c>
      <c r="D1802" s="42">
        <v>37.728999999999999</v>
      </c>
      <c r="E1802" s="42">
        <v>37.902999999999999</v>
      </c>
      <c r="F1802" s="42">
        <v>38.078000000000003</v>
      </c>
      <c r="G1802" s="42">
        <v>38.253</v>
      </c>
      <c r="H1802" s="42">
        <v>38.603000000000002</v>
      </c>
      <c r="I1802" s="42">
        <v>38.954000000000001</v>
      </c>
      <c r="J1802" s="19">
        <v>1366</v>
      </c>
      <c r="K1802" s="1">
        <v>10250</v>
      </c>
      <c r="L1802" s="1">
        <v>70.298000000000002</v>
      </c>
      <c r="M1802" s="1">
        <v>52.811</v>
      </c>
      <c r="N1802" s="1">
        <v>35.290999999999997</v>
      </c>
      <c r="O1802" s="1">
        <v>17.693999999999999</v>
      </c>
      <c r="P1802" s="1">
        <v>0</v>
      </c>
      <c r="Q1802" s="1">
        <v>-17.748999999999999</v>
      </c>
      <c r="R1802" s="1">
        <v>-35.621000000000002</v>
      </c>
      <c r="S1802" s="1">
        <v>-53.610999999999997</v>
      </c>
      <c r="T1802" s="1">
        <v>-71.706999999999994</v>
      </c>
    </row>
    <row r="1803" spans="1:20">
      <c r="A1803" s="1">
        <v>10300</v>
      </c>
      <c r="B1803" s="42">
        <v>35.828000000000003</v>
      </c>
      <c r="C1803" s="42">
        <v>36.176000000000002</v>
      </c>
      <c r="D1803" s="42">
        <v>36.35</v>
      </c>
      <c r="E1803" s="42">
        <v>36.524000000000001</v>
      </c>
      <c r="F1803" s="42">
        <v>36.698</v>
      </c>
      <c r="G1803" s="42">
        <v>36.872999999999998</v>
      </c>
      <c r="H1803" s="42">
        <v>37.222000000000001</v>
      </c>
      <c r="I1803" s="42">
        <v>37.570999999999998</v>
      </c>
      <c r="J1803" s="19">
        <v>1316</v>
      </c>
      <c r="K1803" s="1">
        <v>10300</v>
      </c>
      <c r="L1803" s="1">
        <v>70.004000000000005</v>
      </c>
      <c r="M1803" s="1">
        <v>52.588000000000001</v>
      </c>
      <c r="N1803" s="1">
        <v>35.143000000000001</v>
      </c>
      <c r="O1803" s="1">
        <v>17.62</v>
      </c>
      <c r="P1803" s="1">
        <v>0</v>
      </c>
      <c r="Q1803" s="1">
        <v>-17.675000000000001</v>
      </c>
      <c r="R1803" s="1">
        <v>-35.472999999999999</v>
      </c>
      <c r="S1803" s="1">
        <v>-53.39</v>
      </c>
      <c r="T1803" s="1">
        <v>-71.409000000000006</v>
      </c>
    </row>
    <row r="1804" spans="1:20">
      <c r="A1804" s="1">
        <v>10350</v>
      </c>
      <c r="B1804" s="42">
        <v>34.454999999999998</v>
      </c>
      <c r="C1804" s="42">
        <v>34.802</v>
      </c>
      <c r="D1804" s="42">
        <v>34.975000000000001</v>
      </c>
      <c r="E1804" s="42">
        <v>35.149000000000001</v>
      </c>
      <c r="F1804" s="42">
        <v>35.322000000000003</v>
      </c>
      <c r="G1804" s="42">
        <v>35.496000000000002</v>
      </c>
      <c r="H1804" s="42">
        <v>35.844000000000001</v>
      </c>
      <c r="I1804" s="42">
        <v>36.192999999999998</v>
      </c>
      <c r="J1804" s="19">
        <v>1266</v>
      </c>
      <c r="K1804" s="1">
        <v>10350</v>
      </c>
      <c r="L1804" s="1">
        <v>69.709999999999994</v>
      </c>
      <c r="M1804" s="1">
        <v>52.368000000000002</v>
      </c>
      <c r="N1804" s="1">
        <v>34.996000000000002</v>
      </c>
      <c r="O1804" s="1">
        <v>17.547000000000001</v>
      </c>
      <c r="P1804" s="1">
        <v>0</v>
      </c>
      <c r="Q1804" s="1">
        <v>-17.602</v>
      </c>
      <c r="R1804" s="1">
        <v>-35.323</v>
      </c>
      <c r="S1804" s="1">
        <v>-53.165999999999997</v>
      </c>
      <c r="T1804" s="1">
        <v>-71.111000000000004</v>
      </c>
    </row>
    <row r="1805" spans="1:20">
      <c r="A1805" s="1">
        <v>10400</v>
      </c>
      <c r="B1805" s="42">
        <v>33.085999999999999</v>
      </c>
      <c r="C1805" s="42">
        <v>33.430999999999997</v>
      </c>
      <c r="D1805" s="42">
        <v>33.603999999999999</v>
      </c>
      <c r="E1805" s="42">
        <v>33.777000000000001</v>
      </c>
      <c r="F1805" s="42">
        <v>33.951000000000001</v>
      </c>
      <c r="G1805" s="42">
        <v>34.124000000000002</v>
      </c>
      <c r="H1805" s="42">
        <v>34.470999999999997</v>
      </c>
      <c r="I1805" s="42">
        <v>34.819000000000003</v>
      </c>
      <c r="J1805" s="19">
        <v>1216</v>
      </c>
      <c r="K1805" s="1">
        <v>10400</v>
      </c>
      <c r="L1805" s="1">
        <v>69.415999999999997</v>
      </c>
      <c r="M1805" s="1">
        <v>52.146000000000001</v>
      </c>
      <c r="N1805" s="1">
        <v>34.848999999999997</v>
      </c>
      <c r="O1805" s="1">
        <v>17.472000000000001</v>
      </c>
      <c r="P1805" s="1">
        <v>0</v>
      </c>
      <c r="Q1805" s="1">
        <v>-17.527999999999999</v>
      </c>
      <c r="R1805" s="1">
        <v>-35.173000000000002</v>
      </c>
      <c r="S1805" s="1">
        <v>-52.942</v>
      </c>
      <c r="T1805" s="1">
        <v>-70.81</v>
      </c>
    </row>
    <row r="1806" spans="1:20">
      <c r="A1806" s="1">
        <v>10450</v>
      </c>
      <c r="B1806" s="42">
        <v>31.72</v>
      </c>
      <c r="C1806" s="42">
        <v>32.064999999999998</v>
      </c>
      <c r="D1806" s="42">
        <v>32.238</v>
      </c>
      <c r="E1806" s="42">
        <v>32.409999999999997</v>
      </c>
      <c r="F1806" s="42">
        <v>32.582999999999998</v>
      </c>
      <c r="G1806" s="42">
        <v>32.756</v>
      </c>
      <c r="H1806" s="42">
        <v>33.101999999999997</v>
      </c>
      <c r="I1806" s="42">
        <v>33.448</v>
      </c>
      <c r="J1806" s="19">
        <v>1166</v>
      </c>
      <c r="K1806" s="1">
        <v>10450</v>
      </c>
      <c r="L1806" s="1">
        <v>69.123000000000005</v>
      </c>
      <c r="M1806" s="1">
        <v>51.927999999999997</v>
      </c>
      <c r="N1806" s="1">
        <v>34.703000000000003</v>
      </c>
      <c r="O1806" s="1">
        <v>17.399000000000001</v>
      </c>
      <c r="P1806" s="1">
        <v>0</v>
      </c>
      <c r="Q1806" s="1">
        <v>-17.454000000000001</v>
      </c>
      <c r="R1806" s="1">
        <v>-35.026000000000003</v>
      </c>
      <c r="S1806" s="1">
        <v>-52.718000000000004</v>
      </c>
      <c r="T1806" s="1">
        <v>-70.512</v>
      </c>
    </row>
    <row r="1807" spans="1:20">
      <c r="A1807" s="1">
        <v>10500</v>
      </c>
      <c r="B1807" s="42">
        <v>30.359000000000002</v>
      </c>
      <c r="C1807" s="42">
        <v>30.702999999999999</v>
      </c>
      <c r="D1807" s="42">
        <v>30.875</v>
      </c>
      <c r="E1807" s="42">
        <v>31.047000000000001</v>
      </c>
      <c r="F1807" s="42">
        <v>31.219000000000001</v>
      </c>
      <c r="G1807" s="42">
        <v>31.391999999999999</v>
      </c>
      <c r="H1807" s="42">
        <v>31.736999999999998</v>
      </c>
      <c r="I1807" s="42">
        <v>32.082000000000001</v>
      </c>
      <c r="J1807" s="19">
        <v>1116</v>
      </c>
      <c r="K1807" s="1">
        <v>10500</v>
      </c>
      <c r="L1807" s="1">
        <v>68.828000000000003</v>
      </c>
      <c r="M1807" s="1">
        <v>51.704000000000001</v>
      </c>
      <c r="N1807" s="1">
        <v>34.554000000000002</v>
      </c>
      <c r="O1807" s="1">
        <v>17.324000000000002</v>
      </c>
      <c r="P1807" s="1">
        <v>0</v>
      </c>
      <c r="Q1807" s="1">
        <v>-17.379000000000001</v>
      </c>
      <c r="R1807" s="1">
        <v>-34.877000000000002</v>
      </c>
      <c r="S1807" s="1">
        <v>-52.497</v>
      </c>
      <c r="T1807" s="1">
        <v>-70.212999999999994</v>
      </c>
    </row>
    <row r="1808" spans="1:20">
      <c r="A1808" s="1">
        <v>10550</v>
      </c>
      <c r="B1808" s="42">
        <v>29.001999999999999</v>
      </c>
      <c r="C1808" s="42">
        <v>29.344999999999999</v>
      </c>
      <c r="D1808" s="42">
        <v>29.515999999999998</v>
      </c>
      <c r="E1808" s="42">
        <v>29.687999999999999</v>
      </c>
      <c r="F1808" s="42">
        <v>29.859000000000002</v>
      </c>
      <c r="G1808" s="42">
        <v>30.030999999999999</v>
      </c>
      <c r="H1808" s="42">
        <v>30.375</v>
      </c>
      <c r="I1808" s="42">
        <v>30.72</v>
      </c>
      <c r="J1808" s="19">
        <v>1066</v>
      </c>
      <c r="K1808" s="1">
        <v>10550</v>
      </c>
      <c r="L1808" s="1">
        <v>68.534999999999997</v>
      </c>
      <c r="M1808" s="1">
        <v>51.484000000000002</v>
      </c>
      <c r="N1808" s="1">
        <v>34.408000000000001</v>
      </c>
      <c r="O1808" s="1">
        <v>17.251000000000001</v>
      </c>
      <c r="P1808" s="1">
        <v>0</v>
      </c>
      <c r="Q1808" s="1">
        <v>-17.305</v>
      </c>
      <c r="R1808" s="1">
        <v>-34.726999999999997</v>
      </c>
      <c r="S1808" s="1">
        <v>-52.271999999999998</v>
      </c>
      <c r="T1808" s="1">
        <v>-69.912000000000006</v>
      </c>
    </row>
    <row r="1809" spans="1:20">
      <c r="A1809" s="1">
        <v>10600</v>
      </c>
      <c r="B1809" s="42">
        <v>27.649000000000001</v>
      </c>
      <c r="C1809" s="42">
        <v>27.99</v>
      </c>
      <c r="D1809" s="42">
        <v>28.161000000000001</v>
      </c>
      <c r="E1809" s="42">
        <v>28.332999999999998</v>
      </c>
      <c r="F1809" s="42">
        <v>28.504000000000001</v>
      </c>
      <c r="G1809" s="42">
        <v>28.675000000000001</v>
      </c>
      <c r="H1809" s="42">
        <v>29.018000000000001</v>
      </c>
      <c r="I1809" s="42">
        <v>29.361999999999998</v>
      </c>
      <c r="J1809" s="19">
        <v>1016</v>
      </c>
      <c r="K1809" s="1">
        <v>10600</v>
      </c>
      <c r="L1809" s="1">
        <v>68.241</v>
      </c>
      <c r="M1809" s="1">
        <v>51.262999999999998</v>
      </c>
      <c r="N1809" s="1">
        <v>34.26</v>
      </c>
      <c r="O1809" s="1">
        <v>17.177</v>
      </c>
      <c r="P1809" s="1">
        <v>0</v>
      </c>
      <c r="Q1809" s="1">
        <v>-17.231000000000002</v>
      </c>
      <c r="R1809" s="1">
        <v>-34.579000000000001</v>
      </c>
      <c r="S1809" s="1">
        <v>-52.05</v>
      </c>
      <c r="T1809" s="1">
        <v>-69.614999999999995</v>
      </c>
    </row>
    <row r="1810" spans="1:20">
      <c r="A1810" s="1">
        <v>10650</v>
      </c>
      <c r="B1810" s="42">
        <v>26.3</v>
      </c>
      <c r="C1810" s="42">
        <v>26.64</v>
      </c>
      <c r="D1810" s="42">
        <v>26.811</v>
      </c>
      <c r="E1810" s="42">
        <v>26.981000000000002</v>
      </c>
      <c r="F1810" s="42">
        <v>27.152000000000001</v>
      </c>
      <c r="G1810" s="42">
        <v>27.323</v>
      </c>
      <c r="H1810" s="42">
        <v>27.664999999999999</v>
      </c>
      <c r="I1810" s="42">
        <v>28.007000000000001</v>
      </c>
      <c r="J1810" s="19">
        <v>966</v>
      </c>
      <c r="K1810" s="1">
        <v>10650</v>
      </c>
      <c r="L1810" s="1">
        <v>67.947999999999993</v>
      </c>
      <c r="M1810" s="1">
        <v>51.042999999999999</v>
      </c>
      <c r="N1810" s="1">
        <v>34.113</v>
      </c>
      <c r="O1810" s="1">
        <v>17.103000000000002</v>
      </c>
      <c r="P1810" s="1">
        <v>0</v>
      </c>
      <c r="Q1810" s="1">
        <v>-17.157</v>
      </c>
      <c r="R1810" s="1">
        <v>-34.43</v>
      </c>
      <c r="S1810" s="1">
        <v>-51.826000000000001</v>
      </c>
      <c r="T1810" s="1">
        <v>-69.314999999999998</v>
      </c>
    </row>
    <row r="1811" spans="1:20">
      <c r="A1811" s="1">
        <v>10700</v>
      </c>
      <c r="B1811" s="42">
        <v>24.954999999999998</v>
      </c>
      <c r="C1811" s="42">
        <v>25.294</v>
      </c>
      <c r="D1811" s="42">
        <v>25.463999999999999</v>
      </c>
      <c r="E1811" s="42">
        <v>25.634</v>
      </c>
      <c r="F1811" s="42">
        <v>25.803999999999998</v>
      </c>
      <c r="G1811" s="42">
        <v>25.975000000000001</v>
      </c>
      <c r="H1811" s="42">
        <v>26.315999999999999</v>
      </c>
      <c r="I1811" s="42">
        <v>26.657</v>
      </c>
      <c r="J1811" s="19">
        <v>916</v>
      </c>
      <c r="K1811" s="1">
        <v>10700</v>
      </c>
      <c r="L1811" s="1">
        <v>67.655000000000001</v>
      </c>
      <c r="M1811" s="1">
        <v>50.820999999999998</v>
      </c>
      <c r="N1811" s="1">
        <v>33.966999999999999</v>
      </c>
      <c r="O1811" s="1">
        <v>17.03</v>
      </c>
      <c r="P1811" s="1">
        <v>0</v>
      </c>
      <c r="Q1811" s="1">
        <v>-17.082000000000001</v>
      </c>
      <c r="R1811" s="1">
        <v>-34.281999999999996</v>
      </c>
      <c r="S1811" s="1">
        <v>-51.601999999999997</v>
      </c>
      <c r="T1811" s="1">
        <v>-69.016000000000005</v>
      </c>
    </row>
    <row r="1812" spans="1:20" ht="15" customHeight="1">
      <c r="A1812" s="1">
        <v>10750</v>
      </c>
      <c r="B1812" s="42">
        <v>23.614000000000001</v>
      </c>
      <c r="C1812" s="42">
        <v>23.952000000000002</v>
      </c>
      <c r="D1812" s="42">
        <v>24.122</v>
      </c>
      <c r="E1812" s="42">
        <v>24.291</v>
      </c>
      <c r="F1812" s="42">
        <v>24.460999999999999</v>
      </c>
      <c r="G1812" s="42">
        <v>24.631</v>
      </c>
      <c r="H1812" s="42">
        <v>24.971</v>
      </c>
      <c r="I1812" s="42">
        <v>25.311</v>
      </c>
      <c r="J1812" s="19">
        <v>866</v>
      </c>
      <c r="K1812" s="1">
        <v>10750</v>
      </c>
      <c r="L1812" s="1">
        <v>67.358999999999995</v>
      </c>
      <c r="M1812" s="1">
        <v>50.598999999999997</v>
      </c>
      <c r="N1812" s="1">
        <v>33.817</v>
      </c>
      <c r="O1812" s="1">
        <v>16.954999999999998</v>
      </c>
      <c r="P1812" s="1">
        <v>0</v>
      </c>
      <c r="Q1812" s="1">
        <v>-17.009</v>
      </c>
      <c r="R1812" s="1">
        <v>-34.133000000000003</v>
      </c>
      <c r="S1812" s="1">
        <v>-51.381</v>
      </c>
      <c r="T1812" s="1">
        <v>-68.718999999999994</v>
      </c>
    </row>
    <row r="1813" spans="1:20">
      <c r="A1813" s="1">
        <v>10800</v>
      </c>
      <c r="B1813" s="42">
        <v>22.277000000000001</v>
      </c>
      <c r="C1813" s="42">
        <v>22.614000000000001</v>
      </c>
      <c r="D1813" s="42">
        <v>22.783000000000001</v>
      </c>
      <c r="E1813" s="42">
        <v>22.952000000000002</v>
      </c>
      <c r="F1813" s="42">
        <v>23.120999999999999</v>
      </c>
      <c r="G1813" s="42">
        <v>23.29</v>
      </c>
      <c r="H1813" s="42">
        <v>23.629000000000001</v>
      </c>
      <c r="I1813" s="42">
        <v>23.969000000000001</v>
      </c>
      <c r="J1813" s="19">
        <v>816</v>
      </c>
      <c r="K1813" s="1">
        <v>10800</v>
      </c>
      <c r="L1813" s="1">
        <v>67.064999999999998</v>
      </c>
      <c r="M1813" s="1">
        <v>50.378</v>
      </c>
      <c r="N1813" s="1">
        <v>33.67</v>
      </c>
      <c r="O1813" s="1">
        <v>16.882000000000001</v>
      </c>
      <c r="P1813" s="1">
        <v>0</v>
      </c>
      <c r="Q1813" s="1">
        <v>-16.934000000000001</v>
      </c>
      <c r="R1813" s="1">
        <v>-33.982999999999997</v>
      </c>
      <c r="S1813" s="1">
        <v>-51.154000000000003</v>
      </c>
      <c r="T1813" s="1">
        <v>-68.418999999999997</v>
      </c>
    </row>
    <row r="1814" spans="1:20">
      <c r="A1814" s="1">
        <v>10850</v>
      </c>
      <c r="B1814" s="42">
        <v>20.943000000000001</v>
      </c>
      <c r="C1814" s="42">
        <v>21.28</v>
      </c>
      <c r="D1814" s="42">
        <v>21.448</v>
      </c>
      <c r="E1814" s="42">
        <v>21.617000000000001</v>
      </c>
      <c r="F1814" s="42">
        <v>21.786000000000001</v>
      </c>
      <c r="G1814" s="42">
        <v>21.954000000000001</v>
      </c>
      <c r="H1814" s="42">
        <v>22.292000000000002</v>
      </c>
      <c r="I1814" s="42">
        <v>22.631</v>
      </c>
      <c r="J1814" s="19">
        <v>766</v>
      </c>
      <c r="K1814" s="1">
        <v>10850</v>
      </c>
      <c r="L1814" s="1">
        <v>66.772999999999996</v>
      </c>
      <c r="M1814" s="1">
        <v>50.158999999999999</v>
      </c>
      <c r="N1814" s="1">
        <v>33.524999999999999</v>
      </c>
      <c r="O1814" s="1">
        <v>16.809000000000001</v>
      </c>
      <c r="P1814" s="1">
        <v>0</v>
      </c>
      <c r="Q1814" s="1">
        <v>-16.86</v>
      </c>
      <c r="R1814" s="1">
        <v>-33.834000000000003</v>
      </c>
      <c r="S1814" s="1">
        <v>-50.932000000000002</v>
      </c>
      <c r="T1814" s="1">
        <v>-68.117999999999995</v>
      </c>
    </row>
    <row r="1815" spans="1:20">
      <c r="A1815" s="1">
        <v>10900</v>
      </c>
      <c r="B1815" s="42">
        <v>19.614000000000001</v>
      </c>
      <c r="C1815" s="42">
        <v>19.95</v>
      </c>
      <c r="D1815" s="42">
        <v>20.117999999999999</v>
      </c>
      <c r="E1815" s="42">
        <v>20.286000000000001</v>
      </c>
      <c r="F1815" s="42">
        <v>20.454000000000001</v>
      </c>
      <c r="G1815" s="42">
        <v>20.622</v>
      </c>
      <c r="H1815" s="42">
        <v>20.959</v>
      </c>
      <c r="I1815" s="42">
        <v>21.297000000000001</v>
      </c>
      <c r="J1815" s="19">
        <v>716</v>
      </c>
      <c r="K1815" s="1">
        <v>10900</v>
      </c>
      <c r="L1815" s="1">
        <v>66.478999999999999</v>
      </c>
      <c r="M1815" s="1">
        <v>49.938000000000002</v>
      </c>
      <c r="N1815" s="1">
        <v>33.377000000000002</v>
      </c>
      <c r="O1815" s="1">
        <v>16.734000000000002</v>
      </c>
      <c r="P1815" s="1">
        <v>0</v>
      </c>
      <c r="Q1815" s="1">
        <v>-16.786999999999999</v>
      </c>
      <c r="R1815" s="1">
        <v>-33.686999999999998</v>
      </c>
      <c r="S1815" s="1">
        <v>-50.710999999999999</v>
      </c>
      <c r="T1815" s="1">
        <v>-67.822000000000003</v>
      </c>
    </row>
    <row r="1816" spans="1:20">
      <c r="A1816" s="1">
        <v>10950</v>
      </c>
      <c r="B1816" s="42">
        <v>18.289000000000001</v>
      </c>
      <c r="C1816" s="42">
        <v>18.623999999999999</v>
      </c>
      <c r="D1816" s="42">
        <v>18.791</v>
      </c>
      <c r="E1816" s="42">
        <v>18.959</v>
      </c>
      <c r="F1816" s="42">
        <v>19.126000000000001</v>
      </c>
      <c r="G1816" s="42">
        <v>19.294</v>
      </c>
      <c r="H1816" s="42">
        <v>19.63</v>
      </c>
      <c r="I1816" s="42">
        <v>19.966999999999999</v>
      </c>
      <c r="J1816" s="19">
        <v>666</v>
      </c>
      <c r="K1816" s="1">
        <v>10950</v>
      </c>
      <c r="L1816" s="1">
        <v>66.183999999999997</v>
      </c>
      <c r="M1816" s="1">
        <v>49.716999999999999</v>
      </c>
      <c r="N1816" s="1">
        <v>33.229999999999997</v>
      </c>
      <c r="O1816" s="1">
        <v>16.661000000000001</v>
      </c>
      <c r="P1816" s="1">
        <v>0</v>
      </c>
      <c r="Q1816" s="1">
        <v>-16.712</v>
      </c>
      <c r="R1816" s="1">
        <v>-33.537999999999997</v>
      </c>
      <c r="S1816" s="1">
        <v>-50.487000000000002</v>
      </c>
      <c r="T1816" s="1">
        <v>-67.522999999999996</v>
      </c>
    </row>
    <row r="1817" spans="1:20">
      <c r="A1817" s="1">
        <v>11000</v>
      </c>
      <c r="B1817" s="42">
        <v>16.968</v>
      </c>
      <c r="C1817" s="42">
        <v>17.302</v>
      </c>
      <c r="D1817" s="42">
        <v>17.469000000000001</v>
      </c>
      <c r="E1817" s="42">
        <v>17.635999999999999</v>
      </c>
      <c r="F1817" s="42">
        <v>17.803000000000001</v>
      </c>
      <c r="G1817" s="42">
        <v>17.97</v>
      </c>
      <c r="H1817" s="42">
        <v>18.305</v>
      </c>
      <c r="I1817" s="42">
        <v>18.64</v>
      </c>
      <c r="J1817" s="19">
        <v>616</v>
      </c>
      <c r="K1817" s="1">
        <v>11000</v>
      </c>
      <c r="L1817" s="1">
        <v>65.89</v>
      </c>
      <c r="M1817" s="1">
        <v>49.497</v>
      </c>
      <c r="N1817" s="1">
        <v>33.082000000000001</v>
      </c>
      <c r="O1817" s="1">
        <v>16.587</v>
      </c>
      <c r="P1817" s="1">
        <v>0</v>
      </c>
      <c r="Q1817" s="1">
        <v>-16.638000000000002</v>
      </c>
      <c r="R1817" s="1">
        <v>-33.389000000000003</v>
      </c>
      <c r="S1817" s="1">
        <v>-50.262999999999998</v>
      </c>
      <c r="T1817" s="1">
        <v>-67.222999999999999</v>
      </c>
    </row>
    <row r="1818" spans="1:20">
      <c r="A1818" s="1">
        <v>11050</v>
      </c>
      <c r="B1818" s="42">
        <v>15.651</v>
      </c>
      <c r="C1818" s="42">
        <v>15.994</v>
      </c>
      <c r="D1818" s="42">
        <v>16.149999999999999</v>
      </c>
      <c r="E1818" s="42">
        <v>16.317</v>
      </c>
      <c r="F1818" s="42">
        <v>16.483000000000001</v>
      </c>
      <c r="G1818" s="42">
        <v>16.649999999999999</v>
      </c>
      <c r="H1818" s="42">
        <v>16.984000000000002</v>
      </c>
      <c r="I1818" s="42">
        <v>17.318000000000001</v>
      </c>
      <c r="J1818" s="19">
        <v>566</v>
      </c>
      <c r="K1818" s="1">
        <v>11050</v>
      </c>
      <c r="L1818" s="1">
        <v>65.596999999999994</v>
      </c>
      <c r="M1818" s="1">
        <v>49.274999999999999</v>
      </c>
      <c r="N1818" s="1">
        <v>32.933999999999997</v>
      </c>
      <c r="O1818" s="1">
        <v>16.512</v>
      </c>
      <c r="P1818" s="1">
        <v>0</v>
      </c>
      <c r="Q1818" s="1">
        <v>-16.562999999999999</v>
      </c>
      <c r="R1818" s="1">
        <v>-33.24</v>
      </c>
      <c r="S1818" s="1">
        <v>-50.04</v>
      </c>
      <c r="T1818" s="1">
        <v>-66.924000000000007</v>
      </c>
    </row>
    <row r="1819" spans="1:20">
      <c r="A1819" s="1">
        <v>11100</v>
      </c>
      <c r="B1819" s="42">
        <v>14.337999999999999</v>
      </c>
      <c r="C1819" s="42">
        <v>14.67</v>
      </c>
      <c r="D1819" s="42">
        <v>14.836</v>
      </c>
      <c r="E1819" s="42">
        <v>15.002000000000001</v>
      </c>
      <c r="F1819" s="42">
        <v>15.167999999999999</v>
      </c>
      <c r="G1819" s="42">
        <v>15.334</v>
      </c>
      <c r="H1819" s="42">
        <v>15.667</v>
      </c>
      <c r="I1819" s="42">
        <v>16</v>
      </c>
      <c r="J1819" s="19">
        <v>516</v>
      </c>
      <c r="K1819" s="1">
        <v>11100</v>
      </c>
      <c r="L1819" s="1">
        <v>65.305000000000007</v>
      </c>
      <c r="M1819" s="1">
        <v>49.058</v>
      </c>
      <c r="N1819" s="1">
        <v>32.787999999999997</v>
      </c>
      <c r="O1819" s="1">
        <v>16.440000000000001</v>
      </c>
      <c r="P1819" s="1">
        <v>0</v>
      </c>
      <c r="Q1819" s="1">
        <v>-16.489000000000001</v>
      </c>
      <c r="R1819" s="1">
        <v>-33.091999999999999</v>
      </c>
      <c r="S1819" s="1">
        <v>-49.816000000000003</v>
      </c>
      <c r="T1819" s="1">
        <v>-66.623999999999995</v>
      </c>
    </row>
    <row r="1820" spans="1:20">
      <c r="A1820" s="1">
        <v>11150</v>
      </c>
      <c r="B1820" s="42">
        <v>13.03</v>
      </c>
      <c r="C1820" s="42">
        <v>13.36</v>
      </c>
      <c r="D1820" s="42">
        <v>13.525</v>
      </c>
      <c r="E1820" s="42">
        <v>13.691000000000001</v>
      </c>
      <c r="F1820" s="42">
        <v>13.856</v>
      </c>
      <c r="G1820" s="42">
        <v>14.022</v>
      </c>
      <c r="H1820" s="42">
        <v>14.353999999999999</v>
      </c>
      <c r="I1820" s="42">
        <v>14.686</v>
      </c>
      <c r="J1820" s="19">
        <v>466</v>
      </c>
      <c r="K1820" s="1">
        <v>11150</v>
      </c>
      <c r="L1820" s="1">
        <v>65.007999999999996</v>
      </c>
      <c r="M1820" s="1">
        <v>48.835000000000001</v>
      </c>
      <c r="N1820" s="1">
        <v>32.64</v>
      </c>
      <c r="O1820" s="1">
        <v>16.364999999999998</v>
      </c>
      <c r="P1820" s="1">
        <v>0</v>
      </c>
      <c r="Q1820" s="1">
        <v>-16.417000000000002</v>
      </c>
      <c r="R1820" s="1">
        <v>-32.942999999999998</v>
      </c>
      <c r="S1820" s="1">
        <v>-49.594000000000001</v>
      </c>
      <c r="T1820" s="1">
        <v>-66.328000000000003</v>
      </c>
    </row>
    <row r="1821" spans="1:20">
      <c r="A1821" s="1">
        <v>11200</v>
      </c>
      <c r="B1821" s="42">
        <v>11.725</v>
      </c>
      <c r="C1821" s="42">
        <v>12.054</v>
      </c>
      <c r="D1821" s="42">
        <v>12.218999999999999</v>
      </c>
      <c r="E1821" s="42">
        <v>12.384</v>
      </c>
      <c r="F1821" s="42">
        <v>12.548999999999999</v>
      </c>
      <c r="G1821" s="42">
        <v>12.714</v>
      </c>
      <c r="H1821" s="42">
        <v>13.045</v>
      </c>
      <c r="I1821" s="42">
        <v>13.375999999999999</v>
      </c>
      <c r="J1821" s="19">
        <v>416</v>
      </c>
      <c r="K1821" s="1">
        <v>11200</v>
      </c>
      <c r="L1821" s="1">
        <v>64.715000000000003</v>
      </c>
      <c r="M1821" s="1">
        <v>48.615000000000002</v>
      </c>
      <c r="N1821" s="1">
        <v>32.494</v>
      </c>
      <c r="O1821" s="1">
        <v>16.292000000000002</v>
      </c>
      <c r="P1821" s="1">
        <v>0</v>
      </c>
      <c r="Q1821" s="1">
        <v>-16.341000000000001</v>
      </c>
      <c r="R1821" s="1">
        <v>-32.792000000000002</v>
      </c>
      <c r="S1821" s="1">
        <v>-49.366999999999997</v>
      </c>
      <c r="T1821" s="1">
        <v>-66.027000000000001</v>
      </c>
    </row>
    <row r="1822" spans="1:20">
      <c r="A1822" s="1">
        <v>11250</v>
      </c>
      <c r="B1822" s="42">
        <v>10.423999999999999</v>
      </c>
      <c r="C1822" s="42">
        <v>10.752000000000001</v>
      </c>
      <c r="D1822" s="42">
        <v>10.916</v>
      </c>
      <c r="E1822" s="42">
        <v>11.081</v>
      </c>
      <c r="F1822" s="42">
        <v>11.246</v>
      </c>
      <c r="G1822" s="42">
        <v>11.41</v>
      </c>
      <c r="H1822" s="42">
        <v>11.74</v>
      </c>
      <c r="I1822" s="42">
        <v>12.07</v>
      </c>
      <c r="J1822" s="19">
        <v>366</v>
      </c>
      <c r="K1822" s="1">
        <v>11250</v>
      </c>
      <c r="L1822" s="1">
        <v>64.421999999999997</v>
      </c>
      <c r="M1822" s="1">
        <v>48.395000000000003</v>
      </c>
      <c r="N1822" s="1">
        <v>32.347000000000001</v>
      </c>
      <c r="O1822" s="1">
        <v>16.218</v>
      </c>
      <c r="P1822" s="1">
        <v>0</v>
      </c>
      <c r="Q1822" s="1">
        <v>-16.266999999999999</v>
      </c>
      <c r="R1822" s="1">
        <v>-32.643999999999998</v>
      </c>
      <c r="S1822" s="1">
        <v>-49.143999999999998</v>
      </c>
      <c r="T1822" s="1">
        <v>-65.727999999999994</v>
      </c>
    </row>
    <row r="1823" spans="1:20">
      <c r="A1823" s="1">
        <v>11300</v>
      </c>
      <c r="B1823" s="42">
        <v>9.1270000000000007</v>
      </c>
      <c r="C1823" s="42">
        <v>9.4540000000000006</v>
      </c>
      <c r="D1823" s="42">
        <v>9.6180000000000003</v>
      </c>
      <c r="E1823" s="42">
        <v>9.782</v>
      </c>
      <c r="F1823" s="42">
        <v>9.94</v>
      </c>
      <c r="G1823" s="42">
        <v>10.11</v>
      </c>
      <c r="H1823" s="42">
        <v>10.439</v>
      </c>
      <c r="I1823" s="42">
        <v>10.768000000000001</v>
      </c>
      <c r="J1823" s="19">
        <v>316</v>
      </c>
      <c r="K1823" s="1">
        <v>11300</v>
      </c>
      <c r="L1823" s="1">
        <v>64.126999999999995</v>
      </c>
      <c r="M1823" s="1">
        <v>48.173999999999999</v>
      </c>
      <c r="N1823" s="1">
        <v>32.198</v>
      </c>
      <c r="O1823" s="1">
        <v>16.143999999999998</v>
      </c>
      <c r="P1823" s="1">
        <v>0</v>
      </c>
      <c r="Q1823" s="1">
        <v>-16.192</v>
      </c>
      <c r="R1823" s="1">
        <v>-32.494999999999997</v>
      </c>
      <c r="S1823" s="1">
        <v>-48.92</v>
      </c>
      <c r="T1823" s="1">
        <v>-65.430000000000007</v>
      </c>
    </row>
    <row r="1824" spans="1:20">
      <c r="A1824" s="1">
        <v>11350</v>
      </c>
      <c r="B1824" s="42">
        <v>7.8339999999999996</v>
      </c>
      <c r="C1824" s="42">
        <v>8.16</v>
      </c>
      <c r="D1824" s="42">
        <v>8.3239999999999998</v>
      </c>
      <c r="E1824" s="42">
        <v>8.4870000000000001</v>
      </c>
      <c r="F1824" s="42">
        <v>8.6509999999999998</v>
      </c>
      <c r="G1824" s="42">
        <v>8.8140000000000001</v>
      </c>
      <c r="H1824" s="42">
        <v>9.1419999999999995</v>
      </c>
      <c r="I1824" s="42">
        <v>9.4700000000000006</v>
      </c>
      <c r="J1824" s="19">
        <v>266</v>
      </c>
      <c r="K1824" s="1">
        <v>11350</v>
      </c>
      <c r="L1824" s="1">
        <v>63.835999999999999</v>
      </c>
      <c r="M1824" s="1">
        <v>47.956000000000003</v>
      </c>
      <c r="N1824" s="1">
        <v>32.052</v>
      </c>
      <c r="O1824" s="1">
        <v>16.07</v>
      </c>
      <c r="P1824" s="1">
        <v>0</v>
      </c>
      <c r="Q1824" s="1">
        <v>-16.119</v>
      </c>
      <c r="R1824" s="1">
        <v>-32.347000000000001</v>
      </c>
      <c r="S1824" s="1">
        <v>-48.695999999999998</v>
      </c>
      <c r="T1824" s="1">
        <v>-65.129000000000005</v>
      </c>
    </row>
    <row r="1825" spans="1:20">
      <c r="A1825" s="1">
        <v>11400</v>
      </c>
      <c r="B1825" s="42">
        <v>6.5449999999999999</v>
      </c>
      <c r="C1825" s="42">
        <v>6.87</v>
      </c>
      <c r="D1825" s="42">
        <v>7.0330000000000004</v>
      </c>
      <c r="E1825" s="42">
        <v>7.1959999999999997</v>
      </c>
      <c r="F1825" s="42">
        <v>7.359</v>
      </c>
      <c r="G1825" s="42">
        <v>7.5229999999999997</v>
      </c>
      <c r="H1825" s="42">
        <v>7.8490000000000002</v>
      </c>
      <c r="I1825" s="42">
        <v>8.1769999999999996</v>
      </c>
      <c r="J1825" s="19">
        <v>216</v>
      </c>
      <c r="K1825" s="1">
        <v>11400</v>
      </c>
      <c r="L1825" s="1">
        <v>63.539000000000001</v>
      </c>
      <c r="M1825" s="1">
        <v>47.732999999999997</v>
      </c>
      <c r="N1825" s="1">
        <v>31.904</v>
      </c>
      <c r="O1825" s="1">
        <v>15.997</v>
      </c>
      <c r="P1825" s="1">
        <v>0</v>
      </c>
      <c r="Q1825" s="1">
        <v>-16.045999999999999</v>
      </c>
      <c r="R1825" s="1">
        <v>-32.200000000000003</v>
      </c>
      <c r="S1825" s="1">
        <v>-48.473999999999997</v>
      </c>
      <c r="T1825" s="1">
        <v>-64.834000000000003</v>
      </c>
    </row>
    <row r="1826" spans="1:20">
      <c r="A1826" s="1">
        <v>11450</v>
      </c>
      <c r="B1826" s="42">
        <v>5.26</v>
      </c>
      <c r="C1826" s="42">
        <v>5.585</v>
      </c>
      <c r="D1826" s="42">
        <v>5.7469999999999999</v>
      </c>
      <c r="E1826" s="42">
        <v>5.9089999999999998</v>
      </c>
      <c r="F1826" s="42">
        <v>6.0720000000000001</v>
      </c>
      <c r="G1826" s="42">
        <v>6.2350000000000003</v>
      </c>
      <c r="H1826" s="42">
        <v>6.56</v>
      </c>
      <c r="I1826" s="42">
        <v>6.8869999999999996</v>
      </c>
      <c r="J1826" s="19">
        <v>166</v>
      </c>
      <c r="K1826" s="1">
        <v>11450</v>
      </c>
      <c r="L1826" s="1">
        <v>63.246000000000002</v>
      </c>
      <c r="M1826" s="1">
        <v>47.515000000000001</v>
      </c>
      <c r="N1826" s="1">
        <v>31.757000000000001</v>
      </c>
      <c r="O1826" s="1">
        <v>15.923</v>
      </c>
      <c r="P1826" s="1">
        <v>0</v>
      </c>
      <c r="Q1826" s="1">
        <v>-15.97</v>
      </c>
      <c r="R1826" s="1">
        <v>-32.048999999999999</v>
      </c>
      <c r="S1826" s="1">
        <v>-48.247</v>
      </c>
      <c r="T1826" s="1">
        <v>-64.531999999999996</v>
      </c>
    </row>
    <row r="1827" spans="1:20">
      <c r="A1827" s="1">
        <v>11500</v>
      </c>
      <c r="B1827" s="42">
        <v>3.98</v>
      </c>
      <c r="C1827" s="42">
        <v>4.3029999999999999</v>
      </c>
      <c r="D1827" s="42">
        <v>4.4649999999999999</v>
      </c>
      <c r="E1827" s="42">
        <v>4.6269999999999998</v>
      </c>
      <c r="F1827" s="42">
        <v>4.7889999999999997</v>
      </c>
      <c r="G1827" s="42">
        <v>4.9509999999999996</v>
      </c>
      <c r="H1827" s="42">
        <v>5.2759999999999998</v>
      </c>
      <c r="I1827" s="42">
        <v>5.601</v>
      </c>
      <c r="J1827" s="19">
        <v>116</v>
      </c>
      <c r="K1827" s="1">
        <v>11500</v>
      </c>
      <c r="L1827" s="1">
        <v>62.951000000000001</v>
      </c>
      <c r="M1827" s="1">
        <v>47.293999999999997</v>
      </c>
      <c r="N1827" s="1">
        <v>31.61</v>
      </c>
      <c r="O1827" s="1">
        <v>15.849</v>
      </c>
      <c r="P1827" s="1">
        <v>0</v>
      </c>
      <c r="Q1827" s="1">
        <v>-15.897</v>
      </c>
      <c r="R1827" s="1">
        <v>-31.901</v>
      </c>
      <c r="S1827" s="1">
        <v>-48.024000000000001</v>
      </c>
      <c r="T1827" s="1">
        <v>-64.233999999999995</v>
      </c>
    </row>
    <row r="1828" spans="1:20">
      <c r="A1828" s="1">
        <v>11550</v>
      </c>
      <c r="B1828" s="42">
        <v>2.7029999999999998</v>
      </c>
      <c r="C1828" s="42">
        <v>3.0249999999999999</v>
      </c>
      <c r="D1828" s="42">
        <v>3.1859999999999999</v>
      </c>
      <c r="E1828" s="42">
        <v>3.3479999999999999</v>
      </c>
      <c r="F1828" s="42">
        <v>3.5089999999999999</v>
      </c>
      <c r="G1828" s="42">
        <v>3.6709999999999998</v>
      </c>
      <c r="H1828" s="42">
        <v>3.9950000000000001</v>
      </c>
      <c r="I1828" s="42">
        <v>4.319</v>
      </c>
      <c r="J1828" s="19">
        <v>66</v>
      </c>
      <c r="K1828" s="1">
        <v>11550</v>
      </c>
      <c r="L1828" s="1">
        <v>59.046999999999997</v>
      </c>
      <c r="M1828" s="1">
        <v>47.073</v>
      </c>
      <c r="N1828" s="1">
        <v>31.462</v>
      </c>
      <c r="O1828" s="1">
        <v>15.775</v>
      </c>
      <c r="P1828" s="1">
        <v>0</v>
      </c>
      <c r="Q1828" s="1">
        <v>-15.821</v>
      </c>
      <c r="R1828" s="1">
        <v>-31.751999999999999</v>
      </c>
      <c r="S1828" s="1">
        <v>-47.8</v>
      </c>
      <c r="T1828" s="1">
        <v>-63.933999999999997</v>
      </c>
    </row>
    <row r="1829" spans="1:20">
      <c r="A1829" s="1">
        <v>11600</v>
      </c>
      <c r="B1829" s="42">
        <v>1.43</v>
      </c>
      <c r="C1829" s="42">
        <v>1.7509999999999999</v>
      </c>
      <c r="D1829" s="42">
        <v>1.9119999999999999</v>
      </c>
      <c r="E1829" s="42">
        <v>2.073</v>
      </c>
      <c r="F1829" s="42">
        <v>2.234</v>
      </c>
      <c r="G1829" s="42">
        <v>2.395</v>
      </c>
      <c r="H1829" s="42">
        <v>2.718</v>
      </c>
      <c r="I1829" s="42">
        <v>3.0409999999999999</v>
      </c>
      <c r="J1829" s="19">
        <v>16</v>
      </c>
      <c r="K1829" s="1">
        <v>11600</v>
      </c>
      <c r="L1829" s="1">
        <v>0</v>
      </c>
      <c r="M1829" s="1">
        <v>0</v>
      </c>
      <c r="N1829" s="1">
        <v>0</v>
      </c>
      <c r="O1829" s="1">
        <v>15.685</v>
      </c>
      <c r="P1829" s="1">
        <v>0</v>
      </c>
      <c r="Q1829" s="1">
        <v>-15.747999999999999</v>
      </c>
      <c r="R1829" s="1">
        <v>-31.603000000000002</v>
      </c>
      <c r="S1829" s="1">
        <v>-47.575000000000003</v>
      </c>
      <c r="T1829" s="1">
        <v>-63.634999999999998</v>
      </c>
    </row>
    <row r="1830" spans="1:20">
      <c r="A1830" s="1">
        <v>11616</v>
      </c>
      <c r="B1830" s="42">
        <v>1.024</v>
      </c>
      <c r="C1830" s="42">
        <v>1.3440000000000001</v>
      </c>
      <c r="D1830" s="42">
        <v>1.5049999999999999</v>
      </c>
      <c r="E1830" s="42">
        <v>1.6659999999999999</v>
      </c>
      <c r="F1830" s="42">
        <v>1.827</v>
      </c>
      <c r="G1830" s="42">
        <v>1.988</v>
      </c>
      <c r="H1830" s="42">
        <v>2.31</v>
      </c>
      <c r="I1830" s="42">
        <v>2.633</v>
      </c>
      <c r="J1830" s="19">
        <v>0</v>
      </c>
      <c r="K1830" s="1">
        <v>11616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-15.743</v>
      </c>
      <c r="R1830" s="1">
        <v>-31.558</v>
      </c>
      <c r="S1830" s="1">
        <v>-47.49</v>
      </c>
      <c r="T1830" s="1">
        <v>-63.552</v>
      </c>
    </row>
    <row r="1831" spans="1:20" hidden="1">
      <c r="B1831" s="19"/>
      <c r="C1831" s="19"/>
      <c r="D1831" s="19"/>
      <c r="E1831" s="19"/>
      <c r="F1831" s="19"/>
      <c r="G1831" s="19"/>
      <c r="H1831" s="19"/>
      <c r="I1831" s="19"/>
      <c r="J1831" s="19"/>
      <c r="K1831" s="421"/>
      <c r="L1831" s="23"/>
      <c r="M1831" s="19"/>
      <c r="N1831" s="19"/>
      <c r="O1831" s="19"/>
      <c r="P1831" s="19"/>
      <c r="Q1831" s="19"/>
    </row>
    <row r="1832" spans="1:20" hidden="1">
      <c r="B1832" s="19"/>
      <c r="C1832" s="19"/>
      <c r="D1832" s="19"/>
      <c r="E1832" s="19"/>
      <c r="F1832" s="19"/>
      <c r="G1832" s="19"/>
      <c r="H1832" s="19"/>
      <c r="I1832" s="19"/>
      <c r="J1832" s="19"/>
      <c r="K1832" s="421"/>
      <c r="L1832" s="23"/>
      <c r="M1832" s="19"/>
      <c r="N1832" s="19"/>
      <c r="O1832" s="19"/>
      <c r="P1832" s="19"/>
      <c r="Q1832" s="19"/>
    </row>
    <row r="1833" spans="1:20" hidden="1">
      <c r="B1833" s="19"/>
      <c r="C1833" s="19"/>
      <c r="D1833" s="19"/>
      <c r="E1833" s="19"/>
      <c r="F1833" s="19"/>
      <c r="G1833" s="19"/>
      <c r="H1833" s="19"/>
      <c r="I1833" s="19"/>
      <c r="J1833" s="19"/>
      <c r="K1833" s="421"/>
      <c r="L1833" s="23"/>
      <c r="M1833" s="19"/>
      <c r="N1833" s="19"/>
      <c r="O1833" s="19"/>
      <c r="P1833" s="19"/>
      <c r="Q1833" s="19"/>
    </row>
    <row r="1834" spans="1:20" hidden="1">
      <c r="B1834" s="19"/>
      <c r="C1834" s="19"/>
      <c r="D1834" s="19"/>
      <c r="E1834" s="19"/>
      <c r="F1834" s="19"/>
      <c r="G1834" s="19"/>
      <c r="H1834" s="19"/>
      <c r="I1834" s="19"/>
      <c r="J1834" s="19"/>
      <c r="K1834" s="421"/>
      <c r="L1834" s="23"/>
      <c r="M1834" s="19"/>
      <c r="N1834" s="19"/>
      <c r="O1834" s="19"/>
      <c r="P1834" s="19"/>
      <c r="Q1834" s="19"/>
    </row>
    <row r="1835" spans="1:20" hidden="1">
      <c r="B1835" s="19"/>
      <c r="C1835" s="19"/>
      <c r="D1835" s="19"/>
      <c r="E1835" s="19"/>
      <c r="F1835" s="19"/>
      <c r="G1835" s="19"/>
      <c r="H1835" s="19"/>
      <c r="I1835" s="19"/>
      <c r="J1835" s="19"/>
      <c r="K1835" s="421"/>
      <c r="L1835" s="23"/>
      <c r="M1835" s="19"/>
      <c r="N1835" s="19"/>
      <c r="O1835" s="19"/>
      <c r="P1835" s="19"/>
      <c r="Q1835" s="19"/>
    </row>
    <row r="1836" spans="1:20" hidden="1">
      <c r="B1836" s="19"/>
      <c r="C1836" s="19"/>
      <c r="D1836" s="19"/>
      <c r="E1836" s="19"/>
      <c r="F1836" s="19"/>
      <c r="G1836" s="19"/>
      <c r="H1836" s="19"/>
      <c r="I1836" s="19"/>
      <c r="J1836" s="19"/>
      <c r="K1836" s="421"/>
      <c r="L1836" s="23"/>
      <c r="M1836" s="19"/>
      <c r="N1836" s="19"/>
      <c r="O1836" s="19"/>
      <c r="P1836" s="19"/>
      <c r="Q1836" s="19"/>
    </row>
    <row r="1837" spans="1:20" hidden="1">
      <c r="B1837" s="19"/>
      <c r="C1837" s="19"/>
      <c r="D1837" s="19"/>
      <c r="E1837" s="19"/>
      <c r="F1837" s="19"/>
      <c r="G1837" s="19"/>
      <c r="H1837" s="19"/>
      <c r="I1837" s="19"/>
      <c r="J1837" s="19"/>
      <c r="K1837" s="421"/>
      <c r="L1837" s="23"/>
      <c r="M1837" s="19"/>
      <c r="N1837" s="19"/>
      <c r="O1837" s="19"/>
      <c r="P1837" s="19"/>
      <c r="Q1837" s="19"/>
    </row>
    <row r="1838" spans="1:20" hidden="1">
      <c r="B1838" s="19"/>
      <c r="C1838" s="19"/>
      <c r="D1838" s="19"/>
      <c r="E1838" s="19"/>
      <c r="F1838" s="19"/>
      <c r="G1838" s="19"/>
      <c r="H1838" s="19"/>
      <c r="I1838" s="19"/>
      <c r="J1838" s="19"/>
      <c r="K1838" s="421"/>
      <c r="L1838" s="23"/>
      <c r="M1838" s="19"/>
      <c r="N1838" s="19"/>
      <c r="O1838" s="19"/>
      <c r="P1838" s="19"/>
      <c r="Q1838" s="19"/>
    </row>
    <row r="1839" spans="1:20" hidden="1">
      <c r="B1839" s="19"/>
      <c r="C1839" s="19"/>
      <c r="D1839" s="19"/>
      <c r="E1839" s="19"/>
      <c r="F1839" s="19"/>
      <c r="G1839" s="19"/>
      <c r="H1839" s="19"/>
      <c r="I1839" s="19"/>
      <c r="J1839" s="19"/>
      <c r="K1839" s="421"/>
      <c r="L1839" s="23"/>
      <c r="M1839" s="19"/>
      <c r="N1839" s="19"/>
      <c r="O1839" s="19"/>
      <c r="P1839" s="19"/>
      <c r="Q1839" s="19"/>
    </row>
    <row r="1840" spans="1:20" hidden="1">
      <c r="B1840" s="19"/>
      <c r="C1840" s="19"/>
      <c r="D1840" s="19"/>
      <c r="E1840" s="19"/>
      <c r="F1840" s="19"/>
      <c r="G1840" s="19"/>
      <c r="H1840" s="19"/>
      <c r="I1840" s="19"/>
      <c r="J1840" s="19"/>
      <c r="K1840" s="421"/>
      <c r="L1840" s="23"/>
      <c r="M1840" s="19"/>
      <c r="N1840" s="19"/>
      <c r="O1840" s="19"/>
      <c r="P1840" s="19"/>
      <c r="Q1840" s="19"/>
    </row>
    <row r="1841" spans="1:28" hidden="1">
      <c r="B1841" s="19"/>
      <c r="C1841" s="19"/>
      <c r="D1841" s="19"/>
      <c r="E1841" s="19"/>
      <c r="F1841" s="19"/>
      <c r="G1841" s="19"/>
      <c r="H1841" s="19"/>
      <c r="I1841" s="19"/>
      <c r="J1841" s="19"/>
      <c r="K1841" s="421"/>
      <c r="L1841" s="23"/>
      <c r="M1841" s="19"/>
      <c r="N1841" s="19"/>
      <c r="O1841" s="19"/>
      <c r="P1841" s="19"/>
      <c r="Q1841" s="19"/>
    </row>
    <row r="1842" spans="1:28" hidden="1">
      <c r="B1842" s="19"/>
      <c r="C1842" s="19"/>
      <c r="D1842" s="19"/>
      <c r="E1842" s="19"/>
      <c r="F1842" s="19"/>
      <c r="G1842" s="19"/>
      <c r="H1842" s="19"/>
      <c r="I1842" s="19"/>
      <c r="J1842" s="19"/>
      <c r="K1842" s="421"/>
      <c r="L1842" s="23"/>
      <c r="M1842" s="19"/>
      <c r="N1842" s="19"/>
      <c r="O1842" s="19"/>
      <c r="P1842" s="19"/>
      <c r="Q1842" s="19"/>
    </row>
    <row r="1843" spans="1:28" hidden="1"/>
    <row r="1844" spans="1:28" hidden="1"/>
    <row r="1845" spans="1:28" hidden="1"/>
    <row r="1846" spans="1:28" hidden="1"/>
    <row r="1847" spans="1:28" ht="18.75">
      <c r="A1847" s="410" t="s">
        <v>439</v>
      </c>
      <c r="B1847" s="410"/>
      <c r="C1847" s="410"/>
      <c r="D1847" s="410"/>
      <c r="E1847" s="410"/>
      <c r="F1847" s="410"/>
      <c r="G1847" s="410"/>
      <c r="H1847" s="410"/>
      <c r="I1847" s="410"/>
      <c r="J1847" s="410"/>
      <c r="K1847" s="410"/>
      <c r="L1847" s="410"/>
      <c r="M1847" s="410"/>
      <c r="N1847" s="410"/>
      <c r="O1847" s="410"/>
      <c r="P1847" s="410"/>
      <c r="Q1847" s="410"/>
      <c r="V1847" s="136"/>
      <c r="W1847" s="136"/>
      <c r="X1847" s="38"/>
    </row>
    <row r="1848" spans="1:28">
      <c r="B1848" s="21">
        <f>COUNT(B1851:B2047)</f>
        <v>197</v>
      </c>
      <c r="C1848" s="21">
        <f t="shared" ref="C1848:I1848" si="24">COUNT(C1851:C2047)</f>
        <v>197</v>
      </c>
      <c r="D1848" s="21">
        <f t="shared" si="24"/>
        <v>197</v>
      </c>
      <c r="E1848" s="21">
        <f t="shared" si="24"/>
        <v>197</v>
      </c>
      <c r="F1848" s="21">
        <f t="shared" si="24"/>
        <v>197</v>
      </c>
      <c r="G1848" s="21">
        <f t="shared" si="24"/>
        <v>197</v>
      </c>
      <c r="H1848" s="21">
        <f t="shared" si="24"/>
        <v>197</v>
      </c>
      <c r="I1848" s="21">
        <f t="shared" si="24"/>
        <v>197</v>
      </c>
      <c r="L1848" s="21">
        <f>COUNT(L1851:L1953)</f>
        <v>103</v>
      </c>
      <c r="M1848" s="21">
        <f t="shared" ref="M1848:T1848" si="25">COUNT(M1851:M1953)</f>
        <v>103</v>
      </c>
      <c r="N1848" s="21">
        <f t="shared" si="25"/>
        <v>103</v>
      </c>
      <c r="O1848" s="21">
        <f t="shared" si="25"/>
        <v>103</v>
      </c>
      <c r="P1848" s="21">
        <f t="shared" si="25"/>
        <v>103</v>
      </c>
      <c r="Q1848" s="21">
        <f t="shared" si="25"/>
        <v>103</v>
      </c>
      <c r="R1848" s="21">
        <f t="shared" si="25"/>
        <v>103</v>
      </c>
      <c r="S1848" s="21">
        <f t="shared" si="25"/>
        <v>103</v>
      </c>
      <c r="T1848" s="21">
        <f t="shared" si="25"/>
        <v>103</v>
      </c>
      <c r="V1848" s="187"/>
      <c r="W1848" s="187"/>
      <c r="X1848" s="39"/>
      <c r="Z1848" s="187"/>
      <c r="AA1848" s="187"/>
      <c r="AB1848" s="40"/>
    </row>
    <row r="1849" spans="1:28" ht="15" customHeight="1">
      <c r="A1849" s="915" t="s">
        <v>417</v>
      </c>
      <c r="B1849" s="21">
        <f>COUNTA(B1851:B2047)</f>
        <v>197</v>
      </c>
      <c r="C1849" s="21">
        <f t="shared" ref="C1849:I1849" si="26">COUNTA(C1851:C2047)</f>
        <v>197</v>
      </c>
      <c r="D1849" s="21">
        <f t="shared" si="26"/>
        <v>197</v>
      </c>
      <c r="E1849" s="21">
        <f t="shared" si="26"/>
        <v>197</v>
      </c>
      <c r="F1849" s="21">
        <f t="shared" si="26"/>
        <v>197</v>
      </c>
      <c r="G1849" s="21">
        <f t="shared" si="26"/>
        <v>197</v>
      </c>
      <c r="H1849" s="21">
        <f t="shared" si="26"/>
        <v>197</v>
      </c>
      <c r="I1849" s="21">
        <f t="shared" si="26"/>
        <v>197</v>
      </c>
      <c r="J1849" s="905" t="s">
        <v>418</v>
      </c>
      <c r="K1849" s="906" t="s">
        <v>419</v>
      </c>
      <c r="L1849" s="21">
        <f>COUNTA(L1851:L1953)</f>
        <v>103</v>
      </c>
      <c r="M1849" s="21">
        <f t="shared" ref="M1849:T1849" si="27">COUNTA(M1851:M1953)</f>
        <v>103</v>
      </c>
      <c r="N1849" s="21">
        <f t="shared" si="27"/>
        <v>103</v>
      </c>
      <c r="O1849" s="21">
        <f t="shared" si="27"/>
        <v>103</v>
      </c>
      <c r="P1849" s="21">
        <f t="shared" si="27"/>
        <v>103</v>
      </c>
      <c r="Q1849" s="21">
        <f t="shared" si="27"/>
        <v>103</v>
      </c>
      <c r="R1849" s="21">
        <f t="shared" si="27"/>
        <v>103</v>
      </c>
      <c r="S1849" s="21">
        <f t="shared" si="27"/>
        <v>103</v>
      </c>
      <c r="T1849" s="21">
        <f t="shared" si="27"/>
        <v>103</v>
      </c>
      <c r="V1849" s="1">
        <f>heeling</f>
        <v>0</v>
      </c>
      <c r="W1849" s="382">
        <f>sound27</f>
        <v>9830</v>
      </c>
      <c r="X1849" s="186">
        <f>IF((W1849+W1852)&lt;0,W1849,W1849+W1852)</f>
        <v>9830</v>
      </c>
      <c r="Y1849" s="381">
        <f>IF(Y1851=Y1850,Y1850,Interp1(X1850:X1851,Y1850:Y1851,X1849))</f>
        <v>6.5279999999999996</v>
      </c>
      <c r="AA1849" s="30"/>
    </row>
    <row r="1850" spans="1:28">
      <c r="A1850" s="915"/>
      <c r="B1850" s="36">
        <v>-1</v>
      </c>
      <c r="C1850" s="35">
        <v>0</v>
      </c>
      <c r="D1850" s="35">
        <v>0.5</v>
      </c>
      <c r="E1850" s="35">
        <v>1</v>
      </c>
      <c r="F1850" s="35">
        <v>1.5</v>
      </c>
      <c r="G1850" s="35">
        <v>2</v>
      </c>
      <c r="H1850" s="37">
        <v>3</v>
      </c>
      <c r="I1850" s="21">
        <v>4</v>
      </c>
      <c r="J1850" s="905"/>
      <c r="K1850" s="906"/>
      <c r="L1850" s="21">
        <v>-4</v>
      </c>
      <c r="M1850" s="35">
        <v>-3</v>
      </c>
      <c r="N1850" s="35">
        <v>-2</v>
      </c>
      <c r="O1850" s="35">
        <v>-1</v>
      </c>
      <c r="P1850" s="35">
        <v>0</v>
      </c>
      <c r="Q1850" s="35">
        <v>1</v>
      </c>
      <c r="R1850" s="35">
        <v>2</v>
      </c>
      <c r="S1850" s="35">
        <v>3</v>
      </c>
      <c r="T1850" s="35">
        <v>4</v>
      </c>
      <c r="V1850" s="1">
        <f>IF(tankSound7=soundingPipe7,tankSound7,FLOOR(W1849,inc))</f>
        <v>9800</v>
      </c>
      <c r="W1850" s="1">
        <f>Interp2(tank7Heel1,tank7Heel2,tank7Heel3,V1850,V1849)</f>
        <v>0</v>
      </c>
      <c r="X1850" s="1">
        <f>IF(X1849=soundingPipe7,Tank1!X1849,FLOOR(X1849,inc))</f>
        <v>9800</v>
      </c>
      <c r="Y1850" s="42">
        <f>IF(W1855=W1854,W1854,Interp1(V1854:V1855,W1854:W1855,V1853))</f>
        <v>6.6669999999999998</v>
      </c>
      <c r="AA1850" s="30"/>
    </row>
    <row r="1851" spans="1:28">
      <c r="A1851" s="1">
        <v>1500</v>
      </c>
      <c r="B1851" s="42">
        <v>51.176000000000002</v>
      </c>
      <c r="C1851" s="42">
        <v>51.176000000000002</v>
      </c>
      <c r="D1851" s="42">
        <v>51.176000000000002</v>
      </c>
      <c r="E1851" s="42">
        <v>51.176000000000002</v>
      </c>
      <c r="F1851" s="42">
        <v>51.176000000000002</v>
      </c>
      <c r="G1851" s="42">
        <v>51.176000000000002</v>
      </c>
      <c r="H1851" s="42">
        <v>51.176000000000002</v>
      </c>
      <c r="I1851" s="42">
        <v>51.176000000000002</v>
      </c>
      <c r="J1851" s="21">
        <v>9757</v>
      </c>
      <c r="K1851" s="1">
        <v>1500</v>
      </c>
      <c r="L1851" s="1">
        <v>0</v>
      </c>
      <c r="M1851" s="1">
        <v>0</v>
      </c>
      <c r="N1851" s="1">
        <v>0</v>
      </c>
      <c r="O1851" s="1">
        <v>0</v>
      </c>
      <c r="P1851" s="365">
        <v>0</v>
      </c>
      <c r="Q1851" s="1">
        <v>0</v>
      </c>
      <c r="R1851" s="1">
        <v>0</v>
      </c>
      <c r="S1851" s="1">
        <v>0</v>
      </c>
      <c r="T1851" s="1">
        <v>0</v>
      </c>
      <c r="U1851" s="24"/>
      <c r="V1851" s="1">
        <f>IF(V1850=tankSound7,V1850,CEILING(W1849,inc))</f>
        <v>9850</v>
      </c>
      <c r="W1851" s="1">
        <f>Interp2(tank7Heel1,tank7Heel2,tank7Heel3,V1851,V1849)</f>
        <v>0</v>
      </c>
      <c r="X1851" s="1">
        <f>IF(X1850=X1849,X1850,CEILING(X1849,inc))</f>
        <v>9850</v>
      </c>
      <c r="Y1851" s="42">
        <f>IF(X1855=X1854,X1854,Interp1(V1854:V1855,X1854:X1855,V1853))</f>
        <v>6.4359999999999999</v>
      </c>
      <c r="AA1851" s="30"/>
      <c r="AB1851" s="42"/>
    </row>
    <row r="1852" spans="1:28">
      <c r="A1852" s="1">
        <v>1550</v>
      </c>
      <c r="B1852" s="42">
        <v>51.081000000000003</v>
      </c>
      <c r="C1852" s="42">
        <v>51.069000000000003</v>
      </c>
      <c r="D1852" s="42">
        <v>51.063000000000002</v>
      </c>
      <c r="E1852" s="42">
        <v>51.057000000000002</v>
      </c>
      <c r="F1852" s="42">
        <v>51.051000000000002</v>
      </c>
      <c r="G1852" s="42">
        <v>51.045000000000002</v>
      </c>
      <c r="H1852" s="42">
        <v>51.033000000000001</v>
      </c>
      <c r="I1852" s="42">
        <v>51.021000000000001</v>
      </c>
      <c r="J1852" s="21">
        <v>9707</v>
      </c>
      <c r="K1852" s="1">
        <v>1550</v>
      </c>
      <c r="L1852" s="1">
        <v>0</v>
      </c>
      <c r="M1852" s="1">
        <v>0</v>
      </c>
      <c r="N1852" s="1">
        <v>0</v>
      </c>
      <c r="O1852" s="1">
        <v>0</v>
      </c>
      <c r="P1852" s="365">
        <v>0</v>
      </c>
      <c r="Q1852" s="1">
        <v>0</v>
      </c>
      <c r="R1852" s="1">
        <v>0</v>
      </c>
      <c r="S1852" s="1">
        <v>0</v>
      </c>
      <c r="T1852" s="1">
        <v>0</v>
      </c>
      <c r="U1852" s="25"/>
      <c r="W1852" s="1">
        <f>IF(W1851=W1850,W1850,Interp1(V1850:V1851,W1850:W1851,W1849))</f>
        <v>0</v>
      </c>
      <c r="Y1852" s="42"/>
      <c r="AA1852" s="30"/>
      <c r="AB1852" s="42"/>
    </row>
    <row r="1853" spans="1:28">
      <c r="A1853" s="1">
        <v>1600</v>
      </c>
      <c r="B1853" s="42">
        <v>50.8</v>
      </c>
      <c r="C1853" s="42">
        <v>50.787999999999997</v>
      </c>
      <c r="D1853" s="42">
        <v>50.781999999999996</v>
      </c>
      <c r="E1853" s="42">
        <v>50.776000000000003</v>
      </c>
      <c r="F1853" s="42">
        <v>50.77</v>
      </c>
      <c r="G1853" s="42">
        <v>50.764000000000003</v>
      </c>
      <c r="H1853" s="42">
        <v>50.752000000000002</v>
      </c>
      <c r="I1853" s="42">
        <v>50.74</v>
      </c>
      <c r="J1853" s="21">
        <v>9657</v>
      </c>
      <c r="K1853" s="1">
        <v>1600</v>
      </c>
      <c r="L1853" s="1">
        <v>0</v>
      </c>
      <c r="M1853" s="1">
        <v>0</v>
      </c>
      <c r="N1853" s="1">
        <v>0</v>
      </c>
      <c r="O1853" s="1">
        <v>0</v>
      </c>
      <c r="P1853" s="365">
        <v>0</v>
      </c>
      <c r="Q1853" s="1">
        <v>0</v>
      </c>
      <c r="R1853" s="1">
        <v>0</v>
      </c>
      <c r="S1853" s="1">
        <v>0</v>
      </c>
      <c r="T1853" s="1">
        <v>0</v>
      </c>
      <c r="U1853" s="25"/>
      <c r="V1853" s="1">
        <f>trim</f>
        <v>0.36</v>
      </c>
      <c r="AA1853" s="30"/>
      <c r="AB1853" s="42"/>
    </row>
    <row r="1854" spans="1:28">
      <c r="A1854" s="1">
        <v>1650</v>
      </c>
      <c r="B1854" s="42">
        <v>50.518999999999998</v>
      </c>
      <c r="C1854" s="42">
        <v>50.506999999999998</v>
      </c>
      <c r="D1854" s="42">
        <v>50.500999999999998</v>
      </c>
      <c r="E1854" s="42">
        <v>50.494</v>
      </c>
      <c r="F1854" s="42">
        <v>50.488</v>
      </c>
      <c r="G1854" s="42">
        <v>50.481999999999999</v>
      </c>
      <c r="H1854" s="42">
        <v>50.47</v>
      </c>
      <c r="I1854" s="42">
        <v>50.457999999999998</v>
      </c>
      <c r="J1854" s="21">
        <v>9607</v>
      </c>
      <c r="K1854" s="1">
        <v>1650</v>
      </c>
      <c r="L1854" s="1">
        <v>0</v>
      </c>
      <c r="M1854" s="1">
        <v>0</v>
      </c>
      <c r="N1854" s="1">
        <v>0</v>
      </c>
      <c r="O1854" s="1">
        <v>0</v>
      </c>
      <c r="P1854" s="365">
        <v>0</v>
      </c>
      <c r="Q1854" s="1">
        <v>0</v>
      </c>
      <c r="R1854" s="1">
        <v>0</v>
      </c>
      <c r="S1854" s="1">
        <v>0</v>
      </c>
      <c r="T1854" s="1">
        <v>0</v>
      </c>
      <c r="U1854" s="25"/>
      <c r="V1854" s="1">
        <f>INDEX(tank7Trim2,0,MATCH(V1853,tank7Trim2,1))</f>
        <v>0</v>
      </c>
      <c r="W1854" s="1">
        <f>Interp2(tank7Trim1,tank7Trim2,tank7Trim3,X1850,V1854)</f>
        <v>6.6710000000000003</v>
      </c>
      <c r="X1854" s="1">
        <f>Interp2(tank7Trim1,tank7Trim2,tank7Trim3,X1851,V1854)</f>
        <v>6.44</v>
      </c>
      <c r="AA1854" s="30"/>
    </row>
    <row r="1855" spans="1:28">
      <c r="A1855" s="1">
        <v>1700</v>
      </c>
      <c r="B1855" s="42">
        <v>50.237000000000002</v>
      </c>
      <c r="C1855" s="42">
        <v>50.225000000000001</v>
      </c>
      <c r="D1855" s="42">
        <v>50.219000000000001</v>
      </c>
      <c r="E1855" s="42">
        <v>50.213000000000001</v>
      </c>
      <c r="F1855" s="42">
        <v>50.207000000000001</v>
      </c>
      <c r="G1855" s="42">
        <v>50.201000000000001</v>
      </c>
      <c r="H1855" s="42">
        <v>50.189</v>
      </c>
      <c r="I1855" s="42">
        <v>50.177</v>
      </c>
      <c r="J1855" s="21">
        <v>9557</v>
      </c>
      <c r="K1855" s="1">
        <v>1700</v>
      </c>
      <c r="L1855" s="1">
        <v>0</v>
      </c>
      <c r="M1855" s="1">
        <v>0</v>
      </c>
      <c r="N1855" s="1">
        <v>0</v>
      </c>
      <c r="O1855" s="1">
        <v>0</v>
      </c>
      <c r="P1855" s="365">
        <v>0</v>
      </c>
      <c r="Q1855" s="1">
        <v>0</v>
      </c>
      <c r="R1855" s="1">
        <v>0</v>
      </c>
      <c r="S1855" s="1">
        <v>0</v>
      </c>
      <c r="T1855" s="1">
        <v>0</v>
      </c>
      <c r="U1855" s="25"/>
      <c r="V1855" s="1">
        <f>IF(V1854=V1853,V1853,INDEX(tank7Trim2,0,MATCH(V1853,tank7Trim2,1)+1))</f>
        <v>0.5</v>
      </c>
      <c r="W1855" s="1">
        <f>Interp2(tank7Trim1,tank7Trim2,tank7Trim3,X1850,V1855)</f>
        <v>6.6660000000000004</v>
      </c>
      <c r="X1855" s="1">
        <f>Interp2(tank7Trim1,tank7Trim2,tank7Trim3,X1851,V1855)</f>
        <v>6.4349999999999996</v>
      </c>
      <c r="AA1855" s="30"/>
      <c r="AB1855" s="42"/>
    </row>
    <row r="1856" spans="1:28">
      <c r="A1856" s="1">
        <v>1750</v>
      </c>
      <c r="B1856" s="42">
        <v>49.956000000000003</v>
      </c>
      <c r="C1856" s="42">
        <v>49.944000000000003</v>
      </c>
      <c r="D1856" s="42">
        <v>49.938000000000002</v>
      </c>
      <c r="E1856" s="42">
        <v>49.932000000000002</v>
      </c>
      <c r="F1856" s="42">
        <v>49.926000000000002</v>
      </c>
      <c r="G1856" s="42">
        <v>49.92</v>
      </c>
      <c r="H1856" s="42">
        <v>49.908000000000001</v>
      </c>
      <c r="I1856" s="42">
        <v>49.895000000000003</v>
      </c>
      <c r="J1856" s="21">
        <v>9507</v>
      </c>
      <c r="K1856" s="1">
        <v>1750</v>
      </c>
      <c r="L1856" s="1">
        <v>0</v>
      </c>
      <c r="M1856" s="1">
        <v>0</v>
      </c>
      <c r="N1856" s="1">
        <v>0</v>
      </c>
      <c r="O1856" s="1">
        <v>0</v>
      </c>
      <c r="P1856" s="365">
        <v>0</v>
      </c>
      <c r="Q1856" s="1">
        <v>0</v>
      </c>
      <c r="R1856" s="1">
        <v>0</v>
      </c>
      <c r="S1856" s="1">
        <v>0</v>
      </c>
      <c r="T1856" s="1">
        <v>0</v>
      </c>
      <c r="U1856" s="25"/>
      <c r="W1856" s="43"/>
      <c r="X1856" s="42"/>
      <c r="AA1856" s="30"/>
      <c r="AB1856" s="42"/>
    </row>
    <row r="1857" spans="1:28">
      <c r="A1857" s="1">
        <v>1800</v>
      </c>
      <c r="B1857" s="42">
        <v>49.674999999999997</v>
      </c>
      <c r="C1857" s="42">
        <v>49.661999999999999</v>
      </c>
      <c r="D1857" s="42">
        <v>49.655999999999999</v>
      </c>
      <c r="E1857" s="42">
        <v>49.65</v>
      </c>
      <c r="F1857" s="42">
        <v>49.643999999999998</v>
      </c>
      <c r="G1857" s="42">
        <v>49.637999999999998</v>
      </c>
      <c r="H1857" s="42">
        <v>49.625999999999998</v>
      </c>
      <c r="I1857" s="42">
        <v>49.613999999999997</v>
      </c>
      <c r="J1857" s="21">
        <v>9457</v>
      </c>
      <c r="K1857" s="1">
        <v>1800</v>
      </c>
      <c r="L1857" s="1">
        <v>0</v>
      </c>
      <c r="M1857" s="1">
        <v>0</v>
      </c>
      <c r="N1857" s="1">
        <v>0</v>
      </c>
      <c r="O1857" s="1">
        <v>0</v>
      </c>
      <c r="P1857" s="365">
        <v>0</v>
      </c>
      <c r="Q1857" s="1">
        <v>0</v>
      </c>
      <c r="R1857" s="1">
        <v>0</v>
      </c>
      <c r="S1857" s="1">
        <v>0</v>
      </c>
      <c r="T1857" s="1">
        <v>0</v>
      </c>
      <c r="U1857" s="25"/>
    </row>
    <row r="1858" spans="1:28">
      <c r="A1858" s="1">
        <v>1850</v>
      </c>
      <c r="B1858" s="42">
        <v>49.393000000000001</v>
      </c>
      <c r="C1858" s="42">
        <v>49.381</v>
      </c>
      <c r="D1858" s="42">
        <v>49.375</v>
      </c>
      <c r="E1858" s="42">
        <v>49.369</v>
      </c>
      <c r="F1858" s="42">
        <v>49.363</v>
      </c>
      <c r="G1858" s="42">
        <v>49.356999999999999</v>
      </c>
      <c r="H1858" s="42">
        <v>49.344999999999999</v>
      </c>
      <c r="I1858" s="42">
        <v>49.332999999999998</v>
      </c>
      <c r="J1858" s="21">
        <v>9407</v>
      </c>
      <c r="K1858" s="1">
        <v>1850</v>
      </c>
      <c r="L1858" s="1">
        <v>0</v>
      </c>
      <c r="M1858" s="1">
        <v>0</v>
      </c>
      <c r="N1858" s="1">
        <v>0</v>
      </c>
      <c r="O1858" s="1">
        <v>0</v>
      </c>
      <c r="P1858" s="365">
        <v>0</v>
      </c>
      <c r="Q1858" s="1">
        <v>0</v>
      </c>
      <c r="R1858" s="1">
        <v>0</v>
      </c>
      <c r="S1858" s="1">
        <v>0</v>
      </c>
      <c r="T1858" s="1">
        <v>0</v>
      </c>
      <c r="U1858" s="25"/>
      <c r="V1858" s="1">
        <f>Bunkering!heeling1</f>
        <v>0</v>
      </c>
      <c r="W1858" s="382">
        <f>sound37</f>
        <v>9830</v>
      </c>
      <c r="X1858" s="186">
        <f>IF((W1858+W1861)&lt;0,W1858,W1858+W1861)</f>
        <v>9830</v>
      </c>
      <c r="Y1858" s="381">
        <f>IF(Y1860=Y1859,Y1859,Interp1(X1859:X1860,Y1859:Y1860,X1858))</f>
        <v>6.5279999999999996</v>
      </c>
    </row>
    <row r="1859" spans="1:28">
      <c r="A1859" s="1">
        <v>1900</v>
      </c>
      <c r="B1859" s="42">
        <v>49.112000000000002</v>
      </c>
      <c r="C1859" s="42">
        <v>49.1</v>
      </c>
      <c r="D1859" s="42">
        <v>49.094000000000001</v>
      </c>
      <c r="E1859" s="42">
        <v>49.088000000000001</v>
      </c>
      <c r="F1859" s="42">
        <v>49.082000000000001</v>
      </c>
      <c r="G1859" s="42">
        <v>49.075000000000003</v>
      </c>
      <c r="H1859" s="42">
        <v>49.063000000000002</v>
      </c>
      <c r="I1859" s="42">
        <v>49.051000000000002</v>
      </c>
      <c r="J1859" s="21">
        <v>9357</v>
      </c>
      <c r="K1859" s="1">
        <v>1900</v>
      </c>
      <c r="L1859" s="1">
        <v>0</v>
      </c>
      <c r="M1859" s="1">
        <v>0</v>
      </c>
      <c r="N1859" s="1">
        <v>0</v>
      </c>
      <c r="O1859" s="1">
        <v>0</v>
      </c>
      <c r="P1859" s="365">
        <v>0</v>
      </c>
      <c r="Q1859" s="1">
        <v>0</v>
      </c>
      <c r="R1859" s="1">
        <v>0</v>
      </c>
      <c r="S1859" s="1">
        <v>0</v>
      </c>
      <c r="T1859" s="1">
        <v>0</v>
      </c>
      <c r="U1859" s="25"/>
      <c r="V1859" s="1">
        <f>IF(tankSound27=soundingPipe7,tankSound27,FLOOR(W1858,inc))</f>
        <v>9800</v>
      </c>
      <c r="W1859" s="1">
        <f>Interp2(tank7Heel1,tank7Heel2,tank7Heel3,V1859,V1858)</f>
        <v>0</v>
      </c>
      <c r="X1859" s="1">
        <f>IF(X1858=soundingPipe7,Tank1!X1858,FLOOR(X1858,inc))</f>
        <v>9800</v>
      </c>
      <c r="Y1859" s="42">
        <f>IF(W1864=W1863,W1863,Interp1(V1863:V1864,W1863:W1864,V1862))</f>
        <v>6.6669999999999998</v>
      </c>
      <c r="AB1859" s="42"/>
    </row>
    <row r="1860" spans="1:28">
      <c r="A1860" s="1">
        <v>1950</v>
      </c>
      <c r="B1860" s="42">
        <v>48.83</v>
      </c>
      <c r="C1860" s="42">
        <v>48.817999999999998</v>
      </c>
      <c r="D1860" s="42">
        <v>48.811999999999998</v>
      </c>
      <c r="E1860" s="42">
        <v>48.805999999999997</v>
      </c>
      <c r="F1860" s="42">
        <v>48.8</v>
      </c>
      <c r="G1860" s="42">
        <v>48.793999999999997</v>
      </c>
      <c r="H1860" s="42">
        <v>48.781999999999996</v>
      </c>
      <c r="I1860" s="42">
        <v>48.77</v>
      </c>
      <c r="J1860" s="21">
        <v>9307</v>
      </c>
      <c r="K1860" s="1">
        <v>1950</v>
      </c>
      <c r="L1860" s="1">
        <v>0</v>
      </c>
      <c r="M1860" s="1">
        <v>0</v>
      </c>
      <c r="N1860" s="1">
        <v>0</v>
      </c>
      <c r="O1860" s="1">
        <v>0</v>
      </c>
      <c r="P1860" s="365">
        <v>0</v>
      </c>
      <c r="Q1860" s="1">
        <v>0</v>
      </c>
      <c r="R1860" s="1">
        <v>0</v>
      </c>
      <c r="S1860" s="1">
        <v>0</v>
      </c>
      <c r="T1860" s="1">
        <v>0</v>
      </c>
      <c r="U1860" s="25"/>
      <c r="V1860" s="1">
        <f>IF(V1859=tankSound27,V1859,CEILING(W1858,inc))</f>
        <v>9850</v>
      </c>
      <c r="W1860" s="1">
        <f>Interp2(tank7Heel1,tank7Heel2,tank7Heel3,V1860,V1858)</f>
        <v>0</v>
      </c>
      <c r="X1860" s="1">
        <f>IF(X1859=X1858,X1859,CEILING(X1858,inc))</f>
        <v>9850</v>
      </c>
      <c r="Y1860" s="42">
        <f>IF(X1864=X1863,X1863,Interp1(V1863:V1864,X1863:X1864,V1862))</f>
        <v>6.4359999999999999</v>
      </c>
    </row>
    <row r="1861" spans="1:28">
      <c r="A1861" s="1">
        <v>2000</v>
      </c>
      <c r="B1861" s="42">
        <v>48.548999999999999</v>
      </c>
      <c r="C1861" s="42">
        <v>48.536999999999999</v>
      </c>
      <c r="D1861" s="42">
        <v>48.530999999999999</v>
      </c>
      <c r="E1861" s="42">
        <v>48.524999999999999</v>
      </c>
      <c r="F1861" s="42">
        <v>48.518999999999998</v>
      </c>
      <c r="G1861" s="42">
        <v>48.512999999999998</v>
      </c>
      <c r="H1861" s="42">
        <v>48.500999999999998</v>
      </c>
      <c r="I1861" s="42">
        <v>48.488</v>
      </c>
      <c r="J1861" s="21">
        <v>9257</v>
      </c>
      <c r="K1861" s="1">
        <v>2000</v>
      </c>
      <c r="L1861" s="1">
        <v>0</v>
      </c>
      <c r="M1861" s="1">
        <v>0</v>
      </c>
      <c r="N1861" s="1">
        <v>0</v>
      </c>
      <c r="O1861" s="1">
        <v>0</v>
      </c>
      <c r="P1861" s="365">
        <v>0</v>
      </c>
      <c r="Q1861" s="1">
        <v>0</v>
      </c>
      <c r="R1861" s="1">
        <v>0</v>
      </c>
      <c r="S1861" s="1">
        <v>0</v>
      </c>
      <c r="T1861" s="1">
        <v>0</v>
      </c>
      <c r="U1861" s="26"/>
      <c r="W1861" s="1">
        <f>IF(W1860=W1859,W1859,Interp1(V1859:V1860,W1859:W1860,W1858))</f>
        <v>0</v>
      </c>
      <c r="Y1861" s="42"/>
    </row>
    <row r="1862" spans="1:28">
      <c r="A1862" s="1">
        <v>2050</v>
      </c>
      <c r="B1862" s="42">
        <v>48.268000000000001</v>
      </c>
      <c r="C1862" s="42">
        <v>48.255000000000003</v>
      </c>
      <c r="D1862" s="42">
        <v>48.249000000000002</v>
      </c>
      <c r="E1862" s="42">
        <v>48.243000000000002</v>
      </c>
      <c r="F1862" s="42">
        <v>48.237000000000002</v>
      </c>
      <c r="G1862" s="42">
        <v>48.231000000000002</v>
      </c>
      <c r="H1862" s="42">
        <v>48.219000000000001</v>
      </c>
      <c r="I1862" s="42">
        <v>48.207000000000001</v>
      </c>
      <c r="J1862" s="21">
        <v>9207</v>
      </c>
      <c r="K1862" s="1">
        <v>2050</v>
      </c>
      <c r="L1862" s="1">
        <v>0</v>
      </c>
      <c r="M1862" s="1">
        <v>0</v>
      </c>
      <c r="N1862" s="1">
        <v>0</v>
      </c>
      <c r="O1862" s="1">
        <v>0</v>
      </c>
      <c r="P1862" s="365">
        <v>0</v>
      </c>
      <c r="Q1862" s="1">
        <v>0</v>
      </c>
      <c r="R1862" s="1">
        <v>0</v>
      </c>
      <c r="S1862" s="1">
        <v>0</v>
      </c>
      <c r="T1862" s="1">
        <v>0</v>
      </c>
      <c r="U1862" s="25"/>
      <c r="V1862" s="1">
        <f>Bunkering!trim1</f>
        <v>0.36</v>
      </c>
    </row>
    <row r="1863" spans="1:28">
      <c r="A1863" s="1">
        <v>2100</v>
      </c>
      <c r="B1863" s="42">
        <v>47.985999999999997</v>
      </c>
      <c r="C1863" s="42">
        <v>47.973999999999997</v>
      </c>
      <c r="D1863" s="42">
        <v>47.968000000000004</v>
      </c>
      <c r="E1863" s="42">
        <v>47.962000000000003</v>
      </c>
      <c r="F1863" s="42">
        <v>47.956000000000003</v>
      </c>
      <c r="G1863" s="42">
        <v>47.95</v>
      </c>
      <c r="H1863" s="42">
        <v>47.938000000000002</v>
      </c>
      <c r="I1863" s="42">
        <v>47.926000000000002</v>
      </c>
      <c r="J1863" s="21">
        <v>9157</v>
      </c>
      <c r="K1863" s="1">
        <v>2100</v>
      </c>
      <c r="L1863" s="1">
        <v>0</v>
      </c>
      <c r="M1863" s="1">
        <v>0</v>
      </c>
      <c r="N1863" s="1">
        <v>0</v>
      </c>
      <c r="O1863" s="1">
        <v>0</v>
      </c>
      <c r="P1863" s="365">
        <v>0</v>
      </c>
      <c r="Q1863" s="1">
        <v>0</v>
      </c>
      <c r="R1863" s="1">
        <v>0</v>
      </c>
      <c r="S1863" s="1">
        <v>0</v>
      </c>
      <c r="T1863" s="1">
        <v>0</v>
      </c>
      <c r="U1863" s="25"/>
      <c r="V1863" s="1">
        <f>INDEX(tank7Trim2,0,MATCH(V1862,tank7Trim2,1))</f>
        <v>0</v>
      </c>
      <c r="W1863" s="1">
        <f>Interp2(tank7Trim1,tank7Trim2,tank7Trim3,X1859,V1863)</f>
        <v>6.6710000000000003</v>
      </c>
      <c r="X1863" s="1">
        <f>Interp2(tank7Trim1,tank7Trim2,tank7Trim3,X1860,V1863)</f>
        <v>6.44</v>
      </c>
      <c r="Z1863" s="187"/>
      <c r="AA1863" s="187"/>
      <c r="AB1863" s="40"/>
    </row>
    <row r="1864" spans="1:28">
      <c r="A1864" s="1">
        <v>2150</v>
      </c>
      <c r="B1864" s="42">
        <v>47.709000000000003</v>
      </c>
      <c r="C1864" s="42">
        <v>47.695999999999998</v>
      </c>
      <c r="D1864" s="42">
        <v>47.69</v>
      </c>
      <c r="E1864" s="42">
        <v>47.683999999999997</v>
      </c>
      <c r="F1864" s="42">
        <v>47.677999999999997</v>
      </c>
      <c r="G1864" s="42">
        <v>47.671999999999997</v>
      </c>
      <c r="H1864" s="42">
        <v>47.66</v>
      </c>
      <c r="I1864" s="42">
        <v>47.648000000000003</v>
      </c>
      <c r="J1864" s="21">
        <v>9107</v>
      </c>
      <c r="K1864" s="1">
        <v>2150</v>
      </c>
      <c r="L1864" s="1">
        <v>0</v>
      </c>
      <c r="M1864" s="1">
        <v>0</v>
      </c>
      <c r="N1864" s="1">
        <v>0</v>
      </c>
      <c r="O1864" s="1">
        <v>0</v>
      </c>
      <c r="P1864" s="365">
        <v>0</v>
      </c>
      <c r="Q1864" s="1">
        <v>0</v>
      </c>
      <c r="R1864" s="1">
        <v>0</v>
      </c>
      <c r="S1864" s="1">
        <v>0</v>
      </c>
      <c r="T1864" s="1">
        <v>0</v>
      </c>
      <c r="U1864" s="25"/>
      <c r="V1864" s="1">
        <f>IF(V1863=V1862,V1862,INDEX(tank7Trim2,0,MATCH(V1862,tank7Trim2,1)+1))</f>
        <v>0.5</v>
      </c>
      <c r="W1864" s="1">
        <f>Interp2(tank7Trim1,tank7Trim2,tank7Trim3,X1859,V1864)</f>
        <v>6.6660000000000004</v>
      </c>
      <c r="X1864" s="1">
        <f>Interp2(tank7Trim1,tank7Trim2,tank7Trim3,X1860,V1864)</f>
        <v>6.4349999999999996</v>
      </c>
      <c r="AA1864" s="30"/>
    </row>
    <row r="1865" spans="1:28">
      <c r="A1865" s="1">
        <v>2200</v>
      </c>
      <c r="B1865" s="42">
        <v>47.430999999999997</v>
      </c>
      <c r="C1865" s="42">
        <v>47.418999999999997</v>
      </c>
      <c r="D1865" s="42">
        <v>41.412999999999997</v>
      </c>
      <c r="E1865" s="42">
        <v>47.406999999999996</v>
      </c>
      <c r="F1865" s="42">
        <v>47.401000000000003</v>
      </c>
      <c r="G1865" s="42">
        <v>47.395000000000003</v>
      </c>
      <c r="H1865" s="42">
        <v>47.383000000000003</v>
      </c>
      <c r="I1865" s="42">
        <v>47.37</v>
      </c>
      <c r="J1865" s="21">
        <v>9057</v>
      </c>
      <c r="K1865" s="1">
        <v>2200</v>
      </c>
      <c r="L1865" s="1">
        <v>0</v>
      </c>
      <c r="M1865" s="1">
        <v>0</v>
      </c>
      <c r="N1865" s="1">
        <v>0</v>
      </c>
      <c r="O1865" s="1">
        <v>0</v>
      </c>
      <c r="P1865" s="365">
        <v>0</v>
      </c>
      <c r="Q1865" s="1">
        <v>0</v>
      </c>
      <c r="R1865" s="1">
        <v>0</v>
      </c>
      <c r="S1865" s="1">
        <v>0</v>
      </c>
      <c r="T1865" s="1">
        <v>0</v>
      </c>
      <c r="U1865" s="25"/>
      <c r="W1865" s="30"/>
      <c r="AA1865" s="30"/>
    </row>
    <row r="1866" spans="1:28">
      <c r="A1866" s="1">
        <v>2250</v>
      </c>
      <c r="B1866" s="42">
        <v>47.152999999999999</v>
      </c>
      <c r="C1866" s="42">
        <v>47.140999999999998</v>
      </c>
      <c r="D1866" s="42">
        <v>47.134999999999998</v>
      </c>
      <c r="E1866" s="42">
        <v>47.128999999999998</v>
      </c>
      <c r="F1866" s="42">
        <v>47.122999999999998</v>
      </c>
      <c r="G1866" s="42">
        <v>47.116999999999997</v>
      </c>
      <c r="H1866" s="42">
        <v>47.104999999999997</v>
      </c>
      <c r="I1866" s="42">
        <v>47.093000000000004</v>
      </c>
      <c r="J1866" s="21">
        <v>9007</v>
      </c>
      <c r="K1866" s="1">
        <v>2250</v>
      </c>
      <c r="L1866" s="1">
        <v>0</v>
      </c>
      <c r="M1866" s="1">
        <v>0</v>
      </c>
      <c r="N1866" s="1">
        <v>0</v>
      </c>
      <c r="O1866" s="1">
        <v>0</v>
      </c>
      <c r="P1866" s="365">
        <v>0</v>
      </c>
      <c r="Q1866" s="1">
        <v>0</v>
      </c>
      <c r="R1866" s="1">
        <v>0</v>
      </c>
      <c r="S1866" s="1">
        <v>0</v>
      </c>
      <c r="T1866" s="1">
        <v>0</v>
      </c>
      <c r="U1866" s="24"/>
      <c r="W1866" s="30"/>
      <c r="X1866" s="42"/>
      <c r="AA1866" s="30"/>
      <c r="AB1866" s="42"/>
    </row>
    <row r="1867" spans="1:28">
      <c r="A1867" s="1">
        <v>2300</v>
      </c>
      <c r="B1867" s="42">
        <v>46.875999999999998</v>
      </c>
      <c r="C1867" s="42">
        <v>46.863999999999997</v>
      </c>
      <c r="D1867" s="42">
        <v>46.857999999999997</v>
      </c>
      <c r="E1867" s="42">
        <v>46.851999999999997</v>
      </c>
      <c r="F1867" s="42">
        <v>46.845999999999997</v>
      </c>
      <c r="G1867" s="42">
        <v>46.838999999999999</v>
      </c>
      <c r="H1867" s="42">
        <v>46.826999999999998</v>
      </c>
      <c r="I1867" s="42">
        <v>46.814999999999998</v>
      </c>
      <c r="J1867" s="21">
        <v>8957</v>
      </c>
      <c r="K1867" s="1">
        <v>2300</v>
      </c>
      <c r="L1867" s="1">
        <v>0</v>
      </c>
      <c r="M1867" s="1">
        <v>0</v>
      </c>
      <c r="N1867" s="1">
        <v>0</v>
      </c>
      <c r="O1867" s="1">
        <v>0</v>
      </c>
      <c r="P1867" s="365">
        <v>0</v>
      </c>
      <c r="Q1867" s="1">
        <v>0</v>
      </c>
      <c r="R1867" s="1">
        <v>0</v>
      </c>
      <c r="S1867" s="1">
        <v>0</v>
      </c>
      <c r="T1867" s="1">
        <v>0</v>
      </c>
      <c r="U1867" s="24"/>
      <c r="W1867" s="30"/>
      <c r="X1867" s="42"/>
      <c r="AA1867" s="30"/>
      <c r="AB1867" s="42"/>
    </row>
    <row r="1868" spans="1:28">
      <c r="A1868" s="1">
        <v>2350</v>
      </c>
      <c r="B1868" s="42">
        <v>46.597999999999999</v>
      </c>
      <c r="C1868" s="42">
        <v>46.585999999999999</v>
      </c>
      <c r="D1868" s="42">
        <v>46.58</v>
      </c>
      <c r="E1868" s="42">
        <v>46.573999999999998</v>
      </c>
      <c r="F1868" s="42">
        <v>46.567999999999998</v>
      </c>
      <c r="G1868" s="42">
        <v>46.561999999999998</v>
      </c>
      <c r="H1868" s="42">
        <v>46.55</v>
      </c>
      <c r="I1868" s="42">
        <v>46.537999999999997</v>
      </c>
      <c r="J1868" s="21">
        <v>8907</v>
      </c>
      <c r="K1868" s="1">
        <v>2350</v>
      </c>
      <c r="L1868" s="1">
        <v>0</v>
      </c>
      <c r="M1868" s="1">
        <v>0</v>
      </c>
      <c r="N1868" s="1">
        <v>0</v>
      </c>
      <c r="O1868" s="1">
        <v>0</v>
      </c>
      <c r="P1868" s="365">
        <v>0</v>
      </c>
      <c r="Q1868" s="1">
        <v>0</v>
      </c>
      <c r="R1868" s="1">
        <v>0</v>
      </c>
      <c r="S1868" s="1">
        <v>0</v>
      </c>
      <c r="T1868" s="1">
        <v>0</v>
      </c>
      <c r="U1868" s="24"/>
      <c r="W1868" s="30"/>
      <c r="X1868" s="42"/>
      <c r="AA1868" s="30"/>
      <c r="AB1868" s="42"/>
    </row>
    <row r="1869" spans="1:28">
      <c r="A1869" s="1">
        <v>2400</v>
      </c>
      <c r="B1869" s="42">
        <v>46.320999999999998</v>
      </c>
      <c r="C1869" s="42">
        <v>46.308999999999997</v>
      </c>
      <c r="D1869" s="42">
        <v>46.302</v>
      </c>
      <c r="E1869" s="42">
        <v>46.295999999999999</v>
      </c>
      <c r="F1869" s="42">
        <v>46.29</v>
      </c>
      <c r="G1869" s="42">
        <v>46.283999999999999</v>
      </c>
      <c r="H1869" s="42">
        <v>46.271999999999998</v>
      </c>
      <c r="I1869" s="42">
        <v>46.26</v>
      </c>
      <c r="J1869" s="21">
        <v>8857</v>
      </c>
      <c r="K1869" s="1">
        <v>2400</v>
      </c>
      <c r="L1869" s="1">
        <v>0</v>
      </c>
      <c r="M1869" s="1">
        <v>0</v>
      </c>
      <c r="N1869" s="1">
        <v>0</v>
      </c>
      <c r="O1869" s="1">
        <v>0</v>
      </c>
      <c r="P1869" s="365">
        <v>0</v>
      </c>
      <c r="Q1869" s="1">
        <v>0</v>
      </c>
      <c r="R1869" s="1">
        <v>0</v>
      </c>
      <c r="S1869" s="1">
        <v>0</v>
      </c>
      <c r="T1869" s="1">
        <v>0</v>
      </c>
      <c r="U1869" s="24"/>
      <c r="W1869" s="30"/>
      <c r="AA1869" s="30"/>
    </row>
    <row r="1870" spans="1:28">
      <c r="A1870" s="1">
        <v>2450</v>
      </c>
      <c r="B1870" s="42">
        <v>46.042999999999999</v>
      </c>
      <c r="C1870" s="42">
        <v>46.030999999999999</v>
      </c>
      <c r="D1870" s="42">
        <v>46.024999999999999</v>
      </c>
      <c r="E1870" s="42">
        <v>46.018999999999998</v>
      </c>
      <c r="F1870" s="42">
        <v>46.012999999999998</v>
      </c>
      <c r="G1870" s="42">
        <v>46.006999999999998</v>
      </c>
      <c r="H1870" s="42">
        <v>45.994999999999997</v>
      </c>
      <c r="I1870" s="42">
        <v>45.982999999999997</v>
      </c>
      <c r="J1870" s="21">
        <v>8807</v>
      </c>
      <c r="K1870" s="1">
        <v>2450</v>
      </c>
      <c r="L1870" s="1">
        <v>0</v>
      </c>
      <c r="M1870" s="1">
        <v>0</v>
      </c>
      <c r="N1870" s="1">
        <v>0</v>
      </c>
      <c r="O1870" s="1">
        <v>0</v>
      </c>
      <c r="P1870" s="365">
        <v>0</v>
      </c>
      <c r="Q1870" s="1">
        <v>0</v>
      </c>
      <c r="R1870" s="1">
        <v>0</v>
      </c>
      <c r="S1870" s="1">
        <v>0</v>
      </c>
      <c r="T1870" s="1">
        <v>0</v>
      </c>
      <c r="U1870" s="25"/>
      <c r="W1870" s="43"/>
      <c r="X1870" s="42"/>
      <c r="AA1870" s="30"/>
      <c r="AB1870" s="42"/>
    </row>
    <row r="1871" spans="1:28">
      <c r="A1871" s="1">
        <v>2500</v>
      </c>
      <c r="B1871" s="42">
        <v>45.765999999999998</v>
      </c>
      <c r="C1871" s="42">
        <v>45.753</v>
      </c>
      <c r="D1871" s="42">
        <v>45.747</v>
      </c>
      <c r="E1871" s="42">
        <v>45.741</v>
      </c>
      <c r="F1871" s="42">
        <v>45.734999999999999</v>
      </c>
      <c r="G1871" s="42">
        <v>45.728999999999999</v>
      </c>
      <c r="H1871" s="42">
        <v>45.716999999999999</v>
      </c>
      <c r="I1871" s="42">
        <v>45.704999999999998</v>
      </c>
      <c r="J1871" s="21">
        <v>8757</v>
      </c>
      <c r="K1871" s="1">
        <v>2500</v>
      </c>
      <c r="L1871" s="1">
        <v>0</v>
      </c>
      <c r="M1871" s="1">
        <v>0</v>
      </c>
      <c r="N1871" s="1">
        <v>0</v>
      </c>
      <c r="O1871" s="1">
        <v>0</v>
      </c>
      <c r="P1871" s="365">
        <v>0</v>
      </c>
      <c r="Q1871" s="1">
        <v>0</v>
      </c>
      <c r="R1871" s="1">
        <v>0</v>
      </c>
      <c r="S1871" s="1">
        <v>0</v>
      </c>
      <c r="T1871" s="1">
        <v>0</v>
      </c>
      <c r="U1871" s="27"/>
      <c r="W1871" s="43"/>
      <c r="X1871" s="42"/>
      <c r="AA1871" s="30"/>
      <c r="AB1871" s="42"/>
    </row>
    <row r="1872" spans="1:28">
      <c r="A1872" s="1">
        <v>2550</v>
      </c>
      <c r="B1872" s="42">
        <v>45.488</v>
      </c>
      <c r="C1872" s="42">
        <v>45.475999999999999</v>
      </c>
      <c r="D1872" s="42">
        <v>45.47</v>
      </c>
      <c r="E1872" s="42">
        <v>45.463999999999999</v>
      </c>
      <c r="F1872" s="42">
        <v>45.457999999999998</v>
      </c>
      <c r="G1872" s="42">
        <v>45.451999999999998</v>
      </c>
      <c r="H1872" s="42">
        <v>45.44</v>
      </c>
      <c r="I1872" s="42">
        <v>45.427</v>
      </c>
      <c r="J1872" s="21">
        <v>8707</v>
      </c>
      <c r="K1872" s="1">
        <v>2550</v>
      </c>
      <c r="L1872" s="1">
        <v>0</v>
      </c>
      <c r="M1872" s="1">
        <v>0</v>
      </c>
      <c r="N1872" s="1">
        <v>0</v>
      </c>
      <c r="O1872" s="1">
        <v>0</v>
      </c>
      <c r="P1872" s="365">
        <v>0</v>
      </c>
      <c r="Q1872" s="1">
        <v>0</v>
      </c>
      <c r="R1872" s="1">
        <v>0</v>
      </c>
      <c r="S1872" s="1">
        <v>0</v>
      </c>
      <c r="T1872" s="1">
        <v>0</v>
      </c>
      <c r="U1872" s="25"/>
    </row>
    <row r="1873" spans="1:28">
      <c r="A1873" s="1">
        <v>2600</v>
      </c>
      <c r="B1873" s="42">
        <v>45.21</v>
      </c>
      <c r="C1873" s="42">
        <v>45.198</v>
      </c>
      <c r="D1873" s="42">
        <v>45.192</v>
      </c>
      <c r="E1873" s="42">
        <v>45.186</v>
      </c>
      <c r="F1873" s="42">
        <v>45.18</v>
      </c>
      <c r="G1873" s="42">
        <v>45.173999999999999</v>
      </c>
      <c r="H1873" s="42">
        <v>45.161999999999999</v>
      </c>
      <c r="I1873" s="42">
        <v>45.15</v>
      </c>
      <c r="J1873" s="21">
        <v>8657</v>
      </c>
      <c r="K1873" s="1">
        <v>2600</v>
      </c>
      <c r="L1873" s="1">
        <v>0</v>
      </c>
      <c r="M1873" s="1">
        <v>0</v>
      </c>
      <c r="N1873" s="1">
        <v>0</v>
      </c>
      <c r="O1873" s="1">
        <v>0</v>
      </c>
      <c r="P1873" s="365">
        <v>0</v>
      </c>
      <c r="Q1873" s="1">
        <v>0</v>
      </c>
      <c r="R1873" s="1">
        <v>0</v>
      </c>
      <c r="S1873" s="1">
        <v>0</v>
      </c>
      <c r="T1873" s="1">
        <v>0</v>
      </c>
      <c r="U1873" s="24"/>
    </row>
    <row r="1874" spans="1:28">
      <c r="A1874" s="1">
        <v>2650</v>
      </c>
      <c r="B1874" s="42">
        <v>44.933</v>
      </c>
      <c r="C1874" s="42">
        <v>44.920999999999999</v>
      </c>
      <c r="D1874" s="42">
        <v>44.914999999999999</v>
      </c>
      <c r="E1874" s="42">
        <v>44.908999999999999</v>
      </c>
      <c r="F1874" s="42">
        <v>44.902999999999999</v>
      </c>
      <c r="G1874" s="42">
        <v>44.896000000000001</v>
      </c>
      <c r="H1874" s="42">
        <v>44.884</v>
      </c>
      <c r="I1874" s="42">
        <v>44.872</v>
      </c>
      <c r="J1874" s="21">
        <v>8607</v>
      </c>
      <c r="K1874" s="1">
        <v>2650</v>
      </c>
      <c r="L1874" s="1">
        <v>0</v>
      </c>
      <c r="M1874" s="1">
        <v>0</v>
      </c>
      <c r="N1874" s="1">
        <v>0</v>
      </c>
      <c r="O1874" s="1">
        <v>0</v>
      </c>
      <c r="P1874" s="365">
        <v>0</v>
      </c>
      <c r="Q1874" s="1">
        <v>0</v>
      </c>
      <c r="R1874" s="1">
        <v>0</v>
      </c>
      <c r="S1874" s="1">
        <v>0</v>
      </c>
      <c r="T1874" s="1">
        <v>0</v>
      </c>
      <c r="U1874" s="25"/>
      <c r="X1874" s="42"/>
      <c r="AB1874" s="42"/>
    </row>
    <row r="1875" spans="1:28">
      <c r="A1875" s="1">
        <v>2700</v>
      </c>
      <c r="B1875" s="42">
        <v>44.655000000000001</v>
      </c>
      <c r="C1875" s="42">
        <v>44.643000000000001</v>
      </c>
      <c r="D1875" s="42">
        <v>44.637</v>
      </c>
      <c r="E1875" s="42">
        <v>44.631</v>
      </c>
      <c r="F1875" s="42">
        <v>44.625</v>
      </c>
      <c r="G1875" s="42">
        <v>44.619</v>
      </c>
      <c r="H1875" s="42">
        <v>44.606999999999999</v>
      </c>
      <c r="I1875" s="42">
        <v>44.594999999999999</v>
      </c>
      <c r="J1875" s="21">
        <v>8557</v>
      </c>
      <c r="K1875" s="1">
        <v>2700</v>
      </c>
      <c r="L1875" s="1">
        <v>0</v>
      </c>
      <c r="M1875" s="1">
        <v>0</v>
      </c>
      <c r="N1875" s="1">
        <v>0</v>
      </c>
      <c r="O1875" s="1">
        <v>0</v>
      </c>
      <c r="P1875" s="365">
        <v>0</v>
      </c>
      <c r="Q1875" s="1">
        <v>0</v>
      </c>
      <c r="R1875" s="1">
        <v>0</v>
      </c>
      <c r="S1875" s="1">
        <v>0</v>
      </c>
      <c r="T1875" s="1">
        <v>0</v>
      </c>
      <c r="U1875" s="25"/>
    </row>
    <row r="1876" spans="1:28">
      <c r="A1876" s="1">
        <v>2750</v>
      </c>
      <c r="B1876" s="42">
        <v>44.378</v>
      </c>
      <c r="C1876" s="42">
        <v>44.365000000000002</v>
      </c>
      <c r="D1876" s="42">
        <v>44.359000000000002</v>
      </c>
      <c r="E1876" s="42">
        <v>44.353000000000002</v>
      </c>
      <c r="F1876" s="42">
        <v>44.347000000000001</v>
      </c>
      <c r="G1876" s="42">
        <v>44.341000000000001</v>
      </c>
      <c r="H1876" s="42">
        <v>44.329000000000001</v>
      </c>
      <c r="I1876" s="42">
        <v>44.317</v>
      </c>
      <c r="J1876" s="21">
        <v>8507</v>
      </c>
      <c r="K1876" s="1">
        <v>2750</v>
      </c>
      <c r="L1876" s="1">
        <v>0</v>
      </c>
      <c r="M1876" s="1">
        <v>0</v>
      </c>
      <c r="N1876" s="1">
        <v>0</v>
      </c>
      <c r="O1876" s="1">
        <v>0</v>
      </c>
      <c r="P1876" s="365">
        <v>0</v>
      </c>
      <c r="Q1876" s="1">
        <v>0</v>
      </c>
      <c r="R1876" s="1">
        <v>0</v>
      </c>
      <c r="S1876" s="1">
        <v>0</v>
      </c>
      <c r="T1876" s="1">
        <v>0</v>
      </c>
      <c r="U1876" s="25"/>
    </row>
    <row r="1877" spans="1:28">
      <c r="A1877" s="1">
        <v>2800</v>
      </c>
      <c r="B1877" s="42">
        <v>44.1</v>
      </c>
      <c r="C1877" s="42">
        <v>44.088000000000001</v>
      </c>
      <c r="D1877" s="42">
        <v>44.082000000000001</v>
      </c>
      <c r="E1877" s="42">
        <v>44.076000000000001</v>
      </c>
      <c r="F1877" s="42">
        <v>44.07</v>
      </c>
      <c r="G1877" s="42">
        <v>44.064</v>
      </c>
      <c r="H1877" s="42">
        <v>44.052</v>
      </c>
      <c r="I1877" s="42">
        <v>44.04</v>
      </c>
      <c r="J1877" s="21">
        <v>8457</v>
      </c>
      <c r="K1877" s="1">
        <v>2800</v>
      </c>
      <c r="L1877" s="1">
        <v>0</v>
      </c>
      <c r="M1877" s="1">
        <v>0</v>
      </c>
      <c r="N1877" s="1">
        <v>0</v>
      </c>
      <c r="O1877" s="1">
        <v>0</v>
      </c>
      <c r="P1877" s="365">
        <v>0</v>
      </c>
      <c r="Q1877" s="1">
        <v>0</v>
      </c>
      <c r="R1877" s="1">
        <v>0</v>
      </c>
      <c r="S1877" s="1">
        <v>0</v>
      </c>
      <c r="T1877" s="1">
        <v>0</v>
      </c>
      <c r="U1877" s="25"/>
    </row>
    <row r="1878" spans="1:28">
      <c r="A1878" s="1">
        <v>2850</v>
      </c>
      <c r="B1878" s="42">
        <v>43.823</v>
      </c>
      <c r="C1878" s="42">
        <v>43.81</v>
      </c>
      <c r="D1878" s="42">
        <v>43.804000000000002</v>
      </c>
      <c r="E1878" s="42">
        <v>43.798000000000002</v>
      </c>
      <c r="F1878" s="42">
        <v>43.792000000000002</v>
      </c>
      <c r="G1878" s="42">
        <v>43.786000000000001</v>
      </c>
      <c r="H1878" s="42">
        <v>43.774000000000001</v>
      </c>
      <c r="I1878" s="42">
        <v>43.762</v>
      </c>
      <c r="J1878" s="21">
        <v>8407</v>
      </c>
      <c r="K1878" s="1">
        <v>2850</v>
      </c>
      <c r="L1878" s="1">
        <v>0</v>
      </c>
      <c r="M1878" s="1">
        <v>0</v>
      </c>
      <c r="N1878" s="1">
        <v>0</v>
      </c>
      <c r="O1878" s="1">
        <v>0</v>
      </c>
      <c r="P1878" s="365">
        <v>0</v>
      </c>
      <c r="Q1878" s="1">
        <v>0</v>
      </c>
      <c r="R1878" s="1">
        <v>0</v>
      </c>
      <c r="S1878" s="1">
        <v>0</v>
      </c>
      <c r="T1878" s="1">
        <v>0</v>
      </c>
      <c r="U1878" s="24"/>
    </row>
    <row r="1879" spans="1:28">
      <c r="A1879" s="1">
        <v>2900</v>
      </c>
      <c r="B1879" s="42">
        <v>43.545000000000002</v>
      </c>
      <c r="C1879" s="42">
        <v>43.533000000000001</v>
      </c>
      <c r="D1879" s="42">
        <v>43.527000000000001</v>
      </c>
      <c r="E1879" s="42">
        <v>43.521000000000001</v>
      </c>
      <c r="F1879" s="42">
        <v>43.515000000000001</v>
      </c>
      <c r="G1879" s="42">
        <v>43.509</v>
      </c>
      <c r="H1879" s="42">
        <v>43.497</v>
      </c>
      <c r="I1879" s="42">
        <v>43.484000000000002</v>
      </c>
      <c r="J1879" s="21">
        <v>8357</v>
      </c>
      <c r="K1879" s="1">
        <v>2900</v>
      </c>
      <c r="L1879" s="1">
        <v>0</v>
      </c>
      <c r="M1879" s="1">
        <v>0</v>
      </c>
      <c r="N1879" s="1">
        <v>0</v>
      </c>
      <c r="O1879" s="1">
        <v>0</v>
      </c>
      <c r="P1879" s="365">
        <v>0</v>
      </c>
      <c r="Q1879" s="1">
        <v>0</v>
      </c>
      <c r="R1879" s="1">
        <v>0</v>
      </c>
      <c r="S1879" s="1">
        <v>0</v>
      </c>
      <c r="T1879" s="1">
        <v>0</v>
      </c>
      <c r="U1879" s="25"/>
    </row>
    <row r="1880" spans="1:28">
      <c r="A1880" s="1">
        <v>2950</v>
      </c>
      <c r="B1880" s="42">
        <v>43.267000000000003</v>
      </c>
      <c r="C1880" s="42">
        <v>43.255000000000003</v>
      </c>
      <c r="D1880" s="42">
        <v>43.249000000000002</v>
      </c>
      <c r="E1880" s="42">
        <v>43.243000000000002</v>
      </c>
      <c r="F1880" s="42">
        <v>43.237000000000002</v>
      </c>
      <c r="G1880" s="42">
        <v>43.231000000000002</v>
      </c>
      <c r="H1880" s="42">
        <v>43.219000000000001</v>
      </c>
      <c r="I1880" s="42">
        <v>43.207000000000001</v>
      </c>
      <c r="J1880" s="21">
        <v>8307</v>
      </c>
      <c r="K1880" s="1">
        <v>2950</v>
      </c>
      <c r="L1880" s="1">
        <v>0</v>
      </c>
      <c r="M1880" s="1">
        <v>0</v>
      </c>
      <c r="N1880" s="1">
        <v>0</v>
      </c>
      <c r="O1880" s="1">
        <v>0</v>
      </c>
      <c r="P1880" s="365">
        <v>0</v>
      </c>
      <c r="Q1880" s="1">
        <v>0</v>
      </c>
      <c r="R1880" s="1">
        <v>0</v>
      </c>
      <c r="S1880" s="1">
        <v>0</v>
      </c>
      <c r="T1880" s="1">
        <v>0</v>
      </c>
      <c r="U1880" s="24"/>
    </row>
    <row r="1881" spans="1:28">
      <c r="A1881" s="1">
        <v>3000</v>
      </c>
      <c r="B1881" s="42">
        <v>42.99</v>
      </c>
      <c r="C1881" s="42">
        <v>42.978000000000002</v>
      </c>
      <c r="D1881" s="42">
        <v>42.972000000000001</v>
      </c>
      <c r="E1881" s="42">
        <v>42.966000000000001</v>
      </c>
      <c r="F1881" s="42">
        <v>42.96</v>
      </c>
      <c r="G1881" s="42">
        <v>42.953000000000003</v>
      </c>
      <c r="H1881" s="42">
        <v>42.941000000000003</v>
      </c>
      <c r="I1881" s="42">
        <v>42.929000000000002</v>
      </c>
      <c r="J1881" s="21">
        <v>8257</v>
      </c>
      <c r="K1881" s="1">
        <v>3000</v>
      </c>
      <c r="L1881" s="1">
        <v>0</v>
      </c>
      <c r="M1881" s="1">
        <v>0</v>
      </c>
      <c r="N1881" s="1">
        <v>0</v>
      </c>
      <c r="O1881" s="1">
        <v>0</v>
      </c>
      <c r="P1881" s="365">
        <v>0</v>
      </c>
      <c r="Q1881" s="1">
        <v>0</v>
      </c>
      <c r="R1881" s="1">
        <v>0</v>
      </c>
      <c r="S1881" s="1">
        <v>0</v>
      </c>
      <c r="T1881" s="1">
        <v>0</v>
      </c>
      <c r="U1881" s="26"/>
    </row>
    <row r="1882" spans="1:28">
      <c r="A1882" s="1">
        <v>3050</v>
      </c>
      <c r="B1882" s="42">
        <v>42.712000000000003</v>
      </c>
      <c r="C1882" s="42">
        <v>42.7</v>
      </c>
      <c r="D1882" s="42">
        <v>42.694000000000003</v>
      </c>
      <c r="E1882" s="42">
        <v>42.688000000000002</v>
      </c>
      <c r="F1882" s="42">
        <v>42.682000000000002</v>
      </c>
      <c r="G1882" s="42">
        <v>42.676000000000002</v>
      </c>
      <c r="H1882" s="42">
        <v>42.664000000000001</v>
      </c>
      <c r="I1882" s="42">
        <v>42.652000000000001</v>
      </c>
      <c r="J1882" s="21">
        <v>8207</v>
      </c>
      <c r="K1882" s="1">
        <v>3050</v>
      </c>
      <c r="L1882" s="1">
        <v>0</v>
      </c>
      <c r="M1882" s="1">
        <v>0</v>
      </c>
      <c r="N1882" s="1">
        <v>0</v>
      </c>
      <c r="O1882" s="1">
        <v>0</v>
      </c>
      <c r="P1882" s="365">
        <v>0</v>
      </c>
      <c r="Q1882" s="1">
        <v>0</v>
      </c>
      <c r="R1882" s="1">
        <v>0</v>
      </c>
      <c r="S1882" s="1">
        <v>0</v>
      </c>
      <c r="T1882" s="1">
        <v>0</v>
      </c>
      <c r="U1882" s="24"/>
    </row>
    <row r="1883" spans="1:28">
      <c r="A1883" s="1">
        <v>3100</v>
      </c>
      <c r="B1883" s="42">
        <v>42.435000000000002</v>
      </c>
      <c r="C1883" s="42">
        <v>42.421999999999997</v>
      </c>
      <c r="D1883" s="42">
        <v>42.415999999999997</v>
      </c>
      <c r="E1883" s="42">
        <v>42.41</v>
      </c>
      <c r="F1883" s="42">
        <v>42.404000000000003</v>
      </c>
      <c r="G1883" s="42">
        <v>42.398000000000003</v>
      </c>
      <c r="H1883" s="42">
        <v>42.386000000000003</v>
      </c>
      <c r="I1883" s="42">
        <v>42.374000000000002</v>
      </c>
      <c r="J1883" s="21">
        <v>8157</v>
      </c>
      <c r="K1883" s="1">
        <v>3100</v>
      </c>
      <c r="L1883" s="1">
        <v>0</v>
      </c>
      <c r="M1883" s="1">
        <v>0</v>
      </c>
      <c r="N1883" s="1">
        <v>0</v>
      </c>
      <c r="O1883" s="1">
        <v>0</v>
      </c>
      <c r="P1883" s="365">
        <v>0</v>
      </c>
      <c r="Q1883" s="1">
        <v>0</v>
      </c>
      <c r="R1883" s="1">
        <v>0</v>
      </c>
      <c r="S1883" s="1">
        <v>0</v>
      </c>
      <c r="T1883" s="1">
        <v>0</v>
      </c>
      <c r="U1883" s="24"/>
    </row>
    <row r="1884" spans="1:28">
      <c r="A1884" s="1">
        <v>3150</v>
      </c>
      <c r="B1884" s="42">
        <v>42.156999999999996</v>
      </c>
      <c r="C1884" s="42">
        <v>42.145000000000003</v>
      </c>
      <c r="D1884" s="42">
        <v>42.139000000000003</v>
      </c>
      <c r="E1884" s="42">
        <v>42.133000000000003</v>
      </c>
      <c r="F1884" s="42">
        <v>42.127000000000002</v>
      </c>
      <c r="G1884" s="42">
        <v>42.121000000000002</v>
      </c>
      <c r="H1884" s="42">
        <v>42.109000000000002</v>
      </c>
      <c r="I1884" s="42">
        <v>42.097000000000001</v>
      </c>
      <c r="J1884" s="21">
        <v>8107</v>
      </c>
      <c r="K1884" s="1">
        <v>3150</v>
      </c>
      <c r="L1884" s="1">
        <v>0</v>
      </c>
      <c r="M1884" s="1">
        <v>0</v>
      </c>
      <c r="N1884" s="1">
        <v>0</v>
      </c>
      <c r="O1884" s="1">
        <v>0</v>
      </c>
      <c r="P1884" s="365">
        <v>0</v>
      </c>
      <c r="Q1884" s="1">
        <v>0</v>
      </c>
      <c r="R1884" s="1">
        <v>0</v>
      </c>
      <c r="S1884" s="1">
        <v>0</v>
      </c>
      <c r="T1884" s="1">
        <v>0</v>
      </c>
      <c r="U1884" s="25"/>
    </row>
    <row r="1885" spans="1:28">
      <c r="A1885" s="1">
        <v>3200</v>
      </c>
      <c r="B1885" s="42">
        <v>41.878999999999998</v>
      </c>
      <c r="C1885" s="42">
        <v>41.866999999999997</v>
      </c>
      <c r="D1885" s="42">
        <v>41.860999999999997</v>
      </c>
      <c r="E1885" s="42">
        <v>41.854999999999997</v>
      </c>
      <c r="F1885" s="42">
        <v>41.848999999999997</v>
      </c>
      <c r="G1885" s="42">
        <v>41.843000000000004</v>
      </c>
      <c r="H1885" s="42">
        <v>41.831000000000003</v>
      </c>
      <c r="I1885" s="42">
        <v>41.819000000000003</v>
      </c>
      <c r="J1885" s="21">
        <v>8057</v>
      </c>
      <c r="K1885" s="1">
        <v>3200</v>
      </c>
      <c r="L1885" s="1">
        <v>0</v>
      </c>
      <c r="M1885" s="1">
        <v>0</v>
      </c>
      <c r="N1885" s="1">
        <v>0</v>
      </c>
      <c r="O1885" s="1">
        <v>0</v>
      </c>
      <c r="P1885" s="365">
        <v>0</v>
      </c>
      <c r="Q1885" s="1">
        <v>0</v>
      </c>
      <c r="R1885" s="1">
        <v>0</v>
      </c>
      <c r="S1885" s="1">
        <v>0</v>
      </c>
      <c r="T1885" s="1">
        <v>0</v>
      </c>
      <c r="U1885" s="28"/>
    </row>
    <row r="1886" spans="1:28">
      <c r="A1886" s="1">
        <v>3250</v>
      </c>
      <c r="B1886" s="42">
        <v>41.601999999999997</v>
      </c>
      <c r="C1886" s="42">
        <v>41.59</v>
      </c>
      <c r="D1886" s="42">
        <v>41.584000000000003</v>
      </c>
      <c r="E1886" s="42">
        <v>41.578000000000003</v>
      </c>
      <c r="F1886" s="42">
        <v>41.572000000000003</v>
      </c>
      <c r="G1886" s="42">
        <v>41.566000000000003</v>
      </c>
      <c r="H1886" s="42">
        <v>41.552999999999997</v>
      </c>
      <c r="I1886" s="42">
        <v>41.540999999999997</v>
      </c>
      <c r="J1886" s="21">
        <v>8007</v>
      </c>
      <c r="K1886" s="1">
        <v>3250</v>
      </c>
      <c r="L1886" s="1">
        <v>0</v>
      </c>
      <c r="M1886" s="1">
        <v>0</v>
      </c>
      <c r="N1886" s="1">
        <v>0</v>
      </c>
      <c r="O1886" s="1">
        <v>0</v>
      </c>
      <c r="P1886" s="365">
        <v>0</v>
      </c>
      <c r="Q1886" s="1">
        <v>0</v>
      </c>
      <c r="R1886" s="1">
        <v>0</v>
      </c>
      <c r="S1886" s="1">
        <v>0</v>
      </c>
      <c r="T1886" s="1">
        <v>0</v>
      </c>
    </row>
    <row r="1887" spans="1:28">
      <c r="A1887" s="1">
        <v>3300</v>
      </c>
      <c r="B1887" s="42">
        <v>41.323999999999998</v>
      </c>
      <c r="C1887" s="42">
        <v>41.311999999999998</v>
      </c>
      <c r="D1887" s="42">
        <v>41.305999999999997</v>
      </c>
      <c r="E1887" s="42">
        <v>41.3</v>
      </c>
      <c r="F1887" s="42">
        <v>41.293999999999997</v>
      </c>
      <c r="G1887" s="42">
        <v>41.287999999999997</v>
      </c>
      <c r="H1887" s="42">
        <v>41.276000000000003</v>
      </c>
      <c r="I1887" s="42">
        <v>41.264000000000003</v>
      </c>
      <c r="J1887" s="21">
        <v>7957</v>
      </c>
      <c r="K1887" s="1">
        <v>3300</v>
      </c>
      <c r="L1887" s="1">
        <v>0</v>
      </c>
      <c r="M1887" s="1">
        <v>0</v>
      </c>
      <c r="N1887" s="1">
        <v>0</v>
      </c>
      <c r="O1887" s="1">
        <v>0</v>
      </c>
      <c r="P1887" s="365">
        <v>0</v>
      </c>
      <c r="Q1887" s="1">
        <v>0</v>
      </c>
      <c r="R1887" s="1">
        <v>0</v>
      </c>
      <c r="S1887" s="1">
        <v>0</v>
      </c>
      <c r="T1887" s="1">
        <v>0</v>
      </c>
    </row>
    <row r="1888" spans="1:28">
      <c r="A1888" s="1">
        <v>3350</v>
      </c>
      <c r="B1888" s="42">
        <v>41.046999999999997</v>
      </c>
      <c r="C1888" s="42">
        <v>41.034999999999997</v>
      </c>
      <c r="D1888" s="42">
        <v>41.029000000000003</v>
      </c>
      <c r="E1888" s="42">
        <v>41.023000000000003</v>
      </c>
      <c r="F1888" s="42">
        <v>41.017000000000003</v>
      </c>
      <c r="G1888" s="42">
        <v>41.01</v>
      </c>
      <c r="H1888" s="42">
        <v>40.997999999999998</v>
      </c>
      <c r="I1888" s="42">
        <v>40.985999999999997</v>
      </c>
      <c r="J1888" s="21">
        <v>7907</v>
      </c>
      <c r="K1888" s="1">
        <v>3350</v>
      </c>
      <c r="L1888" s="1">
        <v>0</v>
      </c>
      <c r="M1888" s="1">
        <v>0</v>
      </c>
      <c r="N1888" s="1">
        <v>0</v>
      </c>
      <c r="O1888" s="1">
        <v>0</v>
      </c>
      <c r="P1888" s="365">
        <v>0</v>
      </c>
      <c r="Q1888" s="1">
        <v>0</v>
      </c>
      <c r="R1888" s="1">
        <v>0</v>
      </c>
      <c r="S1888" s="1">
        <v>0</v>
      </c>
      <c r="T1888" s="1">
        <v>0</v>
      </c>
    </row>
    <row r="1889" spans="1:20">
      <c r="A1889" s="1">
        <v>3400</v>
      </c>
      <c r="B1889" s="42">
        <v>40.768999999999998</v>
      </c>
      <c r="C1889" s="42">
        <v>40.756999999999998</v>
      </c>
      <c r="D1889" s="42">
        <v>40.750999999999998</v>
      </c>
      <c r="E1889" s="42">
        <v>40.744999999999997</v>
      </c>
      <c r="F1889" s="42">
        <v>40.738999999999997</v>
      </c>
      <c r="G1889" s="42">
        <v>40.732999999999997</v>
      </c>
      <c r="H1889" s="42">
        <v>40.720999999999997</v>
      </c>
      <c r="I1889" s="42">
        <v>40.709000000000003</v>
      </c>
      <c r="J1889" s="21">
        <v>7857</v>
      </c>
      <c r="K1889" s="1">
        <v>3400</v>
      </c>
      <c r="L1889" s="1">
        <v>0</v>
      </c>
      <c r="M1889" s="1">
        <v>0</v>
      </c>
      <c r="N1889" s="1">
        <v>0</v>
      </c>
      <c r="O1889" s="1">
        <v>0</v>
      </c>
      <c r="P1889" s="365">
        <v>0</v>
      </c>
      <c r="Q1889" s="1">
        <v>0</v>
      </c>
      <c r="R1889" s="1">
        <v>0</v>
      </c>
      <c r="S1889" s="1">
        <v>0</v>
      </c>
      <c r="T1889" s="1">
        <v>0</v>
      </c>
    </row>
    <row r="1890" spans="1:20">
      <c r="A1890" s="1">
        <v>3450</v>
      </c>
      <c r="B1890" s="42">
        <v>40.491999999999997</v>
      </c>
      <c r="C1890" s="42">
        <v>40.478999999999999</v>
      </c>
      <c r="D1890" s="42">
        <v>40.472999999999999</v>
      </c>
      <c r="E1890" s="42">
        <v>40.466999999999999</v>
      </c>
      <c r="F1890" s="42">
        <v>40.460999999999999</v>
      </c>
      <c r="G1890" s="42">
        <v>40.454999999999998</v>
      </c>
      <c r="H1890" s="42">
        <v>40.442999999999998</v>
      </c>
      <c r="I1890" s="42">
        <v>40.430999999999997</v>
      </c>
      <c r="J1890" s="21">
        <v>7807</v>
      </c>
      <c r="K1890" s="1">
        <v>3450</v>
      </c>
      <c r="L1890" s="1">
        <v>0</v>
      </c>
      <c r="M1890" s="1">
        <v>0</v>
      </c>
      <c r="N1890" s="1">
        <v>0</v>
      </c>
      <c r="O1890" s="1">
        <v>0</v>
      </c>
      <c r="P1890" s="365">
        <v>0</v>
      </c>
      <c r="Q1890" s="1">
        <v>0</v>
      </c>
      <c r="R1890" s="1">
        <v>0</v>
      </c>
      <c r="S1890" s="1">
        <v>0</v>
      </c>
      <c r="T1890" s="1">
        <v>0</v>
      </c>
    </row>
    <row r="1891" spans="1:20">
      <c r="A1891" s="1">
        <v>3500</v>
      </c>
      <c r="B1891" s="42">
        <v>40.213999999999999</v>
      </c>
      <c r="C1891" s="42">
        <v>40.201999999999998</v>
      </c>
      <c r="D1891" s="42">
        <v>40.195999999999998</v>
      </c>
      <c r="E1891" s="42">
        <v>40.19</v>
      </c>
      <c r="F1891" s="42">
        <v>40.183999999999997</v>
      </c>
      <c r="G1891" s="42">
        <v>40.177999999999997</v>
      </c>
      <c r="H1891" s="42">
        <v>40.165999999999997</v>
      </c>
      <c r="I1891" s="42">
        <v>40.154000000000003</v>
      </c>
      <c r="J1891" s="21">
        <v>7757</v>
      </c>
      <c r="K1891" s="1">
        <v>3500</v>
      </c>
      <c r="L1891" s="1">
        <v>0</v>
      </c>
      <c r="M1891" s="1">
        <v>0</v>
      </c>
      <c r="N1891" s="1">
        <v>0</v>
      </c>
      <c r="O1891" s="1">
        <v>0</v>
      </c>
      <c r="P1891" s="365">
        <v>0</v>
      </c>
      <c r="Q1891" s="1">
        <v>0</v>
      </c>
      <c r="R1891" s="1">
        <v>0</v>
      </c>
      <c r="S1891" s="1">
        <v>0</v>
      </c>
      <c r="T1891" s="1">
        <v>0</v>
      </c>
    </row>
    <row r="1892" spans="1:20">
      <c r="A1892" s="1">
        <v>3550</v>
      </c>
      <c r="B1892" s="42">
        <v>39.936</v>
      </c>
      <c r="C1892" s="42">
        <v>39.923999999999999</v>
      </c>
      <c r="D1892" s="42">
        <v>39.917999999999999</v>
      </c>
      <c r="E1892" s="42">
        <v>39.911999999999999</v>
      </c>
      <c r="F1892" s="42">
        <v>39.905999999999999</v>
      </c>
      <c r="G1892" s="42">
        <v>39.9</v>
      </c>
      <c r="H1892" s="42">
        <v>39.887999999999998</v>
      </c>
      <c r="I1892" s="42">
        <v>39.875999999999998</v>
      </c>
      <c r="J1892" s="21">
        <v>7707</v>
      </c>
      <c r="K1892" s="1">
        <v>3550</v>
      </c>
      <c r="L1892" s="1">
        <v>0</v>
      </c>
      <c r="M1892" s="1">
        <v>0</v>
      </c>
      <c r="N1892" s="1">
        <v>0</v>
      </c>
      <c r="O1892" s="1">
        <v>0</v>
      </c>
      <c r="P1892" s="365">
        <v>0</v>
      </c>
      <c r="Q1892" s="1">
        <v>0</v>
      </c>
      <c r="R1892" s="1">
        <v>0</v>
      </c>
      <c r="S1892" s="1">
        <v>0</v>
      </c>
      <c r="T1892" s="1">
        <v>0</v>
      </c>
    </row>
    <row r="1893" spans="1:20">
      <c r="A1893" s="1">
        <v>3600</v>
      </c>
      <c r="B1893" s="42">
        <v>39.658999999999999</v>
      </c>
      <c r="C1893" s="42">
        <v>39.646999999999998</v>
      </c>
      <c r="D1893" s="42">
        <v>39.640999999999998</v>
      </c>
      <c r="E1893" s="42">
        <v>39.634999999999998</v>
      </c>
      <c r="F1893" s="42">
        <v>39.628999999999998</v>
      </c>
      <c r="G1893" s="42">
        <v>39.622999999999998</v>
      </c>
      <c r="H1893" s="42">
        <v>39.61</v>
      </c>
      <c r="I1893" s="42">
        <v>39.597999999999999</v>
      </c>
      <c r="J1893" s="21">
        <v>7657</v>
      </c>
      <c r="K1893" s="1">
        <v>3600</v>
      </c>
      <c r="L1893" s="1">
        <v>0</v>
      </c>
      <c r="M1893" s="1">
        <v>0</v>
      </c>
      <c r="N1893" s="1">
        <v>0</v>
      </c>
      <c r="O1893" s="1">
        <v>0</v>
      </c>
      <c r="P1893" s="365">
        <v>0</v>
      </c>
      <c r="Q1893" s="1">
        <v>0</v>
      </c>
      <c r="R1893" s="1">
        <v>0</v>
      </c>
      <c r="S1893" s="1">
        <v>0</v>
      </c>
      <c r="T1893" s="1">
        <v>0</v>
      </c>
    </row>
    <row r="1894" spans="1:20">
      <c r="A1894" s="1">
        <v>3650</v>
      </c>
      <c r="B1894" s="42">
        <v>39.381</v>
      </c>
      <c r="C1894" s="42">
        <v>39.369</v>
      </c>
      <c r="D1894" s="42">
        <v>39.363</v>
      </c>
      <c r="E1894" s="42">
        <v>39.356999999999999</v>
      </c>
      <c r="F1894" s="42">
        <v>39.350999999999999</v>
      </c>
      <c r="G1894" s="42">
        <v>39.344999999999999</v>
      </c>
      <c r="H1894" s="42">
        <v>39.332999999999998</v>
      </c>
      <c r="I1894" s="42">
        <v>39.320999999999998</v>
      </c>
      <c r="J1894" s="21">
        <v>7607</v>
      </c>
      <c r="K1894" s="1">
        <v>3650</v>
      </c>
      <c r="L1894" s="1">
        <v>0</v>
      </c>
      <c r="M1894" s="1">
        <v>0</v>
      </c>
      <c r="N1894" s="1">
        <v>0</v>
      </c>
      <c r="O1894" s="1">
        <v>0</v>
      </c>
      <c r="P1894" s="365">
        <v>0</v>
      </c>
      <c r="Q1894" s="1">
        <v>0</v>
      </c>
      <c r="R1894" s="1">
        <v>0</v>
      </c>
      <c r="S1894" s="1">
        <v>0</v>
      </c>
      <c r="T1894" s="1">
        <v>0</v>
      </c>
    </row>
    <row r="1895" spans="1:20">
      <c r="A1895" s="1">
        <v>3700</v>
      </c>
      <c r="B1895" s="42">
        <v>39.103999999999999</v>
      </c>
      <c r="C1895" s="42">
        <v>39.091999999999999</v>
      </c>
      <c r="D1895" s="42">
        <v>39.085999999999999</v>
      </c>
      <c r="E1895" s="42">
        <v>39.08</v>
      </c>
      <c r="F1895" s="42">
        <v>39.073999999999998</v>
      </c>
      <c r="G1895" s="42">
        <v>39.067</v>
      </c>
      <c r="H1895" s="42">
        <v>39.055</v>
      </c>
      <c r="I1895" s="42">
        <v>39.042999999999999</v>
      </c>
      <c r="J1895" s="21">
        <v>7557</v>
      </c>
      <c r="K1895" s="1">
        <v>3700</v>
      </c>
      <c r="L1895" s="1">
        <v>0</v>
      </c>
      <c r="M1895" s="1">
        <v>0</v>
      </c>
      <c r="N1895" s="1">
        <v>0</v>
      </c>
      <c r="O1895" s="1">
        <v>0</v>
      </c>
      <c r="P1895" s="365">
        <v>0</v>
      </c>
      <c r="Q1895" s="1">
        <v>0</v>
      </c>
      <c r="R1895" s="1">
        <v>0</v>
      </c>
      <c r="S1895" s="1">
        <v>0</v>
      </c>
      <c r="T1895" s="1">
        <v>0</v>
      </c>
    </row>
    <row r="1896" spans="1:20">
      <c r="A1896" s="1">
        <v>3750</v>
      </c>
      <c r="B1896" s="42">
        <v>38.826000000000001</v>
      </c>
      <c r="C1896" s="42">
        <v>38.814</v>
      </c>
      <c r="D1896" s="42">
        <v>38.808</v>
      </c>
      <c r="E1896" s="42">
        <v>38.802</v>
      </c>
      <c r="F1896" s="42">
        <v>38.795999999999999</v>
      </c>
      <c r="G1896" s="42">
        <v>38.79</v>
      </c>
      <c r="H1896" s="42">
        <v>38.777999999999999</v>
      </c>
      <c r="I1896" s="42">
        <v>38.765999999999998</v>
      </c>
      <c r="J1896" s="21">
        <v>7507</v>
      </c>
      <c r="K1896" s="1">
        <v>3750</v>
      </c>
      <c r="L1896" s="1">
        <v>0</v>
      </c>
      <c r="M1896" s="1">
        <v>0</v>
      </c>
      <c r="N1896" s="1">
        <v>0</v>
      </c>
      <c r="O1896" s="1">
        <v>0</v>
      </c>
      <c r="P1896" s="365">
        <v>0</v>
      </c>
      <c r="Q1896" s="1">
        <v>0</v>
      </c>
      <c r="R1896" s="1">
        <v>0</v>
      </c>
      <c r="S1896" s="1">
        <v>0</v>
      </c>
      <c r="T1896" s="1">
        <v>0</v>
      </c>
    </row>
    <row r="1897" spans="1:20">
      <c r="A1897" s="1">
        <v>3800</v>
      </c>
      <c r="B1897" s="42">
        <v>38.548999999999999</v>
      </c>
      <c r="C1897" s="42">
        <v>38.536000000000001</v>
      </c>
      <c r="D1897" s="42">
        <v>38.53</v>
      </c>
      <c r="E1897" s="42">
        <v>38.524000000000001</v>
      </c>
      <c r="F1897" s="42">
        <v>38.518000000000001</v>
      </c>
      <c r="G1897" s="42">
        <v>38.512</v>
      </c>
      <c r="H1897" s="42">
        <v>38.5</v>
      </c>
      <c r="I1897" s="42">
        <v>38.488</v>
      </c>
      <c r="J1897" s="21">
        <v>7457</v>
      </c>
      <c r="K1897" s="1">
        <v>3800</v>
      </c>
      <c r="L1897" s="1">
        <v>0</v>
      </c>
      <c r="M1897" s="1">
        <v>0</v>
      </c>
      <c r="N1897" s="1">
        <v>0</v>
      </c>
      <c r="O1897" s="1">
        <v>0</v>
      </c>
      <c r="P1897" s="365">
        <v>0</v>
      </c>
      <c r="Q1897" s="1">
        <v>0</v>
      </c>
      <c r="R1897" s="1">
        <v>0</v>
      </c>
      <c r="S1897" s="1">
        <v>0</v>
      </c>
      <c r="T1897" s="1">
        <v>0</v>
      </c>
    </row>
    <row r="1898" spans="1:20">
      <c r="A1898" s="1">
        <v>3850</v>
      </c>
      <c r="B1898" s="42">
        <v>38.271000000000001</v>
      </c>
      <c r="C1898" s="42">
        <v>38.259</v>
      </c>
      <c r="D1898" s="42">
        <v>38.253</v>
      </c>
      <c r="E1898" s="42">
        <v>38.247</v>
      </c>
      <c r="F1898" s="42">
        <v>38.241</v>
      </c>
      <c r="G1898" s="42">
        <v>38.234999999999999</v>
      </c>
      <c r="H1898" s="42">
        <v>38.222999999999999</v>
      </c>
      <c r="I1898" s="42">
        <v>38.210999999999999</v>
      </c>
      <c r="J1898" s="21">
        <v>7407</v>
      </c>
      <c r="K1898" s="1">
        <v>3850</v>
      </c>
      <c r="L1898" s="1">
        <v>0</v>
      </c>
      <c r="M1898" s="1">
        <v>0</v>
      </c>
      <c r="N1898" s="1">
        <v>0</v>
      </c>
      <c r="O1898" s="1">
        <v>0</v>
      </c>
      <c r="P1898" s="365">
        <v>0</v>
      </c>
      <c r="Q1898" s="1">
        <v>0</v>
      </c>
      <c r="R1898" s="1">
        <v>0</v>
      </c>
      <c r="S1898" s="1">
        <v>0</v>
      </c>
      <c r="T1898" s="1">
        <v>0</v>
      </c>
    </row>
    <row r="1899" spans="1:20">
      <c r="A1899" s="1">
        <v>3900</v>
      </c>
      <c r="B1899" s="42">
        <v>37.993000000000002</v>
      </c>
      <c r="C1899" s="42">
        <v>37.981000000000002</v>
      </c>
      <c r="D1899" s="42">
        <v>37.795000000000002</v>
      </c>
      <c r="E1899" s="42">
        <v>37.969000000000001</v>
      </c>
      <c r="F1899" s="42">
        <v>37.963000000000001</v>
      </c>
      <c r="G1899" s="42">
        <v>37.957000000000001</v>
      </c>
      <c r="H1899" s="42">
        <v>37.945</v>
      </c>
      <c r="I1899" s="42">
        <v>37.933</v>
      </c>
      <c r="J1899" s="21">
        <v>7357</v>
      </c>
      <c r="K1899" s="1">
        <v>3900</v>
      </c>
      <c r="L1899" s="1">
        <v>0</v>
      </c>
      <c r="M1899" s="1">
        <v>0</v>
      </c>
      <c r="N1899" s="1">
        <v>0</v>
      </c>
      <c r="O1899" s="1">
        <v>0</v>
      </c>
      <c r="P1899" s="365">
        <v>0</v>
      </c>
      <c r="Q1899" s="1">
        <v>0</v>
      </c>
      <c r="R1899" s="1">
        <v>0</v>
      </c>
      <c r="S1899" s="1">
        <v>0</v>
      </c>
      <c r="T1899" s="1">
        <v>0</v>
      </c>
    </row>
    <row r="1900" spans="1:20">
      <c r="A1900" s="1">
        <v>3950</v>
      </c>
      <c r="B1900" s="42">
        <v>37.716000000000001</v>
      </c>
      <c r="C1900" s="42">
        <v>37.704000000000001</v>
      </c>
      <c r="D1900" s="42">
        <v>37.698</v>
      </c>
      <c r="E1900" s="42">
        <v>37.692</v>
      </c>
      <c r="F1900" s="42">
        <v>37.686</v>
      </c>
      <c r="G1900" s="42">
        <v>37.68</v>
      </c>
      <c r="H1900" s="42">
        <v>37.667000000000002</v>
      </c>
      <c r="I1900" s="42">
        <v>37.655000000000001</v>
      </c>
      <c r="J1900" s="21">
        <v>7307</v>
      </c>
      <c r="K1900" s="1">
        <v>3950</v>
      </c>
      <c r="L1900" s="1">
        <v>0</v>
      </c>
      <c r="M1900" s="1">
        <v>0</v>
      </c>
      <c r="N1900" s="1">
        <v>0</v>
      </c>
      <c r="O1900" s="1">
        <v>0</v>
      </c>
      <c r="P1900" s="365">
        <v>0</v>
      </c>
      <c r="Q1900" s="1">
        <v>0</v>
      </c>
      <c r="R1900" s="1">
        <v>0</v>
      </c>
      <c r="S1900" s="1">
        <v>0</v>
      </c>
      <c r="T1900" s="1">
        <v>0</v>
      </c>
    </row>
    <row r="1901" spans="1:20">
      <c r="A1901" s="1">
        <v>4000</v>
      </c>
      <c r="B1901" s="42">
        <v>37.438000000000002</v>
      </c>
      <c r="C1901" s="42">
        <v>37.426000000000002</v>
      </c>
      <c r="D1901" s="42">
        <v>37.42</v>
      </c>
      <c r="E1901" s="42">
        <v>37.414000000000001</v>
      </c>
      <c r="F1901" s="42">
        <v>37.408000000000001</v>
      </c>
      <c r="G1901" s="42">
        <v>37.402000000000001</v>
      </c>
      <c r="H1901" s="42">
        <v>37.39</v>
      </c>
      <c r="I1901" s="42">
        <v>37.378</v>
      </c>
      <c r="J1901" s="21">
        <v>7257</v>
      </c>
      <c r="K1901" s="1">
        <v>4000</v>
      </c>
      <c r="L1901" s="1">
        <v>0</v>
      </c>
      <c r="M1901" s="1">
        <v>0</v>
      </c>
      <c r="N1901" s="1">
        <v>0</v>
      </c>
      <c r="O1901" s="1">
        <v>0</v>
      </c>
      <c r="P1901" s="365">
        <v>0</v>
      </c>
      <c r="Q1901" s="1">
        <v>0</v>
      </c>
      <c r="R1901" s="1">
        <v>0</v>
      </c>
      <c r="S1901" s="1">
        <v>0</v>
      </c>
      <c r="T1901" s="1">
        <v>0</v>
      </c>
    </row>
    <row r="1902" spans="1:20">
      <c r="A1902" s="1">
        <v>4050</v>
      </c>
      <c r="B1902" s="42">
        <v>37.161000000000001</v>
      </c>
      <c r="C1902" s="42">
        <v>37.149000000000001</v>
      </c>
      <c r="D1902" s="42">
        <v>37.143000000000001</v>
      </c>
      <c r="E1902" s="42">
        <v>37.137</v>
      </c>
      <c r="F1902" s="42">
        <v>37.130000000000003</v>
      </c>
      <c r="G1902" s="42">
        <v>37.124000000000002</v>
      </c>
      <c r="H1902" s="42">
        <v>37.112000000000002</v>
      </c>
      <c r="I1902" s="42">
        <v>37.1</v>
      </c>
      <c r="J1902" s="21">
        <v>7207</v>
      </c>
      <c r="K1902" s="1">
        <v>4050</v>
      </c>
      <c r="L1902" s="1">
        <v>0</v>
      </c>
      <c r="M1902" s="1">
        <v>0</v>
      </c>
      <c r="N1902" s="1">
        <v>0</v>
      </c>
      <c r="O1902" s="1">
        <v>0</v>
      </c>
      <c r="P1902" s="365">
        <v>0</v>
      </c>
      <c r="Q1902" s="1">
        <v>0</v>
      </c>
      <c r="R1902" s="1">
        <v>0</v>
      </c>
      <c r="S1902" s="1">
        <v>0</v>
      </c>
      <c r="T1902" s="1">
        <v>0</v>
      </c>
    </row>
    <row r="1903" spans="1:20">
      <c r="A1903" s="1">
        <v>4100</v>
      </c>
      <c r="B1903" s="42">
        <v>36.883000000000003</v>
      </c>
      <c r="C1903" s="42">
        <v>36.871000000000002</v>
      </c>
      <c r="D1903" s="42">
        <v>36.865000000000002</v>
      </c>
      <c r="E1903" s="42">
        <v>36.859000000000002</v>
      </c>
      <c r="F1903" s="42">
        <v>36.853000000000002</v>
      </c>
      <c r="G1903" s="42">
        <v>36.847000000000001</v>
      </c>
      <c r="H1903" s="42">
        <v>36.835000000000001</v>
      </c>
      <c r="I1903" s="42">
        <v>36.823</v>
      </c>
      <c r="J1903" s="21">
        <v>7157</v>
      </c>
      <c r="K1903" s="1">
        <v>4100</v>
      </c>
      <c r="L1903" s="1">
        <v>0</v>
      </c>
      <c r="M1903" s="1">
        <v>0</v>
      </c>
      <c r="N1903" s="1">
        <v>0</v>
      </c>
      <c r="O1903" s="1">
        <v>0</v>
      </c>
      <c r="P1903" s="365">
        <v>0</v>
      </c>
      <c r="Q1903" s="1">
        <v>0</v>
      </c>
      <c r="R1903" s="1">
        <v>0</v>
      </c>
      <c r="S1903" s="1">
        <v>0</v>
      </c>
      <c r="T1903" s="1">
        <v>0</v>
      </c>
    </row>
    <row r="1904" spans="1:20">
      <c r="A1904" s="1">
        <v>4150</v>
      </c>
      <c r="B1904" s="42">
        <v>36.603000000000002</v>
      </c>
      <c r="C1904" s="42">
        <v>36.591000000000001</v>
      </c>
      <c r="D1904" s="42">
        <v>36.585000000000001</v>
      </c>
      <c r="E1904" s="42">
        <v>36.579000000000001</v>
      </c>
      <c r="F1904" s="42">
        <v>36.573</v>
      </c>
      <c r="G1904" s="42">
        <v>36.567</v>
      </c>
      <c r="H1904" s="42">
        <v>36.554000000000002</v>
      </c>
      <c r="I1904" s="42">
        <v>36.542000000000002</v>
      </c>
      <c r="J1904" s="21">
        <v>7107</v>
      </c>
      <c r="K1904" s="1">
        <v>4150</v>
      </c>
      <c r="L1904" s="1">
        <v>0</v>
      </c>
      <c r="M1904" s="1">
        <v>0</v>
      </c>
      <c r="N1904" s="1">
        <v>0</v>
      </c>
      <c r="O1904" s="1">
        <v>0</v>
      </c>
      <c r="P1904" s="365">
        <v>0</v>
      </c>
      <c r="Q1904" s="1">
        <v>0</v>
      </c>
      <c r="R1904" s="1">
        <v>0</v>
      </c>
      <c r="S1904" s="1">
        <v>0</v>
      </c>
      <c r="T1904" s="1">
        <v>0</v>
      </c>
    </row>
    <row r="1905" spans="1:20">
      <c r="A1905" s="1">
        <v>4200</v>
      </c>
      <c r="B1905" s="42">
        <v>36.320999999999998</v>
      </c>
      <c r="C1905" s="42">
        <v>36.308999999999997</v>
      </c>
      <c r="D1905" s="42">
        <v>36.302999999999997</v>
      </c>
      <c r="E1905" s="42">
        <v>36.296999999999997</v>
      </c>
      <c r="F1905" s="42">
        <v>36.290999999999997</v>
      </c>
      <c r="G1905" s="42">
        <v>36.284999999999997</v>
      </c>
      <c r="H1905" s="42">
        <v>36.273000000000003</v>
      </c>
      <c r="I1905" s="42">
        <v>36.261000000000003</v>
      </c>
      <c r="J1905" s="21">
        <v>7057</v>
      </c>
      <c r="K1905" s="1">
        <v>4200</v>
      </c>
      <c r="L1905" s="1">
        <v>0</v>
      </c>
      <c r="M1905" s="1">
        <v>0</v>
      </c>
      <c r="N1905" s="1">
        <v>0</v>
      </c>
      <c r="O1905" s="1">
        <v>0</v>
      </c>
      <c r="P1905" s="365">
        <v>0</v>
      </c>
      <c r="Q1905" s="1">
        <v>0</v>
      </c>
      <c r="R1905" s="1">
        <v>0</v>
      </c>
      <c r="S1905" s="1">
        <v>0</v>
      </c>
      <c r="T1905" s="1">
        <v>0</v>
      </c>
    </row>
    <row r="1906" spans="1:20">
      <c r="A1906" s="1">
        <v>4250</v>
      </c>
      <c r="B1906" s="42">
        <v>36.04</v>
      </c>
      <c r="C1906" s="42">
        <v>36.027999999999999</v>
      </c>
      <c r="D1906" s="42">
        <v>36.021999999999998</v>
      </c>
      <c r="E1906" s="42">
        <v>36.015999999999998</v>
      </c>
      <c r="F1906" s="42">
        <v>36.01</v>
      </c>
      <c r="G1906" s="42">
        <v>36.003999999999998</v>
      </c>
      <c r="H1906" s="42">
        <v>35.991999999999997</v>
      </c>
      <c r="I1906" s="42">
        <v>35.979999999999997</v>
      </c>
      <c r="J1906" s="21">
        <v>7007</v>
      </c>
      <c r="K1906" s="1">
        <v>4250</v>
      </c>
      <c r="L1906" s="1">
        <v>0</v>
      </c>
      <c r="M1906" s="1">
        <v>0</v>
      </c>
      <c r="N1906" s="1">
        <v>0</v>
      </c>
      <c r="O1906" s="1">
        <v>0</v>
      </c>
      <c r="P1906" s="365">
        <v>0</v>
      </c>
      <c r="Q1906" s="1">
        <v>0</v>
      </c>
      <c r="R1906" s="1">
        <v>0</v>
      </c>
      <c r="S1906" s="1">
        <v>0</v>
      </c>
      <c r="T1906" s="1">
        <v>0</v>
      </c>
    </row>
    <row r="1907" spans="1:20">
      <c r="A1907" s="1">
        <v>4300</v>
      </c>
      <c r="B1907" s="42">
        <v>35.759</v>
      </c>
      <c r="C1907" s="42">
        <v>35.747</v>
      </c>
      <c r="D1907" s="42">
        <v>35.741</v>
      </c>
      <c r="E1907" s="42">
        <v>35.734999999999999</v>
      </c>
      <c r="F1907" s="42">
        <v>35.728000000000002</v>
      </c>
      <c r="G1907" s="42">
        <v>35.722000000000001</v>
      </c>
      <c r="H1907" s="42">
        <v>35.71</v>
      </c>
      <c r="I1907" s="42">
        <v>35.698</v>
      </c>
      <c r="J1907" s="21">
        <v>6957</v>
      </c>
      <c r="K1907" s="1">
        <v>4300</v>
      </c>
      <c r="L1907" s="1">
        <v>0</v>
      </c>
      <c r="M1907" s="1">
        <v>0</v>
      </c>
      <c r="N1907" s="1">
        <v>0</v>
      </c>
      <c r="O1907" s="1">
        <v>0</v>
      </c>
      <c r="P1907" s="365">
        <v>0</v>
      </c>
      <c r="Q1907" s="1">
        <v>0</v>
      </c>
      <c r="R1907" s="1">
        <v>0</v>
      </c>
      <c r="S1907" s="1">
        <v>0</v>
      </c>
      <c r="T1907" s="1">
        <v>0</v>
      </c>
    </row>
    <row r="1908" spans="1:20">
      <c r="A1908" s="1">
        <v>4350</v>
      </c>
      <c r="B1908" s="42">
        <v>35.476999999999997</v>
      </c>
      <c r="C1908" s="42">
        <v>35.465000000000003</v>
      </c>
      <c r="D1908" s="42">
        <v>35.459000000000003</v>
      </c>
      <c r="E1908" s="42">
        <v>35.453000000000003</v>
      </c>
      <c r="F1908" s="42">
        <v>35.447000000000003</v>
      </c>
      <c r="G1908" s="42">
        <v>35.441000000000003</v>
      </c>
      <c r="H1908" s="42">
        <v>35.429000000000002</v>
      </c>
      <c r="I1908" s="42">
        <v>35.417000000000002</v>
      </c>
      <c r="J1908" s="21">
        <v>6907</v>
      </c>
      <c r="K1908" s="1">
        <v>4350</v>
      </c>
      <c r="L1908" s="1">
        <v>0</v>
      </c>
      <c r="M1908" s="1">
        <v>0</v>
      </c>
      <c r="N1908" s="1">
        <v>0</v>
      </c>
      <c r="O1908" s="1">
        <v>0</v>
      </c>
      <c r="P1908" s="365">
        <v>0</v>
      </c>
      <c r="Q1908" s="1">
        <v>0</v>
      </c>
      <c r="R1908" s="1">
        <v>0</v>
      </c>
      <c r="S1908" s="1">
        <v>0</v>
      </c>
      <c r="T1908" s="1">
        <v>0</v>
      </c>
    </row>
    <row r="1909" spans="1:20">
      <c r="A1909" s="1">
        <v>4400</v>
      </c>
      <c r="B1909" s="42">
        <v>35.195999999999998</v>
      </c>
      <c r="C1909" s="42">
        <v>35.183999999999997</v>
      </c>
      <c r="D1909" s="42">
        <v>35.177999999999997</v>
      </c>
      <c r="E1909" s="42">
        <v>35.171999999999997</v>
      </c>
      <c r="F1909" s="42">
        <v>35.165999999999997</v>
      </c>
      <c r="G1909" s="42">
        <v>35.159999999999997</v>
      </c>
      <c r="H1909" s="42">
        <v>35.148000000000003</v>
      </c>
      <c r="I1909" s="42">
        <v>35.134999999999998</v>
      </c>
      <c r="J1909" s="21">
        <v>6857</v>
      </c>
      <c r="K1909" s="1">
        <v>4400</v>
      </c>
      <c r="L1909" s="1">
        <v>0</v>
      </c>
      <c r="M1909" s="1">
        <v>0</v>
      </c>
      <c r="N1909" s="1">
        <v>0</v>
      </c>
      <c r="O1909" s="1">
        <v>0</v>
      </c>
      <c r="P1909" s="365">
        <v>0</v>
      </c>
      <c r="Q1909" s="1">
        <v>0</v>
      </c>
      <c r="R1909" s="1">
        <v>0</v>
      </c>
      <c r="S1909" s="1">
        <v>0</v>
      </c>
      <c r="T1909" s="1">
        <v>0</v>
      </c>
    </row>
    <row r="1910" spans="1:20">
      <c r="A1910" s="1">
        <v>4450</v>
      </c>
      <c r="B1910" s="42">
        <v>34.914999999999999</v>
      </c>
      <c r="C1910" s="42">
        <v>34.902000000000001</v>
      </c>
      <c r="D1910" s="42">
        <v>34.896000000000001</v>
      </c>
      <c r="E1910" s="42">
        <v>34.89</v>
      </c>
      <c r="F1910" s="42">
        <v>34.884</v>
      </c>
      <c r="G1910" s="42">
        <v>34.878</v>
      </c>
      <c r="H1910" s="42">
        <v>34.866</v>
      </c>
      <c r="I1910" s="42">
        <v>34.853999999999999</v>
      </c>
      <c r="J1910" s="21">
        <v>6807</v>
      </c>
      <c r="K1910" s="1">
        <v>4450</v>
      </c>
      <c r="L1910" s="1">
        <v>0</v>
      </c>
      <c r="M1910" s="1">
        <v>0</v>
      </c>
      <c r="N1910" s="1">
        <v>0</v>
      </c>
      <c r="O1910" s="1">
        <v>0</v>
      </c>
      <c r="P1910" s="365">
        <v>0</v>
      </c>
      <c r="Q1910" s="1">
        <v>0</v>
      </c>
      <c r="R1910" s="1">
        <v>0</v>
      </c>
      <c r="S1910" s="1">
        <v>0</v>
      </c>
      <c r="T1910" s="1">
        <v>0</v>
      </c>
    </row>
    <row r="1911" spans="1:20">
      <c r="A1911" s="1">
        <v>4500</v>
      </c>
      <c r="B1911" s="42">
        <v>34.633000000000003</v>
      </c>
      <c r="C1911" s="42">
        <v>34.621000000000002</v>
      </c>
      <c r="D1911" s="42">
        <v>34.615000000000002</v>
      </c>
      <c r="E1911" s="42">
        <v>34.609000000000002</v>
      </c>
      <c r="F1911" s="42">
        <v>34.603000000000002</v>
      </c>
      <c r="G1911" s="42">
        <v>34.597000000000001</v>
      </c>
      <c r="H1911" s="42">
        <v>34.585000000000001</v>
      </c>
      <c r="I1911" s="42">
        <v>34.573</v>
      </c>
      <c r="J1911" s="21">
        <v>6757</v>
      </c>
      <c r="K1911" s="1">
        <v>4500</v>
      </c>
      <c r="L1911" s="1">
        <v>0</v>
      </c>
      <c r="M1911" s="1">
        <v>0</v>
      </c>
      <c r="N1911" s="1">
        <v>0</v>
      </c>
      <c r="O1911" s="1">
        <v>0</v>
      </c>
      <c r="P1911" s="365">
        <v>0</v>
      </c>
      <c r="Q1911" s="1">
        <v>0</v>
      </c>
      <c r="R1911" s="1">
        <v>0</v>
      </c>
      <c r="S1911" s="1">
        <v>0</v>
      </c>
      <c r="T1911" s="1">
        <v>0</v>
      </c>
    </row>
    <row r="1912" spans="1:20">
      <c r="A1912" s="1">
        <v>4550</v>
      </c>
      <c r="B1912" s="42">
        <v>34.351999999999997</v>
      </c>
      <c r="C1912" s="42">
        <v>34.340000000000003</v>
      </c>
      <c r="D1912" s="42">
        <v>34.334000000000003</v>
      </c>
      <c r="E1912" s="42">
        <v>34.328000000000003</v>
      </c>
      <c r="F1912" s="42">
        <v>34.322000000000003</v>
      </c>
      <c r="G1912" s="42">
        <v>34.314999999999998</v>
      </c>
      <c r="H1912" s="42">
        <v>34.302999999999997</v>
      </c>
      <c r="I1912" s="42">
        <v>34.290999999999997</v>
      </c>
      <c r="J1912" s="21">
        <v>6707</v>
      </c>
      <c r="K1912" s="1">
        <v>4550</v>
      </c>
      <c r="L1912" s="1">
        <v>0</v>
      </c>
      <c r="M1912" s="1">
        <v>0</v>
      </c>
      <c r="N1912" s="1">
        <v>0</v>
      </c>
      <c r="O1912" s="1">
        <v>0</v>
      </c>
      <c r="P1912" s="365">
        <v>0</v>
      </c>
      <c r="Q1912" s="1">
        <v>0</v>
      </c>
      <c r="R1912" s="1">
        <v>0</v>
      </c>
      <c r="S1912" s="1">
        <v>0</v>
      </c>
      <c r="T1912" s="1">
        <v>0</v>
      </c>
    </row>
    <row r="1913" spans="1:20">
      <c r="A1913" s="1">
        <v>4600</v>
      </c>
      <c r="B1913" s="42">
        <v>34.07</v>
      </c>
      <c r="C1913" s="42">
        <v>34.058</v>
      </c>
      <c r="D1913" s="42">
        <v>34.052</v>
      </c>
      <c r="E1913" s="42">
        <v>34.045999999999999</v>
      </c>
      <c r="F1913" s="42">
        <v>34.04</v>
      </c>
      <c r="G1913" s="42">
        <v>34.033999999999999</v>
      </c>
      <c r="H1913" s="42">
        <v>34.021999999999998</v>
      </c>
      <c r="I1913" s="42">
        <v>34.01</v>
      </c>
      <c r="J1913" s="21">
        <v>6657</v>
      </c>
      <c r="K1913" s="1">
        <v>4600</v>
      </c>
      <c r="L1913" s="1">
        <v>0</v>
      </c>
      <c r="M1913" s="1">
        <v>0</v>
      </c>
      <c r="N1913" s="1">
        <v>0</v>
      </c>
      <c r="O1913" s="1">
        <v>0</v>
      </c>
      <c r="P1913" s="365">
        <v>0</v>
      </c>
      <c r="Q1913" s="1">
        <v>0</v>
      </c>
      <c r="R1913" s="1">
        <v>0</v>
      </c>
      <c r="S1913" s="1">
        <v>0</v>
      </c>
      <c r="T1913" s="1">
        <v>0</v>
      </c>
    </row>
    <row r="1914" spans="1:20">
      <c r="A1914" s="1">
        <v>4650</v>
      </c>
      <c r="B1914" s="42">
        <v>33.789000000000001</v>
      </c>
      <c r="C1914" s="42">
        <v>33.777000000000001</v>
      </c>
      <c r="D1914" s="42">
        <v>33.771000000000001</v>
      </c>
      <c r="E1914" s="42">
        <v>33.765000000000001</v>
      </c>
      <c r="F1914" s="42">
        <v>33.759</v>
      </c>
      <c r="G1914" s="42">
        <v>33.753</v>
      </c>
      <c r="H1914" s="42">
        <v>33.741</v>
      </c>
      <c r="I1914" s="42">
        <v>33.728999999999999</v>
      </c>
      <c r="J1914" s="21">
        <v>6607</v>
      </c>
      <c r="K1914" s="1">
        <v>4650</v>
      </c>
      <c r="L1914" s="1">
        <v>0</v>
      </c>
      <c r="M1914" s="1">
        <v>0</v>
      </c>
      <c r="N1914" s="1">
        <v>0</v>
      </c>
      <c r="O1914" s="1">
        <v>0</v>
      </c>
      <c r="P1914" s="365">
        <v>0</v>
      </c>
      <c r="Q1914" s="1">
        <v>0</v>
      </c>
      <c r="R1914" s="1">
        <v>0</v>
      </c>
      <c r="S1914" s="1">
        <v>0</v>
      </c>
      <c r="T1914" s="1">
        <v>0</v>
      </c>
    </row>
    <row r="1915" spans="1:20">
      <c r="A1915" s="1">
        <v>4700</v>
      </c>
      <c r="B1915" s="42">
        <v>33.508000000000003</v>
      </c>
      <c r="C1915" s="42">
        <v>33.496000000000002</v>
      </c>
      <c r="D1915" s="42">
        <v>33.488999999999997</v>
      </c>
      <c r="E1915" s="42">
        <v>33.482999999999997</v>
      </c>
      <c r="F1915" s="42">
        <v>33.476999999999997</v>
      </c>
      <c r="G1915" s="42">
        <v>33.470999999999997</v>
      </c>
      <c r="H1915" s="42">
        <v>33.459000000000003</v>
      </c>
      <c r="I1915" s="42">
        <v>33.447000000000003</v>
      </c>
      <c r="J1915" s="21">
        <v>6557</v>
      </c>
      <c r="K1915" s="1">
        <v>4700</v>
      </c>
      <c r="L1915" s="1">
        <v>0</v>
      </c>
      <c r="M1915" s="1">
        <v>0</v>
      </c>
      <c r="N1915" s="1">
        <v>0</v>
      </c>
      <c r="O1915" s="1">
        <v>0</v>
      </c>
      <c r="P1915" s="365">
        <v>0</v>
      </c>
      <c r="Q1915" s="1">
        <v>0</v>
      </c>
      <c r="R1915" s="1">
        <v>0</v>
      </c>
      <c r="S1915" s="1">
        <v>0</v>
      </c>
      <c r="T1915" s="1">
        <v>0</v>
      </c>
    </row>
    <row r="1916" spans="1:20">
      <c r="A1916" s="1">
        <v>4750</v>
      </c>
      <c r="B1916" s="42">
        <v>33.225999999999999</v>
      </c>
      <c r="C1916" s="42">
        <v>33.213999999999999</v>
      </c>
      <c r="D1916" s="42">
        <v>33.207999999999998</v>
      </c>
      <c r="E1916" s="42">
        <v>33.201999999999998</v>
      </c>
      <c r="F1916" s="42">
        <v>33.195999999999998</v>
      </c>
      <c r="G1916" s="42">
        <v>33.19</v>
      </c>
      <c r="H1916" s="42">
        <v>33.177999999999997</v>
      </c>
      <c r="I1916" s="42">
        <v>33.165999999999997</v>
      </c>
      <c r="J1916" s="21">
        <v>6507</v>
      </c>
      <c r="K1916" s="1">
        <v>4750</v>
      </c>
      <c r="L1916" s="1">
        <v>0</v>
      </c>
      <c r="M1916" s="1">
        <v>0</v>
      </c>
      <c r="N1916" s="1">
        <v>0</v>
      </c>
      <c r="O1916" s="1">
        <v>0</v>
      </c>
      <c r="P1916" s="365">
        <v>0</v>
      </c>
      <c r="Q1916" s="1">
        <v>0</v>
      </c>
      <c r="R1916" s="1">
        <v>0</v>
      </c>
      <c r="S1916" s="1">
        <v>0</v>
      </c>
      <c r="T1916" s="1">
        <v>0</v>
      </c>
    </row>
    <row r="1917" spans="1:20">
      <c r="A1917" s="1">
        <v>4800</v>
      </c>
      <c r="B1917" s="42">
        <v>32.945</v>
      </c>
      <c r="C1917" s="42">
        <v>32.933</v>
      </c>
      <c r="D1917" s="42">
        <v>32.927</v>
      </c>
      <c r="E1917" s="42">
        <v>32.920999999999999</v>
      </c>
      <c r="F1917" s="42">
        <v>32.914999999999999</v>
      </c>
      <c r="G1917" s="42">
        <v>32.908999999999999</v>
      </c>
      <c r="H1917" s="42">
        <v>32.896000000000001</v>
      </c>
      <c r="I1917" s="42">
        <v>32.884</v>
      </c>
      <c r="J1917" s="21">
        <v>6457</v>
      </c>
      <c r="K1917" s="1">
        <v>4800</v>
      </c>
      <c r="L1917" s="1">
        <v>0</v>
      </c>
      <c r="M1917" s="1">
        <v>0</v>
      </c>
      <c r="N1917" s="1">
        <v>0</v>
      </c>
      <c r="O1917" s="1">
        <v>0</v>
      </c>
      <c r="P1917" s="365">
        <v>0</v>
      </c>
      <c r="Q1917" s="1">
        <v>0</v>
      </c>
      <c r="R1917" s="1">
        <v>0</v>
      </c>
      <c r="S1917" s="1">
        <v>0</v>
      </c>
      <c r="T1917" s="1">
        <v>0</v>
      </c>
    </row>
    <row r="1918" spans="1:20">
      <c r="A1918" s="1">
        <v>4850</v>
      </c>
      <c r="B1918" s="42">
        <v>32.664000000000001</v>
      </c>
      <c r="C1918" s="42">
        <v>32.651000000000003</v>
      </c>
      <c r="D1918" s="42">
        <v>32.645000000000003</v>
      </c>
      <c r="E1918" s="42">
        <v>32.639000000000003</v>
      </c>
      <c r="F1918" s="42">
        <v>32.633000000000003</v>
      </c>
      <c r="G1918" s="42">
        <v>32.627000000000002</v>
      </c>
      <c r="H1918" s="42">
        <v>32.615000000000002</v>
      </c>
      <c r="I1918" s="42">
        <v>32.603000000000002</v>
      </c>
      <c r="J1918" s="21">
        <v>6407</v>
      </c>
      <c r="K1918" s="1">
        <v>4850</v>
      </c>
      <c r="L1918" s="1">
        <v>0</v>
      </c>
      <c r="M1918" s="1">
        <v>0</v>
      </c>
      <c r="N1918" s="1">
        <v>0</v>
      </c>
      <c r="O1918" s="1">
        <v>0</v>
      </c>
      <c r="P1918" s="365">
        <v>0</v>
      </c>
      <c r="Q1918" s="1">
        <v>0</v>
      </c>
      <c r="R1918" s="1">
        <v>0</v>
      </c>
      <c r="S1918" s="1">
        <v>0</v>
      </c>
      <c r="T1918" s="1">
        <v>0</v>
      </c>
    </row>
    <row r="1919" spans="1:20">
      <c r="A1919" s="1">
        <v>4900</v>
      </c>
      <c r="B1919" s="42">
        <v>32.381999999999998</v>
      </c>
      <c r="C1919" s="42">
        <v>32.369999999999997</v>
      </c>
      <c r="D1919" s="42">
        <v>32.363999999999997</v>
      </c>
      <c r="E1919" s="42">
        <v>32.357999999999997</v>
      </c>
      <c r="F1919" s="42">
        <v>32.351999999999997</v>
      </c>
      <c r="G1919" s="42">
        <v>32.345999999999997</v>
      </c>
      <c r="H1919" s="42">
        <v>32.334000000000003</v>
      </c>
      <c r="I1919" s="42">
        <v>32.322000000000003</v>
      </c>
      <c r="J1919" s="21">
        <v>6357</v>
      </c>
      <c r="K1919" s="1">
        <v>4900</v>
      </c>
      <c r="L1919" s="1">
        <v>0</v>
      </c>
      <c r="M1919" s="1">
        <v>0</v>
      </c>
      <c r="N1919" s="1">
        <v>0</v>
      </c>
      <c r="O1919" s="1">
        <v>0</v>
      </c>
      <c r="P1919" s="365">
        <v>0</v>
      </c>
      <c r="Q1919" s="1">
        <v>0</v>
      </c>
      <c r="R1919" s="1">
        <v>0</v>
      </c>
      <c r="S1919" s="1">
        <v>0</v>
      </c>
      <c r="T1919" s="1">
        <v>0</v>
      </c>
    </row>
    <row r="1920" spans="1:20">
      <c r="A1920" s="1">
        <v>4950</v>
      </c>
      <c r="B1920" s="42">
        <v>32.100999999999999</v>
      </c>
      <c r="C1920" s="42">
        <v>32.088999999999999</v>
      </c>
      <c r="D1920" s="42">
        <v>32.082999999999998</v>
      </c>
      <c r="E1920" s="42">
        <v>32.076999999999998</v>
      </c>
      <c r="F1920" s="42">
        <v>32.07</v>
      </c>
      <c r="G1920" s="42">
        <v>32.064</v>
      </c>
      <c r="H1920" s="42">
        <v>32.052</v>
      </c>
      <c r="I1920" s="42">
        <v>32.04</v>
      </c>
      <c r="J1920" s="21">
        <v>6307</v>
      </c>
      <c r="K1920" s="1">
        <v>4950</v>
      </c>
      <c r="L1920" s="1">
        <v>0</v>
      </c>
      <c r="M1920" s="1">
        <v>0</v>
      </c>
      <c r="N1920" s="1">
        <v>0</v>
      </c>
      <c r="O1920" s="1">
        <v>0</v>
      </c>
      <c r="P1920" s="365">
        <v>0</v>
      </c>
      <c r="Q1920" s="1">
        <v>0</v>
      </c>
      <c r="R1920" s="1">
        <v>0</v>
      </c>
      <c r="S1920" s="1">
        <v>0</v>
      </c>
      <c r="T1920" s="1">
        <v>0</v>
      </c>
    </row>
    <row r="1921" spans="1:20">
      <c r="A1921" s="1">
        <v>5000</v>
      </c>
      <c r="B1921" s="42">
        <v>31.818999999999999</v>
      </c>
      <c r="C1921" s="42">
        <v>31.806999999999999</v>
      </c>
      <c r="D1921" s="42">
        <v>31.800999999999998</v>
      </c>
      <c r="E1921" s="42">
        <v>31.795000000000002</v>
      </c>
      <c r="F1921" s="42">
        <v>31.789000000000001</v>
      </c>
      <c r="G1921" s="42">
        <v>31.783000000000001</v>
      </c>
      <c r="H1921" s="42">
        <v>31.771000000000001</v>
      </c>
      <c r="I1921" s="42">
        <v>31.759</v>
      </c>
      <c r="J1921" s="21">
        <v>6257</v>
      </c>
      <c r="K1921" s="1">
        <v>5000</v>
      </c>
      <c r="L1921" s="1">
        <v>0</v>
      </c>
      <c r="M1921" s="1">
        <v>0</v>
      </c>
      <c r="N1921" s="1">
        <v>0</v>
      </c>
      <c r="O1921" s="1">
        <v>0</v>
      </c>
      <c r="P1921" s="365">
        <v>0</v>
      </c>
      <c r="Q1921" s="1">
        <v>0</v>
      </c>
      <c r="R1921" s="1">
        <v>0</v>
      </c>
      <c r="S1921" s="1">
        <v>0</v>
      </c>
      <c r="T1921" s="1">
        <v>0</v>
      </c>
    </row>
    <row r="1922" spans="1:20">
      <c r="A1922" s="1">
        <v>5050</v>
      </c>
      <c r="B1922" s="42">
        <v>31.538</v>
      </c>
      <c r="C1922" s="42">
        <v>31.526</v>
      </c>
      <c r="D1922" s="42">
        <v>31.52</v>
      </c>
      <c r="E1922" s="42">
        <v>31.513999999999999</v>
      </c>
      <c r="F1922" s="42">
        <v>31.507999999999999</v>
      </c>
      <c r="G1922" s="42">
        <v>31.501999999999999</v>
      </c>
      <c r="H1922" s="42">
        <v>31.49</v>
      </c>
      <c r="I1922" s="42">
        <v>31.477</v>
      </c>
      <c r="J1922" s="21">
        <v>6207</v>
      </c>
      <c r="K1922" s="1">
        <v>5050</v>
      </c>
      <c r="L1922" s="1">
        <v>0</v>
      </c>
      <c r="M1922" s="1">
        <v>0</v>
      </c>
      <c r="N1922" s="1">
        <v>0</v>
      </c>
      <c r="O1922" s="1">
        <v>0</v>
      </c>
      <c r="P1922" s="365">
        <v>0</v>
      </c>
      <c r="Q1922" s="1">
        <v>0</v>
      </c>
      <c r="R1922" s="1">
        <v>0</v>
      </c>
      <c r="S1922" s="1">
        <v>0</v>
      </c>
      <c r="T1922" s="1">
        <v>0</v>
      </c>
    </row>
    <row r="1923" spans="1:20">
      <c r="A1923" s="1">
        <v>5100</v>
      </c>
      <c r="B1923" s="42">
        <v>31.257000000000001</v>
      </c>
      <c r="C1923" s="42">
        <v>31.244</v>
      </c>
      <c r="D1923" s="42">
        <v>31.238</v>
      </c>
      <c r="E1923" s="42">
        <v>31.231999999999999</v>
      </c>
      <c r="F1923" s="42">
        <v>31.225999999999999</v>
      </c>
      <c r="G1923" s="42">
        <v>31.22</v>
      </c>
      <c r="H1923" s="42">
        <v>31.207999999999998</v>
      </c>
      <c r="I1923" s="42">
        <v>31.196000000000002</v>
      </c>
      <c r="J1923" s="21">
        <v>6157</v>
      </c>
      <c r="K1923" s="1">
        <v>5100</v>
      </c>
      <c r="L1923" s="1">
        <v>0</v>
      </c>
      <c r="M1923" s="1">
        <v>0</v>
      </c>
      <c r="N1923" s="1">
        <v>0</v>
      </c>
      <c r="O1923" s="1">
        <v>0</v>
      </c>
      <c r="P1923" s="365">
        <v>0</v>
      </c>
      <c r="Q1923" s="1">
        <v>0</v>
      </c>
      <c r="R1923" s="1">
        <v>0</v>
      </c>
      <c r="S1923" s="1">
        <v>0</v>
      </c>
      <c r="T1923" s="1">
        <v>0</v>
      </c>
    </row>
    <row r="1924" spans="1:20">
      <c r="A1924" s="1">
        <v>5150</v>
      </c>
      <c r="B1924" s="42">
        <v>30.975000000000001</v>
      </c>
      <c r="C1924" s="42">
        <v>30.963000000000001</v>
      </c>
      <c r="D1924" s="42">
        <v>30.957000000000001</v>
      </c>
      <c r="E1924" s="42">
        <v>30.951000000000001</v>
      </c>
      <c r="F1924" s="42">
        <v>30.945</v>
      </c>
      <c r="G1924" s="42">
        <v>30.939</v>
      </c>
      <c r="H1924" s="42">
        <v>30.927</v>
      </c>
      <c r="I1924" s="42">
        <v>30.914999999999999</v>
      </c>
      <c r="J1924" s="21">
        <v>6107</v>
      </c>
      <c r="K1924" s="1">
        <v>5150</v>
      </c>
      <c r="L1924" s="1">
        <v>0</v>
      </c>
      <c r="M1924" s="1">
        <v>0</v>
      </c>
      <c r="N1924" s="1">
        <v>0</v>
      </c>
      <c r="O1924" s="1">
        <v>0</v>
      </c>
      <c r="P1924" s="365">
        <v>0</v>
      </c>
      <c r="Q1924" s="1">
        <v>0</v>
      </c>
      <c r="R1924" s="1">
        <v>0</v>
      </c>
      <c r="S1924" s="1">
        <v>0</v>
      </c>
      <c r="T1924" s="1">
        <v>0</v>
      </c>
    </row>
    <row r="1925" spans="1:20">
      <c r="A1925" s="1">
        <v>5200</v>
      </c>
      <c r="B1925" s="42">
        <v>30.693999999999999</v>
      </c>
      <c r="C1925" s="42">
        <v>30.681999999999999</v>
      </c>
      <c r="D1925" s="42">
        <v>30.675999999999998</v>
      </c>
      <c r="E1925" s="42">
        <v>30.67</v>
      </c>
      <c r="F1925" s="42">
        <v>30.664000000000001</v>
      </c>
      <c r="G1925" s="42">
        <v>30.658000000000001</v>
      </c>
      <c r="H1925" s="42">
        <v>30.645</v>
      </c>
      <c r="I1925" s="42">
        <v>30.632999999999999</v>
      </c>
      <c r="J1925" s="21">
        <v>6057</v>
      </c>
      <c r="K1925" s="1">
        <v>5200</v>
      </c>
      <c r="L1925" s="1">
        <v>0</v>
      </c>
      <c r="M1925" s="1">
        <v>0</v>
      </c>
      <c r="N1925" s="1">
        <v>0</v>
      </c>
      <c r="O1925" s="1">
        <v>0</v>
      </c>
      <c r="P1925" s="365">
        <v>0</v>
      </c>
      <c r="Q1925" s="1">
        <v>0</v>
      </c>
      <c r="R1925" s="1">
        <v>0</v>
      </c>
      <c r="S1925" s="1">
        <v>0</v>
      </c>
      <c r="T1925" s="1">
        <v>0</v>
      </c>
    </row>
    <row r="1926" spans="1:20">
      <c r="A1926" s="1">
        <v>5250</v>
      </c>
      <c r="B1926" s="42">
        <v>30.411999999999999</v>
      </c>
      <c r="C1926" s="42">
        <v>30.4</v>
      </c>
      <c r="D1926" s="42">
        <v>30.393999999999998</v>
      </c>
      <c r="E1926" s="42">
        <v>30.388000000000002</v>
      </c>
      <c r="F1926" s="42">
        <v>30.382000000000001</v>
      </c>
      <c r="G1926" s="42">
        <v>30.376000000000001</v>
      </c>
      <c r="H1926" s="42">
        <v>30.364000000000001</v>
      </c>
      <c r="I1926" s="42">
        <v>30.352</v>
      </c>
      <c r="J1926" s="21">
        <v>6007</v>
      </c>
      <c r="K1926" s="1">
        <v>5250</v>
      </c>
      <c r="L1926" s="1">
        <v>0</v>
      </c>
      <c r="M1926" s="1">
        <v>0</v>
      </c>
      <c r="N1926" s="1">
        <v>0</v>
      </c>
      <c r="O1926" s="1">
        <v>0</v>
      </c>
      <c r="P1926" s="365">
        <v>0</v>
      </c>
      <c r="Q1926" s="1">
        <v>0</v>
      </c>
      <c r="R1926" s="1">
        <v>0</v>
      </c>
      <c r="S1926" s="1">
        <v>0</v>
      </c>
      <c r="T1926" s="1">
        <v>0</v>
      </c>
    </row>
    <row r="1927" spans="1:20">
      <c r="A1927" s="1">
        <v>5300</v>
      </c>
      <c r="B1927" s="42">
        <v>30.131</v>
      </c>
      <c r="C1927" s="42">
        <v>30.119</v>
      </c>
      <c r="D1927" s="42">
        <v>30.113</v>
      </c>
      <c r="E1927" s="42">
        <v>30.106999999999999</v>
      </c>
      <c r="F1927" s="42">
        <v>30.100999999999999</v>
      </c>
      <c r="G1927" s="42">
        <v>30.094999999999999</v>
      </c>
      <c r="H1927" s="42">
        <v>30.082999999999998</v>
      </c>
      <c r="I1927" s="42">
        <v>30.071000000000002</v>
      </c>
      <c r="J1927" s="21">
        <v>5957</v>
      </c>
      <c r="K1927" s="1">
        <v>5300</v>
      </c>
      <c r="L1927" s="1">
        <v>0</v>
      </c>
      <c r="M1927" s="1">
        <v>0</v>
      </c>
      <c r="N1927" s="1">
        <v>0</v>
      </c>
      <c r="O1927" s="1">
        <v>0</v>
      </c>
      <c r="P1927" s="365">
        <v>0</v>
      </c>
      <c r="Q1927" s="1">
        <v>0</v>
      </c>
      <c r="R1927" s="1">
        <v>0</v>
      </c>
      <c r="S1927" s="1">
        <v>0</v>
      </c>
      <c r="T1927" s="1">
        <v>0</v>
      </c>
    </row>
    <row r="1928" spans="1:20">
      <c r="A1928" s="1">
        <v>5350</v>
      </c>
      <c r="B1928" s="42">
        <v>29.85</v>
      </c>
      <c r="C1928" s="42">
        <v>29.838000000000001</v>
      </c>
      <c r="D1928" s="42">
        <v>29.832000000000001</v>
      </c>
      <c r="E1928" s="42">
        <v>29.824999999999999</v>
      </c>
      <c r="F1928" s="42">
        <v>29.818999999999999</v>
      </c>
      <c r="G1928" s="42">
        <v>29.812999999999999</v>
      </c>
      <c r="H1928" s="42">
        <v>29.800999999999998</v>
      </c>
      <c r="I1928" s="42">
        <v>29.789000000000001</v>
      </c>
      <c r="J1928" s="21">
        <v>5907</v>
      </c>
      <c r="K1928" s="1">
        <v>5350</v>
      </c>
      <c r="L1928" s="1">
        <v>0</v>
      </c>
      <c r="M1928" s="1">
        <v>0</v>
      </c>
      <c r="N1928" s="1">
        <v>0</v>
      </c>
      <c r="O1928" s="1">
        <v>0</v>
      </c>
      <c r="P1928" s="365">
        <v>0</v>
      </c>
      <c r="Q1928" s="1">
        <v>0</v>
      </c>
      <c r="R1928" s="1">
        <v>0</v>
      </c>
      <c r="S1928" s="1">
        <v>0</v>
      </c>
      <c r="T1928" s="1">
        <v>0</v>
      </c>
    </row>
    <row r="1929" spans="1:20">
      <c r="A1929" s="1">
        <v>5400</v>
      </c>
      <c r="B1929" s="42">
        <v>29.568000000000001</v>
      </c>
      <c r="C1929" s="42">
        <v>29.556000000000001</v>
      </c>
      <c r="D1929" s="42">
        <v>29.55</v>
      </c>
      <c r="E1929" s="42">
        <v>29.544</v>
      </c>
      <c r="F1929" s="42">
        <v>29.538</v>
      </c>
      <c r="G1929" s="42">
        <v>29.532</v>
      </c>
      <c r="H1929" s="42">
        <v>29.52</v>
      </c>
      <c r="I1929" s="42">
        <v>29.507999999999999</v>
      </c>
      <c r="J1929" s="21">
        <v>5857</v>
      </c>
      <c r="K1929" s="1">
        <v>5400</v>
      </c>
      <c r="L1929" s="1">
        <v>0</v>
      </c>
      <c r="M1929" s="1">
        <v>0</v>
      </c>
      <c r="N1929" s="1">
        <v>0</v>
      </c>
      <c r="O1929" s="1">
        <v>0</v>
      </c>
      <c r="P1929" s="365">
        <v>0</v>
      </c>
      <c r="Q1929" s="1">
        <v>0</v>
      </c>
      <c r="R1929" s="1">
        <v>0</v>
      </c>
      <c r="S1929" s="1">
        <v>0</v>
      </c>
      <c r="T1929" s="1">
        <v>0</v>
      </c>
    </row>
    <row r="1930" spans="1:20">
      <c r="A1930" s="1">
        <v>5450</v>
      </c>
      <c r="B1930" s="42">
        <v>29.286999999999999</v>
      </c>
      <c r="C1930" s="42">
        <v>29.274999999999999</v>
      </c>
      <c r="D1930" s="42">
        <v>29.268999999999998</v>
      </c>
      <c r="E1930" s="42">
        <v>29.263000000000002</v>
      </c>
      <c r="F1930" s="42">
        <v>29.257000000000001</v>
      </c>
      <c r="G1930" s="42">
        <v>29.251000000000001</v>
      </c>
      <c r="H1930" s="42">
        <v>29.239000000000001</v>
      </c>
      <c r="I1930" s="42">
        <v>29.225999999999999</v>
      </c>
      <c r="J1930" s="21">
        <v>5807</v>
      </c>
      <c r="K1930" s="1">
        <v>5450</v>
      </c>
      <c r="L1930" s="1">
        <v>0</v>
      </c>
      <c r="M1930" s="1">
        <v>0</v>
      </c>
      <c r="N1930" s="1">
        <v>0</v>
      </c>
      <c r="O1930" s="1">
        <v>0</v>
      </c>
      <c r="P1930" s="365">
        <v>0</v>
      </c>
      <c r="Q1930" s="1">
        <v>0</v>
      </c>
      <c r="R1930" s="1">
        <v>0</v>
      </c>
      <c r="S1930" s="1">
        <v>0</v>
      </c>
      <c r="T1930" s="1">
        <v>0</v>
      </c>
    </row>
    <row r="1931" spans="1:20">
      <c r="A1931" s="1">
        <v>5500</v>
      </c>
      <c r="B1931" s="42">
        <v>29.006</v>
      </c>
      <c r="C1931" s="42">
        <v>28.992999999999999</v>
      </c>
      <c r="D1931" s="42">
        <v>28.986999999999998</v>
      </c>
      <c r="E1931" s="42">
        <v>28.981000000000002</v>
      </c>
      <c r="F1931" s="42">
        <v>28.975000000000001</v>
      </c>
      <c r="G1931" s="42">
        <v>28.969000000000001</v>
      </c>
      <c r="H1931" s="42">
        <v>28.957000000000001</v>
      </c>
      <c r="I1931" s="42">
        <v>28.945</v>
      </c>
      <c r="J1931" s="21">
        <v>5757</v>
      </c>
      <c r="K1931" s="1">
        <v>5500</v>
      </c>
      <c r="L1931" s="1">
        <v>0</v>
      </c>
      <c r="M1931" s="1">
        <v>0</v>
      </c>
      <c r="N1931" s="1">
        <v>0</v>
      </c>
      <c r="O1931" s="1">
        <v>0</v>
      </c>
      <c r="P1931" s="365">
        <v>0</v>
      </c>
      <c r="Q1931" s="1">
        <v>0</v>
      </c>
      <c r="R1931" s="1">
        <v>0</v>
      </c>
      <c r="S1931" s="1">
        <v>0</v>
      </c>
      <c r="T1931" s="1">
        <v>0</v>
      </c>
    </row>
    <row r="1932" spans="1:20">
      <c r="A1932" s="1">
        <v>5550</v>
      </c>
      <c r="B1932" s="42">
        <v>28.724</v>
      </c>
      <c r="C1932" s="42">
        <v>28.712</v>
      </c>
      <c r="D1932" s="42">
        <v>28.706</v>
      </c>
      <c r="E1932" s="42">
        <v>28.7</v>
      </c>
      <c r="F1932" s="42">
        <v>28.693999999999999</v>
      </c>
      <c r="G1932" s="42">
        <v>28.687999999999999</v>
      </c>
      <c r="H1932" s="42">
        <v>28.675999999999998</v>
      </c>
      <c r="I1932" s="42">
        <v>28.664000000000001</v>
      </c>
      <c r="J1932" s="21">
        <v>5707</v>
      </c>
      <c r="K1932" s="1">
        <v>5550</v>
      </c>
      <c r="L1932" s="1">
        <v>0</v>
      </c>
      <c r="M1932" s="1">
        <v>0</v>
      </c>
      <c r="N1932" s="1">
        <v>0</v>
      </c>
      <c r="O1932" s="1">
        <v>0</v>
      </c>
      <c r="P1932" s="365">
        <v>0</v>
      </c>
      <c r="Q1932" s="1">
        <v>0</v>
      </c>
      <c r="R1932" s="1">
        <v>0</v>
      </c>
      <c r="S1932" s="1">
        <v>0</v>
      </c>
      <c r="T1932" s="1">
        <v>0</v>
      </c>
    </row>
    <row r="1933" spans="1:20">
      <c r="A1933" s="1">
        <v>5600</v>
      </c>
      <c r="B1933" s="42">
        <v>28.443000000000001</v>
      </c>
      <c r="C1933" s="42">
        <v>28.431000000000001</v>
      </c>
      <c r="D1933" s="42">
        <v>28.425000000000001</v>
      </c>
      <c r="E1933" s="42">
        <v>28.419</v>
      </c>
      <c r="F1933" s="42">
        <v>28.413</v>
      </c>
      <c r="G1933" s="42">
        <v>28.405999999999999</v>
      </c>
      <c r="H1933" s="42">
        <v>28.393999999999998</v>
      </c>
      <c r="I1933" s="42">
        <v>28.382000000000001</v>
      </c>
      <c r="J1933" s="21">
        <v>5657</v>
      </c>
      <c r="K1933" s="1">
        <v>5600</v>
      </c>
      <c r="L1933" s="1">
        <v>0</v>
      </c>
      <c r="M1933" s="1">
        <v>0</v>
      </c>
      <c r="N1933" s="1">
        <v>0</v>
      </c>
      <c r="O1933" s="1">
        <v>0</v>
      </c>
      <c r="P1933" s="365">
        <v>0</v>
      </c>
      <c r="Q1933" s="1">
        <v>0</v>
      </c>
      <c r="R1933" s="1">
        <v>0</v>
      </c>
      <c r="S1933" s="1">
        <v>0</v>
      </c>
      <c r="T1933" s="1">
        <v>0</v>
      </c>
    </row>
    <row r="1934" spans="1:20">
      <c r="A1934" s="1">
        <v>5650</v>
      </c>
      <c r="B1934" s="42">
        <v>28.161000000000001</v>
      </c>
      <c r="C1934" s="42">
        <v>28.149000000000001</v>
      </c>
      <c r="D1934" s="42">
        <v>28.143000000000001</v>
      </c>
      <c r="E1934" s="42">
        <v>28.137</v>
      </c>
      <c r="F1934" s="42">
        <v>28.131</v>
      </c>
      <c r="G1934" s="42">
        <v>28.125</v>
      </c>
      <c r="H1934" s="42">
        <v>28.113</v>
      </c>
      <c r="I1934" s="42">
        <v>28.100999999999999</v>
      </c>
      <c r="J1934" s="21">
        <v>5607</v>
      </c>
      <c r="K1934" s="1">
        <v>5650</v>
      </c>
      <c r="L1934" s="1">
        <v>0</v>
      </c>
      <c r="M1934" s="1">
        <v>0</v>
      </c>
      <c r="N1934" s="1">
        <v>0</v>
      </c>
      <c r="O1934" s="1">
        <v>0</v>
      </c>
      <c r="P1934" s="365">
        <v>0</v>
      </c>
      <c r="Q1934" s="1">
        <v>0</v>
      </c>
      <c r="R1934" s="1">
        <v>0</v>
      </c>
      <c r="S1934" s="1">
        <v>0</v>
      </c>
      <c r="T1934" s="1">
        <v>0</v>
      </c>
    </row>
    <row r="1935" spans="1:20">
      <c r="A1935" s="1">
        <v>5700</v>
      </c>
      <c r="B1935" s="42">
        <v>27.88</v>
      </c>
      <c r="C1935" s="42">
        <v>27.867999999999999</v>
      </c>
      <c r="D1935" s="42">
        <v>27.861999999999998</v>
      </c>
      <c r="E1935" s="42">
        <v>27.856000000000002</v>
      </c>
      <c r="F1935" s="42">
        <v>27.85</v>
      </c>
      <c r="G1935" s="42">
        <v>27.844000000000001</v>
      </c>
      <c r="H1935" s="42">
        <v>27.832000000000001</v>
      </c>
      <c r="I1935" s="42">
        <v>27.818999999999999</v>
      </c>
      <c r="J1935" s="21">
        <v>5557</v>
      </c>
      <c r="K1935" s="1">
        <v>5700</v>
      </c>
      <c r="L1935" s="1">
        <v>0</v>
      </c>
      <c r="M1935" s="1">
        <v>0</v>
      </c>
      <c r="N1935" s="1">
        <v>0</v>
      </c>
      <c r="O1935" s="1">
        <v>0</v>
      </c>
      <c r="P1935" s="365">
        <v>0</v>
      </c>
      <c r="Q1935" s="1">
        <v>0</v>
      </c>
      <c r="R1935" s="1">
        <v>0</v>
      </c>
      <c r="S1935" s="1">
        <v>0</v>
      </c>
      <c r="T1935" s="1">
        <v>0</v>
      </c>
    </row>
    <row r="1936" spans="1:20">
      <c r="A1936" s="1">
        <v>5750</v>
      </c>
      <c r="B1936" s="42">
        <v>27.599</v>
      </c>
      <c r="C1936" s="42">
        <v>27.585999999999999</v>
      </c>
      <c r="D1936" s="42">
        <v>27.58</v>
      </c>
      <c r="E1936" s="42">
        <v>27.574000000000002</v>
      </c>
      <c r="F1936" s="42">
        <v>27.568000000000001</v>
      </c>
      <c r="G1936" s="42">
        <v>27.562000000000001</v>
      </c>
      <c r="H1936" s="42">
        <v>27.55</v>
      </c>
      <c r="I1936" s="42">
        <v>27.538</v>
      </c>
      <c r="J1936" s="21">
        <v>5507</v>
      </c>
      <c r="K1936" s="1">
        <v>5750</v>
      </c>
      <c r="L1936" s="1">
        <v>0</v>
      </c>
      <c r="M1936" s="1">
        <v>0</v>
      </c>
      <c r="N1936" s="1">
        <v>0</v>
      </c>
      <c r="O1936" s="1">
        <v>0</v>
      </c>
      <c r="P1936" s="365">
        <v>0</v>
      </c>
      <c r="Q1936" s="1">
        <v>0</v>
      </c>
      <c r="R1936" s="1">
        <v>0</v>
      </c>
      <c r="S1936" s="1">
        <v>0</v>
      </c>
      <c r="T1936" s="1">
        <v>0</v>
      </c>
    </row>
    <row r="1937" spans="1:20">
      <c r="A1937" s="1">
        <v>5800</v>
      </c>
      <c r="B1937" s="42">
        <v>27.317</v>
      </c>
      <c r="C1937" s="42">
        <v>27.305</v>
      </c>
      <c r="D1937" s="42">
        <v>27.298999999999999</v>
      </c>
      <c r="E1937" s="42">
        <v>27.292999999999999</v>
      </c>
      <c r="F1937" s="42">
        <v>21.286999999999999</v>
      </c>
      <c r="G1937" s="42">
        <v>27.280999999999999</v>
      </c>
      <c r="H1937" s="42">
        <v>27.268999999999998</v>
      </c>
      <c r="I1937" s="42">
        <v>27.257000000000001</v>
      </c>
      <c r="J1937" s="21">
        <v>5457</v>
      </c>
      <c r="K1937" s="1">
        <v>5800</v>
      </c>
      <c r="L1937" s="1">
        <v>0</v>
      </c>
      <c r="M1937" s="1">
        <v>0</v>
      </c>
      <c r="N1937" s="1">
        <v>0</v>
      </c>
      <c r="O1937" s="1">
        <v>0</v>
      </c>
      <c r="P1937" s="365">
        <v>0</v>
      </c>
      <c r="Q1937" s="1">
        <v>0</v>
      </c>
      <c r="R1937" s="1">
        <v>0</v>
      </c>
      <c r="S1937" s="1">
        <v>0</v>
      </c>
      <c r="T1937" s="1">
        <v>0</v>
      </c>
    </row>
    <row r="1938" spans="1:20">
      <c r="A1938" s="1">
        <v>5850</v>
      </c>
      <c r="B1938" s="42">
        <v>27.036000000000001</v>
      </c>
      <c r="C1938" s="42">
        <v>27.024000000000001</v>
      </c>
      <c r="D1938" s="42">
        <v>27.018000000000001</v>
      </c>
      <c r="E1938" s="42">
        <v>27.012</v>
      </c>
      <c r="F1938" s="42">
        <v>27.006</v>
      </c>
      <c r="G1938" s="42">
        <v>27</v>
      </c>
      <c r="H1938" s="42">
        <v>26.986999999999998</v>
      </c>
      <c r="I1938" s="42">
        <v>26.975000000000001</v>
      </c>
      <c r="J1938" s="21">
        <v>5407</v>
      </c>
      <c r="K1938" s="1">
        <v>5850</v>
      </c>
      <c r="L1938" s="1">
        <v>0</v>
      </c>
      <c r="M1938" s="1">
        <v>0</v>
      </c>
      <c r="N1938" s="1">
        <v>0</v>
      </c>
      <c r="O1938" s="1">
        <v>0</v>
      </c>
      <c r="P1938" s="365">
        <v>0</v>
      </c>
      <c r="Q1938" s="1">
        <v>0</v>
      </c>
      <c r="R1938" s="1">
        <v>0</v>
      </c>
      <c r="S1938" s="1">
        <v>0</v>
      </c>
      <c r="T1938" s="1">
        <v>0</v>
      </c>
    </row>
    <row r="1939" spans="1:20">
      <c r="A1939" s="1">
        <v>5900</v>
      </c>
      <c r="B1939" s="42">
        <v>26.754000000000001</v>
      </c>
      <c r="C1939" s="42">
        <v>26.742000000000001</v>
      </c>
      <c r="D1939" s="42">
        <v>26.736000000000001</v>
      </c>
      <c r="E1939" s="42">
        <v>26.73</v>
      </c>
      <c r="F1939" s="42">
        <v>26.724</v>
      </c>
      <c r="G1939" s="42">
        <v>26.718</v>
      </c>
      <c r="H1939" s="42">
        <v>26.706</v>
      </c>
      <c r="I1939" s="42">
        <v>26.693999999999999</v>
      </c>
      <c r="J1939" s="21">
        <v>5357</v>
      </c>
      <c r="K1939" s="1">
        <v>5900</v>
      </c>
      <c r="L1939" s="1">
        <v>0</v>
      </c>
      <c r="M1939" s="1">
        <v>0</v>
      </c>
      <c r="N1939" s="1">
        <v>0</v>
      </c>
      <c r="O1939" s="1">
        <v>0</v>
      </c>
      <c r="P1939" s="365">
        <v>0</v>
      </c>
      <c r="Q1939" s="1">
        <v>0</v>
      </c>
      <c r="R1939" s="1">
        <v>0</v>
      </c>
      <c r="S1939" s="1">
        <v>0</v>
      </c>
      <c r="T1939" s="1">
        <v>0</v>
      </c>
    </row>
    <row r="1940" spans="1:20">
      <c r="A1940" s="1">
        <v>5950</v>
      </c>
      <c r="B1940" s="42">
        <v>26.472999999999999</v>
      </c>
      <c r="C1940" s="42">
        <v>26.460999999999999</v>
      </c>
      <c r="D1940" s="42">
        <v>26.454999999999998</v>
      </c>
      <c r="E1940" s="42">
        <v>26.449000000000002</v>
      </c>
      <c r="F1940" s="42">
        <v>26.443000000000001</v>
      </c>
      <c r="G1940" s="42">
        <v>26.437000000000001</v>
      </c>
      <c r="H1940" s="42">
        <v>26.425000000000001</v>
      </c>
      <c r="I1940" s="42">
        <v>26.413</v>
      </c>
      <c r="J1940" s="21">
        <v>5307</v>
      </c>
      <c r="K1940" s="1">
        <v>5950</v>
      </c>
      <c r="L1940" s="1">
        <v>0</v>
      </c>
      <c r="M1940" s="1">
        <v>0</v>
      </c>
      <c r="N1940" s="1">
        <v>0</v>
      </c>
      <c r="O1940" s="1">
        <v>0</v>
      </c>
      <c r="P1940" s="365">
        <v>0</v>
      </c>
      <c r="Q1940" s="1">
        <v>0</v>
      </c>
      <c r="R1940" s="1">
        <v>0</v>
      </c>
      <c r="S1940" s="1">
        <v>0</v>
      </c>
      <c r="T1940" s="1">
        <v>0</v>
      </c>
    </row>
    <row r="1941" spans="1:20">
      <c r="A1941" s="1">
        <v>6000</v>
      </c>
      <c r="B1941" s="42">
        <v>26.192</v>
      </c>
      <c r="C1941" s="42">
        <v>26.18</v>
      </c>
      <c r="D1941" s="42">
        <v>26.173999999999999</v>
      </c>
      <c r="E1941" s="42">
        <v>26.167000000000002</v>
      </c>
      <c r="F1941" s="42">
        <v>26.161000000000001</v>
      </c>
      <c r="G1941" s="42">
        <v>26.155000000000001</v>
      </c>
      <c r="H1941" s="42">
        <v>26.143000000000001</v>
      </c>
      <c r="I1941" s="42">
        <v>26.131</v>
      </c>
      <c r="J1941" s="21">
        <v>5257</v>
      </c>
      <c r="K1941" s="1">
        <v>6000</v>
      </c>
      <c r="L1941" s="1">
        <v>0</v>
      </c>
      <c r="M1941" s="1">
        <v>0</v>
      </c>
      <c r="N1941" s="1">
        <v>0</v>
      </c>
      <c r="O1941" s="1">
        <v>0</v>
      </c>
      <c r="P1941" s="365">
        <v>0</v>
      </c>
      <c r="Q1941" s="1">
        <v>0</v>
      </c>
      <c r="R1941" s="1">
        <v>0</v>
      </c>
      <c r="S1941" s="1">
        <v>0</v>
      </c>
      <c r="T1941" s="1">
        <v>0</v>
      </c>
    </row>
    <row r="1942" spans="1:20">
      <c r="A1942" s="1">
        <v>6050</v>
      </c>
      <c r="B1942" s="42">
        <v>25.91</v>
      </c>
      <c r="C1942" s="42">
        <v>25.898</v>
      </c>
      <c r="D1942" s="42">
        <v>25.891999999999999</v>
      </c>
      <c r="E1942" s="42">
        <v>25.885999999999999</v>
      </c>
      <c r="F1942" s="42">
        <v>25.88</v>
      </c>
      <c r="G1942" s="42">
        <v>25.873999999999999</v>
      </c>
      <c r="H1942" s="42">
        <v>25.861999999999998</v>
      </c>
      <c r="I1942" s="42">
        <v>25.85</v>
      </c>
      <c r="J1942" s="21">
        <v>5207</v>
      </c>
      <c r="K1942" s="1">
        <v>6050</v>
      </c>
      <c r="L1942" s="1">
        <v>0</v>
      </c>
      <c r="M1942" s="1">
        <v>0</v>
      </c>
      <c r="N1942" s="1">
        <v>0</v>
      </c>
      <c r="O1942" s="1">
        <v>0</v>
      </c>
      <c r="P1942" s="365">
        <v>0</v>
      </c>
      <c r="Q1942" s="1">
        <v>0</v>
      </c>
      <c r="R1942" s="1">
        <v>0</v>
      </c>
      <c r="S1942" s="1">
        <v>0</v>
      </c>
      <c r="T1942" s="1">
        <v>0</v>
      </c>
    </row>
    <row r="1943" spans="1:20">
      <c r="A1943" s="1">
        <v>6100</v>
      </c>
      <c r="B1943" s="42">
        <v>25.629000000000001</v>
      </c>
      <c r="C1943" s="42">
        <v>25.617000000000001</v>
      </c>
      <c r="D1943" s="42">
        <v>25.611000000000001</v>
      </c>
      <c r="E1943" s="42">
        <v>25.605</v>
      </c>
      <c r="F1943" s="42">
        <v>25.599</v>
      </c>
      <c r="G1943" s="42">
        <v>25.593</v>
      </c>
      <c r="H1943" s="42">
        <v>25.581</v>
      </c>
      <c r="I1943" s="42">
        <v>25.568999999999999</v>
      </c>
      <c r="J1943" s="21">
        <v>5157</v>
      </c>
      <c r="K1943" s="1">
        <v>6100</v>
      </c>
      <c r="L1943" s="1">
        <v>0</v>
      </c>
      <c r="M1943" s="1">
        <v>0</v>
      </c>
      <c r="N1943" s="1">
        <v>0</v>
      </c>
      <c r="O1943" s="1">
        <v>0</v>
      </c>
      <c r="P1943" s="365">
        <v>0</v>
      </c>
      <c r="Q1943" s="1">
        <v>0</v>
      </c>
      <c r="R1943" s="1">
        <v>0</v>
      </c>
      <c r="S1943" s="1">
        <v>0</v>
      </c>
      <c r="T1943" s="1">
        <v>0</v>
      </c>
    </row>
    <row r="1944" spans="1:20">
      <c r="A1944" s="1">
        <v>6150</v>
      </c>
      <c r="B1944" s="42">
        <v>25.349</v>
      </c>
      <c r="C1944" s="42">
        <v>25.337</v>
      </c>
      <c r="D1944" s="42">
        <v>25.331</v>
      </c>
      <c r="E1944" s="42">
        <v>25.324999999999999</v>
      </c>
      <c r="F1944" s="42">
        <v>25.318999999999999</v>
      </c>
      <c r="G1944" s="42">
        <v>25.312000000000001</v>
      </c>
      <c r="H1944" s="42">
        <v>25.3</v>
      </c>
      <c r="I1944" s="42">
        <v>25.288</v>
      </c>
      <c r="J1944" s="21">
        <v>5107</v>
      </c>
      <c r="K1944" s="1">
        <v>6150</v>
      </c>
      <c r="L1944" s="1">
        <v>0</v>
      </c>
      <c r="M1944" s="1">
        <v>0</v>
      </c>
      <c r="N1944" s="1">
        <v>0</v>
      </c>
      <c r="O1944" s="1">
        <v>0</v>
      </c>
      <c r="P1944" s="365">
        <v>0</v>
      </c>
      <c r="Q1944" s="1">
        <v>0</v>
      </c>
      <c r="R1944" s="1">
        <v>0</v>
      </c>
      <c r="S1944" s="1">
        <v>0</v>
      </c>
      <c r="T1944" s="1">
        <v>0</v>
      </c>
    </row>
    <row r="1945" spans="1:20">
      <c r="A1945" s="1">
        <v>6200</v>
      </c>
      <c r="B1945" s="42">
        <v>25.068999999999999</v>
      </c>
      <c r="C1945" s="42">
        <v>25.056999999999999</v>
      </c>
      <c r="D1945" s="42">
        <v>25.050999999999998</v>
      </c>
      <c r="E1945" s="42">
        <v>25.045000000000002</v>
      </c>
      <c r="F1945" s="42">
        <v>25.039000000000001</v>
      </c>
      <c r="G1945" s="42">
        <v>25.033000000000001</v>
      </c>
      <c r="H1945" s="42">
        <v>25.021000000000001</v>
      </c>
      <c r="I1945" s="42">
        <v>25.009</v>
      </c>
      <c r="J1945" s="21">
        <v>5057</v>
      </c>
      <c r="K1945" s="1">
        <v>6200</v>
      </c>
      <c r="L1945" s="1">
        <v>0</v>
      </c>
      <c r="M1945" s="1">
        <v>0</v>
      </c>
      <c r="N1945" s="1">
        <v>0</v>
      </c>
      <c r="O1945" s="1">
        <v>0</v>
      </c>
      <c r="P1945" s="365">
        <v>0</v>
      </c>
      <c r="Q1945" s="1">
        <v>0</v>
      </c>
      <c r="R1945" s="1">
        <v>0</v>
      </c>
      <c r="S1945" s="1">
        <v>0</v>
      </c>
      <c r="T1945" s="1">
        <v>0</v>
      </c>
    </row>
    <row r="1946" spans="1:20">
      <c r="A1946" s="1">
        <v>6250</v>
      </c>
      <c r="B1946" s="42">
        <v>24.79</v>
      </c>
      <c r="C1946" s="42">
        <v>24.777999999999999</v>
      </c>
      <c r="D1946" s="42">
        <v>24.771999999999998</v>
      </c>
      <c r="E1946" s="42">
        <v>24.765999999999998</v>
      </c>
      <c r="F1946" s="42">
        <v>24.76</v>
      </c>
      <c r="G1946" s="42">
        <v>24.754000000000001</v>
      </c>
      <c r="H1946" s="42">
        <v>24.742000000000001</v>
      </c>
      <c r="I1946" s="42">
        <v>24.73</v>
      </c>
      <c r="J1946" s="21">
        <v>5007</v>
      </c>
      <c r="K1946" s="1">
        <v>6250</v>
      </c>
      <c r="L1946" s="1">
        <v>0</v>
      </c>
      <c r="M1946" s="1">
        <v>0</v>
      </c>
      <c r="N1946" s="1">
        <v>0</v>
      </c>
      <c r="O1946" s="1">
        <v>0</v>
      </c>
      <c r="P1946" s="365">
        <v>0</v>
      </c>
      <c r="Q1946" s="1">
        <v>0</v>
      </c>
      <c r="R1946" s="1">
        <v>0</v>
      </c>
      <c r="S1946" s="1">
        <v>0</v>
      </c>
      <c r="T1946" s="1">
        <v>0</v>
      </c>
    </row>
    <row r="1947" spans="1:20">
      <c r="A1947" s="1">
        <v>6300</v>
      </c>
      <c r="B1947" s="42">
        <v>24.510999999999999</v>
      </c>
      <c r="C1947" s="42">
        <v>24.498999999999999</v>
      </c>
      <c r="D1947" s="42">
        <v>24.492999999999999</v>
      </c>
      <c r="E1947" s="42">
        <v>24.486999999999998</v>
      </c>
      <c r="F1947" s="42">
        <v>24.481000000000002</v>
      </c>
      <c r="G1947" s="42">
        <v>24.475000000000001</v>
      </c>
      <c r="H1947" s="42">
        <v>24.463000000000001</v>
      </c>
      <c r="I1947" s="42">
        <v>24.451000000000001</v>
      </c>
      <c r="J1947" s="21">
        <v>4957</v>
      </c>
      <c r="K1947" s="1">
        <v>6300</v>
      </c>
      <c r="L1947" s="1">
        <v>0</v>
      </c>
      <c r="M1947" s="1">
        <v>0</v>
      </c>
      <c r="N1947" s="1">
        <v>0</v>
      </c>
      <c r="O1947" s="1">
        <v>0</v>
      </c>
      <c r="P1947" s="365">
        <v>0</v>
      </c>
      <c r="Q1947" s="1">
        <v>0</v>
      </c>
      <c r="R1947" s="1">
        <v>0</v>
      </c>
      <c r="S1947" s="1">
        <v>0</v>
      </c>
      <c r="T1947" s="1">
        <v>0</v>
      </c>
    </row>
    <row r="1948" spans="1:20">
      <c r="A1948" s="1">
        <v>6350</v>
      </c>
      <c r="B1948" s="42">
        <v>24.233000000000001</v>
      </c>
      <c r="C1948" s="42">
        <v>24.221</v>
      </c>
      <c r="D1948" s="42">
        <v>24.215</v>
      </c>
      <c r="E1948" s="42">
        <v>24.209</v>
      </c>
      <c r="F1948" s="42">
        <v>24.202999999999999</v>
      </c>
      <c r="G1948" s="42">
        <v>24.196999999999999</v>
      </c>
      <c r="H1948" s="42">
        <v>24.186</v>
      </c>
      <c r="I1948" s="42">
        <v>24.173999999999999</v>
      </c>
      <c r="J1948" s="21">
        <v>4907</v>
      </c>
      <c r="K1948" s="1">
        <v>6350</v>
      </c>
      <c r="L1948" s="1">
        <v>0</v>
      </c>
      <c r="M1948" s="1">
        <v>0</v>
      </c>
      <c r="N1948" s="1">
        <v>0</v>
      </c>
      <c r="O1948" s="1">
        <v>0</v>
      </c>
      <c r="P1948" s="365">
        <v>0</v>
      </c>
      <c r="Q1948" s="1">
        <v>0</v>
      </c>
      <c r="R1948" s="1">
        <v>0</v>
      </c>
      <c r="S1948" s="1">
        <v>0</v>
      </c>
      <c r="T1948" s="1">
        <v>0</v>
      </c>
    </row>
    <row r="1949" spans="1:20">
      <c r="A1949" s="1">
        <v>6400</v>
      </c>
      <c r="B1949" s="42">
        <v>23.956</v>
      </c>
      <c r="C1949" s="42">
        <v>23.943999999999999</v>
      </c>
      <c r="D1949" s="42">
        <v>23.937999999999999</v>
      </c>
      <c r="E1949" s="42">
        <v>23.931999999999999</v>
      </c>
      <c r="F1949" s="42">
        <v>23.925999999999998</v>
      </c>
      <c r="G1949" s="42">
        <v>23.92</v>
      </c>
      <c r="H1949" s="42">
        <v>23.908000000000001</v>
      </c>
      <c r="I1949" s="42">
        <v>23.896999999999998</v>
      </c>
      <c r="J1949" s="21">
        <v>4857</v>
      </c>
      <c r="K1949" s="1">
        <v>6400</v>
      </c>
      <c r="L1949" s="1">
        <v>0</v>
      </c>
      <c r="M1949" s="1">
        <v>0</v>
      </c>
      <c r="N1949" s="1">
        <v>0</v>
      </c>
      <c r="O1949" s="1">
        <v>0</v>
      </c>
      <c r="P1949" s="365">
        <v>0</v>
      </c>
      <c r="Q1949" s="1">
        <v>0</v>
      </c>
      <c r="R1949" s="1">
        <v>0</v>
      </c>
      <c r="S1949" s="1">
        <v>0</v>
      </c>
      <c r="T1949" s="1">
        <v>0</v>
      </c>
    </row>
    <row r="1950" spans="1:20">
      <c r="A1950" s="1">
        <v>6450</v>
      </c>
      <c r="B1950" s="42">
        <v>23.68</v>
      </c>
      <c r="C1950" s="42">
        <v>23.667999999999999</v>
      </c>
      <c r="D1950" s="42">
        <v>23.661999999999999</v>
      </c>
      <c r="E1950" s="42">
        <v>23.655999999999999</v>
      </c>
      <c r="F1950" s="42">
        <v>23.65</v>
      </c>
      <c r="G1950" s="42">
        <v>23.643999999999998</v>
      </c>
      <c r="H1950" s="42">
        <v>23.632000000000001</v>
      </c>
      <c r="I1950" s="42">
        <v>23.62</v>
      </c>
      <c r="J1950" s="21">
        <v>4807</v>
      </c>
      <c r="K1950" s="1">
        <v>6450</v>
      </c>
      <c r="L1950" s="1">
        <v>0</v>
      </c>
      <c r="M1950" s="1">
        <v>0</v>
      </c>
      <c r="N1950" s="1">
        <v>0</v>
      </c>
      <c r="O1950" s="1">
        <v>0</v>
      </c>
      <c r="P1950" s="365">
        <v>0</v>
      </c>
      <c r="Q1950" s="1">
        <v>0</v>
      </c>
      <c r="R1950" s="1">
        <v>0</v>
      </c>
      <c r="S1950" s="1">
        <v>0</v>
      </c>
      <c r="T1950" s="1">
        <v>0</v>
      </c>
    </row>
    <row r="1951" spans="1:20">
      <c r="A1951" s="1">
        <v>6500</v>
      </c>
      <c r="B1951" s="42">
        <v>23.404</v>
      </c>
      <c r="C1951" s="42">
        <v>23.391999999999999</v>
      </c>
      <c r="D1951" s="42">
        <v>23.385999999999999</v>
      </c>
      <c r="E1951" s="42">
        <v>23.38</v>
      </c>
      <c r="F1951" s="42">
        <v>23.373999999999999</v>
      </c>
      <c r="G1951" s="42">
        <v>23.367999999999999</v>
      </c>
      <c r="H1951" s="42">
        <v>23.356000000000002</v>
      </c>
      <c r="I1951" s="42">
        <v>23.344999999999999</v>
      </c>
      <c r="J1951" s="21">
        <v>4757</v>
      </c>
      <c r="K1951" s="1">
        <v>6500</v>
      </c>
      <c r="L1951" s="1">
        <v>0</v>
      </c>
      <c r="M1951" s="1">
        <v>0</v>
      </c>
      <c r="N1951" s="1">
        <v>0</v>
      </c>
      <c r="O1951" s="1">
        <v>0</v>
      </c>
      <c r="P1951" s="365">
        <v>0</v>
      </c>
      <c r="Q1951" s="1">
        <v>0</v>
      </c>
      <c r="R1951" s="1">
        <v>0</v>
      </c>
      <c r="S1951" s="1">
        <v>0</v>
      </c>
      <c r="T1951" s="1">
        <v>0</v>
      </c>
    </row>
    <row r="1952" spans="1:20">
      <c r="A1952" s="1">
        <v>6550</v>
      </c>
      <c r="B1952" s="42">
        <v>23.129000000000001</v>
      </c>
      <c r="C1952" s="42">
        <v>23.117000000000001</v>
      </c>
      <c r="D1952" s="42">
        <v>23.111000000000001</v>
      </c>
      <c r="E1952" s="42">
        <v>23.105</v>
      </c>
      <c r="F1952" s="42">
        <v>23.099</v>
      </c>
      <c r="G1952" s="42">
        <v>23.093</v>
      </c>
      <c r="H1952" s="42">
        <v>23.081</v>
      </c>
      <c r="I1952" s="42">
        <v>23.07</v>
      </c>
      <c r="J1952" s="21">
        <v>4707</v>
      </c>
      <c r="K1952" s="1">
        <v>6550</v>
      </c>
      <c r="L1952" s="1">
        <v>0</v>
      </c>
      <c r="M1952" s="1">
        <v>0</v>
      </c>
      <c r="N1952" s="1">
        <v>0</v>
      </c>
      <c r="O1952" s="1">
        <v>0</v>
      </c>
      <c r="P1952" s="365">
        <v>0</v>
      </c>
      <c r="Q1952" s="1">
        <v>0</v>
      </c>
      <c r="R1952" s="1">
        <v>0</v>
      </c>
      <c r="S1952" s="1">
        <v>0</v>
      </c>
      <c r="T1952" s="1">
        <v>0</v>
      </c>
    </row>
    <row r="1953" spans="1:20">
      <c r="A1953" s="1">
        <v>6600</v>
      </c>
      <c r="B1953" s="42">
        <v>22.853999999999999</v>
      </c>
      <c r="C1953" s="42">
        <v>22.841999999999999</v>
      </c>
      <c r="D1953" s="42">
        <v>22.835999999999999</v>
      </c>
      <c r="E1953" s="42">
        <v>22.831</v>
      </c>
      <c r="F1953" s="42">
        <v>22.824999999999999</v>
      </c>
      <c r="G1953" s="42">
        <v>22.818999999999999</v>
      </c>
      <c r="H1953" s="42">
        <v>22.806999999999999</v>
      </c>
      <c r="I1953" s="42">
        <v>22.795000000000002</v>
      </c>
      <c r="J1953" s="21">
        <v>4657</v>
      </c>
      <c r="K1953" s="1">
        <v>6600</v>
      </c>
      <c r="L1953" s="1">
        <v>0</v>
      </c>
      <c r="M1953" s="1">
        <v>0</v>
      </c>
      <c r="N1953" s="1">
        <v>0</v>
      </c>
      <c r="O1953" s="1">
        <v>0</v>
      </c>
      <c r="P1953" s="365">
        <v>0</v>
      </c>
      <c r="Q1953" s="1">
        <v>0</v>
      </c>
      <c r="R1953" s="1">
        <v>0</v>
      </c>
      <c r="S1953" s="1">
        <v>0</v>
      </c>
      <c r="T1953" s="1">
        <v>0</v>
      </c>
    </row>
    <row r="1954" spans="1:20">
      <c r="A1954" s="1">
        <v>6650</v>
      </c>
      <c r="B1954" s="42">
        <v>22.58</v>
      </c>
      <c r="C1954" s="42">
        <v>22.568999999999999</v>
      </c>
      <c r="D1954" s="42">
        <v>22.562999999999999</v>
      </c>
      <c r="E1954" s="42">
        <v>22.556999999999999</v>
      </c>
      <c r="F1954" s="42">
        <v>22.550999999999998</v>
      </c>
      <c r="G1954" s="42">
        <v>22.545000000000002</v>
      </c>
      <c r="H1954" s="42">
        <v>22.533000000000001</v>
      </c>
      <c r="I1954" s="42">
        <v>22.521999999999998</v>
      </c>
      <c r="J1954" s="21">
        <v>4607</v>
      </c>
      <c r="K1954" s="1">
        <v>6650</v>
      </c>
      <c r="L1954" s="1">
        <v>0</v>
      </c>
      <c r="M1954" s="1">
        <v>0</v>
      </c>
      <c r="N1954" s="1">
        <v>0</v>
      </c>
      <c r="O1954" s="1">
        <v>0</v>
      </c>
      <c r="P1954" s="365">
        <v>0</v>
      </c>
      <c r="Q1954" s="1">
        <v>0</v>
      </c>
      <c r="R1954" s="1">
        <v>0</v>
      </c>
      <c r="S1954" s="1">
        <v>0</v>
      </c>
      <c r="T1954" s="1">
        <v>0</v>
      </c>
    </row>
    <row r="1955" spans="1:20">
      <c r="A1955" s="1">
        <v>6700</v>
      </c>
      <c r="B1955" s="42">
        <v>22.306999999999999</v>
      </c>
      <c r="C1955" s="42">
        <v>22.295000000000002</v>
      </c>
      <c r="D1955" s="42">
        <v>22.29</v>
      </c>
      <c r="E1955" s="42">
        <v>22.283999999999999</v>
      </c>
      <c r="F1955" s="42">
        <v>22.277999999999999</v>
      </c>
      <c r="G1955" s="42">
        <v>22.271999999999998</v>
      </c>
      <c r="H1955" s="42">
        <v>22.26</v>
      </c>
      <c r="I1955" s="42">
        <v>22.248999999999999</v>
      </c>
      <c r="J1955" s="21">
        <v>4557</v>
      </c>
      <c r="K1955" s="1">
        <v>6700</v>
      </c>
      <c r="L1955" s="1">
        <v>0</v>
      </c>
      <c r="M1955" s="1">
        <v>0</v>
      </c>
      <c r="N1955" s="1">
        <v>0</v>
      </c>
      <c r="O1955" s="1">
        <v>0</v>
      </c>
      <c r="P1955" s="365">
        <v>0</v>
      </c>
      <c r="Q1955" s="1">
        <v>0</v>
      </c>
      <c r="R1955" s="1">
        <v>0</v>
      </c>
      <c r="S1955" s="1">
        <v>0</v>
      </c>
      <c r="T1955" s="1">
        <v>0</v>
      </c>
    </row>
    <row r="1956" spans="1:20">
      <c r="A1956" s="1">
        <v>6750</v>
      </c>
      <c r="B1956" s="42">
        <v>22.035</v>
      </c>
      <c r="C1956" s="42">
        <v>22.023</v>
      </c>
      <c r="D1956" s="42">
        <v>22.016999999999999</v>
      </c>
      <c r="E1956" s="42">
        <v>22.010999999999999</v>
      </c>
      <c r="F1956" s="42">
        <v>22.004999999999999</v>
      </c>
      <c r="G1956" s="42">
        <v>22</v>
      </c>
      <c r="H1956" s="42">
        <v>21.988</v>
      </c>
      <c r="I1956" s="42">
        <v>21.975999999999999</v>
      </c>
      <c r="J1956" s="21">
        <v>4507</v>
      </c>
      <c r="K1956" s="1">
        <v>6750</v>
      </c>
      <c r="L1956" s="1">
        <v>0</v>
      </c>
      <c r="M1956" s="1">
        <v>0</v>
      </c>
      <c r="N1956" s="1">
        <v>0</v>
      </c>
      <c r="O1956" s="1">
        <v>0</v>
      </c>
      <c r="P1956" s="365">
        <v>0</v>
      </c>
      <c r="Q1956" s="1">
        <v>0</v>
      </c>
      <c r="R1956" s="1">
        <v>0</v>
      </c>
      <c r="S1956" s="1">
        <v>0</v>
      </c>
      <c r="T1956" s="1">
        <v>0</v>
      </c>
    </row>
    <row r="1957" spans="1:20">
      <c r="A1957" s="1">
        <v>6800</v>
      </c>
      <c r="B1957" s="42">
        <v>21.763000000000002</v>
      </c>
      <c r="C1957" s="42">
        <v>21.751000000000001</v>
      </c>
      <c r="D1957" s="42">
        <v>21.745000000000001</v>
      </c>
      <c r="E1957" s="42">
        <v>21.74</v>
      </c>
      <c r="F1957" s="42">
        <v>21.734000000000002</v>
      </c>
      <c r="G1957" s="42">
        <v>21.728000000000002</v>
      </c>
      <c r="H1957" s="42">
        <v>21.716000000000001</v>
      </c>
      <c r="I1957" s="42">
        <v>21.704999999999998</v>
      </c>
      <c r="J1957" s="21">
        <v>4457</v>
      </c>
      <c r="K1957" s="1">
        <v>6800</v>
      </c>
      <c r="L1957" s="1">
        <v>0</v>
      </c>
      <c r="M1957" s="1">
        <v>0</v>
      </c>
      <c r="N1957" s="1">
        <v>0</v>
      </c>
      <c r="O1957" s="1">
        <v>0</v>
      </c>
      <c r="P1957" s="365">
        <v>0</v>
      </c>
      <c r="Q1957" s="1">
        <v>0</v>
      </c>
      <c r="R1957" s="1">
        <v>0</v>
      </c>
      <c r="S1957" s="1">
        <v>0</v>
      </c>
      <c r="T1957" s="1">
        <v>0</v>
      </c>
    </row>
    <row r="1958" spans="1:20">
      <c r="A1958" s="1">
        <v>6850</v>
      </c>
      <c r="B1958" s="42">
        <v>21.492000000000001</v>
      </c>
      <c r="C1958" s="42">
        <v>21.48</v>
      </c>
      <c r="D1958" s="42">
        <v>21.474</v>
      </c>
      <c r="E1958" s="42">
        <v>21.468</v>
      </c>
      <c r="F1958" s="42">
        <v>21.463000000000001</v>
      </c>
      <c r="G1958" s="42">
        <v>21.457000000000001</v>
      </c>
      <c r="H1958" s="42">
        <v>21.445</v>
      </c>
      <c r="I1958" s="42">
        <v>21.434000000000001</v>
      </c>
      <c r="J1958" s="21">
        <v>4407</v>
      </c>
      <c r="K1958" s="1">
        <v>6850</v>
      </c>
      <c r="L1958" s="1">
        <v>0</v>
      </c>
      <c r="M1958" s="1">
        <v>0</v>
      </c>
      <c r="N1958" s="1">
        <v>0</v>
      </c>
      <c r="O1958" s="1">
        <v>0</v>
      </c>
      <c r="P1958" s="365">
        <v>0</v>
      </c>
      <c r="Q1958" s="1">
        <v>0</v>
      </c>
      <c r="R1958" s="1">
        <v>0</v>
      </c>
      <c r="S1958" s="1">
        <v>0</v>
      </c>
      <c r="T1958" s="1">
        <v>0</v>
      </c>
    </row>
    <row r="1959" spans="1:20">
      <c r="A1959" s="1">
        <v>6900</v>
      </c>
      <c r="B1959" s="42">
        <v>21.221</v>
      </c>
      <c r="C1959" s="42">
        <v>21.21</v>
      </c>
      <c r="D1959" s="42">
        <v>21.204000000000001</v>
      </c>
      <c r="E1959" s="42">
        <v>21.198</v>
      </c>
      <c r="F1959" s="42">
        <v>21.192</v>
      </c>
      <c r="G1959" s="42">
        <v>21.186</v>
      </c>
      <c r="H1959" s="42">
        <v>21.175000000000001</v>
      </c>
      <c r="I1959" s="42">
        <v>21.163</v>
      </c>
      <c r="J1959" s="21">
        <v>4357</v>
      </c>
      <c r="K1959" s="1">
        <v>6900</v>
      </c>
      <c r="L1959" s="1">
        <v>0</v>
      </c>
      <c r="M1959" s="1">
        <v>0</v>
      </c>
      <c r="N1959" s="1">
        <v>0</v>
      </c>
      <c r="O1959" s="1">
        <v>0</v>
      </c>
      <c r="P1959" s="365">
        <v>0</v>
      </c>
      <c r="Q1959" s="1">
        <v>0</v>
      </c>
      <c r="R1959" s="1">
        <v>0</v>
      </c>
      <c r="S1959" s="1">
        <v>0</v>
      </c>
      <c r="T1959" s="1">
        <v>0</v>
      </c>
    </row>
    <row r="1960" spans="1:20">
      <c r="A1960" s="1">
        <v>6950</v>
      </c>
      <c r="B1960" s="42">
        <v>20.951000000000001</v>
      </c>
      <c r="C1960" s="42">
        <v>20.94</v>
      </c>
      <c r="D1960" s="42">
        <v>20.934000000000001</v>
      </c>
      <c r="E1960" s="42">
        <v>20.928000000000001</v>
      </c>
      <c r="F1960" s="42">
        <v>20.922999999999998</v>
      </c>
      <c r="G1960" s="42">
        <v>20.917000000000002</v>
      </c>
      <c r="H1960" s="42">
        <v>20.905000000000001</v>
      </c>
      <c r="I1960" s="42">
        <v>20.893999999999998</v>
      </c>
      <c r="J1960" s="21">
        <v>4307</v>
      </c>
      <c r="K1960" s="1">
        <v>6950</v>
      </c>
      <c r="L1960" s="1">
        <v>0</v>
      </c>
      <c r="M1960" s="1">
        <v>0</v>
      </c>
      <c r="N1960" s="1">
        <v>0</v>
      </c>
      <c r="O1960" s="1">
        <v>0</v>
      </c>
      <c r="P1960" s="365">
        <v>0</v>
      </c>
      <c r="Q1960" s="1">
        <v>0</v>
      </c>
      <c r="R1960" s="1">
        <v>0</v>
      </c>
      <c r="S1960" s="1">
        <v>0</v>
      </c>
      <c r="T1960" s="1">
        <v>0</v>
      </c>
    </row>
    <row r="1961" spans="1:20">
      <c r="A1961" s="1">
        <v>7000</v>
      </c>
      <c r="B1961" s="42">
        <v>20.681999999999999</v>
      </c>
      <c r="C1961" s="42">
        <v>20.670999999999999</v>
      </c>
      <c r="D1961" s="42">
        <v>20.664999999999999</v>
      </c>
      <c r="E1961" s="42">
        <v>20.059000000000001</v>
      </c>
      <c r="F1961" s="42">
        <v>20.652999999999999</v>
      </c>
      <c r="G1961" s="42">
        <v>20.648</v>
      </c>
      <c r="H1961" s="42">
        <v>20.635999999999999</v>
      </c>
      <c r="I1961" s="42">
        <v>20.625</v>
      </c>
      <c r="J1961" s="21">
        <v>4257</v>
      </c>
      <c r="K1961" s="1">
        <v>7000</v>
      </c>
      <c r="L1961" s="1">
        <v>0</v>
      </c>
      <c r="M1961" s="1">
        <v>0</v>
      </c>
      <c r="N1961" s="1">
        <v>0</v>
      </c>
      <c r="O1961" s="1">
        <v>0</v>
      </c>
      <c r="P1961" s="365">
        <v>0</v>
      </c>
      <c r="Q1961" s="1">
        <v>0</v>
      </c>
      <c r="R1961" s="1">
        <v>0</v>
      </c>
      <c r="S1961" s="1">
        <v>0</v>
      </c>
      <c r="T1961" s="1">
        <v>0</v>
      </c>
    </row>
    <row r="1962" spans="1:20">
      <c r="A1962" s="1">
        <v>7050</v>
      </c>
      <c r="B1962" s="42">
        <v>20.414000000000001</v>
      </c>
      <c r="C1962" s="42">
        <v>20.402000000000001</v>
      </c>
      <c r="D1962" s="42">
        <v>20.396999999999998</v>
      </c>
      <c r="E1962" s="42">
        <v>20.390999999999998</v>
      </c>
      <c r="F1962" s="42">
        <v>20.385000000000002</v>
      </c>
      <c r="G1962" s="42">
        <v>20.379000000000001</v>
      </c>
      <c r="H1962" s="42">
        <v>20.367999999999999</v>
      </c>
      <c r="I1962" s="42">
        <v>20.356000000000002</v>
      </c>
      <c r="J1962" s="21">
        <v>4207</v>
      </c>
      <c r="K1962" s="1">
        <v>7050</v>
      </c>
      <c r="L1962" s="1">
        <v>0</v>
      </c>
      <c r="M1962" s="1">
        <v>0</v>
      </c>
      <c r="N1962" s="1">
        <v>0</v>
      </c>
      <c r="O1962" s="1">
        <v>0</v>
      </c>
      <c r="P1962" s="365">
        <v>0</v>
      </c>
      <c r="Q1962" s="1">
        <v>0</v>
      </c>
      <c r="R1962" s="1">
        <v>0</v>
      </c>
      <c r="S1962" s="1">
        <v>0</v>
      </c>
      <c r="T1962" s="1">
        <v>0</v>
      </c>
    </row>
    <row r="1963" spans="1:20">
      <c r="A1963" s="1">
        <v>7100</v>
      </c>
      <c r="B1963" s="42">
        <v>20.146000000000001</v>
      </c>
      <c r="C1963" s="42">
        <v>20.135000000000002</v>
      </c>
      <c r="D1963" s="42">
        <v>20.129000000000001</v>
      </c>
      <c r="E1963" s="42">
        <v>20.123000000000001</v>
      </c>
      <c r="F1963" s="42">
        <v>20.117000000000001</v>
      </c>
      <c r="G1963" s="42">
        <v>20.111999999999998</v>
      </c>
      <c r="H1963" s="42">
        <v>20.100000000000001</v>
      </c>
      <c r="I1963" s="42">
        <v>20.088999999999999</v>
      </c>
      <c r="J1963" s="21">
        <v>4157</v>
      </c>
      <c r="K1963" s="1">
        <v>7100</v>
      </c>
      <c r="L1963" s="1">
        <v>0</v>
      </c>
      <c r="M1963" s="1">
        <v>0</v>
      </c>
      <c r="N1963" s="1">
        <v>0</v>
      </c>
      <c r="O1963" s="1">
        <v>0</v>
      </c>
      <c r="P1963" s="365">
        <v>0</v>
      </c>
      <c r="Q1963" s="1">
        <v>0</v>
      </c>
      <c r="R1963" s="1">
        <v>0</v>
      </c>
      <c r="S1963" s="1">
        <v>0</v>
      </c>
      <c r="T1963" s="1">
        <v>0</v>
      </c>
    </row>
    <row r="1964" spans="1:20">
      <c r="A1964" s="1">
        <v>7150</v>
      </c>
      <c r="B1964" s="42">
        <v>19.879000000000001</v>
      </c>
      <c r="C1964" s="42">
        <v>19.867000000000001</v>
      </c>
      <c r="D1964" s="42">
        <v>19.861999999999998</v>
      </c>
      <c r="E1964" s="42">
        <v>19.856000000000002</v>
      </c>
      <c r="F1964" s="42">
        <v>19.850000000000001</v>
      </c>
      <c r="G1964" s="42">
        <v>19.844999999999999</v>
      </c>
      <c r="H1964" s="42">
        <v>19.832999999999998</v>
      </c>
      <c r="I1964" s="42">
        <v>19.821999999999999</v>
      </c>
      <c r="J1964" s="21">
        <v>4107</v>
      </c>
      <c r="K1964" s="1">
        <v>7150</v>
      </c>
      <c r="L1964" s="1">
        <v>0</v>
      </c>
      <c r="M1964" s="1">
        <v>0</v>
      </c>
      <c r="N1964" s="1">
        <v>0</v>
      </c>
      <c r="O1964" s="1">
        <v>0</v>
      </c>
      <c r="P1964" s="365">
        <v>0</v>
      </c>
      <c r="Q1964" s="1">
        <v>0</v>
      </c>
      <c r="R1964" s="1">
        <v>0</v>
      </c>
      <c r="S1964" s="1">
        <v>0</v>
      </c>
      <c r="T1964" s="1">
        <v>0</v>
      </c>
    </row>
    <row r="1965" spans="1:20">
      <c r="A1965" s="1">
        <v>7200</v>
      </c>
      <c r="B1965" s="42">
        <v>19.613</v>
      </c>
      <c r="C1965" s="42">
        <v>19.600999999999999</v>
      </c>
      <c r="D1965" s="42">
        <v>19.594999999999999</v>
      </c>
      <c r="E1965" s="42">
        <v>19.59</v>
      </c>
      <c r="F1965" s="42">
        <v>19.584</v>
      </c>
      <c r="G1965" s="42">
        <v>19.577999999999999</v>
      </c>
      <c r="H1965" s="42">
        <v>19.567</v>
      </c>
      <c r="I1965" s="42">
        <v>19.555</v>
      </c>
      <c r="J1965" s="21">
        <v>4057</v>
      </c>
      <c r="K1965" s="1">
        <v>7200</v>
      </c>
      <c r="L1965" s="1">
        <v>0</v>
      </c>
      <c r="M1965" s="1">
        <v>0</v>
      </c>
      <c r="N1965" s="1">
        <v>0</v>
      </c>
      <c r="O1965" s="1">
        <v>0</v>
      </c>
      <c r="P1965" s="365">
        <v>0</v>
      </c>
      <c r="Q1965" s="1">
        <v>0</v>
      </c>
      <c r="R1965" s="1">
        <v>0</v>
      </c>
      <c r="S1965" s="1">
        <v>0</v>
      </c>
      <c r="T1965" s="1">
        <v>0</v>
      </c>
    </row>
    <row r="1966" spans="1:20">
      <c r="A1966" s="1">
        <v>7250</v>
      </c>
      <c r="B1966" s="42">
        <v>19.347000000000001</v>
      </c>
      <c r="C1966" s="42">
        <v>19.335000000000001</v>
      </c>
      <c r="D1966" s="42">
        <v>19.329999999999998</v>
      </c>
      <c r="E1966" s="42">
        <v>19.324000000000002</v>
      </c>
      <c r="F1966" s="42">
        <v>19.318000000000001</v>
      </c>
      <c r="G1966" s="42">
        <v>19.312999999999999</v>
      </c>
      <c r="H1966" s="42">
        <v>19.300999999999998</v>
      </c>
      <c r="I1966" s="42">
        <v>19.29</v>
      </c>
      <c r="J1966" s="21">
        <v>4007</v>
      </c>
      <c r="K1966" s="1">
        <v>7250</v>
      </c>
      <c r="L1966" s="1">
        <v>0</v>
      </c>
      <c r="M1966" s="1">
        <v>0</v>
      </c>
      <c r="N1966" s="1">
        <v>0</v>
      </c>
      <c r="O1966" s="1">
        <v>0</v>
      </c>
      <c r="P1966" s="365">
        <v>0</v>
      </c>
      <c r="Q1966" s="1">
        <v>0</v>
      </c>
      <c r="R1966" s="1">
        <v>0</v>
      </c>
      <c r="S1966" s="1">
        <v>0</v>
      </c>
      <c r="T1966" s="1">
        <v>0</v>
      </c>
    </row>
    <row r="1967" spans="1:20">
      <c r="A1967" s="1">
        <v>7300</v>
      </c>
      <c r="B1967" s="42">
        <v>19.082000000000001</v>
      </c>
      <c r="C1967" s="42">
        <v>19.07</v>
      </c>
      <c r="D1967" s="42">
        <v>19.065000000000001</v>
      </c>
      <c r="E1967" s="42">
        <v>19.059000000000001</v>
      </c>
      <c r="F1967" s="42">
        <v>19.053000000000001</v>
      </c>
      <c r="G1967" s="42">
        <v>19.047999999999998</v>
      </c>
      <c r="H1967" s="42">
        <v>19.036000000000001</v>
      </c>
      <c r="I1967" s="42">
        <v>19.024999999999999</v>
      </c>
      <c r="J1967" s="21">
        <v>3957</v>
      </c>
      <c r="K1967" s="1">
        <v>7300</v>
      </c>
      <c r="L1967" s="1">
        <v>0</v>
      </c>
      <c r="M1967" s="1">
        <v>0</v>
      </c>
      <c r="N1967" s="1">
        <v>0</v>
      </c>
      <c r="O1967" s="1">
        <v>0</v>
      </c>
      <c r="P1967" s="365">
        <v>0</v>
      </c>
      <c r="Q1967" s="1">
        <v>0</v>
      </c>
      <c r="R1967" s="1">
        <v>0</v>
      </c>
      <c r="S1967" s="1">
        <v>0</v>
      </c>
      <c r="T1967" s="1">
        <v>0</v>
      </c>
    </row>
    <row r="1968" spans="1:20">
      <c r="A1968" s="1">
        <v>7350</v>
      </c>
      <c r="B1968" s="42">
        <v>18.817</v>
      </c>
      <c r="C1968" s="42">
        <v>18.806000000000001</v>
      </c>
      <c r="D1968" s="42">
        <v>18.8</v>
      </c>
      <c r="E1968" s="42">
        <v>18.795000000000002</v>
      </c>
      <c r="F1968" s="42">
        <v>18.789000000000001</v>
      </c>
      <c r="G1968" s="42">
        <v>18.783000000000001</v>
      </c>
      <c r="H1968" s="42">
        <v>18.771999999999998</v>
      </c>
      <c r="I1968" s="42">
        <v>18.760000000000002</v>
      </c>
      <c r="J1968" s="21">
        <v>3907</v>
      </c>
      <c r="K1968" s="1">
        <v>7350</v>
      </c>
      <c r="L1968" s="1">
        <v>0</v>
      </c>
      <c r="M1968" s="1">
        <v>0</v>
      </c>
      <c r="N1968" s="1">
        <v>0</v>
      </c>
      <c r="O1968" s="1">
        <v>0</v>
      </c>
      <c r="P1968" s="365">
        <v>0</v>
      </c>
      <c r="Q1968" s="1">
        <v>0</v>
      </c>
      <c r="R1968" s="1">
        <v>0</v>
      </c>
      <c r="S1968" s="1">
        <v>0</v>
      </c>
      <c r="T1968" s="1">
        <v>0</v>
      </c>
    </row>
    <row r="1969" spans="1:20">
      <c r="A1969" s="1">
        <v>7400</v>
      </c>
      <c r="B1969" s="42">
        <v>18.553000000000001</v>
      </c>
      <c r="C1969" s="42">
        <v>18.542000000000002</v>
      </c>
      <c r="D1969" s="42">
        <v>18.536000000000001</v>
      </c>
      <c r="E1969" s="42">
        <v>18.530999999999999</v>
      </c>
      <c r="F1969" s="42">
        <v>18.524999999999999</v>
      </c>
      <c r="G1969" s="42">
        <v>18.518999999999998</v>
      </c>
      <c r="H1969" s="42">
        <v>18.507999999999999</v>
      </c>
      <c r="I1969" s="42">
        <v>18.497</v>
      </c>
      <c r="J1969" s="21">
        <v>3857</v>
      </c>
      <c r="K1969" s="1">
        <v>7400</v>
      </c>
      <c r="L1969" s="1">
        <v>0</v>
      </c>
      <c r="M1969" s="1">
        <v>0</v>
      </c>
      <c r="N1969" s="1">
        <v>0</v>
      </c>
      <c r="O1969" s="1">
        <v>0</v>
      </c>
      <c r="P1969" s="365">
        <v>0</v>
      </c>
      <c r="Q1969" s="1">
        <v>0</v>
      </c>
      <c r="R1969" s="1">
        <v>0</v>
      </c>
      <c r="S1969" s="1">
        <v>0</v>
      </c>
      <c r="T1969" s="1">
        <v>0</v>
      </c>
    </row>
    <row r="1970" spans="1:20">
      <c r="A1970" s="1">
        <v>7450</v>
      </c>
      <c r="B1970" s="42">
        <v>18.29</v>
      </c>
      <c r="C1970" s="42">
        <v>18.279</v>
      </c>
      <c r="D1970" s="42">
        <v>18.273</v>
      </c>
      <c r="E1970" s="42">
        <v>18.268000000000001</v>
      </c>
      <c r="F1970" s="42">
        <v>18.262</v>
      </c>
      <c r="G1970" s="42">
        <v>18.256</v>
      </c>
      <c r="H1970" s="42">
        <v>18.245000000000001</v>
      </c>
      <c r="I1970" s="42">
        <v>18.234000000000002</v>
      </c>
      <c r="J1970" s="21">
        <v>3807</v>
      </c>
      <c r="K1970" s="1">
        <v>7450</v>
      </c>
      <c r="L1970" s="1">
        <v>0</v>
      </c>
      <c r="M1970" s="1">
        <v>0</v>
      </c>
      <c r="N1970" s="1">
        <v>0</v>
      </c>
      <c r="O1970" s="1">
        <v>0</v>
      </c>
      <c r="P1970" s="365">
        <v>0</v>
      </c>
      <c r="Q1970" s="1">
        <v>0</v>
      </c>
      <c r="R1970" s="1">
        <v>0</v>
      </c>
      <c r="S1970" s="1">
        <v>0</v>
      </c>
      <c r="T1970" s="1">
        <v>0</v>
      </c>
    </row>
    <row r="1971" spans="1:20">
      <c r="A1971" s="1">
        <v>7500</v>
      </c>
      <c r="B1971" s="42">
        <v>18.027999999999999</v>
      </c>
      <c r="C1971" s="42">
        <v>18.016999999999999</v>
      </c>
      <c r="D1971" s="42">
        <v>18.010999999999999</v>
      </c>
      <c r="E1971" s="42">
        <v>18.004999999999999</v>
      </c>
      <c r="F1971" s="42">
        <v>18</v>
      </c>
      <c r="G1971" s="42">
        <v>17.994</v>
      </c>
      <c r="H1971" s="42">
        <v>17.983000000000001</v>
      </c>
      <c r="I1971" s="42">
        <v>17.972000000000001</v>
      </c>
      <c r="J1971" s="21">
        <v>3757</v>
      </c>
      <c r="K1971" s="1">
        <v>7500</v>
      </c>
      <c r="L1971" s="1">
        <v>0</v>
      </c>
      <c r="M1971" s="1">
        <v>0</v>
      </c>
      <c r="N1971" s="1">
        <v>0</v>
      </c>
      <c r="O1971" s="1">
        <v>0</v>
      </c>
      <c r="P1971" s="365">
        <v>0</v>
      </c>
      <c r="Q1971" s="1">
        <v>0</v>
      </c>
      <c r="R1971" s="1">
        <v>0</v>
      </c>
      <c r="S1971" s="1">
        <v>0</v>
      </c>
      <c r="T1971" s="1">
        <v>0</v>
      </c>
    </row>
    <row r="1972" spans="1:20">
      <c r="A1972" s="1">
        <v>7550</v>
      </c>
      <c r="B1972" s="42">
        <v>17.765999999999998</v>
      </c>
      <c r="C1972" s="42">
        <v>17.754999999999999</v>
      </c>
      <c r="D1972" s="42">
        <v>17.748999999999999</v>
      </c>
      <c r="E1972" s="42">
        <v>17.744</v>
      </c>
      <c r="F1972" s="42">
        <v>17.738</v>
      </c>
      <c r="G1972" s="42">
        <v>17.731999999999999</v>
      </c>
      <c r="H1972" s="42">
        <v>17.721</v>
      </c>
      <c r="I1972" s="42">
        <v>17.71</v>
      </c>
      <c r="J1972" s="21">
        <v>3707</v>
      </c>
      <c r="K1972" s="1">
        <v>7550</v>
      </c>
      <c r="L1972" s="1">
        <v>0</v>
      </c>
      <c r="M1972" s="1">
        <v>0</v>
      </c>
      <c r="N1972" s="1">
        <v>0</v>
      </c>
      <c r="O1972" s="1">
        <v>0</v>
      </c>
      <c r="P1972" s="365">
        <v>0</v>
      </c>
      <c r="Q1972" s="1">
        <v>0</v>
      </c>
      <c r="R1972" s="1">
        <v>0</v>
      </c>
      <c r="S1972" s="1">
        <v>0</v>
      </c>
      <c r="T1972" s="1">
        <v>0</v>
      </c>
    </row>
    <row r="1973" spans="1:20">
      <c r="A1973" s="1">
        <v>7600</v>
      </c>
      <c r="B1973" s="42">
        <v>17.504999999999999</v>
      </c>
      <c r="C1973" s="42">
        <v>17.494</v>
      </c>
      <c r="D1973" s="42">
        <v>17.488</v>
      </c>
      <c r="E1973" s="42">
        <v>17.483000000000001</v>
      </c>
      <c r="F1973" s="42">
        <v>17.477</v>
      </c>
      <c r="G1973" s="42">
        <v>17.471</v>
      </c>
      <c r="H1973" s="42">
        <v>17.46</v>
      </c>
      <c r="I1973" s="42">
        <v>17.449000000000002</v>
      </c>
      <c r="J1973" s="21">
        <v>3657</v>
      </c>
      <c r="K1973" s="1">
        <v>7600</v>
      </c>
      <c r="L1973" s="1">
        <v>0</v>
      </c>
      <c r="M1973" s="1">
        <v>0</v>
      </c>
      <c r="N1973" s="1">
        <v>0</v>
      </c>
      <c r="O1973" s="1">
        <v>0</v>
      </c>
      <c r="P1973" s="365">
        <v>0</v>
      </c>
      <c r="Q1973" s="1">
        <v>0</v>
      </c>
      <c r="R1973" s="1">
        <v>0</v>
      </c>
      <c r="S1973" s="1">
        <v>0</v>
      </c>
      <c r="T1973" s="1">
        <v>0</v>
      </c>
    </row>
    <row r="1974" spans="1:20">
      <c r="A1974" s="1">
        <v>7650</v>
      </c>
      <c r="B1974" s="42">
        <v>17.245000000000001</v>
      </c>
      <c r="C1974" s="42">
        <v>17.233000000000001</v>
      </c>
      <c r="D1974" s="42">
        <v>17.228000000000002</v>
      </c>
      <c r="E1974" s="42">
        <v>17.222000000000001</v>
      </c>
      <c r="F1974" s="42">
        <v>17.216999999999999</v>
      </c>
      <c r="G1974" s="42">
        <v>17.210999999999999</v>
      </c>
      <c r="H1974" s="42">
        <v>17.2</v>
      </c>
      <c r="I1974" s="42">
        <v>17.189</v>
      </c>
      <c r="J1974" s="21">
        <v>3607</v>
      </c>
      <c r="K1974" s="1">
        <v>7650</v>
      </c>
      <c r="L1974" s="1">
        <v>0</v>
      </c>
      <c r="M1974" s="1">
        <v>0</v>
      </c>
      <c r="N1974" s="1">
        <v>0</v>
      </c>
      <c r="O1974" s="1">
        <v>0</v>
      </c>
      <c r="P1974" s="365">
        <v>0</v>
      </c>
      <c r="Q1974" s="1">
        <v>0</v>
      </c>
      <c r="R1974" s="1">
        <v>0</v>
      </c>
      <c r="S1974" s="1">
        <v>0</v>
      </c>
      <c r="T1974" s="1">
        <v>0</v>
      </c>
    </row>
    <row r="1975" spans="1:20">
      <c r="A1975" s="1">
        <v>7700</v>
      </c>
      <c r="B1975" s="42">
        <v>16.984999999999999</v>
      </c>
      <c r="C1975" s="42">
        <v>16.974</v>
      </c>
      <c r="D1975" s="42">
        <v>16.968</v>
      </c>
      <c r="E1975" s="42">
        <v>16.963000000000001</v>
      </c>
      <c r="F1975" s="42">
        <v>16.957000000000001</v>
      </c>
      <c r="G1975" s="42">
        <v>16.951000000000001</v>
      </c>
      <c r="H1975" s="42">
        <v>16.940000000000001</v>
      </c>
      <c r="I1975" s="42">
        <v>16.928999999999998</v>
      </c>
      <c r="J1975" s="21">
        <v>3557</v>
      </c>
      <c r="K1975" s="1">
        <v>7700</v>
      </c>
      <c r="L1975" s="1">
        <v>0</v>
      </c>
      <c r="M1975" s="1">
        <v>0</v>
      </c>
      <c r="N1975" s="1">
        <v>0</v>
      </c>
      <c r="O1975" s="1">
        <v>0</v>
      </c>
      <c r="P1975" s="365">
        <v>0</v>
      </c>
      <c r="Q1975" s="1">
        <v>0</v>
      </c>
      <c r="R1975" s="1">
        <v>0</v>
      </c>
      <c r="S1975" s="1">
        <v>0</v>
      </c>
      <c r="T1975" s="1">
        <v>0</v>
      </c>
    </row>
    <row r="1976" spans="1:20">
      <c r="A1976" s="1">
        <v>7750</v>
      </c>
      <c r="B1976" s="42">
        <v>16.725999999999999</v>
      </c>
      <c r="C1976" s="42">
        <v>16.715</v>
      </c>
      <c r="D1976" s="42">
        <v>16.709</v>
      </c>
      <c r="E1976" s="42">
        <v>16.704000000000001</v>
      </c>
      <c r="F1976" s="42">
        <v>16.698</v>
      </c>
      <c r="G1976" s="42">
        <v>16.692</v>
      </c>
      <c r="H1976" s="42">
        <v>16.681000000000001</v>
      </c>
      <c r="I1976" s="42">
        <v>16.670000000000002</v>
      </c>
      <c r="J1976" s="21">
        <v>3507</v>
      </c>
      <c r="K1976" s="1">
        <v>7750</v>
      </c>
      <c r="L1976" s="1">
        <v>0</v>
      </c>
      <c r="M1976" s="1">
        <v>0</v>
      </c>
      <c r="N1976" s="1">
        <v>0</v>
      </c>
      <c r="O1976" s="1">
        <v>0</v>
      </c>
      <c r="P1976" s="365">
        <v>0</v>
      </c>
      <c r="Q1976" s="1">
        <v>0</v>
      </c>
      <c r="R1976" s="1">
        <v>0</v>
      </c>
      <c r="S1976" s="1">
        <v>0</v>
      </c>
      <c r="T1976" s="1">
        <v>0</v>
      </c>
    </row>
    <row r="1977" spans="1:20">
      <c r="A1977" s="1">
        <v>7800</v>
      </c>
      <c r="B1977" s="42">
        <v>16.466999999999999</v>
      </c>
      <c r="C1977" s="42">
        <v>16.456</v>
      </c>
      <c r="D1977" s="42">
        <v>16.451000000000001</v>
      </c>
      <c r="E1977" s="42">
        <v>16.445</v>
      </c>
      <c r="F1977" s="42">
        <v>16.440000000000001</v>
      </c>
      <c r="G1977" s="42">
        <v>16.434000000000001</v>
      </c>
      <c r="H1977" s="42">
        <v>16.422999999999998</v>
      </c>
      <c r="I1977" s="42">
        <v>16.411999999999999</v>
      </c>
      <c r="J1977" s="21">
        <v>3457</v>
      </c>
      <c r="K1977" s="1">
        <v>7800</v>
      </c>
      <c r="L1977" s="1">
        <v>0</v>
      </c>
      <c r="M1977" s="1">
        <v>0</v>
      </c>
      <c r="N1977" s="1">
        <v>0</v>
      </c>
      <c r="O1977" s="1">
        <v>0</v>
      </c>
      <c r="P1977" s="365">
        <v>0</v>
      </c>
      <c r="Q1977" s="1">
        <v>0</v>
      </c>
      <c r="R1977" s="1">
        <v>0</v>
      </c>
      <c r="S1977" s="1">
        <v>0</v>
      </c>
      <c r="T1977" s="1">
        <v>0</v>
      </c>
    </row>
    <row r="1978" spans="1:20">
      <c r="A1978" s="1">
        <v>7850</v>
      </c>
      <c r="B1978" s="42">
        <v>16.21</v>
      </c>
      <c r="C1978" s="42">
        <v>16.199000000000002</v>
      </c>
      <c r="D1978" s="42">
        <v>16.193000000000001</v>
      </c>
      <c r="E1978" s="42">
        <v>16.187999999999999</v>
      </c>
      <c r="F1978" s="42">
        <v>16.181999999999999</v>
      </c>
      <c r="G1978" s="42">
        <v>16.175999999999998</v>
      </c>
      <c r="H1978" s="42">
        <v>16.164999999999999</v>
      </c>
      <c r="I1978" s="42">
        <v>16.154</v>
      </c>
      <c r="J1978" s="21">
        <v>3407</v>
      </c>
      <c r="K1978" s="1">
        <v>7850</v>
      </c>
      <c r="L1978" s="1">
        <v>0</v>
      </c>
      <c r="M1978" s="1">
        <v>0</v>
      </c>
      <c r="N1978" s="1">
        <v>0</v>
      </c>
      <c r="O1978" s="1">
        <v>0</v>
      </c>
      <c r="P1978" s="365">
        <v>0</v>
      </c>
      <c r="Q1978" s="1">
        <v>0</v>
      </c>
      <c r="R1978" s="1">
        <v>0</v>
      </c>
      <c r="S1978" s="1">
        <v>0</v>
      </c>
      <c r="T1978" s="1">
        <v>0</v>
      </c>
    </row>
    <row r="1979" spans="1:20">
      <c r="A1979" s="1">
        <v>7900</v>
      </c>
      <c r="B1979" s="42">
        <v>15.952999999999999</v>
      </c>
      <c r="C1979" s="42">
        <v>15.942</v>
      </c>
      <c r="D1979" s="42">
        <v>15.936</v>
      </c>
      <c r="E1979" s="42">
        <v>15.930999999999999</v>
      </c>
      <c r="F1979" s="42">
        <v>15.925000000000001</v>
      </c>
      <c r="G1979" s="42">
        <v>15.92</v>
      </c>
      <c r="H1979" s="42">
        <v>15.907999999999999</v>
      </c>
      <c r="I1979" s="42">
        <v>15.897</v>
      </c>
      <c r="J1979" s="21">
        <v>3357</v>
      </c>
      <c r="K1979" s="1">
        <v>7900</v>
      </c>
      <c r="L1979" s="1">
        <v>0</v>
      </c>
      <c r="M1979" s="1">
        <v>0</v>
      </c>
      <c r="N1979" s="1">
        <v>0</v>
      </c>
      <c r="O1979" s="1">
        <v>0</v>
      </c>
      <c r="P1979" s="365">
        <v>0</v>
      </c>
      <c r="Q1979" s="1">
        <v>0</v>
      </c>
      <c r="R1979" s="1">
        <v>0</v>
      </c>
      <c r="S1979" s="1">
        <v>0</v>
      </c>
      <c r="T1979" s="1">
        <v>0</v>
      </c>
    </row>
    <row r="1980" spans="1:20">
      <c r="A1980" s="1">
        <v>7950</v>
      </c>
      <c r="B1980" s="42">
        <v>15.696</v>
      </c>
      <c r="C1980" s="42">
        <v>15.685</v>
      </c>
      <c r="D1980" s="42">
        <v>15.68</v>
      </c>
      <c r="E1980" s="42">
        <v>15.673999999999999</v>
      </c>
      <c r="F1980" s="42">
        <v>15.669</v>
      </c>
      <c r="G1980" s="42">
        <v>15.663</v>
      </c>
      <c r="H1980" s="42">
        <v>15.651999999999999</v>
      </c>
      <c r="I1980" s="42">
        <v>15.641</v>
      </c>
      <c r="J1980" s="21">
        <v>3307</v>
      </c>
      <c r="K1980" s="1">
        <v>7950</v>
      </c>
      <c r="L1980" s="1">
        <v>0</v>
      </c>
      <c r="M1980" s="1">
        <v>0</v>
      </c>
      <c r="N1980" s="1">
        <v>0</v>
      </c>
      <c r="O1980" s="1">
        <v>0</v>
      </c>
      <c r="P1980" s="365">
        <v>0</v>
      </c>
      <c r="Q1980" s="1">
        <v>0</v>
      </c>
      <c r="R1980" s="1">
        <v>0</v>
      </c>
      <c r="S1980" s="1">
        <v>0</v>
      </c>
      <c r="T1980" s="1">
        <v>0</v>
      </c>
    </row>
    <row r="1981" spans="1:20">
      <c r="A1981" s="1">
        <v>8000</v>
      </c>
      <c r="B1981" s="42">
        <v>15.441000000000001</v>
      </c>
      <c r="C1981" s="42">
        <v>15.43</v>
      </c>
      <c r="D1981" s="42">
        <v>15.423999999999999</v>
      </c>
      <c r="E1981" s="42">
        <v>15.419</v>
      </c>
      <c r="F1981" s="42">
        <v>15.413</v>
      </c>
      <c r="G1981" s="42">
        <v>15.407999999999999</v>
      </c>
      <c r="H1981" s="42">
        <v>15.397</v>
      </c>
      <c r="I1981" s="42">
        <v>15.385999999999999</v>
      </c>
      <c r="J1981" s="21">
        <v>3257</v>
      </c>
      <c r="K1981" s="1">
        <v>8000</v>
      </c>
      <c r="L1981" s="1">
        <v>0</v>
      </c>
      <c r="M1981" s="1">
        <v>0</v>
      </c>
      <c r="N1981" s="1">
        <v>0</v>
      </c>
      <c r="O1981" s="1">
        <v>0</v>
      </c>
      <c r="P1981" s="365">
        <v>0</v>
      </c>
      <c r="Q1981" s="1">
        <v>0</v>
      </c>
      <c r="R1981" s="1">
        <v>0</v>
      </c>
      <c r="S1981" s="1">
        <v>0</v>
      </c>
      <c r="T1981" s="1">
        <v>0</v>
      </c>
    </row>
    <row r="1982" spans="1:20">
      <c r="A1982" s="1">
        <v>8050</v>
      </c>
      <c r="B1982" s="42">
        <v>15.185</v>
      </c>
      <c r="C1982" s="42">
        <v>15.173999999999999</v>
      </c>
      <c r="D1982" s="42">
        <v>15.169</v>
      </c>
      <c r="E1982" s="42">
        <v>15.164</v>
      </c>
      <c r="F1982" s="42">
        <v>15.157999999999999</v>
      </c>
      <c r="G1982" s="42">
        <v>15.153</v>
      </c>
      <c r="H1982" s="42">
        <v>15.141999999999999</v>
      </c>
      <c r="I1982" s="42">
        <v>15.131</v>
      </c>
      <c r="J1982" s="21">
        <v>3207</v>
      </c>
      <c r="K1982" s="1">
        <v>8050</v>
      </c>
      <c r="L1982" s="1">
        <v>0</v>
      </c>
      <c r="M1982" s="1">
        <v>0</v>
      </c>
      <c r="N1982" s="1">
        <v>0</v>
      </c>
      <c r="O1982" s="1">
        <v>0</v>
      </c>
      <c r="P1982" s="365">
        <v>0</v>
      </c>
      <c r="Q1982" s="1">
        <v>0</v>
      </c>
      <c r="R1982" s="1">
        <v>0</v>
      </c>
      <c r="S1982" s="1">
        <v>0</v>
      </c>
      <c r="T1982" s="1">
        <v>0</v>
      </c>
    </row>
    <row r="1983" spans="1:20">
      <c r="A1983" s="1">
        <v>8100</v>
      </c>
      <c r="B1983" s="42">
        <v>14.930999999999999</v>
      </c>
      <c r="C1983" s="42">
        <v>14.92</v>
      </c>
      <c r="D1983" s="42">
        <v>14.914999999999999</v>
      </c>
      <c r="E1983" s="42">
        <v>14.909000000000001</v>
      </c>
      <c r="F1983" s="42">
        <v>14.904</v>
      </c>
      <c r="G1983" s="42">
        <v>14.898</v>
      </c>
      <c r="H1983" s="42">
        <v>14.887</v>
      </c>
      <c r="I1983" s="42">
        <v>14.875999999999999</v>
      </c>
      <c r="J1983" s="21">
        <v>3157</v>
      </c>
      <c r="K1983" s="1">
        <v>8100</v>
      </c>
      <c r="L1983" s="1">
        <v>0</v>
      </c>
      <c r="M1983" s="1">
        <v>0</v>
      </c>
      <c r="N1983" s="1">
        <v>0</v>
      </c>
      <c r="O1983" s="1">
        <v>0</v>
      </c>
      <c r="P1983" s="365">
        <v>0</v>
      </c>
      <c r="Q1983" s="1">
        <v>0</v>
      </c>
      <c r="R1983" s="1">
        <v>0</v>
      </c>
      <c r="S1983" s="1">
        <v>0</v>
      </c>
      <c r="T1983" s="1">
        <v>0</v>
      </c>
    </row>
    <row r="1984" spans="1:20">
      <c r="A1984" s="1">
        <v>8150</v>
      </c>
      <c r="B1984" s="42">
        <v>14.677</v>
      </c>
      <c r="C1984" s="42">
        <v>14.666</v>
      </c>
      <c r="D1984" s="42">
        <v>14.661</v>
      </c>
      <c r="E1984" s="42">
        <v>14.656000000000001</v>
      </c>
      <c r="F1984" s="42">
        <v>14.65</v>
      </c>
      <c r="G1984" s="42">
        <v>14.645</v>
      </c>
      <c r="H1984" s="42">
        <v>14.634</v>
      </c>
      <c r="I1984" s="42">
        <v>14.622999999999999</v>
      </c>
      <c r="J1984" s="21">
        <v>3107</v>
      </c>
      <c r="K1984" s="1">
        <v>8150</v>
      </c>
      <c r="L1984" s="1">
        <v>0</v>
      </c>
      <c r="M1984" s="1">
        <v>0</v>
      </c>
      <c r="N1984" s="1">
        <v>0</v>
      </c>
      <c r="O1984" s="1">
        <v>0</v>
      </c>
      <c r="P1984" s="365">
        <v>0</v>
      </c>
      <c r="Q1984" s="1">
        <v>0</v>
      </c>
      <c r="R1984" s="1">
        <v>0</v>
      </c>
      <c r="S1984" s="1">
        <v>0</v>
      </c>
      <c r="T1984" s="1">
        <v>0</v>
      </c>
    </row>
    <row r="1985" spans="1:20">
      <c r="A1985" s="1">
        <v>8200</v>
      </c>
      <c r="B1985" s="42">
        <v>14.423999999999999</v>
      </c>
      <c r="C1985" s="42">
        <v>14.413</v>
      </c>
      <c r="D1985" s="42">
        <v>14.407999999999999</v>
      </c>
      <c r="E1985" s="42">
        <v>14.403</v>
      </c>
      <c r="F1985" s="42">
        <v>14.397</v>
      </c>
      <c r="G1985" s="42">
        <v>14.391999999999999</v>
      </c>
      <c r="H1985" s="42">
        <v>14.381</v>
      </c>
      <c r="I1985" s="42">
        <v>14.37</v>
      </c>
      <c r="J1985" s="21">
        <v>3057</v>
      </c>
      <c r="K1985" s="1">
        <v>8200</v>
      </c>
      <c r="L1985" s="1">
        <v>0</v>
      </c>
      <c r="M1985" s="1">
        <v>0</v>
      </c>
      <c r="N1985" s="1">
        <v>0</v>
      </c>
      <c r="O1985" s="1">
        <v>0</v>
      </c>
      <c r="P1985" s="365">
        <v>0</v>
      </c>
      <c r="Q1985" s="1">
        <v>0</v>
      </c>
      <c r="R1985" s="1">
        <v>0</v>
      </c>
      <c r="S1985" s="1">
        <v>0</v>
      </c>
      <c r="T1985" s="1">
        <v>0</v>
      </c>
    </row>
    <row r="1986" spans="1:20">
      <c r="A1986" s="1">
        <v>8250</v>
      </c>
      <c r="B1986" s="42">
        <v>14.172000000000001</v>
      </c>
      <c r="C1986" s="42">
        <v>14.161</v>
      </c>
      <c r="D1986" s="42">
        <v>14.156000000000001</v>
      </c>
      <c r="E1986" s="42">
        <v>14.15</v>
      </c>
      <c r="F1986" s="42">
        <v>14.145</v>
      </c>
      <c r="G1986" s="42">
        <v>14.138999999999999</v>
      </c>
      <c r="H1986" s="42">
        <v>14.129</v>
      </c>
      <c r="I1986" s="42">
        <v>14.118</v>
      </c>
      <c r="J1986" s="21">
        <v>3007</v>
      </c>
      <c r="K1986" s="1">
        <v>8250</v>
      </c>
      <c r="L1986" s="1">
        <v>0</v>
      </c>
      <c r="M1986" s="1">
        <v>0</v>
      </c>
      <c r="N1986" s="1">
        <v>0</v>
      </c>
      <c r="O1986" s="1">
        <v>0</v>
      </c>
      <c r="P1986" s="365">
        <v>0</v>
      </c>
      <c r="Q1986" s="1">
        <v>0</v>
      </c>
      <c r="R1986" s="1">
        <v>0</v>
      </c>
      <c r="S1986" s="1">
        <v>0</v>
      </c>
      <c r="T1986" s="1">
        <v>0</v>
      </c>
    </row>
    <row r="1987" spans="1:20">
      <c r="A1987" s="1">
        <v>8300</v>
      </c>
      <c r="B1987" s="42">
        <v>13.92</v>
      </c>
      <c r="C1987" s="42">
        <v>13.909000000000001</v>
      </c>
      <c r="D1987" s="42">
        <v>13.904</v>
      </c>
      <c r="E1987" s="42">
        <v>13.898999999999999</v>
      </c>
      <c r="F1987" s="42">
        <v>13.893000000000001</v>
      </c>
      <c r="G1987" s="42">
        <v>13.888</v>
      </c>
      <c r="H1987" s="42">
        <v>13.877000000000001</v>
      </c>
      <c r="I1987" s="42">
        <v>13.866</v>
      </c>
      <c r="J1987" s="21">
        <v>2957</v>
      </c>
      <c r="K1987" s="1">
        <v>8300</v>
      </c>
      <c r="L1987" s="1">
        <v>0</v>
      </c>
      <c r="M1987" s="1">
        <v>0</v>
      </c>
      <c r="N1987" s="1">
        <v>0</v>
      </c>
      <c r="O1987" s="1">
        <v>0</v>
      </c>
      <c r="P1987" s="365">
        <v>0</v>
      </c>
      <c r="Q1987" s="1">
        <v>0</v>
      </c>
      <c r="R1987" s="1">
        <v>0</v>
      </c>
      <c r="S1987" s="1">
        <v>0</v>
      </c>
      <c r="T1987" s="1">
        <v>0</v>
      </c>
    </row>
    <row r="1988" spans="1:20">
      <c r="A1988" s="1">
        <v>8350</v>
      </c>
      <c r="B1988" s="42">
        <v>13.669</v>
      </c>
      <c r="C1988" s="42">
        <v>13.657999999999999</v>
      </c>
      <c r="D1988" s="42">
        <v>13.653</v>
      </c>
      <c r="E1988" s="42">
        <v>13.648</v>
      </c>
      <c r="F1988" s="42">
        <v>13.641999999999999</v>
      </c>
      <c r="G1988" s="42">
        <v>13.637</v>
      </c>
      <c r="H1988" s="42">
        <v>13.625999999999999</v>
      </c>
      <c r="I1988" s="42">
        <v>13.615</v>
      </c>
      <c r="J1988" s="21">
        <v>2907</v>
      </c>
      <c r="K1988" s="1">
        <v>8350</v>
      </c>
      <c r="L1988" s="1">
        <v>0</v>
      </c>
      <c r="M1988" s="1">
        <v>0</v>
      </c>
      <c r="N1988" s="1">
        <v>0</v>
      </c>
      <c r="O1988" s="1">
        <v>0</v>
      </c>
      <c r="P1988" s="365">
        <v>0</v>
      </c>
      <c r="Q1988" s="1">
        <v>0</v>
      </c>
      <c r="R1988" s="1">
        <v>0</v>
      </c>
      <c r="S1988" s="1">
        <v>0</v>
      </c>
      <c r="T1988" s="1">
        <v>0</v>
      </c>
    </row>
    <row r="1989" spans="1:20">
      <c r="A1989" s="1">
        <v>8400</v>
      </c>
      <c r="B1989" s="42">
        <v>13.419</v>
      </c>
      <c r="C1989" s="42">
        <v>13.407999999999999</v>
      </c>
      <c r="D1989" s="42">
        <v>13.403</v>
      </c>
      <c r="E1989" s="42">
        <v>13.397</v>
      </c>
      <c r="F1989" s="42">
        <v>13.391999999999999</v>
      </c>
      <c r="G1989" s="42">
        <v>13.387</v>
      </c>
      <c r="H1989" s="42">
        <v>13.375999999999999</v>
      </c>
      <c r="I1989" s="42">
        <v>13.365</v>
      </c>
      <c r="J1989" s="21">
        <v>2857</v>
      </c>
      <c r="K1989" s="1">
        <v>8400</v>
      </c>
      <c r="L1989" s="1">
        <v>0</v>
      </c>
      <c r="M1989" s="1">
        <v>0</v>
      </c>
      <c r="N1989" s="1">
        <v>0</v>
      </c>
      <c r="O1989" s="1">
        <v>0</v>
      </c>
      <c r="P1989" s="365">
        <v>0</v>
      </c>
      <c r="Q1989" s="1">
        <v>0</v>
      </c>
      <c r="R1989" s="1">
        <v>0</v>
      </c>
      <c r="S1989" s="1">
        <v>0</v>
      </c>
      <c r="T1989" s="1">
        <v>0</v>
      </c>
    </row>
    <row r="1990" spans="1:20">
      <c r="A1990" s="1">
        <v>8450</v>
      </c>
      <c r="B1990" s="42">
        <v>13.169</v>
      </c>
      <c r="C1990" s="42">
        <v>13.157999999999999</v>
      </c>
      <c r="D1990" s="42">
        <v>13.153</v>
      </c>
      <c r="E1990" s="42">
        <v>13.148</v>
      </c>
      <c r="F1990" s="42">
        <v>13.141999999999999</v>
      </c>
      <c r="G1990" s="42">
        <v>13.137</v>
      </c>
      <c r="H1990" s="42">
        <v>13.125999999999999</v>
      </c>
      <c r="I1990" s="42">
        <v>13.115</v>
      </c>
      <c r="J1990" s="21">
        <v>2807</v>
      </c>
      <c r="K1990" s="1">
        <v>8450</v>
      </c>
      <c r="L1990" s="1">
        <v>0</v>
      </c>
      <c r="M1990" s="1">
        <v>0</v>
      </c>
      <c r="N1990" s="1">
        <v>0</v>
      </c>
      <c r="O1990" s="1">
        <v>0</v>
      </c>
      <c r="P1990" s="365">
        <v>0</v>
      </c>
      <c r="Q1990" s="1">
        <v>0</v>
      </c>
      <c r="R1990" s="1">
        <v>0</v>
      </c>
      <c r="S1990" s="1">
        <v>0</v>
      </c>
      <c r="T1990" s="1">
        <v>0</v>
      </c>
    </row>
    <row r="1991" spans="1:20">
      <c r="A1991" s="1">
        <v>8500</v>
      </c>
      <c r="B1991" s="42">
        <v>12.92</v>
      </c>
      <c r="C1991" s="42">
        <v>12.909000000000001</v>
      </c>
      <c r="D1991" s="42">
        <v>12.904</v>
      </c>
      <c r="E1991" s="42">
        <v>12.898999999999999</v>
      </c>
      <c r="F1991" s="42">
        <v>12.893000000000001</v>
      </c>
      <c r="G1991" s="42">
        <v>12.888</v>
      </c>
      <c r="H1991" s="42">
        <v>12.877000000000001</v>
      </c>
      <c r="I1991" s="42">
        <v>12.867000000000001</v>
      </c>
      <c r="J1991" s="21">
        <v>2757</v>
      </c>
      <c r="K1991" s="1">
        <v>8500</v>
      </c>
      <c r="L1991" s="1">
        <v>0</v>
      </c>
      <c r="M1991" s="1">
        <v>0</v>
      </c>
      <c r="N1991" s="1">
        <v>0</v>
      </c>
      <c r="O1991" s="1">
        <v>0</v>
      </c>
      <c r="P1991" s="365">
        <v>0</v>
      </c>
      <c r="Q1991" s="1">
        <v>0</v>
      </c>
      <c r="R1991" s="1">
        <v>0</v>
      </c>
      <c r="S1991" s="1">
        <v>0</v>
      </c>
      <c r="T1991" s="1">
        <v>0</v>
      </c>
    </row>
    <row r="1992" spans="1:20">
      <c r="A1992" s="1">
        <v>8550</v>
      </c>
      <c r="B1992" s="42">
        <v>12.672000000000001</v>
      </c>
      <c r="C1992" s="42">
        <v>12.661</v>
      </c>
      <c r="D1992" s="42">
        <v>12.656000000000001</v>
      </c>
      <c r="E1992" s="42">
        <v>12.65</v>
      </c>
      <c r="F1992" s="42">
        <v>12.645</v>
      </c>
      <c r="G1992" s="42">
        <v>12.64</v>
      </c>
      <c r="H1992" s="42">
        <v>12.629</v>
      </c>
      <c r="I1992" s="42">
        <v>12.618</v>
      </c>
      <c r="J1992" s="21">
        <v>2707</v>
      </c>
      <c r="K1992" s="1">
        <v>8550</v>
      </c>
      <c r="L1992" s="1">
        <v>0</v>
      </c>
      <c r="M1992" s="1">
        <v>0</v>
      </c>
      <c r="N1992" s="1">
        <v>0</v>
      </c>
      <c r="O1992" s="1">
        <v>0</v>
      </c>
      <c r="P1992" s="365">
        <v>0</v>
      </c>
      <c r="Q1992" s="1">
        <v>0</v>
      </c>
      <c r="R1992" s="1">
        <v>0</v>
      </c>
      <c r="S1992" s="1">
        <v>0</v>
      </c>
      <c r="T1992" s="1">
        <v>0</v>
      </c>
    </row>
    <row r="1993" spans="1:20">
      <c r="A1993" s="1">
        <v>8600</v>
      </c>
      <c r="B1993" s="42">
        <v>12.423999999999999</v>
      </c>
      <c r="C1993" s="42">
        <v>12.413</v>
      </c>
      <c r="D1993" s="42">
        <v>12.407999999999999</v>
      </c>
      <c r="E1993" s="42">
        <v>12.403</v>
      </c>
      <c r="F1993" s="42">
        <v>12.397</v>
      </c>
      <c r="G1993" s="42">
        <v>12.391999999999999</v>
      </c>
      <c r="H1993" s="42">
        <v>12.381</v>
      </c>
      <c r="I1993" s="42">
        <v>12.371</v>
      </c>
      <c r="J1993" s="21">
        <v>2657</v>
      </c>
      <c r="K1993" s="1">
        <v>8600</v>
      </c>
      <c r="L1993" s="1">
        <v>0</v>
      </c>
      <c r="M1993" s="1">
        <v>0</v>
      </c>
      <c r="N1993" s="1">
        <v>0</v>
      </c>
      <c r="O1993" s="1">
        <v>0</v>
      </c>
      <c r="P1993" s="365">
        <v>0</v>
      </c>
      <c r="Q1993" s="1">
        <v>0</v>
      </c>
      <c r="R1993" s="1">
        <v>0</v>
      </c>
      <c r="S1993" s="1">
        <v>0</v>
      </c>
      <c r="T1993" s="1">
        <v>0</v>
      </c>
    </row>
    <row r="1994" spans="1:20">
      <c r="A1994" s="1">
        <v>8650</v>
      </c>
      <c r="B1994" s="42">
        <v>12.177</v>
      </c>
      <c r="C1994" s="42">
        <v>12.166</v>
      </c>
      <c r="D1994" s="42">
        <v>12.161</v>
      </c>
      <c r="E1994" s="42">
        <v>12.156000000000001</v>
      </c>
      <c r="F1994" s="42">
        <v>12.15</v>
      </c>
      <c r="G1994" s="42">
        <v>12.145</v>
      </c>
      <c r="H1994" s="42">
        <v>12.135</v>
      </c>
      <c r="I1994" s="42">
        <v>12.124000000000001</v>
      </c>
      <c r="J1994" s="21">
        <v>2607</v>
      </c>
      <c r="K1994" s="1">
        <v>8650</v>
      </c>
      <c r="L1994" s="1">
        <v>0</v>
      </c>
      <c r="M1994" s="1">
        <v>0</v>
      </c>
      <c r="N1994" s="1">
        <v>0</v>
      </c>
      <c r="O1994" s="1">
        <v>0</v>
      </c>
      <c r="P1994" s="365">
        <v>0</v>
      </c>
      <c r="Q1994" s="1">
        <v>0</v>
      </c>
      <c r="R1994" s="1">
        <v>0</v>
      </c>
      <c r="S1994" s="1">
        <v>0</v>
      </c>
      <c r="T1994" s="1">
        <v>0</v>
      </c>
    </row>
    <row r="1995" spans="1:20">
      <c r="A1995" s="1">
        <v>8700</v>
      </c>
      <c r="B1995" s="42">
        <v>11.930999999999999</v>
      </c>
      <c r="C1995" s="42">
        <v>11.92</v>
      </c>
      <c r="D1995" s="42">
        <v>11.914999999999999</v>
      </c>
      <c r="E1995" s="42">
        <v>11.909000000000001</v>
      </c>
      <c r="F1995" s="42">
        <v>11.904</v>
      </c>
      <c r="G1995" s="42">
        <v>11.898999999999999</v>
      </c>
      <c r="H1995" s="42">
        <v>11.888</v>
      </c>
      <c r="I1995" s="42">
        <v>11.878</v>
      </c>
      <c r="J1995" s="21">
        <v>2557</v>
      </c>
      <c r="K1995" s="1">
        <v>8700</v>
      </c>
      <c r="L1995" s="1">
        <v>0</v>
      </c>
      <c r="M1995" s="1">
        <v>0</v>
      </c>
      <c r="N1995" s="1">
        <v>0</v>
      </c>
      <c r="O1995" s="1">
        <v>0</v>
      </c>
      <c r="P1995" s="365">
        <v>0</v>
      </c>
      <c r="Q1995" s="1">
        <v>0</v>
      </c>
      <c r="R1995" s="1">
        <v>0</v>
      </c>
      <c r="S1995" s="1">
        <v>0</v>
      </c>
      <c r="T1995" s="1">
        <v>0</v>
      </c>
    </row>
    <row r="1996" spans="1:20">
      <c r="A1996" s="1">
        <v>8750</v>
      </c>
      <c r="B1996" s="42">
        <v>11.685</v>
      </c>
      <c r="C1996" s="42">
        <v>11.673999999999999</v>
      </c>
      <c r="D1996" s="42">
        <v>11.669</v>
      </c>
      <c r="E1996" s="42">
        <v>11.664</v>
      </c>
      <c r="F1996" s="42">
        <v>11.659000000000001</v>
      </c>
      <c r="G1996" s="42">
        <v>11.653</v>
      </c>
      <c r="H1996" s="42">
        <v>11.643000000000001</v>
      </c>
      <c r="I1996" s="42">
        <v>11.632</v>
      </c>
      <c r="J1996" s="21">
        <v>2507</v>
      </c>
      <c r="K1996" s="1">
        <v>8750</v>
      </c>
      <c r="L1996" s="1">
        <v>0</v>
      </c>
      <c r="M1996" s="1">
        <v>0</v>
      </c>
      <c r="N1996" s="1">
        <v>0</v>
      </c>
      <c r="O1996" s="1">
        <v>0</v>
      </c>
      <c r="P1996" s="365">
        <v>0</v>
      </c>
      <c r="Q1996" s="1">
        <v>0</v>
      </c>
      <c r="R1996" s="1">
        <v>0</v>
      </c>
      <c r="S1996" s="1">
        <v>0</v>
      </c>
      <c r="T1996" s="1">
        <v>0</v>
      </c>
    </row>
    <row r="1997" spans="1:20">
      <c r="A1997" s="1">
        <v>8800</v>
      </c>
      <c r="B1997" s="42">
        <v>11.44</v>
      </c>
      <c r="C1997" s="42">
        <v>11.429</v>
      </c>
      <c r="D1997" s="42">
        <v>11.423999999999999</v>
      </c>
      <c r="E1997" s="42">
        <v>11.419</v>
      </c>
      <c r="F1997" s="42">
        <v>11.414</v>
      </c>
      <c r="G1997" s="42">
        <v>11.407999999999999</v>
      </c>
      <c r="H1997" s="42">
        <v>11.398</v>
      </c>
      <c r="I1997" s="42">
        <v>11.387</v>
      </c>
      <c r="J1997" s="21">
        <v>2457</v>
      </c>
      <c r="K1997" s="1">
        <v>8800</v>
      </c>
      <c r="L1997" s="1">
        <v>0</v>
      </c>
      <c r="M1997" s="1">
        <v>0</v>
      </c>
      <c r="N1997" s="1">
        <v>0</v>
      </c>
      <c r="O1997" s="1">
        <v>0</v>
      </c>
      <c r="P1997" s="365">
        <v>0</v>
      </c>
      <c r="Q1997" s="1">
        <v>0</v>
      </c>
      <c r="R1997" s="1">
        <v>0</v>
      </c>
      <c r="S1997" s="1">
        <v>0</v>
      </c>
      <c r="T1997" s="1">
        <v>0</v>
      </c>
    </row>
    <row r="1998" spans="1:20">
      <c r="A1998" s="1">
        <v>8850</v>
      </c>
      <c r="B1998" s="42">
        <v>11.196</v>
      </c>
      <c r="C1998" s="42">
        <v>11.185</v>
      </c>
      <c r="D1998" s="42">
        <v>11.18</v>
      </c>
      <c r="E1998" s="42">
        <v>11.175000000000001</v>
      </c>
      <c r="F1998" s="42">
        <v>11.169</v>
      </c>
      <c r="G1998" s="42">
        <v>11.164</v>
      </c>
      <c r="H1998" s="42">
        <v>11.154</v>
      </c>
      <c r="I1998" s="42">
        <v>11.143000000000001</v>
      </c>
      <c r="J1998" s="21">
        <v>2407</v>
      </c>
      <c r="K1998" s="1">
        <v>8850</v>
      </c>
      <c r="L1998" s="1">
        <v>0</v>
      </c>
      <c r="M1998" s="1">
        <v>0</v>
      </c>
      <c r="N1998" s="1">
        <v>0</v>
      </c>
      <c r="O1998" s="1">
        <v>0</v>
      </c>
      <c r="P1998" s="365">
        <v>0</v>
      </c>
      <c r="Q1998" s="1">
        <v>0</v>
      </c>
      <c r="R1998" s="1">
        <v>0</v>
      </c>
      <c r="S1998" s="1">
        <v>0</v>
      </c>
      <c r="T1998" s="1">
        <v>0</v>
      </c>
    </row>
    <row r="1999" spans="1:20">
      <c r="A1999" s="1">
        <v>8900</v>
      </c>
      <c r="B1999" s="42">
        <v>10.952</v>
      </c>
      <c r="C1999" s="42">
        <v>10.941000000000001</v>
      </c>
      <c r="D1999" s="42">
        <v>10.936</v>
      </c>
      <c r="E1999" s="42">
        <v>10.930999999999999</v>
      </c>
      <c r="F1999" s="42">
        <v>10.926</v>
      </c>
      <c r="G1999" s="42">
        <v>10.920999999999999</v>
      </c>
      <c r="H1999" s="42">
        <v>10.91</v>
      </c>
      <c r="I1999" s="42">
        <v>10.9</v>
      </c>
      <c r="J1999" s="21">
        <v>2357</v>
      </c>
      <c r="K1999" s="1">
        <v>8900</v>
      </c>
      <c r="L1999" s="1">
        <v>0</v>
      </c>
      <c r="M1999" s="1">
        <v>0</v>
      </c>
      <c r="N1999" s="1">
        <v>0</v>
      </c>
      <c r="O1999" s="1">
        <v>0</v>
      </c>
      <c r="P1999" s="365">
        <v>0</v>
      </c>
      <c r="Q1999" s="1">
        <v>0</v>
      </c>
      <c r="R1999" s="1">
        <v>0</v>
      </c>
      <c r="S1999" s="1">
        <v>0</v>
      </c>
      <c r="T1999" s="1">
        <v>0</v>
      </c>
    </row>
    <row r="2000" spans="1:20">
      <c r="A2000" s="1">
        <v>8950</v>
      </c>
      <c r="B2000" s="42">
        <v>10.709</v>
      </c>
      <c r="C2000" s="42">
        <v>10.699</v>
      </c>
      <c r="D2000" s="42">
        <v>10.693</v>
      </c>
      <c r="E2000" s="42">
        <v>10.688000000000001</v>
      </c>
      <c r="F2000" s="42">
        <v>10.683</v>
      </c>
      <c r="G2000" s="42">
        <v>10.678000000000001</v>
      </c>
      <c r="H2000" s="42">
        <v>10.667</v>
      </c>
      <c r="I2000" s="42">
        <v>10.657</v>
      </c>
      <c r="J2000" s="21">
        <v>2307</v>
      </c>
      <c r="K2000" s="1">
        <v>8950</v>
      </c>
      <c r="L2000" s="1">
        <v>0</v>
      </c>
      <c r="M2000" s="1">
        <v>0</v>
      </c>
      <c r="N2000" s="1">
        <v>0</v>
      </c>
      <c r="O2000" s="1">
        <v>0</v>
      </c>
      <c r="P2000" s="365">
        <v>0</v>
      </c>
      <c r="Q2000" s="1">
        <v>0</v>
      </c>
      <c r="R2000" s="1">
        <v>0</v>
      </c>
      <c r="S2000" s="1">
        <v>0</v>
      </c>
      <c r="T2000" s="1">
        <v>0</v>
      </c>
    </row>
    <row r="2001" spans="1:20">
      <c r="A2001" s="1">
        <v>9000</v>
      </c>
      <c r="B2001" s="42">
        <v>10.467000000000001</v>
      </c>
      <c r="C2001" s="42">
        <v>10.456</v>
      </c>
      <c r="D2001" s="42">
        <v>10.451000000000001</v>
      </c>
      <c r="E2001" s="42">
        <v>10.446</v>
      </c>
      <c r="F2001" s="42">
        <v>10.441000000000001</v>
      </c>
      <c r="G2001" s="42">
        <v>10.435</v>
      </c>
      <c r="H2001" s="42">
        <v>10.425000000000001</v>
      </c>
      <c r="I2001" s="42">
        <v>10.414999999999999</v>
      </c>
      <c r="J2001" s="21">
        <v>2257</v>
      </c>
      <c r="K2001" s="1">
        <v>9000</v>
      </c>
      <c r="L2001" s="1">
        <v>0</v>
      </c>
      <c r="M2001" s="1">
        <v>0</v>
      </c>
      <c r="N2001" s="1">
        <v>0</v>
      </c>
      <c r="O2001" s="1">
        <v>0</v>
      </c>
      <c r="P2001" s="365">
        <v>0</v>
      </c>
      <c r="Q2001" s="1">
        <v>0</v>
      </c>
      <c r="R2001" s="1">
        <v>0</v>
      </c>
      <c r="S2001" s="1">
        <v>0</v>
      </c>
      <c r="T2001" s="1">
        <v>0</v>
      </c>
    </row>
    <row r="2002" spans="1:20">
      <c r="A2002" s="1">
        <v>9050</v>
      </c>
      <c r="B2002" s="42">
        <v>10.225</v>
      </c>
      <c r="C2002" s="42">
        <v>10.215</v>
      </c>
      <c r="D2002" s="42">
        <v>10.209</v>
      </c>
      <c r="E2002" s="42">
        <v>10.204000000000001</v>
      </c>
      <c r="F2002" s="42">
        <v>10.199</v>
      </c>
      <c r="G2002" s="42">
        <v>10.194000000000001</v>
      </c>
      <c r="H2002" s="42">
        <v>10.183</v>
      </c>
      <c r="I2002" s="42">
        <v>10.173</v>
      </c>
      <c r="J2002" s="21">
        <v>2207</v>
      </c>
      <c r="K2002" s="1">
        <v>9050</v>
      </c>
      <c r="L2002" s="1">
        <v>0</v>
      </c>
      <c r="M2002" s="1">
        <v>0</v>
      </c>
      <c r="N2002" s="1">
        <v>0</v>
      </c>
      <c r="O2002" s="1">
        <v>0</v>
      </c>
      <c r="P2002" s="365">
        <v>0</v>
      </c>
      <c r="Q2002" s="1">
        <v>0</v>
      </c>
      <c r="R2002" s="1">
        <v>0</v>
      </c>
      <c r="S2002" s="1">
        <v>0</v>
      </c>
      <c r="T2002" s="1">
        <v>0</v>
      </c>
    </row>
    <row r="2003" spans="1:20">
      <c r="A2003" s="1">
        <v>9100</v>
      </c>
      <c r="B2003" s="42">
        <v>9.984</v>
      </c>
      <c r="C2003" s="42">
        <v>9.9740000000000002</v>
      </c>
      <c r="D2003" s="42">
        <v>9.968</v>
      </c>
      <c r="E2003" s="42">
        <v>9.9629999999999992</v>
      </c>
      <c r="F2003" s="42">
        <v>9.9580000000000002</v>
      </c>
      <c r="G2003" s="42">
        <v>9.9529999999999994</v>
      </c>
      <c r="H2003" s="42">
        <v>9.9429999999999996</v>
      </c>
      <c r="I2003" s="42">
        <v>9.9320000000000004</v>
      </c>
      <c r="J2003" s="21">
        <v>2157</v>
      </c>
      <c r="K2003" s="1">
        <v>9100</v>
      </c>
      <c r="L2003" s="1">
        <v>0</v>
      </c>
      <c r="M2003" s="1">
        <v>0</v>
      </c>
      <c r="N2003" s="1">
        <v>0</v>
      </c>
      <c r="O2003" s="1">
        <v>0</v>
      </c>
      <c r="P2003" s="365">
        <v>0</v>
      </c>
      <c r="Q2003" s="1">
        <v>0</v>
      </c>
      <c r="R2003" s="1">
        <v>0</v>
      </c>
      <c r="S2003" s="1">
        <v>0</v>
      </c>
      <c r="T2003" s="1">
        <v>0</v>
      </c>
    </row>
    <row r="2004" spans="1:20">
      <c r="A2004" s="1">
        <v>9150</v>
      </c>
      <c r="B2004" s="42">
        <v>9.7439999999999998</v>
      </c>
      <c r="C2004" s="42">
        <v>9.7330000000000005</v>
      </c>
      <c r="D2004" s="42">
        <v>9.7279999999999998</v>
      </c>
      <c r="E2004" s="42">
        <v>9.7230000000000008</v>
      </c>
      <c r="F2004" s="42">
        <v>9.718</v>
      </c>
      <c r="G2004" s="42">
        <v>9.7129999999999992</v>
      </c>
      <c r="H2004" s="42">
        <v>9.702</v>
      </c>
      <c r="I2004" s="42">
        <v>9.6920000000000002</v>
      </c>
      <c r="J2004" s="21">
        <v>2107</v>
      </c>
      <c r="K2004" s="1">
        <v>9150</v>
      </c>
      <c r="L2004" s="1">
        <v>0</v>
      </c>
      <c r="M2004" s="1">
        <v>0</v>
      </c>
      <c r="N2004" s="1">
        <v>0</v>
      </c>
      <c r="O2004" s="1">
        <v>0</v>
      </c>
      <c r="P2004" s="365">
        <v>0</v>
      </c>
      <c r="Q2004" s="1">
        <v>0</v>
      </c>
      <c r="R2004" s="1">
        <v>0</v>
      </c>
      <c r="S2004" s="1">
        <v>0</v>
      </c>
      <c r="T2004" s="1">
        <v>0</v>
      </c>
    </row>
    <row r="2005" spans="1:20">
      <c r="A2005" s="1">
        <v>9200</v>
      </c>
      <c r="B2005" s="42">
        <v>9.5039999999999996</v>
      </c>
      <c r="C2005" s="42">
        <v>9.4939999999999998</v>
      </c>
      <c r="D2005" s="42">
        <v>9.4890000000000008</v>
      </c>
      <c r="E2005" s="42">
        <v>9.4830000000000005</v>
      </c>
      <c r="F2005" s="42">
        <v>9.4779999999999998</v>
      </c>
      <c r="G2005" s="42">
        <v>9.4730000000000008</v>
      </c>
      <c r="H2005" s="42">
        <v>9.4629999999999992</v>
      </c>
      <c r="I2005" s="42">
        <v>9.4529999999999994</v>
      </c>
      <c r="J2005" s="21">
        <v>2057</v>
      </c>
      <c r="K2005" s="1">
        <v>9200</v>
      </c>
      <c r="L2005" s="1">
        <v>0</v>
      </c>
      <c r="M2005" s="1">
        <v>0</v>
      </c>
      <c r="N2005" s="1">
        <v>0</v>
      </c>
      <c r="O2005" s="1">
        <v>0</v>
      </c>
      <c r="P2005" s="365">
        <v>0</v>
      </c>
      <c r="Q2005" s="1">
        <v>0</v>
      </c>
      <c r="R2005" s="1">
        <v>0</v>
      </c>
      <c r="S2005" s="1">
        <v>0</v>
      </c>
      <c r="T2005" s="1">
        <v>0</v>
      </c>
    </row>
    <row r="2006" spans="1:20">
      <c r="A2006" s="1">
        <v>9250</v>
      </c>
      <c r="B2006" s="42">
        <v>9.2650000000000006</v>
      </c>
      <c r="C2006" s="42">
        <v>9.2550000000000008</v>
      </c>
      <c r="D2006" s="42">
        <v>9.25</v>
      </c>
      <c r="E2006" s="42">
        <v>9.2449999999999992</v>
      </c>
      <c r="F2006" s="42">
        <v>9.2390000000000008</v>
      </c>
      <c r="G2006" s="42">
        <v>9.234</v>
      </c>
      <c r="H2006" s="42">
        <v>9.2240000000000002</v>
      </c>
      <c r="I2006" s="42">
        <v>9.2140000000000004</v>
      </c>
      <c r="J2006" s="21">
        <v>2007</v>
      </c>
      <c r="K2006" s="1">
        <v>9250</v>
      </c>
      <c r="L2006" s="1">
        <v>0</v>
      </c>
      <c r="M2006" s="1">
        <v>0</v>
      </c>
      <c r="N2006" s="1">
        <v>0</v>
      </c>
      <c r="O2006" s="1">
        <v>0</v>
      </c>
      <c r="P2006" s="365">
        <v>0</v>
      </c>
      <c r="Q2006" s="1">
        <v>0</v>
      </c>
      <c r="R2006" s="1">
        <v>0</v>
      </c>
      <c r="S2006" s="1">
        <v>0</v>
      </c>
      <c r="T2006" s="1">
        <v>0</v>
      </c>
    </row>
    <row r="2007" spans="1:20">
      <c r="A2007" s="1">
        <v>9300</v>
      </c>
      <c r="B2007" s="42">
        <v>9.0269999999999992</v>
      </c>
      <c r="C2007" s="42">
        <v>9.016</v>
      </c>
      <c r="D2007" s="42">
        <v>9.0109999999999992</v>
      </c>
      <c r="E2007" s="42">
        <v>9.0060000000000002</v>
      </c>
      <c r="F2007" s="42">
        <v>9.0009999999999994</v>
      </c>
      <c r="G2007" s="42">
        <v>8.9960000000000004</v>
      </c>
      <c r="H2007" s="42">
        <v>8.9860000000000007</v>
      </c>
      <c r="I2007" s="42">
        <v>8.9760000000000009</v>
      </c>
      <c r="J2007" s="21">
        <v>1957</v>
      </c>
      <c r="K2007" s="1">
        <v>9300</v>
      </c>
      <c r="L2007" s="1">
        <v>0</v>
      </c>
      <c r="M2007" s="1">
        <v>0</v>
      </c>
      <c r="N2007" s="1">
        <v>0</v>
      </c>
      <c r="O2007" s="1">
        <v>0</v>
      </c>
      <c r="P2007" s="365">
        <v>0</v>
      </c>
      <c r="Q2007" s="1">
        <v>0</v>
      </c>
      <c r="R2007" s="1">
        <v>0</v>
      </c>
      <c r="S2007" s="1">
        <v>0</v>
      </c>
      <c r="T2007" s="1">
        <v>0</v>
      </c>
    </row>
    <row r="2008" spans="1:20">
      <c r="A2008" s="1">
        <v>9350</v>
      </c>
      <c r="B2008" s="42">
        <v>8.7889999999999997</v>
      </c>
      <c r="C2008" s="42">
        <v>8.7789999999999999</v>
      </c>
      <c r="D2008" s="42">
        <v>8.7739999999999991</v>
      </c>
      <c r="E2008" s="42">
        <v>8.7690000000000001</v>
      </c>
      <c r="F2008" s="42">
        <v>8.7639999999999993</v>
      </c>
      <c r="G2008" s="42">
        <v>8.7579999999999991</v>
      </c>
      <c r="H2008" s="42">
        <v>8.7479999999999993</v>
      </c>
      <c r="I2008" s="42">
        <v>8.7379999999999995</v>
      </c>
      <c r="J2008" s="21">
        <v>1907</v>
      </c>
      <c r="K2008" s="1">
        <v>9350</v>
      </c>
      <c r="L2008" s="1">
        <v>0</v>
      </c>
      <c r="M2008" s="1">
        <v>0</v>
      </c>
      <c r="N2008" s="1">
        <v>0</v>
      </c>
      <c r="O2008" s="1">
        <v>0</v>
      </c>
      <c r="P2008" s="365">
        <v>0</v>
      </c>
      <c r="Q2008" s="1">
        <v>0</v>
      </c>
      <c r="R2008" s="1">
        <v>0</v>
      </c>
      <c r="S2008" s="1">
        <v>0</v>
      </c>
      <c r="T2008" s="1">
        <v>0</v>
      </c>
    </row>
    <row r="2009" spans="1:20">
      <c r="A2009" s="1">
        <v>9400</v>
      </c>
      <c r="B2009" s="42">
        <v>8.5519999999999996</v>
      </c>
      <c r="C2009" s="42">
        <v>8.5419999999999998</v>
      </c>
      <c r="D2009" s="42">
        <v>8.5370000000000008</v>
      </c>
      <c r="E2009" s="42">
        <v>8.532</v>
      </c>
      <c r="F2009" s="42">
        <v>8.5269999999999992</v>
      </c>
      <c r="G2009" s="42">
        <v>8.5220000000000002</v>
      </c>
      <c r="H2009" s="42">
        <v>8.5109999999999992</v>
      </c>
      <c r="I2009" s="42">
        <v>8.5009999999999994</v>
      </c>
      <c r="J2009" s="21">
        <v>1857</v>
      </c>
      <c r="K2009" s="1">
        <v>9400</v>
      </c>
      <c r="L2009" s="1">
        <v>0</v>
      </c>
      <c r="M2009" s="1">
        <v>0</v>
      </c>
      <c r="N2009" s="1">
        <v>0</v>
      </c>
      <c r="O2009" s="1">
        <v>0</v>
      </c>
      <c r="P2009" s="365">
        <v>0</v>
      </c>
      <c r="Q2009" s="1">
        <v>0</v>
      </c>
      <c r="R2009" s="1">
        <v>0</v>
      </c>
      <c r="S2009" s="1">
        <v>0</v>
      </c>
      <c r="T2009" s="1">
        <v>0</v>
      </c>
    </row>
    <row r="2010" spans="1:20">
      <c r="A2010" s="1">
        <v>9450</v>
      </c>
      <c r="B2010" s="42">
        <v>8.3160000000000007</v>
      </c>
      <c r="C2010" s="42">
        <v>8.3059999999999992</v>
      </c>
      <c r="D2010" s="42">
        <v>8.3010000000000002</v>
      </c>
      <c r="E2010" s="42">
        <v>8.2959999999999994</v>
      </c>
      <c r="F2010" s="42">
        <v>8.2899999999999991</v>
      </c>
      <c r="G2010" s="42">
        <v>8.2850000000000001</v>
      </c>
      <c r="H2010" s="42">
        <v>8.2750000000000004</v>
      </c>
      <c r="I2010" s="42">
        <v>8.2650000000000006</v>
      </c>
      <c r="J2010" s="21">
        <v>1807</v>
      </c>
      <c r="K2010" s="1">
        <v>9450</v>
      </c>
      <c r="L2010" s="1">
        <v>0</v>
      </c>
      <c r="M2010" s="1">
        <v>0</v>
      </c>
      <c r="N2010" s="1">
        <v>0</v>
      </c>
      <c r="O2010" s="1">
        <v>0</v>
      </c>
      <c r="P2010" s="365">
        <v>0</v>
      </c>
      <c r="Q2010" s="1">
        <v>0</v>
      </c>
      <c r="R2010" s="1">
        <v>0</v>
      </c>
      <c r="S2010" s="1">
        <v>0</v>
      </c>
      <c r="T2010" s="1">
        <v>0</v>
      </c>
    </row>
    <row r="2011" spans="1:20">
      <c r="A2011" s="1">
        <v>9500</v>
      </c>
      <c r="B2011" s="42">
        <v>8.08</v>
      </c>
      <c r="C2011" s="42">
        <v>8.07</v>
      </c>
      <c r="D2011" s="42">
        <v>8.0649999999999995</v>
      </c>
      <c r="E2011" s="42">
        <v>8.06</v>
      </c>
      <c r="F2011" s="42">
        <v>8.0549999999999997</v>
      </c>
      <c r="G2011" s="42">
        <v>8.0500000000000007</v>
      </c>
      <c r="H2011" s="42">
        <v>8.0399999999999991</v>
      </c>
      <c r="I2011" s="42">
        <v>8.0299999999999994</v>
      </c>
      <c r="J2011" s="21">
        <v>1757</v>
      </c>
      <c r="K2011" s="1">
        <v>9500</v>
      </c>
      <c r="L2011" s="1">
        <v>0</v>
      </c>
      <c r="M2011" s="1">
        <v>0</v>
      </c>
      <c r="N2011" s="1">
        <v>0</v>
      </c>
      <c r="O2011" s="1">
        <v>0</v>
      </c>
      <c r="P2011" s="365">
        <v>0</v>
      </c>
      <c r="Q2011" s="1">
        <v>0</v>
      </c>
      <c r="R2011" s="1">
        <v>0</v>
      </c>
      <c r="S2011" s="1">
        <v>0</v>
      </c>
      <c r="T2011" s="1">
        <v>0</v>
      </c>
    </row>
    <row r="2012" spans="1:20">
      <c r="A2012" s="1">
        <v>9550</v>
      </c>
      <c r="B2012" s="42">
        <v>7.8449999999999998</v>
      </c>
      <c r="C2012" s="42">
        <v>7.835</v>
      </c>
      <c r="D2012" s="42">
        <v>7.83</v>
      </c>
      <c r="E2012" s="42">
        <v>7.8250000000000002</v>
      </c>
      <c r="F2012" s="42">
        <v>7.82</v>
      </c>
      <c r="G2012" s="42">
        <v>7.8150000000000004</v>
      </c>
      <c r="H2012" s="42">
        <v>7.8049999999999997</v>
      </c>
      <c r="I2012" s="42">
        <v>7.7949999999999999</v>
      </c>
      <c r="J2012" s="21">
        <v>1707</v>
      </c>
      <c r="K2012" s="1">
        <v>9550</v>
      </c>
      <c r="L2012" s="1">
        <v>0</v>
      </c>
      <c r="M2012" s="1">
        <v>0</v>
      </c>
      <c r="N2012" s="1">
        <v>0</v>
      </c>
      <c r="O2012" s="1">
        <v>0</v>
      </c>
      <c r="P2012" s="365">
        <v>0</v>
      </c>
      <c r="Q2012" s="1">
        <v>0</v>
      </c>
      <c r="R2012" s="1">
        <v>0</v>
      </c>
      <c r="S2012" s="1">
        <v>0</v>
      </c>
      <c r="T2012" s="1">
        <v>0</v>
      </c>
    </row>
    <row r="2013" spans="1:20">
      <c r="A2013" s="1">
        <v>9600</v>
      </c>
      <c r="B2013" s="42">
        <v>7.6109999999999998</v>
      </c>
      <c r="C2013" s="42">
        <v>7.601</v>
      </c>
      <c r="D2013" s="42">
        <v>7.5960000000000001</v>
      </c>
      <c r="E2013" s="42">
        <v>7.5910000000000002</v>
      </c>
      <c r="F2013" s="42">
        <v>7.5860000000000003</v>
      </c>
      <c r="G2013" s="42">
        <v>7.5810000000000004</v>
      </c>
      <c r="H2013" s="42">
        <v>7.5709999999999997</v>
      </c>
      <c r="I2013" s="42">
        <v>7.5609999999999999</v>
      </c>
      <c r="J2013" s="21">
        <v>1657</v>
      </c>
      <c r="K2013" s="1">
        <v>9600</v>
      </c>
      <c r="L2013" s="1">
        <v>0</v>
      </c>
      <c r="M2013" s="1">
        <v>0</v>
      </c>
      <c r="N2013" s="1">
        <v>0</v>
      </c>
      <c r="O2013" s="1">
        <v>0</v>
      </c>
      <c r="P2013" s="365">
        <v>0</v>
      </c>
      <c r="Q2013" s="1">
        <v>0</v>
      </c>
      <c r="R2013" s="1">
        <v>0</v>
      </c>
      <c r="S2013" s="1">
        <v>0</v>
      </c>
      <c r="T2013" s="1">
        <v>0</v>
      </c>
    </row>
    <row r="2014" spans="1:20">
      <c r="A2014" s="1">
        <v>9650</v>
      </c>
      <c r="B2014" s="42">
        <v>7.3769999999999998</v>
      </c>
      <c r="C2014" s="42">
        <v>7.367</v>
      </c>
      <c r="D2014" s="42">
        <v>7.3620000000000001</v>
      </c>
      <c r="E2014" s="42">
        <v>7.3570000000000002</v>
      </c>
      <c r="F2014" s="42">
        <v>7.3520000000000003</v>
      </c>
      <c r="G2014" s="42">
        <v>7.3470000000000004</v>
      </c>
      <c r="H2014" s="42">
        <v>7.3369999999999997</v>
      </c>
      <c r="I2014" s="42">
        <v>7.327</v>
      </c>
      <c r="J2014" s="21">
        <v>1607</v>
      </c>
      <c r="K2014" s="1">
        <v>9650</v>
      </c>
      <c r="L2014" s="1">
        <v>0</v>
      </c>
      <c r="M2014" s="1">
        <v>0</v>
      </c>
      <c r="N2014" s="1">
        <v>0</v>
      </c>
      <c r="O2014" s="1">
        <v>0</v>
      </c>
      <c r="P2014" s="365">
        <v>0</v>
      </c>
      <c r="Q2014" s="1">
        <v>0</v>
      </c>
      <c r="R2014" s="1">
        <v>0</v>
      </c>
      <c r="S2014" s="1">
        <v>0</v>
      </c>
      <c r="T2014" s="1">
        <v>0</v>
      </c>
    </row>
    <row r="2015" spans="1:20">
      <c r="A2015" s="1">
        <v>9700</v>
      </c>
      <c r="B2015" s="42">
        <v>7.1440000000000001</v>
      </c>
      <c r="C2015" s="42">
        <v>7.1340000000000003</v>
      </c>
      <c r="D2015" s="42">
        <v>7.1289999999999996</v>
      </c>
      <c r="E2015" s="42">
        <v>7.1239999999999997</v>
      </c>
      <c r="F2015" s="42">
        <v>7.1189999999999998</v>
      </c>
      <c r="G2015" s="42">
        <v>7.1139999999999999</v>
      </c>
      <c r="H2015" s="42">
        <v>7.1040000000000001</v>
      </c>
      <c r="I2015" s="42">
        <v>7.0940000000000003</v>
      </c>
      <c r="J2015" s="21">
        <v>1557</v>
      </c>
      <c r="K2015" s="1">
        <v>9700</v>
      </c>
      <c r="L2015" s="1">
        <v>0</v>
      </c>
      <c r="M2015" s="1">
        <v>0</v>
      </c>
      <c r="N2015" s="1">
        <v>0</v>
      </c>
      <c r="O2015" s="1">
        <v>0</v>
      </c>
      <c r="P2015" s="365">
        <v>0</v>
      </c>
      <c r="Q2015" s="1">
        <v>0</v>
      </c>
      <c r="R2015" s="1">
        <v>0</v>
      </c>
      <c r="S2015" s="1">
        <v>0</v>
      </c>
      <c r="T2015" s="1">
        <v>0</v>
      </c>
    </row>
    <row r="2016" spans="1:20">
      <c r="A2016" s="1">
        <v>9750</v>
      </c>
      <c r="B2016" s="42">
        <v>6.9119999999999999</v>
      </c>
      <c r="C2016" s="42">
        <v>6.9020000000000001</v>
      </c>
      <c r="D2016" s="42">
        <v>6.8970000000000002</v>
      </c>
      <c r="E2016" s="42">
        <v>6.8920000000000003</v>
      </c>
      <c r="F2016" s="42">
        <v>6.8869999999999996</v>
      </c>
      <c r="G2016" s="42">
        <v>6.8819999999999997</v>
      </c>
      <c r="H2016" s="42">
        <v>6.8719999999999999</v>
      </c>
      <c r="I2016" s="42">
        <v>6.8620000000000001</v>
      </c>
      <c r="J2016" s="21">
        <v>1507</v>
      </c>
      <c r="K2016" s="1">
        <v>9750</v>
      </c>
      <c r="L2016" s="1">
        <v>0</v>
      </c>
      <c r="M2016" s="1">
        <v>0</v>
      </c>
      <c r="N2016" s="1">
        <v>0</v>
      </c>
      <c r="O2016" s="1">
        <v>0</v>
      </c>
      <c r="P2016" s="365">
        <v>0</v>
      </c>
      <c r="Q2016" s="1">
        <v>0</v>
      </c>
      <c r="R2016" s="1">
        <v>0</v>
      </c>
      <c r="S2016" s="1">
        <v>0</v>
      </c>
      <c r="T2016" s="1">
        <v>0</v>
      </c>
    </row>
    <row r="2017" spans="1:20">
      <c r="A2017" s="1">
        <v>9800</v>
      </c>
      <c r="B2017" s="42">
        <v>6.68</v>
      </c>
      <c r="C2017" s="42">
        <v>6.6710000000000003</v>
      </c>
      <c r="D2017" s="42">
        <v>6.6660000000000004</v>
      </c>
      <c r="E2017" s="42">
        <v>6.6609999999999996</v>
      </c>
      <c r="F2017" s="42">
        <v>6.6559999999999997</v>
      </c>
      <c r="G2017" s="42">
        <v>6.6509999999999998</v>
      </c>
      <c r="H2017" s="42">
        <v>6.641</v>
      </c>
      <c r="I2017" s="42">
        <v>6.6310000000000002</v>
      </c>
      <c r="J2017" s="21">
        <v>1457</v>
      </c>
      <c r="K2017" s="1">
        <v>9800</v>
      </c>
      <c r="L2017" s="1">
        <v>0</v>
      </c>
      <c r="M2017" s="1">
        <v>0</v>
      </c>
      <c r="N2017" s="1">
        <v>0</v>
      </c>
      <c r="O2017" s="1">
        <v>0</v>
      </c>
      <c r="P2017" s="365">
        <v>0</v>
      </c>
      <c r="Q2017" s="1">
        <v>0</v>
      </c>
      <c r="R2017" s="1">
        <v>0</v>
      </c>
      <c r="S2017" s="1">
        <v>0</v>
      </c>
      <c r="T2017" s="1">
        <v>0</v>
      </c>
    </row>
    <row r="2018" spans="1:20">
      <c r="A2018" s="1">
        <v>9850</v>
      </c>
      <c r="B2018" s="42">
        <v>6.45</v>
      </c>
      <c r="C2018" s="42">
        <v>6.44</v>
      </c>
      <c r="D2018" s="42">
        <v>6.4349999999999996</v>
      </c>
      <c r="E2018" s="42">
        <v>6.43</v>
      </c>
      <c r="F2018" s="42">
        <v>6.4249999999999998</v>
      </c>
      <c r="G2018" s="42">
        <v>6.42</v>
      </c>
      <c r="H2018" s="42">
        <v>6.41</v>
      </c>
      <c r="I2018" s="42">
        <v>6.4</v>
      </c>
      <c r="J2018" s="21">
        <v>1407</v>
      </c>
      <c r="K2018" s="1">
        <v>9850</v>
      </c>
      <c r="L2018" s="1">
        <v>0</v>
      </c>
      <c r="M2018" s="1">
        <v>0</v>
      </c>
      <c r="N2018" s="1">
        <v>0</v>
      </c>
      <c r="O2018" s="1">
        <v>0</v>
      </c>
      <c r="P2018" s="365">
        <v>0</v>
      </c>
      <c r="Q2018" s="1">
        <v>0</v>
      </c>
      <c r="R2018" s="1">
        <v>0</v>
      </c>
      <c r="S2018" s="1">
        <v>0</v>
      </c>
      <c r="T2018" s="1">
        <v>0</v>
      </c>
    </row>
    <row r="2019" spans="1:20">
      <c r="A2019" s="1">
        <v>9900</v>
      </c>
      <c r="B2019" s="42">
        <v>6.2190000000000003</v>
      </c>
      <c r="C2019" s="42">
        <v>6.2089999999999996</v>
      </c>
      <c r="D2019" s="42">
        <v>6.2039999999999997</v>
      </c>
      <c r="E2019" s="42">
        <v>6.1989999999999998</v>
      </c>
      <c r="F2019" s="42">
        <v>6.1950000000000003</v>
      </c>
      <c r="G2019" s="42">
        <v>6.19</v>
      </c>
      <c r="H2019" s="42">
        <v>6.18</v>
      </c>
      <c r="I2019" s="42">
        <v>6.17</v>
      </c>
      <c r="J2019" s="21">
        <v>1357</v>
      </c>
      <c r="K2019" s="1">
        <v>9900</v>
      </c>
      <c r="L2019" s="1">
        <v>0</v>
      </c>
      <c r="M2019" s="1">
        <v>0</v>
      </c>
      <c r="N2019" s="1">
        <v>0</v>
      </c>
      <c r="O2019" s="1">
        <v>0</v>
      </c>
      <c r="P2019" s="365">
        <v>0</v>
      </c>
      <c r="Q2019" s="1">
        <v>0</v>
      </c>
      <c r="R2019" s="1">
        <v>0</v>
      </c>
      <c r="S2019" s="1">
        <v>0</v>
      </c>
      <c r="T2019" s="1">
        <v>0</v>
      </c>
    </row>
    <row r="2020" spans="1:20">
      <c r="A2020" s="1">
        <v>9950</v>
      </c>
      <c r="B2020" s="42">
        <v>5.99</v>
      </c>
      <c r="C2020" s="42">
        <v>5.98</v>
      </c>
      <c r="D2020" s="42">
        <v>5.9749999999999996</v>
      </c>
      <c r="E2020" s="42">
        <v>5.97</v>
      </c>
      <c r="F2020" s="42">
        <v>5.9649999999999999</v>
      </c>
      <c r="G2020" s="42">
        <v>5.9690000000000003</v>
      </c>
      <c r="H2020" s="42">
        <v>5.95</v>
      </c>
      <c r="I2020" s="42">
        <v>5.94</v>
      </c>
      <c r="J2020" s="21">
        <v>1307</v>
      </c>
      <c r="K2020" s="1">
        <v>9950</v>
      </c>
      <c r="L2020" s="1">
        <v>0</v>
      </c>
      <c r="M2020" s="1">
        <v>0</v>
      </c>
      <c r="N2020" s="1">
        <v>0</v>
      </c>
      <c r="O2020" s="1">
        <v>0</v>
      </c>
      <c r="P2020" s="365">
        <v>0</v>
      </c>
      <c r="Q2020" s="1">
        <v>0</v>
      </c>
      <c r="R2020" s="1">
        <v>0</v>
      </c>
      <c r="S2020" s="1">
        <v>0</v>
      </c>
      <c r="T2020" s="1">
        <v>0</v>
      </c>
    </row>
    <row r="2021" spans="1:20">
      <c r="A2021" s="1">
        <v>10000</v>
      </c>
      <c r="B2021" s="42">
        <v>5.7610000000000001</v>
      </c>
      <c r="C2021" s="42">
        <v>5.7510000000000003</v>
      </c>
      <c r="D2021" s="42">
        <v>5.7460000000000004</v>
      </c>
      <c r="E2021" s="42">
        <v>5.7409999999999997</v>
      </c>
      <c r="F2021" s="42">
        <v>5.7359999999999998</v>
      </c>
      <c r="G2021" s="42">
        <v>5.7309999999999999</v>
      </c>
      <c r="H2021" s="42">
        <v>5.7210000000000001</v>
      </c>
      <c r="I2021" s="42">
        <v>5.7119999999999997</v>
      </c>
      <c r="J2021" s="21">
        <v>1257</v>
      </c>
      <c r="K2021" s="1">
        <v>10000</v>
      </c>
      <c r="L2021" s="1">
        <v>0</v>
      </c>
      <c r="M2021" s="1">
        <v>0</v>
      </c>
      <c r="N2021" s="1">
        <v>0</v>
      </c>
      <c r="O2021" s="1">
        <v>0</v>
      </c>
      <c r="P2021" s="365">
        <v>0</v>
      </c>
      <c r="Q2021" s="1">
        <v>0</v>
      </c>
      <c r="R2021" s="1">
        <v>0</v>
      </c>
      <c r="S2021" s="1">
        <v>0</v>
      </c>
      <c r="T2021" s="1">
        <v>0</v>
      </c>
    </row>
    <row r="2022" spans="1:20">
      <c r="A2022" s="1">
        <v>10050</v>
      </c>
      <c r="B2022" s="42">
        <v>5.532</v>
      </c>
      <c r="C2022" s="42">
        <v>5.5229999999999997</v>
      </c>
      <c r="D2022" s="42">
        <v>5.5179999999999998</v>
      </c>
      <c r="E2022" s="42">
        <v>5.5129999999999999</v>
      </c>
      <c r="F2022" s="42">
        <v>5.508</v>
      </c>
      <c r="G2022" s="42">
        <v>5.5030000000000001</v>
      </c>
      <c r="H2022" s="42">
        <v>5.4930000000000003</v>
      </c>
      <c r="I2022" s="42">
        <v>5.4829999999999997</v>
      </c>
      <c r="J2022" s="21">
        <v>1207</v>
      </c>
      <c r="K2022" s="1">
        <v>10050</v>
      </c>
      <c r="L2022" s="1">
        <v>0</v>
      </c>
      <c r="M2022" s="1">
        <v>0</v>
      </c>
      <c r="N2022" s="1">
        <v>0</v>
      </c>
      <c r="O2022" s="1">
        <v>0</v>
      </c>
      <c r="P2022" s="365">
        <v>0</v>
      </c>
      <c r="Q2022" s="1">
        <v>0</v>
      </c>
      <c r="R2022" s="1">
        <v>0</v>
      </c>
      <c r="S2022" s="1">
        <v>0</v>
      </c>
      <c r="T2022" s="1">
        <v>0</v>
      </c>
    </row>
    <row r="2023" spans="1:20">
      <c r="A2023" s="1">
        <v>10100</v>
      </c>
      <c r="B2023" s="42">
        <v>5.3049999999999997</v>
      </c>
      <c r="C2023" s="42">
        <v>5.2949999999999999</v>
      </c>
      <c r="D2023" s="42">
        <v>5.29</v>
      </c>
      <c r="E2023" s="42">
        <v>5.2850000000000001</v>
      </c>
      <c r="F2023" s="42">
        <v>5.28</v>
      </c>
      <c r="G2023" s="42">
        <v>5.2759999999999998</v>
      </c>
      <c r="H2023" s="42">
        <v>5.266</v>
      </c>
      <c r="I2023" s="42">
        <v>5.2560000000000002</v>
      </c>
      <c r="J2023" s="21">
        <v>1157</v>
      </c>
      <c r="K2023" s="1">
        <v>10100</v>
      </c>
      <c r="L2023" s="1">
        <v>0</v>
      </c>
      <c r="M2023" s="1">
        <v>0</v>
      </c>
      <c r="N2023" s="1">
        <v>0</v>
      </c>
      <c r="O2023" s="1">
        <v>0</v>
      </c>
      <c r="P2023" s="365">
        <v>0</v>
      </c>
      <c r="Q2023" s="1">
        <v>0</v>
      </c>
      <c r="R2023" s="1">
        <v>0</v>
      </c>
      <c r="S2023" s="1">
        <v>0</v>
      </c>
      <c r="T2023" s="1">
        <v>0</v>
      </c>
    </row>
    <row r="2024" spans="1:20">
      <c r="A2024" s="1">
        <v>10150</v>
      </c>
      <c r="B2024" s="42">
        <v>5.0780000000000003</v>
      </c>
      <c r="C2024" s="42">
        <v>5.0679999999999996</v>
      </c>
      <c r="D2024" s="42">
        <v>5.0629999999999997</v>
      </c>
      <c r="E2024" s="42">
        <v>5.0579999999999998</v>
      </c>
      <c r="F2024" s="42">
        <v>5.0540000000000003</v>
      </c>
      <c r="G2024" s="42">
        <v>5.0490000000000004</v>
      </c>
      <c r="H2024" s="42">
        <v>5.0389999999999997</v>
      </c>
      <c r="I2024" s="42">
        <v>5.0289999999999999</v>
      </c>
      <c r="J2024" s="21">
        <v>1107</v>
      </c>
      <c r="K2024" s="1">
        <v>10150</v>
      </c>
      <c r="L2024" s="1">
        <v>0</v>
      </c>
      <c r="M2024" s="1">
        <v>0</v>
      </c>
      <c r="N2024" s="1">
        <v>0</v>
      </c>
      <c r="O2024" s="1">
        <v>0</v>
      </c>
      <c r="P2024" s="365">
        <v>0</v>
      </c>
      <c r="Q2024" s="1">
        <v>0</v>
      </c>
      <c r="R2024" s="1">
        <v>0</v>
      </c>
      <c r="S2024" s="1">
        <v>0</v>
      </c>
      <c r="T2024" s="1">
        <v>0</v>
      </c>
    </row>
    <row r="2025" spans="1:20">
      <c r="A2025" s="1">
        <v>10200</v>
      </c>
      <c r="B2025" s="42">
        <v>4.8520000000000003</v>
      </c>
      <c r="C2025" s="42">
        <v>4.8419999999999996</v>
      </c>
      <c r="D2025" s="42">
        <v>4.8369999999999997</v>
      </c>
      <c r="E2025" s="42">
        <v>4.8319999999999999</v>
      </c>
      <c r="F2025" s="42">
        <v>4.8209999999999997</v>
      </c>
      <c r="G2025" s="42">
        <v>4.8230000000000004</v>
      </c>
      <c r="H2025" s="42">
        <v>4.8129999999999997</v>
      </c>
      <c r="I2025" s="42">
        <v>4.8029999999999999</v>
      </c>
      <c r="J2025" s="21">
        <v>1057</v>
      </c>
      <c r="K2025" s="1">
        <v>10200</v>
      </c>
      <c r="L2025" s="1">
        <v>0</v>
      </c>
      <c r="M2025" s="1">
        <v>0</v>
      </c>
      <c r="N2025" s="1">
        <v>0</v>
      </c>
      <c r="O2025" s="1">
        <v>0</v>
      </c>
      <c r="P2025" s="365">
        <v>0</v>
      </c>
      <c r="Q2025" s="1">
        <v>0</v>
      </c>
      <c r="R2025" s="1">
        <v>0</v>
      </c>
      <c r="S2025" s="1">
        <v>0</v>
      </c>
      <c r="T2025" s="1">
        <v>0</v>
      </c>
    </row>
    <row r="2026" spans="1:20">
      <c r="A2026" s="1">
        <v>10250</v>
      </c>
      <c r="B2026" s="42">
        <v>4.6260000000000003</v>
      </c>
      <c r="C2026" s="42">
        <v>4.6159999999999997</v>
      </c>
      <c r="D2026" s="42">
        <v>4.6120000000000001</v>
      </c>
      <c r="E2026" s="42">
        <v>4.6070000000000002</v>
      </c>
      <c r="F2026" s="42">
        <v>4.6020000000000003</v>
      </c>
      <c r="G2026" s="42">
        <v>4.5970000000000004</v>
      </c>
      <c r="H2026" s="42">
        <v>4.5869999999999997</v>
      </c>
      <c r="I2026" s="42">
        <v>4.5780000000000003</v>
      </c>
      <c r="J2026" s="21">
        <v>1007</v>
      </c>
      <c r="K2026" s="1">
        <v>10250</v>
      </c>
      <c r="L2026" s="1">
        <v>0</v>
      </c>
      <c r="M2026" s="1">
        <v>0</v>
      </c>
      <c r="N2026" s="1">
        <v>0</v>
      </c>
      <c r="O2026" s="1">
        <v>0</v>
      </c>
      <c r="P2026" s="365">
        <v>0</v>
      </c>
      <c r="Q2026" s="1">
        <v>0</v>
      </c>
      <c r="R2026" s="1">
        <v>0</v>
      </c>
      <c r="S2026" s="1">
        <v>0</v>
      </c>
      <c r="T2026" s="1">
        <v>0</v>
      </c>
    </row>
    <row r="2027" spans="1:20">
      <c r="A2027" s="1">
        <v>10300</v>
      </c>
      <c r="B2027" s="42">
        <v>4.4009999999999998</v>
      </c>
      <c r="C2027" s="42">
        <v>4.3920000000000003</v>
      </c>
      <c r="D2027" s="42">
        <v>4.3869999999999996</v>
      </c>
      <c r="E2027" s="42">
        <v>4.3819999999999997</v>
      </c>
      <c r="F2027" s="42">
        <v>4.3769999999999998</v>
      </c>
      <c r="G2027" s="42">
        <v>4.3719999999999999</v>
      </c>
      <c r="H2027" s="42">
        <v>4.3630000000000004</v>
      </c>
      <c r="I2027" s="42">
        <v>4.3529999999999998</v>
      </c>
      <c r="J2027" s="21">
        <v>957</v>
      </c>
      <c r="K2027" s="1">
        <v>10300</v>
      </c>
      <c r="L2027" s="1">
        <v>0</v>
      </c>
      <c r="M2027" s="1">
        <v>0</v>
      </c>
      <c r="N2027" s="1">
        <v>0</v>
      </c>
      <c r="O2027" s="1">
        <v>0</v>
      </c>
      <c r="P2027" s="365">
        <v>0</v>
      </c>
      <c r="Q2027" s="1">
        <v>0</v>
      </c>
      <c r="R2027" s="1">
        <v>0</v>
      </c>
      <c r="S2027" s="1">
        <v>0</v>
      </c>
      <c r="T2027" s="1">
        <v>0</v>
      </c>
    </row>
    <row r="2028" spans="1:20">
      <c r="A2028" s="1">
        <v>10350</v>
      </c>
      <c r="B2028" s="42">
        <v>4.1769999999999996</v>
      </c>
      <c r="C2028" s="42">
        <v>4.1669999999999998</v>
      </c>
      <c r="D2028" s="42">
        <v>4.1630000000000003</v>
      </c>
      <c r="E2028" s="42">
        <v>4.1580000000000004</v>
      </c>
      <c r="F2028" s="42">
        <v>4.1529999999999996</v>
      </c>
      <c r="G2028" s="42">
        <v>4.1479999999999997</v>
      </c>
      <c r="H2028" s="42">
        <v>4.1379999999999999</v>
      </c>
      <c r="I2028" s="42">
        <v>4.1289999999999996</v>
      </c>
      <c r="J2028" s="21">
        <v>907</v>
      </c>
      <c r="K2028" s="1">
        <v>10350</v>
      </c>
      <c r="L2028" s="1">
        <v>0</v>
      </c>
      <c r="M2028" s="1">
        <v>0</v>
      </c>
      <c r="N2028" s="1">
        <v>0</v>
      </c>
      <c r="O2028" s="1">
        <v>0</v>
      </c>
      <c r="P2028" s="365">
        <v>0</v>
      </c>
      <c r="Q2028" s="1">
        <v>0</v>
      </c>
      <c r="R2028" s="1">
        <v>0</v>
      </c>
      <c r="S2028" s="1">
        <v>0</v>
      </c>
      <c r="T2028" s="1">
        <v>0</v>
      </c>
    </row>
    <row r="2029" spans="1:20">
      <c r="A2029" s="1">
        <v>10400</v>
      </c>
      <c r="B2029" s="42">
        <v>3.9529999999999998</v>
      </c>
      <c r="C2029" s="42">
        <v>3.944</v>
      </c>
      <c r="D2029" s="42">
        <v>3.9390000000000001</v>
      </c>
      <c r="E2029" s="42">
        <v>3.9340000000000002</v>
      </c>
      <c r="F2029" s="42">
        <v>3.9289999999999998</v>
      </c>
      <c r="G2029" s="42">
        <v>3.9249999999999998</v>
      </c>
      <c r="H2029" s="42">
        <v>3.915</v>
      </c>
      <c r="I2029" s="42">
        <v>3.9049999999999998</v>
      </c>
      <c r="J2029" s="21">
        <v>857</v>
      </c>
      <c r="K2029" s="1">
        <v>10400</v>
      </c>
      <c r="L2029" s="1">
        <v>0</v>
      </c>
      <c r="M2029" s="1">
        <v>0</v>
      </c>
      <c r="N2029" s="1">
        <v>0</v>
      </c>
      <c r="O2029" s="1">
        <v>0</v>
      </c>
      <c r="P2029" s="365">
        <v>0</v>
      </c>
      <c r="Q2029" s="1">
        <v>0</v>
      </c>
      <c r="R2029" s="1">
        <v>0</v>
      </c>
      <c r="S2029" s="1">
        <v>0</v>
      </c>
      <c r="T2029" s="1">
        <v>0</v>
      </c>
    </row>
    <row r="2030" spans="1:20">
      <c r="A2030" s="1">
        <v>10450</v>
      </c>
      <c r="B2030" s="42">
        <v>3.7309999999999999</v>
      </c>
      <c r="C2030" s="42">
        <v>3.7210000000000001</v>
      </c>
      <c r="D2030" s="42">
        <v>3.7160000000000002</v>
      </c>
      <c r="E2030" s="42">
        <v>3.7109999999999999</v>
      </c>
      <c r="F2030" s="42">
        <v>3.7069999999999999</v>
      </c>
      <c r="G2030" s="42">
        <v>3.702</v>
      </c>
      <c r="H2030" s="42">
        <v>3.6920000000000002</v>
      </c>
      <c r="I2030" s="42">
        <v>3.6829999999999998</v>
      </c>
      <c r="J2030" s="21">
        <v>807</v>
      </c>
      <c r="K2030" s="1">
        <v>10450</v>
      </c>
      <c r="L2030" s="1">
        <v>0</v>
      </c>
      <c r="M2030" s="1">
        <v>0</v>
      </c>
      <c r="N2030" s="1">
        <v>0</v>
      </c>
      <c r="O2030" s="1">
        <v>0</v>
      </c>
      <c r="P2030" s="365">
        <v>0</v>
      </c>
      <c r="Q2030" s="1">
        <v>0</v>
      </c>
      <c r="R2030" s="1">
        <v>0</v>
      </c>
      <c r="S2030" s="1">
        <v>0</v>
      </c>
      <c r="T2030" s="1">
        <v>0</v>
      </c>
    </row>
    <row r="2031" spans="1:20">
      <c r="A2031" s="1">
        <v>10500</v>
      </c>
      <c r="B2031" s="42">
        <v>3.508</v>
      </c>
      <c r="C2031" s="42">
        <v>3.4990000000000001</v>
      </c>
      <c r="D2031" s="42">
        <v>3.4940000000000002</v>
      </c>
      <c r="E2031" s="42">
        <v>3.4889999999999999</v>
      </c>
      <c r="F2031" s="42">
        <v>3.484</v>
      </c>
      <c r="G2031" s="42">
        <v>3.48</v>
      </c>
      <c r="H2031" s="42">
        <v>3.47</v>
      </c>
      <c r="I2031" s="42">
        <v>3.4609999999999999</v>
      </c>
      <c r="J2031" s="21">
        <v>757</v>
      </c>
      <c r="K2031" s="1">
        <v>10500</v>
      </c>
      <c r="L2031" s="1">
        <v>0</v>
      </c>
      <c r="M2031" s="1">
        <v>0</v>
      </c>
      <c r="N2031" s="1">
        <v>0</v>
      </c>
      <c r="O2031" s="1">
        <v>0</v>
      </c>
      <c r="P2031" s="365">
        <v>0</v>
      </c>
      <c r="Q2031" s="1">
        <v>0</v>
      </c>
      <c r="R2031" s="1">
        <v>0</v>
      </c>
      <c r="S2031" s="1">
        <v>0</v>
      </c>
      <c r="T2031" s="1">
        <v>0</v>
      </c>
    </row>
    <row r="2032" spans="1:20">
      <c r="A2032" s="1">
        <v>10550</v>
      </c>
      <c r="B2032" s="42">
        <v>3.2869999999999999</v>
      </c>
      <c r="C2032" s="42">
        <v>3.2770000000000001</v>
      </c>
      <c r="D2032" s="42">
        <v>3.2719999999999998</v>
      </c>
      <c r="E2032" s="42">
        <v>3.2679999999999998</v>
      </c>
      <c r="F2032" s="42">
        <v>3.2629999999999999</v>
      </c>
      <c r="G2032" s="42">
        <v>3.258</v>
      </c>
      <c r="H2032" s="42">
        <v>3.2490000000000001</v>
      </c>
      <c r="I2032" s="42">
        <v>3.2389999999999999</v>
      </c>
      <c r="J2032" s="21">
        <v>707</v>
      </c>
      <c r="K2032" s="1">
        <v>10550</v>
      </c>
      <c r="L2032" s="1">
        <v>0</v>
      </c>
      <c r="M2032" s="1">
        <v>0</v>
      </c>
      <c r="N2032" s="1">
        <v>0</v>
      </c>
      <c r="O2032" s="1">
        <v>0</v>
      </c>
      <c r="P2032" s="365">
        <v>0</v>
      </c>
      <c r="Q2032" s="1">
        <v>0</v>
      </c>
      <c r="R2032" s="1">
        <v>0</v>
      </c>
      <c r="S2032" s="1">
        <v>0</v>
      </c>
      <c r="T2032" s="1">
        <v>0</v>
      </c>
    </row>
    <row r="2033" spans="1:20">
      <c r="A2033" s="1">
        <v>10600</v>
      </c>
      <c r="B2033" s="42">
        <v>3.0659999999999998</v>
      </c>
      <c r="C2033" s="42">
        <v>3.056</v>
      </c>
      <c r="D2033" s="42">
        <v>3.052</v>
      </c>
      <c r="E2033" s="42">
        <v>3.0470000000000002</v>
      </c>
      <c r="F2033" s="42">
        <v>3.0419999999999998</v>
      </c>
      <c r="G2033" s="42">
        <v>3.0369999999999999</v>
      </c>
      <c r="H2033" s="42">
        <v>3.028</v>
      </c>
      <c r="I2033" s="42">
        <v>3.0179999999999998</v>
      </c>
      <c r="J2033" s="21">
        <v>657</v>
      </c>
      <c r="K2033" s="1">
        <v>10600</v>
      </c>
      <c r="L2033" s="1">
        <v>0</v>
      </c>
      <c r="M2033" s="1">
        <v>0</v>
      </c>
      <c r="N2033" s="1">
        <v>0</v>
      </c>
      <c r="O2033" s="1">
        <v>0</v>
      </c>
      <c r="P2033" s="365">
        <v>0</v>
      </c>
      <c r="Q2033" s="1">
        <v>0</v>
      </c>
      <c r="R2033" s="1">
        <v>0</v>
      </c>
      <c r="S2033" s="1">
        <v>0</v>
      </c>
      <c r="T2033" s="1">
        <v>0</v>
      </c>
    </row>
    <row r="2034" spans="1:20">
      <c r="A2034" s="1">
        <v>10650</v>
      </c>
      <c r="B2034" s="42">
        <v>2.8460000000000001</v>
      </c>
      <c r="C2034" s="42">
        <v>2.8359999999999999</v>
      </c>
      <c r="D2034" s="42">
        <v>2.831</v>
      </c>
      <c r="E2034" s="42">
        <v>2.827</v>
      </c>
      <c r="F2034" s="42">
        <v>2.8220000000000001</v>
      </c>
      <c r="G2034" s="42">
        <v>2.8170000000000002</v>
      </c>
      <c r="H2034" s="42">
        <v>2.8079999999999998</v>
      </c>
      <c r="I2034" s="42">
        <v>2.798</v>
      </c>
      <c r="J2034" s="21">
        <v>607</v>
      </c>
      <c r="K2034" s="1">
        <v>10650</v>
      </c>
      <c r="L2034" s="1">
        <v>0</v>
      </c>
      <c r="M2034" s="1">
        <v>0</v>
      </c>
      <c r="N2034" s="1">
        <v>0</v>
      </c>
      <c r="O2034" s="1">
        <v>0</v>
      </c>
      <c r="P2034" s="365">
        <v>0</v>
      </c>
      <c r="Q2034" s="1">
        <v>0</v>
      </c>
      <c r="R2034" s="1">
        <v>0</v>
      </c>
      <c r="S2034" s="1">
        <v>0</v>
      </c>
      <c r="T2034" s="1">
        <v>0</v>
      </c>
    </row>
    <row r="2035" spans="1:20">
      <c r="A2035" s="1">
        <v>10700</v>
      </c>
      <c r="B2035" s="42">
        <v>2.6259999999999999</v>
      </c>
      <c r="C2035" s="42">
        <v>2.617</v>
      </c>
      <c r="D2035" s="42">
        <v>2.6120000000000001</v>
      </c>
      <c r="E2035" s="42">
        <v>2.6070000000000002</v>
      </c>
      <c r="F2035" s="42">
        <v>2.6019999999999999</v>
      </c>
      <c r="G2035" s="42">
        <v>2.5979999999999999</v>
      </c>
      <c r="H2035" s="42">
        <v>2.5880000000000001</v>
      </c>
      <c r="I2035" s="42">
        <v>2.5790000000000002</v>
      </c>
      <c r="J2035" s="21">
        <v>557</v>
      </c>
      <c r="K2035" s="1">
        <v>10700</v>
      </c>
      <c r="L2035" s="1">
        <v>0</v>
      </c>
      <c r="M2035" s="1">
        <v>0</v>
      </c>
      <c r="N2035" s="1">
        <v>0</v>
      </c>
      <c r="O2035" s="1">
        <v>0</v>
      </c>
      <c r="P2035" s="365">
        <v>0</v>
      </c>
      <c r="Q2035" s="1">
        <v>0</v>
      </c>
      <c r="R2035" s="1">
        <v>0</v>
      </c>
      <c r="S2035" s="1">
        <v>0</v>
      </c>
      <c r="T2035" s="1">
        <v>0</v>
      </c>
    </row>
    <row r="2036" spans="1:20">
      <c r="A2036" s="1">
        <v>10750</v>
      </c>
      <c r="B2036" s="42">
        <v>2.407</v>
      </c>
      <c r="C2036" s="42">
        <v>2.3980000000000001</v>
      </c>
      <c r="D2036" s="42">
        <v>2.3929999999999998</v>
      </c>
      <c r="E2036" s="42">
        <v>2.3879999999999999</v>
      </c>
      <c r="F2036" s="42">
        <v>2.3839999999999999</v>
      </c>
      <c r="G2036" s="42">
        <v>2.379</v>
      </c>
      <c r="H2036" s="42">
        <v>2.37</v>
      </c>
      <c r="I2036" s="42">
        <v>2.36</v>
      </c>
      <c r="J2036" s="21">
        <v>507</v>
      </c>
      <c r="K2036" s="1">
        <v>10750</v>
      </c>
      <c r="L2036" s="1">
        <v>0</v>
      </c>
      <c r="M2036" s="1">
        <v>0</v>
      </c>
      <c r="N2036" s="1">
        <v>0</v>
      </c>
      <c r="O2036" s="1">
        <v>0</v>
      </c>
      <c r="P2036" s="365">
        <v>0</v>
      </c>
      <c r="Q2036" s="1">
        <v>0</v>
      </c>
      <c r="R2036" s="1">
        <v>0</v>
      </c>
      <c r="S2036" s="1">
        <v>0</v>
      </c>
      <c r="T2036" s="1">
        <v>0</v>
      </c>
    </row>
    <row r="2037" spans="1:20">
      <c r="A2037" s="1">
        <v>10800</v>
      </c>
      <c r="B2037" s="42">
        <v>2.1890000000000001</v>
      </c>
      <c r="C2037" s="42">
        <v>2.1800000000000002</v>
      </c>
      <c r="D2037" s="42">
        <v>2.1749999999999998</v>
      </c>
      <c r="E2037" s="42">
        <v>2.17</v>
      </c>
      <c r="F2037" s="42">
        <v>2.1659999999999999</v>
      </c>
      <c r="G2037" s="42">
        <v>2.161</v>
      </c>
      <c r="H2037" s="42">
        <v>2.1520000000000001</v>
      </c>
      <c r="I2037" s="42">
        <v>2.1419999999999999</v>
      </c>
      <c r="J2037" s="21">
        <v>457</v>
      </c>
      <c r="K2037" s="1">
        <v>10800</v>
      </c>
      <c r="L2037" s="1">
        <v>0</v>
      </c>
      <c r="M2037" s="1">
        <v>0</v>
      </c>
      <c r="N2037" s="1">
        <v>0</v>
      </c>
      <c r="O2037" s="1">
        <v>0</v>
      </c>
      <c r="P2037" s="365">
        <v>0</v>
      </c>
      <c r="Q2037" s="1">
        <v>0</v>
      </c>
      <c r="R2037" s="1">
        <v>0</v>
      </c>
      <c r="S2037" s="1">
        <v>0</v>
      </c>
      <c r="T2037" s="1">
        <v>0</v>
      </c>
    </row>
    <row r="2038" spans="1:20">
      <c r="A2038" s="1">
        <v>10850</v>
      </c>
      <c r="B2038" s="42">
        <v>1.9710000000000001</v>
      </c>
      <c r="C2038" s="42">
        <v>1.962</v>
      </c>
      <c r="D2038" s="42">
        <v>1.9570000000000001</v>
      </c>
      <c r="E2038" s="42">
        <v>1.9530000000000001</v>
      </c>
      <c r="F2038" s="42">
        <v>1.948</v>
      </c>
      <c r="G2038" s="42">
        <v>1.9430000000000001</v>
      </c>
      <c r="H2038" s="42">
        <v>1.9339999999999999</v>
      </c>
      <c r="I2038" s="42">
        <v>1.925</v>
      </c>
      <c r="J2038" s="21">
        <v>407</v>
      </c>
      <c r="K2038" s="1">
        <v>10850</v>
      </c>
      <c r="L2038" s="1">
        <v>0</v>
      </c>
      <c r="M2038" s="1">
        <v>0</v>
      </c>
      <c r="N2038" s="1">
        <v>0</v>
      </c>
      <c r="O2038" s="1">
        <v>0</v>
      </c>
      <c r="P2038" s="365">
        <v>0</v>
      </c>
      <c r="Q2038" s="1">
        <v>0</v>
      </c>
      <c r="R2038" s="1">
        <v>0</v>
      </c>
      <c r="S2038" s="1">
        <v>0</v>
      </c>
      <c r="T2038" s="1">
        <v>0</v>
      </c>
    </row>
    <row r="2039" spans="1:20">
      <c r="A2039" s="1">
        <v>10900</v>
      </c>
      <c r="B2039" s="42">
        <v>1.7549999999999999</v>
      </c>
      <c r="C2039" s="42">
        <v>1.7450000000000001</v>
      </c>
      <c r="D2039" s="42">
        <v>1.7410000000000001</v>
      </c>
      <c r="E2039" s="42">
        <v>1.736</v>
      </c>
      <c r="F2039" s="42">
        <v>1.7310000000000001</v>
      </c>
      <c r="G2039" s="42">
        <v>1.7270000000000001</v>
      </c>
      <c r="H2039" s="42">
        <v>1.7170000000000001</v>
      </c>
      <c r="I2039" s="42">
        <v>1.708</v>
      </c>
      <c r="J2039" s="21">
        <v>357</v>
      </c>
      <c r="K2039" s="1">
        <v>10900</v>
      </c>
      <c r="L2039" s="1">
        <v>0</v>
      </c>
      <c r="M2039" s="1">
        <v>0</v>
      </c>
      <c r="N2039" s="1">
        <v>0</v>
      </c>
      <c r="O2039" s="1">
        <v>0</v>
      </c>
      <c r="P2039" s="365">
        <v>0</v>
      </c>
      <c r="Q2039" s="1">
        <v>0</v>
      </c>
      <c r="R2039" s="1">
        <v>0</v>
      </c>
      <c r="S2039" s="1">
        <v>0</v>
      </c>
      <c r="T2039" s="1">
        <v>0</v>
      </c>
    </row>
    <row r="2040" spans="1:20">
      <c r="A2040" s="1">
        <v>10950</v>
      </c>
      <c r="B2040" s="42">
        <v>1.538</v>
      </c>
      <c r="C2040" s="42">
        <v>1.5289999999999999</v>
      </c>
      <c r="D2040" s="42">
        <v>1.524</v>
      </c>
      <c r="E2040" s="42">
        <v>1.52</v>
      </c>
      <c r="F2040" s="42">
        <v>1.5149999999999999</v>
      </c>
      <c r="G2040" s="42">
        <v>1.5109999999999999</v>
      </c>
      <c r="H2040" s="42">
        <v>1.5009999999999999</v>
      </c>
      <c r="I2040" s="42">
        <v>1.492</v>
      </c>
      <c r="J2040" s="21">
        <v>307</v>
      </c>
      <c r="K2040" s="1">
        <v>10950</v>
      </c>
      <c r="L2040" s="1">
        <v>0</v>
      </c>
      <c r="M2040" s="1">
        <v>0</v>
      </c>
      <c r="N2040" s="1">
        <v>0</v>
      </c>
      <c r="O2040" s="1">
        <v>0</v>
      </c>
      <c r="P2040" s="365">
        <v>0</v>
      </c>
      <c r="Q2040" s="1">
        <v>0</v>
      </c>
      <c r="R2040" s="1">
        <v>0</v>
      </c>
      <c r="S2040" s="1">
        <v>0</v>
      </c>
      <c r="T2040" s="1">
        <v>0</v>
      </c>
    </row>
    <row r="2041" spans="1:20">
      <c r="A2041" s="1">
        <v>11000</v>
      </c>
      <c r="B2041" s="42">
        <v>1.323</v>
      </c>
      <c r="C2041" s="42">
        <v>1.3140000000000001</v>
      </c>
      <c r="D2041" s="42">
        <v>1.3089999999999999</v>
      </c>
      <c r="E2041" s="42">
        <v>1.304</v>
      </c>
      <c r="F2041" s="42">
        <v>1.3</v>
      </c>
      <c r="G2041" s="42">
        <v>1.2949999999999999</v>
      </c>
      <c r="H2041" s="42">
        <v>1.286</v>
      </c>
      <c r="I2041" s="42">
        <v>1.2769999999999999</v>
      </c>
      <c r="J2041" s="21">
        <v>257</v>
      </c>
      <c r="K2041" s="1">
        <v>11000</v>
      </c>
      <c r="L2041" s="1">
        <v>0</v>
      </c>
      <c r="M2041" s="1">
        <v>0</v>
      </c>
      <c r="N2041" s="1">
        <v>0</v>
      </c>
      <c r="O2041" s="1">
        <v>0</v>
      </c>
      <c r="P2041" s="365">
        <v>0</v>
      </c>
      <c r="Q2041" s="1">
        <v>0</v>
      </c>
      <c r="R2041" s="1">
        <v>0</v>
      </c>
      <c r="S2041" s="1">
        <v>0</v>
      </c>
      <c r="T2041" s="1">
        <v>0</v>
      </c>
    </row>
    <row r="2042" spans="1:20">
      <c r="A2042" s="1">
        <v>11050</v>
      </c>
      <c r="B2042" s="42">
        <v>1.1080000000000001</v>
      </c>
      <c r="C2042" s="42">
        <v>1.099</v>
      </c>
      <c r="D2042" s="42">
        <v>1.0940000000000001</v>
      </c>
      <c r="E2042" s="42">
        <v>1.0900000000000001</v>
      </c>
      <c r="F2042" s="42">
        <v>1.085</v>
      </c>
      <c r="G2042" s="42">
        <v>1.08</v>
      </c>
      <c r="H2042" s="42">
        <v>1.071</v>
      </c>
      <c r="I2042" s="42">
        <v>1.0620000000000001</v>
      </c>
      <c r="J2042" s="21">
        <v>207</v>
      </c>
      <c r="K2042" s="1">
        <v>11050</v>
      </c>
      <c r="L2042" s="1">
        <v>0</v>
      </c>
      <c r="M2042" s="1">
        <v>0</v>
      </c>
      <c r="N2042" s="1">
        <v>0</v>
      </c>
      <c r="O2042" s="1">
        <v>0</v>
      </c>
      <c r="P2042" s="365">
        <v>0</v>
      </c>
      <c r="Q2042" s="1">
        <v>0</v>
      </c>
      <c r="R2042" s="1">
        <v>0</v>
      </c>
      <c r="S2042" s="1">
        <v>0</v>
      </c>
      <c r="T2042" s="1">
        <v>0</v>
      </c>
    </row>
    <row r="2043" spans="1:20">
      <c r="A2043" s="1">
        <v>11100</v>
      </c>
      <c r="B2043" s="42">
        <v>0.89400000000000002</v>
      </c>
      <c r="C2043" s="42">
        <v>0.88500000000000001</v>
      </c>
      <c r="D2043" s="42">
        <v>0.88</v>
      </c>
      <c r="E2043" s="42">
        <v>0.875</v>
      </c>
      <c r="F2043" s="42">
        <v>0.871</v>
      </c>
      <c r="G2043" s="42">
        <v>0.86599999999999999</v>
      </c>
      <c r="H2043" s="42">
        <v>0.85699999999999998</v>
      </c>
      <c r="I2043" s="42">
        <v>0.84799999999999998</v>
      </c>
      <c r="J2043" s="21">
        <v>157</v>
      </c>
      <c r="K2043" s="1">
        <v>11100</v>
      </c>
      <c r="L2043" s="1">
        <v>0</v>
      </c>
      <c r="M2043" s="1">
        <v>0</v>
      </c>
      <c r="N2043" s="1">
        <v>0</v>
      </c>
      <c r="O2043" s="1">
        <v>0</v>
      </c>
      <c r="P2043" s="365">
        <v>0</v>
      </c>
      <c r="Q2043" s="1">
        <v>0</v>
      </c>
      <c r="R2043" s="1">
        <v>0</v>
      </c>
      <c r="S2043" s="1">
        <v>0</v>
      </c>
      <c r="T2043" s="1">
        <v>0</v>
      </c>
    </row>
    <row r="2044" spans="1:20">
      <c r="A2044" s="1">
        <v>11150</v>
      </c>
      <c r="B2044" s="42">
        <v>0.68</v>
      </c>
      <c r="C2044" s="42">
        <v>0.67100000000000004</v>
      </c>
      <c r="D2044" s="42">
        <v>0.66700000000000004</v>
      </c>
      <c r="E2044" s="42">
        <v>0.66200000000000003</v>
      </c>
      <c r="F2044" s="42">
        <v>0.65700000000000003</v>
      </c>
      <c r="G2044" s="42">
        <v>0.65300000000000002</v>
      </c>
      <c r="H2044" s="42">
        <v>0.64400000000000002</v>
      </c>
      <c r="I2044" s="42">
        <v>0.63400000000000001</v>
      </c>
      <c r="J2044" s="21">
        <v>107</v>
      </c>
      <c r="K2044" s="1">
        <v>11150</v>
      </c>
      <c r="L2044" s="1">
        <v>0</v>
      </c>
      <c r="M2044" s="1">
        <v>0</v>
      </c>
      <c r="N2044" s="1">
        <v>0</v>
      </c>
      <c r="O2044" s="1">
        <v>0</v>
      </c>
      <c r="P2044" s="365">
        <v>0</v>
      </c>
      <c r="Q2044" s="1">
        <v>0</v>
      </c>
      <c r="R2044" s="1">
        <v>0</v>
      </c>
      <c r="S2044" s="1">
        <v>0</v>
      </c>
      <c r="T2044" s="1">
        <v>0</v>
      </c>
    </row>
    <row r="2045" spans="1:20">
      <c r="A2045" s="1">
        <v>11200</v>
      </c>
      <c r="B2045" s="42">
        <v>0.46700000000000003</v>
      </c>
      <c r="C2045" s="42">
        <v>0.45800000000000002</v>
      </c>
      <c r="D2045" s="42">
        <v>0.45400000000000001</v>
      </c>
      <c r="E2045" s="42">
        <v>0.44900000000000001</v>
      </c>
      <c r="F2045" s="42">
        <v>0.44500000000000001</v>
      </c>
      <c r="G2045" s="42">
        <v>0.44</v>
      </c>
      <c r="H2045" s="42">
        <v>0.43099999999999999</v>
      </c>
      <c r="I2045" s="42">
        <v>0.42199999999999999</v>
      </c>
      <c r="J2045" s="21">
        <v>57</v>
      </c>
      <c r="K2045" s="1">
        <v>11200</v>
      </c>
      <c r="L2045" s="1">
        <v>0</v>
      </c>
      <c r="M2045" s="1">
        <v>0</v>
      </c>
      <c r="N2045" s="1">
        <v>0</v>
      </c>
      <c r="O2045" s="1">
        <v>0</v>
      </c>
      <c r="P2045" s="365">
        <v>0</v>
      </c>
      <c r="Q2045" s="1">
        <v>0</v>
      </c>
      <c r="R2045" s="1">
        <v>0</v>
      </c>
      <c r="S2045" s="1">
        <v>0</v>
      </c>
      <c r="T2045" s="1">
        <v>0</v>
      </c>
    </row>
    <row r="2046" spans="1:20">
      <c r="A2046" s="1">
        <v>11250</v>
      </c>
      <c r="B2046" s="42">
        <v>0.255</v>
      </c>
      <c r="C2046" s="42">
        <v>0.246</v>
      </c>
      <c r="D2046" s="42">
        <v>0.24199999999999999</v>
      </c>
      <c r="E2046" s="42">
        <v>0.23699999999999999</v>
      </c>
      <c r="F2046" s="42">
        <v>0.23200000000000001</v>
      </c>
      <c r="G2046" s="42">
        <v>0.22800000000000001</v>
      </c>
      <c r="H2046" s="42">
        <v>0.219</v>
      </c>
      <c r="I2046" s="42">
        <v>0.21</v>
      </c>
      <c r="J2046" s="21">
        <v>7</v>
      </c>
      <c r="K2046" s="1">
        <v>11250</v>
      </c>
      <c r="L2046" s="1">
        <v>0</v>
      </c>
      <c r="M2046" s="1">
        <v>0</v>
      </c>
      <c r="N2046" s="1">
        <v>0</v>
      </c>
      <c r="O2046" s="1">
        <v>0</v>
      </c>
      <c r="P2046" s="365">
        <v>0</v>
      </c>
      <c r="Q2046" s="1">
        <v>0</v>
      </c>
      <c r="R2046" s="1">
        <v>0</v>
      </c>
      <c r="S2046" s="1">
        <v>0</v>
      </c>
      <c r="T2046" s="1">
        <v>0</v>
      </c>
    </row>
    <row r="2047" spans="1:20">
      <c r="A2047" s="1">
        <v>11257</v>
      </c>
      <c r="B2047" s="42">
        <v>0.22500000000000001</v>
      </c>
      <c r="C2047" s="42">
        <v>0.216</v>
      </c>
      <c r="D2047" s="42">
        <v>0.21099999999999999</v>
      </c>
      <c r="E2047" s="42">
        <v>0.20599999999999999</v>
      </c>
      <c r="F2047" s="42">
        <v>0.20200000000000001</v>
      </c>
      <c r="G2047" s="42">
        <v>0.19700000000000001</v>
      </c>
      <c r="H2047" s="42">
        <v>0.188</v>
      </c>
      <c r="I2047" s="42">
        <v>0.17899999999999999</v>
      </c>
      <c r="J2047" s="21">
        <v>0</v>
      </c>
      <c r="K2047" s="1">
        <v>11257</v>
      </c>
      <c r="L2047" s="1">
        <v>0</v>
      </c>
      <c r="M2047" s="1">
        <v>0</v>
      </c>
      <c r="N2047" s="1">
        <v>0</v>
      </c>
      <c r="O2047" s="1">
        <v>0</v>
      </c>
      <c r="P2047" s="365">
        <v>0</v>
      </c>
      <c r="Q2047" s="1">
        <v>0</v>
      </c>
      <c r="R2047" s="1">
        <v>0</v>
      </c>
      <c r="S2047" s="1">
        <v>0</v>
      </c>
      <c r="T2047" s="1">
        <v>0</v>
      </c>
    </row>
    <row r="2048" spans="1:20" hidden="1">
      <c r="B2048" s="19"/>
      <c r="C2048" s="19"/>
      <c r="D2048" s="19"/>
      <c r="E2048" s="19"/>
      <c r="F2048" s="19"/>
      <c r="G2048" s="19"/>
      <c r="H2048" s="19"/>
      <c r="I2048" s="19"/>
      <c r="J2048" s="19"/>
      <c r="K2048" s="421"/>
      <c r="L2048" s="23"/>
      <c r="M2048" s="19"/>
      <c r="N2048" s="19"/>
      <c r="O2048" s="19"/>
      <c r="P2048" s="19"/>
      <c r="Q2048" s="19"/>
    </row>
    <row r="2049" spans="2:17" hidden="1">
      <c r="B2049" s="19"/>
      <c r="C2049" s="19"/>
      <c r="D2049" s="19"/>
      <c r="E2049" s="19"/>
      <c r="F2049" s="19"/>
      <c r="G2049" s="19"/>
      <c r="H2049" s="19"/>
      <c r="I2049" s="19"/>
      <c r="J2049" s="19"/>
      <c r="K2049" s="421"/>
      <c r="L2049" s="23"/>
      <c r="M2049" s="19"/>
      <c r="N2049" s="19"/>
      <c r="O2049" s="19"/>
      <c r="P2049" s="19"/>
      <c r="Q2049" s="19"/>
    </row>
    <row r="2050" spans="2:17" hidden="1">
      <c r="B2050" s="19"/>
      <c r="C2050" s="19"/>
      <c r="D2050" s="19"/>
      <c r="E2050" s="19"/>
      <c r="F2050" s="19"/>
      <c r="G2050" s="19"/>
      <c r="H2050" s="19"/>
      <c r="I2050" s="19"/>
      <c r="J2050" s="19"/>
      <c r="K2050" s="421"/>
      <c r="L2050" s="23"/>
      <c r="M2050" s="19"/>
      <c r="N2050" s="19"/>
      <c r="O2050" s="19"/>
      <c r="P2050" s="19"/>
      <c r="Q2050" s="19"/>
    </row>
    <row r="2051" spans="2:17" hidden="1">
      <c r="B2051" s="19"/>
      <c r="C2051" s="19"/>
      <c r="D2051" s="19"/>
      <c r="E2051" s="19"/>
      <c r="F2051" s="19"/>
      <c r="G2051" s="19"/>
      <c r="H2051" s="19"/>
      <c r="I2051" s="19"/>
      <c r="J2051" s="19"/>
      <c r="K2051" s="421"/>
      <c r="L2051" s="23"/>
      <c r="M2051" s="19"/>
      <c r="N2051" s="19"/>
      <c r="O2051" s="19"/>
      <c r="P2051" s="19"/>
      <c r="Q2051" s="19"/>
    </row>
    <row r="2052" spans="2:17" hidden="1">
      <c r="B2052" s="19"/>
      <c r="C2052" s="19"/>
      <c r="D2052" s="19"/>
      <c r="E2052" s="19"/>
      <c r="F2052" s="19"/>
      <c r="G2052" s="19"/>
      <c r="H2052" s="19"/>
      <c r="I2052" s="19"/>
      <c r="J2052" s="19"/>
      <c r="K2052" s="421"/>
      <c r="L2052" s="23"/>
      <c r="M2052" s="19"/>
      <c r="N2052" s="19"/>
      <c r="O2052" s="19"/>
      <c r="P2052" s="19"/>
      <c r="Q2052" s="19"/>
    </row>
    <row r="2053" spans="2:17" hidden="1">
      <c r="B2053" s="19"/>
      <c r="C2053" s="19"/>
      <c r="D2053" s="19"/>
      <c r="E2053" s="19"/>
      <c r="F2053" s="19"/>
      <c r="G2053" s="19"/>
      <c r="H2053" s="19"/>
      <c r="I2053" s="19"/>
      <c r="J2053" s="19"/>
      <c r="K2053" s="421"/>
      <c r="L2053" s="23"/>
      <c r="M2053" s="19"/>
      <c r="N2053" s="19"/>
      <c r="O2053" s="19"/>
      <c r="P2053" s="19"/>
      <c r="Q2053" s="19"/>
    </row>
    <row r="2054" spans="2:17" hidden="1">
      <c r="B2054" s="19"/>
      <c r="C2054" s="19"/>
      <c r="D2054" s="19"/>
      <c r="E2054" s="19"/>
      <c r="F2054" s="19"/>
      <c r="G2054" s="19"/>
      <c r="H2054" s="19"/>
      <c r="I2054" s="19"/>
      <c r="J2054" s="19"/>
      <c r="K2054" s="421"/>
      <c r="L2054" s="23"/>
      <c r="M2054" s="19"/>
      <c r="N2054" s="19"/>
      <c r="O2054" s="19"/>
      <c r="P2054" s="19"/>
      <c r="Q2054" s="19"/>
    </row>
    <row r="2055" spans="2:17" hidden="1">
      <c r="B2055" s="19"/>
      <c r="C2055" s="19"/>
      <c r="D2055" s="19"/>
      <c r="E2055" s="19"/>
      <c r="F2055" s="19"/>
      <c r="G2055" s="19"/>
      <c r="H2055" s="19"/>
      <c r="I2055" s="19"/>
      <c r="J2055" s="19"/>
      <c r="K2055" s="421"/>
      <c r="L2055" s="23"/>
      <c r="M2055" s="19"/>
      <c r="N2055" s="19"/>
      <c r="O2055" s="19"/>
      <c r="P2055" s="19"/>
      <c r="Q2055" s="19"/>
    </row>
    <row r="2056" spans="2:17" hidden="1">
      <c r="B2056" s="19"/>
      <c r="C2056" s="19"/>
      <c r="D2056" s="19"/>
      <c r="E2056" s="19"/>
      <c r="F2056" s="19"/>
      <c r="G2056" s="19"/>
      <c r="H2056" s="19"/>
      <c r="I2056" s="19"/>
      <c r="J2056" s="19"/>
      <c r="K2056" s="421"/>
      <c r="L2056" s="23"/>
      <c r="M2056" s="19"/>
      <c r="N2056" s="19"/>
      <c r="O2056" s="19"/>
      <c r="P2056" s="19"/>
      <c r="Q2056" s="19"/>
    </row>
    <row r="2057" spans="2:17" hidden="1">
      <c r="B2057" s="19"/>
      <c r="C2057" s="19"/>
      <c r="D2057" s="19"/>
      <c r="E2057" s="19"/>
      <c r="F2057" s="19"/>
      <c r="G2057" s="19"/>
      <c r="H2057" s="19"/>
      <c r="I2057" s="19"/>
      <c r="J2057" s="19"/>
      <c r="K2057" s="421"/>
      <c r="L2057" s="23"/>
      <c r="M2057" s="19"/>
      <c r="N2057" s="19"/>
      <c r="O2057" s="19"/>
      <c r="P2057" s="19"/>
      <c r="Q2057" s="19"/>
    </row>
    <row r="2058" spans="2:17" hidden="1">
      <c r="B2058" s="19"/>
      <c r="C2058" s="19"/>
      <c r="D2058" s="19"/>
      <c r="E2058" s="19"/>
      <c r="F2058" s="19"/>
      <c r="G2058" s="19"/>
      <c r="H2058" s="19"/>
      <c r="I2058" s="19"/>
      <c r="J2058" s="19"/>
      <c r="K2058" s="421"/>
      <c r="L2058" s="23"/>
      <c r="M2058" s="19"/>
      <c r="N2058" s="19"/>
      <c r="O2058" s="19"/>
      <c r="P2058" s="19"/>
      <c r="Q2058" s="19"/>
    </row>
    <row r="2059" spans="2:17" hidden="1">
      <c r="B2059" s="19"/>
      <c r="C2059" s="19"/>
      <c r="D2059" s="19"/>
      <c r="E2059" s="19"/>
      <c r="F2059" s="19"/>
      <c r="G2059" s="19"/>
      <c r="H2059" s="19"/>
      <c r="I2059" s="19"/>
      <c r="J2059" s="19"/>
      <c r="K2059" s="421"/>
      <c r="L2059" s="23"/>
      <c r="M2059" s="19"/>
      <c r="N2059" s="19"/>
      <c r="O2059" s="19"/>
      <c r="P2059" s="19"/>
      <c r="Q2059" s="19"/>
    </row>
    <row r="2060" spans="2:17" hidden="1">
      <c r="B2060" s="19"/>
      <c r="C2060" s="19"/>
      <c r="D2060" s="19"/>
      <c r="E2060" s="19"/>
      <c r="F2060" s="19"/>
      <c r="G2060" s="19"/>
      <c r="H2060" s="19"/>
      <c r="I2060" s="19"/>
      <c r="J2060" s="19"/>
      <c r="K2060" s="421"/>
      <c r="L2060" s="23"/>
      <c r="M2060" s="19"/>
      <c r="N2060" s="19"/>
      <c r="O2060" s="19"/>
      <c r="P2060" s="19"/>
      <c r="Q2060" s="19"/>
    </row>
    <row r="2061" spans="2:17" hidden="1">
      <c r="B2061" s="19"/>
      <c r="C2061" s="19"/>
      <c r="D2061" s="19"/>
      <c r="E2061" s="19"/>
      <c r="F2061" s="19"/>
      <c r="G2061" s="19"/>
      <c r="H2061" s="19"/>
      <c r="I2061" s="19"/>
      <c r="J2061" s="19"/>
      <c r="K2061" s="421"/>
      <c r="L2061" s="23"/>
      <c r="M2061" s="19"/>
      <c r="N2061" s="19"/>
      <c r="O2061" s="19"/>
      <c r="P2061" s="19"/>
      <c r="Q2061" s="19"/>
    </row>
    <row r="2062" spans="2:17" hidden="1">
      <c r="B2062" s="19"/>
      <c r="C2062" s="19"/>
      <c r="D2062" s="19"/>
      <c r="E2062" s="19"/>
      <c r="F2062" s="19"/>
      <c r="G2062" s="19"/>
      <c r="H2062" s="19"/>
      <c r="I2062" s="19"/>
      <c r="J2062" s="19"/>
      <c r="K2062" s="421"/>
      <c r="L2062" s="23"/>
      <c r="M2062" s="19"/>
      <c r="N2062" s="19"/>
      <c r="O2062" s="19"/>
      <c r="P2062" s="19"/>
      <c r="Q2062" s="19"/>
    </row>
    <row r="2063" spans="2:17" hidden="1">
      <c r="B2063" s="19"/>
      <c r="C2063" s="19"/>
      <c r="D2063" s="19"/>
      <c r="E2063" s="19"/>
      <c r="F2063" s="19"/>
      <c r="G2063" s="19"/>
      <c r="H2063" s="19"/>
      <c r="I2063" s="19"/>
      <c r="J2063" s="19"/>
      <c r="K2063" s="421"/>
      <c r="L2063" s="23"/>
      <c r="M2063" s="19"/>
      <c r="N2063" s="19"/>
      <c r="O2063" s="19"/>
      <c r="P2063" s="19"/>
      <c r="Q2063" s="19"/>
    </row>
    <row r="2064" spans="2:17" hidden="1">
      <c r="B2064" s="19"/>
      <c r="C2064" s="19"/>
      <c r="D2064" s="19"/>
      <c r="E2064" s="19"/>
      <c r="F2064" s="19"/>
      <c r="G2064" s="19"/>
      <c r="H2064" s="19"/>
      <c r="I2064" s="19"/>
      <c r="J2064" s="19"/>
      <c r="K2064" s="421"/>
      <c r="L2064" s="23"/>
      <c r="M2064" s="19"/>
      <c r="N2064" s="19"/>
      <c r="O2064" s="19"/>
      <c r="P2064" s="19"/>
      <c r="Q2064" s="19"/>
    </row>
    <row r="2065" spans="2:17" hidden="1">
      <c r="B2065" s="19"/>
      <c r="C2065" s="19"/>
      <c r="D2065" s="19"/>
      <c r="E2065" s="19"/>
      <c r="F2065" s="19"/>
      <c r="G2065" s="19"/>
      <c r="H2065" s="19"/>
      <c r="I2065" s="19"/>
      <c r="J2065" s="19"/>
      <c r="K2065" s="421"/>
      <c r="L2065" s="23"/>
      <c r="M2065" s="19"/>
      <c r="N2065" s="19"/>
      <c r="O2065" s="19"/>
      <c r="P2065" s="19"/>
      <c r="Q2065" s="19"/>
    </row>
    <row r="2066" spans="2:17" hidden="1">
      <c r="B2066" s="19"/>
      <c r="C2066" s="19"/>
      <c r="D2066" s="19"/>
      <c r="E2066" s="19"/>
      <c r="F2066" s="19"/>
      <c r="G2066" s="19"/>
      <c r="H2066" s="19"/>
      <c r="I2066" s="19"/>
      <c r="J2066" s="19"/>
      <c r="K2066" s="421"/>
      <c r="L2066" s="23"/>
      <c r="M2066" s="19"/>
      <c r="N2066" s="19"/>
      <c r="O2066" s="19"/>
      <c r="P2066" s="19"/>
      <c r="Q2066" s="19"/>
    </row>
    <row r="2067" spans="2:17" hidden="1">
      <c r="B2067" s="19"/>
      <c r="C2067" s="19"/>
      <c r="D2067" s="19"/>
      <c r="E2067" s="19"/>
      <c r="F2067" s="19"/>
      <c r="G2067" s="19"/>
      <c r="H2067" s="19"/>
      <c r="I2067" s="19"/>
      <c r="J2067" s="19"/>
      <c r="K2067" s="421"/>
      <c r="L2067" s="23"/>
      <c r="M2067" s="19"/>
      <c r="N2067" s="19"/>
      <c r="O2067" s="19"/>
      <c r="P2067" s="19"/>
      <c r="Q2067" s="19"/>
    </row>
    <row r="2068" spans="2:17" hidden="1">
      <c r="B2068" s="19"/>
      <c r="C2068" s="19"/>
      <c r="D2068" s="19"/>
      <c r="E2068" s="19"/>
      <c r="F2068" s="19"/>
      <c r="G2068" s="19"/>
      <c r="H2068" s="19"/>
      <c r="I2068" s="19"/>
      <c r="J2068" s="19"/>
      <c r="K2068" s="421"/>
      <c r="L2068" s="23"/>
      <c r="M2068" s="19"/>
      <c r="N2068" s="19"/>
      <c r="O2068" s="19"/>
      <c r="P2068" s="19"/>
      <c r="Q2068" s="19"/>
    </row>
    <row r="2069" spans="2:17" hidden="1">
      <c r="B2069" s="19"/>
      <c r="C2069" s="19"/>
      <c r="D2069" s="19"/>
      <c r="E2069" s="19"/>
      <c r="F2069" s="19"/>
      <c r="G2069" s="19"/>
      <c r="H2069" s="19"/>
      <c r="I2069" s="19"/>
      <c r="J2069" s="19"/>
      <c r="K2069" s="421"/>
      <c r="L2069" s="23"/>
      <c r="M2069" s="19"/>
      <c r="N2069" s="19"/>
      <c r="O2069" s="19"/>
      <c r="P2069" s="19"/>
      <c r="Q2069" s="19"/>
    </row>
    <row r="2070" spans="2:17" hidden="1">
      <c r="B2070" s="19"/>
      <c r="C2070" s="19"/>
      <c r="D2070" s="19"/>
      <c r="E2070" s="19"/>
      <c r="F2070" s="19"/>
      <c r="G2070" s="19"/>
      <c r="H2070" s="19"/>
      <c r="I2070" s="19"/>
      <c r="J2070" s="19"/>
      <c r="K2070" s="421"/>
      <c r="L2070" s="23"/>
      <c r="M2070" s="19"/>
      <c r="N2070" s="19"/>
      <c r="O2070" s="19"/>
      <c r="P2070" s="19"/>
      <c r="Q2070" s="19"/>
    </row>
    <row r="2071" spans="2:17" hidden="1">
      <c r="B2071" s="19"/>
      <c r="C2071" s="19"/>
      <c r="D2071" s="19"/>
      <c r="E2071" s="19"/>
      <c r="F2071" s="19"/>
      <c r="G2071" s="19"/>
      <c r="H2071" s="19"/>
      <c r="I2071" s="19"/>
      <c r="J2071" s="19"/>
      <c r="K2071" s="421"/>
      <c r="L2071" s="23"/>
      <c r="M2071" s="19"/>
      <c r="N2071" s="19"/>
      <c r="O2071" s="19"/>
      <c r="P2071" s="19"/>
      <c r="Q2071" s="19"/>
    </row>
    <row r="2072" spans="2:17" hidden="1">
      <c r="B2072" s="19"/>
      <c r="C2072" s="19"/>
      <c r="D2072" s="19"/>
      <c r="E2072" s="19"/>
      <c r="F2072" s="19"/>
      <c r="G2072" s="19"/>
      <c r="H2072" s="19"/>
      <c r="I2072" s="19"/>
      <c r="J2072" s="19"/>
      <c r="K2072" s="421"/>
      <c r="L2072" s="23"/>
      <c r="M2072" s="19"/>
      <c r="N2072" s="19"/>
      <c r="O2072" s="19"/>
      <c r="P2072" s="19"/>
      <c r="Q2072" s="19"/>
    </row>
    <row r="2073" spans="2:17" hidden="1">
      <c r="B2073" s="19"/>
      <c r="C2073" s="19"/>
      <c r="D2073" s="19"/>
      <c r="E2073" s="19"/>
      <c r="F2073" s="19"/>
      <c r="G2073" s="19"/>
      <c r="H2073" s="19"/>
      <c r="I2073" s="19"/>
      <c r="J2073" s="19"/>
      <c r="K2073" s="421"/>
      <c r="L2073" s="23"/>
      <c r="M2073" s="19"/>
      <c r="N2073" s="19"/>
      <c r="O2073" s="19"/>
      <c r="P2073" s="19"/>
      <c r="Q2073" s="19"/>
    </row>
    <row r="2074" spans="2:17" hidden="1">
      <c r="B2074" s="19"/>
      <c r="C2074" s="19"/>
      <c r="D2074" s="19"/>
      <c r="E2074" s="19"/>
      <c r="F2074" s="19"/>
      <c r="G2074" s="19"/>
      <c r="H2074" s="19"/>
      <c r="I2074" s="19"/>
      <c r="J2074" s="19"/>
      <c r="K2074" s="421"/>
      <c r="L2074" s="23"/>
      <c r="M2074" s="19"/>
      <c r="N2074" s="19"/>
      <c r="O2074" s="19"/>
      <c r="P2074" s="19"/>
      <c r="Q2074" s="19"/>
    </row>
    <row r="2075" spans="2:17" hidden="1">
      <c r="B2075" s="19"/>
      <c r="C2075" s="19"/>
      <c r="D2075" s="19"/>
      <c r="E2075" s="19"/>
      <c r="F2075" s="19"/>
      <c r="G2075" s="19"/>
      <c r="H2075" s="19"/>
      <c r="I2075" s="19"/>
      <c r="J2075" s="19"/>
      <c r="K2075" s="421"/>
      <c r="L2075" s="23"/>
      <c r="M2075" s="19"/>
      <c r="N2075" s="19"/>
      <c r="O2075" s="19"/>
      <c r="P2075" s="19"/>
      <c r="Q2075" s="19"/>
    </row>
    <row r="2076" spans="2:17" hidden="1">
      <c r="B2076" s="19"/>
      <c r="C2076" s="19"/>
      <c r="D2076" s="19"/>
      <c r="E2076" s="19"/>
      <c r="F2076" s="19"/>
      <c r="G2076" s="19"/>
      <c r="H2076" s="19"/>
      <c r="I2076" s="19"/>
      <c r="J2076" s="19"/>
      <c r="K2076" s="421"/>
      <c r="L2076" s="23"/>
      <c r="M2076" s="19"/>
      <c r="N2076" s="19"/>
      <c r="O2076" s="19"/>
      <c r="P2076" s="19"/>
      <c r="Q2076" s="19"/>
    </row>
    <row r="2077" spans="2:17" hidden="1">
      <c r="B2077" s="19"/>
      <c r="C2077" s="19"/>
      <c r="D2077" s="19"/>
      <c r="E2077" s="19"/>
      <c r="F2077" s="19"/>
      <c r="G2077" s="19"/>
      <c r="H2077" s="19"/>
      <c r="I2077" s="19"/>
      <c r="J2077" s="19"/>
      <c r="K2077" s="421"/>
      <c r="L2077" s="23"/>
      <c r="M2077" s="19"/>
      <c r="N2077" s="19"/>
      <c r="O2077" s="19"/>
      <c r="P2077" s="19"/>
      <c r="Q2077" s="19"/>
    </row>
    <row r="2078" spans="2:17" hidden="1">
      <c r="B2078" s="19"/>
      <c r="C2078" s="19"/>
      <c r="D2078" s="19"/>
      <c r="E2078" s="19"/>
      <c r="F2078" s="19"/>
      <c r="G2078" s="19"/>
      <c r="H2078" s="19"/>
      <c r="I2078" s="19"/>
      <c r="J2078" s="19"/>
      <c r="K2078" s="421"/>
      <c r="L2078" s="23"/>
      <c r="M2078" s="19"/>
      <c r="N2078" s="19"/>
      <c r="O2078" s="19"/>
      <c r="P2078" s="19"/>
      <c r="Q2078" s="19"/>
    </row>
    <row r="2079" spans="2:17" hidden="1">
      <c r="B2079" s="19"/>
      <c r="C2079" s="19"/>
      <c r="D2079" s="19"/>
      <c r="E2079" s="19"/>
      <c r="F2079" s="19"/>
      <c r="G2079" s="19"/>
      <c r="H2079" s="19"/>
      <c r="I2079" s="19"/>
      <c r="J2079" s="19"/>
      <c r="K2079" s="421"/>
      <c r="L2079" s="23"/>
      <c r="M2079" s="19"/>
      <c r="N2079" s="19"/>
      <c r="O2079" s="19"/>
      <c r="P2079" s="19"/>
      <c r="Q2079" s="19"/>
    </row>
    <row r="2080" spans="2:17" hidden="1">
      <c r="B2080" s="19"/>
      <c r="C2080" s="19"/>
      <c r="D2080" s="19"/>
      <c r="E2080" s="19"/>
      <c r="F2080" s="19"/>
      <c r="G2080" s="19"/>
      <c r="H2080" s="19"/>
      <c r="I2080" s="19"/>
      <c r="J2080" s="19"/>
      <c r="K2080" s="421"/>
      <c r="L2080" s="23"/>
      <c r="M2080" s="19"/>
      <c r="N2080" s="19"/>
      <c r="O2080" s="19"/>
      <c r="P2080" s="19"/>
      <c r="Q2080" s="19"/>
    </row>
    <row r="2081" spans="1:28" hidden="1">
      <c r="B2081" s="19"/>
      <c r="C2081" s="19"/>
      <c r="D2081" s="19"/>
      <c r="E2081" s="19"/>
      <c r="F2081" s="19"/>
      <c r="G2081" s="19"/>
      <c r="H2081" s="19"/>
      <c r="I2081" s="19"/>
      <c r="J2081" s="19"/>
      <c r="K2081" s="421"/>
      <c r="L2081" s="23"/>
      <c r="M2081" s="19"/>
      <c r="N2081" s="19"/>
      <c r="O2081" s="19"/>
      <c r="P2081" s="19"/>
      <c r="Q2081" s="19"/>
    </row>
    <row r="2082" spans="1:28" hidden="1">
      <c r="B2082" s="19"/>
      <c r="C2082" s="19"/>
      <c r="D2082" s="19"/>
      <c r="E2082" s="19"/>
      <c r="F2082" s="19"/>
      <c r="G2082" s="19"/>
      <c r="H2082" s="19"/>
      <c r="I2082" s="19"/>
      <c r="J2082" s="19"/>
      <c r="K2082" s="421"/>
      <c r="L2082" s="23"/>
      <c r="M2082" s="19"/>
      <c r="N2082" s="19"/>
      <c r="O2082" s="19"/>
      <c r="P2082" s="19"/>
      <c r="Q2082" s="19"/>
    </row>
    <row r="2083" spans="1:28" hidden="1"/>
    <row r="2084" spans="1:28" hidden="1"/>
    <row r="2085" spans="1:28" hidden="1"/>
    <row r="2086" spans="1:28" hidden="1"/>
    <row r="2087" spans="1:28" ht="18.75">
      <c r="A2087" s="410" t="s">
        <v>440</v>
      </c>
      <c r="B2087" s="410"/>
      <c r="C2087" s="410"/>
      <c r="D2087" s="410"/>
      <c r="E2087" s="410"/>
      <c r="F2087" s="410"/>
      <c r="G2087" s="410"/>
      <c r="H2087" s="410"/>
      <c r="I2087" s="410"/>
      <c r="J2087" s="410"/>
      <c r="K2087" s="410"/>
      <c r="L2087" s="410"/>
      <c r="M2087" s="410"/>
      <c r="N2087" s="410"/>
      <c r="O2087" s="410"/>
      <c r="P2087" s="410"/>
      <c r="Q2087" s="410"/>
      <c r="V2087" s="914"/>
      <c r="W2087" s="914"/>
      <c r="X2087" s="38"/>
    </row>
    <row r="2088" spans="1:28">
      <c r="B2088" s="21">
        <f>COUNT(B2091:B2287)</f>
        <v>197</v>
      </c>
      <c r="C2088" s="21">
        <f t="shared" ref="C2088:I2088" si="28">COUNT(C2091:C2287)</f>
        <v>197</v>
      </c>
      <c r="D2088" s="21">
        <f t="shared" si="28"/>
        <v>197</v>
      </c>
      <c r="E2088" s="21">
        <f t="shared" si="28"/>
        <v>197</v>
      </c>
      <c r="F2088" s="21">
        <f t="shared" si="28"/>
        <v>197</v>
      </c>
      <c r="G2088" s="21">
        <f t="shared" si="28"/>
        <v>197</v>
      </c>
      <c r="H2088" s="21">
        <f t="shared" si="28"/>
        <v>197</v>
      </c>
      <c r="I2088" s="21">
        <f t="shared" si="28"/>
        <v>197</v>
      </c>
      <c r="L2088" s="21">
        <f>COUNT(L2091:L2193)</f>
        <v>99</v>
      </c>
      <c r="M2088" s="21">
        <f t="shared" ref="M2088:T2088" si="29">COUNT(M2091:M2193)</f>
        <v>99</v>
      </c>
      <c r="N2088" s="21">
        <f t="shared" si="29"/>
        <v>99</v>
      </c>
      <c r="O2088" s="21">
        <f t="shared" si="29"/>
        <v>99</v>
      </c>
      <c r="P2088" s="21">
        <f t="shared" si="29"/>
        <v>99</v>
      </c>
      <c r="Q2088" s="21">
        <f t="shared" si="29"/>
        <v>99</v>
      </c>
      <c r="R2088" s="21">
        <f t="shared" si="29"/>
        <v>99</v>
      </c>
      <c r="S2088" s="21">
        <f t="shared" si="29"/>
        <v>99</v>
      </c>
      <c r="T2088" s="21">
        <f t="shared" si="29"/>
        <v>99</v>
      </c>
      <c r="V2088" s="916"/>
      <c r="W2088" s="916"/>
      <c r="X2088" s="39"/>
      <c r="Z2088" s="916"/>
      <c r="AA2088" s="916"/>
      <c r="AB2088" s="40"/>
    </row>
    <row r="2089" spans="1:28" ht="15" customHeight="1">
      <c r="A2089" s="915" t="s">
        <v>417</v>
      </c>
      <c r="B2089" s="21">
        <f>COUNTA(B2091:B2287)</f>
        <v>197</v>
      </c>
      <c r="C2089" s="21">
        <f t="shared" ref="C2089:I2089" si="30">COUNTA(C2091:C2287)</f>
        <v>197</v>
      </c>
      <c r="D2089" s="21">
        <f t="shared" si="30"/>
        <v>197</v>
      </c>
      <c r="E2089" s="21">
        <f t="shared" si="30"/>
        <v>197</v>
      </c>
      <c r="F2089" s="21">
        <f t="shared" si="30"/>
        <v>197</v>
      </c>
      <c r="G2089" s="21">
        <f t="shared" si="30"/>
        <v>197</v>
      </c>
      <c r="H2089" s="21">
        <f t="shared" si="30"/>
        <v>197</v>
      </c>
      <c r="I2089" s="21">
        <f t="shared" si="30"/>
        <v>197</v>
      </c>
      <c r="J2089" s="905" t="s">
        <v>418</v>
      </c>
      <c r="K2089" s="906" t="s">
        <v>419</v>
      </c>
      <c r="L2089" s="21">
        <f>COUNTA(L2091:L2193)</f>
        <v>99</v>
      </c>
      <c r="M2089" s="21">
        <f t="shared" ref="M2089:T2089" si="31">COUNTA(M2091:M2193)</f>
        <v>99</v>
      </c>
      <c r="N2089" s="21">
        <f t="shared" si="31"/>
        <v>99</v>
      </c>
      <c r="O2089" s="21">
        <f t="shared" si="31"/>
        <v>99</v>
      </c>
      <c r="P2089" s="21">
        <f t="shared" si="31"/>
        <v>99</v>
      </c>
      <c r="Q2089" s="21">
        <f t="shared" si="31"/>
        <v>99</v>
      </c>
      <c r="R2089" s="21">
        <f t="shared" si="31"/>
        <v>99</v>
      </c>
      <c r="S2089" s="21">
        <f t="shared" si="31"/>
        <v>99</v>
      </c>
      <c r="T2089" s="21">
        <f t="shared" si="31"/>
        <v>99</v>
      </c>
      <c r="V2089" s="1">
        <f>heeling</f>
        <v>0</v>
      </c>
      <c r="W2089" s="382">
        <f>sound28</f>
        <v>2090</v>
      </c>
      <c r="X2089" s="186">
        <f>IF((W2089+W2092)&lt;0,W2089,W2089+W2092)</f>
        <v>2090</v>
      </c>
      <c r="Y2089" s="381">
        <f>IF(Y2091=Y2090,Y2090,Interp1(X2090:X2091,Y2090:Y2091,X2089))</f>
        <v>48.07</v>
      </c>
      <c r="AA2089" s="30"/>
    </row>
    <row r="2090" spans="1:28">
      <c r="A2090" s="915"/>
      <c r="B2090" s="36">
        <v>-1</v>
      </c>
      <c r="C2090" s="35">
        <v>0</v>
      </c>
      <c r="D2090" s="35">
        <v>0.5</v>
      </c>
      <c r="E2090" s="35">
        <v>1</v>
      </c>
      <c r="F2090" s="35">
        <v>1.5</v>
      </c>
      <c r="G2090" s="35">
        <v>2</v>
      </c>
      <c r="H2090" s="37">
        <v>3</v>
      </c>
      <c r="I2090" s="21">
        <v>4</v>
      </c>
      <c r="J2090" s="905"/>
      <c r="K2090" s="906"/>
      <c r="L2090" s="21">
        <v>-4</v>
      </c>
      <c r="M2090" s="35">
        <v>-3</v>
      </c>
      <c r="N2090" s="35">
        <v>-2</v>
      </c>
      <c r="O2090" s="35">
        <v>-1</v>
      </c>
      <c r="P2090" s="35">
        <v>0</v>
      </c>
      <c r="Q2090" s="35">
        <v>1</v>
      </c>
      <c r="R2090" s="35">
        <v>2</v>
      </c>
      <c r="S2090" s="35">
        <v>3</v>
      </c>
      <c r="T2090" s="35">
        <v>4</v>
      </c>
      <c r="V2090" s="1">
        <f>IF(tankSound8=soundingPipe8,tankSound8,FLOOR(W2089,incHeel))</f>
        <v>2000</v>
      </c>
      <c r="W2090" s="1">
        <f>Interp2(tank8Heel1,tank8Heel2,tank8Heel3,V2090,V2089)</f>
        <v>0</v>
      </c>
      <c r="X2090" s="1">
        <f>IF(X2089=soundingPipe8,Tank1!X2089,FLOOR(X2089,inc))</f>
        <v>2050</v>
      </c>
      <c r="Y2090" s="42">
        <f>IF(W2095=W2094,W2094,Interp1(V2094:V2095,W2094:W2095,V2093))</f>
        <v>48.295000000000002</v>
      </c>
      <c r="AA2090" s="30"/>
    </row>
    <row r="2091" spans="1:28">
      <c r="A2091" s="1">
        <v>1500</v>
      </c>
      <c r="B2091" s="42">
        <v>51.176000000000002</v>
      </c>
      <c r="C2091" s="42">
        <v>51.176000000000002</v>
      </c>
      <c r="D2091" s="42">
        <v>51.176000000000002</v>
      </c>
      <c r="E2091" s="42">
        <v>51.176000000000002</v>
      </c>
      <c r="F2091" s="42">
        <v>51.176000000000002</v>
      </c>
      <c r="G2091" s="42">
        <v>51.176000000000002</v>
      </c>
      <c r="H2091" s="42">
        <v>51.176000000000002</v>
      </c>
      <c r="I2091" s="42">
        <v>51.176000000000002</v>
      </c>
      <c r="J2091" s="21">
        <v>9756</v>
      </c>
      <c r="K2091" s="1">
        <v>1500</v>
      </c>
      <c r="L2091" s="1">
        <v>0</v>
      </c>
      <c r="M2091" s="1">
        <v>0</v>
      </c>
      <c r="N2091" s="1">
        <v>0</v>
      </c>
      <c r="O2091" s="1">
        <v>0</v>
      </c>
      <c r="P2091" s="365">
        <v>0</v>
      </c>
      <c r="Q2091" s="1">
        <v>4.1349999999999998</v>
      </c>
      <c r="R2091" s="1">
        <v>35.527999999999999</v>
      </c>
      <c r="S2091" s="1">
        <v>73.325000000000003</v>
      </c>
      <c r="T2091" s="1">
        <v>107.895</v>
      </c>
      <c r="U2091" s="24"/>
      <c r="V2091" s="1">
        <f>IF(V2090=tankSound8,V2090,CEILING(W2089,incHeel))</f>
        <v>2100</v>
      </c>
      <c r="W2091" s="1">
        <f>Interp2(tank8Heel1,tank8Heel2,tank8Heel3,V2091,V2089)</f>
        <v>0</v>
      </c>
      <c r="X2091" s="1">
        <f>IF(X2090=X2089,X2090,CEILING(X2089,inc))</f>
        <v>2100</v>
      </c>
      <c r="Y2091" s="42">
        <f>IF(X2095=X2094,X2094,Interp1(V2094:V2095,X2094:X2095,V2093))</f>
        <v>48.014000000000003</v>
      </c>
      <c r="AA2091" s="30"/>
      <c r="AB2091" s="42"/>
    </row>
    <row r="2092" spans="1:28">
      <c r="A2092" s="1">
        <v>1550</v>
      </c>
      <c r="B2092" s="42">
        <v>51.113</v>
      </c>
      <c r="C2092" s="42">
        <v>51.11</v>
      </c>
      <c r="D2092" s="42">
        <v>51.109000000000002</v>
      </c>
      <c r="E2092" s="42">
        <v>51.107999999999997</v>
      </c>
      <c r="F2092" s="42">
        <v>51.106000000000002</v>
      </c>
      <c r="G2092" s="42">
        <v>51.104999999999997</v>
      </c>
      <c r="H2092" s="42">
        <v>51.103000000000002</v>
      </c>
      <c r="I2092" s="42">
        <v>51.1</v>
      </c>
      <c r="J2092" s="21">
        <v>9706</v>
      </c>
      <c r="K2092" s="1">
        <v>1600</v>
      </c>
      <c r="L2092" s="1">
        <v>-75.819999999999993</v>
      </c>
      <c r="M2092" s="1">
        <v>-72.162000000000006</v>
      </c>
      <c r="N2092" s="1">
        <v>-64.364000000000004</v>
      </c>
      <c r="O2092" s="1">
        <v>-40.417000000000002</v>
      </c>
      <c r="P2092" s="365">
        <v>0</v>
      </c>
      <c r="Q2092" s="1">
        <v>24.962</v>
      </c>
      <c r="R2092" s="1">
        <v>49.936999999999998</v>
      </c>
      <c r="S2092" s="1">
        <v>74.944999999999993</v>
      </c>
      <c r="T2092" s="1">
        <v>100</v>
      </c>
      <c r="U2092" s="25"/>
      <c r="W2092" s="1">
        <f>IF(W2091=W2090,W2090,Interp1(V2090:V2091,W2090:W2091,W2089))</f>
        <v>0</v>
      </c>
      <c r="Y2092" s="42"/>
      <c r="AA2092" s="30"/>
      <c r="AB2092" s="42"/>
    </row>
    <row r="2093" spans="1:28">
      <c r="A2093" s="1">
        <v>1600</v>
      </c>
      <c r="B2093" s="42">
        <v>50.831000000000003</v>
      </c>
      <c r="C2093" s="42">
        <v>50.829000000000001</v>
      </c>
      <c r="D2093" s="42">
        <v>50.828000000000003</v>
      </c>
      <c r="E2093" s="42">
        <v>50.826000000000001</v>
      </c>
      <c r="F2093" s="42">
        <v>50.825000000000003</v>
      </c>
      <c r="G2093" s="42">
        <v>50.823999999999998</v>
      </c>
      <c r="H2093" s="42">
        <v>50.820999999999998</v>
      </c>
      <c r="I2093" s="42">
        <v>50.819000000000003</v>
      </c>
      <c r="J2093" s="21">
        <v>9656</v>
      </c>
      <c r="K2093" s="1">
        <v>1700</v>
      </c>
      <c r="L2093" s="1">
        <v>-92.105000000000004</v>
      </c>
      <c r="M2093" s="1">
        <v>-74.84</v>
      </c>
      <c r="N2093" s="1">
        <v>-49.939</v>
      </c>
      <c r="O2093" s="1">
        <v>-24.963000000000001</v>
      </c>
      <c r="P2093" s="365">
        <v>0</v>
      </c>
      <c r="Q2093" s="1">
        <v>24.960999999999999</v>
      </c>
      <c r="R2093" s="1">
        <v>49.935000000000002</v>
      </c>
      <c r="S2093" s="1">
        <v>74.941999999999993</v>
      </c>
      <c r="T2093" s="1">
        <v>100</v>
      </c>
      <c r="U2093" s="25"/>
      <c r="V2093" s="1">
        <f>trim</f>
        <v>0.36</v>
      </c>
      <c r="AA2093" s="30"/>
      <c r="AB2093" s="42"/>
    </row>
    <row r="2094" spans="1:28">
      <c r="A2094" s="1">
        <v>1650</v>
      </c>
      <c r="B2094" s="42">
        <v>50.55</v>
      </c>
      <c r="C2094" s="42">
        <v>50.548000000000002</v>
      </c>
      <c r="D2094" s="42">
        <v>50.545999999999999</v>
      </c>
      <c r="E2094" s="42">
        <v>50.545000000000002</v>
      </c>
      <c r="F2094" s="42">
        <v>50.543999999999997</v>
      </c>
      <c r="G2094" s="42">
        <v>50.542000000000002</v>
      </c>
      <c r="H2094" s="42">
        <v>50.54</v>
      </c>
      <c r="I2094" s="42">
        <v>50.536999999999999</v>
      </c>
      <c r="J2094" s="21">
        <v>9606</v>
      </c>
      <c r="K2094" s="1">
        <v>1800</v>
      </c>
      <c r="L2094" s="1">
        <v>-100</v>
      </c>
      <c r="M2094" s="1">
        <v>-74.941000000000003</v>
      </c>
      <c r="N2094" s="1">
        <v>-49.936999999999998</v>
      </c>
      <c r="O2094" s="1">
        <v>-24.962</v>
      </c>
      <c r="P2094" s="365">
        <v>0</v>
      </c>
      <c r="Q2094" s="1">
        <v>24.962</v>
      </c>
      <c r="R2094" s="1">
        <v>49.936999999999998</v>
      </c>
      <c r="S2094" s="1">
        <v>74.947000000000003</v>
      </c>
      <c r="T2094" s="1">
        <v>100</v>
      </c>
      <c r="U2094" s="25"/>
      <c r="V2094" s="1">
        <f>INDEX(tank8Trim2,0,MATCH(V2093,tank8Trim2,1))</f>
        <v>0</v>
      </c>
      <c r="W2094" s="1">
        <f>Interp2(tank8Trim1,tank8Trim2,tank8Trim3,X2090,V2094)</f>
        <v>48.295999999999999</v>
      </c>
      <c r="X2094" s="1">
        <f>Interp2(tank8Trim1,tank8Trim2,tank8Trim3,X2091,V2094)</f>
        <v>48.015000000000001</v>
      </c>
      <c r="AA2094" s="30"/>
    </row>
    <row r="2095" spans="1:28">
      <c r="A2095" s="1">
        <v>1700</v>
      </c>
      <c r="B2095" s="42">
        <v>50.268999999999998</v>
      </c>
      <c r="C2095" s="42">
        <v>50.265999999999998</v>
      </c>
      <c r="D2095" s="42">
        <v>50.265000000000001</v>
      </c>
      <c r="E2095" s="42">
        <v>50.264000000000003</v>
      </c>
      <c r="F2095" s="42">
        <v>50.262</v>
      </c>
      <c r="G2095" s="42">
        <v>50.261000000000003</v>
      </c>
      <c r="H2095" s="42">
        <v>50.259</v>
      </c>
      <c r="I2095" s="42">
        <v>50.256</v>
      </c>
      <c r="J2095" s="21">
        <v>9556</v>
      </c>
      <c r="K2095" s="1">
        <v>1900</v>
      </c>
      <c r="L2095" s="1">
        <v>-100</v>
      </c>
      <c r="M2095" s="1">
        <v>-74.944000000000003</v>
      </c>
      <c r="N2095" s="1">
        <v>-49.939</v>
      </c>
      <c r="O2095" s="1">
        <v>-24.962</v>
      </c>
      <c r="P2095" s="365">
        <v>0</v>
      </c>
      <c r="Q2095" s="1">
        <v>24.962</v>
      </c>
      <c r="R2095" s="1">
        <v>49.936</v>
      </c>
      <c r="S2095" s="1">
        <v>74.944000000000003</v>
      </c>
      <c r="T2095" s="1">
        <v>100</v>
      </c>
      <c r="U2095" s="25"/>
      <c r="V2095" s="1">
        <f>IF(V2094=V2093,V2093,INDEX(tank8Trim2,0,MATCH(V2093,tank8Trim2,1)+1))</f>
        <v>0.5</v>
      </c>
      <c r="W2095" s="1">
        <f>Interp2(tank8Trim1,tank8Trim2,tank8Trim3,X2090,V2095)</f>
        <v>48.295000000000002</v>
      </c>
      <c r="X2095" s="1">
        <f>Interp2(tank8Trim1,tank8Trim2,tank8Trim3,X2091,V2095)</f>
        <v>48.014000000000003</v>
      </c>
      <c r="AA2095" s="30"/>
      <c r="AB2095" s="42"/>
    </row>
    <row r="2096" spans="1:28">
      <c r="A2096" s="1">
        <v>1750</v>
      </c>
      <c r="B2096" s="42">
        <v>49.987000000000002</v>
      </c>
      <c r="C2096" s="42">
        <v>49.984999999999999</v>
      </c>
      <c r="D2096" s="42">
        <v>49.982999999999997</v>
      </c>
      <c r="E2096" s="42">
        <v>49.981999999999999</v>
      </c>
      <c r="F2096" s="42">
        <v>49.981000000000002</v>
      </c>
      <c r="G2096" s="42">
        <v>49.98</v>
      </c>
      <c r="H2096" s="42">
        <v>49.976999999999997</v>
      </c>
      <c r="I2096" s="42">
        <v>49.975000000000001</v>
      </c>
      <c r="J2096" s="21">
        <v>9506</v>
      </c>
      <c r="K2096" s="1">
        <v>2000</v>
      </c>
      <c r="L2096" s="1">
        <v>-100</v>
      </c>
      <c r="M2096" s="1">
        <v>-74.941999999999993</v>
      </c>
      <c r="N2096" s="1">
        <v>-49.936999999999998</v>
      </c>
      <c r="O2096" s="1">
        <v>-24.963000000000001</v>
      </c>
      <c r="P2096" s="365">
        <v>0</v>
      </c>
      <c r="Q2096" s="1">
        <v>24.96</v>
      </c>
      <c r="R2096" s="1">
        <v>49.935000000000002</v>
      </c>
      <c r="S2096" s="1">
        <v>74.944999999999993</v>
      </c>
      <c r="T2096" s="1">
        <v>100</v>
      </c>
      <c r="U2096" s="25"/>
      <c r="W2096" s="43"/>
      <c r="X2096" s="42"/>
      <c r="AA2096" s="30"/>
      <c r="AB2096" s="42"/>
    </row>
    <row r="2097" spans="1:28">
      <c r="A2097" s="1">
        <v>1800</v>
      </c>
      <c r="B2097" s="42">
        <v>49.706000000000003</v>
      </c>
      <c r="C2097" s="42">
        <v>49.703000000000003</v>
      </c>
      <c r="D2097" s="42">
        <v>49.701999999999998</v>
      </c>
      <c r="E2097" s="42">
        <v>49.701000000000001</v>
      </c>
      <c r="F2097" s="42">
        <v>49.7</v>
      </c>
      <c r="G2097" s="42">
        <v>49.698</v>
      </c>
      <c r="H2097" s="42">
        <v>49.695999999999998</v>
      </c>
      <c r="I2097" s="42">
        <v>49.692999999999998</v>
      </c>
      <c r="J2097" s="21">
        <v>9456</v>
      </c>
      <c r="K2097" s="1">
        <v>2100</v>
      </c>
      <c r="L2097" s="1">
        <v>-100</v>
      </c>
      <c r="M2097" s="1">
        <v>-74.942999999999998</v>
      </c>
      <c r="N2097" s="1">
        <v>-49.938000000000002</v>
      </c>
      <c r="O2097" s="1">
        <v>-24.962</v>
      </c>
      <c r="P2097" s="365">
        <v>0</v>
      </c>
      <c r="Q2097" s="1">
        <v>24.962</v>
      </c>
      <c r="R2097" s="1">
        <v>49.936999999999998</v>
      </c>
      <c r="S2097" s="1">
        <v>74.944999999999993</v>
      </c>
      <c r="T2097" s="1">
        <v>100</v>
      </c>
      <c r="U2097" s="25"/>
    </row>
    <row r="2098" spans="1:28">
      <c r="A2098" s="1">
        <v>1850</v>
      </c>
      <c r="B2098" s="42">
        <v>49.423999999999999</v>
      </c>
      <c r="C2098" s="42">
        <v>49.421999999999997</v>
      </c>
      <c r="D2098" s="42">
        <v>49.420999999999999</v>
      </c>
      <c r="E2098" s="42">
        <v>49.418999999999997</v>
      </c>
      <c r="F2098" s="42">
        <v>49.417999999999999</v>
      </c>
      <c r="G2098" s="42">
        <v>49.417000000000002</v>
      </c>
      <c r="H2098" s="42">
        <v>49.414000000000001</v>
      </c>
      <c r="I2098" s="42">
        <v>49.411999999999999</v>
      </c>
      <c r="J2098" s="21">
        <v>9406</v>
      </c>
      <c r="K2098" s="1">
        <v>2200</v>
      </c>
      <c r="L2098" s="1">
        <v>-100</v>
      </c>
      <c r="M2098" s="1">
        <v>-74.944000000000003</v>
      </c>
      <c r="N2098" s="1">
        <v>-49.936999999999998</v>
      </c>
      <c r="O2098" s="1">
        <v>-24.962</v>
      </c>
      <c r="P2098" s="365">
        <v>0</v>
      </c>
      <c r="Q2098" s="1">
        <v>24.960999999999999</v>
      </c>
      <c r="R2098" s="1">
        <v>49.938000000000002</v>
      </c>
      <c r="S2098" s="1">
        <v>74.944000000000003</v>
      </c>
      <c r="T2098" s="1">
        <v>100</v>
      </c>
      <c r="U2098" s="25"/>
      <c r="V2098" s="1">
        <f>Bunkering!heeling1</f>
        <v>0</v>
      </c>
      <c r="W2098" s="382">
        <f>sound38</f>
        <v>2100</v>
      </c>
      <c r="X2098" s="186">
        <f>IF((W2098+W2101)&lt;0,W2098,W2098+W2101)</f>
        <v>2100</v>
      </c>
      <c r="Y2098" s="381">
        <f>IF(Y2100=Y2099,Y2099,Interp1(X2099:X2100,Y2099:Y2100,X2098))</f>
        <v>48.014000000000003</v>
      </c>
    </row>
    <row r="2099" spans="1:28">
      <c r="A2099" s="1">
        <v>1900</v>
      </c>
      <c r="B2099" s="42">
        <v>49.143000000000001</v>
      </c>
      <c r="C2099" s="42">
        <v>49.140999999999998</v>
      </c>
      <c r="D2099" s="42">
        <v>49.139000000000003</v>
      </c>
      <c r="E2099" s="42">
        <v>49.137999999999998</v>
      </c>
      <c r="F2099" s="42">
        <v>49.137</v>
      </c>
      <c r="G2099" s="42">
        <v>49.136000000000003</v>
      </c>
      <c r="H2099" s="42">
        <v>49.133000000000003</v>
      </c>
      <c r="I2099" s="42">
        <v>49.131</v>
      </c>
      <c r="J2099" s="21">
        <v>9356</v>
      </c>
      <c r="K2099" s="1">
        <v>2300</v>
      </c>
      <c r="L2099" s="1">
        <v>-100</v>
      </c>
      <c r="M2099" s="1">
        <v>-74.944000000000003</v>
      </c>
      <c r="N2099" s="1">
        <v>-49.936999999999998</v>
      </c>
      <c r="O2099" s="1">
        <v>-24.962</v>
      </c>
      <c r="P2099" s="365">
        <v>0</v>
      </c>
      <c r="Q2099" s="1">
        <v>24.960999999999999</v>
      </c>
      <c r="R2099" s="1">
        <v>49.936999999999998</v>
      </c>
      <c r="S2099" s="1">
        <v>74.942999999999998</v>
      </c>
      <c r="T2099" s="1">
        <v>100</v>
      </c>
      <c r="U2099" s="25"/>
      <c r="V2099" s="1">
        <f>IF(tankSound28=soundingPipe8,tankSound28,FLOOR(W2098,incHeel))</f>
        <v>2100</v>
      </c>
      <c r="W2099" s="1">
        <f>Interp2(tank8Heel1,tank8Heel2,tank8Heel3,V2099,V2098)</f>
        <v>0</v>
      </c>
      <c r="X2099" s="1">
        <f>IF(X2098=soundingPipe8,Tank1!X2098,FLOOR(X2098,inc))</f>
        <v>2100</v>
      </c>
      <c r="Y2099" s="42">
        <f>IF(W2104=W2103,W2103,Interp1(V2103:V2104,W2103:W2104,V2102))</f>
        <v>48.014000000000003</v>
      </c>
      <c r="Z2099" s="918"/>
      <c r="AA2099" s="918"/>
      <c r="AB2099" s="42"/>
    </row>
    <row r="2100" spans="1:28">
      <c r="A2100" s="1">
        <v>1950</v>
      </c>
      <c r="B2100" s="42">
        <v>48.862000000000002</v>
      </c>
      <c r="C2100" s="42">
        <v>48.859000000000002</v>
      </c>
      <c r="D2100" s="42">
        <v>48.857999999999997</v>
      </c>
      <c r="E2100" s="42">
        <v>48.856999999999999</v>
      </c>
      <c r="F2100" s="42">
        <v>48.854999999999997</v>
      </c>
      <c r="G2100" s="42">
        <v>48.853999999999999</v>
      </c>
      <c r="H2100" s="42">
        <v>48.851999999999997</v>
      </c>
      <c r="I2100" s="42">
        <v>48.848999999999997</v>
      </c>
      <c r="J2100" s="21">
        <v>9306</v>
      </c>
      <c r="K2100" s="1">
        <v>2400</v>
      </c>
      <c r="L2100" s="1">
        <v>-100</v>
      </c>
      <c r="M2100" s="1">
        <v>-74.944000000000003</v>
      </c>
      <c r="N2100" s="1">
        <v>-49.936999999999998</v>
      </c>
      <c r="O2100" s="1">
        <v>-24.962</v>
      </c>
      <c r="P2100" s="365">
        <v>0</v>
      </c>
      <c r="Q2100" s="1">
        <v>25.289000000000001</v>
      </c>
      <c r="R2100" s="1">
        <v>50.594000000000001</v>
      </c>
      <c r="S2100" s="1">
        <v>75.929000000000002</v>
      </c>
      <c r="T2100" s="1">
        <v>101.312</v>
      </c>
      <c r="U2100" s="25"/>
      <c r="V2100" s="1">
        <f>IF(V2099=tankSound28,V2099,CEILING(W2098,incHeel))</f>
        <v>2100</v>
      </c>
      <c r="W2100" s="1">
        <f>Interp2(tank8Heel1,tank8Heel2,tank8Heel3,V2100,V2098)</f>
        <v>0</v>
      </c>
      <c r="X2100" s="1">
        <f>IF(X2099=X2098,X2099,CEILING(X2098,inc))</f>
        <v>2100</v>
      </c>
      <c r="Y2100" s="42">
        <f>IF(X2104=X2103,X2103,Interp1(V2103:V2104,X2103:X2104,V2102))</f>
        <v>48.014000000000003</v>
      </c>
    </row>
    <row r="2101" spans="1:28">
      <c r="A2101" s="1">
        <v>2000</v>
      </c>
      <c r="B2101" s="42">
        <v>48.58</v>
      </c>
      <c r="C2101" s="42">
        <v>48.578000000000003</v>
      </c>
      <c r="D2101" s="42">
        <v>48.576999999999998</v>
      </c>
      <c r="E2101" s="42">
        <v>48.575000000000003</v>
      </c>
      <c r="F2101" s="42">
        <v>48.573999999999998</v>
      </c>
      <c r="G2101" s="42">
        <v>48.573</v>
      </c>
      <c r="H2101" s="42">
        <v>48.57</v>
      </c>
      <c r="I2101" s="42">
        <v>48.567999999999998</v>
      </c>
      <c r="J2101" s="21">
        <v>9256</v>
      </c>
      <c r="K2101" s="1">
        <v>2500</v>
      </c>
      <c r="L2101" s="1">
        <v>-100.509</v>
      </c>
      <c r="M2101" s="1">
        <v>-75.334000000000003</v>
      </c>
      <c r="N2101" s="1">
        <v>-50.198</v>
      </c>
      <c r="O2101" s="1">
        <v>-25.091999999999999</v>
      </c>
      <c r="P2101" s="365">
        <v>0</v>
      </c>
      <c r="Q2101" s="1">
        <v>25.116</v>
      </c>
      <c r="R2101" s="1">
        <v>50.249000000000002</v>
      </c>
      <c r="S2101" s="1">
        <v>75.41</v>
      </c>
      <c r="T2101" s="1">
        <v>100.62</v>
      </c>
      <c r="U2101" s="26"/>
      <c r="W2101" s="1">
        <f>IF(W2100=W2099,W2099,Interp1(V2099:V2100,W2099:W2100,W2098))</f>
        <v>0</v>
      </c>
      <c r="Y2101" s="42"/>
    </row>
    <row r="2102" spans="1:28">
      <c r="A2102" s="1">
        <v>2050</v>
      </c>
      <c r="B2102" s="42">
        <v>48.298999999999999</v>
      </c>
      <c r="C2102" s="42">
        <v>48.295999999999999</v>
      </c>
      <c r="D2102" s="42">
        <v>48.295000000000002</v>
      </c>
      <c r="E2102" s="42">
        <v>48.293999999999997</v>
      </c>
      <c r="F2102" s="42">
        <v>48.292999999999999</v>
      </c>
      <c r="G2102" s="42">
        <v>48.290999999999997</v>
      </c>
      <c r="H2102" s="42">
        <v>48.289000000000001</v>
      </c>
      <c r="I2102" s="42">
        <v>48.286000000000001</v>
      </c>
      <c r="J2102" s="21">
        <v>9206</v>
      </c>
      <c r="K2102" s="1">
        <v>2600</v>
      </c>
      <c r="L2102" s="1">
        <v>-99.760999999999996</v>
      </c>
      <c r="M2102" s="1">
        <v>-74.766999999999996</v>
      </c>
      <c r="N2102" s="1">
        <v>-49.819000000000003</v>
      </c>
      <c r="O2102" s="1">
        <v>-24.902999999999999</v>
      </c>
      <c r="P2102" s="365">
        <v>0</v>
      </c>
      <c r="Q2102" s="1">
        <v>24.901</v>
      </c>
      <c r="R2102" s="1">
        <v>49.820999999999998</v>
      </c>
      <c r="S2102" s="1">
        <v>74.77</v>
      </c>
      <c r="T2102" s="1">
        <v>99.763000000000005</v>
      </c>
      <c r="U2102" s="25"/>
      <c r="V2102" s="1">
        <f>Bunkering!trim1</f>
        <v>0.36</v>
      </c>
    </row>
    <row r="2103" spans="1:28">
      <c r="A2103" s="1">
        <v>2100</v>
      </c>
      <c r="B2103" s="42">
        <v>48.018000000000001</v>
      </c>
      <c r="C2103" s="42">
        <v>48.015000000000001</v>
      </c>
      <c r="D2103" s="42">
        <v>48.014000000000003</v>
      </c>
      <c r="E2103" s="42">
        <v>48.012999999999998</v>
      </c>
      <c r="F2103" s="42">
        <v>48.011000000000003</v>
      </c>
      <c r="G2103" s="42">
        <v>48.01</v>
      </c>
      <c r="H2103" s="42">
        <v>48.008000000000003</v>
      </c>
      <c r="I2103" s="42">
        <v>48.005000000000003</v>
      </c>
      <c r="J2103" s="21">
        <v>9156</v>
      </c>
      <c r="K2103" s="1">
        <v>2700</v>
      </c>
      <c r="L2103" s="1">
        <v>-98.906000000000006</v>
      </c>
      <c r="M2103" s="1">
        <v>-74.125</v>
      </c>
      <c r="N2103" s="1">
        <v>-49.393000000000001</v>
      </c>
      <c r="O2103" s="1">
        <v>-24.689</v>
      </c>
      <c r="P2103" s="365">
        <v>0</v>
      </c>
      <c r="Q2103" s="1">
        <v>24.69</v>
      </c>
      <c r="R2103" s="1">
        <v>49.392000000000003</v>
      </c>
      <c r="S2103" s="1">
        <v>74.126000000000005</v>
      </c>
      <c r="T2103" s="1">
        <v>98.903000000000006</v>
      </c>
      <c r="U2103" s="25"/>
      <c r="V2103" s="1">
        <f>INDEX(tank8Trim2,0,MATCH(V2102,tank8Trim2,1))</f>
        <v>0</v>
      </c>
      <c r="W2103" s="1">
        <f>Interp2(tank8Trim1,tank8Trim2,tank8Trim3,X2099,V2103)</f>
        <v>48.015000000000001</v>
      </c>
      <c r="X2103" s="1">
        <f>Interp2(tank8Trim1,tank8Trim2,tank8Trim3,X2100,V2103)</f>
        <v>48.015000000000001</v>
      </c>
      <c r="Z2103" s="916"/>
      <c r="AA2103" s="916"/>
      <c r="AB2103" s="40"/>
    </row>
    <row r="2104" spans="1:28">
      <c r="A2104" s="1">
        <v>2150</v>
      </c>
      <c r="B2104" s="42">
        <v>47.735999999999997</v>
      </c>
      <c r="C2104" s="42">
        <v>47.734000000000002</v>
      </c>
      <c r="D2104" s="42">
        <v>47.731999999999999</v>
      </c>
      <c r="E2104" s="42">
        <v>47.731000000000002</v>
      </c>
      <c r="F2104" s="42">
        <v>47.73</v>
      </c>
      <c r="G2104" s="42">
        <v>47.728999999999999</v>
      </c>
      <c r="H2104" s="42">
        <v>47.725999999999999</v>
      </c>
      <c r="I2104" s="42">
        <v>47.723999999999997</v>
      </c>
      <c r="J2104" s="21">
        <v>9106</v>
      </c>
      <c r="K2104" s="1">
        <v>2800</v>
      </c>
      <c r="L2104" s="1">
        <v>-98.046000000000006</v>
      </c>
      <c r="M2104" s="1">
        <v>-73.480999999999995</v>
      </c>
      <c r="N2104" s="1">
        <v>-48.963999999999999</v>
      </c>
      <c r="O2104" s="1">
        <v>-24.474</v>
      </c>
      <c r="P2104" s="365">
        <v>0</v>
      </c>
      <c r="Q2104" s="1">
        <v>24.475999999999999</v>
      </c>
      <c r="R2104" s="1">
        <v>48.966000000000001</v>
      </c>
      <c r="S2104" s="1">
        <v>73.484999999999999</v>
      </c>
      <c r="T2104" s="1">
        <v>98.049000000000007</v>
      </c>
      <c r="U2104" s="25"/>
      <c r="V2104" s="1">
        <f>IF(V2103=V2102,V2102,INDEX(tank8Trim2,0,MATCH(V2102,tank8Trim2,1)+1))</f>
        <v>0.5</v>
      </c>
      <c r="W2104" s="1">
        <f>Interp2(tank8Trim1,tank8Trim2,tank8Trim3,X2099,V2104)</f>
        <v>48.014000000000003</v>
      </c>
      <c r="X2104" s="1">
        <f>Interp2(tank8Trim1,tank8Trim2,tank8Trim3,X2100,V2104)</f>
        <v>48.014000000000003</v>
      </c>
      <c r="AA2104" s="30"/>
    </row>
    <row r="2105" spans="1:28">
      <c r="A2105" s="1">
        <v>2200</v>
      </c>
      <c r="B2105" s="42">
        <v>47.454999999999998</v>
      </c>
      <c r="C2105" s="42">
        <v>47.451999999999998</v>
      </c>
      <c r="D2105" s="42">
        <v>47.451000000000001</v>
      </c>
      <c r="E2105" s="42">
        <v>47.45</v>
      </c>
      <c r="F2105" s="42">
        <v>47.448999999999998</v>
      </c>
      <c r="G2105" s="42">
        <v>47.447000000000003</v>
      </c>
      <c r="H2105" s="42">
        <v>47.445</v>
      </c>
      <c r="I2105" s="42">
        <v>47.442</v>
      </c>
      <c r="J2105" s="21">
        <v>9056</v>
      </c>
      <c r="K2105" s="1">
        <v>2900</v>
      </c>
      <c r="L2105" s="1">
        <v>-97.191999999999993</v>
      </c>
      <c r="M2105" s="1">
        <v>-72.840999999999994</v>
      </c>
      <c r="N2105" s="1">
        <v>-48.536999999999999</v>
      </c>
      <c r="O2105" s="1">
        <v>-24.260999999999999</v>
      </c>
      <c r="P2105" s="365">
        <v>0</v>
      </c>
      <c r="Q2105" s="1">
        <v>24.26</v>
      </c>
      <c r="R2105" s="1">
        <v>48.533000000000001</v>
      </c>
      <c r="S2105" s="1">
        <v>72.837999999999994</v>
      </c>
      <c r="T2105" s="1">
        <v>97.186999999999998</v>
      </c>
      <c r="U2105" s="25"/>
      <c r="W2105" s="30"/>
      <c r="AA2105" s="30"/>
    </row>
    <row r="2106" spans="1:28">
      <c r="A2106" s="1">
        <v>2250</v>
      </c>
      <c r="B2106" s="42">
        <v>47.173000000000002</v>
      </c>
      <c r="C2106" s="42">
        <v>47.170999999999999</v>
      </c>
      <c r="D2106" s="42">
        <v>47.17</v>
      </c>
      <c r="E2106" s="42">
        <v>47.167999999999999</v>
      </c>
      <c r="F2106" s="42">
        <v>47.167000000000002</v>
      </c>
      <c r="G2106" s="42">
        <v>47.165999999999997</v>
      </c>
      <c r="H2106" s="42">
        <v>47.162999999999997</v>
      </c>
      <c r="I2106" s="42">
        <v>47.161000000000001</v>
      </c>
      <c r="J2106" s="21">
        <v>9006</v>
      </c>
      <c r="K2106" s="1">
        <v>3000</v>
      </c>
      <c r="L2106" s="1">
        <v>-96.331000000000003</v>
      </c>
      <c r="M2106" s="1">
        <v>-72.194999999999993</v>
      </c>
      <c r="N2106" s="1">
        <v>-48.106000000000002</v>
      </c>
      <c r="O2106" s="1">
        <v>-24.045000000000002</v>
      </c>
      <c r="P2106" s="365">
        <v>0</v>
      </c>
      <c r="Q2106" s="1">
        <v>24.045000000000002</v>
      </c>
      <c r="R2106" s="1">
        <v>48.106999999999999</v>
      </c>
      <c r="S2106" s="1">
        <v>72.195999999999998</v>
      </c>
      <c r="T2106" s="1">
        <v>96.328999999999994</v>
      </c>
      <c r="U2106" s="24"/>
      <c r="W2106" s="30"/>
      <c r="X2106" s="42"/>
      <c r="AA2106" s="30"/>
      <c r="AB2106" s="42"/>
    </row>
    <row r="2107" spans="1:28">
      <c r="A2107" s="1">
        <v>2300</v>
      </c>
      <c r="B2107" s="42">
        <v>46.892000000000003</v>
      </c>
      <c r="C2107" s="42">
        <v>46.89</v>
      </c>
      <c r="D2107" s="42">
        <v>46.887999999999998</v>
      </c>
      <c r="E2107" s="42">
        <v>46.887</v>
      </c>
      <c r="F2107" s="42">
        <v>46.886000000000003</v>
      </c>
      <c r="G2107" s="42">
        <v>46.884999999999998</v>
      </c>
      <c r="H2107" s="42">
        <v>46.881999999999998</v>
      </c>
      <c r="I2107" s="42">
        <v>46.88</v>
      </c>
      <c r="J2107" s="21">
        <v>8956</v>
      </c>
      <c r="K2107" s="1">
        <v>3100</v>
      </c>
      <c r="L2107" s="1">
        <v>-95.474000000000004</v>
      </c>
      <c r="M2107" s="1">
        <v>-71.555000000000007</v>
      </c>
      <c r="N2107" s="1">
        <v>-47.679000000000002</v>
      </c>
      <c r="O2107" s="1">
        <v>-23.832999999999998</v>
      </c>
      <c r="P2107" s="365">
        <v>0</v>
      </c>
      <c r="Q2107" s="1">
        <v>23.832000000000001</v>
      </c>
      <c r="R2107" s="1">
        <v>47.679000000000002</v>
      </c>
      <c r="S2107" s="1">
        <v>71.555000000000007</v>
      </c>
      <c r="T2107" s="1">
        <v>95.474000000000004</v>
      </c>
      <c r="U2107" s="24"/>
      <c r="W2107" s="30"/>
      <c r="X2107" s="42"/>
      <c r="AA2107" s="30"/>
      <c r="AB2107" s="42"/>
    </row>
    <row r="2108" spans="1:28">
      <c r="A2108" s="1">
        <v>2350</v>
      </c>
      <c r="B2108" s="42">
        <v>46.610999999999997</v>
      </c>
      <c r="C2108" s="42">
        <v>46.607999999999997</v>
      </c>
      <c r="D2108" s="42">
        <v>46.606999999999999</v>
      </c>
      <c r="E2108" s="42">
        <v>46.606000000000002</v>
      </c>
      <c r="F2108" s="42">
        <v>46.603999999999999</v>
      </c>
      <c r="G2108" s="42">
        <v>46.603000000000002</v>
      </c>
      <c r="H2108" s="42">
        <v>46.600999999999999</v>
      </c>
      <c r="I2108" s="42">
        <v>46.597999999999999</v>
      </c>
      <c r="J2108" s="21">
        <v>8906</v>
      </c>
      <c r="K2108" s="1">
        <v>3200</v>
      </c>
      <c r="L2108" s="1">
        <v>-94.617000000000004</v>
      </c>
      <c r="M2108" s="1">
        <v>-70.911000000000001</v>
      </c>
      <c r="N2108" s="1">
        <v>-47.25</v>
      </c>
      <c r="O2108" s="1">
        <v>-23.617999999999999</v>
      </c>
      <c r="P2108" s="365">
        <v>0</v>
      </c>
      <c r="Q2108" s="1">
        <v>23.617000000000001</v>
      </c>
      <c r="R2108" s="1">
        <v>47.249000000000002</v>
      </c>
      <c r="S2108" s="1">
        <v>70.912000000000006</v>
      </c>
      <c r="T2108" s="1">
        <v>94.613</v>
      </c>
      <c r="U2108" s="24"/>
      <c r="W2108" s="30"/>
      <c r="X2108" s="42"/>
      <c r="AA2108" s="30"/>
      <c r="AB2108" s="42"/>
    </row>
    <row r="2109" spans="1:28">
      <c r="A2109" s="1">
        <v>2400</v>
      </c>
      <c r="B2109" s="42">
        <v>46.329000000000001</v>
      </c>
      <c r="C2109" s="42">
        <v>46.326999999999998</v>
      </c>
      <c r="D2109" s="42">
        <v>46.325000000000003</v>
      </c>
      <c r="E2109" s="42">
        <v>46.323999999999998</v>
      </c>
      <c r="F2109" s="42">
        <v>46.323</v>
      </c>
      <c r="G2109" s="42">
        <v>46.322000000000003</v>
      </c>
      <c r="H2109" s="42">
        <v>46.319000000000003</v>
      </c>
      <c r="I2109" s="42">
        <v>46.317</v>
      </c>
      <c r="J2109" s="21">
        <v>8856</v>
      </c>
      <c r="K2109" s="1">
        <v>3300</v>
      </c>
      <c r="L2109" s="1">
        <v>-93.757999999999996</v>
      </c>
      <c r="M2109" s="1">
        <v>-70.266000000000005</v>
      </c>
      <c r="N2109" s="1">
        <v>-46.822000000000003</v>
      </c>
      <c r="O2109" s="1">
        <v>-23.402999999999999</v>
      </c>
      <c r="P2109" s="365">
        <v>0</v>
      </c>
      <c r="Q2109" s="1">
        <v>23.402000000000001</v>
      </c>
      <c r="R2109" s="1">
        <v>46.822000000000003</v>
      </c>
      <c r="S2109" s="1">
        <v>70.271000000000001</v>
      </c>
      <c r="T2109" s="1">
        <v>93.757999999999996</v>
      </c>
      <c r="U2109" s="24"/>
      <c r="W2109" s="30"/>
      <c r="AA2109" s="30"/>
    </row>
    <row r="2110" spans="1:28">
      <c r="A2110" s="1">
        <v>2450</v>
      </c>
      <c r="B2110" s="42">
        <v>46.051000000000002</v>
      </c>
      <c r="C2110" s="42">
        <v>46.048999999999999</v>
      </c>
      <c r="D2110" s="42">
        <v>46.048000000000002</v>
      </c>
      <c r="E2110" s="42">
        <v>46.045999999999999</v>
      </c>
      <c r="F2110" s="42">
        <v>46.045000000000002</v>
      </c>
      <c r="G2110" s="42">
        <v>46.043999999999997</v>
      </c>
      <c r="H2110" s="42">
        <v>46.042000000000002</v>
      </c>
      <c r="I2110" s="42">
        <v>46.039000000000001</v>
      </c>
      <c r="J2110" s="21">
        <v>8806</v>
      </c>
      <c r="K2110" s="1">
        <v>3400</v>
      </c>
      <c r="L2110" s="1">
        <v>-92.900999999999996</v>
      </c>
      <c r="M2110" s="1">
        <v>-69.626000000000005</v>
      </c>
      <c r="N2110" s="1">
        <v>-46.393999999999998</v>
      </c>
      <c r="O2110" s="1">
        <v>-23.192</v>
      </c>
      <c r="P2110" s="365">
        <v>0</v>
      </c>
      <c r="Q2110" s="1">
        <v>23.189</v>
      </c>
      <c r="R2110" s="1">
        <v>46.393999999999998</v>
      </c>
      <c r="S2110" s="1">
        <v>69.625</v>
      </c>
      <c r="T2110" s="1">
        <v>92.896000000000001</v>
      </c>
      <c r="U2110" s="25"/>
      <c r="W2110" s="43"/>
      <c r="X2110" s="42"/>
      <c r="AA2110" s="30"/>
      <c r="AB2110" s="42"/>
    </row>
    <row r="2111" spans="1:28">
      <c r="A2111" s="1">
        <v>2500</v>
      </c>
      <c r="B2111" s="42">
        <v>45.774000000000001</v>
      </c>
      <c r="C2111" s="42">
        <v>45.771000000000001</v>
      </c>
      <c r="D2111" s="42">
        <v>45.77</v>
      </c>
      <c r="E2111" s="42">
        <v>45.768999999999998</v>
      </c>
      <c r="F2111" s="42">
        <v>45.768000000000001</v>
      </c>
      <c r="G2111" s="42">
        <v>45.767000000000003</v>
      </c>
      <c r="H2111" s="42">
        <v>45.765000000000001</v>
      </c>
      <c r="I2111" s="42">
        <v>45.762</v>
      </c>
      <c r="J2111" s="21">
        <v>8756</v>
      </c>
      <c r="K2111" s="1">
        <v>3500</v>
      </c>
      <c r="L2111" s="1">
        <v>-92.04</v>
      </c>
      <c r="M2111" s="1">
        <v>-68.981999999999999</v>
      </c>
      <c r="N2111" s="1">
        <v>-45.963999999999999</v>
      </c>
      <c r="O2111" s="1">
        <v>-22.975000000000001</v>
      </c>
      <c r="P2111" s="365">
        <v>0</v>
      </c>
      <c r="Q2111" s="1">
        <v>22.975999999999999</v>
      </c>
      <c r="R2111" s="1">
        <v>45.963999999999999</v>
      </c>
      <c r="S2111" s="1">
        <v>68.983000000000004</v>
      </c>
      <c r="T2111" s="1">
        <v>92.043000000000006</v>
      </c>
      <c r="U2111" s="27"/>
      <c r="W2111" s="43"/>
      <c r="X2111" s="42"/>
      <c r="AA2111" s="30"/>
      <c r="AB2111" s="42"/>
    </row>
    <row r="2112" spans="1:28">
      <c r="A2112" s="1">
        <v>2550</v>
      </c>
      <c r="B2112" s="42">
        <v>45.496000000000002</v>
      </c>
      <c r="C2112" s="42">
        <v>45.494</v>
      </c>
      <c r="D2112" s="42">
        <v>45.493000000000002</v>
      </c>
      <c r="E2112" s="42">
        <v>45.491999999999997</v>
      </c>
      <c r="F2112" s="42">
        <v>45.491</v>
      </c>
      <c r="G2112" s="42">
        <v>45.49</v>
      </c>
      <c r="H2112" s="42">
        <v>45.488</v>
      </c>
      <c r="I2112" s="42">
        <v>45.485999999999997</v>
      </c>
      <c r="J2112" s="21">
        <v>8706</v>
      </c>
      <c r="K2112" s="1">
        <v>3600</v>
      </c>
      <c r="L2112" s="1">
        <v>-91.185000000000002</v>
      </c>
      <c r="M2112" s="1">
        <v>-68.34</v>
      </c>
      <c r="N2112" s="1">
        <v>-45.536999999999999</v>
      </c>
      <c r="O2112" s="1">
        <v>-22.760999999999999</v>
      </c>
      <c r="P2112" s="365">
        <v>0</v>
      </c>
      <c r="Q2112" s="1">
        <v>22.760999999999999</v>
      </c>
      <c r="R2112" s="1">
        <v>45.536000000000001</v>
      </c>
      <c r="S2112" s="1">
        <v>68.338999999999999</v>
      </c>
      <c r="T2112" s="1">
        <v>91.185000000000002</v>
      </c>
      <c r="U2112" s="25"/>
    </row>
    <row r="2113" spans="1:28">
      <c r="A2113" s="1">
        <v>2600</v>
      </c>
      <c r="B2113" s="42">
        <v>45.218000000000004</v>
      </c>
      <c r="C2113" s="42">
        <v>45.216000000000001</v>
      </c>
      <c r="D2113" s="42">
        <v>45.215000000000003</v>
      </c>
      <c r="E2113" s="42">
        <v>45.213999999999999</v>
      </c>
      <c r="F2113" s="42">
        <v>45.213000000000001</v>
      </c>
      <c r="G2113" s="42">
        <v>45.213000000000001</v>
      </c>
      <c r="H2113" s="42">
        <v>45.210999999999999</v>
      </c>
      <c r="I2113" s="42">
        <v>45.209000000000003</v>
      </c>
      <c r="J2113" s="21">
        <v>8656</v>
      </c>
      <c r="K2113" s="1">
        <v>3700</v>
      </c>
      <c r="L2113" s="1">
        <v>-90.323999999999998</v>
      </c>
      <c r="M2113" s="1">
        <v>-67.694999999999993</v>
      </c>
      <c r="N2113" s="1">
        <v>-45.109000000000002</v>
      </c>
      <c r="O2113" s="1">
        <v>-22.547000000000001</v>
      </c>
      <c r="P2113" s="365">
        <v>0</v>
      </c>
      <c r="Q2113" s="1">
        <v>22.274999999999999</v>
      </c>
      <c r="R2113" s="1">
        <v>44.561</v>
      </c>
      <c r="S2113" s="1">
        <v>66.875</v>
      </c>
      <c r="T2113" s="1">
        <v>89.230999999999995</v>
      </c>
      <c r="U2113" s="24"/>
    </row>
    <row r="2114" spans="1:28">
      <c r="A2114" s="1">
        <v>2650</v>
      </c>
      <c r="B2114" s="42">
        <v>44.941000000000003</v>
      </c>
      <c r="C2114" s="42">
        <v>44.939</v>
      </c>
      <c r="D2114" s="42">
        <v>44.938000000000002</v>
      </c>
      <c r="E2114" s="42">
        <v>44.936999999999998</v>
      </c>
      <c r="F2114" s="42">
        <v>44.936</v>
      </c>
      <c r="G2114" s="42">
        <v>44.935000000000002</v>
      </c>
      <c r="H2114" s="42">
        <v>44.933999999999997</v>
      </c>
      <c r="I2114" s="42">
        <v>44.932000000000002</v>
      </c>
      <c r="J2114" s="21">
        <v>8606</v>
      </c>
      <c r="K2114" s="1">
        <v>3800</v>
      </c>
      <c r="L2114" s="1">
        <v>-89.117999999999995</v>
      </c>
      <c r="M2114" s="1">
        <v>-66.787999999999997</v>
      </c>
      <c r="N2114" s="1">
        <v>-44.505000000000003</v>
      </c>
      <c r="O2114" s="1">
        <v>-22.245000000000001</v>
      </c>
      <c r="P2114" s="365">
        <v>0</v>
      </c>
      <c r="Q2114" s="1">
        <v>22.204000000000001</v>
      </c>
      <c r="R2114" s="1">
        <v>44.418999999999997</v>
      </c>
      <c r="S2114" s="1">
        <v>66.662999999999997</v>
      </c>
      <c r="T2114" s="1">
        <v>88.945999999999998</v>
      </c>
      <c r="U2114" s="25"/>
      <c r="V2114" s="918"/>
      <c r="W2114" s="918"/>
      <c r="X2114" s="42"/>
      <c r="Z2114" s="918"/>
      <c r="AA2114" s="918"/>
      <c r="AB2114" s="42"/>
    </row>
    <row r="2115" spans="1:28">
      <c r="A2115" s="1">
        <v>2700</v>
      </c>
      <c r="B2115" s="42">
        <v>44.662999999999997</v>
      </c>
      <c r="C2115" s="42">
        <v>44.661999999999999</v>
      </c>
      <c r="D2115" s="42">
        <v>44.661000000000001</v>
      </c>
      <c r="E2115" s="42">
        <v>44.66</v>
      </c>
      <c r="F2115" s="42">
        <v>44.658999999999999</v>
      </c>
      <c r="G2115" s="42">
        <v>44.658000000000001</v>
      </c>
      <c r="H2115" s="42">
        <v>44.656999999999996</v>
      </c>
      <c r="I2115" s="42">
        <v>44.655000000000001</v>
      </c>
      <c r="J2115" s="21">
        <v>8556</v>
      </c>
      <c r="K2115" s="1">
        <v>3900</v>
      </c>
      <c r="L2115" s="1">
        <v>-88.948999999999998</v>
      </c>
      <c r="M2115" s="1">
        <v>-66.661000000000001</v>
      </c>
      <c r="N2115" s="1">
        <v>-44.42</v>
      </c>
      <c r="O2115" s="1">
        <v>-22.202999999999999</v>
      </c>
      <c r="P2115" s="365">
        <v>0</v>
      </c>
      <c r="Q2115" s="1">
        <v>22.204000000000001</v>
      </c>
      <c r="R2115" s="1">
        <v>44.418999999999997</v>
      </c>
      <c r="S2115" s="1">
        <v>66.662000000000006</v>
      </c>
      <c r="T2115" s="1">
        <v>88.945999999999998</v>
      </c>
      <c r="U2115" s="25"/>
    </row>
    <row r="2116" spans="1:28">
      <c r="A2116" s="1">
        <v>2750</v>
      </c>
      <c r="B2116" s="42">
        <v>44.386000000000003</v>
      </c>
      <c r="C2116" s="42">
        <v>44.384</v>
      </c>
      <c r="D2116" s="42">
        <v>44.383000000000003</v>
      </c>
      <c r="E2116" s="42">
        <v>44.383000000000003</v>
      </c>
      <c r="F2116" s="42">
        <v>44.381999999999998</v>
      </c>
      <c r="G2116" s="42">
        <v>44.381</v>
      </c>
      <c r="H2116" s="42">
        <v>44.38</v>
      </c>
      <c r="I2116" s="42">
        <v>44.378</v>
      </c>
      <c r="J2116" s="21">
        <v>8506</v>
      </c>
      <c r="K2116" s="1">
        <v>4000</v>
      </c>
      <c r="L2116" s="1">
        <v>-88.947999999999993</v>
      </c>
      <c r="M2116" s="1">
        <v>-66.661000000000001</v>
      </c>
      <c r="N2116" s="1">
        <v>-44.418999999999997</v>
      </c>
      <c r="O2116" s="1">
        <v>-22.202999999999999</v>
      </c>
      <c r="P2116" s="365">
        <v>0</v>
      </c>
      <c r="Q2116" s="1">
        <v>22.204000000000001</v>
      </c>
      <c r="R2116" s="1">
        <v>44.42</v>
      </c>
      <c r="S2116" s="1">
        <v>66.664000000000001</v>
      </c>
      <c r="T2116" s="1">
        <v>88.948999999999998</v>
      </c>
      <c r="U2116" s="25"/>
    </row>
    <row r="2117" spans="1:28">
      <c r="A2117" s="1">
        <v>2800</v>
      </c>
      <c r="B2117" s="42">
        <v>44.107999999999997</v>
      </c>
      <c r="C2117" s="42">
        <v>44.106999999999999</v>
      </c>
      <c r="D2117" s="42">
        <v>44.106000000000002</v>
      </c>
      <c r="E2117" s="42">
        <v>44.104999999999997</v>
      </c>
      <c r="F2117" s="42">
        <v>44.104999999999997</v>
      </c>
      <c r="G2117" s="42">
        <v>44.103999999999999</v>
      </c>
      <c r="H2117" s="42">
        <v>44.103000000000002</v>
      </c>
      <c r="I2117" s="42">
        <v>44.100999999999999</v>
      </c>
      <c r="J2117" s="21">
        <v>8456</v>
      </c>
      <c r="K2117" s="1">
        <v>4100</v>
      </c>
      <c r="L2117" s="1">
        <v>-88.948999999999998</v>
      </c>
      <c r="M2117" s="1">
        <v>-66.662999999999997</v>
      </c>
      <c r="N2117" s="1">
        <v>-44.42</v>
      </c>
      <c r="O2117" s="1">
        <v>-22.204000000000001</v>
      </c>
      <c r="P2117" s="365">
        <v>0</v>
      </c>
      <c r="Q2117" s="1">
        <v>22.202000000000002</v>
      </c>
      <c r="R2117" s="1">
        <v>44.42</v>
      </c>
      <c r="S2117" s="1">
        <v>66.661000000000001</v>
      </c>
      <c r="T2117" s="1">
        <v>88.944999999999993</v>
      </c>
      <c r="U2117" s="25"/>
    </row>
    <row r="2118" spans="1:28">
      <c r="A2118" s="1">
        <v>2850</v>
      </c>
      <c r="B2118" s="42">
        <v>43.83</v>
      </c>
      <c r="C2118" s="42">
        <v>43.829000000000001</v>
      </c>
      <c r="D2118" s="42">
        <v>43.829000000000001</v>
      </c>
      <c r="E2118" s="42">
        <v>43.828000000000003</v>
      </c>
      <c r="F2118" s="42">
        <v>43.826999999999998</v>
      </c>
      <c r="G2118" s="42">
        <v>43.826999999999998</v>
      </c>
      <c r="H2118" s="42">
        <v>43.826000000000001</v>
      </c>
      <c r="I2118" s="42">
        <v>43.823999999999998</v>
      </c>
      <c r="J2118" s="21">
        <v>8406</v>
      </c>
      <c r="K2118" s="1">
        <v>4200</v>
      </c>
      <c r="L2118" s="1">
        <v>-88.945999999999998</v>
      </c>
      <c r="M2118" s="1">
        <v>-66.66</v>
      </c>
      <c r="N2118" s="1">
        <v>-44.417999999999999</v>
      </c>
      <c r="O2118" s="1">
        <v>-22.202999999999999</v>
      </c>
      <c r="P2118" s="365">
        <v>0</v>
      </c>
      <c r="Q2118" s="1">
        <v>22.204000000000001</v>
      </c>
      <c r="R2118" s="1">
        <v>44.42</v>
      </c>
      <c r="S2118" s="1">
        <v>66.664000000000001</v>
      </c>
      <c r="T2118" s="1">
        <v>88.947999999999993</v>
      </c>
      <c r="U2118" s="24"/>
    </row>
    <row r="2119" spans="1:28">
      <c r="A2119" s="1">
        <v>2900</v>
      </c>
      <c r="B2119" s="42">
        <v>43.552999999999997</v>
      </c>
      <c r="C2119" s="42">
        <v>43.552</v>
      </c>
      <c r="D2119" s="42">
        <v>43.551000000000002</v>
      </c>
      <c r="E2119" s="42">
        <v>43.551000000000002</v>
      </c>
      <c r="F2119" s="42">
        <v>43.55</v>
      </c>
      <c r="G2119" s="42">
        <v>43.55</v>
      </c>
      <c r="H2119" s="42">
        <v>43.548999999999999</v>
      </c>
      <c r="I2119" s="42">
        <v>43.546999999999997</v>
      </c>
      <c r="J2119" s="21">
        <v>8356</v>
      </c>
      <c r="K2119" s="1">
        <v>4300</v>
      </c>
      <c r="L2119" s="1">
        <v>-88.947000000000003</v>
      </c>
      <c r="M2119" s="1">
        <v>-66.665000000000006</v>
      </c>
      <c r="N2119" s="1">
        <v>-44.42</v>
      </c>
      <c r="O2119" s="1">
        <v>-22.202999999999999</v>
      </c>
      <c r="P2119" s="365">
        <v>0</v>
      </c>
      <c r="Q2119" s="1">
        <v>22.202999999999999</v>
      </c>
      <c r="R2119" s="1">
        <v>44.420999999999999</v>
      </c>
      <c r="S2119" s="1">
        <v>66.662000000000006</v>
      </c>
      <c r="T2119" s="1">
        <v>88.947999999999993</v>
      </c>
      <c r="U2119" s="25"/>
    </row>
    <row r="2120" spans="1:28">
      <c r="A2120" s="1">
        <v>2950</v>
      </c>
      <c r="B2120" s="42">
        <v>43.274999999999999</v>
      </c>
      <c r="C2120" s="42">
        <v>43.274000000000001</v>
      </c>
      <c r="D2120" s="42">
        <v>43.274000000000001</v>
      </c>
      <c r="E2120" s="42">
        <v>43.273000000000003</v>
      </c>
      <c r="F2120" s="42">
        <v>43.273000000000003</v>
      </c>
      <c r="G2120" s="42">
        <v>43.271999999999998</v>
      </c>
      <c r="H2120" s="42">
        <v>43.271000000000001</v>
      </c>
      <c r="I2120" s="42">
        <v>43.271000000000001</v>
      </c>
      <c r="J2120" s="21">
        <v>8306</v>
      </c>
      <c r="K2120" s="1">
        <v>4400</v>
      </c>
      <c r="L2120" s="1">
        <v>-88.945999999999998</v>
      </c>
      <c r="M2120" s="1">
        <v>-66.662999999999997</v>
      </c>
      <c r="N2120" s="1">
        <v>-44.418999999999997</v>
      </c>
      <c r="O2120" s="1">
        <v>-22.202999999999999</v>
      </c>
      <c r="P2120" s="365">
        <v>0</v>
      </c>
      <c r="Q2120" s="1">
        <v>22.202999999999999</v>
      </c>
      <c r="R2120" s="1">
        <v>44.42</v>
      </c>
      <c r="S2120" s="1">
        <v>66.661000000000001</v>
      </c>
      <c r="T2120" s="1">
        <v>88.947000000000003</v>
      </c>
      <c r="U2120" s="24"/>
    </row>
    <row r="2121" spans="1:28">
      <c r="A2121" s="1">
        <v>3000</v>
      </c>
      <c r="B2121" s="42">
        <v>42.997999999999998</v>
      </c>
      <c r="C2121" s="42">
        <v>42.997</v>
      </c>
      <c r="D2121" s="42">
        <v>42.996000000000002</v>
      </c>
      <c r="E2121" s="42">
        <v>42.996000000000002</v>
      </c>
      <c r="F2121" s="42">
        <v>42.996000000000002</v>
      </c>
      <c r="G2121" s="42">
        <v>42.994999999999997</v>
      </c>
      <c r="H2121" s="42">
        <v>42.994</v>
      </c>
      <c r="I2121" s="42">
        <v>42.994</v>
      </c>
      <c r="J2121" s="21">
        <v>8256</v>
      </c>
      <c r="K2121" s="1">
        <v>4500</v>
      </c>
      <c r="L2121" s="1">
        <v>-88.947000000000003</v>
      </c>
      <c r="M2121" s="1">
        <v>-66.661000000000001</v>
      </c>
      <c r="N2121" s="1">
        <v>-44.418999999999997</v>
      </c>
      <c r="O2121" s="1">
        <v>-22.202999999999999</v>
      </c>
      <c r="P2121" s="365">
        <v>0</v>
      </c>
      <c r="Q2121" s="1">
        <v>22.202999999999999</v>
      </c>
      <c r="R2121" s="1">
        <v>44.420999999999999</v>
      </c>
      <c r="S2121" s="1">
        <v>66.664000000000001</v>
      </c>
      <c r="T2121" s="1">
        <v>88.947999999999993</v>
      </c>
      <c r="U2121" s="26"/>
    </row>
    <row r="2122" spans="1:28">
      <c r="A2122" s="1">
        <v>3050</v>
      </c>
      <c r="B2122" s="42">
        <v>42.72</v>
      </c>
      <c r="C2122" s="42">
        <v>42.719000000000001</v>
      </c>
      <c r="D2122" s="42">
        <v>42.719000000000001</v>
      </c>
      <c r="E2122" s="42">
        <v>42.719000000000001</v>
      </c>
      <c r="F2122" s="42">
        <v>42.718000000000004</v>
      </c>
      <c r="G2122" s="42">
        <v>42.718000000000004</v>
      </c>
      <c r="H2122" s="42">
        <v>42.716999999999999</v>
      </c>
      <c r="I2122" s="42">
        <v>42.716999999999999</v>
      </c>
      <c r="J2122" s="21">
        <v>8206</v>
      </c>
      <c r="K2122" s="1">
        <v>4600</v>
      </c>
      <c r="L2122" s="1">
        <v>-88.95</v>
      </c>
      <c r="M2122" s="1">
        <v>-66.662999999999997</v>
      </c>
      <c r="N2122" s="1">
        <v>-44.420999999999999</v>
      </c>
      <c r="O2122" s="1">
        <v>-22.204000000000001</v>
      </c>
      <c r="P2122" s="365">
        <v>0</v>
      </c>
      <c r="Q2122" s="1">
        <v>22.202000000000002</v>
      </c>
      <c r="R2122" s="1">
        <v>44.417999999999999</v>
      </c>
      <c r="S2122" s="1">
        <v>66.66</v>
      </c>
      <c r="T2122" s="1">
        <v>88.942999999999998</v>
      </c>
      <c r="U2122" s="24"/>
    </row>
    <row r="2123" spans="1:28">
      <c r="A2123" s="1">
        <v>3100</v>
      </c>
      <c r="B2123" s="42">
        <v>42.442999999999998</v>
      </c>
      <c r="C2123" s="42">
        <v>42.442</v>
      </c>
      <c r="D2123" s="42">
        <v>42.442</v>
      </c>
      <c r="E2123" s="42">
        <v>42.441000000000003</v>
      </c>
      <c r="F2123" s="42">
        <v>42.441000000000003</v>
      </c>
      <c r="G2123" s="42">
        <v>42.441000000000003</v>
      </c>
      <c r="H2123" s="42">
        <v>42.44</v>
      </c>
      <c r="I2123" s="42">
        <v>42.44</v>
      </c>
      <c r="J2123" s="21">
        <v>8156</v>
      </c>
      <c r="K2123" s="1">
        <v>4700</v>
      </c>
      <c r="L2123" s="1">
        <v>-88.944999999999993</v>
      </c>
      <c r="M2123" s="1">
        <v>-66.661000000000001</v>
      </c>
      <c r="N2123" s="1">
        <v>-44.418999999999997</v>
      </c>
      <c r="O2123" s="1">
        <v>-22.202999999999999</v>
      </c>
      <c r="P2123" s="365">
        <v>0</v>
      </c>
      <c r="Q2123" s="1">
        <v>22.202999999999999</v>
      </c>
      <c r="R2123" s="1">
        <v>44.42</v>
      </c>
      <c r="S2123" s="1">
        <v>66.662999999999997</v>
      </c>
      <c r="T2123" s="1">
        <v>88.95</v>
      </c>
      <c r="U2123" s="24"/>
    </row>
    <row r="2124" spans="1:28">
      <c r="A2124" s="1">
        <v>3150</v>
      </c>
      <c r="B2124" s="42">
        <v>42.164999999999999</v>
      </c>
      <c r="C2124" s="42">
        <v>42.164999999999999</v>
      </c>
      <c r="D2124" s="42">
        <v>42.164000000000001</v>
      </c>
      <c r="E2124" s="42">
        <v>42.164000000000001</v>
      </c>
      <c r="F2124" s="42">
        <v>42.164000000000001</v>
      </c>
      <c r="G2124" s="42">
        <v>42.164000000000001</v>
      </c>
      <c r="H2124" s="42">
        <v>42.162999999999997</v>
      </c>
      <c r="I2124" s="42">
        <v>42.162999999999997</v>
      </c>
      <c r="J2124" s="21">
        <v>8106</v>
      </c>
      <c r="K2124" s="1">
        <v>4800</v>
      </c>
      <c r="L2124" s="1">
        <v>-88.948999999999998</v>
      </c>
      <c r="M2124" s="1">
        <v>-66.662999999999997</v>
      </c>
      <c r="N2124" s="1">
        <v>-44.420999999999999</v>
      </c>
      <c r="O2124" s="1">
        <v>-22.202999999999999</v>
      </c>
      <c r="P2124" s="365">
        <v>0</v>
      </c>
      <c r="Q2124" s="1">
        <v>22.202999999999999</v>
      </c>
      <c r="R2124" s="1">
        <v>44.42</v>
      </c>
      <c r="S2124" s="1">
        <v>66.662000000000006</v>
      </c>
      <c r="T2124" s="1">
        <v>88.947000000000003</v>
      </c>
      <c r="U2124" s="25"/>
    </row>
    <row r="2125" spans="1:28">
      <c r="A2125" s="1">
        <v>3200</v>
      </c>
      <c r="B2125" s="42">
        <v>41.887</v>
      </c>
      <c r="C2125" s="42">
        <v>41.887</v>
      </c>
      <c r="D2125" s="42">
        <v>41.887</v>
      </c>
      <c r="E2125" s="42">
        <v>41.887</v>
      </c>
      <c r="F2125" s="42">
        <v>41.887</v>
      </c>
      <c r="G2125" s="42">
        <v>41.887</v>
      </c>
      <c r="H2125" s="42">
        <v>41.886000000000003</v>
      </c>
      <c r="I2125" s="42">
        <v>41.886000000000003</v>
      </c>
      <c r="J2125" s="21">
        <v>8056</v>
      </c>
      <c r="K2125" s="1">
        <v>4900</v>
      </c>
      <c r="L2125" s="1">
        <v>-88.945999999999998</v>
      </c>
      <c r="M2125" s="1">
        <v>-66.662000000000006</v>
      </c>
      <c r="N2125" s="1">
        <v>-44.418999999999997</v>
      </c>
      <c r="O2125" s="1">
        <v>-22.202999999999999</v>
      </c>
      <c r="P2125" s="365">
        <v>0</v>
      </c>
      <c r="Q2125" s="1">
        <v>22.202999999999999</v>
      </c>
      <c r="R2125" s="1">
        <v>44.418999999999997</v>
      </c>
      <c r="S2125" s="1">
        <v>66.662999999999997</v>
      </c>
      <c r="T2125" s="1">
        <v>88.947000000000003</v>
      </c>
      <c r="U2125" s="28"/>
    </row>
    <row r="2126" spans="1:28">
      <c r="A2126" s="1">
        <v>3250</v>
      </c>
      <c r="B2126" s="42">
        <v>41.61</v>
      </c>
      <c r="C2126" s="42">
        <v>41.61</v>
      </c>
      <c r="D2126" s="42">
        <v>41.61</v>
      </c>
      <c r="E2126" s="42">
        <v>41.61</v>
      </c>
      <c r="F2126" s="42">
        <v>41.61</v>
      </c>
      <c r="G2126" s="42">
        <v>41.609000000000002</v>
      </c>
      <c r="H2126" s="42">
        <v>41.609000000000002</v>
      </c>
      <c r="I2126" s="42">
        <v>41.609000000000002</v>
      </c>
      <c r="J2126" s="21">
        <v>8006</v>
      </c>
      <c r="K2126" s="1">
        <v>5000</v>
      </c>
      <c r="L2126" s="1">
        <v>-88.947999999999993</v>
      </c>
      <c r="M2126" s="1">
        <v>-66.662999999999997</v>
      </c>
      <c r="N2126" s="1">
        <v>-44.42</v>
      </c>
      <c r="O2126" s="1">
        <v>-22.204000000000001</v>
      </c>
      <c r="P2126" s="365">
        <v>0</v>
      </c>
      <c r="Q2126" s="1">
        <v>22.202000000000002</v>
      </c>
      <c r="R2126" s="1">
        <v>44.417999999999999</v>
      </c>
      <c r="S2126" s="1">
        <v>66.662000000000006</v>
      </c>
      <c r="T2126" s="1">
        <v>88.945999999999998</v>
      </c>
    </row>
    <row r="2127" spans="1:28">
      <c r="A2127" s="1">
        <v>3300</v>
      </c>
      <c r="B2127" s="42">
        <v>41.332000000000001</v>
      </c>
      <c r="C2127" s="42">
        <v>41.332000000000001</v>
      </c>
      <c r="D2127" s="42">
        <v>41.332000000000001</v>
      </c>
      <c r="E2127" s="42">
        <v>41.332000000000001</v>
      </c>
      <c r="F2127" s="42">
        <v>41.332000000000001</v>
      </c>
      <c r="G2127" s="42">
        <v>41.332000000000001</v>
      </c>
      <c r="H2127" s="42">
        <v>41.332000000000001</v>
      </c>
      <c r="I2127" s="42">
        <v>41.332000000000001</v>
      </c>
      <c r="J2127" s="21">
        <v>7956</v>
      </c>
      <c r="K2127" s="1">
        <v>5100</v>
      </c>
      <c r="L2127" s="1">
        <v>-88.945999999999998</v>
      </c>
      <c r="M2127" s="1">
        <v>-66.662000000000006</v>
      </c>
      <c r="N2127" s="1">
        <v>-44.42</v>
      </c>
      <c r="O2127" s="1">
        <v>-22.202999999999999</v>
      </c>
      <c r="P2127" s="365">
        <v>0</v>
      </c>
      <c r="Q2127" s="1">
        <v>22.202999999999999</v>
      </c>
      <c r="R2127" s="1">
        <v>44.418999999999997</v>
      </c>
      <c r="S2127" s="1">
        <v>66.664000000000001</v>
      </c>
      <c r="T2127" s="1">
        <v>88.947999999999993</v>
      </c>
    </row>
    <row r="2128" spans="1:28">
      <c r="A2128" s="1">
        <v>3350</v>
      </c>
      <c r="B2128" s="42">
        <v>41.055</v>
      </c>
      <c r="C2128" s="42">
        <v>41.055</v>
      </c>
      <c r="D2128" s="42">
        <v>41.055</v>
      </c>
      <c r="E2128" s="42">
        <v>41.055</v>
      </c>
      <c r="F2128" s="42">
        <v>41.055</v>
      </c>
      <c r="G2128" s="42">
        <v>41.055</v>
      </c>
      <c r="H2128" s="42">
        <v>41.055</v>
      </c>
      <c r="I2128" s="42">
        <v>41.055999999999997</v>
      </c>
      <c r="J2128" s="21">
        <v>7906</v>
      </c>
      <c r="K2128" s="1">
        <v>5200</v>
      </c>
      <c r="L2128" s="1">
        <v>-88.947999999999993</v>
      </c>
      <c r="M2128" s="1">
        <v>-66.662999999999997</v>
      </c>
      <c r="N2128" s="1">
        <v>-44.42</v>
      </c>
      <c r="O2128" s="1">
        <v>-22.202999999999999</v>
      </c>
      <c r="P2128" s="365">
        <v>0</v>
      </c>
      <c r="Q2128" s="1">
        <v>22.202000000000002</v>
      </c>
      <c r="R2128" s="1">
        <v>44.42</v>
      </c>
      <c r="S2128" s="1">
        <v>66.662999999999997</v>
      </c>
      <c r="T2128" s="1">
        <v>88.945999999999998</v>
      </c>
    </row>
    <row r="2129" spans="1:20">
      <c r="A2129" s="1">
        <v>3400</v>
      </c>
      <c r="B2129" s="42">
        <v>40.777000000000001</v>
      </c>
      <c r="C2129" s="42">
        <v>40.777000000000001</v>
      </c>
      <c r="D2129" s="42">
        <v>40.777999999999999</v>
      </c>
      <c r="E2129" s="42">
        <v>40.777999999999999</v>
      </c>
      <c r="F2129" s="42">
        <v>40.777999999999999</v>
      </c>
      <c r="G2129" s="42">
        <v>40.777999999999999</v>
      </c>
      <c r="H2129" s="42">
        <v>40.777999999999999</v>
      </c>
      <c r="I2129" s="42">
        <v>40.779000000000003</v>
      </c>
      <c r="J2129" s="21">
        <v>7856</v>
      </c>
      <c r="K2129" s="1">
        <v>5300</v>
      </c>
      <c r="L2129" s="1">
        <v>-88.947999999999993</v>
      </c>
      <c r="M2129" s="1">
        <v>-66.662999999999997</v>
      </c>
      <c r="N2129" s="1">
        <v>-44.42</v>
      </c>
      <c r="O2129" s="1">
        <v>-22.204000000000001</v>
      </c>
      <c r="P2129" s="365">
        <v>0</v>
      </c>
      <c r="Q2129" s="1">
        <v>22.202999999999999</v>
      </c>
      <c r="R2129" s="1">
        <v>44.418999999999997</v>
      </c>
      <c r="S2129" s="1">
        <v>66.662999999999997</v>
      </c>
      <c r="T2129" s="1">
        <v>88.945999999999998</v>
      </c>
    </row>
    <row r="2130" spans="1:20">
      <c r="A2130" s="1">
        <v>3450</v>
      </c>
      <c r="B2130" s="42">
        <v>40.499000000000002</v>
      </c>
      <c r="C2130" s="42">
        <v>40.5</v>
      </c>
      <c r="D2130" s="42">
        <v>40.5</v>
      </c>
      <c r="E2130" s="42">
        <v>40.5</v>
      </c>
      <c r="F2130" s="42">
        <v>40.500999999999998</v>
      </c>
      <c r="G2130" s="42">
        <v>40.500999999999998</v>
      </c>
      <c r="H2130" s="42">
        <v>40.500999999999998</v>
      </c>
      <c r="I2130" s="42">
        <v>40.502000000000002</v>
      </c>
      <c r="J2130" s="21">
        <v>7806</v>
      </c>
      <c r="K2130" s="1">
        <v>5400</v>
      </c>
      <c r="L2130" s="1">
        <v>-88.947000000000003</v>
      </c>
      <c r="M2130" s="1">
        <v>-66.664000000000001</v>
      </c>
      <c r="N2130" s="1">
        <v>-44.418999999999997</v>
      </c>
      <c r="O2130" s="1">
        <v>-22.202999999999999</v>
      </c>
      <c r="P2130" s="365">
        <v>0</v>
      </c>
      <c r="Q2130" s="1">
        <v>22.202999999999999</v>
      </c>
      <c r="R2130" s="1">
        <v>44.418999999999997</v>
      </c>
      <c r="S2130" s="1">
        <v>66.662999999999997</v>
      </c>
      <c r="T2130" s="1">
        <v>88.945999999999998</v>
      </c>
    </row>
    <row r="2131" spans="1:20">
      <c r="A2131" s="1">
        <v>3500</v>
      </c>
      <c r="B2131" s="42">
        <v>40.222000000000001</v>
      </c>
      <c r="C2131" s="42">
        <v>40.222999999999999</v>
      </c>
      <c r="D2131" s="42">
        <v>40.222999999999999</v>
      </c>
      <c r="E2131" s="42">
        <v>40.222999999999999</v>
      </c>
      <c r="F2131" s="42">
        <v>40.222999999999999</v>
      </c>
      <c r="G2131" s="42">
        <v>40.223999999999997</v>
      </c>
      <c r="H2131" s="42">
        <v>40.223999999999997</v>
      </c>
      <c r="I2131" s="42">
        <v>40.225000000000001</v>
      </c>
      <c r="J2131" s="21">
        <v>7756</v>
      </c>
      <c r="K2131" s="1">
        <v>5500</v>
      </c>
      <c r="L2131" s="1">
        <v>-88.947000000000003</v>
      </c>
      <c r="M2131" s="1">
        <v>-66.662999999999997</v>
      </c>
      <c r="N2131" s="1">
        <v>-44.42</v>
      </c>
      <c r="O2131" s="1">
        <v>-22.204000000000001</v>
      </c>
      <c r="P2131" s="365">
        <v>0</v>
      </c>
      <c r="Q2131" s="1">
        <v>22.202999999999999</v>
      </c>
      <c r="R2131" s="1">
        <v>44.42</v>
      </c>
      <c r="S2131" s="1">
        <v>66.662999999999997</v>
      </c>
      <c r="T2131" s="1">
        <v>88.945999999999998</v>
      </c>
    </row>
    <row r="2132" spans="1:20">
      <c r="A2132" s="1">
        <v>3550</v>
      </c>
      <c r="B2132" s="42">
        <v>39.944000000000003</v>
      </c>
      <c r="C2132" s="42">
        <v>39.945</v>
      </c>
      <c r="D2132" s="42">
        <v>39.945</v>
      </c>
      <c r="E2132" s="42">
        <v>39.945999999999998</v>
      </c>
      <c r="F2132" s="42">
        <v>39.945999999999998</v>
      </c>
      <c r="G2132" s="42">
        <v>39.947000000000003</v>
      </c>
      <c r="H2132" s="42">
        <v>39.947000000000003</v>
      </c>
      <c r="I2132" s="42">
        <v>39.948</v>
      </c>
      <c r="J2132" s="21">
        <v>7706</v>
      </c>
      <c r="K2132" s="1">
        <v>5600</v>
      </c>
      <c r="L2132" s="1">
        <v>-88.945999999999998</v>
      </c>
      <c r="M2132" s="1">
        <v>-66.662000000000006</v>
      </c>
      <c r="N2132" s="1">
        <v>-44.418999999999997</v>
      </c>
      <c r="O2132" s="1">
        <v>-22.202999999999999</v>
      </c>
      <c r="P2132" s="365">
        <v>0</v>
      </c>
      <c r="Q2132" s="1">
        <v>22.202999999999999</v>
      </c>
      <c r="R2132" s="1">
        <v>44.42</v>
      </c>
      <c r="S2132" s="1">
        <v>66.664000000000001</v>
      </c>
      <c r="T2132" s="1">
        <v>88.947999999999993</v>
      </c>
    </row>
    <row r="2133" spans="1:20">
      <c r="A2133" s="1">
        <v>3600</v>
      </c>
      <c r="B2133" s="42">
        <v>39.667000000000002</v>
      </c>
      <c r="C2133" s="42">
        <v>39.667999999999999</v>
      </c>
      <c r="D2133" s="42">
        <v>39.667999999999999</v>
      </c>
      <c r="E2133" s="42">
        <v>39.668999999999997</v>
      </c>
      <c r="F2133" s="42">
        <v>39.668999999999997</v>
      </c>
      <c r="G2133" s="42">
        <v>39.668999999999997</v>
      </c>
      <c r="H2133" s="42">
        <v>39.67</v>
      </c>
      <c r="I2133" s="42">
        <v>39.670999999999999</v>
      </c>
      <c r="J2133" s="21">
        <v>7656</v>
      </c>
      <c r="K2133" s="1">
        <v>5700</v>
      </c>
      <c r="L2133" s="1">
        <v>-88.947999999999993</v>
      </c>
      <c r="M2133" s="1">
        <v>-66.664000000000001</v>
      </c>
      <c r="N2133" s="1">
        <v>-44.42</v>
      </c>
      <c r="O2133" s="1">
        <v>-22.204000000000001</v>
      </c>
      <c r="P2133" s="365">
        <v>0</v>
      </c>
      <c r="Q2133" s="1">
        <v>22.202999999999999</v>
      </c>
      <c r="R2133" s="1">
        <v>44.418999999999997</v>
      </c>
      <c r="S2133" s="1">
        <v>66.662999999999997</v>
      </c>
      <c r="T2133" s="1">
        <v>88.945999999999998</v>
      </c>
    </row>
    <row r="2134" spans="1:20">
      <c r="A2134" s="1">
        <v>3650</v>
      </c>
      <c r="B2134" s="42">
        <v>39.389000000000003</v>
      </c>
      <c r="C2134" s="42">
        <v>39.39</v>
      </c>
      <c r="D2134" s="42">
        <v>39.390999999999998</v>
      </c>
      <c r="E2134" s="42">
        <v>39.390999999999998</v>
      </c>
      <c r="F2134" s="42">
        <v>39.392000000000003</v>
      </c>
      <c r="G2134" s="42">
        <v>39.392000000000003</v>
      </c>
      <c r="H2134" s="42">
        <v>39.393000000000001</v>
      </c>
      <c r="I2134" s="42">
        <v>39.393999999999998</v>
      </c>
      <c r="J2134" s="21">
        <v>7606</v>
      </c>
      <c r="K2134" s="1">
        <v>5800</v>
      </c>
      <c r="L2134" s="1">
        <v>-88.947000000000003</v>
      </c>
      <c r="M2134" s="1">
        <v>-66.662999999999997</v>
      </c>
      <c r="N2134" s="1">
        <v>-44.42</v>
      </c>
      <c r="O2134" s="1">
        <v>-22.202999999999999</v>
      </c>
      <c r="P2134" s="365">
        <v>0</v>
      </c>
      <c r="Q2134" s="1">
        <v>22.202999999999999</v>
      </c>
      <c r="R2134" s="1">
        <v>44.418999999999997</v>
      </c>
      <c r="S2134" s="1">
        <v>66.662999999999997</v>
      </c>
      <c r="T2134" s="1">
        <v>88.945999999999998</v>
      </c>
    </row>
    <row r="2135" spans="1:20">
      <c r="A2135" s="1">
        <v>3700</v>
      </c>
      <c r="B2135" s="42">
        <v>39.110999999999997</v>
      </c>
      <c r="C2135" s="42">
        <v>39.113</v>
      </c>
      <c r="D2135" s="42">
        <v>39.113</v>
      </c>
      <c r="E2135" s="42">
        <v>39.113999999999997</v>
      </c>
      <c r="F2135" s="42">
        <v>39.115000000000002</v>
      </c>
      <c r="G2135" s="42">
        <v>39.115000000000002</v>
      </c>
      <c r="H2135" s="42">
        <v>39.116</v>
      </c>
      <c r="I2135" s="42">
        <v>39.118000000000002</v>
      </c>
      <c r="J2135" s="21">
        <v>7556</v>
      </c>
      <c r="K2135" s="1">
        <v>5900</v>
      </c>
      <c r="L2135" s="1">
        <v>-88.947000000000003</v>
      </c>
      <c r="M2135" s="1">
        <v>-66.662000000000006</v>
      </c>
      <c r="N2135" s="1">
        <v>-44.418999999999997</v>
      </c>
      <c r="O2135" s="1">
        <v>-22.202999999999999</v>
      </c>
      <c r="P2135" s="365">
        <v>0</v>
      </c>
      <c r="Q2135" s="1">
        <v>22.202999999999999</v>
      </c>
      <c r="R2135" s="1">
        <v>44.417999999999999</v>
      </c>
      <c r="S2135" s="1">
        <v>66.662000000000006</v>
      </c>
      <c r="T2135" s="1">
        <v>88.869</v>
      </c>
    </row>
    <row r="2136" spans="1:20">
      <c r="A2136" s="1">
        <v>3750</v>
      </c>
      <c r="B2136" s="42">
        <v>38.831000000000003</v>
      </c>
      <c r="C2136" s="42">
        <v>38.832000000000001</v>
      </c>
      <c r="D2136" s="42">
        <v>38.832999999999998</v>
      </c>
      <c r="E2136" s="42">
        <v>38.834000000000003</v>
      </c>
      <c r="F2136" s="42">
        <v>38.834000000000003</v>
      </c>
      <c r="G2136" s="42">
        <v>38.835000000000001</v>
      </c>
      <c r="H2136" s="42">
        <v>38.835999999999999</v>
      </c>
      <c r="I2136" s="42">
        <v>38.837000000000003</v>
      </c>
      <c r="J2136" s="21">
        <v>7506</v>
      </c>
      <c r="K2136" s="1">
        <v>6000</v>
      </c>
      <c r="L2136" s="1">
        <v>-88.947000000000003</v>
      </c>
      <c r="M2136" s="1">
        <v>-66.662000000000006</v>
      </c>
      <c r="N2136" s="1">
        <v>-44.418999999999997</v>
      </c>
      <c r="O2136" s="1">
        <v>-22.204000000000001</v>
      </c>
      <c r="P2136" s="365">
        <v>0</v>
      </c>
      <c r="Q2136" s="1">
        <v>22.212</v>
      </c>
      <c r="R2136" s="1">
        <v>44.38</v>
      </c>
      <c r="S2136" s="1">
        <v>66.441000000000003</v>
      </c>
      <c r="T2136" s="1">
        <v>88.408000000000001</v>
      </c>
    </row>
    <row r="2137" spans="1:20">
      <c r="A2137" s="1">
        <v>3800</v>
      </c>
      <c r="B2137" s="42">
        <v>38.549999999999997</v>
      </c>
      <c r="C2137" s="42">
        <v>38.551000000000002</v>
      </c>
      <c r="D2137" s="42">
        <v>38.552</v>
      </c>
      <c r="E2137" s="42">
        <v>38.552</v>
      </c>
      <c r="F2137" s="42">
        <v>38.552999999999997</v>
      </c>
      <c r="G2137" s="42">
        <v>38.554000000000002</v>
      </c>
      <c r="H2137" s="42">
        <v>38.555</v>
      </c>
      <c r="I2137" s="42">
        <v>38.555999999999997</v>
      </c>
      <c r="J2137" s="21">
        <v>7456</v>
      </c>
      <c r="K2137" s="1">
        <v>6100</v>
      </c>
      <c r="L2137" s="1">
        <v>-88.942999999999998</v>
      </c>
      <c r="M2137" s="1">
        <v>-66.647999999999996</v>
      </c>
      <c r="N2137" s="1">
        <v>-44.393999999999998</v>
      </c>
      <c r="O2137" s="1">
        <v>-22.169</v>
      </c>
      <c r="P2137" s="365">
        <v>0</v>
      </c>
      <c r="Q2137" s="1">
        <v>22.123999999999999</v>
      </c>
      <c r="R2137" s="1">
        <v>44.128</v>
      </c>
      <c r="S2137" s="1">
        <v>66.027000000000001</v>
      </c>
      <c r="T2137" s="1">
        <v>87.831000000000003</v>
      </c>
    </row>
    <row r="2138" spans="1:20">
      <c r="A2138" s="1">
        <v>3850</v>
      </c>
      <c r="B2138" s="42">
        <v>38.268000000000001</v>
      </c>
      <c r="C2138" s="42">
        <v>38.270000000000003</v>
      </c>
      <c r="D2138" s="42">
        <v>38.270000000000003</v>
      </c>
      <c r="E2138" s="42">
        <v>38.271000000000001</v>
      </c>
      <c r="F2138" s="42">
        <v>38.271000000000001</v>
      </c>
      <c r="G2138" s="42">
        <v>38.271999999999998</v>
      </c>
      <c r="H2138" s="42">
        <v>38.273000000000003</v>
      </c>
      <c r="I2138" s="42">
        <v>38.274999999999999</v>
      </c>
      <c r="J2138" s="21">
        <v>7406</v>
      </c>
      <c r="K2138" s="1">
        <v>6200</v>
      </c>
      <c r="L2138" s="1">
        <v>-88.853999999999999</v>
      </c>
      <c r="M2138" s="1">
        <v>-66.468999999999994</v>
      </c>
      <c r="N2138" s="1">
        <v>-44.158999999999999</v>
      </c>
      <c r="O2138" s="1">
        <v>-22.007000000000001</v>
      </c>
      <c r="P2138" s="365">
        <v>0</v>
      </c>
      <c r="Q2138" s="1">
        <v>21.975999999999999</v>
      </c>
      <c r="R2138" s="1">
        <v>43.832999999999998</v>
      </c>
      <c r="S2138" s="1">
        <v>65.584000000000003</v>
      </c>
      <c r="T2138" s="1">
        <v>87.242999999999995</v>
      </c>
    </row>
    <row r="2139" spans="1:20">
      <c r="A2139" s="1">
        <v>3900</v>
      </c>
      <c r="B2139" s="42">
        <v>37.987000000000002</v>
      </c>
      <c r="C2139" s="42">
        <v>37.988</v>
      </c>
      <c r="D2139" s="42">
        <v>37.988999999999997</v>
      </c>
      <c r="E2139" s="42">
        <v>37.988999999999997</v>
      </c>
      <c r="F2139" s="42">
        <v>37.99</v>
      </c>
      <c r="G2139" s="42">
        <v>37.991</v>
      </c>
      <c r="H2139" s="42">
        <v>37.991999999999997</v>
      </c>
      <c r="I2139" s="42">
        <v>37.993000000000002</v>
      </c>
      <c r="J2139" s="21">
        <v>7356</v>
      </c>
      <c r="K2139" s="1">
        <v>6300</v>
      </c>
      <c r="L2139" s="1">
        <v>-88.370999999999995</v>
      </c>
      <c r="M2139" s="1">
        <v>-66.025999999999996</v>
      </c>
      <c r="N2139" s="1">
        <v>-43.860999999999997</v>
      </c>
      <c r="O2139" s="1">
        <v>-21.858000000000001</v>
      </c>
      <c r="P2139" s="365">
        <v>0</v>
      </c>
      <c r="Q2139" s="1">
        <v>21.827999999999999</v>
      </c>
      <c r="R2139" s="1">
        <v>43.539000000000001</v>
      </c>
      <c r="S2139" s="1">
        <v>65.144999999999996</v>
      </c>
      <c r="T2139" s="1">
        <v>86.658000000000001</v>
      </c>
    </row>
    <row r="2140" spans="1:20">
      <c r="A2140" s="1">
        <v>3950</v>
      </c>
      <c r="B2140" s="42">
        <v>37.706000000000003</v>
      </c>
      <c r="C2140" s="42">
        <v>37.707000000000001</v>
      </c>
      <c r="D2140" s="42">
        <v>37.707000000000001</v>
      </c>
      <c r="E2140" s="42">
        <v>37.707999999999998</v>
      </c>
      <c r="F2140" s="42">
        <v>37.709000000000003</v>
      </c>
      <c r="G2140" s="42">
        <v>37.709000000000003</v>
      </c>
      <c r="H2140" s="42">
        <v>37.710999999999999</v>
      </c>
      <c r="I2140" s="42">
        <v>37.712000000000003</v>
      </c>
      <c r="J2140" s="21">
        <v>7306</v>
      </c>
      <c r="K2140" s="1">
        <v>6400</v>
      </c>
      <c r="L2140" s="1">
        <v>-87.772000000000006</v>
      </c>
      <c r="M2140" s="1">
        <v>-65.578999999999994</v>
      </c>
      <c r="N2140" s="1">
        <v>-43.564</v>
      </c>
      <c r="O2140" s="1">
        <v>-21.707999999999998</v>
      </c>
      <c r="P2140" s="365">
        <v>0</v>
      </c>
      <c r="Q2140" s="1">
        <v>21.681999999999999</v>
      </c>
      <c r="R2140" s="1">
        <v>43.244</v>
      </c>
      <c r="S2140" s="1">
        <v>64.703000000000003</v>
      </c>
      <c r="T2140" s="1">
        <v>86.07</v>
      </c>
    </row>
    <row r="2141" spans="1:20">
      <c r="A2141" s="1">
        <v>4000</v>
      </c>
      <c r="B2141" s="42">
        <v>37.423999999999999</v>
      </c>
      <c r="C2141" s="42">
        <v>37.426000000000002</v>
      </c>
      <c r="D2141" s="42">
        <v>37.426000000000002</v>
      </c>
      <c r="E2141" s="42">
        <v>37.427</v>
      </c>
      <c r="F2141" s="42">
        <v>37.427</v>
      </c>
      <c r="G2141" s="42">
        <v>37.427999999999997</v>
      </c>
      <c r="H2141" s="42">
        <v>37.429000000000002</v>
      </c>
      <c r="I2141" s="42">
        <v>37.43</v>
      </c>
      <c r="J2141" s="21">
        <v>7256</v>
      </c>
      <c r="K2141" s="1">
        <v>6500</v>
      </c>
      <c r="L2141" s="1">
        <v>-87.173000000000002</v>
      </c>
      <c r="M2141" s="1">
        <v>-65.132000000000005</v>
      </c>
      <c r="N2141" s="1">
        <v>-43.265999999999998</v>
      </c>
      <c r="O2141" s="1">
        <v>-21.56</v>
      </c>
      <c r="P2141" s="365">
        <v>0</v>
      </c>
      <c r="Q2141" s="1">
        <v>21.533999999999999</v>
      </c>
      <c r="R2141" s="1">
        <v>42.95</v>
      </c>
      <c r="S2141" s="1">
        <v>64.262</v>
      </c>
      <c r="T2141" s="1">
        <v>85.483999999999995</v>
      </c>
    </row>
    <row r="2142" spans="1:20">
      <c r="A2142" s="1">
        <v>4050</v>
      </c>
      <c r="B2142" s="42">
        <v>37.143000000000001</v>
      </c>
      <c r="C2142" s="42">
        <v>37.143999999999998</v>
      </c>
      <c r="D2142" s="42">
        <v>37.145000000000003</v>
      </c>
      <c r="E2142" s="42">
        <v>37.145000000000003</v>
      </c>
      <c r="F2142" s="42">
        <v>37.146000000000001</v>
      </c>
      <c r="G2142" s="42">
        <v>37.146999999999998</v>
      </c>
      <c r="H2142" s="42">
        <v>37.148000000000003</v>
      </c>
      <c r="I2142" s="42">
        <v>37.149000000000001</v>
      </c>
      <c r="J2142" s="21">
        <v>7206</v>
      </c>
      <c r="K2142" s="1">
        <v>6600</v>
      </c>
      <c r="L2142" s="1">
        <v>-86.573999999999998</v>
      </c>
      <c r="M2142" s="1">
        <v>-64.683999999999997</v>
      </c>
      <c r="N2142" s="1">
        <v>-42.968000000000004</v>
      </c>
      <c r="O2142" s="1">
        <v>-21.411999999999999</v>
      </c>
      <c r="P2142" s="365">
        <v>0</v>
      </c>
      <c r="Q2142" s="1">
        <v>21.387</v>
      </c>
      <c r="R2142" s="1">
        <v>42.655999999999999</v>
      </c>
      <c r="S2142" s="1">
        <v>63.823999999999998</v>
      </c>
      <c r="T2142" s="1">
        <v>84.899000000000001</v>
      </c>
    </row>
    <row r="2143" spans="1:20">
      <c r="A2143" s="1">
        <v>4100</v>
      </c>
      <c r="B2143" s="42">
        <v>36.860999999999997</v>
      </c>
      <c r="C2143" s="42">
        <v>36.863</v>
      </c>
      <c r="D2143" s="42">
        <v>36.863</v>
      </c>
      <c r="E2143" s="42">
        <v>36.863999999999997</v>
      </c>
      <c r="F2143" s="42">
        <v>36.865000000000002</v>
      </c>
      <c r="G2143" s="42">
        <v>36.865000000000002</v>
      </c>
      <c r="H2143" s="42">
        <v>36.866</v>
      </c>
      <c r="I2143" s="42">
        <v>36.868000000000002</v>
      </c>
      <c r="J2143" s="21">
        <v>7156</v>
      </c>
      <c r="K2143" s="1">
        <v>6700</v>
      </c>
      <c r="L2143" s="1">
        <v>-85.975999999999999</v>
      </c>
      <c r="M2143" s="1">
        <v>-64.236999999999995</v>
      </c>
      <c r="N2143" s="1">
        <v>-42.671999999999997</v>
      </c>
      <c r="O2143" s="1">
        <v>-21.263999999999999</v>
      </c>
      <c r="P2143" s="365">
        <v>0</v>
      </c>
      <c r="Q2143" s="1">
        <v>21.238</v>
      </c>
      <c r="R2143" s="1">
        <v>42.36</v>
      </c>
      <c r="S2143" s="1">
        <v>63.381</v>
      </c>
      <c r="T2143" s="1">
        <v>84.311000000000007</v>
      </c>
    </row>
    <row r="2144" spans="1:20">
      <c r="A2144" s="1">
        <v>4150</v>
      </c>
      <c r="B2144" s="42">
        <v>36.58</v>
      </c>
      <c r="C2144" s="42">
        <v>36.581000000000003</v>
      </c>
      <c r="D2144" s="42">
        <v>36.582000000000001</v>
      </c>
      <c r="E2144" s="42">
        <v>36.582999999999998</v>
      </c>
      <c r="F2144" s="42">
        <v>36.582999999999998</v>
      </c>
      <c r="G2144" s="42">
        <v>36.584000000000003</v>
      </c>
      <c r="H2144" s="42">
        <v>36.585000000000001</v>
      </c>
      <c r="I2144" s="42">
        <v>36.585999999999999</v>
      </c>
      <c r="J2144" s="21">
        <v>7106</v>
      </c>
      <c r="K2144" s="1">
        <v>6800</v>
      </c>
      <c r="L2144" s="1">
        <v>-85.373999999999995</v>
      </c>
      <c r="M2144" s="1">
        <v>-63.786999999999999</v>
      </c>
      <c r="N2144" s="1">
        <v>-42.372</v>
      </c>
      <c r="O2144" s="1">
        <v>-21.114999999999998</v>
      </c>
      <c r="P2144" s="365">
        <v>0</v>
      </c>
      <c r="Q2144" s="1">
        <v>21.091000000000001</v>
      </c>
      <c r="R2144" s="1">
        <v>42.067</v>
      </c>
      <c r="S2144" s="1">
        <v>62.941000000000003</v>
      </c>
      <c r="T2144" s="1">
        <v>83.725999999999999</v>
      </c>
    </row>
    <row r="2145" spans="1:20">
      <c r="A2145" s="1">
        <v>4200</v>
      </c>
      <c r="B2145" s="42">
        <v>36.298999999999999</v>
      </c>
      <c r="C2145" s="42">
        <v>36.299999999999997</v>
      </c>
      <c r="D2145" s="42">
        <v>36.301000000000002</v>
      </c>
      <c r="E2145" s="42">
        <v>36.301000000000002</v>
      </c>
      <c r="F2145" s="42">
        <v>36.302</v>
      </c>
      <c r="G2145" s="42">
        <v>36.302</v>
      </c>
      <c r="H2145" s="42">
        <v>36.304000000000002</v>
      </c>
      <c r="I2145" s="42">
        <v>36.305</v>
      </c>
      <c r="J2145" s="21">
        <v>7056</v>
      </c>
      <c r="K2145" s="1">
        <v>6900</v>
      </c>
      <c r="L2145" s="1">
        <v>-84.777000000000001</v>
      </c>
      <c r="M2145" s="1">
        <v>-63.341000000000001</v>
      </c>
      <c r="N2145" s="1">
        <v>-42.076000000000001</v>
      </c>
      <c r="O2145" s="1">
        <v>-20.968</v>
      </c>
      <c r="P2145" s="365">
        <v>0</v>
      </c>
      <c r="Q2145" s="1">
        <v>20.943000000000001</v>
      </c>
      <c r="R2145" s="1">
        <v>41.771999999999998</v>
      </c>
      <c r="S2145" s="1">
        <v>62.499000000000002</v>
      </c>
      <c r="T2145" s="1">
        <v>83.138000000000005</v>
      </c>
    </row>
    <row r="2146" spans="1:20">
      <c r="A2146" s="1">
        <v>4250</v>
      </c>
      <c r="B2146" s="42">
        <v>36.017000000000003</v>
      </c>
      <c r="C2146" s="42">
        <v>36.018999999999998</v>
      </c>
      <c r="D2146" s="42">
        <v>36.018999999999998</v>
      </c>
      <c r="E2146" s="42">
        <v>36.020000000000003</v>
      </c>
      <c r="F2146" s="42">
        <v>36.020000000000003</v>
      </c>
      <c r="G2146" s="42">
        <v>36.021000000000001</v>
      </c>
      <c r="H2146" s="42">
        <v>36.021999999999998</v>
      </c>
      <c r="I2146" s="42">
        <v>36.024000000000001</v>
      </c>
      <c r="J2146" s="21">
        <v>7006</v>
      </c>
      <c r="K2146" s="1">
        <v>7000</v>
      </c>
      <c r="L2146" s="1">
        <v>-84.177000000000007</v>
      </c>
      <c r="M2146" s="1">
        <v>-62.892000000000003</v>
      </c>
      <c r="N2146" s="1">
        <v>-41.779000000000003</v>
      </c>
      <c r="O2146" s="1">
        <v>-20.82</v>
      </c>
      <c r="P2146" s="365">
        <v>0</v>
      </c>
      <c r="Q2146" s="1">
        <v>20.795999999999999</v>
      </c>
      <c r="R2146" s="1">
        <v>41.478000000000002</v>
      </c>
      <c r="S2146" s="1">
        <v>62.061</v>
      </c>
      <c r="T2146" s="1">
        <v>82.554000000000002</v>
      </c>
    </row>
    <row r="2147" spans="1:20">
      <c r="A2147" s="1">
        <v>4300</v>
      </c>
      <c r="B2147" s="42">
        <v>35.735999999999997</v>
      </c>
      <c r="C2147" s="42">
        <v>35.737000000000002</v>
      </c>
      <c r="D2147" s="42">
        <v>35.738</v>
      </c>
      <c r="E2147" s="42">
        <v>35.738</v>
      </c>
      <c r="F2147" s="42">
        <v>35.738999999999997</v>
      </c>
      <c r="G2147" s="42">
        <v>35.74</v>
      </c>
      <c r="H2147" s="42">
        <v>35.741</v>
      </c>
      <c r="I2147" s="42">
        <v>35.741999999999997</v>
      </c>
      <c r="J2147" s="21">
        <v>6956</v>
      </c>
      <c r="K2147" s="1">
        <v>7100</v>
      </c>
      <c r="L2147" s="1">
        <v>-83.58</v>
      </c>
      <c r="M2147" s="1">
        <v>-62.447000000000003</v>
      </c>
      <c r="N2147" s="1">
        <v>-41.481999999999999</v>
      </c>
      <c r="O2147" s="1">
        <v>-20.670999999999999</v>
      </c>
      <c r="P2147" s="365">
        <v>0</v>
      </c>
      <c r="Q2147" s="1">
        <v>20.648</v>
      </c>
      <c r="R2147" s="1">
        <v>41.183</v>
      </c>
      <c r="S2147" s="1">
        <v>61.616999999999997</v>
      </c>
      <c r="T2147" s="1">
        <v>81.963999999999999</v>
      </c>
    </row>
    <row r="2148" spans="1:20">
      <c r="A2148" s="1">
        <v>4350</v>
      </c>
      <c r="B2148" s="42">
        <v>35.454999999999998</v>
      </c>
      <c r="C2148" s="42">
        <v>35.456000000000003</v>
      </c>
      <c r="D2148" s="42">
        <v>35.456000000000003</v>
      </c>
      <c r="E2148" s="42">
        <v>35.457000000000001</v>
      </c>
      <c r="F2148" s="42">
        <v>35.457999999999998</v>
      </c>
      <c r="G2148" s="42">
        <v>35.457999999999998</v>
      </c>
      <c r="H2148" s="42">
        <v>35.46</v>
      </c>
      <c r="I2148" s="42">
        <v>35.460999999999999</v>
      </c>
      <c r="J2148" s="21">
        <v>6906</v>
      </c>
      <c r="K2148" s="1">
        <v>7200</v>
      </c>
      <c r="L2148" s="1">
        <v>-82.977000000000004</v>
      </c>
      <c r="M2148" s="1">
        <v>-61.996000000000002</v>
      </c>
      <c r="N2148" s="1">
        <v>-41.183</v>
      </c>
      <c r="O2148" s="1">
        <v>-20.521999999999998</v>
      </c>
      <c r="P2148" s="365">
        <v>0</v>
      </c>
      <c r="Q2148" s="1">
        <v>20.5</v>
      </c>
      <c r="R2148" s="1">
        <v>40.889000000000003</v>
      </c>
      <c r="S2148" s="1">
        <v>61.177999999999997</v>
      </c>
      <c r="T2148" s="1">
        <v>81.381</v>
      </c>
    </row>
    <row r="2149" spans="1:20">
      <c r="A2149" s="1">
        <v>4400</v>
      </c>
      <c r="B2149" s="42">
        <v>35.173000000000002</v>
      </c>
      <c r="C2149" s="42">
        <v>35.173999999999999</v>
      </c>
      <c r="D2149" s="42">
        <v>35.174999999999997</v>
      </c>
      <c r="E2149" s="42">
        <v>35.176000000000002</v>
      </c>
      <c r="F2149" s="42">
        <v>35.176000000000002</v>
      </c>
      <c r="G2149" s="42">
        <v>35.177</v>
      </c>
      <c r="H2149" s="42">
        <v>35.177999999999997</v>
      </c>
      <c r="I2149" s="42">
        <v>35.179000000000002</v>
      </c>
      <c r="J2149" s="21">
        <v>6856</v>
      </c>
      <c r="K2149" s="1">
        <v>7300</v>
      </c>
      <c r="L2149" s="1">
        <v>-82.38</v>
      </c>
      <c r="M2149" s="1">
        <v>-61.551000000000002</v>
      </c>
      <c r="N2149" s="1">
        <v>-40.887</v>
      </c>
      <c r="O2149" s="1">
        <v>-20.375</v>
      </c>
      <c r="P2149" s="365">
        <v>0</v>
      </c>
      <c r="Q2149" s="1">
        <v>20.353000000000002</v>
      </c>
      <c r="R2149" s="1">
        <v>40.594000000000001</v>
      </c>
      <c r="S2149" s="1">
        <v>60.735999999999997</v>
      </c>
      <c r="T2149" s="1">
        <v>80.793000000000006</v>
      </c>
    </row>
    <row r="2150" spans="1:20">
      <c r="A2150" s="1">
        <v>4450</v>
      </c>
      <c r="B2150" s="42">
        <v>34.892000000000003</v>
      </c>
      <c r="C2150" s="42">
        <v>34.893000000000001</v>
      </c>
      <c r="D2150" s="42">
        <v>34.893999999999998</v>
      </c>
      <c r="E2150" s="42">
        <v>34.893999999999998</v>
      </c>
      <c r="F2150" s="42">
        <v>34.895000000000003</v>
      </c>
      <c r="G2150" s="42">
        <v>34.896000000000001</v>
      </c>
      <c r="H2150" s="42">
        <v>34.896999999999998</v>
      </c>
      <c r="I2150" s="42">
        <v>34.898000000000003</v>
      </c>
      <c r="J2150" s="21">
        <v>6806</v>
      </c>
      <c r="K2150" s="1">
        <v>7400</v>
      </c>
      <c r="L2150" s="1">
        <v>-81.778999999999996</v>
      </c>
      <c r="M2150" s="1">
        <v>-61.101999999999997</v>
      </c>
      <c r="N2150" s="1">
        <v>-40.588999999999999</v>
      </c>
      <c r="O2150" s="1">
        <v>-20.225999999999999</v>
      </c>
      <c r="P2150" s="365">
        <v>0</v>
      </c>
      <c r="Q2150" s="1">
        <v>20.204999999999998</v>
      </c>
      <c r="R2150" s="1">
        <v>40.298000000000002</v>
      </c>
      <c r="S2150" s="1">
        <v>60.295999999999999</v>
      </c>
      <c r="T2150" s="1">
        <v>80.206999999999994</v>
      </c>
    </row>
    <row r="2151" spans="1:20">
      <c r="A2151" s="1">
        <v>4500</v>
      </c>
      <c r="B2151" s="42">
        <v>34.61</v>
      </c>
      <c r="C2151" s="42">
        <v>34.612000000000002</v>
      </c>
      <c r="D2151" s="42">
        <v>34.612000000000002</v>
      </c>
      <c r="E2151" s="42">
        <v>34.613</v>
      </c>
      <c r="F2151" s="42">
        <v>34.613999999999997</v>
      </c>
      <c r="G2151" s="42">
        <v>34.613999999999997</v>
      </c>
      <c r="H2151" s="42">
        <v>34.615000000000002</v>
      </c>
      <c r="I2151" s="42">
        <v>34.616999999999997</v>
      </c>
      <c r="J2151" s="21">
        <v>6756</v>
      </c>
      <c r="K2151" s="1">
        <v>7500</v>
      </c>
      <c r="L2151" s="1">
        <v>-81.180000000000007</v>
      </c>
      <c r="M2151" s="1">
        <v>-60.654000000000003</v>
      </c>
      <c r="N2151" s="1">
        <v>-40.292000000000002</v>
      </c>
      <c r="O2151" s="1">
        <v>-20.077999999999999</v>
      </c>
      <c r="P2151" s="365">
        <v>0</v>
      </c>
      <c r="Q2151" s="1">
        <v>20.058</v>
      </c>
      <c r="R2151" s="1">
        <v>40.005000000000003</v>
      </c>
      <c r="S2151" s="1">
        <v>59.856000000000002</v>
      </c>
      <c r="T2151" s="1">
        <v>79.622</v>
      </c>
    </row>
    <row r="2152" spans="1:20">
      <c r="A2152" s="1">
        <v>4550</v>
      </c>
      <c r="B2152" s="42">
        <v>34.329000000000001</v>
      </c>
      <c r="C2152" s="42">
        <v>34.33</v>
      </c>
      <c r="D2152" s="42">
        <v>34.331000000000003</v>
      </c>
      <c r="E2152" s="42">
        <v>34.332000000000001</v>
      </c>
      <c r="F2152" s="42">
        <v>34.332000000000001</v>
      </c>
      <c r="G2152" s="42">
        <v>34.332999999999998</v>
      </c>
      <c r="H2152" s="42">
        <v>34.334000000000003</v>
      </c>
      <c r="I2152" s="42">
        <v>34.335000000000001</v>
      </c>
      <c r="J2152" s="21">
        <v>6706</v>
      </c>
      <c r="K2152" s="1">
        <v>7600</v>
      </c>
      <c r="L2152" s="1">
        <v>-80.582999999999998</v>
      </c>
      <c r="M2152" s="1">
        <v>-60.207999999999998</v>
      </c>
      <c r="N2152" s="1">
        <v>-39.994</v>
      </c>
      <c r="O2152" s="1">
        <v>-19.93</v>
      </c>
      <c r="P2152" s="365">
        <v>0</v>
      </c>
      <c r="Q2152" s="1">
        <v>19.91</v>
      </c>
      <c r="R2152" s="1">
        <v>39.710999999999999</v>
      </c>
      <c r="S2152" s="1">
        <v>59.414000000000001</v>
      </c>
      <c r="T2152" s="1">
        <v>79.034000000000006</v>
      </c>
    </row>
    <row r="2153" spans="1:20">
      <c r="A2153" s="1">
        <v>4600</v>
      </c>
      <c r="B2153" s="42">
        <v>34.048000000000002</v>
      </c>
      <c r="C2153" s="42">
        <v>34.048999999999999</v>
      </c>
      <c r="D2153" s="42">
        <v>34.049999999999997</v>
      </c>
      <c r="E2153" s="42">
        <v>34.049999999999997</v>
      </c>
      <c r="F2153" s="42">
        <v>34.051000000000002</v>
      </c>
      <c r="G2153" s="42">
        <v>34.051000000000002</v>
      </c>
      <c r="H2153" s="42">
        <v>34.052999999999997</v>
      </c>
      <c r="I2153" s="42">
        <v>34.054000000000002</v>
      </c>
      <c r="J2153" s="21">
        <v>6656</v>
      </c>
      <c r="K2153" s="1">
        <v>7700</v>
      </c>
      <c r="L2153" s="1">
        <v>-79.981999999999999</v>
      </c>
      <c r="M2153" s="1">
        <v>-59.758000000000003</v>
      </c>
      <c r="N2153" s="1">
        <v>-39.695</v>
      </c>
      <c r="O2153" s="1">
        <v>-19.782</v>
      </c>
      <c r="P2153" s="365">
        <v>0</v>
      </c>
      <c r="Q2153" s="1">
        <v>19.763000000000002</v>
      </c>
      <c r="R2153" s="1">
        <v>39.415999999999997</v>
      </c>
      <c r="S2153" s="1">
        <v>58.975000000000001</v>
      </c>
      <c r="T2153" s="1">
        <v>78.447999999999993</v>
      </c>
    </row>
    <row r="2154" spans="1:20">
      <c r="A2154" s="1">
        <v>4650</v>
      </c>
      <c r="B2154" s="42">
        <v>33.765999999999998</v>
      </c>
      <c r="C2154" s="42">
        <v>33.768000000000001</v>
      </c>
      <c r="D2154" s="42">
        <v>33.768000000000001</v>
      </c>
      <c r="E2154" s="42">
        <v>33.768999999999998</v>
      </c>
      <c r="F2154" s="42">
        <v>33.768999999999998</v>
      </c>
      <c r="G2154" s="42">
        <v>33.770000000000003</v>
      </c>
      <c r="H2154" s="42">
        <v>33.771000000000001</v>
      </c>
      <c r="I2154" s="42">
        <v>33.771999999999998</v>
      </c>
      <c r="J2154" s="21">
        <v>6606</v>
      </c>
      <c r="K2154" s="1">
        <v>7800</v>
      </c>
      <c r="L2154" s="1">
        <v>-79.384</v>
      </c>
      <c r="M2154" s="1">
        <v>-59.311</v>
      </c>
      <c r="N2154" s="1">
        <v>-39.399000000000001</v>
      </c>
      <c r="O2154" s="1">
        <v>-19.632999999999999</v>
      </c>
      <c r="P2154" s="365">
        <v>0</v>
      </c>
      <c r="Q2154" s="1">
        <v>19.614999999999998</v>
      </c>
      <c r="R2154" s="1">
        <v>39.121000000000002</v>
      </c>
      <c r="S2154" s="1">
        <v>58.533000000000001</v>
      </c>
      <c r="T2154" s="1">
        <v>77.861000000000004</v>
      </c>
    </row>
    <row r="2155" spans="1:20">
      <c r="A2155" s="1">
        <v>4700</v>
      </c>
      <c r="B2155" s="42">
        <v>33.484999999999999</v>
      </c>
      <c r="C2155" s="42">
        <v>33.485999999999997</v>
      </c>
      <c r="D2155" s="42">
        <v>33.487000000000002</v>
      </c>
      <c r="E2155" s="42">
        <v>33.487000000000002</v>
      </c>
      <c r="F2155" s="42">
        <v>33.488</v>
      </c>
      <c r="G2155" s="42">
        <v>33.488999999999997</v>
      </c>
      <c r="H2155" s="42">
        <v>33.49</v>
      </c>
      <c r="I2155" s="42">
        <v>33.491</v>
      </c>
      <c r="J2155" s="21">
        <v>6556</v>
      </c>
      <c r="K2155" s="1">
        <v>7900</v>
      </c>
      <c r="L2155" s="1">
        <v>-78.783000000000001</v>
      </c>
      <c r="M2155" s="1">
        <v>-58.863</v>
      </c>
      <c r="N2155" s="1">
        <v>-39.101999999999997</v>
      </c>
      <c r="O2155" s="1">
        <v>19.484999999999999</v>
      </c>
      <c r="P2155" s="365">
        <v>0</v>
      </c>
      <c r="Q2155" s="1">
        <v>19.466999999999999</v>
      </c>
      <c r="R2155" s="1">
        <v>38.826999999999998</v>
      </c>
      <c r="S2155" s="1">
        <v>58.091999999999999</v>
      </c>
      <c r="T2155" s="1">
        <v>77.275000000000006</v>
      </c>
    </row>
    <row r="2156" spans="1:20">
      <c r="A2156" s="1">
        <v>4750</v>
      </c>
      <c r="B2156" s="42">
        <v>33.203000000000003</v>
      </c>
      <c r="C2156" s="42">
        <v>33.204999999999998</v>
      </c>
      <c r="D2156" s="42">
        <v>33.204999999999998</v>
      </c>
      <c r="E2156" s="42">
        <v>33.206000000000003</v>
      </c>
      <c r="F2156" s="42">
        <v>33.207000000000001</v>
      </c>
      <c r="G2156" s="42">
        <v>33.207000000000001</v>
      </c>
      <c r="H2156" s="42">
        <v>33.207999999999998</v>
      </c>
      <c r="I2156" s="42">
        <v>33.21</v>
      </c>
      <c r="J2156" s="21">
        <v>6506</v>
      </c>
      <c r="K2156" s="1">
        <v>8000</v>
      </c>
      <c r="L2156" s="1">
        <v>-78.183999999999997</v>
      </c>
      <c r="M2156" s="1">
        <v>-58.414000000000001</v>
      </c>
      <c r="N2156" s="1">
        <v>-38.804000000000002</v>
      </c>
      <c r="O2156" s="1">
        <v>-19.337</v>
      </c>
      <c r="P2156" s="365">
        <v>0</v>
      </c>
      <c r="Q2156" s="1">
        <v>19.32</v>
      </c>
      <c r="R2156" s="1">
        <v>38.531999999999996</v>
      </c>
      <c r="S2156" s="1">
        <v>57.652000000000001</v>
      </c>
      <c r="T2156" s="1">
        <v>76.688999999999993</v>
      </c>
    </row>
    <row r="2157" spans="1:20">
      <c r="A2157" s="1">
        <v>4800</v>
      </c>
      <c r="B2157" s="42">
        <v>32.921999999999997</v>
      </c>
      <c r="C2157" s="42">
        <v>32.923000000000002</v>
      </c>
      <c r="D2157" s="42">
        <v>32.923999999999999</v>
      </c>
      <c r="E2157" s="42">
        <v>32.924999999999997</v>
      </c>
      <c r="F2157" s="42">
        <v>32.924999999999997</v>
      </c>
      <c r="G2157" s="42">
        <v>32.926000000000002</v>
      </c>
      <c r="H2157" s="42">
        <v>32.927</v>
      </c>
      <c r="I2157" s="42">
        <v>32.927999999999997</v>
      </c>
      <c r="J2157" s="21">
        <v>6456</v>
      </c>
      <c r="K2157" s="1">
        <v>8100</v>
      </c>
      <c r="L2157" s="1">
        <v>-77.585999999999999</v>
      </c>
      <c r="M2157" s="1">
        <v>-57.968000000000004</v>
      </c>
      <c r="N2157" s="1">
        <v>-38.506999999999998</v>
      </c>
      <c r="O2157" s="1">
        <v>-19.189</v>
      </c>
      <c r="P2157" s="365">
        <v>0</v>
      </c>
      <c r="Q2157" s="1">
        <v>19.172000000000001</v>
      </c>
      <c r="R2157" s="1">
        <v>38.238</v>
      </c>
      <c r="S2157" s="1">
        <v>57.210999999999999</v>
      </c>
      <c r="T2157" s="1">
        <v>76.102000000000004</v>
      </c>
    </row>
    <row r="2158" spans="1:20">
      <c r="A2158" s="1">
        <v>4850</v>
      </c>
      <c r="B2158" s="42">
        <v>32.640999999999998</v>
      </c>
      <c r="C2158" s="42">
        <v>32.642000000000003</v>
      </c>
      <c r="D2158" s="42">
        <v>32.643000000000001</v>
      </c>
      <c r="E2158" s="42">
        <v>32.643000000000001</v>
      </c>
      <c r="F2158" s="42">
        <v>32.643999999999998</v>
      </c>
      <c r="G2158" s="42">
        <v>32.643999999999998</v>
      </c>
      <c r="H2158" s="42">
        <v>32.646000000000001</v>
      </c>
      <c r="I2158" s="42">
        <v>32.646999999999998</v>
      </c>
      <c r="J2158" s="21">
        <v>6406</v>
      </c>
      <c r="K2158" s="1">
        <v>8200</v>
      </c>
      <c r="L2158" s="1">
        <v>-76.984999999999999</v>
      </c>
      <c r="M2158" s="1">
        <v>-57.518999999999998</v>
      </c>
      <c r="N2158" s="1">
        <v>-38.209000000000003</v>
      </c>
      <c r="O2158" s="1">
        <v>-19.04</v>
      </c>
      <c r="P2158" s="365">
        <v>0</v>
      </c>
      <c r="Q2158" s="1">
        <v>19.024000000000001</v>
      </c>
      <c r="R2158" s="1">
        <v>37.944000000000003</v>
      </c>
      <c r="S2158" s="1">
        <v>56.771000000000001</v>
      </c>
      <c r="T2158" s="1">
        <v>75.516999999999996</v>
      </c>
    </row>
    <row r="2159" spans="1:20">
      <c r="A2159" s="1">
        <v>4900</v>
      </c>
      <c r="B2159" s="42">
        <v>32.590000000000003</v>
      </c>
      <c r="C2159" s="42">
        <v>32.360999999999997</v>
      </c>
      <c r="D2159" s="42">
        <v>32.360999999999997</v>
      </c>
      <c r="E2159" s="42">
        <v>32.362000000000002</v>
      </c>
      <c r="F2159" s="42">
        <v>32.362000000000002</v>
      </c>
      <c r="G2159" s="42">
        <v>32.363</v>
      </c>
      <c r="H2159" s="42">
        <v>32.363999999999997</v>
      </c>
      <c r="I2159" s="42">
        <v>32.366</v>
      </c>
      <c r="J2159" s="21">
        <v>6356</v>
      </c>
      <c r="K2159" s="1">
        <v>8300</v>
      </c>
      <c r="L2159" s="1">
        <v>-76.388000000000005</v>
      </c>
      <c r="M2159" s="1">
        <v>-57.073</v>
      </c>
      <c r="N2159" s="1">
        <v>-37.911999999999999</v>
      </c>
      <c r="O2159" s="1">
        <v>-18.891999999999999</v>
      </c>
      <c r="P2159" s="365">
        <v>0</v>
      </c>
      <c r="Q2159" s="1">
        <v>18.876000000000001</v>
      </c>
      <c r="R2159" s="1">
        <v>37.648000000000003</v>
      </c>
      <c r="S2159" s="1">
        <v>56.329000000000001</v>
      </c>
      <c r="T2159" s="1">
        <v>74.929000000000002</v>
      </c>
    </row>
    <row r="2160" spans="1:20">
      <c r="A2160" s="1">
        <v>4950</v>
      </c>
      <c r="B2160" s="42">
        <v>32.078000000000003</v>
      </c>
      <c r="C2160" s="42">
        <v>32.079000000000001</v>
      </c>
      <c r="D2160" s="42">
        <v>32.08</v>
      </c>
      <c r="E2160" s="42">
        <v>32.08</v>
      </c>
      <c r="F2160" s="42">
        <v>32.081000000000003</v>
      </c>
      <c r="G2160" s="42">
        <v>32.082000000000001</v>
      </c>
      <c r="H2160" s="42">
        <v>32.082999999999998</v>
      </c>
      <c r="I2160" s="42">
        <v>32.084000000000003</v>
      </c>
      <c r="J2160" s="21">
        <v>6306</v>
      </c>
      <c r="K2160" s="1">
        <v>8400</v>
      </c>
      <c r="L2160" s="1">
        <v>-75.787999999999997</v>
      </c>
      <c r="M2160" s="1">
        <v>-56.624000000000002</v>
      </c>
      <c r="N2160" s="1">
        <v>-37.613999999999997</v>
      </c>
      <c r="O2160" s="1">
        <v>-18.744</v>
      </c>
      <c r="P2160" s="365">
        <v>0</v>
      </c>
      <c r="Q2160" s="1">
        <v>18.728000000000002</v>
      </c>
      <c r="R2160" s="1">
        <v>37.353999999999999</v>
      </c>
      <c r="S2160" s="1">
        <v>55.889000000000003</v>
      </c>
      <c r="T2160" s="1">
        <v>74.343999999999994</v>
      </c>
    </row>
    <row r="2161" spans="1:20">
      <c r="A2161" s="1">
        <v>5000</v>
      </c>
      <c r="B2161" s="42">
        <v>31.797000000000001</v>
      </c>
      <c r="C2161" s="42">
        <v>31.797999999999998</v>
      </c>
      <c r="D2161" s="42">
        <v>31.797999999999998</v>
      </c>
      <c r="E2161" s="42">
        <v>31.798999999999999</v>
      </c>
      <c r="F2161" s="42">
        <v>31.8</v>
      </c>
      <c r="G2161" s="42">
        <v>31.8</v>
      </c>
      <c r="H2161" s="42">
        <v>31.802</v>
      </c>
      <c r="I2161" s="42">
        <v>31.803000000000001</v>
      </c>
      <c r="J2161" s="21">
        <v>6256</v>
      </c>
      <c r="K2161" s="1">
        <v>8500</v>
      </c>
      <c r="L2161" s="1">
        <v>-75.19</v>
      </c>
      <c r="M2161" s="1">
        <v>-56.176000000000002</v>
      </c>
      <c r="N2161" s="1">
        <v>-37.316000000000003</v>
      </c>
      <c r="O2161" s="1">
        <v>-18.596</v>
      </c>
      <c r="P2161" s="365">
        <v>0</v>
      </c>
      <c r="Q2161" s="1">
        <v>18.579999999999998</v>
      </c>
      <c r="R2161" s="1">
        <v>37.06</v>
      </c>
      <c r="S2161" s="1">
        <v>55.448</v>
      </c>
      <c r="T2161" s="1">
        <v>73.757000000000005</v>
      </c>
    </row>
    <row r="2162" spans="1:20">
      <c r="A2162" s="1">
        <v>5050</v>
      </c>
      <c r="B2162" s="42">
        <v>31.515000000000001</v>
      </c>
      <c r="C2162" s="42">
        <v>31.515999999999998</v>
      </c>
      <c r="D2162" s="42">
        <v>31.516999999999999</v>
      </c>
      <c r="E2162" s="42">
        <v>31.518000000000001</v>
      </c>
      <c r="F2162" s="42">
        <v>31.518000000000001</v>
      </c>
      <c r="G2162" s="42">
        <v>31.518999999999998</v>
      </c>
      <c r="H2162" s="42">
        <v>31.52</v>
      </c>
      <c r="I2162" s="42">
        <v>31.521000000000001</v>
      </c>
      <c r="J2162" s="21">
        <v>6206</v>
      </c>
      <c r="K2162" s="1">
        <v>8600</v>
      </c>
      <c r="L2162" s="1">
        <v>-74.59</v>
      </c>
      <c r="M2162" s="1">
        <v>-55.728999999999999</v>
      </c>
      <c r="N2162" s="1">
        <v>-37.018999999999998</v>
      </c>
      <c r="O2162" s="1">
        <v>-18.446999999999999</v>
      </c>
      <c r="P2162" s="365">
        <v>0</v>
      </c>
      <c r="Q2162" s="1">
        <v>18.434000000000001</v>
      </c>
      <c r="R2162" s="1">
        <v>36.765000000000001</v>
      </c>
      <c r="S2162" s="1">
        <v>55.006999999999998</v>
      </c>
      <c r="T2162" s="1">
        <v>73.171000000000006</v>
      </c>
    </row>
    <row r="2163" spans="1:20">
      <c r="A2163" s="1">
        <v>5100</v>
      </c>
      <c r="B2163" s="42">
        <v>31.234000000000002</v>
      </c>
      <c r="C2163" s="42">
        <v>31.234999999999999</v>
      </c>
      <c r="D2163" s="42">
        <v>31.236000000000001</v>
      </c>
      <c r="E2163" s="42">
        <v>31.236000000000001</v>
      </c>
      <c r="F2163" s="42">
        <v>31.236999999999998</v>
      </c>
      <c r="G2163" s="42">
        <v>31.238</v>
      </c>
      <c r="H2163" s="42">
        <v>31.239000000000001</v>
      </c>
      <c r="I2163" s="42">
        <v>31.24</v>
      </c>
      <c r="J2163" s="21">
        <v>6156</v>
      </c>
      <c r="K2163" s="1">
        <v>8700</v>
      </c>
      <c r="L2163" s="1">
        <v>-73.991</v>
      </c>
      <c r="M2163" s="1">
        <v>-55.281999999999996</v>
      </c>
      <c r="N2163" s="1">
        <v>-36.720999999999997</v>
      </c>
      <c r="O2163" s="1">
        <v>-18.298999999999999</v>
      </c>
      <c r="P2163" s="365">
        <v>0</v>
      </c>
      <c r="Q2163" s="1">
        <v>18.286000000000001</v>
      </c>
      <c r="R2163" s="1">
        <v>36.470999999999997</v>
      </c>
      <c r="S2163" s="1">
        <v>54.566000000000003</v>
      </c>
      <c r="T2163" s="1">
        <v>72.584000000000003</v>
      </c>
    </row>
    <row r="2164" spans="1:20">
      <c r="A2164" s="1">
        <v>5150</v>
      </c>
      <c r="B2164" s="42">
        <v>30.952000000000002</v>
      </c>
      <c r="C2164" s="42">
        <v>30.954000000000001</v>
      </c>
      <c r="D2164" s="42">
        <v>30.954000000000001</v>
      </c>
      <c r="E2164" s="42">
        <v>30.954999999999998</v>
      </c>
      <c r="F2164" s="42">
        <v>30.956</v>
      </c>
      <c r="G2164" s="42">
        <v>30.956</v>
      </c>
      <c r="H2164" s="42">
        <v>30.957000000000001</v>
      </c>
      <c r="I2164" s="42">
        <v>30.959</v>
      </c>
      <c r="J2164" s="21">
        <v>6106</v>
      </c>
      <c r="K2164" s="1">
        <v>8800</v>
      </c>
      <c r="L2164" s="1">
        <v>-73.391999999999996</v>
      </c>
      <c r="M2164" s="1">
        <v>-54.832999999999998</v>
      </c>
      <c r="N2164" s="1">
        <v>-36.423999999999999</v>
      </c>
      <c r="O2164" s="1">
        <v>-18.151</v>
      </c>
      <c r="P2164" s="365">
        <v>0</v>
      </c>
      <c r="Q2164" s="1">
        <v>18.137</v>
      </c>
      <c r="R2164" s="1">
        <v>36.176000000000002</v>
      </c>
      <c r="S2164" s="1">
        <v>54.125</v>
      </c>
      <c r="T2164" s="1">
        <v>71.998000000000005</v>
      </c>
    </row>
    <row r="2165" spans="1:20">
      <c r="A2165" s="1">
        <v>5200</v>
      </c>
      <c r="B2165" s="42">
        <v>30.670999999999999</v>
      </c>
      <c r="C2165" s="42">
        <v>30.672000000000001</v>
      </c>
      <c r="D2165" s="42">
        <v>30.672999999999998</v>
      </c>
      <c r="E2165" s="42">
        <v>30.673999999999999</v>
      </c>
      <c r="F2165" s="42">
        <v>30.673999999999999</v>
      </c>
      <c r="G2165" s="42">
        <v>30.675000000000001</v>
      </c>
      <c r="H2165" s="42">
        <v>30.675999999999998</v>
      </c>
      <c r="I2165" s="42">
        <v>30.677</v>
      </c>
      <c r="J2165" s="21">
        <v>6056</v>
      </c>
      <c r="K2165" s="1">
        <v>8900</v>
      </c>
      <c r="L2165" s="1">
        <v>-72.793000000000006</v>
      </c>
      <c r="M2165" s="1">
        <v>-54.386000000000003</v>
      </c>
      <c r="N2165" s="1">
        <v>-36.127000000000002</v>
      </c>
      <c r="O2165" s="1">
        <v>-18.003</v>
      </c>
      <c r="P2165" s="365">
        <v>0</v>
      </c>
      <c r="Q2165" s="1">
        <v>17.989999999999998</v>
      </c>
      <c r="R2165" s="1">
        <v>35.881</v>
      </c>
      <c r="S2165" s="1">
        <v>53.683999999999997</v>
      </c>
      <c r="T2165" s="1">
        <v>71.411000000000001</v>
      </c>
    </row>
    <row r="2166" spans="1:20">
      <c r="A2166" s="1">
        <v>5250</v>
      </c>
      <c r="B2166" s="42">
        <v>30.39</v>
      </c>
      <c r="C2166" s="42">
        <v>30.390999999999998</v>
      </c>
      <c r="D2166" s="42">
        <v>30.391999999999999</v>
      </c>
      <c r="E2166" s="42">
        <v>30.391999999999999</v>
      </c>
      <c r="F2166" s="42">
        <v>30.393000000000001</v>
      </c>
      <c r="G2166" s="42">
        <v>30.393000000000001</v>
      </c>
      <c r="H2166" s="42">
        <v>30.395</v>
      </c>
      <c r="I2166" s="42">
        <v>30.396000000000001</v>
      </c>
      <c r="J2166" s="21">
        <v>6006</v>
      </c>
      <c r="K2166" s="1">
        <v>9000</v>
      </c>
      <c r="L2166" s="1">
        <v>-72.194000000000003</v>
      </c>
      <c r="M2166" s="1">
        <v>-53.939</v>
      </c>
      <c r="N2166" s="1">
        <v>-35.83</v>
      </c>
      <c r="O2166" s="1">
        <v>-17.855</v>
      </c>
      <c r="P2166" s="365">
        <v>0</v>
      </c>
      <c r="Q2166" s="1">
        <v>17.841999999999999</v>
      </c>
      <c r="R2166" s="1">
        <v>35.585999999999999</v>
      </c>
      <c r="S2166" s="1">
        <v>53.244</v>
      </c>
      <c r="T2166" s="1">
        <v>70.823999999999998</v>
      </c>
    </row>
    <row r="2167" spans="1:20">
      <c r="A2167" s="1">
        <v>5300</v>
      </c>
      <c r="B2167" s="42">
        <v>30.108000000000001</v>
      </c>
      <c r="C2167" s="42">
        <v>30.11</v>
      </c>
      <c r="D2167" s="42">
        <v>30.11</v>
      </c>
      <c r="E2167" s="42">
        <v>30.111000000000001</v>
      </c>
      <c r="F2167" s="42">
        <v>30.111000000000001</v>
      </c>
      <c r="G2167" s="42">
        <v>30.111999999999998</v>
      </c>
      <c r="H2167" s="42">
        <v>30.113</v>
      </c>
      <c r="I2167" s="42">
        <v>30.114999999999998</v>
      </c>
      <c r="J2167" s="21">
        <v>5956</v>
      </c>
      <c r="K2167" s="1">
        <v>9100</v>
      </c>
      <c r="L2167" s="1">
        <v>-71.593999999999994</v>
      </c>
      <c r="M2167" s="1">
        <v>-53.491</v>
      </c>
      <c r="N2167" s="1">
        <v>-35.531999999999996</v>
      </c>
      <c r="O2167" s="1">
        <v>-17.707000000000001</v>
      </c>
      <c r="P2167" s="365">
        <v>0</v>
      </c>
      <c r="Q2167" s="1">
        <v>17.693999999999999</v>
      </c>
      <c r="R2167" s="1">
        <v>35.292999999999999</v>
      </c>
      <c r="S2167" s="1">
        <v>52.804000000000002</v>
      </c>
      <c r="T2167" s="1">
        <v>70.238</v>
      </c>
    </row>
    <row r="2168" spans="1:20">
      <c r="A2168" s="1">
        <v>5350</v>
      </c>
      <c r="B2168" s="42">
        <v>29.827000000000002</v>
      </c>
      <c r="C2168" s="42">
        <v>29.827999999999999</v>
      </c>
      <c r="D2168" s="42">
        <v>29.829000000000001</v>
      </c>
      <c r="E2168" s="42">
        <v>29.829000000000001</v>
      </c>
      <c r="F2168" s="42">
        <v>29.83</v>
      </c>
      <c r="G2168" s="42">
        <v>29.831</v>
      </c>
      <c r="H2168" s="42">
        <v>29.832000000000001</v>
      </c>
      <c r="I2168" s="42">
        <v>29.832999999999998</v>
      </c>
      <c r="J2168" s="21">
        <v>5906</v>
      </c>
      <c r="K2168" s="1">
        <v>9200</v>
      </c>
      <c r="L2168" s="1">
        <v>-70.995999999999995</v>
      </c>
      <c r="M2168" s="1">
        <v>-53.042000000000002</v>
      </c>
      <c r="N2168" s="1">
        <v>-35.232999999999997</v>
      </c>
      <c r="O2168" s="1">
        <v>-17.558</v>
      </c>
      <c r="P2168" s="365">
        <v>0</v>
      </c>
      <c r="Q2168" s="1">
        <v>17.547999999999998</v>
      </c>
      <c r="R2168" s="1">
        <v>34.999000000000002</v>
      </c>
      <c r="S2168" s="1">
        <v>52.363</v>
      </c>
      <c r="T2168" s="1">
        <v>69.650999999999996</v>
      </c>
    </row>
    <row r="2169" spans="1:20">
      <c r="A2169" s="1">
        <v>5400</v>
      </c>
      <c r="B2169" s="42">
        <v>29.545999999999999</v>
      </c>
      <c r="C2169" s="42">
        <v>29.547000000000001</v>
      </c>
      <c r="D2169" s="42">
        <v>29.547000000000001</v>
      </c>
      <c r="E2169" s="42">
        <v>29.547999999999998</v>
      </c>
      <c r="F2169" s="42">
        <v>29.548999999999999</v>
      </c>
      <c r="G2169" s="42">
        <v>29.548999999999999</v>
      </c>
      <c r="H2169" s="42">
        <v>29.550999999999998</v>
      </c>
      <c r="I2169" s="42">
        <v>29.552</v>
      </c>
      <c r="J2169" s="21">
        <v>5856</v>
      </c>
      <c r="K2169" s="1">
        <v>9300</v>
      </c>
      <c r="L2169" s="1">
        <v>-70.396000000000001</v>
      </c>
      <c r="M2169" s="1">
        <v>-52.594999999999999</v>
      </c>
      <c r="N2169" s="1">
        <v>-34.936</v>
      </c>
      <c r="O2169" s="1">
        <v>-17.408999999999999</v>
      </c>
      <c r="P2169" s="365">
        <v>0</v>
      </c>
      <c r="Q2169" s="1">
        <v>17.399999999999999</v>
      </c>
      <c r="R2169" s="1">
        <v>34.703000000000003</v>
      </c>
      <c r="S2169" s="1">
        <v>51.921999999999997</v>
      </c>
      <c r="T2169" s="1">
        <v>69.064999999999998</v>
      </c>
    </row>
    <row r="2170" spans="1:20">
      <c r="A2170" s="1">
        <v>5450</v>
      </c>
      <c r="B2170" s="42">
        <v>29.263999999999999</v>
      </c>
      <c r="C2170" s="42">
        <v>29.265000000000001</v>
      </c>
      <c r="D2170" s="42">
        <v>29.265999999999998</v>
      </c>
      <c r="E2170" s="42">
        <v>29.266999999999999</v>
      </c>
      <c r="F2170" s="42">
        <v>29.266999999999999</v>
      </c>
      <c r="G2170" s="42">
        <v>29.268000000000001</v>
      </c>
      <c r="H2170" s="42">
        <v>29.268999999999998</v>
      </c>
      <c r="I2170" s="42">
        <v>29.27</v>
      </c>
      <c r="J2170" s="21">
        <v>5806</v>
      </c>
      <c r="K2170" s="1">
        <v>9400</v>
      </c>
      <c r="L2170" s="1">
        <v>-69.798000000000002</v>
      </c>
      <c r="M2170" s="1">
        <v>-52.146999999999998</v>
      </c>
      <c r="N2170" s="1">
        <v>-34.639000000000003</v>
      </c>
      <c r="O2170" s="1">
        <v>-17.262</v>
      </c>
      <c r="P2170" s="365">
        <v>0</v>
      </c>
      <c r="Q2170" s="1">
        <v>17.251000000000001</v>
      </c>
      <c r="R2170" s="1">
        <v>34.408999999999999</v>
      </c>
      <c r="S2170" s="1">
        <v>51.481000000000002</v>
      </c>
      <c r="T2170" s="1">
        <v>68.478999999999999</v>
      </c>
    </row>
    <row r="2171" spans="1:20">
      <c r="A2171" s="1">
        <v>5500</v>
      </c>
      <c r="B2171" s="42">
        <v>28.983000000000001</v>
      </c>
      <c r="C2171" s="42">
        <v>28.984000000000002</v>
      </c>
      <c r="D2171" s="42">
        <v>28.984999999999999</v>
      </c>
      <c r="E2171" s="42">
        <v>28.984999999999999</v>
      </c>
      <c r="F2171" s="42">
        <v>28.986000000000001</v>
      </c>
      <c r="G2171" s="42">
        <v>28.986999999999998</v>
      </c>
      <c r="H2171" s="42">
        <v>28.988</v>
      </c>
      <c r="I2171" s="42">
        <v>28.989000000000001</v>
      </c>
      <c r="J2171" s="21">
        <v>5756</v>
      </c>
      <c r="K2171" s="1">
        <v>9500</v>
      </c>
      <c r="L2171" s="1">
        <v>-69.198999999999998</v>
      </c>
      <c r="M2171" s="1">
        <v>-51.7</v>
      </c>
      <c r="N2171" s="1">
        <v>-34.341999999999999</v>
      </c>
      <c r="O2171" s="1">
        <v>-17.114000000000001</v>
      </c>
      <c r="P2171" s="365">
        <v>0</v>
      </c>
      <c r="Q2171" s="1">
        <v>17.103999999999999</v>
      </c>
      <c r="R2171" s="1">
        <v>34.113999999999997</v>
      </c>
      <c r="S2171" s="1">
        <v>51.04</v>
      </c>
      <c r="T2171" s="1">
        <v>67.891999999999996</v>
      </c>
    </row>
    <row r="2172" spans="1:20">
      <c r="A2172" s="1">
        <v>5550</v>
      </c>
      <c r="B2172" s="42">
        <v>28.701000000000001</v>
      </c>
      <c r="C2172" s="42">
        <v>28.702999999999999</v>
      </c>
      <c r="D2172" s="42">
        <v>28.702999999999999</v>
      </c>
      <c r="E2172" s="42">
        <v>28.704000000000001</v>
      </c>
      <c r="F2172" s="42">
        <v>28.704000000000001</v>
      </c>
      <c r="G2172" s="42">
        <v>28.704999999999998</v>
      </c>
      <c r="H2172" s="42">
        <v>28.706</v>
      </c>
      <c r="I2172" s="42">
        <v>28.707999999999998</v>
      </c>
      <c r="J2172" s="21">
        <v>5706</v>
      </c>
      <c r="K2172" s="1">
        <v>9600</v>
      </c>
      <c r="L2172" s="1">
        <v>-68.599000000000004</v>
      </c>
      <c r="M2172" s="1">
        <v>-51.253</v>
      </c>
      <c r="N2172" s="1">
        <v>-34.043999999999997</v>
      </c>
      <c r="O2172" s="1">
        <v>-16.963999999999999</v>
      </c>
      <c r="P2172" s="365">
        <v>0</v>
      </c>
      <c r="Q2172" s="1">
        <v>16.957000000000001</v>
      </c>
      <c r="R2172" s="1">
        <v>33.819000000000003</v>
      </c>
      <c r="S2172" s="1">
        <v>50.598999999999997</v>
      </c>
      <c r="T2172" s="1">
        <v>67.307000000000002</v>
      </c>
    </row>
    <row r="2173" spans="1:20">
      <c r="A2173" s="1">
        <v>5600</v>
      </c>
      <c r="B2173" s="42">
        <v>28.42</v>
      </c>
      <c r="C2173" s="42">
        <v>28.420999999999999</v>
      </c>
      <c r="D2173" s="42">
        <v>28.422000000000001</v>
      </c>
      <c r="E2173" s="42">
        <v>28.422000000000001</v>
      </c>
      <c r="F2173" s="42">
        <v>28.422999999999998</v>
      </c>
      <c r="G2173" s="42">
        <v>28.423999999999999</v>
      </c>
      <c r="H2173" s="42">
        <v>28.425000000000001</v>
      </c>
      <c r="I2173" s="42">
        <v>28.425999999999998</v>
      </c>
      <c r="J2173" s="21">
        <v>5656</v>
      </c>
      <c r="K2173" s="1">
        <v>9700</v>
      </c>
      <c r="L2173" s="1">
        <v>-68.001000000000005</v>
      </c>
      <c r="M2173" s="1">
        <v>-50.805</v>
      </c>
      <c r="N2173" s="1">
        <v>-33.747</v>
      </c>
      <c r="O2173" s="1">
        <v>-16.815999999999999</v>
      </c>
      <c r="P2173" s="365">
        <v>0</v>
      </c>
      <c r="Q2173" s="1">
        <v>16.809000000000001</v>
      </c>
      <c r="R2173" s="1">
        <v>33.524999999999999</v>
      </c>
      <c r="S2173" s="1">
        <v>50.158999999999999</v>
      </c>
      <c r="T2173" s="1">
        <v>66.718999999999994</v>
      </c>
    </row>
    <row r="2174" spans="1:20">
      <c r="A2174" s="1">
        <v>5650</v>
      </c>
      <c r="B2174" s="42">
        <v>28.138999999999999</v>
      </c>
      <c r="C2174" s="42">
        <v>28.14</v>
      </c>
      <c r="D2174" s="42">
        <v>28.14</v>
      </c>
      <c r="E2174" s="42">
        <v>28.140999999999998</v>
      </c>
      <c r="F2174" s="42">
        <v>28.141999999999999</v>
      </c>
      <c r="G2174" s="42">
        <v>28.141999999999999</v>
      </c>
      <c r="H2174" s="42">
        <v>28.143999999999998</v>
      </c>
      <c r="I2174" s="42">
        <v>28.145</v>
      </c>
      <c r="J2174" s="21">
        <v>5606</v>
      </c>
      <c r="K2174" s="1">
        <v>9800</v>
      </c>
      <c r="L2174" s="1">
        <v>-67.402000000000001</v>
      </c>
      <c r="M2174" s="1">
        <v>-50.356000000000002</v>
      </c>
      <c r="N2174" s="1">
        <v>-33.450000000000003</v>
      </c>
      <c r="O2174" s="1">
        <v>-16.667999999999999</v>
      </c>
      <c r="P2174" s="365">
        <v>0</v>
      </c>
      <c r="Q2174" s="1">
        <v>16.663</v>
      </c>
      <c r="R2174" s="1">
        <v>33.229999999999997</v>
      </c>
      <c r="S2174" s="1">
        <v>49.718000000000004</v>
      </c>
      <c r="T2174" s="1">
        <v>66.132999999999996</v>
      </c>
    </row>
    <row r="2175" spans="1:20">
      <c r="A2175" s="1">
        <v>5700</v>
      </c>
      <c r="B2175" s="42">
        <v>27.856999999999999</v>
      </c>
      <c r="C2175" s="42">
        <v>27.859000000000002</v>
      </c>
      <c r="D2175" s="42">
        <v>27.859000000000002</v>
      </c>
      <c r="E2175" s="42">
        <v>27.86</v>
      </c>
      <c r="F2175" s="42">
        <v>27.86</v>
      </c>
      <c r="G2175" s="42">
        <v>27.861000000000001</v>
      </c>
      <c r="H2175" s="42">
        <v>27.861999999999998</v>
      </c>
      <c r="I2175" s="42">
        <v>27.863</v>
      </c>
      <c r="J2175" s="21">
        <v>5556</v>
      </c>
      <c r="K2175" s="1">
        <v>9900</v>
      </c>
      <c r="L2175" s="1">
        <v>-66.802999999999997</v>
      </c>
      <c r="M2175" s="1">
        <v>-49.91</v>
      </c>
      <c r="N2175" s="1">
        <v>-33.152999999999999</v>
      </c>
      <c r="O2175" s="1">
        <v>-16.518999999999998</v>
      </c>
      <c r="P2175" s="365">
        <v>0</v>
      </c>
      <c r="Q2175" s="1">
        <v>16.515000000000001</v>
      </c>
      <c r="R2175" s="1">
        <v>32.935000000000002</v>
      </c>
      <c r="S2175" s="1">
        <v>49.276000000000003</v>
      </c>
      <c r="T2175" s="1">
        <v>65.545000000000002</v>
      </c>
    </row>
    <row r="2176" spans="1:20">
      <c r="A2176" s="1">
        <v>5750</v>
      </c>
      <c r="B2176" s="42">
        <v>27.576000000000001</v>
      </c>
      <c r="C2176" s="42">
        <v>27.577000000000002</v>
      </c>
      <c r="D2176" s="42">
        <v>27.577999999999999</v>
      </c>
      <c r="E2176" s="42">
        <v>27.577999999999999</v>
      </c>
      <c r="F2176" s="42">
        <v>27.579000000000001</v>
      </c>
      <c r="G2176" s="42">
        <v>27.58</v>
      </c>
      <c r="H2176" s="42">
        <v>27.581</v>
      </c>
      <c r="I2176" s="42">
        <v>27.582000000000001</v>
      </c>
      <c r="J2176" s="21">
        <v>5506</v>
      </c>
      <c r="K2176" s="1">
        <v>10000</v>
      </c>
      <c r="L2176" s="1">
        <v>-66.203999999999994</v>
      </c>
      <c r="M2176" s="1">
        <v>-49.462000000000003</v>
      </c>
      <c r="N2176" s="1">
        <v>-32.854999999999997</v>
      </c>
      <c r="O2176" s="1">
        <v>-16.372</v>
      </c>
      <c r="P2176" s="365">
        <v>0</v>
      </c>
      <c r="Q2176" s="1">
        <v>16.366</v>
      </c>
      <c r="R2176" s="1">
        <v>32.640999999999998</v>
      </c>
      <c r="S2176" s="1">
        <v>48.835000000000001</v>
      </c>
      <c r="T2176" s="1">
        <v>64.959999999999994</v>
      </c>
    </row>
    <row r="2177" spans="1:20">
      <c r="A2177" s="1">
        <v>5800</v>
      </c>
      <c r="B2177" s="42">
        <v>27.294</v>
      </c>
      <c r="C2177" s="42">
        <v>27.295999999999999</v>
      </c>
      <c r="D2177" s="42">
        <v>27.295999999999999</v>
      </c>
      <c r="E2177" s="42">
        <v>27.297000000000001</v>
      </c>
      <c r="F2177" s="42">
        <v>27.297999999999998</v>
      </c>
      <c r="G2177" s="42">
        <v>27.297999999999998</v>
      </c>
      <c r="H2177" s="42">
        <v>27.298999999999999</v>
      </c>
      <c r="I2177" s="42">
        <v>27.300999999999998</v>
      </c>
      <c r="J2177" s="21">
        <v>5456</v>
      </c>
      <c r="K2177" s="1">
        <v>10100</v>
      </c>
      <c r="L2177" s="1">
        <v>-65.603999999999999</v>
      </c>
      <c r="M2177" s="1">
        <v>-49.014000000000003</v>
      </c>
      <c r="N2177" s="1">
        <v>-32.557000000000002</v>
      </c>
      <c r="O2177" s="1">
        <v>-16.222999999999999</v>
      </c>
      <c r="P2177" s="365">
        <v>0</v>
      </c>
      <c r="Q2177" s="1">
        <v>16.219000000000001</v>
      </c>
      <c r="R2177" s="1">
        <v>32.347000000000001</v>
      </c>
      <c r="S2177" s="1">
        <v>48.393999999999998</v>
      </c>
      <c r="T2177" s="1">
        <v>64.373000000000005</v>
      </c>
    </row>
    <row r="2178" spans="1:20">
      <c r="A2178" s="1">
        <v>5850</v>
      </c>
      <c r="B2178" s="42">
        <v>27.013000000000002</v>
      </c>
      <c r="C2178" s="42">
        <v>27.013999999999999</v>
      </c>
      <c r="D2178" s="42">
        <v>27.015000000000001</v>
      </c>
      <c r="E2178" s="42">
        <v>27.015999999999998</v>
      </c>
      <c r="F2178" s="42">
        <v>27.015999999999998</v>
      </c>
      <c r="G2178" s="42">
        <v>27.016999999999999</v>
      </c>
      <c r="H2178" s="42">
        <v>27.018000000000001</v>
      </c>
      <c r="I2178" s="42">
        <v>27.018999999999998</v>
      </c>
      <c r="J2178" s="21">
        <v>5406</v>
      </c>
      <c r="K2178" s="1">
        <v>10200</v>
      </c>
      <c r="L2178" s="1">
        <v>-65.004999999999995</v>
      </c>
      <c r="M2178" s="1">
        <v>-48.566000000000003</v>
      </c>
      <c r="N2178" s="1">
        <v>-32.26</v>
      </c>
      <c r="O2178" s="1">
        <v>-16.074999999999999</v>
      </c>
      <c r="P2178" s="365">
        <v>0</v>
      </c>
      <c r="Q2178" s="1">
        <v>16.071000000000002</v>
      </c>
      <c r="R2178" s="1">
        <v>32.052</v>
      </c>
      <c r="S2178" s="1">
        <v>47.954000000000001</v>
      </c>
      <c r="T2178" s="1">
        <v>63.786999999999999</v>
      </c>
    </row>
    <row r="2179" spans="1:20">
      <c r="A2179" s="1">
        <v>5900</v>
      </c>
      <c r="B2179" s="42">
        <v>26.731999999999999</v>
      </c>
      <c r="C2179" s="42">
        <v>26.733000000000001</v>
      </c>
      <c r="D2179" s="42">
        <v>26.734000000000002</v>
      </c>
      <c r="E2179" s="42">
        <v>26.734000000000002</v>
      </c>
      <c r="F2179" s="42">
        <v>26.734999999999999</v>
      </c>
      <c r="G2179" s="42">
        <v>26.734999999999999</v>
      </c>
      <c r="H2179" s="42">
        <v>26.736999999999998</v>
      </c>
      <c r="I2179" s="42">
        <v>26.738</v>
      </c>
      <c r="J2179" s="21">
        <v>5356</v>
      </c>
      <c r="K2179" s="1">
        <v>10300</v>
      </c>
      <c r="L2179" s="1">
        <v>-64.405000000000001</v>
      </c>
      <c r="M2179" s="1">
        <v>-48.119</v>
      </c>
      <c r="N2179" s="1">
        <v>-31.963000000000001</v>
      </c>
      <c r="O2179" s="1">
        <v>-15.926</v>
      </c>
      <c r="P2179" s="365">
        <v>0</v>
      </c>
      <c r="Q2179" s="1">
        <v>15.923999999999999</v>
      </c>
      <c r="R2179" s="1">
        <v>31.757000000000001</v>
      </c>
      <c r="S2179" s="1">
        <v>47.512</v>
      </c>
      <c r="T2179" s="1">
        <v>63.2</v>
      </c>
    </row>
    <row r="2180" spans="1:20">
      <c r="A2180" s="1">
        <v>5950</v>
      </c>
      <c r="B2180" s="42">
        <v>26.45</v>
      </c>
      <c r="C2180" s="42">
        <v>26.452000000000002</v>
      </c>
      <c r="D2180" s="42">
        <v>26.452000000000002</v>
      </c>
      <c r="E2180" s="42">
        <v>26.452999999999999</v>
      </c>
      <c r="F2180" s="42">
        <v>26.452999999999999</v>
      </c>
      <c r="G2180" s="42">
        <v>26.454000000000001</v>
      </c>
      <c r="H2180" s="42">
        <v>26.454999999999998</v>
      </c>
      <c r="I2180" s="42">
        <v>26.457000000000001</v>
      </c>
      <c r="J2180" s="21">
        <v>5306</v>
      </c>
      <c r="K2180" s="1">
        <v>10400</v>
      </c>
      <c r="L2180" s="1">
        <v>-63.808</v>
      </c>
      <c r="M2180" s="1">
        <v>-47.67</v>
      </c>
      <c r="N2180" s="1">
        <v>-31.666</v>
      </c>
      <c r="O2180" s="1">
        <v>-15.779</v>
      </c>
      <c r="P2180" s="365">
        <v>0</v>
      </c>
      <c r="Q2180" s="1">
        <v>15.776</v>
      </c>
      <c r="R2180" s="1">
        <v>31.463000000000001</v>
      </c>
      <c r="S2180" s="1">
        <v>47.072000000000003</v>
      </c>
      <c r="T2180" s="1">
        <v>62.613</v>
      </c>
    </row>
    <row r="2181" spans="1:20">
      <c r="A2181" s="1">
        <v>6000</v>
      </c>
      <c r="B2181" s="42">
        <v>26.169</v>
      </c>
      <c r="C2181" s="42">
        <v>26.17</v>
      </c>
      <c r="D2181" s="42">
        <v>26.170999999999999</v>
      </c>
      <c r="E2181" s="42">
        <v>26.170999999999999</v>
      </c>
      <c r="F2181" s="42">
        <v>26.172000000000001</v>
      </c>
      <c r="G2181" s="42">
        <v>26.172999999999998</v>
      </c>
      <c r="H2181" s="42">
        <v>26.173999999999999</v>
      </c>
      <c r="I2181" s="42">
        <v>26.175000000000001</v>
      </c>
      <c r="J2181" s="21">
        <v>5256</v>
      </c>
      <c r="K2181" s="1">
        <v>10500</v>
      </c>
      <c r="L2181" s="1">
        <v>-63.209000000000003</v>
      </c>
      <c r="M2181" s="1">
        <v>-47.223999999999997</v>
      </c>
      <c r="N2181" s="1">
        <v>-31.367999999999999</v>
      </c>
      <c r="O2181" s="1">
        <v>-15.631</v>
      </c>
      <c r="P2181" s="365">
        <v>0</v>
      </c>
      <c r="Q2181" s="1">
        <v>15.628</v>
      </c>
      <c r="R2181" s="1">
        <v>31.167999999999999</v>
      </c>
      <c r="S2181" s="1">
        <v>46.631</v>
      </c>
      <c r="T2181" s="1">
        <v>62.026000000000003</v>
      </c>
    </row>
    <row r="2182" spans="1:20">
      <c r="A2182" s="1">
        <v>6050</v>
      </c>
      <c r="B2182" s="42">
        <v>25.888000000000002</v>
      </c>
      <c r="C2182" s="42">
        <v>25.888999999999999</v>
      </c>
      <c r="D2182" s="42">
        <v>25.888999999999999</v>
      </c>
      <c r="E2182" s="42">
        <v>25.89</v>
      </c>
      <c r="F2182" s="42">
        <v>25.890999999999998</v>
      </c>
      <c r="G2182" s="42">
        <v>25.890999999999998</v>
      </c>
      <c r="H2182" s="42">
        <v>25.893000000000001</v>
      </c>
      <c r="I2182" s="42">
        <v>25.893999999999998</v>
      </c>
      <c r="J2182" s="21">
        <v>5206</v>
      </c>
      <c r="K2182" s="1">
        <v>10600</v>
      </c>
      <c r="L2182" s="1">
        <v>-62.61</v>
      </c>
      <c r="M2182" s="1">
        <v>-46.777000000000001</v>
      </c>
      <c r="N2182" s="1">
        <v>-31.071000000000002</v>
      </c>
      <c r="O2182" s="1">
        <v>-15.481999999999999</v>
      </c>
      <c r="P2182" s="365">
        <v>0</v>
      </c>
      <c r="Q2182" s="1">
        <v>15.48</v>
      </c>
      <c r="R2182" s="1">
        <v>30.873000000000001</v>
      </c>
      <c r="S2182" s="1">
        <v>46.189</v>
      </c>
      <c r="T2182" s="1">
        <v>61.439</v>
      </c>
    </row>
    <row r="2183" spans="1:20">
      <c r="A2183" s="1">
        <v>6100</v>
      </c>
      <c r="B2183" s="42">
        <v>25.606000000000002</v>
      </c>
      <c r="C2183" s="42">
        <v>25.608000000000001</v>
      </c>
      <c r="D2183" s="42">
        <v>25.608000000000001</v>
      </c>
      <c r="E2183" s="42">
        <v>25.609000000000002</v>
      </c>
      <c r="F2183" s="42">
        <v>25.61</v>
      </c>
      <c r="G2183" s="42">
        <v>25.61</v>
      </c>
      <c r="H2183" s="42">
        <v>25.611000000000001</v>
      </c>
      <c r="I2183" s="42">
        <v>25.613</v>
      </c>
      <c r="J2183" s="21">
        <v>5156</v>
      </c>
      <c r="K2183" s="1">
        <v>10700</v>
      </c>
      <c r="L2183" s="1">
        <v>-62.011000000000003</v>
      </c>
      <c r="M2183" s="1">
        <v>-46.329000000000001</v>
      </c>
      <c r="N2183" s="1">
        <v>-30.774000000000001</v>
      </c>
      <c r="O2183" s="1">
        <v>-15.334</v>
      </c>
      <c r="P2183" s="365">
        <v>0</v>
      </c>
      <c r="Q2183" s="1">
        <v>15.333</v>
      </c>
      <c r="R2183" s="1">
        <v>30.579000000000001</v>
      </c>
      <c r="S2183" s="1">
        <v>45.749000000000002</v>
      </c>
      <c r="T2183" s="1">
        <v>60.853000000000002</v>
      </c>
    </row>
    <row r="2184" spans="1:20">
      <c r="A2184" s="1">
        <v>6150</v>
      </c>
      <c r="B2184" s="42">
        <v>25.326000000000001</v>
      </c>
      <c r="C2184" s="42">
        <v>25.327000000000002</v>
      </c>
      <c r="D2184" s="42">
        <v>25.327999999999999</v>
      </c>
      <c r="E2184" s="42">
        <v>25.327999999999999</v>
      </c>
      <c r="F2184" s="42">
        <v>25.329000000000001</v>
      </c>
      <c r="G2184" s="42">
        <v>25.33</v>
      </c>
      <c r="H2184" s="42">
        <v>25.331</v>
      </c>
      <c r="I2184" s="42">
        <v>25.332000000000001</v>
      </c>
      <c r="J2184" s="21">
        <v>5106</v>
      </c>
      <c r="K2184" s="1">
        <v>10800</v>
      </c>
      <c r="L2184" s="1">
        <v>-61.411000000000001</v>
      </c>
      <c r="M2184" s="1">
        <v>-45.881</v>
      </c>
      <c r="N2184" s="1">
        <v>-30.475999999999999</v>
      </c>
      <c r="O2184" s="1">
        <v>-15.186</v>
      </c>
      <c r="P2184" s="365">
        <v>0</v>
      </c>
      <c r="Q2184" s="1">
        <v>15.183999999999999</v>
      </c>
      <c r="R2184" s="1">
        <v>30.283999999999999</v>
      </c>
      <c r="S2184" s="1">
        <v>45.308</v>
      </c>
      <c r="T2184" s="1">
        <v>60.265999999999998</v>
      </c>
    </row>
    <row r="2185" spans="1:20">
      <c r="A2185" s="1">
        <v>6200</v>
      </c>
      <c r="B2185" s="42">
        <v>25.045999999999999</v>
      </c>
      <c r="C2185" s="42">
        <v>25.047000000000001</v>
      </c>
      <c r="D2185" s="42">
        <v>25.047999999999998</v>
      </c>
      <c r="E2185" s="42">
        <v>25.048999999999999</v>
      </c>
      <c r="F2185" s="42">
        <v>25.048999999999999</v>
      </c>
      <c r="G2185" s="42">
        <v>25.05</v>
      </c>
      <c r="H2185" s="42">
        <v>25.050999999999998</v>
      </c>
      <c r="I2185" s="42">
        <v>25.052</v>
      </c>
      <c r="J2185" s="21">
        <v>5056</v>
      </c>
      <c r="K2185" s="1">
        <v>10900</v>
      </c>
      <c r="L2185" s="1">
        <v>-60.814</v>
      </c>
      <c r="M2185" s="1">
        <v>-45.433999999999997</v>
      </c>
      <c r="N2185" s="1">
        <v>-30.178000000000001</v>
      </c>
      <c r="O2185" s="1">
        <v>-15.038</v>
      </c>
      <c r="P2185" s="365">
        <v>0</v>
      </c>
      <c r="Q2185" s="1">
        <v>15.037000000000001</v>
      </c>
      <c r="R2185" s="1">
        <v>29.989000000000001</v>
      </c>
      <c r="S2185" s="1">
        <v>44.866999999999997</v>
      </c>
      <c r="T2185" s="1">
        <v>59.679000000000002</v>
      </c>
    </row>
    <row r="2186" spans="1:20">
      <c r="A2186" s="1">
        <v>6250</v>
      </c>
      <c r="B2186" s="42">
        <v>24.766999999999999</v>
      </c>
      <c r="C2186" s="42">
        <v>24.768000000000001</v>
      </c>
      <c r="D2186" s="42">
        <v>24.768999999999998</v>
      </c>
      <c r="E2186" s="42">
        <v>24.77</v>
      </c>
      <c r="F2186" s="42">
        <v>24.77</v>
      </c>
      <c r="G2186" s="42">
        <v>24.771000000000001</v>
      </c>
      <c r="H2186" s="42">
        <v>24.771999999999998</v>
      </c>
      <c r="I2186" s="42">
        <v>24.773</v>
      </c>
      <c r="J2186" s="21">
        <v>5006</v>
      </c>
      <c r="K2186" s="1">
        <v>11000</v>
      </c>
      <c r="L2186" s="1">
        <v>-60.213000000000001</v>
      </c>
      <c r="M2186" s="1">
        <v>-44.985999999999997</v>
      </c>
      <c r="N2186" s="1">
        <v>-29.881</v>
      </c>
      <c r="O2186" s="1">
        <v>-14.89</v>
      </c>
      <c r="P2186" s="365">
        <v>0</v>
      </c>
      <c r="Q2186" s="1">
        <v>14.89</v>
      </c>
      <c r="R2186" s="1">
        <v>29.696000000000002</v>
      </c>
      <c r="S2186" s="1">
        <v>44.426000000000002</v>
      </c>
      <c r="T2186" s="1">
        <v>59.093000000000004</v>
      </c>
    </row>
    <row r="2187" spans="1:20">
      <c r="A2187" s="1">
        <v>6300</v>
      </c>
      <c r="B2187" s="42">
        <v>24.489000000000001</v>
      </c>
      <c r="C2187" s="42">
        <v>24.49</v>
      </c>
      <c r="D2187" s="42">
        <v>24.49</v>
      </c>
      <c r="E2187" s="42">
        <v>24.491</v>
      </c>
      <c r="F2187" s="42">
        <v>24.492000000000001</v>
      </c>
      <c r="G2187" s="42">
        <v>24.492000000000001</v>
      </c>
      <c r="H2187" s="42">
        <v>24.494</v>
      </c>
      <c r="I2187" s="42">
        <v>24.495000000000001</v>
      </c>
      <c r="J2187" s="21">
        <v>4956</v>
      </c>
      <c r="K2187" s="1">
        <v>11100</v>
      </c>
      <c r="L2187" s="1">
        <v>-59.616</v>
      </c>
      <c r="M2187" s="1">
        <v>-44.539000000000001</v>
      </c>
      <c r="N2187" s="1">
        <v>-29.585000000000001</v>
      </c>
      <c r="O2187" s="1">
        <v>-14.742000000000001</v>
      </c>
      <c r="P2187" s="365">
        <v>0</v>
      </c>
      <c r="Q2187" s="1">
        <v>14.741</v>
      </c>
      <c r="R2187" s="1">
        <v>29.401</v>
      </c>
      <c r="S2187" s="1">
        <v>43.985999999999997</v>
      </c>
      <c r="T2187" s="1">
        <v>58.506999999999998</v>
      </c>
    </row>
    <row r="2188" spans="1:20">
      <c r="A2188" s="1">
        <v>6350</v>
      </c>
      <c r="B2188" s="42">
        <v>24.210999999999999</v>
      </c>
      <c r="C2188" s="42">
        <v>24.212</v>
      </c>
      <c r="D2188" s="42">
        <v>24.213000000000001</v>
      </c>
      <c r="E2188" s="42">
        <v>24.213000000000001</v>
      </c>
      <c r="F2188" s="42">
        <v>24.213999999999999</v>
      </c>
      <c r="G2188" s="42">
        <v>24.215</v>
      </c>
      <c r="H2188" s="42">
        <v>24.216000000000001</v>
      </c>
      <c r="I2188" s="42">
        <v>24.216999999999999</v>
      </c>
      <c r="J2188" s="21">
        <v>4906</v>
      </c>
      <c r="K2188" s="1">
        <v>11200</v>
      </c>
      <c r="L2188" s="1">
        <v>-59.017000000000003</v>
      </c>
      <c r="M2188" s="1">
        <v>-44.091000000000001</v>
      </c>
      <c r="N2188" s="1">
        <v>-29.286999999999999</v>
      </c>
      <c r="O2188" s="1">
        <v>-14.593999999999999</v>
      </c>
      <c r="P2188" s="365">
        <v>0</v>
      </c>
      <c r="Q2188" s="1">
        <v>14.573</v>
      </c>
      <c r="R2188" s="1">
        <v>29.064</v>
      </c>
      <c r="S2188" s="1">
        <v>43.320999999999998</v>
      </c>
      <c r="T2188" s="1">
        <v>52.588999999999999</v>
      </c>
    </row>
    <row r="2189" spans="1:20">
      <c r="A2189" s="1">
        <v>6400</v>
      </c>
      <c r="B2189" s="42">
        <v>23.934000000000001</v>
      </c>
      <c r="C2189" s="42">
        <v>23.934999999999999</v>
      </c>
      <c r="D2189" s="42">
        <v>23.936</v>
      </c>
      <c r="E2189" s="42">
        <v>23.936</v>
      </c>
      <c r="F2189" s="42">
        <v>23.937000000000001</v>
      </c>
      <c r="G2189" s="42">
        <v>23.937000000000001</v>
      </c>
      <c r="H2189" s="42">
        <v>23.939</v>
      </c>
      <c r="I2189" s="42">
        <v>23.94</v>
      </c>
      <c r="J2189" s="21">
        <v>4856</v>
      </c>
      <c r="K2189" s="1">
        <v>11256</v>
      </c>
      <c r="L2189" s="1">
        <v>-58.75</v>
      </c>
      <c r="M2189" s="1">
        <v>-43.902999999999999</v>
      </c>
      <c r="N2189" s="1">
        <v>-29.161000000000001</v>
      </c>
      <c r="O2189" s="1">
        <v>-14.531000000000001</v>
      </c>
      <c r="P2189" s="365">
        <v>0</v>
      </c>
      <c r="Q2189" s="365">
        <v>0</v>
      </c>
      <c r="R2189" s="365">
        <v>0</v>
      </c>
      <c r="S2189" s="365">
        <v>0</v>
      </c>
      <c r="T2189" s="365">
        <v>0</v>
      </c>
    </row>
    <row r="2190" spans="1:20">
      <c r="A2190" s="1">
        <v>6450</v>
      </c>
      <c r="B2190" s="42">
        <v>23.657</v>
      </c>
      <c r="C2190" s="42">
        <v>23.658999999999999</v>
      </c>
      <c r="D2190" s="42">
        <v>23.658999999999999</v>
      </c>
      <c r="E2190" s="42">
        <v>23.66</v>
      </c>
      <c r="F2190" s="42">
        <v>23.66</v>
      </c>
      <c r="G2190" s="42">
        <v>23.661000000000001</v>
      </c>
      <c r="H2190" s="42">
        <v>23.661999999999999</v>
      </c>
      <c r="I2190" s="42">
        <v>23.663</v>
      </c>
      <c r="J2190" s="21">
        <v>4806</v>
      </c>
      <c r="K2190" s="1"/>
      <c r="L2190" s="1"/>
      <c r="M2190" s="1"/>
      <c r="N2190" s="1"/>
      <c r="O2190" s="1"/>
      <c r="P2190" s="365"/>
      <c r="Q2190" s="1"/>
      <c r="R2190" s="1"/>
      <c r="S2190" s="1"/>
      <c r="T2190" s="1"/>
    </row>
    <row r="2191" spans="1:20">
      <c r="A2191" s="1">
        <v>6500</v>
      </c>
      <c r="B2191" s="42">
        <v>23.381</v>
      </c>
      <c r="C2191" s="42">
        <v>23.382999999999999</v>
      </c>
      <c r="D2191" s="42">
        <v>23.382999999999999</v>
      </c>
      <c r="E2191" s="42">
        <v>23.384</v>
      </c>
      <c r="F2191" s="42">
        <v>23.385000000000002</v>
      </c>
      <c r="G2191" s="42">
        <v>23.385000000000002</v>
      </c>
      <c r="H2191" s="42">
        <v>23.385999999999999</v>
      </c>
      <c r="I2191" s="42">
        <v>23.388000000000002</v>
      </c>
      <c r="J2191" s="21">
        <v>4756</v>
      </c>
      <c r="K2191" s="1"/>
      <c r="L2191" s="1"/>
      <c r="M2191" s="1"/>
      <c r="N2191" s="1"/>
      <c r="O2191" s="1"/>
      <c r="P2191" s="365"/>
      <c r="Q2191" s="1"/>
      <c r="R2191" s="1"/>
      <c r="S2191" s="1"/>
      <c r="T2191" s="1"/>
    </row>
    <row r="2192" spans="1:20">
      <c r="A2192" s="1">
        <v>6550</v>
      </c>
      <c r="B2192" s="42">
        <v>23.106000000000002</v>
      </c>
      <c r="C2192" s="42">
        <v>23.108000000000001</v>
      </c>
      <c r="D2192" s="42">
        <v>23.108000000000001</v>
      </c>
      <c r="E2192" s="42">
        <v>23.109000000000002</v>
      </c>
      <c r="F2192" s="42">
        <v>23.109000000000002</v>
      </c>
      <c r="G2192" s="42">
        <v>23.11</v>
      </c>
      <c r="H2192" s="42">
        <v>23.111000000000001</v>
      </c>
      <c r="I2192" s="42">
        <v>23.111999999999998</v>
      </c>
      <c r="J2192" s="21">
        <v>4706</v>
      </c>
      <c r="K2192" s="1"/>
      <c r="L2192" s="1"/>
      <c r="M2192" s="1"/>
      <c r="N2192" s="1"/>
      <c r="O2192" s="1"/>
      <c r="P2192" s="365"/>
      <c r="Q2192" s="1"/>
      <c r="R2192" s="1"/>
      <c r="S2192" s="1"/>
      <c r="T2192" s="1"/>
    </row>
    <row r="2193" spans="1:20">
      <c r="A2193" s="1">
        <v>6600</v>
      </c>
      <c r="B2193" s="42">
        <v>22.832000000000001</v>
      </c>
      <c r="C2193" s="42">
        <v>22.832999999999998</v>
      </c>
      <c r="D2193" s="42">
        <v>22.834</v>
      </c>
      <c r="E2193" s="42">
        <v>22.834</v>
      </c>
      <c r="F2193" s="42">
        <v>22.835000000000001</v>
      </c>
      <c r="G2193" s="42">
        <v>22.835999999999999</v>
      </c>
      <c r="H2193" s="42">
        <v>22.837</v>
      </c>
      <c r="I2193" s="42">
        <v>22.838000000000001</v>
      </c>
      <c r="J2193" s="21">
        <v>4656</v>
      </c>
      <c r="K2193" s="1"/>
      <c r="L2193" s="1"/>
      <c r="M2193" s="1"/>
      <c r="N2193" s="1"/>
      <c r="O2193" s="1"/>
      <c r="P2193" s="365"/>
      <c r="Q2193" s="1"/>
      <c r="R2193" s="1"/>
      <c r="S2193" s="1"/>
      <c r="T2193" s="1"/>
    </row>
    <row r="2194" spans="1:20">
      <c r="A2194" s="1">
        <v>6650</v>
      </c>
      <c r="B2194" s="42">
        <v>22.558</v>
      </c>
      <c r="C2194" s="42">
        <v>22.559000000000001</v>
      </c>
      <c r="D2194" s="42">
        <v>22.56</v>
      </c>
      <c r="E2194" s="42">
        <v>22.561</v>
      </c>
      <c r="F2194" s="42">
        <v>22.561</v>
      </c>
      <c r="G2194" s="42">
        <v>22.562000000000001</v>
      </c>
      <c r="H2194" s="42">
        <v>22.562999999999999</v>
      </c>
      <c r="I2194" s="42">
        <v>22.564</v>
      </c>
      <c r="J2194" s="21">
        <v>4606</v>
      </c>
      <c r="K2194" s="1"/>
      <c r="L2194" s="1"/>
      <c r="M2194" s="1"/>
      <c r="N2194" s="1"/>
      <c r="O2194" s="1"/>
      <c r="P2194" s="365"/>
      <c r="Q2194" s="1"/>
      <c r="R2194" s="1"/>
      <c r="S2194" s="1"/>
      <c r="T2194" s="1"/>
    </row>
    <row r="2195" spans="1:20">
      <c r="A2195" s="1">
        <v>6700</v>
      </c>
      <c r="B2195" s="42">
        <v>22.285</v>
      </c>
      <c r="C2195" s="42">
        <v>22.286000000000001</v>
      </c>
      <c r="D2195" s="42">
        <v>22.286999999999999</v>
      </c>
      <c r="E2195" s="42">
        <v>22.288</v>
      </c>
      <c r="F2195" s="42">
        <v>22.288</v>
      </c>
      <c r="G2195" s="42">
        <v>22.289000000000001</v>
      </c>
      <c r="H2195" s="42">
        <v>22.29</v>
      </c>
      <c r="I2195" s="42">
        <v>22.291</v>
      </c>
      <c r="J2195" s="21">
        <v>4556</v>
      </c>
      <c r="K2195" s="1"/>
      <c r="L2195" s="1"/>
      <c r="M2195" s="1"/>
      <c r="N2195" s="1"/>
      <c r="O2195" s="1"/>
      <c r="P2195" s="365"/>
      <c r="Q2195" s="1"/>
      <c r="R2195" s="1"/>
      <c r="S2195" s="1"/>
      <c r="T2195" s="1"/>
    </row>
    <row r="2196" spans="1:20">
      <c r="A2196" s="1">
        <v>6750</v>
      </c>
      <c r="B2196" s="42">
        <v>22.013000000000002</v>
      </c>
      <c r="C2196" s="42">
        <v>22.013999999999999</v>
      </c>
      <c r="D2196" s="42">
        <v>22.013999999999999</v>
      </c>
      <c r="E2196" s="42">
        <v>22.015000000000001</v>
      </c>
      <c r="F2196" s="42">
        <v>22.015999999999998</v>
      </c>
      <c r="G2196" s="42">
        <v>22.015999999999998</v>
      </c>
      <c r="H2196" s="42">
        <v>22.018000000000001</v>
      </c>
      <c r="I2196" s="42">
        <v>22.018999999999998</v>
      </c>
      <c r="J2196" s="21">
        <v>4506</v>
      </c>
      <c r="K2196" s="1"/>
      <c r="L2196" s="1"/>
      <c r="M2196" s="1"/>
      <c r="N2196" s="1"/>
      <c r="O2196" s="1"/>
      <c r="P2196" s="365"/>
      <c r="Q2196" s="1"/>
      <c r="R2196" s="1"/>
      <c r="S2196" s="1"/>
      <c r="T2196" s="1"/>
    </row>
    <row r="2197" spans="1:20">
      <c r="A2197" s="1">
        <v>6800</v>
      </c>
      <c r="B2197" s="42">
        <v>21.741</v>
      </c>
      <c r="C2197" s="42">
        <v>21.742000000000001</v>
      </c>
      <c r="D2197" s="42">
        <v>21.742999999999999</v>
      </c>
      <c r="E2197" s="42">
        <v>21.742999999999999</v>
      </c>
      <c r="F2197" s="42">
        <v>21.744</v>
      </c>
      <c r="G2197" s="42">
        <v>21.745000000000001</v>
      </c>
      <c r="H2197" s="42">
        <v>21.745999999999999</v>
      </c>
      <c r="I2197" s="42">
        <v>21.747</v>
      </c>
      <c r="J2197" s="21">
        <v>4456</v>
      </c>
      <c r="K2197" s="1"/>
      <c r="L2197" s="1"/>
      <c r="M2197" s="1"/>
      <c r="N2197" s="1"/>
      <c r="O2197" s="1"/>
      <c r="P2197" s="365"/>
      <c r="Q2197" s="1"/>
      <c r="R2197" s="1"/>
      <c r="S2197" s="1"/>
      <c r="T2197" s="1"/>
    </row>
    <row r="2198" spans="1:20">
      <c r="A2198" s="1">
        <v>6850</v>
      </c>
      <c r="B2198" s="42">
        <v>21.47</v>
      </c>
      <c r="C2198" s="42">
        <v>21.471</v>
      </c>
      <c r="D2198" s="42">
        <v>21.472000000000001</v>
      </c>
      <c r="E2198" s="42">
        <v>21.472000000000001</v>
      </c>
      <c r="F2198" s="42">
        <v>21.472999999999999</v>
      </c>
      <c r="G2198" s="42">
        <v>21.472999999999999</v>
      </c>
      <c r="H2198" s="42">
        <v>21.475000000000001</v>
      </c>
      <c r="I2198" s="42">
        <v>21.475999999999999</v>
      </c>
      <c r="J2198" s="21">
        <v>4406</v>
      </c>
      <c r="K2198" s="1"/>
      <c r="L2198" s="1"/>
      <c r="M2198" s="1"/>
      <c r="N2198" s="1"/>
      <c r="O2198" s="1"/>
      <c r="P2198" s="365"/>
      <c r="Q2198" s="1"/>
      <c r="R2198" s="1"/>
      <c r="S2198" s="1"/>
      <c r="T2198" s="1"/>
    </row>
    <row r="2199" spans="1:20">
      <c r="A2199" s="1">
        <v>6900</v>
      </c>
      <c r="B2199" s="42">
        <v>21.199000000000002</v>
      </c>
      <c r="C2199" s="42">
        <v>21.201000000000001</v>
      </c>
      <c r="D2199" s="42">
        <v>21.201000000000001</v>
      </c>
      <c r="E2199" s="42">
        <v>21.202000000000002</v>
      </c>
      <c r="F2199" s="42">
        <v>21.202000000000002</v>
      </c>
      <c r="G2199" s="42">
        <v>21.202999999999999</v>
      </c>
      <c r="H2199" s="42">
        <v>21.204000000000001</v>
      </c>
      <c r="I2199" s="42">
        <v>21.204999999999998</v>
      </c>
      <c r="J2199" s="21">
        <v>4356</v>
      </c>
      <c r="K2199" s="1"/>
      <c r="L2199" s="1"/>
      <c r="M2199" s="1"/>
      <c r="N2199" s="1"/>
      <c r="O2199" s="1"/>
      <c r="P2199" s="365"/>
      <c r="Q2199" s="1"/>
      <c r="R2199" s="1"/>
      <c r="S2199" s="1"/>
      <c r="T2199" s="1"/>
    </row>
    <row r="2200" spans="1:20">
      <c r="A2200" s="1">
        <v>6950</v>
      </c>
      <c r="B2200" s="42">
        <v>20.93</v>
      </c>
      <c r="C2200" s="42">
        <v>20.931000000000001</v>
      </c>
      <c r="D2200" s="42">
        <v>20.931000000000001</v>
      </c>
      <c r="E2200" s="42">
        <v>20.931999999999999</v>
      </c>
      <c r="F2200" s="42">
        <v>20.933</v>
      </c>
      <c r="G2200" s="42">
        <v>20.933</v>
      </c>
      <c r="H2200" s="42">
        <v>20.934000000000001</v>
      </c>
      <c r="I2200" s="42">
        <v>20.936</v>
      </c>
      <c r="J2200" s="21">
        <v>4306</v>
      </c>
      <c r="K2200" s="1"/>
      <c r="L2200" s="1"/>
      <c r="M2200" s="1"/>
      <c r="N2200" s="1"/>
      <c r="O2200" s="1"/>
      <c r="P2200" s="365"/>
      <c r="Q2200" s="1"/>
      <c r="R2200" s="1"/>
      <c r="S2200" s="1"/>
      <c r="T2200" s="1"/>
    </row>
    <row r="2201" spans="1:20">
      <c r="A2201" s="1">
        <v>7000</v>
      </c>
      <c r="B2201" s="42">
        <v>20.661000000000001</v>
      </c>
      <c r="C2201" s="42">
        <v>20.661999999999999</v>
      </c>
      <c r="D2201" s="42">
        <v>20.661999999999999</v>
      </c>
      <c r="E2201" s="42">
        <v>20.663</v>
      </c>
      <c r="F2201" s="42">
        <v>20.664000000000001</v>
      </c>
      <c r="G2201" s="42">
        <v>20.664000000000001</v>
      </c>
      <c r="H2201" s="42">
        <v>20.664999999999999</v>
      </c>
      <c r="I2201" s="42">
        <v>20.667000000000002</v>
      </c>
      <c r="J2201" s="21">
        <v>4256</v>
      </c>
      <c r="K2201" s="1"/>
      <c r="L2201" s="1"/>
      <c r="M2201" s="1"/>
      <c r="N2201" s="1"/>
      <c r="O2201" s="1"/>
      <c r="P2201" s="365"/>
      <c r="Q2201" s="1"/>
      <c r="R2201" s="1"/>
      <c r="S2201" s="1"/>
      <c r="T2201" s="1"/>
    </row>
    <row r="2202" spans="1:20">
      <c r="A2202" s="1">
        <v>7050</v>
      </c>
      <c r="B2202" s="42">
        <v>20.391999999999999</v>
      </c>
      <c r="C2202" s="42">
        <v>20.393000000000001</v>
      </c>
      <c r="D2202" s="42">
        <v>20.393999999999998</v>
      </c>
      <c r="E2202" s="42">
        <v>20.395</v>
      </c>
      <c r="F2202" s="42">
        <v>20.395</v>
      </c>
      <c r="G2202" s="42">
        <v>20.396000000000001</v>
      </c>
      <c r="H2202" s="42">
        <v>20.396999999999998</v>
      </c>
      <c r="I2202" s="42">
        <v>20.398</v>
      </c>
      <c r="J2202" s="21">
        <v>4206</v>
      </c>
      <c r="K2202" s="1"/>
      <c r="L2202" s="1"/>
      <c r="M2202" s="1"/>
      <c r="N2202" s="1"/>
      <c r="O2202" s="1"/>
      <c r="P2202" s="365"/>
      <c r="Q2202" s="1"/>
      <c r="R2202" s="1"/>
      <c r="S2202" s="1"/>
      <c r="T2202" s="1"/>
    </row>
    <row r="2203" spans="1:20">
      <c r="A2203" s="1">
        <v>7100</v>
      </c>
      <c r="B2203" s="42">
        <v>20.123999999999999</v>
      </c>
      <c r="C2203" s="42">
        <v>20.126000000000001</v>
      </c>
      <c r="D2203" s="42">
        <v>20.126000000000001</v>
      </c>
      <c r="E2203" s="42">
        <v>20.126999999999999</v>
      </c>
      <c r="F2203" s="42">
        <v>20.126999999999999</v>
      </c>
      <c r="G2203" s="42">
        <v>20.128</v>
      </c>
      <c r="H2203" s="42">
        <v>20.129000000000001</v>
      </c>
      <c r="I2203" s="42">
        <v>20.13</v>
      </c>
      <c r="J2203" s="21">
        <v>4156</v>
      </c>
      <c r="K2203" s="1"/>
      <c r="L2203" s="1"/>
      <c r="M2203" s="1"/>
      <c r="N2203" s="1"/>
      <c r="O2203" s="1"/>
      <c r="P2203" s="365"/>
      <c r="Q2203" s="1"/>
      <c r="R2203" s="1"/>
      <c r="S2203" s="1"/>
      <c r="T2203" s="1"/>
    </row>
    <row r="2204" spans="1:20">
      <c r="A2204" s="1">
        <v>7150</v>
      </c>
      <c r="B2204" s="42">
        <v>19.856999999999999</v>
      </c>
      <c r="C2204" s="42">
        <v>19.859000000000002</v>
      </c>
      <c r="D2204" s="42">
        <v>19.859000000000002</v>
      </c>
      <c r="E2204" s="42">
        <v>19.86</v>
      </c>
      <c r="F2204" s="42">
        <v>19.86</v>
      </c>
      <c r="G2204" s="42">
        <v>19.861000000000001</v>
      </c>
      <c r="H2204" s="42">
        <v>19.861999999999998</v>
      </c>
      <c r="I2204" s="42">
        <v>19.863</v>
      </c>
      <c r="J2204" s="21">
        <v>4106</v>
      </c>
      <c r="K2204" s="1"/>
      <c r="L2204" s="1"/>
      <c r="M2204" s="1"/>
      <c r="N2204" s="1"/>
      <c r="O2204" s="1"/>
      <c r="P2204" s="365"/>
      <c r="Q2204" s="1"/>
      <c r="R2204" s="1"/>
      <c r="S2204" s="1"/>
      <c r="T2204" s="1"/>
    </row>
    <row r="2205" spans="1:20">
      <c r="A2205" s="1">
        <v>7200</v>
      </c>
      <c r="B2205" s="42">
        <v>19.591000000000001</v>
      </c>
      <c r="C2205" s="42">
        <v>19.591999999999999</v>
      </c>
      <c r="D2205" s="42">
        <v>19.593</v>
      </c>
      <c r="E2205" s="42">
        <v>19.593</v>
      </c>
      <c r="F2205" s="42">
        <v>19.594000000000001</v>
      </c>
      <c r="G2205" s="42">
        <v>19.594999999999999</v>
      </c>
      <c r="H2205" s="42">
        <v>19.596</v>
      </c>
      <c r="I2205" s="42">
        <v>19.597000000000001</v>
      </c>
      <c r="J2205" s="21">
        <v>4056</v>
      </c>
      <c r="K2205" s="1"/>
      <c r="L2205" s="1"/>
      <c r="M2205" s="1"/>
      <c r="N2205" s="1"/>
      <c r="O2205" s="1"/>
      <c r="P2205" s="365"/>
      <c r="Q2205" s="1"/>
      <c r="R2205" s="1"/>
      <c r="S2205" s="1"/>
      <c r="T2205" s="1"/>
    </row>
    <row r="2206" spans="1:20">
      <c r="A2206" s="1">
        <v>7250</v>
      </c>
      <c r="B2206" s="42">
        <v>19.324999999999999</v>
      </c>
      <c r="C2206" s="42">
        <v>19.327000000000002</v>
      </c>
      <c r="D2206" s="42">
        <v>19.327000000000002</v>
      </c>
      <c r="E2206" s="42">
        <v>19.327999999999999</v>
      </c>
      <c r="F2206" s="42">
        <v>19.327999999999999</v>
      </c>
      <c r="G2206" s="42">
        <v>19.329000000000001</v>
      </c>
      <c r="H2206" s="42">
        <v>19.329999999999998</v>
      </c>
      <c r="I2206" s="42">
        <v>19.331</v>
      </c>
      <c r="J2206" s="21">
        <v>4006</v>
      </c>
      <c r="K2206" s="1"/>
      <c r="L2206" s="1"/>
      <c r="M2206" s="1"/>
      <c r="N2206" s="1"/>
      <c r="O2206" s="1"/>
      <c r="P2206" s="365"/>
      <c r="Q2206" s="1"/>
      <c r="R2206" s="1"/>
      <c r="S2206" s="1"/>
      <c r="T2206" s="1"/>
    </row>
    <row r="2207" spans="1:20">
      <c r="A2207" s="1">
        <v>7300</v>
      </c>
      <c r="B2207" s="42">
        <v>19.059999999999999</v>
      </c>
      <c r="C2207" s="42">
        <v>19.061</v>
      </c>
      <c r="D2207" s="42">
        <v>19.062000000000001</v>
      </c>
      <c r="E2207" s="42">
        <v>19.062999999999999</v>
      </c>
      <c r="F2207" s="42">
        <v>19.062999999999999</v>
      </c>
      <c r="G2207" s="42">
        <v>19.064</v>
      </c>
      <c r="H2207" s="42">
        <v>19.065000000000001</v>
      </c>
      <c r="I2207" s="42">
        <v>19.065999999999999</v>
      </c>
      <c r="J2207" s="21">
        <v>3956</v>
      </c>
      <c r="K2207" s="1"/>
      <c r="L2207" s="1"/>
      <c r="M2207" s="1"/>
      <c r="N2207" s="1"/>
      <c r="O2207" s="1"/>
      <c r="P2207" s="365"/>
      <c r="Q2207" s="1"/>
      <c r="R2207" s="1"/>
      <c r="S2207" s="1"/>
      <c r="T2207" s="1"/>
    </row>
    <row r="2208" spans="1:20">
      <c r="A2208" s="1">
        <v>7350</v>
      </c>
      <c r="B2208" s="42">
        <v>18.795999999999999</v>
      </c>
      <c r="C2208" s="42">
        <v>18.797000000000001</v>
      </c>
      <c r="D2208" s="42">
        <v>18.797999999999998</v>
      </c>
      <c r="E2208" s="42">
        <v>18.797999999999998</v>
      </c>
      <c r="F2208" s="42">
        <v>18.798999999999999</v>
      </c>
      <c r="G2208" s="42">
        <v>18.798999999999999</v>
      </c>
      <c r="H2208" s="42">
        <v>18.800999999999998</v>
      </c>
      <c r="I2208" s="42">
        <v>18.802</v>
      </c>
      <c r="J2208" s="21">
        <v>3906</v>
      </c>
      <c r="K2208" s="1"/>
      <c r="L2208" s="1"/>
      <c r="M2208" s="1"/>
      <c r="N2208" s="1"/>
      <c r="O2208" s="1"/>
      <c r="P2208" s="365"/>
      <c r="Q2208" s="1"/>
      <c r="R2208" s="1"/>
      <c r="S2208" s="1"/>
      <c r="T2208" s="1"/>
    </row>
    <row r="2209" spans="1:20">
      <c r="A2209" s="1">
        <v>7400</v>
      </c>
      <c r="B2209" s="42">
        <v>18.532</v>
      </c>
      <c r="C2209" s="42">
        <v>18.533000000000001</v>
      </c>
      <c r="D2209" s="42">
        <v>18.533999999999999</v>
      </c>
      <c r="E2209" s="42">
        <v>18.533999999999999</v>
      </c>
      <c r="F2209" s="42">
        <v>18.535</v>
      </c>
      <c r="G2209" s="42">
        <v>18.536000000000001</v>
      </c>
      <c r="H2209" s="42">
        <v>18.536999999999999</v>
      </c>
      <c r="I2209" s="42">
        <v>18.538</v>
      </c>
      <c r="J2209" s="21">
        <v>3856</v>
      </c>
      <c r="K2209" s="1"/>
      <c r="L2209" s="1"/>
      <c r="M2209" s="1"/>
      <c r="N2209" s="1"/>
      <c r="O2209" s="1"/>
      <c r="P2209" s="365"/>
      <c r="Q2209" s="1"/>
      <c r="R2209" s="1"/>
      <c r="S2209" s="1"/>
      <c r="T2209" s="1"/>
    </row>
    <row r="2210" spans="1:20">
      <c r="A2210" s="1">
        <v>7450</v>
      </c>
      <c r="B2210" s="42">
        <v>18.268999999999998</v>
      </c>
      <c r="C2210" s="42">
        <v>18.27</v>
      </c>
      <c r="D2210" s="42">
        <v>18.271000000000001</v>
      </c>
      <c r="E2210" s="42">
        <v>18.271000000000001</v>
      </c>
      <c r="F2210" s="42">
        <v>18.271999999999998</v>
      </c>
      <c r="G2210" s="42">
        <v>18.273</v>
      </c>
      <c r="H2210" s="42">
        <v>18.274000000000001</v>
      </c>
      <c r="I2210" s="42">
        <v>18.274999999999999</v>
      </c>
      <c r="J2210" s="21">
        <v>3806</v>
      </c>
      <c r="K2210" s="1"/>
      <c r="L2210" s="1"/>
      <c r="M2210" s="1"/>
      <c r="N2210" s="1"/>
      <c r="O2210" s="1"/>
      <c r="P2210" s="365"/>
      <c r="Q2210" s="1"/>
      <c r="R2210" s="1"/>
      <c r="S2210" s="1"/>
      <c r="T2210" s="1"/>
    </row>
    <row r="2211" spans="1:20">
      <c r="A2211" s="1">
        <v>7500</v>
      </c>
      <c r="B2211" s="42">
        <v>18.007000000000001</v>
      </c>
      <c r="C2211" s="42">
        <v>18.007999999999999</v>
      </c>
      <c r="D2211" s="42">
        <v>18.007999999999999</v>
      </c>
      <c r="E2211" s="42">
        <v>18.009</v>
      </c>
      <c r="F2211" s="42">
        <v>18.010000000000002</v>
      </c>
      <c r="G2211" s="42">
        <v>18.010000000000002</v>
      </c>
      <c r="H2211" s="42">
        <v>18.010999999999999</v>
      </c>
      <c r="I2211" s="42">
        <v>18.013000000000002</v>
      </c>
      <c r="J2211" s="21">
        <v>3756</v>
      </c>
      <c r="K2211" s="1"/>
      <c r="L2211" s="1"/>
      <c r="M2211" s="1"/>
      <c r="N2211" s="1"/>
      <c r="O2211" s="1"/>
      <c r="P2211" s="365"/>
      <c r="Q2211" s="1"/>
      <c r="R2211" s="1"/>
      <c r="S2211" s="1"/>
      <c r="T2211" s="1"/>
    </row>
    <row r="2212" spans="1:20">
      <c r="A2212" s="1">
        <v>7550</v>
      </c>
      <c r="B2212" s="42">
        <v>17.745000000000001</v>
      </c>
      <c r="C2212" s="42">
        <v>17.745999999999999</v>
      </c>
      <c r="D2212" s="42">
        <v>17.747</v>
      </c>
      <c r="E2212" s="42">
        <v>17.747</v>
      </c>
      <c r="F2212" s="42">
        <v>17.748000000000001</v>
      </c>
      <c r="G2212" s="42">
        <v>17.748999999999999</v>
      </c>
      <c r="H2212" s="42">
        <v>17.75</v>
      </c>
      <c r="I2212" s="42">
        <v>17.751000000000001</v>
      </c>
      <c r="J2212" s="21">
        <v>3706</v>
      </c>
      <c r="K2212" s="1"/>
      <c r="L2212" s="1"/>
      <c r="M2212" s="1"/>
      <c r="N2212" s="1"/>
      <c r="O2212" s="1"/>
      <c r="P2212" s="365"/>
      <c r="Q2212" s="1"/>
      <c r="R2212" s="1"/>
      <c r="S2212" s="1"/>
      <c r="T2212" s="1"/>
    </row>
    <row r="2213" spans="1:20">
      <c r="A2213" s="1">
        <v>7600</v>
      </c>
      <c r="B2213" s="42">
        <v>17.484000000000002</v>
      </c>
      <c r="C2213" s="42">
        <v>17.484999999999999</v>
      </c>
      <c r="D2213" s="42">
        <v>17.486000000000001</v>
      </c>
      <c r="E2213" s="42">
        <v>17.486000000000001</v>
      </c>
      <c r="F2213" s="42">
        <v>17.486999999999998</v>
      </c>
      <c r="G2213" s="42">
        <v>17.486999999999998</v>
      </c>
      <c r="H2213" s="42">
        <v>17.489000000000001</v>
      </c>
      <c r="I2213" s="42">
        <v>17.489999999999998</v>
      </c>
      <c r="J2213" s="21">
        <v>3656</v>
      </c>
      <c r="K2213" s="1"/>
      <c r="L2213" s="1"/>
      <c r="M2213" s="1"/>
      <c r="N2213" s="1"/>
      <c r="O2213" s="1"/>
      <c r="P2213" s="365"/>
      <c r="Q2213" s="1"/>
      <c r="R2213" s="1"/>
      <c r="S2213" s="1"/>
      <c r="T2213" s="1"/>
    </row>
    <row r="2214" spans="1:20">
      <c r="A2214" s="1">
        <v>7650</v>
      </c>
      <c r="B2214" s="42">
        <v>17.224</v>
      </c>
      <c r="C2214" s="42">
        <v>17.225000000000001</v>
      </c>
      <c r="D2214" s="42">
        <v>17.225000000000001</v>
      </c>
      <c r="E2214" s="42">
        <v>17.225999999999999</v>
      </c>
      <c r="F2214" s="42">
        <v>17.227</v>
      </c>
      <c r="G2214" s="42">
        <v>17.227</v>
      </c>
      <c r="H2214" s="42">
        <v>17.228000000000002</v>
      </c>
      <c r="I2214" s="42">
        <v>17.228999999999999</v>
      </c>
      <c r="J2214" s="21">
        <v>3606</v>
      </c>
      <c r="K2214" s="1"/>
      <c r="L2214" s="1"/>
      <c r="M2214" s="1"/>
      <c r="N2214" s="1"/>
      <c r="O2214" s="1"/>
      <c r="P2214" s="365"/>
      <c r="Q2214" s="1"/>
      <c r="R2214" s="1"/>
      <c r="S2214" s="1"/>
      <c r="T2214" s="1"/>
    </row>
    <row r="2215" spans="1:20">
      <c r="A2215" s="1">
        <v>7700</v>
      </c>
      <c r="B2215" s="42">
        <v>16.963999999999999</v>
      </c>
      <c r="C2215" s="42">
        <v>16.965</v>
      </c>
      <c r="D2215" s="42">
        <v>16.966000000000001</v>
      </c>
      <c r="E2215" s="42">
        <v>16.966000000000001</v>
      </c>
      <c r="F2215" s="42">
        <v>16.966999999999999</v>
      </c>
      <c r="G2215" s="42">
        <v>16.966999999999999</v>
      </c>
      <c r="H2215" s="42">
        <v>16.969000000000001</v>
      </c>
      <c r="I2215" s="42">
        <v>16.97</v>
      </c>
      <c r="J2215" s="21">
        <v>3556</v>
      </c>
      <c r="K2215" s="1"/>
      <c r="L2215" s="1"/>
      <c r="M2215" s="1"/>
      <c r="N2215" s="1"/>
      <c r="O2215" s="1"/>
      <c r="P2215" s="365"/>
      <c r="Q2215" s="1"/>
      <c r="R2215" s="1"/>
      <c r="S2215" s="1"/>
      <c r="T2215" s="1"/>
    </row>
    <row r="2216" spans="1:20">
      <c r="A2216" s="1">
        <v>7750</v>
      </c>
      <c r="B2216" s="42">
        <v>16.704999999999998</v>
      </c>
      <c r="C2216" s="42">
        <v>16.706</v>
      </c>
      <c r="D2216" s="42">
        <v>16.707000000000001</v>
      </c>
      <c r="E2216" s="42">
        <v>16.707000000000001</v>
      </c>
      <c r="F2216" s="42">
        <v>16.707999999999998</v>
      </c>
      <c r="G2216" s="42">
        <v>16.707999999999998</v>
      </c>
      <c r="H2216" s="42">
        <v>16.71</v>
      </c>
      <c r="I2216" s="42">
        <v>16.710999999999999</v>
      </c>
      <c r="J2216" s="21">
        <v>3506</v>
      </c>
      <c r="K2216" s="1"/>
      <c r="L2216" s="1"/>
      <c r="M2216" s="1"/>
      <c r="N2216" s="1"/>
      <c r="O2216" s="1"/>
      <c r="P2216" s="365"/>
      <c r="Q2216" s="1"/>
      <c r="R2216" s="1"/>
      <c r="S2216" s="1"/>
      <c r="T2216" s="1"/>
    </row>
    <row r="2217" spans="1:20">
      <c r="A2217" s="1">
        <v>7800</v>
      </c>
      <c r="B2217" s="42">
        <v>16.446999999999999</v>
      </c>
      <c r="C2217" s="42">
        <v>16.448</v>
      </c>
      <c r="D2217" s="42">
        <v>16.448</v>
      </c>
      <c r="E2217" s="42">
        <v>16.449000000000002</v>
      </c>
      <c r="F2217" s="42">
        <v>16.449000000000002</v>
      </c>
      <c r="G2217" s="42">
        <v>16.45</v>
      </c>
      <c r="H2217" s="42">
        <v>16.451000000000001</v>
      </c>
      <c r="I2217" s="42">
        <v>16.452000000000002</v>
      </c>
      <c r="J2217" s="21">
        <v>3456</v>
      </c>
      <c r="K2217" s="1"/>
      <c r="L2217" s="1"/>
      <c r="M2217" s="1"/>
      <c r="N2217" s="1"/>
      <c r="O2217" s="1"/>
      <c r="P2217" s="365"/>
      <c r="Q2217" s="1"/>
      <c r="R2217" s="1"/>
      <c r="S2217" s="1"/>
      <c r="T2217" s="1"/>
    </row>
    <row r="2218" spans="1:20">
      <c r="A2218" s="1">
        <v>7850</v>
      </c>
      <c r="B2218" s="42">
        <v>16.189</v>
      </c>
      <c r="C2218" s="42">
        <v>16.190000000000001</v>
      </c>
      <c r="D2218" s="42">
        <v>16.190999999999999</v>
      </c>
      <c r="E2218" s="42">
        <v>16.190999999999999</v>
      </c>
      <c r="F2218" s="42">
        <v>16.192</v>
      </c>
      <c r="G2218" s="42">
        <v>16.192</v>
      </c>
      <c r="H2218" s="42">
        <v>16.193000000000001</v>
      </c>
      <c r="I2218" s="42">
        <v>16.195</v>
      </c>
      <c r="J2218" s="21">
        <v>3406</v>
      </c>
      <c r="K2218" s="1"/>
      <c r="L2218" s="1"/>
      <c r="M2218" s="1"/>
      <c r="N2218" s="1"/>
      <c r="O2218" s="1"/>
      <c r="P2218" s="365"/>
      <c r="Q2218" s="1"/>
      <c r="R2218" s="1"/>
      <c r="S2218" s="1"/>
      <c r="T2218" s="1"/>
    </row>
    <row r="2219" spans="1:20">
      <c r="A2219" s="1">
        <v>7900</v>
      </c>
      <c r="B2219" s="42">
        <v>15.932</v>
      </c>
      <c r="C2219" s="42">
        <v>15.933</v>
      </c>
      <c r="D2219" s="42">
        <v>15.933999999999999</v>
      </c>
      <c r="E2219" s="42">
        <v>15.933999999999999</v>
      </c>
      <c r="F2219" s="42">
        <v>15.935</v>
      </c>
      <c r="G2219" s="42">
        <v>15.935</v>
      </c>
      <c r="H2219" s="42">
        <v>15.936</v>
      </c>
      <c r="I2219" s="42">
        <v>15.938000000000001</v>
      </c>
      <c r="J2219" s="21">
        <v>3356</v>
      </c>
      <c r="K2219" s="1"/>
      <c r="L2219" s="1"/>
      <c r="M2219" s="1"/>
      <c r="N2219" s="1"/>
      <c r="O2219" s="1"/>
      <c r="P2219" s="365"/>
      <c r="Q2219" s="1"/>
      <c r="R2219" s="1"/>
      <c r="S2219" s="1"/>
      <c r="T2219" s="1"/>
    </row>
    <row r="2220" spans="1:20">
      <c r="A2220" s="1">
        <v>7950</v>
      </c>
      <c r="B2220" s="42">
        <v>15.676</v>
      </c>
      <c r="C2220" s="42">
        <v>15.677</v>
      </c>
      <c r="D2220" s="42">
        <v>15.677</v>
      </c>
      <c r="E2220" s="42">
        <v>15.678000000000001</v>
      </c>
      <c r="F2220" s="42">
        <v>15.678000000000001</v>
      </c>
      <c r="G2220" s="42">
        <v>15.679</v>
      </c>
      <c r="H2220" s="42">
        <v>15.68</v>
      </c>
      <c r="I2220" s="42">
        <v>15.680999999999999</v>
      </c>
      <c r="J2220" s="21">
        <v>3306</v>
      </c>
      <c r="K2220" s="1"/>
      <c r="L2220" s="1"/>
      <c r="M2220" s="1"/>
      <c r="N2220" s="1"/>
      <c r="O2220" s="1"/>
      <c r="P2220" s="365"/>
      <c r="Q2220" s="1"/>
      <c r="R2220" s="1"/>
      <c r="S2220" s="1"/>
      <c r="T2220" s="1"/>
    </row>
    <row r="2221" spans="1:20">
      <c r="A2221" s="1">
        <v>8000</v>
      </c>
      <c r="B2221" s="42">
        <v>15.42</v>
      </c>
      <c r="C2221" s="42">
        <v>15.420999999999999</v>
      </c>
      <c r="D2221" s="42">
        <v>15.422000000000001</v>
      </c>
      <c r="E2221" s="42">
        <v>15.422000000000001</v>
      </c>
      <c r="F2221" s="42">
        <v>15.423</v>
      </c>
      <c r="G2221" s="42">
        <v>15.423</v>
      </c>
      <c r="H2221" s="42">
        <v>15.423999999999999</v>
      </c>
      <c r="I2221" s="42">
        <v>15.426</v>
      </c>
      <c r="J2221" s="21">
        <v>3256</v>
      </c>
      <c r="K2221" s="1"/>
      <c r="L2221" s="1"/>
      <c r="M2221" s="1"/>
      <c r="N2221" s="1"/>
      <c r="O2221" s="1"/>
      <c r="P2221" s="365"/>
      <c r="Q2221" s="1"/>
      <c r="R2221" s="1"/>
      <c r="S2221" s="1"/>
      <c r="T2221" s="1"/>
    </row>
    <row r="2222" spans="1:20">
      <c r="A2222" s="1">
        <v>8050</v>
      </c>
      <c r="B2222" s="42">
        <v>15.164999999999999</v>
      </c>
      <c r="C2222" s="42">
        <v>15.166</v>
      </c>
      <c r="D2222" s="42">
        <v>15.167</v>
      </c>
      <c r="E2222" s="42">
        <v>15.167</v>
      </c>
      <c r="F2222" s="42">
        <v>15.167999999999999</v>
      </c>
      <c r="G2222" s="42">
        <v>15.167999999999999</v>
      </c>
      <c r="H2222" s="42">
        <v>15.169</v>
      </c>
      <c r="I2222" s="42">
        <v>15.170999999999999</v>
      </c>
      <c r="J2222" s="21">
        <v>3206</v>
      </c>
      <c r="K2222" s="1"/>
      <c r="L2222" s="1"/>
      <c r="M2222" s="1"/>
      <c r="N2222" s="1"/>
      <c r="O2222" s="1"/>
      <c r="P2222" s="365"/>
      <c r="Q2222" s="1"/>
      <c r="R2222" s="1"/>
      <c r="S2222" s="1"/>
      <c r="T2222" s="1"/>
    </row>
    <row r="2223" spans="1:20">
      <c r="A2223" s="1">
        <v>8100</v>
      </c>
      <c r="B2223" s="42">
        <v>14.911</v>
      </c>
      <c r="C2223" s="42">
        <v>14.912000000000001</v>
      </c>
      <c r="D2223" s="42">
        <v>14.912000000000001</v>
      </c>
      <c r="E2223" s="42">
        <v>14.913</v>
      </c>
      <c r="F2223" s="42">
        <v>14.913</v>
      </c>
      <c r="G2223" s="42">
        <v>14.914</v>
      </c>
      <c r="H2223" s="42">
        <v>14.914999999999999</v>
      </c>
      <c r="I2223" s="42">
        <v>14.916</v>
      </c>
      <c r="J2223" s="21">
        <v>3156</v>
      </c>
      <c r="K2223" s="1"/>
      <c r="L2223" s="1"/>
      <c r="M2223" s="1"/>
      <c r="N2223" s="1"/>
      <c r="O2223" s="1"/>
      <c r="P2223" s="365"/>
      <c r="Q2223" s="1"/>
      <c r="R2223" s="1"/>
      <c r="S2223" s="1"/>
      <c r="T2223" s="1"/>
    </row>
    <row r="2224" spans="1:20">
      <c r="A2224" s="1">
        <v>8150</v>
      </c>
      <c r="B2224" s="42">
        <v>14.657</v>
      </c>
      <c r="C2224" s="42">
        <v>14.657999999999999</v>
      </c>
      <c r="D2224" s="42">
        <v>14.659000000000001</v>
      </c>
      <c r="E2224" s="42">
        <v>14.659000000000001</v>
      </c>
      <c r="F2224" s="42">
        <v>14.66</v>
      </c>
      <c r="G2224" s="42">
        <v>14.66</v>
      </c>
      <c r="H2224" s="42">
        <v>14.661</v>
      </c>
      <c r="I2224" s="42">
        <v>14.662000000000001</v>
      </c>
      <c r="J2224" s="21">
        <v>3106</v>
      </c>
      <c r="K2224" s="1"/>
      <c r="L2224" s="1"/>
      <c r="M2224" s="1"/>
      <c r="N2224" s="1"/>
      <c r="O2224" s="1"/>
      <c r="P2224" s="365"/>
      <c r="Q2224" s="1"/>
      <c r="R2224" s="1"/>
      <c r="S2224" s="1"/>
      <c r="T2224" s="1"/>
    </row>
    <row r="2225" spans="1:20">
      <c r="A2225" s="1">
        <v>8200</v>
      </c>
      <c r="B2225" s="42">
        <v>14.404</v>
      </c>
      <c r="C2225" s="42">
        <v>14.404999999999999</v>
      </c>
      <c r="D2225" s="42">
        <v>14.406000000000001</v>
      </c>
      <c r="E2225" s="42">
        <v>14.406000000000001</v>
      </c>
      <c r="F2225" s="42">
        <v>14.407</v>
      </c>
      <c r="G2225" s="42">
        <v>14.407</v>
      </c>
      <c r="H2225" s="42">
        <v>14.407999999999999</v>
      </c>
      <c r="I2225" s="42">
        <v>14.409000000000001</v>
      </c>
      <c r="J2225" s="21">
        <v>3056</v>
      </c>
      <c r="K2225" s="1"/>
      <c r="L2225" s="1"/>
      <c r="M2225" s="1"/>
      <c r="N2225" s="1"/>
      <c r="O2225" s="1"/>
      <c r="P2225" s="365"/>
      <c r="Q2225" s="1"/>
      <c r="R2225" s="1"/>
      <c r="S2225" s="1"/>
      <c r="T2225" s="1"/>
    </row>
    <row r="2226" spans="1:20">
      <c r="A2226" s="1">
        <v>8250</v>
      </c>
      <c r="B2226" s="42">
        <v>14.151999999999999</v>
      </c>
      <c r="C2226" s="42">
        <v>14.153</v>
      </c>
      <c r="D2226" s="42">
        <v>14.153</v>
      </c>
      <c r="E2226" s="42">
        <v>14.154</v>
      </c>
      <c r="F2226" s="42">
        <v>14.154</v>
      </c>
      <c r="G2226" s="42">
        <v>14.154999999999999</v>
      </c>
      <c r="H2226" s="42">
        <v>14.156000000000001</v>
      </c>
      <c r="I2226" s="42">
        <v>14.157</v>
      </c>
      <c r="J2226" s="21">
        <v>3006</v>
      </c>
      <c r="K2226" s="1"/>
      <c r="L2226" s="1"/>
      <c r="M2226" s="1"/>
      <c r="N2226" s="1"/>
      <c r="O2226" s="1"/>
      <c r="P2226" s="365"/>
      <c r="Q2226" s="1"/>
      <c r="R2226" s="1"/>
      <c r="S2226" s="1"/>
      <c r="T2226" s="1"/>
    </row>
    <row r="2227" spans="1:20">
      <c r="A2227" s="1">
        <v>8300</v>
      </c>
      <c r="B2227" s="42">
        <v>13.9</v>
      </c>
      <c r="C2227" s="42">
        <v>13.901</v>
      </c>
      <c r="D2227" s="42">
        <v>13.901999999999999</v>
      </c>
      <c r="E2227" s="42">
        <v>13.901999999999999</v>
      </c>
      <c r="F2227" s="42">
        <v>13.903</v>
      </c>
      <c r="G2227" s="42">
        <v>13.903</v>
      </c>
      <c r="H2227" s="42">
        <v>13.904</v>
      </c>
      <c r="I2227" s="42">
        <v>13.904999999999999</v>
      </c>
      <c r="J2227" s="21">
        <v>2956</v>
      </c>
      <c r="K2227" s="1"/>
      <c r="L2227" s="1"/>
      <c r="M2227" s="1"/>
      <c r="N2227" s="1"/>
      <c r="O2227" s="1"/>
      <c r="P2227" s="365"/>
      <c r="Q2227" s="1"/>
      <c r="R2227" s="1"/>
      <c r="S2227" s="1"/>
      <c r="T2227" s="1"/>
    </row>
    <row r="2228" spans="1:20">
      <c r="A2228" s="1">
        <v>8350</v>
      </c>
      <c r="B2228" s="42">
        <v>13.648999999999999</v>
      </c>
      <c r="C2228" s="42">
        <v>13.65</v>
      </c>
      <c r="D2228" s="42">
        <v>13.651</v>
      </c>
      <c r="E2228" s="42">
        <v>13.651</v>
      </c>
      <c r="F2228" s="42">
        <v>13.651999999999999</v>
      </c>
      <c r="G2228" s="42">
        <v>13.651999999999999</v>
      </c>
      <c r="H2228" s="42">
        <v>13.653</v>
      </c>
      <c r="I2228" s="42">
        <v>13.654</v>
      </c>
      <c r="J2228" s="21">
        <v>2906</v>
      </c>
      <c r="K2228" s="1"/>
      <c r="L2228" s="1"/>
      <c r="M2228" s="1"/>
      <c r="N2228" s="1"/>
      <c r="O2228" s="1"/>
      <c r="P2228" s="365"/>
      <c r="Q2228" s="1"/>
      <c r="R2228" s="1"/>
      <c r="S2228" s="1"/>
      <c r="T2228" s="1"/>
    </row>
    <row r="2229" spans="1:20">
      <c r="A2229" s="1">
        <v>8400</v>
      </c>
      <c r="B2229" s="42">
        <v>13.398999999999999</v>
      </c>
      <c r="C2229" s="42">
        <v>13.4</v>
      </c>
      <c r="D2229" s="42">
        <v>13.4</v>
      </c>
      <c r="E2229" s="42">
        <v>13.401</v>
      </c>
      <c r="F2229" s="42">
        <v>13.401</v>
      </c>
      <c r="G2229" s="42">
        <v>13.401999999999999</v>
      </c>
      <c r="H2229" s="42">
        <v>13.403</v>
      </c>
      <c r="I2229" s="42">
        <v>13.404</v>
      </c>
      <c r="J2229" s="21">
        <v>2856</v>
      </c>
      <c r="K2229" s="1"/>
      <c r="L2229" s="1"/>
      <c r="M2229" s="1"/>
      <c r="N2229" s="1"/>
      <c r="O2229" s="1"/>
      <c r="P2229" s="365"/>
      <c r="Q2229" s="1"/>
      <c r="R2229" s="1"/>
      <c r="S2229" s="1"/>
      <c r="T2229" s="1"/>
    </row>
    <row r="2230" spans="1:20">
      <c r="A2230" s="1">
        <v>8450</v>
      </c>
      <c r="B2230" s="42">
        <v>13.148999999999999</v>
      </c>
      <c r="C2230" s="42">
        <v>13.15</v>
      </c>
      <c r="D2230" s="42">
        <v>13.151</v>
      </c>
      <c r="E2230" s="42">
        <v>13.151</v>
      </c>
      <c r="F2230" s="42">
        <v>13.151999999999999</v>
      </c>
      <c r="G2230" s="42">
        <v>13.151999999999999</v>
      </c>
      <c r="H2230" s="42">
        <v>13.153</v>
      </c>
      <c r="I2230" s="42">
        <v>13.154</v>
      </c>
      <c r="J2230" s="21">
        <v>2806</v>
      </c>
      <c r="K2230" s="1"/>
      <c r="L2230" s="1"/>
      <c r="M2230" s="1"/>
      <c r="N2230" s="1"/>
      <c r="O2230" s="1"/>
      <c r="P2230" s="365"/>
      <c r="Q2230" s="1"/>
      <c r="R2230" s="1"/>
      <c r="S2230" s="1"/>
      <c r="T2230" s="1"/>
    </row>
    <row r="2231" spans="1:20">
      <c r="A2231" s="1">
        <v>8500</v>
      </c>
      <c r="B2231" s="42">
        <v>12.9</v>
      </c>
      <c r="C2231" s="42">
        <v>12.901</v>
      </c>
      <c r="D2231" s="42">
        <v>12.901999999999999</v>
      </c>
      <c r="E2231" s="42">
        <v>12.901999999999999</v>
      </c>
      <c r="F2231" s="42">
        <v>12.903</v>
      </c>
      <c r="G2231" s="42">
        <v>12.903</v>
      </c>
      <c r="H2231" s="42">
        <v>12.904</v>
      </c>
      <c r="I2231" s="42">
        <v>12.904999999999999</v>
      </c>
      <c r="J2231" s="21">
        <v>2756</v>
      </c>
      <c r="K2231" s="1"/>
      <c r="L2231" s="1"/>
      <c r="M2231" s="1"/>
      <c r="N2231" s="1"/>
      <c r="O2231" s="1"/>
      <c r="P2231" s="365"/>
      <c r="Q2231" s="1"/>
      <c r="R2231" s="1"/>
      <c r="S2231" s="1"/>
      <c r="T2231" s="1"/>
    </row>
    <row r="2232" spans="1:20">
      <c r="A2232" s="1">
        <v>8550</v>
      </c>
      <c r="B2232" s="42">
        <v>12.651999999999999</v>
      </c>
      <c r="C2232" s="42">
        <v>12.653</v>
      </c>
      <c r="D2232" s="42">
        <v>12.653</v>
      </c>
      <c r="E2232" s="42">
        <v>12.654</v>
      </c>
      <c r="F2232" s="42">
        <v>12.654</v>
      </c>
      <c r="G2232" s="42">
        <v>12.654999999999999</v>
      </c>
      <c r="H2232" s="42">
        <v>12.656000000000001</v>
      </c>
      <c r="I2232" s="42">
        <v>12.657</v>
      </c>
      <c r="J2232" s="21">
        <v>2706</v>
      </c>
      <c r="K2232" s="1"/>
      <c r="L2232" s="1"/>
      <c r="M2232" s="1"/>
      <c r="N2232" s="1"/>
      <c r="O2232" s="1"/>
      <c r="P2232" s="365"/>
      <c r="Q2232" s="1"/>
      <c r="R2232" s="1"/>
      <c r="S2232" s="1"/>
      <c r="T2232" s="1"/>
    </row>
    <row r="2233" spans="1:20">
      <c r="A2233" s="1">
        <v>8600</v>
      </c>
      <c r="B2233" s="42">
        <v>12.404</v>
      </c>
      <c r="C2233" s="42">
        <v>12.404999999999999</v>
      </c>
      <c r="D2233" s="42">
        <v>12.406000000000001</v>
      </c>
      <c r="E2233" s="42">
        <v>12.406000000000001</v>
      </c>
      <c r="F2233" s="42">
        <v>12.407</v>
      </c>
      <c r="G2233" s="42">
        <v>12.407</v>
      </c>
      <c r="H2233" s="42">
        <v>12.407999999999999</v>
      </c>
      <c r="I2233" s="42">
        <v>12.41</v>
      </c>
      <c r="J2233" s="21">
        <v>2656</v>
      </c>
      <c r="K2233" s="1"/>
      <c r="L2233" s="1"/>
      <c r="M2233" s="1"/>
      <c r="N2233" s="1"/>
      <c r="O2233" s="1"/>
      <c r="P2233" s="365"/>
      <c r="Q2233" s="1"/>
      <c r="R2233" s="1"/>
      <c r="S2233" s="1"/>
      <c r="T2233" s="1"/>
    </row>
    <row r="2234" spans="1:20">
      <c r="A2234" s="1">
        <v>8650</v>
      </c>
      <c r="B2234" s="42">
        <v>12.157</v>
      </c>
      <c r="C2234" s="42">
        <v>12.157999999999999</v>
      </c>
      <c r="D2234" s="42">
        <v>12.159000000000001</v>
      </c>
      <c r="E2234" s="42">
        <v>12.159000000000001</v>
      </c>
      <c r="F2234" s="42">
        <v>12.16</v>
      </c>
      <c r="G2234" s="42">
        <v>12.16</v>
      </c>
      <c r="H2234" s="42">
        <v>12.161</v>
      </c>
      <c r="I2234" s="42">
        <v>12.163</v>
      </c>
      <c r="J2234" s="21">
        <v>2606</v>
      </c>
      <c r="K2234" s="1"/>
      <c r="L2234" s="1"/>
      <c r="M2234" s="1"/>
      <c r="N2234" s="1"/>
      <c r="O2234" s="1"/>
      <c r="P2234" s="365"/>
      <c r="Q2234" s="1"/>
      <c r="R2234" s="1"/>
      <c r="S2234" s="1"/>
      <c r="T2234" s="1"/>
    </row>
    <row r="2235" spans="1:20">
      <c r="A2235" s="1">
        <v>8700</v>
      </c>
      <c r="B2235" s="42">
        <v>11.911</v>
      </c>
      <c r="C2235" s="42">
        <v>11.912000000000001</v>
      </c>
      <c r="D2235" s="42">
        <v>11.912000000000001</v>
      </c>
      <c r="E2235" s="42">
        <v>11.913</v>
      </c>
      <c r="F2235" s="42">
        <v>11.914</v>
      </c>
      <c r="G2235" s="42">
        <v>11.914</v>
      </c>
      <c r="H2235" s="42">
        <v>11.914999999999999</v>
      </c>
      <c r="I2235" s="42">
        <v>11.916</v>
      </c>
      <c r="J2235" s="21">
        <v>2556</v>
      </c>
      <c r="K2235" s="1"/>
      <c r="L2235" s="1"/>
      <c r="M2235" s="1"/>
      <c r="N2235" s="1"/>
      <c r="O2235" s="1"/>
      <c r="P2235" s="365"/>
      <c r="Q2235" s="1"/>
      <c r="R2235" s="1"/>
      <c r="S2235" s="1"/>
      <c r="T2235" s="1"/>
    </row>
    <row r="2236" spans="1:20">
      <c r="A2236" s="1">
        <v>8750</v>
      </c>
      <c r="B2236" s="42">
        <v>11.664999999999999</v>
      </c>
      <c r="C2236" s="42">
        <v>11.666</v>
      </c>
      <c r="D2236" s="42">
        <v>11.667</v>
      </c>
      <c r="E2236" s="42">
        <v>11.667</v>
      </c>
      <c r="F2236" s="42">
        <v>11.667999999999999</v>
      </c>
      <c r="G2236" s="42">
        <v>11.667999999999999</v>
      </c>
      <c r="H2236" s="42">
        <v>11.67</v>
      </c>
      <c r="I2236" s="42">
        <v>11.670999999999999</v>
      </c>
      <c r="J2236" s="21">
        <v>2506</v>
      </c>
      <c r="K2236" s="1"/>
      <c r="L2236" s="1"/>
      <c r="M2236" s="1"/>
      <c r="N2236" s="1"/>
      <c r="O2236" s="1"/>
      <c r="P2236" s="365"/>
      <c r="Q2236" s="1"/>
      <c r="R2236" s="1"/>
      <c r="S2236" s="1"/>
      <c r="T2236" s="1"/>
    </row>
    <row r="2237" spans="1:20">
      <c r="A2237" s="1">
        <v>8800</v>
      </c>
      <c r="B2237" s="42">
        <v>11.42</v>
      </c>
      <c r="C2237" s="42">
        <v>11.420999999999999</v>
      </c>
      <c r="D2237" s="42">
        <v>11.422000000000001</v>
      </c>
      <c r="E2237" s="42">
        <v>11.422000000000001</v>
      </c>
      <c r="F2237" s="42">
        <v>11.423</v>
      </c>
      <c r="G2237" s="42">
        <v>11.423</v>
      </c>
      <c r="H2237" s="42">
        <v>11.425000000000001</v>
      </c>
      <c r="I2237" s="42">
        <v>11.426</v>
      </c>
      <c r="J2237" s="21">
        <v>2456</v>
      </c>
      <c r="K2237" s="1"/>
      <c r="L2237" s="1"/>
      <c r="M2237" s="1"/>
      <c r="N2237" s="1"/>
      <c r="O2237" s="1"/>
      <c r="P2237" s="365"/>
      <c r="Q2237" s="1"/>
      <c r="R2237" s="1"/>
      <c r="S2237" s="1"/>
      <c r="T2237" s="1"/>
    </row>
    <row r="2238" spans="1:20">
      <c r="A2238" s="1">
        <v>8850</v>
      </c>
      <c r="B2238" s="42">
        <v>11.176</v>
      </c>
      <c r="C2238" s="42">
        <v>11.177</v>
      </c>
      <c r="D2238" s="42">
        <v>11.178000000000001</v>
      </c>
      <c r="E2238" s="42">
        <v>11.178000000000001</v>
      </c>
      <c r="F2238" s="42">
        <v>11.179</v>
      </c>
      <c r="G2238" s="42">
        <v>11.179</v>
      </c>
      <c r="H2238" s="42">
        <v>11.18</v>
      </c>
      <c r="I2238" s="42">
        <v>11.180999999999999</v>
      </c>
      <c r="J2238" s="21">
        <v>2406</v>
      </c>
      <c r="K2238" s="1"/>
      <c r="L2238" s="1"/>
      <c r="M2238" s="1"/>
      <c r="N2238" s="1"/>
      <c r="O2238" s="1"/>
      <c r="P2238" s="365"/>
      <c r="Q2238" s="1"/>
      <c r="R2238" s="1"/>
      <c r="S2238" s="1"/>
      <c r="T2238" s="1"/>
    </row>
    <row r="2239" spans="1:20">
      <c r="A2239" s="1">
        <v>8900</v>
      </c>
      <c r="B2239" s="42">
        <v>10.932</v>
      </c>
      <c r="C2239" s="42">
        <v>10.933</v>
      </c>
      <c r="D2239" s="42">
        <v>10.933999999999999</v>
      </c>
      <c r="E2239" s="42">
        <v>10.933999999999999</v>
      </c>
      <c r="F2239" s="42">
        <v>10.935</v>
      </c>
      <c r="G2239" s="42">
        <v>10.936</v>
      </c>
      <c r="H2239" s="42">
        <v>10.936999999999999</v>
      </c>
      <c r="I2239" s="42">
        <v>10.938000000000001</v>
      </c>
      <c r="J2239" s="21">
        <v>2356</v>
      </c>
      <c r="K2239" s="1"/>
      <c r="L2239" s="1"/>
      <c r="M2239" s="1"/>
      <c r="N2239" s="1"/>
      <c r="O2239" s="1"/>
      <c r="P2239" s="365"/>
      <c r="Q2239" s="1"/>
      <c r="R2239" s="1"/>
      <c r="S2239" s="1"/>
      <c r="T2239" s="1"/>
    </row>
    <row r="2240" spans="1:20">
      <c r="A2240" s="1">
        <v>8950</v>
      </c>
      <c r="B2240" s="42">
        <v>10.689</v>
      </c>
      <c r="C2240" s="42">
        <v>10.69</v>
      </c>
      <c r="D2240" s="42">
        <v>10.691000000000001</v>
      </c>
      <c r="E2240" s="42">
        <v>10.692</v>
      </c>
      <c r="F2240" s="42">
        <v>10.692</v>
      </c>
      <c r="G2240" s="42">
        <v>10.693</v>
      </c>
      <c r="H2240" s="42">
        <v>10.694000000000001</v>
      </c>
      <c r="I2240" s="42">
        <v>10.695</v>
      </c>
      <c r="J2240" s="21">
        <v>2306</v>
      </c>
      <c r="K2240" s="1"/>
      <c r="L2240" s="1"/>
      <c r="M2240" s="1"/>
      <c r="N2240" s="1"/>
      <c r="O2240" s="1"/>
      <c r="P2240" s="365"/>
      <c r="Q2240" s="1"/>
      <c r="R2240" s="1"/>
      <c r="S2240" s="1"/>
      <c r="T2240" s="1"/>
    </row>
    <row r="2241" spans="1:20">
      <c r="A2241" s="1">
        <v>9000</v>
      </c>
      <c r="B2241" s="42">
        <v>10.446999999999999</v>
      </c>
      <c r="C2241" s="42">
        <v>10.448</v>
      </c>
      <c r="D2241" s="42">
        <v>10.449</v>
      </c>
      <c r="E2241" s="42">
        <v>10.449</v>
      </c>
      <c r="F2241" s="42">
        <v>10.45</v>
      </c>
      <c r="G2241" s="42">
        <v>10.45</v>
      </c>
      <c r="H2241" s="42">
        <v>10.451000000000001</v>
      </c>
      <c r="I2241" s="42">
        <v>10.452</v>
      </c>
      <c r="J2241" s="21">
        <v>2256</v>
      </c>
      <c r="K2241" s="1"/>
      <c r="L2241" s="1"/>
      <c r="M2241" s="1"/>
      <c r="N2241" s="1"/>
      <c r="O2241" s="1"/>
      <c r="P2241" s="365"/>
      <c r="Q2241" s="1"/>
      <c r="R2241" s="1"/>
      <c r="S2241" s="1"/>
      <c r="T2241" s="1"/>
    </row>
    <row r="2242" spans="1:20">
      <c r="A2242" s="1">
        <v>9050</v>
      </c>
      <c r="B2242" s="42">
        <v>10.205</v>
      </c>
      <c r="C2242" s="42">
        <v>10.207000000000001</v>
      </c>
      <c r="D2242" s="42">
        <v>10.207000000000001</v>
      </c>
      <c r="E2242" s="42">
        <v>10.208</v>
      </c>
      <c r="F2242" s="42">
        <v>10.208</v>
      </c>
      <c r="G2242" s="42">
        <v>10.209</v>
      </c>
      <c r="H2242" s="42">
        <v>10.210000000000001</v>
      </c>
      <c r="I2242" s="42">
        <v>10.211</v>
      </c>
      <c r="J2242" s="21">
        <v>2206</v>
      </c>
      <c r="K2242" s="1"/>
      <c r="L2242" s="1"/>
      <c r="M2242" s="1"/>
      <c r="N2242" s="1"/>
      <c r="O2242" s="1"/>
      <c r="P2242" s="365"/>
      <c r="Q2242" s="1"/>
      <c r="R2242" s="1"/>
      <c r="S2242" s="1"/>
      <c r="T2242" s="1"/>
    </row>
    <row r="2243" spans="1:20">
      <c r="A2243" s="1">
        <v>9100</v>
      </c>
      <c r="B2243" s="42">
        <v>9.9649999999999999</v>
      </c>
      <c r="C2243" s="42">
        <v>9.9659999999999993</v>
      </c>
      <c r="D2243" s="42">
        <v>9.9659999999999993</v>
      </c>
      <c r="E2243" s="42">
        <v>9.9670000000000005</v>
      </c>
      <c r="F2243" s="42">
        <v>9.9670000000000005</v>
      </c>
      <c r="G2243" s="42">
        <v>9.968</v>
      </c>
      <c r="H2243" s="42">
        <v>9.9689999999999994</v>
      </c>
      <c r="I2243" s="42">
        <v>9.9700000000000006</v>
      </c>
      <c r="J2243" s="21">
        <v>2156</v>
      </c>
      <c r="K2243" s="1"/>
      <c r="L2243" s="1"/>
      <c r="M2243" s="1"/>
      <c r="N2243" s="1"/>
      <c r="O2243" s="1"/>
      <c r="P2243" s="365"/>
      <c r="Q2243" s="1"/>
      <c r="R2243" s="1"/>
      <c r="S2243" s="1"/>
      <c r="T2243" s="1"/>
    </row>
    <row r="2244" spans="1:20">
      <c r="A2244" s="1">
        <v>9150</v>
      </c>
      <c r="B2244" s="42">
        <v>9.7240000000000002</v>
      </c>
      <c r="C2244" s="42">
        <v>9.7249999999999996</v>
      </c>
      <c r="D2244" s="42">
        <v>9.7260000000000009</v>
      </c>
      <c r="E2244" s="42">
        <v>9.7260000000000009</v>
      </c>
      <c r="F2244" s="42">
        <v>9.7270000000000003</v>
      </c>
      <c r="G2244" s="42">
        <v>9.7270000000000003</v>
      </c>
      <c r="H2244" s="42">
        <v>9.7289999999999992</v>
      </c>
      <c r="I2244" s="42">
        <v>9.73</v>
      </c>
      <c r="J2244" s="21">
        <v>2106</v>
      </c>
      <c r="K2244" s="1"/>
      <c r="L2244" s="1"/>
      <c r="M2244" s="1"/>
      <c r="N2244" s="1"/>
      <c r="O2244" s="1"/>
      <c r="P2244" s="365"/>
      <c r="Q2244" s="1"/>
      <c r="R2244" s="1"/>
      <c r="S2244" s="1"/>
      <c r="T2244" s="1"/>
    </row>
    <row r="2245" spans="1:20">
      <c r="A2245" s="1">
        <v>9200</v>
      </c>
      <c r="B2245" s="42">
        <v>9.4849999999999994</v>
      </c>
      <c r="C2245" s="42">
        <v>9.4860000000000007</v>
      </c>
      <c r="D2245" s="42">
        <v>9.4860000000000007</v>
      </c>
      <c r="E2245" s="42">
        <v>9.4870000000000001</v>
      </c>
      <c r="F2245" s="42">
        <v>9.4870000000000001</v>
      </c>
      <c r="G2245" s="42">
        <v>9.4879999999999995</v>
      </c>
      <c r="H2245" s="42">
        <v>9.4890000000000008</v>
      </c>
      <c r="I2245" s="42">
        <v>9.49</v>
      </c>
      <c r="J2245" s="21">
        <v>2056</v>
      </c>
      <c r="K2245" s="1"/>
      <c r="L2245" s="1"/>
      <c r="M2245" s="1"/>
      <c r="N2245" s="1"/>
      <c r="O2245" s="1"/>
      <c r="P2245" s="365"/>
      <c r="Q2245" s="1"/>
      <c r="R2245" s="1"/>
      <c r="S2245" s="1"/>
      <c r="T2245" s="1"/>
    </row>
    <row r="2246" spans="1:20">
      <c r="A2246" s="1">
        <v>9250</v>
      </c>
      <c r="B2246" s="42">
        <v>9.2460000000000004</v>
      </c>
      <c r="C2246" s="42">
        <v>9.2469999999999999</v>
      </c>
      <c r="D2246" s="42">
        <v>9.2469999999999999</v>
      </c>
      <c r="E2246" s="42">
        <v>9.2479999999999993</v>
      </c>
      <c r="F2246" s="42">
        <v>9.2479999999999993</v>
      </c>
      <c r="G2246" s="42">
        <v>9.2490000000000006</v>
      </c>
      <c r="H2246" s="42">
        <v>9.25</v>
      </c>
      <c r="I2246" s="42">
        <v>9.2509999999999994</v>
      </c>
      <c r="J2246" s="21">
        <v>2006</v>
      </c>
      <c r="K2246" s="1"/>
      <c r="L2246" s="1"/>
      <c r="M2246" s="1"/>
      <c r="N2246" s="1"/>
      <c r="O2246" s="1"/>
      <c r="P2246" s="365"/>
      <c r="Q2246" s="1"/>
      <c r="R2246" s="1"/>
      <c r="S2246" s="1"/>
      <c r="T2246" s="1"/>
    </row>
    <row r="2247" spans="1:20">
      <c r="A2247" s="1">
        <v>9300</v>
      </c>
      <c r="B2247" s="42">
        <v>9.0079999999999991</v>
      </c>
      <c r="C2247" s="42">
        <v>9.0090000000000003</v>
      </c>
      <c r="D2247" s="42">
        <v>9.0090000000000003</v>
      </c>
      <c r="E2247" s="42">
        <v>9.01</v>
      </c>
      <c r="F2247" s="42">
        <v>9.01</v>
      </c>
      <c r="G2247" s="42">
        <v>9.0109999999999992</v>
      </c>
      <c r="H2247" s="42">
        <v>9.0120000000000005</v>
      </c>
      <c r="I2247" s="42">
        <v>9.0129999999999999</v>
      </c>
      <c r="J2247" s="21">
        <v>1956</v>
      </c>
      <c r="K2247" s="1"/>
      <c r="L2247" s="1"/>
      <c r="M2247" s="1"/>
      <c r="N2247" s="1"/>
      <c r="O2247" s="1"/>
      <c r="P2247" s="365"/>
      <c r="Q2247" s="1"/>
      <c r="R2247" s="1"/>
      <c r="S2247" s="1"/>
      <c r="T2247" s="1"/>
    </row>
    <row r="2248" spans="1:20">
      <c r="A2248" s="1">
        <v>9350</v>
      </c>
      <c r="B2248" s="42">
        <v>8.77</v>
      </c>
      <c r="C2248" s="42">
        <v>8.7710000000000008</v>
      </c>
      <c r="D2248" s="42">
        <v>8.7710000000000008</v>
      </c>
      <c r="E2248" s="42">
        <v>8.7720000000000002</v>
      </c>
      <c r="F2248" s="42">
        <v>8.7729999999999997</v>
      </c>
      <c r="G2248" s="42">
        <v>8.7729999999999997</v>
      </c>
      <c r="H2248" s="42">
        <v>8.7739999999999991</v>
      </c>
      <c r="I2248" s="42">
        <v>8.7750000000000004</v>
      </c>
      <c r="J2248" s="21">
        <v>1906</v>
      </c>
      <c r="K2248" s="1"/>
      <c r="L2248" s="1"/>
      <c r="M2248" s="1"/>
      <c r="N2248" s="1"/>
      <c r="O2248" s="1"/>
      <c r="P2248" s="365"/>
      <c r="Q2248" s="1"/>
      <c r="R2248" s="1"/>
      <c r="S2248" s="1"/>
      <c r="T2248" s="1"/>
    </row>
    <row r="2249" spans="1:20">
      <c r="A2249" s="1">
        <v>9400</v>
      </c>
      <c r="B2249" s="42">
        <v>8.5329999999999995</v>
      </c>
      <c r="C2249" s="42">
        <v>8.5340000000000007</v>
      </c>
      <c r="D2249" s="42">
        <v>8.5350000000000001</v>
      </c>
      <c r="E2249" s="42">
        <v>8.5350000000000001</v>
      </c>
      <c r="F2249" s="42">
        <v>8.5359999999999996</v>
      </c>
      <c r="G2249" s="42">
        <v>8.5359999999999996</v>
      </c>
      <c r="H2249" s="42">
        <v>8.5370000000000008</v>
      </c>
      <c r="I2249" s="42">
        <v>8.5380000000000003</v>
      </c>
      <c r="J2249" s="21">
        <v>1856</v>
      </c>
      <c r="K2249" s="1"/>
      <c r="L2249" s="1"/>
      <c r="M2249" s="1"/>
      <c r="N2249" s="1"/>
      <c r="O2249" s="1"/>
      <c r="P2249" s="365"/>
      <c r="Q2249" s="1"/>
      <c r="R2249" s="1"/>
      <c r="S2249" s="1"/>
      <c r="T2249" s="1"/>
    </row>
    <row r="2250" spans="1:20">
      <c r="A2250" s="1">
        <v>9450</v>
      </c>
      <c r="B2250" s="42">
        <v>8.2970000000000006</v>
      </c>
      <c r="C2250" s="42">
        <v>8.298</v>
      </c>
      <c r="D2250" s="42">
        <v>8.298</v>
      </c>
      <c r="E2250" s="42">
        <v>8.2989999999999995</v>
      </c>
      <c r="F2250" s="42">
        <v>8.2989999999999995</v>
      </c>
      <c r="G2250" s="42">
        <v>8.3000000000000007</v>
      </c>
      <c r="H2250" s="42">
        <v>8.3010000000000002</v>
      </c>
      <c r="I2250" s="42">
        <v>8.3019999999999996</v>
      </c>
      <c r="J2250" s="21">
        <v>1806</v>
      </c>
      <c r="K2250" s="1"/>
      <c r="L2250" s="1"/>
      <c r="M2250" s="1"/>
      <c r="N2250" s="1"/>
      <c r="O2250" s="1"/>
      <c r="P2250" s="365"/>
      <c r="Q2250" s="1"/>
      <c r="R2250" s="1"/>
      <c r="S2250" s="1"/>
      <c r="T2250" s="1"/>
    </row>
    <row r="2251" spans="1:20">
      <c r="A2251" s="1">
        <v>9500</v>
      </c>
      <c r="B2251" s="42">
        <v>8.0609999999999999</v>
      </c>
      <c r="C2251" s="42">
        <v>8.0619999999999994</v>
      </c>
      <c r="D2251" s="42">
        <v>8.0630000000000006</v>
      </c>
      <c r="E2251" s="42">
        <v>8.0630000000000006</v>
      </c>
      <c r="F2251" s="42">
        <v>8.0640000000000001</v>
      </c>
      <c r="G2251" s="42">
        <v>8.0640000000000001</v>
      </c>
      <c r="H2251" s="42">
        <v>8.0649999999999995</v>
      </c>
      <c r="I2251" s="42">
        <v>8.0660000000000007</v>
      </c>
      <c r="J2251" s="21">
        <v>1756</v>
      </c>
      <c r="K2251" s="1"/>
      <c r="L2251" s="1"/>
      <c r="M2251" s="1"/>
      <c r="N2251" s="1"/>
      <c r="O2251" s="1"/>
      <c r="P2251" s="365"/>
      <c r="Q2251" s="1"/>
      <c r="R2251" s="1"/>
      <c r="S2251" s="1"/>
      <c r="T2251" s="1"/>
    </row>
    <row r="2252" spans="1:20">
      <c r="A2252" s="1">
        <v>9550</v>
      </c>
      <c r="B2252" s="42">
        <v>7.8259999999999996</v>
      </c>
      <c r="C2252" s="42">
        <v>7.827</v>
      </c>
      <c r="D2252" s="42">
        <v>7.8280000000000003</v>
      </c>
      <c r="E2252" s="42">
        <v>7.8280000000000003</v>
      </c>
      <c r="F2252" s="42">
        <v>7.8289999999999997</v>
      </c>
      <c r="G2252" s="42">
        <v>7.8289999999999997</v>
      </c>
      <c r="H2252" s="42">
        <v>7.133</v>
      </c>
      <c r="I2252" s="42">
        <v>7.8310000000000004</v>
      </c>
      <c r="J2252" s="21">
        <v>1706</v>
      </c>
      <c r="K2252" s="1"/>
      <c r="L2252" s="1"/>
      <c r="M2252" s="1"/>
      <c r="N2252" s="1"/>
      <c r="O2252" s="1"/>
      <c r="P2252" s="365"/>
      <c r="Q2252" s="1"/>
      <c r="R2252" s="1"/>
      <c r="S2252" s="1"/>
      <c r="T2252" s="1"/>
    </row>
    <row r="2253" spans="1:20">
      <c r="A2253" s="1">
        <v>9600</v>
      </c>
      <c r="B2253" s="42">
        <v>7.5919999999999996</v>
      </c>
      <c r="C2253" s="42">
        <v>7.593</v>
      </c>
      <c r="D2253" s="42">
        <v>7.5940000000000003</v>
      </c>
      <c r="E2253" s="42">
        <v>7.5940000000000003</v>
      </c>
      <c r="F2253" s="42">
        <v>7.5949999999999998</v>
      </c>
      <c r="G2253" s="42">
        <v>7.5949999999999998</v>
      </c>
      <c r="H2253" s="42">
        <v>7.5960000000000001</v>
      </c>
      <c r="I2253" s="42">
        <v>7.5970000000000004</v>
      </c>
      <c r="J2253" s="21">
        <v>1656</v>
      </c>
      <c r="K2253" s="1"/>
      <c r="L2253" s="1"/>
      <c r="M2253" s="1"/>
      <c r="N2253" s="1"/>
      <c r="O2253" s="1"/>
      <c r="P2253" s="365"/>
      <c r="Q2253" s="1"/>
      <c r="R2253" s="1"/>
      <c r="S2253" s="1"/>
      <c r="T2253" s="1"/>
    </row>
    <row r="2254" spans="1:20">
      <c r="A2254" s="1">
        <v>9650</v>
      </c>
      <c r="B2254" s="42">
        <v>7.3579999999999997</v>
      </c>
      <c r="C2254" s="42">
        <v>7.36</v>
      </c>
      <c r="D2254" s="42">
        <v>7.36</v>
      </c>
      <c r="E2254" s="42">
        <v>7.3609999999999998</v>
      </c>
      <c r="F2254" s="42">
        <v>7.3609999999999998</v>
      </c>
      <c r="G2254" s="42">
        <v>7.3620000000000001</v>
      </c>
      <c r="H2254" s="42">
        <v>7.3630000000000004</v>
      </c>
      <c r="I2254" s="42">
        <v>7.3639999999999999</v>
      </c>
      <c r="J2254" s="21">
        <v>1606</v>
      </c>
      <c r="K2254" s="1"/>
      <c r="L2254" s="1"/>
      <c r="M2254" s="1"/>
      <c r="N2254" s="1"/>
      <c r="O2254" s="1"/>
      <c r="P2254" s="365"/>
      <c r="Q2254" s="1"/>
      <c r="R2254" s="1"/>
      <c r="S2254" s="1"/>
      <c r="T2254" s="1"/>
    </row>
    <row r="2255" spans="1:20">
      <c r="A2255" s="1">
        <v>9700</v>
      </c>
      <c r="B2255" s="42">
        <v>7.1260000000000003</v>
      </c>
      <c r="C2255" s="42">
        <v>7.1269999999999998</v>
      </c>
      <c r="D2255" s="42">
        <v>7.1269999999999998</v>
      </c>
      <c r="E2255" s="42">
        <v>7.1280000000000001</v>
      </c>
      <c r="F2255" s="42">
        <v>7.1280000000000001</v>
      </c>
      <c r="G2255" s="42">
        <v>7.1289999999999996</v>
      </c>
      <c r="H2255" s="42">
        <v>7.13</v>
      </c>
      <c r="I2255" s="42">
        <v>7.1310000000000002</v>
      </c>
      <c r="J2255" s="21">
        <v>1556</v>
      </c>
      <c r="K2255" s="1"/>
      <c r="L2255" s="1"/>
      <c r="M2255" s="1"/>
      <c r="N2255" s="1"/>
      <c r="O2255" s="1"/>
      <c r="P2255" s="365"/>
      <c r="Q2255" s="1"/>
      <c r="R2255" s="1"/>
      <c r="S2255" s="1"/>
      <c r="T2255" s="1"/>
    </row>
    <row r="2256" spans="1:20">
      <c r="A2256" s="1">
        <v>9750</v>
      </c>
      <c r="B2256" s="42">
        <v>6.8929999999999998</v>
      </c>
      <c r="C2256" s="42">
        <v>6.8940000000000001</v>
      </c>
      <c r="D2256" s="42">
        <v>6.8949999999999996</v>
      </c>
      <c r="E2256" s="42">
        <v>6.8949999999999996</v>
      </c>
      <c r="F2256" s="42">
        <v>6.8959999999999999</v>
      </c>
      <c r="G2256" s="42">
        <v>6.8959999999999999</v>
      </c>
      <c r="H2256" s="42">
        <v>6.8970000000000002</v>
      </c>
      <c r="I2256" s="42">
        <v>6.899</v>
      </c>
      <c r="J2256" s="21">
        <v>1506</v>
      </c>
      <c r="K2256" s="1"/>
      <c r="L2256" s="1"/>
      <c r="M2256" s="1"/>
      <c r="N2256" s="1"/>
      <c r="O2256" s="1"/>
      <c r="P2256" s="365"/>
      <c r="Q2256" s="1"/>
      <c r="R2256" s="1"/>
      <c r="S2256" s="1"/>
      <c r="T2256" s="1"/>
    </row>
    <row r="2257" spans="1:20">
      <c r="A2257" s="1">
        <v>9800</v>
      </c>
      <c r="B2257" s="42">
        <v>6.6619999999999999</v>
      </c>
      <c r="C2257" s="42">
        <v>6.6630000000000003</v>
      </c>
      <c r="D2257" s="42">
        <v>6.6630000000000003</v>
      </c>
      <c r="E2257" s="42">
        <v>6.6639999999999997</v>
      </c>
      <c r="F2257" s="42">
        <v>6.6639999999999997</v>
      </c>
      <c r="G2257" s="42">
        <v>6.665</v>
      </c>
      <c r="H2257" s="42">
        <v>6.6660000000000004</v>
      </c>
      <c r="I2257" s="42">
        <v>6.6669999999999998</v>
      </c>
      <c r="J2257" s="21">
        <v>1456</v>
      </c>
      <c r="K2257" s="1"/>
      <c r="L2257" s="1"/>
      <c r="M2257" s="1"/>
      <c r="N2257" s="1"/>
      <c r="O2257" s="1"/>
      <c r="P2257" s="365"/>
      <c r="Q2257" s="1"/>
      <c r="R2257" s="1"/>
      <c r="S2257" s="1"/>
      <c r="T2257" s="1"/>
    </row>
    <row r="2258" spans="1:20">
      <c r="A2258" s="1">
        <v>9850</v>
      </c>
      <c r="B2258" s="42">
        <v>6.431</v>
      </c>
      <c r="C2258" s="42">
        <v>6.4320000000000004</v>
      </c>
      <c r="D2258" s="42">
        <v>6.4320000000000004</v>
      </c>
      <c r="E2258" s="42">
        <v>6.4329999999999998</v>
      </c>
      <c r="F2258" s="42">
        <v>6.4329999999999998</v>
      </c>
      <c r="G2258" s="42">
        <v>6.4340000000000002</v>
      </c>
      <c r="H2258" s="42">
        <v>6.4349999999999996</v>
      </c>
      <c r="I2258" s="42">
        <v>6.4359999999999999</v>
      </c>
      <c r="J2258" s="21">
        <v>1406</v>
      </c>
      <c r="K2258" s="1"/>
      <c r="L2258" s="1"/>
      <c r="M2258" s="1"/>
      <c r="N2258" s="1"/>
      <c r="O2258" s="1"/>
      <c r="P2258" s="365"/>
      <c r="Q2258" s="1"/>
      <c r="R2258" s="1"/>
      <c r="S2258" s="1"/>
      <c r="T2258" s="1"/>
    </row>
    <row r="2259" spans="1:20">
      <c r="A2259" s="1">
        <v>9900</v>
      </c>
      <c r="B2259" s="42">
        <v>6.2009999999999996</v>
      </c>
      <c r="C2259" s="42">
        <v>6.202</v>
      </c>
      <c r="D2259" s="42">
        <v>6.202</v>
      </c>
      <c r="E2259" s="42">
        <v>6.2030000000000003</v>
      </c>
      <c r="F2259" s="42">
        <v>6.2030000000000003</v>
      </c>
      <c r="G2259" s="42">
        <v>6.2039999999999997</v>
      </c>
      <c r="H2259" s="42">
        <v>6.2050000000000001</v>
      </c>
      <c r="I2259" s="42">
        <v>6.2060000000000004</v>
      </c>
      <c r="J2259" s="21">
        <v>1356</v>
      </c>
      <c r="K2259" s="1"/>
      <c r="L2259" s="1"/>
      <c r="M2259" s="1"/>
      <c r="N2259" s="1"/>
      <c r="O2259" s="1"/>
      <c r="P2259" s="365"/>
      <c r="Q2259" s="1"/>
      <c r="R2259" s="1"/>
      <c r="S2259" s="1"/>
      <c r="T2259" s="1"/>
    </row>
    <row r="2260" spans="1:20">
      <c r="A2260" s="1">
        <v>9950</v>
      </c>
      <c r="B2260" s="42">
        <v>5.9710000000000001</v>
      </c>
      <c r="C2260" s="42">
        <v>5.9720000000000004</v>
      </c>
      <c r="D2260" s="42">
        <v>5.9729999999999999</v>
      </c>
      <c r="E2260" s="42">
        <v>5.9729999999999999</v>
      </c>
      <c r="F2260" s="42">
        <v>5.9740000000000002</v>
      </c>
      <c r="G2260" s="42">
        <v>5.9740000000000002</v>
      </c>
      <c r="H2260" s="42">
        <v>5.9749999999999996</v>
      </c>
      <c r="I2260" s="42">
        <v>5.976</v>
      </c>
      <c r="J2260" s="21">
        <v>1306</v>
      </c>
      <c r="K2260" s="1"/>
      <c r="L2260" s="1"/>
      <c r="M2260" s="1"/>
      <c r="N2260" s="1"/>
      <c r="O2260" s="1"/>
      <c r="P2260" s="365"/>
      <c r="Q2260" s="1"/>
      <c r="R2260" s="1"/>
      <c r="S2260" s="1"/>
      <c r="T2260" s="1"/>
    </row>
    <row r="2261" spans="1:20">
      <c r="A2261" s="1">
        <v>10000</v>
      </c>
      <c r="B2261" s="42">
        <v>5.742</v>
      </c>
      <c r="C2261" s="42">
        <v>5.7430000000000003</v>
      </c>
      <c r="D2261" s="42">
        <v>5.7439999999999998</v>
      </c>
      <c r="E2261" s="42">
        <v>5.7439999999999998</v>
      </c>
      <c r="F2261" s="42">
        <v>5.7450000000000001</v>
      </c>
      <c r="G2261" s="42">
        <v>5.7450000000000001</v>
      </c>
      <c r="H2261" s="42">
        <v>5.7460000000000004</v>
      </c>
      <c r="I2261" s="42">
        <v>5.7469999999999999</v>
      </c>
      <c r="J2261" s="21">
        <v>1256</v>
      </c>
      <c r="K2261" s="1"/>
      <c r="L2261" s="1"/>
      <c r="M2261" s="1"/>
      <c r="N2261" s="1"/>
      <c r="O2261" s="1"/>
      <c r="P2261" s="365"/>
      <c r="Q2261" s="1"/>
      <c r="R2261" s="1"/>
      <c r="S2261" s="1"/>
      <c r="T2261" s="1"/>
    </row>
    <row r="2262" spans="1:20">
      <c r="A2262" s="1">
        <v>10050</v>
      </c>
      <c r="B2262" s="42">
        <v>5.5140000000000002</v>
      </c>
      <c r="C2262" s="42">
        <v>5.5149999999999997</v>
      </c>
      <c r="D2262" s="42">
        <v>5.516</v>
      </c>
      <c r="E2262" s="42">
        <v>5.516</v>
      </c>
      <c r="F2262" s="42">
        <v>5.5170000000000003</v>
      </c>
      <c r="G2262" s="42">
        <v>5.5170000000000003</v>
      </c>
      <c r="H2262" s="42">
        <v>5.5179999999999998</v>
      </c>
      <c r="I2262" s="42">
        <v>5.5190000000000001</v>
      </c>
      <c r="J2262" s="21">
        <v>1206</v>
      </c>
      <c r="K2262" s="1"/>
      <c r="L2262" s="1"/>
      <c r="M2262" s="1"/>
      <c r="N2262" s="1"/>
      <c r="O2262" s="1"/>
      <c r="P2262" s="365"/>
      <c r="Q2262" s="1"/>
      <c r="R2262" s="1"/>
      <c r="S2262" s="1"/>
      <c r="T2262" s="1"/>
    </row>
    <row r="2263" spans="1:20">
      <c r="A2263" s="1">
        <v>10100</v>
      </c>
      <c r="B2263" s="42">
        <v>5.2869999999999999</v>
      </c>
      <c r="C2263" s="42">
        <v>5.2880000000000003</v>
      </c>
      <c r="D2263" s="42">
        <v>5.2880000000000003</v>
      </c>
      <c r="E2263" s="42">
        <v>5.2889999999999997</v>
      </c>
      <c r="F2263" s="42">
        <v>5.2889999999999997</v>
      </c>
      <c r="G2263" s="42">
        <v>5.29</v>
      </c>
      <c r="H2263" s="42">
        <v>5.2910000000000004</v>
      </c>
      <c r="I2263" s="42">
        <v>5.2919999999999998</v>
      </c>
      <c r="J2263" s="21">
        <v>1156</v>
      </c>
      <c r="K2263" s="1"/>
      <c r="L2263" s="1"/>
      <c r="M2263" s="1"/>
      <c r="N2263" s="1"/>
      <c r="O2263" s="1"/>
      <c r="P2263" s="365"/>
      <c r="Q2263" s="1"/>
      <c r="R2263" s="1"/>
      <c r="S2263" s="1"/>
      <c r="T2263" s="1"/>
    </row>
    <row r="2264" spans="1:20">
      <c r="A2264" s="1">
        <v>10150</v>
      </c>
      <c r="B2264" s="42">
        <v>5.0599999999999996</v>
      </c>
      <c r="C2264" s="42">
        <v>5.0609999999999999</v>
      </c>
      <c r="D2264" s="42">
        <v>5.0609999999999999</v>
      </c>
      <c r="E2264" s="42">
        <v>5.0620000000000003</v>
      </c>
      <c r="F2264" s="42">
        <v>5.0620000000000003</v>
      </c>
      <c r="G2264" s="42">
        <v>5.0629999999999997</v>
      </c>
      <c r="H2264" s="42">
        <v>5.0640000000000001</v>
      </c>
      <c r="I2264" s="42">
        <v>5.0650000000000004</v>
      </c>
      <c r="J2264" s="21">
        <v>1106</v>
      </c>
      <c r="K2264" s="1"/>
      <c r="L2264" s="1"/>
      <c r="M2264" s="1"/>
      <c r="N2264" s="1"/>
      <c r="O2264" s="1"/>
      <c r="P2264" s="365"/>
      <c r="Q2264" s="1"/>
      <c r="R2264" s="1"/>
      <c r="S2264" s="1"/>
      <c r="T2264" s="1"/>
    </row>
    <row r="2265" spans="1:20">
      <c r="A2265" s="1">
        <v>10200</v>
      </c>
      <c r="B2265" s="42">
        <v>4.8330000000000002</v>
      </c>
      <c r="C2265" s="42">
        <v>4.8339999999999996</v>
      </c>
      <c r="D2265" s="42">
        <v>4.835</v>
      </c>
      <c r="E2265" s="42">
        <v>4.835</v>
      </c>
      <c r="F2265" s="42">
        <v>4.8360000000000003</v>
      </c>
      <c r="G2265" s="42">
        <v>4.8360000000000003</v>
      </c>
      <c r="H2265" s="42">
        <v>4.8369999999999997</v>
      </c>
      <c r="I2265" s="42">
        <v>4.8380000000000001</v>
      </c>
      <c r="J2265" s="21">
        <v>1056</v>
      </c>
      <c r="K2265" s="1"/>
      <c r="L2265" s="1"/>
      <c r="M2265" s="1"/>
      <c r="N2265" s="1"/>
      <c r="O2265" s="1"/>
      <c r="P2265" s="365"/>
      <c r="Q2265" s="1"/>
      <c r="R2265" s="1"/>
      <c r="S2265" s="1"/>
      <c r="T2265" s="1"/>
    </row>
    <row r="2266" spans="1:20">
      <c r="A2266" s="1">
        <v>10250</v>
      </c>
      <c r="B2266" s="42">
        <v>4.6079999999999997</v>
      </c>
      <c r="C2266" s="42">
        <v>4.609</v>
      </c>
      <c r="D2266" s="42">
        <v>4.609</v>
      </c>
      <c r="E2266" s="42">
        <v>4.6100000000000003</v>
      </c>
      <c r="F2266" s="42">
        <v>4.6100000000000003</v>
      </c>
      <c r="G2266" s="42">
        <v>4.6109999999999998</v>
      </c>
      <c r="H2266" s="42">
        <v>4.6120000000000001</v>
      </c>
      <c r="I2266" s="42">
        <v>4.6130000000000004</v>
      </c>
      <c r="J2266" s="21">
        <v>1006</v>
      </c>
      <c r="K2266" s="1"/>
      <c r="L2266" s="1"/>
      <c r="M2266" s="1"/>
      <c r="N2266" s="1"/>
      <c r="O2266" s="1"/>
      <c r="P2266" s="365"/>
      <c r="Q2266" s="1"/>
      <c r="R2266" s="1"/>
      <c r="S2266" s="1"/>
      <c r="T2266" s="1"/>
    </row>
    <row r="2267" spans="1:20">
      <c r="A2267" s="1">
        <v>10300</v>
      </c>
      <c r="B2267" s="42">
        <v>4.383</v>
      </c>
      <c r="C2267" s="42">
        <v>4.3840000000000003</v>
      </c>
      <c r="D2267" s="42">
        <v>4.3849999999999998</v>
      </c>
      <c r="E2267" s="42">
        <v>4.3849999999999998</v>
      </c>
      <c r="F2267" s="42">
        <v>4.3860000000000001</v>
      </c>
      <c r="G2267" s="42">
        <v>4.3860000000000001</v>
      </c>
      <c r="H2267" s="42">
        <v>4.3869999999999996</v>
      </c>
      <c r="I2267" s="42">
        <v>4.3879999999999999</v>
      </c>
      <c r="J2267" s="21">
        <v>956</v>
      </c>
      <c r="K2267" s="1"/>
      <c r="L2267" s="1"/>
      <c r="M2267" s="1"/>
      <c r="N2267" s="1"/>
      <c r="O2267" s="1"/>
      <c r="P2267" s="365"/>
      <c r="Q2267" s="1"/>
      <c r="R2267" s="1"/>
      <c r="S2267" s="1"/>
      <c r="T2267" s="1"/>
    </row>
    <row r="2268" spans="1:20">
      <c r="A2268" s="1">
        <v>10350</v>
      </c>
      <c r="B2268" s="42">
        <v>4.1589999999999998</v>
      </c>
      <c r="C2268" s="42">
        <v>4.16</v>
      </c>
      <c r="D2268" s="42">
        <v>4.16</v>
      </c>
      <c r="E2268" s="42">
        <v>4.1609999999999996</v>
      </c>
      <c r="F2268" s="42">
        <v>4.1609999999999996</v>
      </c>
      <c r="G2268" s="42">
        <v>4.1619999999999999</v>
      </c>
      <c r="H2268" s="42">
        <v>4.1630000000000003</v>
      </c>
      <c r="I2268" s="42">
        <v>4.1639999999999997</v>
      </c>
      <c r="J2268" s="21">
        <v>906</v>
      </c>
      <c r="K2268" s="1"/>
      <c r="L2268" s="1"/>
      <c r="M2268" s="1"/>
      <c r="N2268" s="1"/>
      <c r="O2268" s="1"/>
      <c r="P2268" s="365"/>
      <c r="Q2268" s="1"/>
      <c r="R2268" s="1"/>
      <c r="S2268" s="1"/>
      <c r="T2268" s="1"/>
    </row>
    <row r="2269" spans="1:20">
      <c r="A2269" s="1">
        <v>10400</v>
      </c>
      <c r="B2269" s="42">
        <v>3.9350000000000001</v>
      </c>
      <c r="C2269" s="42">
        <v>3.9359999999999999</v>
      </c>
      <c r="D2269" s="42">
        <v>3.9369999999999998</v>
      </c>
      <c r="E2269" s="42">
        <v>3.9369999999999998</v>
      </c>
      <c r="F2269" s="42">
        <v>3.9380000000000002</v>
      </c>
      <c r="G2269" s="42">
        <v>3.9380000000000002</v>
      </c>
      <c r="H2269" s="42">
        <v>3.9390000000000001</v>
      </c>
      <c r="I2269" s="42">
        <v>3.94</v>
      </c>
      <c r="J2269" s="21">
        <v>856</v>
      </c>
      <c r="K2269" s="1"/>
      <c r="L2269" s="1"/>
      <c r="M2269" s="1"/>
      <c r="N2269" s="1"/>
      <c r="O2269" s="1"/>
      <c r="P2269" s="365"/>
      <c r="Q2269" s="1"/>
      <c r="R2269" s="1"/>
      <c r="S2269" s="1"/>
      <c r="T2269" s="1"/>
    </row>
    <row r="2270" spans="1:20">
      <c r="A2270" s="1">
        <v>10450</v>
      </c>
      <c r="B2270" s="42">
        <v>3.7130000000000001</v>
      </c>
      <c r="C2270" s="42">
        <v>3.714</v>
      </c>
      <c r="D2270" s="42">
        <v>3.714</v>
      </c>
      <c r="E2270" s="42">
        <v>3.7149999999999999</v>
      </c>
      <c r="F2270" s="42">
        <v>3.7149999999999999</v>
      </c>
      <c r="G2270" s="42">
        <v>3.7160000000000002</v>
      </c>
      <c r="H2270" s="42">
        <v>3.7170000000000001</v>
      </c>
      <c r="I2270" s="42">
        <v>3.7170000000000001</v>
      </c>
      <c r="J2270" s="21">
        <v>806</v>
      </c>
      <c r="K2270" s="1"/>
      <c r="L2270" s="1"/>
      <c r="M2270" s="1"/>
      <c r="N2270" s="1"/>
      <c r="O2270" s="1"/>
      <c r="P2270" s="365"/>
      <c r="Q2270" s="1"/>
      <c r="R2270" s="1"/>
      <c r="S2270" s="1"/>
      <c r="T2270" s="1"/>
    </row>
    <row r="2271" spans="1:20">
      <c r="A2271" s="1">
        <v>10500</v>
      </c>
      <c r="B2271" s="42">
        <v>3.49</v>
      </c>
      <c r="C2271" s="42">
        <v>3.4910000000000001</v>
      </c>
      <c r="D2271" s="42">
        <v>3.492</v>
      </c>
      <c r="E2271" s="42">
        <v>3.492</v>
      </c>
      <c r="F2271" s="42">
        <v>3.4929999999999999</v>
      </c>
      <c r="G2271" s="42">
        <v>3.4929999999999999</v>
      </c>
      <c r="H2271" s="42">
        <v>3.4940000000000002</v>
      </c>
      <c r="I2271" s="42">
        <v>3.4950000000000001</v>
      </c>
      <c r="J2271" s="21">
        <v>756</v>
      </c>
      <c r="K2271" s="1"/>
      <c r="L2271" s="1"/>
      <c r="M2271" s="1"/>
      <c r="N2271" s="1"/>
      <c r="O2271" s="1"/>
      <c r="P2271" s="365"/>
      <c r="Q2271" s="1"/>
      <c r="R2271" s="1"/>
      <c r="S2271" s="1"/>
      <c r="T2271" s="1"/>
    </row>
    <row r="2272" spans="1:20">
      <c r="A2272" s="1">
        <v>10550</v>
      </c>
      <c r="B2272" s="42">
        <v>3.2690000000000001</v>
      </c>
      <c r="C2272" s="42">
        <v>3.27</v>
      </c>
      <c r="D2272" s="42">
        <v>3.27</v>
      </c>
      <c r="E2272" s="42">
        <v>3.2709999999999999</v>
      </c>
      <c r="F2272" s="42">
        <v>3.2709999999999999</v>
      </c>
      <c r="G2272" s="42">
        <v>3.2719999999999998</v>
      </c>
      <c r="H2272" s="42">
        <v>3.2730000000000001</v>
      </c>
      <c r="I2272" s="42">
        <v>3.274</v>
      </c>
      <c r="J2272" s="21">
        <v>706</v>
      </c>
      <c r="K2272" s="1"/>
      <c r="L2272" s="1"/>
      <c r="M2272" s="1"/>
      <c r="N2272" s="1"/>
      <c r="O2272" s="1"/>
      <c r="P2272" s="365"/>
      <c r="Q2272" s="1"/>
      <c r="R2272" s="1"/>
      <c r="S2272" s="1"/>
      <c r="T2272" s="1"/>
    </row>
    <row r="2273" spans="1:20">
      <c r="A2273" s="1">
        <v>10600</v>
      </c>
      <c r="B2273" s="42">
        <v>3.048</v>
      </c>
      <c r="C2273" s="42">
        <v>3.0489999999999999</v>
      </c>
      <c r="D2273" s="42">
        <v>3.05</v>
      </c>
      <c r="E2273" s="42">
        <v>3.05</v>
      </c>
      <c r="F2273" s="42">
        <v>3.05</v>
      </c>
      <c r="G2273" s="42">
        <v>3.0510000000000002</v>
      </c>
      <c r="H2273" s="42">
        <v>3.052</v>
      </c>
      <c r="I2273" s="42">
        <v>3.0529999999999999</v>
      </c>
      <c r="J2273" s="21">
        <v>656</v>
      </c>
      <c r="K2273" s="1"/>
      <c r="L2273" s="1"/>
      <c r="M2273" s="1"/>
      <c r="N2273" s="1"/>
      <c r="O2273" s="1"/>
      <c r="P2273" s="365"/>
      <c r="Q2273" s="1"/>
      <c r="R2273" s="1"/>
      <c r="S2273" s="1"/>
      <c r="T2273" s="1"/>
    </row>
    <row r="2274" spans="1:20">
      <c r="A2274" s="1">
        <v>10650</v>
      </c>
      <c r="B2274" s="42">
        <v>2.8279999999999998</v>
      </c>
      <c r="C2274" s="42">
        <v>2.8290000000000002</v>
      </c>
      <c r="D2274" s="42">
        <v>2.8290000000000002</v>
      </c>
      <c r="E2274" s="42">
        <v>2.83</v>
      </c>
      <c r="F2274" s="42">
        <v>2.83</v>
      </c>
      <c r="G2274" s="42">
        <v>2.831</v>
      </c>
      <c r="H2274" s="42">
        <v>2.8319999999999999</v>
      </c>
      <c r="I2274" s="42">
        <v>2.8330000000000002</v>
      </c>
      <c r="J2274" s="21">
        <v>606</v>
      </c>
      <c r="K2274" s="1"/>
      <c r="L2274" s="1"/>
      <c r="M2274" s="1"/>
      <c r="N2274" s="1"/>
      <c r="O2274" s="1"/>
      <c r="P2274" s="365"/>
      <c r="Q2274" s="1"/>
      <c r="R2274" s="1"/>
      <c r="S2274" s="1"/>
      <c r="T2274" s="1"/>
    </row>
    <row r="2275" spans="1:20">
      <c r="A2275" s="1">
        <v>10700</v>
      </c>
      <c r="B2275" s="42">
        <v>2.6080000000000001</v>
      </c>
      <c r="C2275" s="42">
        <v>2.609</v>
      </c>
      <c r="D2275" s="42">
        <v>2.61</v>
      </c>
      <c r="E2275" s="42">
        <v>2.61</v>
      </c>
      <c r="F2275" s="42">
        <v>2.6110000000000002</v>
      </c>
      <c r="G2275" s="42">
        <v>2.6110000000000002</v>
      </c>
      <c r="H2275" s="42">
        <v>2.6120000000000001</v>
      </c>
      <c r="I2275" s="42">
        <v>2.613</v>
      </c>
      <c r="J2275" s="21">
        <v>556</v>
      </c>
      <c r="K2275" s="1"/>
      <c r="L2275" s="1"/>
      <c r="M2275" s="1"/>
      <c r="N2275" s="1"/>
      <c r="O2275" s="1"/>
      <c r="P2275" s="365"/>
      <c r="Q2275" s="1"/>
      <c r="R2275" s="1"/>
      <c r="S2275" s="1"/>
      <c r="T2275" s="1"/>
    </row>
    <row r="2276" spans="1:20">
      <c r="A2276" s="1">
        <v>10750</v>
      </c>
      <c r="B2276" s="42">
        <v>2.39</v>
      </c>
      <c r="C2276" s="42">
        <v>2.391</v>
      </c>
      <c r="D2276" s="42">
        <v>2.391</v>
      </c>
      <c r="E2276" s="42">
        <v>2.391</v>
      </c>
      <c r="F2276" s="42">
        <v>2.3919999999999999</v>
      </c>
      <c r="G2276" s="42">
        <v>2.3919999999999999</v>
      </c>
      <c r="H2276" s="42">
        <v>2.3929999999999998</v>
      </c>
      <c r="I2276" s="42">
        <v>2.3940000000000001</v>
      </c>
      <c r="J2276" s="21">
        <v>506</v>
      </c>
      <c r="K2276" s="1"/>
      <c r="L2276" s="1"/>
      <c r="M2276" s="1"/>
      <c r="N2276" s="1"/>
      <c r="O2276" s="1"/>
      <c r="P2276" s="365"/>
      <c r="Q2276" s="1"/>
      <c r="R2276" s="1"/>
      <c r="S2276" s="1"/>
      <c r="T2276" s="1"/>
    </row>
    <row r="2277" spans="1:20">
      <c r="A2277" s="1">
        <v>10800</v>
      </c>
      <c r="B2277" s="42">
        <v>2.1709999999999998</v>
      </c>
      <c r="C2277" s="42">
        <v>2.1720000000000002</v>
      </c>
      <c r="D2277" s="42">
        <v>2.173</v>
      </c>
      <c r="E2277" s="42">
        <v>2.173</v>
      </c>
      <c r="F2277" s="42">
        <v>2.1739999999999999</v>
      </c>
      <c r="G2277" s="42">
        <v>2.1739999999999999</v>
      </c>
      <c r="H2277" s="42">
        <v>2.1749999999999998</v>
      </c>
      <c r="I2277" s="42">
        <v>2.1760000000000002</v>
      </c>
      <c r="J2277" s="21">
        <v>456</v>
      </c>
      <c r="K2277" s="1"/>
      <c r="L2277" s="1"/>
      <c r="M2277" s="1"/>
      <c r="N2277" s="1"/>
      <c r="O2277" s="1"/>
      <c r="P2277" s="365"/>
      <c r="Q2277" s="1"/>
      <c r="R2277" s="1"/>
      <c r="S2277" s="1"/>
      <c r="T2277" s="1"/>
    </row>
    <row r="2278" spans="1:20">
      <c r="A2278" s="1">
        <v>10850</v>
      </c>
      <c r="B2278" s="42">
        <v>1.954</v>
      </c>
      <c r="C2278" s="42">
        <v>1.9550000000000001</v>
      </c>
      <c r="D2278" s="42">
        <v>1.9550000000000001</v>
      </c>
      <c r="E2278" s="42">
        <v>1.956</v>
      </c>
      <c r="F2278" s="42">
        <v>1.956</v>
      </c>
      <c r="G2278" s="42">
        <v>1.9570000000000001</v>
      </c>
      <c r="H2278" s="42">
        <v>1.958</v>
      </c>
      <c r="I2278" s="42">
        <v>1.9590000000000001</v>
      </c>
      <c r="J2278" s="21">
        <v>406</v>
      </c>
      <c r="K2278" s="1"/>
      <c r="L2278" s="1"/>
      <c r="M2278" s="1"/>
      <c r="N2278" s="1"/>
      <c r="O2278" s="1"/>
      <c r="P2278" s="365"/>
      <c r="Q2278" s="1"/>
      <c r="R2278" s="1"/>
      <c r="S2278" s="1"/>
      <c r="T2278" s="1"/>
    </row>
    <row r="2279" spans="1:20">
      <c r="A2279" s="1">
        <v>10900</v>
      </c>
      <c r="B2279" s="42">
        <v>1.7370000000000001</v>
      </c>
      <c r="C2279" s="42">
        <v>1.738</v>
      </c>
      <c r="D2279" s="42">
        <v>1.7390000000000001</v>
      </c>
      <c r="E2279" s="42">
        <v>1.7390000000000001</v>
      </c>
      <c r="F2279" s="42">
        <v>1.7390000000000001</v>
      </c>
      <c r="G2279" s="42">
        <v>1.74</v>
      </c>
      <c r="H2279" s="42">
        <v>1.7410000000000001</v>
      </c>
      <c r="I2279" s="42">
        <v>1.742</v>
      </c>
      <c r="J2279" s="21">
        <v>356</v>
      </c>
      <c r="K2279" s="1"/>
      <c r="L2279" s="1"/>
      <c r="M2279" s="1"/>
      <c r="N2279" s="1"/>
      <c r="O2279" s="1"/>
      <c r="P2279" s="365"/>
      <c r="Q2279" s="1"/>
      <c r="R2279" s="1"/>
      <c r="S2279" s="1"/>
      <c r="T2279" s="1"/>
    </row>
    <row r="2280" spans="1:20">
      <c r="A2280" s="1">
        <v>10950</v>
      </c>
      <c r="B2280" s="42">
        <v>1.5209999999999999</v>
      </c>
      <c r="C2280" s="42">
        <v>1.522</v>
      </c>
      <c r="D2280" s="42">
        <v>1.522</v>
      </c>
      <c r="E2280" s="42">
        <v>1.5229999999999999</v>
      </c>
      <c r="F2280" s="42">
        <v>1.5229999999999999</v>
      </c>
      <c r="G2280" s="42">
        <v>1.524</v>
      </c>
      <c r="H2280" s="42">
        <v>1.5249999999999999</v>
      </c>
      <c r="I2280" s="42">
        <v>1.526</v>
      </c>
      <c r="J2280" s="21">
        <v>306</v>
      </c>
      <c r="K2280" s="1"/>
      <c r="L2280" s="1"/>
      <c r="M2280" s="1"/>
      <c r="N2280" s="1"/>
      <c r="O2280" s="1"/>
      <c r="P2280" s="365"/>
      <c r="Q2280" s="1"/>
      <c r="R2280" s="1"/>
      <c r="S2280" s="1"/>
      <c r="T2280" s="1"/>
    </row>
    <row r="2281" spans="1:20">
      <c r="A2281" s="1">
        <v>11000</v>
      </c>
      <c r="B2281" s="42">
        <v>1.3049999999999999</v>
      </c>
      <c r="C2281" s="42">
        <v>1.306</v>
      </c>
      <c r="D2281" s="42">
        <v>1.3069999999999999</v>
      </c>
      <c r="E2281" s="42">
        <v>1.3069999999999999</v>
      </c>
      <c r="F2281" s="42">
        <v>1.3080000000000001</v>
      </c>
      <c r="G2281" s="42">
        <v>1.3080000000000001</v>
      </c>
      <c r="H2281" s="42">
        <v>1.3089999999999999</v>
      </c>
      <c r="I2281" s="42">
        <v>1.31</v>
      </c>
      <c r="J2281" s="21">
        <v>256</v>
      </c>
      <c r="K2281" s="1"/>
      <c r="L2281" s="1"/>
      <c r="M2281" s="1"/>
      <c r="N2281" s="1"/>
      <c r="O2281" s="1"/>
      <c r="P2281" s="365"/>
      <c r="Q2281" s="1"/>
      <c r="R2281" s="1"/>
      <c r="S2281" s="1"/>
      <c r="T2281" s="1"/>
    </row>
    <row r="2282" spans="1:20">
      <c r="A2282" s="1">
        <v>11050</v>
      </c>
      <c r="B2282" s="42">
        <v>1.091</v>
      </c>
      <c r="C2282" s="42">
        <v>1.0920000000000001</v>
      </c>
      <c r="D2282" s="42">
        <v>1.0920000000000001</v>
      </c>
      <c r="E2282" s="42">
        <v>1.093</v>
      </c>
      <c r="F2282" s="42">
        <v>1.093</v>
      </c>
      <c r="G2282" s="42">
        <v>1.0940000000000001</v>
      </c>
      <c r="H2282" s="42">
        <v>1.0940000000000001</v>
      </c>
      <c r="I2282" s="42">
        <v>1.095</v>
      </c>
      <c r="J2282" s="21">
        <v>206</v>
      </c>
      <c r="K2282" s="1"/>
      <c r="L2282" s="1"/>
      <c r="M2282" s="1"/>
      <c r="N2282" s="1"/>
      <c r="O2282" s="1"/>
      <c r="P2282" s="365"/>
      <c r="Q2282" s="1"/>
      <c r="R2282" s="1"/>
      <c r="S2282" s="1"/>
      <c r="T2282" s="1"/>
    </row>
    <row r="2283" spans="1:20">
      <c r="A2283" s="1">
        <v>11100</v>
      </c>
      <c r="B2283" s="42">
        <v>0.877</v>
      </c>
      <c r="C2283" s="42">
        <v>0.877</v>
      </c>
      <c r="D2283" s="42">
        <v>0.878</v>
      </c>
      <c r="E2283" s="42">
        <v>0.878</v>
      </c>
      <c r="F2283" s="42">
        <v>0.879</v>
      </c>
      <c r="G2283" s="42">
        <v>0.879</v>
      </c>
      <c r="H2283" s="42">
        <v>0.88</v>
      </c>
      <c r="I2283" s="42">
        <v>0.88100000000000001</v>
      </c>
      <c r="J2283" s="21">
        <v>156</v>
      </c>
      <c r="K2283" s="1"/>
      <c r="L2283" s="1"/>
      <c r="M2283" s="1"/>
      <c r="N2283" s="1"/>
      <c r="O2283" s="1"/>
      <c r="P2283" s="365"/>
      <c r="Q2283" s="1"/>
      <c r="R2283" s="1"/>
      <c r="S2283" s="1"/>
      <c r="T2283" s="1"/>
    </row>
    <row r="2284" spans="1:20">
      <c r="A2284" s="1">
        <v>11150</v>
      </c>
      <c r="B2284" s="42">
        <v>0.66300000000000003</v>
      </c>
      <c r="C2284" s="42">
        <v>0.66400000000000003</v>
      </c>
      <c r="D2284" s="42">
        <v>0.66400000000000003</v>
      </c>
      <c r="E2284" s="42">
        <v>0.66500000000000004</v>
      </c>
      <c r="F2284" s="42">
        <v>0.66500000000000004</v>
      </c>
      <c r="G2284" s="42">
        <v>0.66600000000000004</v>
      </c>
      <c r="H2284" s="42">
        <v>0.66700000000000004</v>
      </c>
      <c r="I2284" s="42">
        <v>0.66800000000000004</v>
      </c>
      <c r="J2284" s="21">
        <v>106</v>
      </c>
      <c r="K2284" s="1"/>
      <c r="L2284" s="1"/>
      <c r="M2284" s="1"/>
      <c r="N2284" s="1"/>
      <c r="O2284" s="1"/>
      <c r="P2284" s="365"/>
      <c r="Q2284" s="1"/>
      <c r="R2284" s="1"/>
      <c r="S2284" s="1"/>
      <c r="T2284" s="1"/>
    </row>
    <row r="2285" spans="1:20">
      <c r="A2285" s="1">
        <v>11200</v>
      </c>
      <c r="B2285" s="42">
        <v>0.45</v>
      </c>
      <c r="C2285" s="42">
        <v>0.45100000000000001</v>
      </c>
      <c r="D2285" s="42">
        <v>0.45200000000000001</v>
      </c>
      <c r="E2285" s="42">
        <v>0.45200000000000001</v>
      </c>
      <c r="F2285" s="42">
        <v>0.45300000000000001</v>
      </c>
      <c r="G2285" s="42">
        <v>0.45300000000000001</v>
      </c>
      <c r="H2285" s="42">
        <v>0.45400000000000001</v>
      </c>
      <c r="I2285" s="42">
        <v>0.45500000000000002</v>
      </c>
      <c r="J2285" s="21">
        <v>56</v>
      </c>
      <c r="K2285" s="1"/>
      <c r="L2285" s="1"/>
      <c r="M2285" s="1"/>
      <c r="N2285" s="1"/>
      <c r="O2285" s="1"/>
      <c r="P2285" s="365"/>
      <c r="Q2285" s="1"/>
      <c r="R2285" s="1"/>
      <c r="S2285" s="1"/>
      <c r="T2285" s="1"/>
    </row>
    <row r="2286" spans="1:20">
      <c r="A2286" s="1">
        <v>11250</v>
      </c>
      <c r="B2286" s="42">
        <v>0.23799999999999999</v>
      </c>
      <c r="C2286" s="42">
        <v>0.23899999999999999</v>
      </c>
      <c r="D2286" s="42">
        <v>0.24</v>
      </c>
      <c r="E2286" s="42">
        <v>0.24</v>
      </c>
      <c r="F2286" s="42">
        <v>0.24</v>
      </c>
      <c r="G2286" s="42">
        <v>0.24099999999999999</v>
      </c>
      <c r="H2286" s="42">
        <v>0.24199999999999999</v>
      </c>
      <c r="I2286" s="42">
        <v>0.24299999999999999</v>
      </c>
      <c r="J2286" s="21">
        <v>6</v>
      </c>
      <c r="K2286" s="1"/>
      <c r="L2286" s="1"/>
      <c r="M2286" s="1"/>
      <c r="N2286" s="1"/>
      <c r="O2286" s="1"/>
      <c r="P2286" s="365"/>
      <c r="Q2286" s="1"/>
      <c r="R2286" s="1"/>
      <c r="S2286" s="1"/>
      <c r="T2286" s="1"/>
    </row>
    <row r="2287" spans="1:20">
      <c r="A2287" s="1">
        <v>11256</v>
      </c>
      <c r="B2287" s="42">
        <v>0.215</v>
      </c>
      <c r="C2287" s="42">
        <v>0.216</v>
      </c>
      <c r="D2287" s="42">
        <v>0.216</v>
      </c>
      <c r="E2287" s="42">
        <v>0.217</v>
      </c>
      <c r="F2287" s="42">
        <v>0.217</v>
      </c>
      <c r="G2287" s="42">
        <v>0.217</v>
      </c>
      <c r="H2287" s="42">
        <v>0.218</v>
      </c>
      <c r="I2287" s="42">
        <v>0.219</v>
      </c>
      <c r="J2287" s="21">
        <v>0</v>
      </c>
      <c r="K2287" s="1"/>
      <c r="L2287" s="1"/>
      <c r="M2287" s="1"/>
      <c r="N2287" s="1"/>
      <c r="O2287" s="1"/>
      <c r="P2287" s="365"/>
      <c r="Q2287" s="1"/>
      <c r="R2287" s="1"/>
      <c r="S2287" s="1"/>
      <c r="T2287" s="1"/>
    </row>
    <row r="2288" spans="1:20" hidden="1">
      <c r="B2288" s="19"/>
      <c r="C2288" s="19"/>
      <c r="D2288" s="19"/>
      <c r="E2288" s="19"/>
      <c r="F2288" s="19"/>
      <c r="G2288" s="19"/>
      <c r="H2288" s="19"/>
      <c r="I2288" s="19"/>
      <c r="J2288" s="19"/>
      <c r="K2288" s="421"/>
      <c r="L2288" s="23"/>
      <c r="M2288" s="19"/>
      <c r="N2288" s="19"/>
      <c r="O2288" s="19"/>
      <c r="P2288" s="19"/>
      <c r="Q2288" s="19"/>
    </row>
    <row r="2289" spans="2:17" hidden="1">
      <c r="B2289" s="19"/>
      <c r="C2289" s="19"/>
      <c r="D2289" s="19"/>
      <c r="E2289" s="19"/>
      <c r="F2289" s="19"/>
      <c r="G2289" s="19"/>
      <c r="H2289" s="19"/>
      <c r="I2289" s="19"/>
      <c r="J2289" s="19"/>
      <c r="K2289" s="421"/>
      <c r="L2289" s="23"/>
      <c r="M2289" s="19"/>
      <c r="N2289" s="19"/>
      <c r="O2289" s="19"/>
      <c r="P2289" s="19"/>
      <c r="Q2289" s="19"/>
    </row>
    <row r="2290" spans="2:17" hidden="1">
      <c r="B2290" s="19"/>
      <c r="C2290" s="19"/>
      <c r="D2290" s="19"/>
      <c r="E2290" s="19"/>
      <c r="F2290" s="19"/>
      <c r="G2290" s="19"/>
      <c r="H2290" s="19"/>
      <c r="I2290" s="19"/>
      <c r="J2290" s="19"/>
      <c r="K2290" s="421"/>
      <c r="L2290" s="23"/>
      <c r="M2290" s="19"/>
      <c r="N2290" s="19"/>
      <c r="O2290" s="19"/>
      <c r="P2290" s="19"/>
      <c r="Q2290" s="19"/>
    </row>
    <row r="2291" spans="2:17" hidden="1">
      <c r="B2291" s="19"/>
      <c r="C2291" s="19"/>
      <c r="D2291" s="19"/>
      <c r="E2291" s="19"/>
      <c r="F2291" s="19"/>
      <c r="G2291" s="19"/>
      <c r="H2291" s="19"/>
      <c r="I2291" s="19"/>
      <c r="J2291" s="19"/>
      <c r="K2291" s="421"/>
      <c r="L2291" s="23"/>
      <c r="M2291" s="19"/>
      <c r="N2291" s="19"/>
      <c r="O2291" s="19"/>
      <c r="P2291" s="19"/>
      <c r="Q2291" s="19"/>
    </row>
    <row r="2292" spans="2:17" hidden="1">
      <c r="B2292" s="19"/>
      <c r="C2292" s="19"/>
      <c r="D2292" s="19"/>
      <c r="E2292" s="19"/>
      <c r="F2292" s="19"/>
      <c r="G2292" s="19"/>
      <c r="H2292" s="19"/>
      <c r="I2292" s="19"/>
      <c r="J2292" s="19"/>
      <c r="K2292" s="421"/>
      <c r="L2292" s="23"/>
      <c r="M2292" s="19"/>
      <c r="N2292" s="19"/>
      <c r="O2292" s="19"/>
      <c r="P2292" s="19"/>
      <c r="Q2292" s="19"/>
    </row>
    <row r="2293" spans="2:17" hidden="1">
      <c r="B2293" s="19"/>
      <c r="C2293" s="19"/>
      <c r="D2293" s="19"/>
      <c r="E2293" s="19"/>
      <c r="F2293" s="19"/>
      <c r="G2293" s="19"/>
      <c r="H2293" s="19"/>
      <c r="I2293" s="19"/>
      <c r="J2293" s="19"/>
      <c r="K2293" s="421"/>
      <c r="L2293" s="23"/>
      <c r="M2293" s="19"/>
      <c r="N2293" s="19"/>
      <c r="O2293" s="19"/>
      <c r="P2293" s="19"/>
      <c r="Q2293" s="19"/>
    </row>
    <row r="2294" spans="2:17" hidden="1">
      <c r="B2294" s="19"/>
      <c r="C2294" s="19"/>
      <c r="D2294" s="19"/>
      <c r="E2294" s="19"/>
      <c r="F2294" s="19"/>
      <c r="G2294" s="19"/>
      <c r="H2294" s="19"/>
      <c r="I2294" s="19"/>
      <c r="J2294" s="19"/>
      <c r="K2294" s="421"/>
      <c r="L2294" s="23"/>
      <c r="M2294" s="19"/>
      <c r="N2294" s="19"/>
      <c r="O2294" s="19"/>
      <c r="P2294" s="19"/>
      <c r="Q2294" s="19"/>
    </row>
    <row r="2295" spans="2:17" hidden="1">
      <c r="B2295" s="19"/>
      <c r="C2295" s="19"/>
      <c r="D2295" s="19"/>
      <c r="E2295" s="19"/>
      <c r="F2295" s="19"/>
      <c r="G2295" s="19"/>
      <c r="H2295" s="19"/>
      <c r="I2295" s="19"/>
      <c r="J2295" s="19"/>
      <c r="K2295" s="421"/>
      <c r="L2295" s="23"/>
      <c r="M2295" s="19"/>
      <c r="N2295" s="19"/>
      <c r="O2295" s="19"/>
      <c r="P2295" s="19"/>
      <c r="Q2295" s="19"/>
    </row>
    <row r="2296" spans="2:17" hidden="1">
      <c r="B2296" s="19"/>
      <c r="C2296" s="19"/>
      <c r="D2296" s="19"/>
      <c r="E2296" s="19"/>
      <c r="F2296" s="19"/>
      <c r="G2296" s="19"/>
      <c r="H2296" s="19"/>
      <c r="I2296" s="19"/>
      <c r="J2296" s="19"/>
      <c r="K2296" s="421"/>
      <c r="L2296" s="23"/>
      <c r="M2296" s="19"/>
      <c r="N2296" s="19"/>
      <c r="O2296" s="19"/>
      <c r="P2296" s="19"/>
      <c r="Q2296" s="19"/>
    </row>
    <row r="2297" spans="2:17" hidden="1">
      <c r="B2297" s="19"/>
      <c r="C2297" s="19"/>
      <c r="D2297" s="19"/>
      <c r="E2297" s="19"/>
      <c r="F2297" s="19"/>
      <c r="G2297" s="19"/>
      <c r="H2297" s="19"/>
      <c r="I2297" s="19"/>
      <c r="J2297" s="19"/>
      <c r="K2297" s="421"/>
      <c r="L2297" s="23"/>
      <c r="M2297" s="19"/>
      <c r="N2297" s="19"/>
      <c r="O2297" s="19"/>
      <c r="P2297" s="19"/>
      <c r="Q2297" s="19"/>
    </row>
    <row r="2298" spans="2:17" hidden="1">
      <c r="B2298" s="19"/>
      <c r="C2298" s="19"/>
      <c r="D2298" s="19"/>
      <c r="E2298" s="19"/>
      <c r="F2298" s="19"/>
      <c r="G2298" s="19"/>
      <c r="H2298" s="19"/>
      <c r="I2298" s="19"/>
      <c r="J2298" s="19"/>
      <c r="K2298" s="421"/>
      <c r="L2298" s="23"/>
      <c r="M2298" s="19"/>
      <c r="N2298" s="19"/>
      <c r="O2298" s="19"/>
      <c r="P2298" s="19"/>
      <c r="Q2298" s="19"/>
    </row>
    <row r="2299" spans="2:17" hidden="1">
      <c r="B2299" s="19"/>
      <c r="C2299" s="19"/>
      <c r="D2299" s="19"/>
      <c r="E2299" s="19"/>
      <c r="F2299" s="19"/>
      <c r="G2299" s="19"/>
      <c r="H2299" s="19"/>
      <c r="I2299" s="19"/>
      <c r="J2299" s="19"/>
      <c r="K2299" s="421"/>
      <c r="L2299" s="23"/>
      <c r="M2299" s="19"/>
      <c r="N2299" s="19"/>
      <c r="O2299" s="19"/>
      <c r="P2299" s="19"/>
      <c r="Q2299" s="19"/>
    </row>
    <row r="2300" spans="2:17" hidden="1">
      <c r="B2300" s="19"/>
      <c r="C2300" s="19"/>
      <c r="D2300" s="19"/>
      <c r="E2300" s="19"/>
      <c r="F2300" s="19"/>
      <c r="G2300" s="19"/>
      <c r="H2300" s="19"/>
      <c r="I2300" s="19"/>
      <c r="J2300" s="19"/>
      <c r="K2300" s="421"/>
      <c r="L2300" s="23"/>
      <c r="M2300" s="19"/>
      <c r="N2300" s="19"/>
      <c r="O2300" s="19"/>
      <c r="P2300" s="19"/>
      <c r="Q2300" s="19"/>
    </row>
    <row r="2301" spans="2:17" hidden="1">
      <c r="B2301" s="19"/>
      <c r="C2301" s="19"/>
      <c r="D2301" s="19"/>
      <c r="E2301" s="19"/>
      <c r="F2301" s="19"/>
      <c r="G2301" s="19"/>
      <c r="H2301" s="19"/>
      <c r="I2301" s="19"/>
      <c r="J2301" s="19"/>
      <c r="K2301" s="421"/>
      <c r="L2301" s="23"/>
      <c r="M2301" s="19"/>
      <c r="N2301" s="19"/>
      <c r="O2301" s="19"/>
      <c r="P2301" s="19"/>
      <c r="Q2301" s="19"/>
    </row>
    <row r="2302" spans="2:17" hidden="1">
      <c r="B2302" s="19"/>
      <c r="C2302" s="19"/>
      <c r="D2302" s="19"/>
      <c r="E2302" s="19"/>
      <c r="F2302" s="19"/>
      <c r="G2302" s="19"/>
      <c r="H2302" s="19"/>
      <c r="I2302" s="19"/>
      <c r="J2302" s="19"/>
      <c r="K2302" s="421"/>
      <c r="L2302" s="23"/>
      <c r="M2302" s="19"/>
      <c r="N2302" s="19"/>
      <c r="O2302" s="19"/>
      <c r="P2302" s="19"/>
      <c r="Q2302" s="19"/>
    </row>
    <row r="2303" spans="2:17" hidden="1">
      <c r="B2303" s="19"/>
      <c r="C2303" s="19"/>
      <c r="D2303" s="19"/>
      <c r="E2303" s="19"/>
      <c r="F2303" s="19"/>
      <c r="G2303" s="19"/>
      <c r="H2303" s="19"/>
      <c r="I2303" s="19"/>
      <c r="J2303" s="19"/>
      <c r="K2303" s="421"/>
      <c r="L2303" s="23"/>
      <c r="M2303" s="19"/>
      <c r="N2303" s="19"/>
      <c r="O2303" s="19"/>
      <c r="P2303" s="19"/>
      <c r="Q2303" s="19"/>
    </row>
    <row r="2304" spans="2:17" hidden="1">
      <c r="B2304" s="19"/>
      <c r="C2304" s="19"/>
      <c r="D2304" s="19"/>
      <c r="E2304" s="19"/>
      <c r="F2304" s="19"/>
      <c r="G2304" s="19"/>
      <c r="H2304" s="19"/>
      <c r="I2304" s="19"/>
      <c r="J2304" s="19"/>
      <c r="K2304" s="421"/>
      <c r="L2304" s="23"/>
      <c r="M2304" s="19"/>
      <c r="N2304" s="19"/>
      <c r="O2304" s="19"/>
      <c r="P2304" s="19"/>
      <c r="Q2304" s="19"/>
    </row>
    <row r="2305" spans="2:17" hidden="1">
      <c r="B2305" s="19"/>
      <c r="C2305" s="19"/>
      <c r="D2305" s="19"/>
      <c r="E2305" s="19"/>
      <c r="F2305" s="19"/>
      <c r="G2305" s="19"/>
      <c r="H2305" s="19"/>
      <c r="I2305" s="19"/>
      <c r="J2305" s="19"/>
      <c r="K2305" s="421"/>
      <c r="L2305" s="23"/>
      <c r="M2305" s="19"/>
      <c r="N2305" s="19"/>
      <c r="O2305" s="19"/>
      <c r="P2305" s="19"/>
      <c r="Q2305" s="19"/>
    </row>
    <row r="2306" spans="2:17" hidden="1">
      <c r="B2306" s="19"/>
      <c r="C2306" s="19"/>
      <c r="D2306" s="19"/>
      <c r="E2306" s="19"/>
      <c r="F2306" s="19"/>
      <c r="G2306" s="19"/>
      <c r="H2306" s="19"/>
      <c r="I2306" s="19"/>
      <c r="J2306" s="19"/>
      <c r="K2306" s="421"/>
      <c r="L2306" s="23"/>
      <c r="M2306" s="19"/>
      <c r="N2306" s="19"/>
      <c r="O2306" s="19"/>
      <c r="P2306" s="19"/>
      <c r="Q2306" s="19"/>
    </row>
    <row r="2307" spans="2:17" hidden="1">
      <c r="B2307" s="19"/>
      <c r="C2307" s="19"/>
      <c r="D2307" s="19"/>
      <c r="E2307" s="19"/>
      <c r="F2307" s="19"/>
      <c r="G2307" s="19"/>
      <c r="H2307" s="19"/>
      <c r="I2307" s="19"/>
      <c r="J2307" s="19"/>
      <c r="K2307" s="421"/>
      <c r="L2307" s="23"/>
      <c r="M2307" s="19"/>
      <c r="N2307" s="19"/>
      <c r="O2307" s="19"/>
      <c r="P2307" s="19"/>
      <c r="Q2307" s="19"/>
    </row>
    <row r="2308" spans="2:17" hidden="1">
      <c r="B2308" s="19"/>
      <c r="C2308" s="19"/>
      <c r="D2308" s="19"/>
      <c r="E2308" s="19"/>
      <c r="F2308" s="19"/>
      <c r="G2308" s="19"/>
      <c r="H2308" s="19"/>
      <c r="I2308" s="19"/>
      <c r="J2308" s="19"/>
      <c r="K2308" s="421"/>
      <c r="L2308" s="23"/>
      <c r="M2308" s="19"/>
      <c r="N2308" s="19"/>
      <c r="O2308" s="19"/>
      <c r="P2308" s="19"/>
      <c r="Q2308" s="19"/>
    </row>
    <row r="2309" spans="2:17" hidden="1">
      <c r="B2309" s="19"/>
      <c r="C2309" s="19"/>
      <c r="D2309" s="19"/>
      <c r="E2309" s="19"/>
      <c r="F2309" s="19"/>
      <c r="G2309" s="19"/>
      <c r="H2309" s="19"/>
      <c r="I2309" s="19"/>
      <c r="J2309" s="19"/>
      <c r="K2309" s="421"/>
      <c r="L2309" s="23"/>
      <c r="M2309" s="19"/>
      <c r="N2309" s="19"/>
      <c r="O2309" s="19"/>
      <c r="P2309" s="19"/>
      <c r="Q2309" s="19"/>
    </row>
    <row r="2310" spans="2:17" hidden="1">
      <c r="B2310" s="19"/>
      <c r="C2310" s="19"/>
      <c r="D2310" s="19"/>
      <c r="E2310" s="19"/>
      <c r="F2310" s="19"/>
      <c r="G2310" s="19"/>
      <c r="H2310" s="19"/>
      <c r="I2310" s="19"/>
      <c r="J2310" s="19"/>
      <c r="K2310" s="421"/>
      <c r="L2310" s="23"/>
      <c r="M2310" s="19"/>
      <c r="N2310" s="19"/>
      <c r="O2310" s="19"/>
      <c r="P2310" s="19"/>
      <c r="Q2310" s="19"/>
    </row>
    <row r="2311" spans="2:17" hidden="1">
      <c r="B2311" s="19"/>
      <c r="C2311" s="19"/>
      <c r="D2311" s="19"/>
      <c r="E2311" s="19"/>
      <c r="F2311" s="19"/>
      <c r="G2311" s="19"/>
      <c r="H2311" s="19"/>
      <c r="I2311" s="19"/>
      <c r="J2311" s="19"/>
      <c r="K2311" s="421"/>
      <c r="L2311" s="23"/>
      <c r="M2311" s="19"/>
      <c r="N2311" s="19"/>
      <c r="O2311" s="19"/>
      <c r="P2311" s="19"/>
      <c r="Q2311" s="19"/>
    </row>
    <row r="2312" spans="2:17" hidden="1">
      <c r="B2312" s="19"/>
      <c r="C2312" s="19"/>
      <c r="D2312" s="19"/>
      <c r="E2312" s="19"/>
      <c r="F2312" s="19"/>
      <c r="G2312" s="19"/>
      <c r="H2312" s="19"/>
      <c r="I2312" s="19"/>
      <c r="J2312" s="19"/>
      <c r="K2312" s="421"/>
      <c r="L2312" s="23"/>
      <c r="M2312" s="19"/>
      <c r="N2312" s="19"/>
      <c r="O2312" s="19"/>
      <c r="P2312" s="19"/>
      <c r="Q2312" s="19"/>
    </row>
    <row r="2313" spans="2:17" hidden="1">
      <c r="B2313" s="19"/>
      <c r="C2313" s="19"/>
      <c r="D2313" s="19"/>
      <c r="E2313" s="19"/>
      <c r="F2313" s="19"/>
      <c r="G2313" s="19"/>
      <c r="H2313" s="19"/>
      <c r="I2313" s="19"/>
      <c r="J2313" s="19"/>
      <c r="K2313" s="421"/>
      <c r="L2313" s="23"/>
      <c r="M2313" s="19"/>
      <c r="N2313" s="19"/>
      <c r="O2313" s="19"/>
      <c r="P2313" s="19"/>
      <c r="Q2313" s="19"/>
    </row>
    <row r="2314" spans="2:17" hidden="1">
      <c r="B2314" s="19"/>
      <c r="C2314" s="19"/>
      <c r="D2314" s="19"/>
      <c r="E2314" s="19"/>
      <c r="F2314" s="19"/>
      <c r="G2314" s="19"/>
      <c r="H2314" s="19"/>
      <c r="I2314" s="19"/>
      <c r="J2314" s="19"/>
      <c r="K2314" s="421"/>
      <c r="L2314" s="23"/>
      <c r="M2314" s="19"/>
      <c r="N2314" s="19"/>
      <c r="O2314" s="19"/>
      <c r="P2314" s="19"/>
      <c r="Q2314" s="19"/>
    </row>
    <row r="2315" spans="2:17" hidden="1">
      <c r="B2315" s="19"/>
      <c r="C2315" s="19"/>
      <c r="D2315" s="19"/>
      <c r="E2315" s="19"/>
      <c r="F2315" s="19"/>
      <c r="G2315" s="19"/>
      <c r="H2315" s="19"/>
      <c r="I2315" s="19"/>
      <c r="J2315" s="19"/>
      <c r="K2315" s="421"/>
      <c r="L2315" s="23"/>
      <c r="M2315" s="19"/>
      <c r="N2315" s="19"/>
      <c r="O2315" s="19"/>
      <c r="P2315" s="19"/>
      <c r="Q2315" s="19"/>
    </row>
    <row r="2316" spans="2:17" hidden="1">
      <c r="B2316" s="19"/>
      <c r="C2316" s="19"/>
      <c r="D2316" s="19"/>
      <c r="E2316" s="19"/>
      <c r="F2316" s="19"/>
      <c r="G2316" s="19"/>
      <c r="H2316" s="19"/>
      <c r="I2316" s="19"/>
      <c r="J2316" s="19"/>
      <c r="K2316" s="421"/>
      <c r="L2316" s="23"/>
      <c r="M2316" s="19"/>
      <c r="N2316" s="19"/>
      <c r="O2316" s="19"/>
      <c r="P2316" s="19"/>
      <c r="Q2316" s="19"/>
    </row>
    <row r="2317" spans="2:17" hidden="1">
      <c r="B2317" s="19"/>
      <c r="C2317" s="19"/>
      <c r="D2317" s="19"/>
      <c r="E2317" s="19"/>
      <c r="F2317" s="19"/>
      <c r="G2317" s="19"/>
      <c r="H2317" s="19"/>
      <c r="I2317" s="19"/>
      <c r="J2317" s="19"/>
      <c r="K2317" s="421"/>
      <c r="L2317" s="23"/>
      <c r="M2317" s="19"/>
      <c r="N2317" s="19"/>
      <c r="O2317" s="19"/>
      <c r="P2317" s="19"/>
      <c r="Q2317" s="19"/>
    </row>
    <row r="2318" spans="2:17" hidden="1">
      <c r="B2318" s="19"/>
      <c r="C2318" s="19"/>
      <c r="D2318" s="19"/>
      <c r="E2318" s="19"/>
      <c r="F2318" s="19"/>
      <c r="G2318" s="19"/>
      <c r="H2318" s="19"/>
      <c r="I2318" s="19"/>
      <c r="J2318" s="19"/>
      <c r="K2318" s="421"/>
      <c r="L2318" s="23"/>
      <c r="M2318" s="19"/>
      <c r="N2318" s="19"/>
      <c r="O2318" s="19"/>
      <c r="P2318" s="19"/>
      <c r="Q2318" s="19"/>
    </row>
    <row r="2319" spans="2:17" hidden="1">
      <c r="B2319" s="19"/>
      <c r="C2319" s="19"/>
      <c r="D2319" s="19"/>
      <c r="E2319" s="19"/>
      <c r="F2319" s="19"/>
      <c r="G2319" s="19"/>
      <c r="H2319" s="19"/>
      <c r="I2319" s="19"/>
      <c r="J2319" s="19"/>
      <c r="K2319" s="421"/>
      <c r="L2319" s="23"/>
      <c r="M2319" s="19"/>
      <c r="N2319" s="19"/>
      <c r="O2319" s="19"/>
      <c r="P2319" s="19"/>
      <c r="Q2319" s="19"/>
    </row>
    <row r="2320" spans="2:17" hidden="1">
      <c r="B2320" s="19"/>
      <c r="C2320" s="19"/>
      <c r="D2320" s="19"/>
      <c r="E2320" s="19"/>
      <c r="F2320" s="19"/>
      <c r="G2320" s="19"/>
      <c r="H2320" s="19"/>
      <c r="I2320" s="19"/>
      <c r="J2320" s="19"/>
      <c r="K2320" s="421"/>
      <c r="L2320" s="23"/>
      <c r="M2320" s="19"/>
      <c r="N2320" s="19"/>
      <c r="O2320" s="19"/>
      <c r="P2320" s="19"/>
      <c r="Q2320" s="19"/>
    </row>
    <row r="2321" spans="1:28" hidden="1">
      <c r="B2321" s="19"/>
      <c r="C2321" s="19"/>
      <c r="D2321" s="19"/>
      <c r="E2321" s="19"/>
      <c r="F2321" s="19"/>
      <c r="G2321" s="19"/>
      <c r="H2321" s="19"/>
      <c r="I2321" s="19"/>
      <c r="J2321" s="19"/>
      <c r="K2321" s="421"/>
      <c r="L2321" s="23"/>
      <c r="M2321" s="19"/>
      <c r="N2321" s="19"/>
      <c r="O2321" s="19"/>
      <c r="P2321" s="19"/>
      <c r="Q2321" s="19"/>
    </row>
    <row r="2322" spans="1:28" hidden="1">
      <c r="B2322" s="19"/>
      <c r="C2322" s="19"/>
      <c r="D2322" s="19"/>
      <c r="E2322" s="19"/>
      <c r="F2322" s="19"/>
      <c r="G2322" s="19"/>
      <c r="H2322" s="19"/>
      <c r="I2322" s="19"/>
      <c r="J2322" s="19"/>
      <c r="K2322" s="421"/>
      <c r="L2322" s="23"/>
      <c r="M2322" s="19"/>
      <c r="N2322" s="19"/>
      <c r="O2322" s="19"/>
      <c r="P2322" s="19"/>
      <c r="Q2322" s="19"/>
    </row>
    <row r="2323" spans="1:28" hidden="1">
      <c r="B2323" s="19"/>
      <c r="C2323" s="19"/>
      <c r="D2323" s="19"/>
      <c r="E2323" s="19"/>
      <c r="F2323" s="19"/>
      <c r="G2323" s="19"/>
      <c r="H2323" s="19"/>
      <c r="I2323" s="19"/>
      <c r="J2323" s="19"/>
      <c r="K2323" s="421"/>
      <c r="L2323" s="23"/>
      <c r="M2323" s="19"/>
      <c r="N2323" s="19"/>
      <c r="O2323" s="19"/>
      <c r="P2323" s="19"/>
      <c r="Q2323" s="19"/>
    </row>
    <row r="2324" spans="1:28" hidden="1"/>
    <row r="2325" spans="1:28" hidden="1"/>
    <row r="2326" spans="1:28" ht="18.75">
      <c r="A2326" s="410" t="s">
        <v>443</v>
      </c>
      <c r="B2326" s="410"/>
      <c r="C2326" s="410"/>
      <c r="D2326" s="410"/>
      <c r="E2326" s="410"/>
      <c r="F2326" s="410"/>
      <c r="G2326" s="410"/>
      <c r="H2326" s="410"/>
      <c r="I2326" s="410"/>
      <c r="J2326" s="410"/>
      <c r="K2326" s="410"/>
      <c r="L2326" s="410"/>
      <c r="M2326" s="410"/>
      <c r="N2326" s="410"/>
      <c r="O2326" s="410"/>
      <c r="P2326" s="410"/>
      <c r="Q2326" s="410"/>
      <c r="V2326" s="914"/>
      <c r="W2326" s="914"/>
      <c r="X2326" s="38"/>
    </row>
    <row r="2327" spans="1:28">
      <c r="B2327" s="21">
        <f>COUNT(B2330:B2526)</f>
        <v>197</v>
      </c>
      <c r="C2327" s="21">
        <f t="shared" ref="C2327:I2327" si="32">COUNT(C2330:C2526)</f>
        <v>197</v>
      </c>
      <c r="D2327" s="21">
        <f t="shared" si="32"/>
        <v>197</v>
      </c>
      <c r="E2327" s="21">
        <f t="shared" si="32"/>
        <v>197</v>
      </c>
      <c r="F2327" s="21">
        <f t="shared" si="32"/>
        <v>197</v>
      </c>
      <c r="G2327" s="21">
        <f t="shared" si="32"/>
        <v>197</v>
      </c>
      <c r="H2327" s="21">
        <f t="shared" si="32"/>
        <v>197</v>
      </c>
      <c r="I2327" s="21">
        <f t="shared" si="32"/>
        <v>197</v>
      </c>
      <c r="L2327" s="21">
        <f>COUNT(L2330:L2432)</f>
        <v>99</v>
      </c>
      <c r="M2327" s="21">
        <f t="shared" ref="M2327:T2327" si="33">COUNT(M2330:M2432)</f>
        <v>99</v>
      </c>
      <c r="N2327" s="21">
        <f t="shared" si="33"/>
        <v>99</v>
      </c>
      <c r="O2327" s="21">
        <f t="shared" si="33"/>
        <v>99</v>
      </c>
      <c r="P2327" s="21">
        <f t="shared" si="33"/>
        <v>99</v>
      </c>
      <c r="Q2327" s="21">
        <f t="shared" si="33"/>
        <v>99</v>
      </c>
      <c r="R2327" s="21">
        <f t="shared" si="33"/>
        <v>99</v>
      </c>
      <c r="S2327" s="21">
        <f t="shared" si="33"/>
        <v>99</v>
      </c>
      <c r="T2327" s="21">
        <f t="shared" si="33"/>
        <v>99</v>
      </c>
      <c r="V2327" s="916"/>
      <c r="W2327" s="916"/>
      <c r="X2327" s="39"/>
      <c r="Z2327" s="916"/>
      <c r="AA2327" s="916"/>
      <c r="AB2327" s="40"/>
    </row>
    <row r="2328" spans="1:28" ht="15" customHeight="1">
      <c r="A2328" s="915" t="s">
        <v>417</v>
      </c>
      <c r="B2328" s="21">
        <f>COUNTA(B2330:B2526)</f>
        <v>197</v>
      </c>
      <c r="C2328" s="21">
        <f t="shared" ref="C2328:I2328" si="34">COUNTA(C2330:C2526)</f>
        <v>197</v>
      </c>
      <c r="D2328" s="21">
        <f t="shared" si="34"/>
        <v>197</v>
      </c>
      <c r="E2328" s="21">
        <f t="shared" si="34"/>
        <v>197</v>
      </c>
      <c r="F2328" s="21">
        <f t="shared" si="34"/>
        <v>197</v>
      </c>
      <c r="G2328" s="21">
        <f t="shared" si="34"/>
        <v>197</v>
      </c>
      <c r="H2328" s="21">
        <f t="shared" si="34"/>
        <v>197</v>
      </c>
      <c r="I2328" s="21">
        <f t="shared" si="34"/>
        <v>197</v>
      </c>
      <c r="J2328" s="905" t="s">
        <v>418</v>
      </c>
      <c r="K2328" s="906" t="s">
        <v>419</v>
      </c>
      <c r="L2328" s="21">
        <f>COUNTA(L2330:L2432)</f>
        <v>99</v>
      </c>
      <c r="M2328" s="21">
        <f t="shared" ref="M2328:T2328" si="35">COUNTA(M2330:M2432)</f>
        <v>99</v>
      </c>
      <c r="N2328" s="21">
        <f t="shared" si="35"/>
        <v>99</v>
      </c>
      <c r="O2328" s="21">
        <f t="shared" si="35"/>
        <v>99</v>
      </c>
      <c r="P2328" s="21">
        <f t="shared" si="35"/>
        <v>99</v>
      </c>
      <c r="Q2328" s="21">
        <f t="shared" si="35"/>
        <v>99</v>
      </c>
      <c r="R2328" s="21">
        <f t="shared" si="35"/>
        <v>99</v>
      </c>
      <c r="S2328" s="21">
        <f t="shared" si="35"/>
        <v>99</v>
      </c>
      <c r="T2328" s="21">
        <f t="shared" si="35"/>
        <v>99</v>
      </c>
      <c r="V2328" s="1">
        <f>heeling</f>
        <v>0</v>
      </c>
      <c r="W2328" s="382">
        <f>sound29</f>
        <v>1750</v>
      </c>
      <c r="X2328" s="186">
        <f>IF((W2328+W2331)&lt;0,W2328,W2328+W2331)</f>
        <v>1750</v>
      </c>
      <c r="Y2328" s="381">
        <f>IF(Y2330=Y2329,Y2329,Interp1(X2329:X2330,Y2329:Y2330,X2328))</f>
        <v>50.033999999999999</v>
      </c>
      <c r="AA2328" s="30"/>
    </row>
    <row r="2329" spans="1:28">
      <c r="A2329" s="915"/>
      <c r="B2329" s="36">
        <v>-1</v>
      </c>
      <c r="C2329" s="35">
        <v>0</v>
      </c>
      <c r="D2329" s="35">
        <v>0.5</v>
      </c>
      <c r="E2329" s="35">
        <v>1</v>
      </c>
      <c r="F2329" s="35">
        <v>1.5</v>
      </c>
      <c r="G2329" s="35">
        <v>2</v>
      </c>
      <c r="H2329" s="37">
        <v>3</v>
      </c>
      <c r="I2329" s="21">
        <v>4</v>
      </c>
      <c r="J2329" s="905"/>
      <c r="K2329" s="906"/>
      <c r="L2329" s="21">
        <v>-4</v>
      </c>
      <c r="M2329" s="35">
        <v>-3</v>
      </c>
      <c r="N2329" s="35">
        <v>-2</v>
      </c>
      <c r="O2329" s="35">
        <v>-1</v>
      </c>
      <c r="P2329" s="35">
        <v>0</v>
      </c>
      <c r="Q2329" s="35">
        <v>1</v>
      </c>
      <c r="R2329" s="35">
        <v>2</v>
      </c>
      <c r="S2329" s="35">
        <v>3</v>
      </c>
      <c r="T2329" s="35">
        <v>4</v>
      </c>
      <c r="V2329" s="1">
        <f>IF(tankSound9=soundingPipe9,tankSound9,FLOOR(W2328,incHeel))</f>
        <v>1700</v>
      </c>
      <c r="W2329" s="1">
        <f>Interp2(tank9Heel1,tank9Heel2,tank9Heel3,V2329,V2328)</f>
        <v>0</v>
      </c>
      <c r="X2329" s="1">
        <f>IF(X2328=soundingPipe9,Tank1!X2328,FLOOR(X2328,inc))</f>
        <v>1750</v>
      </c>
      <c r="Y2329" s="42">
        <f>IF(W2334=W2333,W2333,Interp1(V2333:V2334,W2333:W2334,V2332))</f>
        <v>50.033999999999999</v>
      </c>
      <c r="AA2329" s="30"/>
    </row>
    <row r="2330" spans="1:28">
      <c r="A2330" s="1">
        <v>1500</v>
      </c>
      <c r="B2330" s="1">
        <v>51.176000000000002</v>
      </c>
      <c r="C2330" s="1">
        <v>51.176000000000002</v>
      </c>
      <c r="D2330" s="1">
        <v>51.176000000000002</v>
      </c>
      <c r="E2330" s="1">
        <v>51.176000000000002</v>
      </c>
      <c r="F2330" s="1">
        <v>51.176000000000002</v>
      </c>
      <c r="G2330" s="1">
        <v>51.176000000000002</v>
      </c>
      <c r="H2330" s="1">
        <v>51.176000000000002</v>
      </c>
      <c r="I2330" s="1">
        <v>51.176000000000002</v>
      </c>
      <c r="J2330" s="21">
        <v>9755</v>
      </c>
      <c r="K2330" s="1">
        <v>1500</v>
      </c>
      <c r="L2330" s="1">
        <v>0</v>
      </c>
      <c r="M2330" s="1">
        <v>0</v>
      </c>
      <c r="N2330" s="1">
        <v>0</v>
      </c>
      <c r="O2330" s="1">
        <v>0</v>
      </c>
      <c r="P2330" s="365">
        <v>0</v>
      </c>
      <c r="Q2330" s="1">
        <v>2.77</v>
      </c>
      <c r="R2330" s="1">
        <v>36.561999999999998</v>
      </c>
      <c r="S2330" s="1">
        <v>79.521000000000001</v>
      </c>
      <c r="T2330" s="1">
        <v>114.062</v>
      </c>
      <c r="U2330" s="24"/>
      <c r="V2330" s="1">
        <f>IF(V2329=tankSound9,V2329,CEILING(W2328,incHeel))</f>
        <v>1800</v>
      </c>
      <c r="W2330" s="1">
        <f>Interp2(tank9Heel1,tank9Heel2,tank9Heel3,V2330,V2328)</f>
        <v>0</v>
      </c>
      <c r="X2330" s="1">
        <f>IF(X2329=X2328,X2329,CEILING(X2328,inc))</f>
        <v>1750</v>
      </c>
      <c r="Y2330" s="42">
        <f>IF(X2334=X2333,X2333,Interp1(V2333:V2334,X2333:X2334,V2332))</f>
        <v>50.033999999999999</v>
      </c>
      <c r="AA2330" s="30"/>
      <c r="AB2330" s="42"/>
    </row>
    <row r="2331" spans="1:28">
      <c r="A2331" s="1">
        <v>1550</v>
      </c>
      <c r="B2331" s="1">
        <v>51.124000000000002</v>
      </c>
      <c r="C2331" s="1">
        <v>51.140999999999998</v>
      </c>
      <c r="D2331" s="1">
        <v>51.15</v>
      </c>
      <c r="E2331" s="1">
        <v>51.158000000000001</v>
      </c>
      <c r="F2331" s="1">
        <v>51.162999999999997</v>
      </c>
      <c r="G2331" s="1">
        <v>51.165999999999997</v>
      </c>
      <c r="H2331" s="1">
        <v>51.167999999999999</v>
      </c>
      <c r="I2331" s="1">
        <v>51.168999999999997</v>
      </c>
      <c r="J2331" s="21">
        <v>9705</v>
      </c>
      <c r="K2331" s="1">
        <v>1600</v>
      </c>
      <c r="L2331" s="1">
        <v>-80.215999999999994</v>
      </c>
      <c r="M2331" s="1">
        <v>-76.73</v>
      </c>
      <c r="N2331" s="1">
        <v>-69.475999999999999</v>
      </c>
      <c r="O2331" s="1">
        <v>-47.125999999999998</v>
      </c>
      <c r="P2331" s="365">
        <v>0</v>
      </c>
      <c r="Q2331" s="1">
        <v>26.678999999999998</v>
      </c>
      <c r="R2331" s="1">
        <v>53.377000000000002</v>
      </c>
      <c r="S2331" s="1">
        <v>80.105000000000004</v>
      </c>
      <c r="T2331" s="1">
        <v>107.086</v>
      </c>
      <c r="U2331" s="25"/>
      <c r="W2331" s="1">
        <f>IF(W2330=W2329,W2329,Interp1(V2329:V2330,W2329:W2330,W2328))</f>
        <v>0</v>
      </c>
      <c r="Y2331" s="42"/>
      <c r="AA2331" s="30"/>
      <c r="AB2331" s="42"/>
    </row>
    <row r="2332" spans="1:28">
      <c r="A2332" s="1">
        <v>1600</v>
      </c>
      <c r="B2332" s="1">
        <v>50.843000000000004</v>
      </c>
      <c r="C2332" s="1">
        <v>50.86</v>
      </c>
      <c r="D2332" s="1">
        <v>50.868000000000002</v>
      </c>
      <c r="E2332" s="1">
        <v>50.877000000000002</v>
      </c>
      <c r="F2332" s="1">
        <v>50.884999999999998</v>
      </c>
      <c r="G2332" s="1">
        <v>50.893000000000001</v>
      </c>
      <c r="H2332" s="1">
        <v>50.91</v>
      </c>
      <c r="I2332" s="1">
        <v>50.927</v>
      </c>
      <c r="J2332" s="21">
        <v>9655</v>
      </c>
      <c r="K2332" s="1">
        <v>1700</v>
      </c>
      <c r="L2332" s="1">
        <v>-95.313000000000002</v>
      </c>
      <c r="M2332" s="1">
        <v>-79.113</v>
      </c>
      <c r="N2332" s="1">
        <v>-53.23</v>
      </c>
      <c r="O2332" s="1">
        <v>-26.605</v>
      </c>
      <c r="P2332" s="365">
        <v>0</v>
      </c>
      <c r="Q2332" s="1">
        <v>27.39</v>
      </c>
      <c r="R2332" s="1">
        <v>54.798000000000002</v>
      </c>
      <c r="S2332" s="1">
        <v>82.24</v>
      </c>
      <c r="T2332" s="1">
        <v>109.727</v>
      </c>
      <c r="U2332" s="25"/>
      <c r="V2332" s="1">
        <f>trim</f>
        <v>0.36</v>
      </c>
      <c r="AA2332" s="30"/>
      <c r="AB2332" s="42"/>
    </row>
    <row r="2333" spans="1:28">
      <c r="A2333" s="1">
        <v>1650</v>
      </c>
      <c r="B2333" s="1">
        <v>50.561999999999998</v>
      </c>
      <c r="C2333" s="1">
        <v>50.578000000000003</v>
      </c>
      <c r="D2333" s="1">
        <v>50.587000000000003</v>
      </c>
      <c r="E2333" s="1">
        <v>50.594999999999999</v>
      </c>
      <c r="F2333" s="1">
        <v>50.603999999999999</v>
      </c>
      <c r="G2333" s="1">
        <v>50.612000000000002</v>
      </c>
      <c r="H2333" s="1">
        <v>50.628999999999998</v>
      </c>
      <c r="I2333" s="1">
        <v>50.646000000000001</v>
      </c>
      <c r="J2333" s="21">
        <v>9605</v>
      </c>
      <c r="K2333" s="1">
        <v>1800</v>
      </c>
      <c r="L2333" s="1">
        <v>-107.63200000000001</v>
      </c>
      <c r="M2333" s="1">
        <v>-80.835999999999999</v>
      </c>
      <c r="N2333" s="1">
        <v>-53.863</v>
      </c>
      <c r="O2333" s="1">
        <v>-26.922999999999998</v>
      </c>
      <c r="P2333" s="365">
        <v>0</v>
      </c>
      <c r="Q2333" s="1">
        <v>26.923999999999999</v>
      </c>
      <c r="R2333" s="1">
        <v>53.862000000000002</v>
      </c>
      <c r="S2333" s="1">
        <v>80.835999999999999</v>
      </c>
      <c r="T2333" s="1">
        <v>107.857</v>
      </c>
      <c r="U2333" s="25"/>
      <c r="V2333" s="1">
        <f>INDEX(tank9Trim2,0,MATCH(V2332,tank9Trim2,1))</f>
        <v>0</v>
      </c>
      <c r="W2333" s="1">
        <f>Interp2(tank9Trim1,tank9Trim2,tank9Trim3,X2329,V2333)</f>
        <v>50.027999999999999</v>
      </c>
      <c r="X2333" s="1">
        <f>Interp2(tank9Trim1,tank9Trim2,tank9Trim3,X2330,V2333)</f>
        <v>50.027999999999999</v>
      </c>
      <c r="AA2333" s="30"/>
    </row>
    <row r="2334" spans="1:28">
      <c r="A2334" s="1">
        <v>1700</v>
      </c>
      <c r="B2334" s="1">
        <v>50.283000000000001</v>
      </c>
      <c r="C2334" s="1">
        <v>50.3</v>
      </c>
      <c r="D2334" s="1">
        <v>50.308999999999997</v>
      </c>
      <c r="E2334" s="1">
        <v>50.317</v>
      </c>
      <c r="F2334" s="1">
        <v>50.325000000000003</v>
      </c>
      <c r="G2334" s="1">
        <v>50.334000000000003</v>
      </c>
      <c r="H2334" s="1">
        <v>50.350999999999999</v>
      </c>
      <c r="I2334" s="1">
        <v>50.368000000000002</v>
      </c>
      <c r="J2334" s="21">
        <v>9555</v>
      </c>
      <c r="K2334" s="1">
        <v>1900</v>
      </c>
      <c r="L2334" s="1">
        <v>-105.983</v>
      </c>
      <c r="M2334" s="1">
        <v>-79.430999999999997</v>
      </c>
      <c r="N2334" s="1">
        <v>-52.927999999999997</v>
      </c>
      <c r="O2334" s="1">
        <v>-26.454999999999998</v>
      </c>
      <c r="P2334" s="365">
        <v>0</v>
      </c>
      <c r="Q2334" s="1">
        <v>26.457000000000001</v>
      </c>
      <c r="R2334" s="1">
        <v>52.927999999999997</v>
      </c>
      <c r="S2334" s="1">
        <v>79.433999999999997</v>
      </c>
      <c r="T2334" s="1">
        <v>105.986</v>
      </c>
      <c r="U2334" s="25"/>
      <c r="V2334" s="1">
        <f>IF(V2333=V2332,V2332,INDEX(tank9Trim2,0,MATCH(V2332,tank9Trim2,1)+1))</f>
        <v>0.5</v>
      </c>
      <c r="W2334" s="1">
        <f>Interp2(tank9Trim1,tank9Trim2,tank9Trim3,X2329,V2334)</f>
        <v>50.036999999999999</v>
      </c>
      <c r="X2334" s="1">
        <f>Interp2(tank9Trim1,tank9Trim2,tank9Trim3,X2330,V2334)</f>
        <v>50.036999999999999</v>
      </c>
      <c r="AA2334" s="30"/>
      <c r="AB2334" s="42"/>
    </row>
    <row r="2335" spans="1:28">
      <c r="A2335" s="1">
        <v>1750</v>
      </c>
      <c r="B2335" s="1">
        <v>50.011000000000003</v>
      </c>
      <c r="C2335" s="1">
        <v>50.027999999999999</v>
      </c>
      <c r="D2335" s="1">
        <v>50.036999999999999</v>
      </c>
      <c r="E2335" s="1">
        <v>50.045000000000002</v>
      </c>
      <c r="F2335" s="1">
        <v>50.054000000000002</v>
      </c>
      <c r="G2335" s="1">
        <v>50.061999999999998</v>
      </c>
      <c r="H2335" s="1">
        <v>50.079000000000001</v>
      </c>
      <c r="I2335" s="1">
        <v>50.095999999999997</v>
      </c>
      <c r="J2335" s="21">
        <v>9505</v>
      </c>
      <c r="K2335" s="1">
        <v>2000</v>
      </c>
      <c r="L2335" s="1">
        <v>-104.113</v>
      </c>
      <c r="M2335" s="1">
        <v>-78.028999999999996</v>
      </c>
      <c r="N2335" s="1">
        <v>-51.991</v>
      </c>
      <c r="O2335" s="1">
        <v>-25.989000000000001</v>
      </c>
      <c r="P2335" s="365">
        <v>0</v>
      </c>
      <c r="Q2335" s="1">
        <v>25.986999999999998</v>
      </c>
      <c r="R2335" s="1">
        <v>51.994</v>
      </c>
      <c r="S2335" s="1">
        <v>78.028999999999996</v>
      </c>
      <c r="T2335" s="1">
        <v>104.11199999999999</v>
      </c>
      <c r="U2335" s="25"/>
      <c r="W2335" s="43"/>
      <c r="X2335" s="42"/>
      <c r="AA2335" s="30"/>
      <c r="AB2335" s="42"/>
    </row>
    <row r="2336" spans="1:28">
      <c r="A2336" s="1">
        <v>1800</v>
      </c>
      <c r="B2336" s="1">
        <v>49.74</v>
      </c>
      <c r="C2336" s="1">
        <v>49.756</v>
      </c>
      <c r="D2336" s="1">
        <v>49.765000000000001</v>
      </c>
      <c r="E2336" s="1">
        <v>49.773000000000003</v>
      </c>
      <c r="F2336" s="1">
        <v>49.781999999999996</v>
      </c>
      <c r="G2336" s="1">
        <v>49.79</v>
      </c>
      <c r="H2336" s="1">
        <v>49.807000000000002</v>
      </c>
      <c r="I2336" s="1">
        <v>49.823999999999998</v>
      </c>
      <c r="J2336" s="21">
        <v>9455</v>
      </c>
      <c r="K2336" s="1">
        <v>2100</v>
      </c>
      <c r="L2336" s="1">
        <v>-102.239</v>
      </c>
      <c r="M2336" s="1">
        <v>-76.626000000000005</v>
      </c>
      <c r="N2336" s="1">
        <v>-51.057000000000002</v>
      </c>
      <c r="O2336" s="1">
        <v>-25.52</v>
      </c>
      <c r="P2336" s="365">
        <v>0</v>
      </c>
      <c r="Q2336" s="1">
        <v>25.52</v>
      </c>
      <c r="R2336" s="1">
        <v>51.057000000000002</v>
      </c>
      <c r="S2336" s="1">
        <v>76.623999999999995</v>
      </c>
      <c r="T2336" s="1">
        <v>102.208</v>
      </c>
      <c r="U2336" s="25"/>
    </row>
    <row r="2337" spans="1:28">
      <c r="A2337" s="1">
        <v>1850</v>
      </c>
      <c r="B2337" s="1">
        <v>49.468000000000004</v>
      </c>
      <c r="C2337" s="1">
        <v>49.484999999999999</v>
      </c>
      <c r="D2337" s="1">
        <v>49.493000000000002</v>
      </c>
      <c r="E2337" s="1">
        <v>49.502000000000002</v>
      </c>
      <c r="F2337" s="1">
        <v>49.51</v>
      </c>
      <c r="G2337" s="1">
        <v>49.518000000000001</v>
      </c>
      <c r="H2337" s="1">
        <v>49.534999999999997</v>
      </c>
      <c r="I2337" s="1">
        <v>49.552</v>
      </c>
      <c r="J2337" s="21">
        <v>9405</v>
      </c>
      <c r="K2337" s="1">
        <v>2200</v>
      </c>
      <c r="L2337" s="1">
        <v>-100.364</v>
      </c>
      <c r="M2337" s="1">
        <v>-75.218000000000004</v>
      </c>
      <c r="N2337" s="1">
        <v>-50.12</v>
      </c>
      <c r="O2337" s="1">
        <v>-25.053999999999998</v>
      </c>
      <c r="P2337" s="365">
        <v>0</v>
      </c>
      <c r="Q2337" s="1">
        <v>24.734999999999999</v>
      </c>
      <c r="R2337" s="1">
        <v>49.484000000000002</v>
      </c>
      <c r="S2337" s="1">
        <v>74.266000000000005</v>
      </c>
      <c r="T2337" s="1">
        <v>99.090999999999994</v>
      </c>
      <c r="U2337" s="25"/>
      <c r="V2337" s="1">
        <f>Bunkering!heeling1</f>
        <v>0</v>
      </c>
      <c r="W2337" s="382">
        <f>sound39</f>
        <v>1780</v>
      </c>
      <c r="X2337" s="186">
        <f>IF((W2337+W2340)&lt;0,W2337,W2337+W2340)</f>
        <v>1780</v>
      </c>
      <c r="Y2337" s="381">
        <f>IF(Y2339=Y2338,Y2338,Interp1(X2338:X2339,Y2338:Y2339,X2337))</f>
        <v>49.871000000000002</v>
      </c>
    </row>
    <row r="2338" spans="1:28">
      <c r="A2338" s="1">
        <v>1900</v>
      </c>
      <c r="B2338" s="1">
        <v>49.195999999999998</v>
      </c>
      <c r="C2338" s="1">
        <v>49.213000000000001</v>
      </c>
      <c r="D2338" s="1">
        <v>49.220999999999997</v>
      </c>
      <c r="E2338" s="1">
        <v>49.23</v>
      </c>
      <c r="F2338" s="1">
        <v>49.238</v>
      </c>
      <c r="G2338" s="1">
        <v>49.247</v>
      </c>
      <c r="H2338" s="1">
        <v>49.262999999999998</v>
      </c>
      <c r="I2338" s="1">
        <v>49.28</v>
      </c>
      <c r="J2338" s="21">
        <v>9355</v>
      </c>
      <c r="K2338" s="1">
        <v>2300</v>
      </c>
      <c r="L2338" s="1">
        <v>-97.918999999999997</v>
      </c>
      <c r="M2338" s="1">
        <v>-73.385999999999996</v>
      </c>
      <c r="N2338" s="1">
        <v>-48.899000000000001</v>
      </c>
      <c r="O2338" s="1">
        <v>-24.443000000000001</v>
      </c>
      <c r="P2338" s="365">
        <v>0</v>
      </c>
      <c r="Q2338" s="1">
        <v>23.914000000000001</v>
      </c>
      <c r="R2338" s="1">
        <v>47.841999999999999</v>
      </c>
      <c r="S2338" s="1">
        <v>71.798000000000002</v>
      </c>
      <c r="T2338" s="1">
        <v>95.8</v>
      </c>
      <c r="U2338" s="25"/>
      <c r="V2338" s="1">
        <f>IF(tankSound29=soundingPipe9,tankSound29,FLOOR(W2337,incHeel))</f>
        <v>1700</v>
      </c>
      <c r="W2338" s="1">
        <f>Interp2(tank9Heel1,tank9Heel2,tank9Heel3,V2338,V2337)</f>
        <v>0</v>
      </c>
      <c r="X2338" s="1">
        <f>IF(X2337=soundingPipe9,Tank1!X2337,FLOOR(X2337,inc))</f>
        <v>1750</v>
      </c>
      <c r="Y2338" s="42">
        <f>IF(W2343=W2342,W2342,Interp1(V2342:V2343,W2342:W2343,V2341))</f>
        <v>50.033999999999999</v>
      </c>
      <c r="Z2338" s="918"/>
      <c r="AA2338" s="918"/>
      <c r="AB2338" s="42"/>
    </row>
    <row r="2339" spans="1:28">
      <c r="A2339" s="1">
        <v>1950</v>
      </c>
      <c r="B2339" s="1">
        <v>48.923999999999999</v>
      </c>
      <c r="C2339" s="1">
        <v>48.941000000000003</v>
      </c>
      <c r="D2339" s="1">
        <v>48.95</v>
      </c>
      <c r="E2339" s="1">
        <v>48.957999999999998</v>
      </c>
      <c r="F2339" s="1">
        <v>48.966000000000001</v>
      </c>
      <c r="G2339" s="1">
        <v>48.975000000000001</v>
      </c>
      <c r="H2339" s="1">
        <v>48.991999999999997</v>
      </c>
      <c r="I2339" s="1">
        <v>49.008000000000003</v>
      </c>
      <c r="J2339" s="21">
        <v>9305</v>
      </c>
      <c r="K2339" s="1">
        <v>2400</v>
      </c>
      <c r="L2339" s="1">
        <v>-95.801000000000002</v>
      </c>
      <c r="M2339" s="1">
        <v>-71.796999999999997</v>
      </c>
      <c r="N2339" s="1">
        <v>-47.841000000000001</v>
      </c>
      <c r="O2339" s="1">
        <v>-23.913</v>
      </c>
      <c r="P2339" s="365">
        <v>0</v>
      </c>
      <c r="Q2339" s="1">
        <v>23.911000000000001</v>
      </c>
      <c r="R2339" s="1">
        <v>47.841000000000001</v>
      </c>
      <c r="S2339" s="1">
        <v>71.796999999999997</v>
      </c>
      <c r="T2339" s="1">
        <v>95.798000000000002</v>
      </c>
      <c r="U2339" s="25"/>
      <c r="V2339" s="1">
        <f>IF(V2338=tankSound29,V2338,CEILING(W2337,incHeel))</f>
        <v>1800</v>
      </c>
      <c r="W2339" s="1">
        <f>Interp2(tank9Heel1,tank9Heel2,tank9Heel3,V2339,V2337)</f>
        <v>0</v>
      </c>
      <c r="X2339" s="1">
        <f>IF(X2338=X2337,X2338,CEILING(X2337,inc))</f>
        <v>1800</v>
      </c>
      <c r="Y2339" s="42">
        <f>IF(X2343=X2342,X2342,Interp1(V2342:V2343,X2342:X2343,V2341))</f>
        <v>49.762</v>
      </c>
    </row>
    <row r="2340" spans="1:28">
      <c r="A2340" s="1">
        <v>2000</v>
      </c>
      <c r="B2340" s="1">
        <v>48.652000000000001</v>
      </c>
      <c r="C2340" s="1">
        <v>48.668999999999997</v>
      </c>
      <c r="D2340" s="1">
        <v>48.677999999999997</v>
      </c>
      <c r="E2340" s="1">
        <v>48.686</v>
      </c>
      <c r="F2340" s="1">
        <v>48.695</v>
      </c>
      <c r="G2340" s="1">
        <v>48.703000000000003</v>
      </c>
      <c r="H2340" s="1">
        <v>48.72</v>
      </c>
      <c r="I2340" s="1">
        <v>48.737000000000002</v>
      </c>
      <c r="J2340" s="21">
        <v>9255</v>
      </c>
      <c r="K2340" s="1">
        <v>2500</v>
      </c>
      <c r="L2340" s="1">
        <v>-95.799000000000007</v>
      </c>
      <c r="M2340" s="1">
        <v>-71.795000000000002</v>
      </c>
      <c r="N2340" s="1">
        <v>-47.841000000000001</v>
      </c>
      <c r="O2340" s="1">
        <v>-23.913</v>
      </c>
      <c r="P2340" s="365">
        <v>0</v>
      </c>
      <c r="Q2340" s="1">
        <v>23.911000000000001</v>
      </c>
      <c r="R2340" s="1">
        <v>47.843000000000004</v>
      </c>
      <c r="S2340" s="1">
        <v>71.8</v>
      </c>
      <c r="T2340" s="1">
        <v>95.801000000000002</v>
      </c>
      <c r="U2340" s="26"/>
      <c r="W2340" s="1">
        <f>IF(W2339=W2338,W2338,Interp1(V2338:V2339,W2338:W2339,W2337))</f>
        <v>0</v>
      </c>
      <c r="Y2340" s="42"/>
    </row>
    <row r="2341" spans="1:28">
      <c r="A2341" s="1">
        <v>2050</v>
      </c>
      <c r="B2341" s="1">
        <v>48.381</v>
      </c>
      <c r="C2341" s="1">
        <v>48.396999999999998</v>
      </c>
      <c r="D2341" s="1">
        <v>48.405999999999999</v>
      </c>
      <c r="E2341" s="1">
        <v>48.414000000000001</v>
      </c>
      <c r="F2341" s="1">
        <v>48.423000000000002</v>
      </c>
      <c r="G2341" s="1">
        <v>48.430999999999997</v>
      </c>
      <c r="H2341" s="1">
        <v>48.448</v>
      </c>
      <c r="I2341" s="1">
        <v>48.465000000000003</v>
      </c>
      <c r="J2341" s="21">
        <v>9205</v>
      </c>
      <c r="K2341" s="1">
        <v>2600</v>
      </c>
      <c r="L2341" s="1">
        <v>-95.802999999999997</v>
      </c>
      <c r="M2341" s="1">
        <v>-71.799000000000007</v>
      </c>
      <c r="N2341" s="1">
        <v>-47.843000000000004</v>
      </c>
      <c r="O2341" s="1">
        <v>-23.914000000000001</v>
      </c>
      <c r="P2341" s="365">
        <v>0</v>
      </c>
      <c r="Q2341" s="1">
        <v>23.911000000000001</v>
      </c>
      <c r="R2341" s="1">
        <v>47.84</v>
      </c>
      <c r="S2341" s="1">
        <v>71.796999999999997</v>
      </c>
      <c r="T2341" s="1">
        <v>95.798000000000002</v>
      </c>
      <c r="U2341" s="25"/>
      <c r="V2341" s="1">
        <f>Bunkering!trim1</f>
        <v>0.36</v>
      </c>
    </row>
    <row r="2342" spans="1:28">
      <c r="A2342" s="1">
        <v>2100</v>
      </c>
      <c r="B2342" s="1">
        <v>48.109000000000002</v>
      </c>
      <c r="C2342" s="1">
        <v>48.125999999999998</v>
      </c>
      <c r="D2342" s="1">
        <v>48.134</v>
      </c>
      <c r="E2342" s="1">
        <v>48.143000000000001</v>
      </c>
      <c r="F2342" s="1">
        <v>48.151000000000003</v>
      </c>
      <c r="G2342" s="1">
        <v>48.158999999999999</v>
      </c>
      <c r="H2342" s="1">
        <v>48.176000000000002</v>
      </c>
      <c r="I2342" s="1">
        <v>48.192999999999998</v>
      </c>
      <c r="J2342" s="21">
        <v>9155</v>
      </c>
      <c r="K2342" s="1">
        <v>2700</v>
      </c>
      <c r="L2342" s="1">
        <v>-95.799000000000007</v>
      </c>
      <c r="M2342" s="1">
        <v>-71.796000000000006</v>
      </c>
      <c r="N2342" s="1">
        <v>-47.841000000000001</v>
      </c>
      <c r="O2342" s="1">
        <v>-23.911999999999999</v>
      </c>
      <c r="P2342" s="365">
        <v>0</v>
      </c>
      <c r="Q2342" s="1">
        <v>23.911999999999999</v>
      </c>
      <c r="R2342" s="1">
        <v>47.841999999999999</v>
      </c>
      <c r="S2342" s="1">
        <v>71.799000000000007</v>
      </c>
      <c r="T2342" s="1">
        <v>95.802000000000007</v>
      </c>
      <c r="U2342" s="25"/>
      <c r="V2342" s="1">
        <f>INDEX(tank9Trim2,0,MATCH(V2341,tank9Trim2,1))</f>
        <v>0</v>
      </c>
      <c r="W2342" s="1">
        <f>Interp2(tank9Trim1,tank9Trim2,tank9Trim3,X2338,V2342)</f>
        <v>50.027999999999999</v>
      </c>
      <c r="X2342" s="1">
        <f>Interp2(tank9Trim1,tank9Trim2,tank9Trim3,X2339,V2342)</f>
        <v>49.756</v>
      </c>
      <c r="Z2342" s="916"/>
      <c r="AA2342" s="916"/>
      <c r="AB2342" s="40"/>
    </row>
    <row r="2343" spans="1:28">
      <c r="A2343" s="1">
        <v>2150</v>
      </c>
      <c r="B2343" s="1">
        <v>47.837000000000003</v>
      </c>
      <c r="C2343" s="1">
        <v>47.853999999999999</v>
      </c>
      <c r="D2343" s="1">
        <v>47.862000000000002</v>
      </c>
      <c r="E2343" s="1">
        <v>47.871000000000002</v>
      </c>
      <c r="F2343" s="1">
        <v>47.878999999999998</v>
      </c>
      <c r="G2343" s="1">
        <v>47.887999999999998</v>
      </c>
      <c r="H2343" s="1">
        <v>47.904000000000003</v>
      </c>
      <c r="I2343" s="1">
        <v>47.920999999999999</v>
      </c>
      <c r="J2343" s="21">
        <v>9105</v>
      </c>
      <c r="K2343" s="1">
        <v>2800</v>
      </c>
      <c r="L2343" s="1">
        <v>-95.802999999999997</v>
      </c>
      <c r="M2343" s="1">
        <v>-71.799000000000007</v>
      </c>
      <c r="N2343" s="1">
        <v>-47.843000000000004</v>
      </c>
      <c r="O2343" s="1">
        <v>-23.914000000000001</v>
      </c>
      <c r="P2343" s="365">
        <v>0</v>
      </c>
      <c r="Q2343" s="1">
        <v>23.911000000000001</v>
      </c>
      <c r="R2343" s="1">
        <v>47.841999999999999</v>
      </c>
      <c r="S2343" s="1">
        <v>71.798000000000002</v>
      </c>
      <c r="T2343" s="1">
        <v>95.799000000000007</v>
      </c>
      <c r="U2343" s="25"/>
      <c r="V2343" s="1">
        <f>IF(V2342=V2341,V2341,INDEX(tank9Trim2,0,MATCH(V2341,tank9Trim2,1)+1))</f>
        <v>0.5</v>
      </c>
      <c r="W2343" s="1">
        <f>Interp2(tank9Trim1,tank9Trim2,tank9Trim3,X2338,V2343)</f>
        <v>50.036999999999999</v>
      </c>
      <c r="X2343" s="1">
        <f>Interp2(tank9Trim1,tank9Trim2,tank9Trim3,X2339,V2343)</f>
        <v>49.765000000000001</v>
      </c>
      <c r="AA2343" s="30"/>
    </row>
    <row r="2344" spans="1:28">
      <c r="A2344" s="1">
        <v>2200</v>
      </c>
      <c r="B2344" s="1">
        <v>47.564999999999998</v>
      </c>
      <c r="C2344" s="1">
        <v>47.582000000000001</v>
      </c>
      <c r="D2344" s="1">
        <v>47.591000000000001</v>
      </c>
      <c r="E2344" s="1">
        <v>47.598999999999997</v>
      </c>
      <c r="F2344" s="1">
        <v>47.606999999999999</v>
      </c>
      <c r="G2344" s="1">
        <v>47.616</v>
      </c>
      <c r="H2344" s="1">
        <v>47.633000000000003</v>
      </c>
      <c r="I2344" s="1">
        <v>47.65</v>
      </c>
      <c r="J2344" s="21">
        <v>9055</v>
      </c>
      <c r="K2344" s="1">
        <v>2900</v>
      </c>
      <c r="L2344" s="1">
        <v>-95.802000000000007</v>
      </c>
      <c r="M2344" s="1">
        <v>-71.798000000000002</v>
      </c>
      <c r="N2344" s="1">
        <v>-47.841999999999999</v>
      </c>
      <c r="O2344" s="1">
        <v>-23.914999999999999</v>
      </c>
      <c r="P2344" s="365">
        <v>0</v>
      </c>
      <c r="Q2344" s="1">
        <v>23.914000000000001</v>
      </c>
      <c r="R2344" s="1">
        <v>47.841999999999999</v>
      </c>
      <c r="S2344" s="1">
        <v>71.798000000000002</v>
      </c>
      <c r="T2344" s="1">
        <v>95.799000000000007</v>
      </c>
      <c r="U2344" s="25"/>
      <c r="W2344" s="30"/>
      <c r="AA2344" s="30"/>
    </row>
    <row r="2345" spans="1:28">
      <c r="A2345" s="1">
        <v>2250</v>
      </c>
      <c r="B2345" s="1">
        <v>47.292999999999999</v>
      </c>
      <c r="C2345" s="1">
        <v>47.31</v>
      </c>
      <c r="D2345" s="1">
        <v>47.319000000000003</v>
      </c>
      <c r="E2345" s="1">
        <v>47.326999999999998</v>
      </c>
      <c r="F2345" s="1">
        <v>47.335999999999999</v>
      </c>
      <c r="G2345" s="1">
        <v>47.344000000000001</v>
      </c>
      <c r="H2345" s="1">
        <v>47.360999999999997</v>
      </c>
      <c r="I2345" s="1">
        <v>47.378</v>
      </c>
      <c r="J2345" s="21">
        <v>9005</v>
      </c>
      <c r="K2345" s="1">
        <v>3000</v>
      </c>
      <c r="L2345" s="1">
        <v>-95.8</v>
      </c>
      <c r="M2345" s="1">
        <v>-71.796999999999997</v>
      </c>
      <c r="N2345" s="1">
        <v>-47.841000000000001</v>
      </c>
      <c r="O2345" s="1">
        <v>-23.911999999999999</v>
      </c>
      <c r="P2345" s="365">
        <v>0</v>
      </c>
      <c r="Q2345" s="1">
        <v>23.911999999999999</v>
      </c>
      <c r="R2345" s="1">
        <v>47.841999999999999</v>
      </c>
      <c r="S2345" s="1">
        <v>71.8</v>
      </c>
      <c r="T2345" s="1">
        <v>95.802999999999997</v>
      </c>
      <c r="U2345" s="24"/>
      <c r="W2345" s="30"/>
      <c r="X2345" s="42"/>
      <c r="AA2345" s="30"/>
      <c r="AB2345" s="42"/>
    </row>
    <row r="2346" spans="1:28">
      <c r="A2346" s="1">
        <v>2300</v>
      </c>
      <c r="B2346" s="1">
        <v>47.015000000000001</v>
      </c>
      <c r="C2346" s="1">
        <v>47.030999999999999</v>
      </c>
      <c r="D2346" s="1">
        <v>47.04</v>
      </c>
      <c r="E2346" s="1">
        <v>47.048000000000002</v>
      </c>
      <c r="F2346" s="1">
        <v>47.057000000000002</v>
      </c>
      <c r="G2346" s="1">
        <v>47.064999999999998</v>
      </c>
      <c r="H2346" s="1">
        <v>47.082000000000001</v>
      </c>
      <c r="I2346" s="1">
        <v>47.098999999999997</v>
      </c>
      <c r="J2346" s="21">
        <v>8955</v>
      </c>
      <c r="K2346" s="1">
        <v>3100</v>
      </c>
      <c r="L2346" s="1">
        <v>-95.802000000000007</v>
      </c>
      <c r="M2346" s="1">
        <v>-71.798000000000002</v>
      </c>
      <c r="N2346" s="1">
        <v>-47.843000000000004</v>
      </c>
      <c r="O2346" s="1">
        <v>-23.913</v>
      </c>
      <c r="P2346" s="365">
        <v>0</v>
      </c>
      <c r="Q2346" s="1">
        <v>23.911000000000001</v>
      </c>
      <c r="R2346" s="1">
        <v>47.84</v>
      </c>
      <c r="S2346" s="1">
        <v>71.798000000000002</v>
      </c>
      <c r="T2346" s="1">
        <v>95.798000000000002</v>
      </c>
      <c r="U2346" s="24"/>
      <c r="W2346" s="30"/>
      <c r="X2346" s="42"/>
      <c r="AA2346" s="30"/>
      <c r="AB2346" s="42"/>
    </row>
    <row r="2347" spans="1:28">
      <c r="A2347" s="1">
        <v>2350</v>
      </c>
      <c r="B2347" s="1">
        <v>46.732999999999997</v>
      </c>
      <c r="C2347" s="1">
        <v>46.75</v>
      </c>
      <c r="D2347" s="1">
        <v>46.759</v>
      </c>
      <c r="E2347" s="1">
        <v>46.767000000000003</v>
      </c>
      <c r="F2347" s="1">
        <v>46.774999999999999</v>
      </c>
      <c r="G2347" s="1">
        <v>46.783999999999999</v>
      </c>
      <c r="H2347" s="1">
        <v>46.801000000000002</v>
      </c>
      <c r="I2347" s="1">
        <v>46.817999999999998</v>
      </c>
      <c r="J2347" s="21">
        <v>8905</v>
      </c>
      <c r="K2347" s="1">
        <v>3200</v>
      </c>
      <c r="L2347" s="1">
        <v>-95.799000000000007</v>
      </c>
      <c r="M2347" s="1">
        <v>-71.793999999999997</v>
      </c>
      <c r="N2347" s="1">
        <v>-47.841000000000001</v>
      </c>
      <c r="O2347" s="1">
        <v>-23.914000000000001</v>
      </c>
      <c r="P2347" s="365">
        <v>0</v>
      </c>
      <c r="Q2347" s="1">
        <v>23.914000000000001</v>
      </c>
      <c r="R2347" s="1">
        <v>47.841999999999999</v>
      </c>
      <c r="S2347" s="1">
        <v>71.8</v>
      </c>
      <c r="T2347" s="1">
        <v>95.801000000000002</v>
      </c>
      <c r="U2347" s="24"/>
      <c r="W2347" s="30"/>
      <c r="X2347" s="42"/>
      <c r="AA2347" s="30"/>
      <c r="AB2347" s="42"/>
    </row>
    <row r="2348" spans="1:28">
      <c r="A2348" s="1">
        <v>2400</v>
      </c>
      <c r="B2348" s="1">
        <v>46.451999999999998</v>
      </c>
      <c r="C2348" s="1">
        <v>46.469000000000001</v>
      </c>
      <c r="D2348" s="1">
        <v>46.476999999999997</v>
      </c>
      <c r="E2348" s="1">
        <v>46.485999999999997</v>
      </c>
      <c r="F2348" s="1">
        <v>46.494</v>
      </c>
      <c r="G2348" s="1">
        <v>46.502000000000002</v>
      </c>
      <c r="H2348" s="1">
        <v>46.518999999999998</v>
      </c>
      <c r="I2348" s="1">
        <v>46.536000000000001</v>
      </c>
      <c r="J2348" s="21">
        <v>8855</v>
      </c>
      <c r="K2348" s="1">
        <v>3300</v>
      </c>
      <c r="L2348" s="1">
        <v>-95.801000000000002</v>
      </c>
      <c r="M2348" s="1">
        <v>-71.798000000000002</v>
      </c>
      <c r="N2348" s="1">
        <v>-47.843000000000004</v>
      </c>
      <c r="O2348" s="1">
        <v>-23.914999999999999</v>
      </c>
      <c r="P2348" s="365">
        <v>0</v>
      </c>
      <c r="Q2348" s="1">
        <v>23.913</v>
      </c>
      <c r="R2348" s="1">
        <v>47.841000000000001</v>
      </c>
      <c r="S2348" s="1">
        <v>71.799000000000007</v>
      </c>
      <c r="T2348" s="1">
        <v>95.8</v>
      </c>
      <c r="U2348" s="24"/>
      <c r="W2348" s="30"/>
      <c r="AA2348" s="30"/>
    </row>
    <row r="2349" spans="1:28">
      <c r="A2349" s="1">
        <v>2450</v>
      </c>
      <c r="B2349" s="1">
        <v>46.170999999999999</v>
      </c>
      <c r="C2349" s="1">
        <v>46.186999999999998</v>
      </c>
      <c r="D2349" s="1">
        <v>46.195999999999998</v>
      </c>
      <c r="E2349" s="1">
        <v>46.204000000000001</v>
      </c>
      <c r="F2349" s="1">
        <v>46.213000000000001</v>
      </c>
      <c r="G2349" s="1">
        <v>46.220999999999997</v>
      </c>
      <c r="H2349" s="1">
        <v>46.238</v>
      </c>
      <c r="I2349" s="1">
        <v>46.255000000000003</v>
      </c>
      <c r="J2349" s="21">
        <v>8805</v>
      </c>
      <c r="K2349" s="1">
        <v>3400</v>
      </c>
      <c r="L2349" s="1">
        <v>-95.8</v>
      </c>
      <c r="M2349" s="1">
        <v>-71.796999999999997</v>
      </c>
      <c r="N2349" s="1">
        <v>-47.841999999999999</v>
      </c>
      <c r="O2349" s="1">
        <v>-23.913</v>
      </c>
      <c r="P2349" s="365">
        <v>0</v>
      </c>
      <c r="Q2349" s="1">
        <v>23.911000000000001</v>
      </c>
      <c r="R2349" s="1">
        <v>47.84</v>
      </c>
      <c r="S2349" s="1">
        <v>71.798000000000002</v>
      </c>
      <c r="T2349" s="1">
        <v>95.799000000000007</v>
      </c>
      <c r="U2349" s="25"/>
      <c r="W2349" s="43"/>
      <c r="X2349" s="42"/>
      <c r="AA2349" s="30"/>
      <c r="AB2349" s="42"/>
    </row>
    <row r="2350" spans="1:28">
      <c r="A2350" s="1">
        <v>2500</v>
      </c>
      <c r="B2350" s="1">
        <v>45.889000000000003</v>
      </c>
      <c r="C2350" s="1">
        <v>45.905999999999999</v>
      </c>
      <c r="D2350" s="1">
        <v>45.914000000000001</v>
      </c>
      <c r="E2350" s="1">
        <v>45.923000000000002</v>
      </c>
      <c r="F2350" s="1">
        <v>45.930999999999997</v>
      </c>
      <c r="G2350" s="1">
        <v>45.94</v>
      </c>
      <c r="H2350" s="1">
        <v>45.957000000000001</v>
      </c>
      <c r="I2350" s="1">
        <v>45.972999999999999</v>
      </c>
      <c r="J2350" s="21">
        <v>8755</v>
      </c>
      <c r="K2350" s="1">
        <v>3500</v>
      </c>
      <c r="L2350" s="1">
        <v>-95.801000000000002</v>
      </c>
      <c r="M2350" s="1">
        <v>-71.798000000000002</v>
      </c>
      <c r="N2350" s="1">
        <v>-47.843000000000004</v>
      </c>
      <c r="O2350" s="1">
        <v>-23.914000000000001</v>
      </c>
      <c r="P2350" s="365">
        <v>0</v>
      </c>
      <c r="Q2350" s="1">
        <v>23.911999999999999</v>
      </c>
      <c r="R2350" s="1">
        <v>47.841000000000001</v>
      </c>
      <c r="S2350" s="1">
        <v>71.799000000000007</v>
      </c>
      <c r="T2350" s="1">
        <v>95.801000000000002</v>
      </c>
      <c r="U2350" s="27"/>
      <c r="W2350" s="43"/>
      <c r="X2350" s="42"/>
      <c r="AA2350" s="30"/>
      <c r="AB2350" s="42"/>
    </row>
    <row r="2351" spans="1:28">
      <c r="A2351" s="1">
        <v>2550</v>
      </c>
      <c r="B2351" s="1">
        <v>45.607999999999997</v>
      </c>
      <c r="C2351" s="1">
        <v>45.625</v>
      </c>
      <c r="D2351" s="1">
        <v>45.633000000000003</v>
      </c>
      <c r="E2351" s="1">
        <v>45.640999999999998</v>
      </c>
      <c r="F2351" s="1">
        <v>45.65</v>
      </c>
      <c r="G2351" s="1">
        <v>45.658000000000001</v>
      </c>
      <c r="H2351" s="1">
        <v>45.674999999999997</v>
      </c>
      <c r="I2351" s="1">
        <v>45.692</v>
      </c>
      <c r="J2351" s="21">
        <v>8705</v>
      </c>
      <c r="K2351" s="1">
        <v>3600</v>
      </c>
      <c r="L2351" s="1">
        <v>-95.804000000000002</v>
      </c>
      <c r="M2351" s="1">
        <v>-71.801000000000002</v>
      </c>
      <c r="N2351" s="1">
        <v>-47.843000000000004</v>
      </c>
      <c r="O2351" s="1">
        <v>-23.913</v>
      </c>
      <c r="P2351" s="365">
        <v>0</v>
      </c>
      <c r="Q2351" s="1">
        <v>23.911000000000001</v>
      </c>
      <c r="R2351" s="1">
        <v>47.84</v>
      </c>
      <c r="S2351" s="1">
        <v>71.796999999999997</v>
      </c>
      <c r="T2351" s="1">
        <v>95.798000000000002</v>
      </c>
      <c r="U2351" s="25"/>
    </row>
    <row r="2352" spans="1:28">
      <c r="A2352" s="1">
        <v>2600</v>
      </c>
      <c r="B2352" s="1">
        <v>45.326000000000001</v>
      </c>
      <c r="C2352" s="1">
        <v>45.343000000000004</v>
      </c>
      <c r="D2352" s="1">
        <v>45.351999999999997</v>
      </c>
      <c r="E2352" s="1">
        <v>45.36</v>
      </c>
      <c r="F2352" s="1">
        <v>45.368000000000002</v>
      </c>
      <c r="G2352" s="1">
        <v>45.377000000000002</v>
      </c>
      <c r="H2352" s="1">
        <v>45.393999999999998</v>
      </c>
      <c r="I2352" s="1">
        <v>45.411000000000001</v>
      </c>
      <c r="J2352" s="21">
        <v>8655</v>
      </c>
      <c r="K2352" s="1">
        <v>3700</v>
      </c>
      <c r="L2352" s="1">
        <v>-95.801000000000002</v>
      </c>
      <c r="M2352" s="1">
        <v>-71.798000000000002</v>
      </c>
      <c r="N2352" s="1">
        <v>-47.841000000000001</v>
      </c>
      <c r="O2352" s="1">
        <v>-23.914999999999999</v>
      </c>
      <c r="P2352" s="365">
        <v>0</v>
      </c>
      <c r="Q2352" s="1">
        <v>23.913</v>
      </c>
      <c r="R2352" s="1">
        <v>47.841000000000001</v>
      </c>
      <c r="S2352" s="1">
        <v>71.796000000000006</v>
      </c>
      <c r="T2352" s="1">
        <v>95.8</v>
      </c>
      <c r="U2352" s="24"/>
    </row>
    <row r="2353" spans="1:28">
      <c r="A2353" s="1">
        <v>2650</v>
      </c>
      <c r="B2353" s="1">
        <v>45.045000000000002</v>
      </c>
      <c r="C2353" s="1">
        <v>45.061999999999998</v>
      </c>
      <c r="D2353" s="1">
        <v>45.07</v>
      </c>
      <c r="E2353" s="1">
        <v>45.079000000000001</v>
      </c>
      <c r="F2353" s="1">
        <v>45.087000000000003</v>
      </c>
      <c r="G2353" s="1">
        <v>45.095999999999997</v>
      </c>
      <c r="H2353" s="1">
        <v>45.112000000000002</v>
      </c>
      <c r="I2353" s="1">
        <v>45.128999999999998</v>
      </c>
      <c r="J2353" s="21">
        <v>8605</v>
      </c>
      <c r="K2353" s="1">
        <v>3800</v>
      </c>
      <c r="L2353" s="1">
        <v>-95.801000000000002</v>
      </c>
      <c r="M2353" s="1">
        <v>-71.796999999999997</v>
      </c>
      <c r="N2353" s="1">
        <v>-47.841000000000001</v>
      </c>
      <c r="O2353" s="1">
        <v>-23.914000000000001</v>
      </c>
      <c r="P2353" s="365">
        <v>0</v>
      </c>
      <c r="Q2353" s="1">
        <v>23.911999999999999</v>
      </c>
      <c r="R2353" s="1">
        <v>47.843000000000004</v>
      </c>
      <c r="S2353" s="1">
        <v>71.801000000000002</v>
      </c>
      <c r="T2353" s="1">
        <v>95.802000000000007</v>
      </c>
      <c r="U2353" s="25"/>
      <c r="V2353" s="918"/>
      <c r="W2353" s="918"/>
      <c r="X2353" s="42"/>
      <c r="Z2353" s="918"/>
      <c r="AA2353" s="918"/>
      <c r="AB2353" s="42"/>
    </row>
    <row r="2354" spans="1:28">
      <c r="A2354" s="1">
        <v>2700</v>
      </c>
      <c r="B2354" s="1">
        <v>44.764000000000003</v>
      </c>
      <c r="C2354" s="1">
        <v>44.78</v>
      </c>
      <c r="D2354" s="1">
        <v>44.789000000000001</v>
      </c>
      <c r="E2354" s="1">
        <v>44.796999999999997</v>
      </c>
      <c r="F2354" s="1">
        <v>44.805999999999997</v>
      </c>
      <c r="G2354" s="1">
        <v>44.814</v>
      </c>
      <c r="H2354" s="1">
        <v>44.831000000000003</v>
      </c>
      <c r="I2354" s="1">
        <v>44.847999999999999</v>
      </c>
      <c r="J2354" s="21">
        <v>8555</v>
      </c>
      <c r="K2354" s="1">
        <v>3900</v>
      </c>
      <c r="L2354" s="1">
        <v>-95.804000000000002</v>
      </c>
      <c r="M2354" s="1">
        <v>-71.799000000000007</v>
      </c>
      <c r="N2354" s="1">
        <v>-47.841999999999999</v>
      </c>
      <c r="O2354" s="1">
        <v>-23.913</v>
      </c>
      <c r="P2354" s="365">
        <v>0</v>
      </c>
      <c r="Q2354" s="1">
        <v>23.911000000000001</v>
      </c>
      <c r="R2354" s="1">
        <v>47.841999999999999</v>
      </c>
      <c r="S2354" s="1">
        <v>71.799000000000007</v>
      </c>
      <c r="T2354" s="1">
        <v>95.799000000000007</v>
      </c>
      <c r="U2354" s="25"/>
    </row>
    <row r="2355" spans="1:28">
      <c r="A2355" s="1">
        <v>2750</v>
      </c>
      <c r="B2355" s="1">
        <v>44.481999999999999</v>
      </c>
      <c r="C2355" s="1">
        <v>44.499000000000002</v>
      </c>
      <c r="D2355" s="1">
        <v>44.506999999999998</v>
      </c>
      <c r="E2355" s="1">
        <v>44.515999999999998</v>
      </c>
      <c r="F2355" s="1">
        <v>44.524000000000001</v>
      </c>
      <c r="G2355" s="1">
        <v>44.533000000000001</v>
      </c>
      <c r="H2355" s="1">
        <v>44.55</v>
      </c>
      <c r="I2355" s="1">
        <v>44.566000000000003</v>
      </c>
      <c r="J2355" s="21">
        <v>8505</v>
      </c>
      <c r="K2355" s="1">
        <v>4000</v>
      </c>
      <c r="L2355" s="1">
        <v>-95.799000000000007</v>
      </c>
      <c r="M2355" s="1">
        <v>-71.796999999999997</v>
      </c>
      <c r="N2355" s="1">
        <v>-47.841000000000001</v>
      </c>
      <c r="O2355" s="1">
        <v>-23.916</v>
      </c>
      <c r="P2355" s="365">
        <v>0</v>
      </c>
      <c r="Q2355" s="1">
        <v>23.913</v>
      </c>
      <c r="R2355" s="1">
        <v>47.841999999999999</v>
      </c>
      <c r="S2355" s="1">
        <v>71.798000000000002</v>
      </c>
      <c r="T2355" s="1">
        <v>95.8</v>
      </c>
      <c r="U2355" s="25"/>
    </row>
    <row r="2356" spans="1:28">
      <c r="A2356" s="1">
        <v>2800</v>
      </c>
      <c r="B2356" s="1">
        <v>44.201000000000001</v>
      </c>
      <c r="C2356" s="1">
        <v>44.218000000000004</v>
      </c>
      <c r="D2356" s="1">
        <v>44.225999999999999</v>
      </c>
      <c r="E2356" s="1">
        <v>44.234999999999999</v>
      </c>
      <c r="F2356" s="1">
        <v>44.243000000000002</v>
      </c>
      <c r="G2356" s="1">
        <v>44.250999999999998</v>
      </c>
      <c r="H2356" s="1">
        <v>44.268000000000001</v>
      </c>
      <c r="I2356" s="1">
        <v>44.284999999999997</v>
      </c>
      <c r="J2356" s="21">
        <v>8455</v>
      </c>
      <c r="K2356" s="1">
        <v>4100</v>
      </c>
      <c r="L2356" s="1">
        <v>-95.8</v>
      </c>
      <c r="M2356" s="1">
        <v>-71.796999999999997</v>
      </c>
      <c r="N2356" s="1">
        <v>-47.841999999999999</v>
      </c>
      <c r="O2356" s="1">
        <v>-23.914000000000001</v>
      </c>
      <c r="P2356" s="365">
        <v>0</v>
      </c>
      <c r="Q2356" s="1">
        <v>23.911000000000001</v>
      </c>
      <c r="R2356" s="1">
        <v>47.841000000000001</v>
      </c>
      <c r="S2356" s="1">
        <v>71.798000000000002</v>
      </c>
      <c r="T2356" s="1">
        <v>95.799000000000007</v>
      </c>
      <c r="U2356" s="25"/>
    </row>
    <row r="2357" spans="1:28">
      <c r="A2357" s="1">
        <v>2850</v>
      </c>
      <c r="B2357" s="1">
        <v>43.918999999999997</v>
      </c>
      <c r="C2357" s="1">
        <v>43.936</v>
      </c>
      <c r="D2357" s="1">
        <v>43.945</v>
      </c>
      <c r="E2357" s="1">
        <v>43.953000000000003</v>
      </c>
      <c r="F2357" s="1">
        <v>43.962000000000003</v>
      </c>
      <c r="G2357" s="1">
        <v>43.97</v>
      </c>
      <c r="H2357" s="1">
        <v>43.987000000000002</v>
      </c>
      <c r="I2357" s="1">
        <v>44.003999999999998</v>
      </c>
      <c r="J2357" s="21">
        <v>8405</v>
      </c>
      <c r="K2357" s="1">
        <v>4200</v>
      </c>
      <c r="L2357" s="1">
        <v>-95.801000000000002</v>
      </c>
      <c r="M2357" s="1">
        <v>-71.798000000000002</v>
      </c>
      <c r="N2357" s="1">
        <v>-47.841000000000001</v>
      </c>
      <c r="O2357" s="1">
        <v>-23.914999999999999</v>
      </c>
      <c r="P2357" s="365">
        <v>0</v>
      </c>
      <c r="Q2357" s="1">
        <v>23.914000000000001</v>
      </c>
      <c r="R2357" s="1">
        <v>47.841999999999999</v>
      </c>
      <c r="S2357" s="1">
        <v>71.799000000000007</v>
      </c>
      <c r="T2357" s="1">
        <v>95.801000000000002</v>
      </c>
      <c r="U2357" s="24"/>
    </row>
    <row r="2358" spans="1:28">
      <c r="A2358" s="1">
        <v>2900</v>
      </c>
      <c r="B2358" s="1">
        <v>43.637999999999998</v>
      </c>
      <c r="C2358" s="1">
        <v>43.655000000000001</v>
      </c>
      <c r="D2358" s="1">
        <v>43.662999999999997</v>
      </c>
      <c r="E2358" s="1">
        <v>43.671999999999997</v>
      </c>
      <c r="F2358" s="1">
        <v>43.68</v>
      </c>
      <c r="G2358" s="1">
        <v>43.689</v>
      </c>
      <c r="H2358" s="1">
        <v>43.704999999999998</v>
      </c>
      <c r="I2358" s="1">
        <v>43.722000000000001</v>
      </c>
      <c r="J2358" s="21">
        <v>8355</v>
      </c>
      <c r="K2358" s="1">
        <v>4300</v>
      </c>
      <c r="L2358" s="1">
        <v>-95.802000000000007</v>
      </c>
      <c r="M2358" s="1">
        <v>-71.8</v>
      </c>
      <c r="N2358" s="1">
        <v>-47.841999999999999</v>
      </c>
      <c r="O2358" s="1">
        <v>-23.916</v>
      </c>
      <c r="P2358" s="365">
        <v>0</v>
      </c>
      <c r="Q2358" s="1">
        <v>23.913</v>
      </c>
      <c r="R2358" s="1">
        <v>47.841999999999999</v>
      </c>
      <c r="S2358" s="1">
        <v>71.798000000000002</v>
      </c>
      <c r="T2358" s="1">
        <v>95.798000000000002</v>
      </c>
      <c r="U2358" s="25"/>
    </row>
    <row r="2359" spans="1:28">
      <c r="A2359" s="1">
        <v>2950</v>
      </c>
      <c r="B2359" s="1">
        <v>43.356999999999999</v>
      </c>
      <c r="C2359" s="1">
        <v>43.372999999999998</v>
      </c>
      <c r="D2359" s="1">
        <v>43.381999999999998</v>
      </c>
      <c r="E2359" s="1">
        <v>43.39</v>
      </c>
      <c r="F2359" s="1">
        <v>43.399000000000001</v>
      </c>
      <c r="G2359" s="1">
        <v>43.406999999999996</v>
      </c>
      <c r="H2359" s="1">
        <v>43.423999999999999</v>
      </c>
      <c r="I2359" s="1">
        <v>43.441000000000003</v>
      </c>
      <c r="J2359" s="21">
        <v>8305</v>
      </c>
      <c r="K2359" s="1">
        <v>4400</v>
      </c>
      <c r="L2359" s="1">
        <v>-95.798000000000002</v>
      </c>
      <c r="M2359" s="1">
        <v>-71.799000000000007</v>
      </c>
      <c r="N2359" s="1">
        <v>-47.841999999999999</v>
      </c>
      <c r="O2359" s="1">
        <v>-23.916</v>
      </c>
      <c r="P2359" s="365">
        <v>0</v>
      </c>
      <c r="Q2359" s="1">
        <v>23.911999999999999</v>
      </c>
      <c r="R2359" s="1">
        <v>47.84</v>
      </c>
      <c r="S2359" s="1">
        <v>71.795000000000002</v>
      </c>
      <c r="T2359" s="1">
        <v>95.798000000000002</v>
      </c>
      <c r="U2359" s="24"/>
    </row>
    <row r="2360" spans="1:28">
      <c r="A2360" s="1">
        <v>3000</v>
      </c>
      <c r="B2360" s="1">
        <v>43.075000000000003</v>
      </c>
      <c r="C2360" s="1">
        <v>43.091999999999999</v>
      </c>
      <c r="D2360" s="1">
        <v>43.100999999999999</v>
      </c>
      <c r="E2360" s="1">
        <v>43.109000000000002</v>
      </c>
      <c r="F2360" s="1">
        <v>43.116999999999997</v>
      </c>
      <c r="G2360" s="1">
        <v>43.125999999999998</v>
      </c>
      <c r="H2360" s="1">
        <v>43.143000000000001</v>
      </c>
      <c r="I2360" s="1">
        <v>43.16</v>
      </c>
      <c r="J2360" s="21">
        <v>8255</v>
      </c>
      <c r="K2360" s="1">
        <v>4500</v>
      </c>
      <c r="L2360" s="1">
        <v>-95.798000000000002</v>
      </c>
      <c r="M2360" s="1">
        <v>-71.796000000000006</v>
      </c>
      <c r="N2360" s="1">
        <v>-47.841000000000001</v>
      </c>
      <c r="O2360" s="1">
        <v>-23.914000000000001</v>
      </c>
      <c r="P2360" s="365">
        <v>0</v>
      </c>
      <c r="Q2360" s="1">
        <v>23.914999999999999</v>
      </c>
      <c r="R2360" s="1">
        <v>47.843000000000004</v>
      </c>
      <c r="S2360" s="1">
        <v>71.8</v>
      </c>
      <c r="T2360" s="1">
        <v>95.802000000000007</v>
      </c>
      <c r="U2360" s="26"/>
    </row>
    <row r="2361" spans="1:28">
      <c r="A2361" s="1">
        <v>3050</v>
      </c>
      <c r="B2361" s="1">
        <v>42.793999999999997</v>
      </c>
      <c r="C2361" s="1">
        <v>42.811</v>
      </c>
      <c r="D2361" s="1">
        <v>42.819000000000003</v>
      </c>
      <c r="E2361" s="1">
        <v>42.828000000000003</v>
      </c>
      <c r="F2361" s="1">
        <v>42.835999999999999</v>
      </c>
      <c r="G2361" s="1">
        <v>42.844000000000001</v>
      </c>
      <c r="H2361" s="1">
        <v>42.860999999999997</v>
      </c>
      <c r="I2361" s="1">
        <v>42.878</v>
      </c>
      <c r="J2361" s="21">
        <v>8205</v>
      </c>
      <c r="K2361" s="1">
        <v>4600</v>
      </c>
      <c r="L2361" s="1">
        <v>-95.802000000000007</v>
      </c>
      <c r="M2361" s="1">
        <v>-71.799000000000007</v>
      </c>
      <c r="N2361" s="1">
        <v>-47.843000000000004</v>
      </c>
      <c r="O2361" s="1">
        <v>-23.914000000000001</v>
      </c>
      <c r="P2361" s="365">
        <v>0</v>
      </c>
      <c r="Q2361" s="1">
        <v>23.914999999999999</v>
      </c>
      <c r="R2361" s="1">
        <v>47.841000000000001</v>
      </c>
      <c r="S2361" s="1">
        <v>71.798000000000002</v>
      </c>
      <c r="T2361" s="1">
        <v>95.798000000000002</v>
      </c>
      <c r="U2361" s="24"/>
    </row>
    <row r="2362" spans="1:28">
      <c r="A2362" s="1">
        <v>3100</v>
      </c>
      <c r="B2362" s="1">
        <v>42.512999999999998</v>
      </c>
      <c r="C2362" s="1">
        <v>42.529000000000003</v>
      </c>
      <c r="D2362" s="1">
        <v>42.537999999999997</v>
      </c>
      <c r="E2362" s="1">
        <v>42.545999999999999</v>
      </c>
      <c r="F2362" s="1">
        <v>42.555</v>
      </c>
      <c r="G2362" s="1">
        <v>42.563000000000002</v>
      </c>
      <c r="H2362" s="1">
        <v>42.58</v>
      </c>
      <c r="I2362" s="1">
        <v>42.597000000000001</v>
      </c>
      <c r="J2362" s="21">
        <v>8155</v>
      </c>
      <c r="K2362" s="1">
        <v>4700</v>
      </c>
      <c r="L2362" s="1">
        <v>-95.798000000000002</v>
      </c>
      <c r="M2362" s="1">
        <v>-71.798000000000002</v>
      </c>
      <c r="N2362" s="1">
        <v>-47.841999999999999</v>
      </c>
      <c r="O2362" s="1">
        <v>-23.911999999999999</v>
      </c>
      <c r="P2362" s="365">
        <v>0</v>
      </c>
      <c r="Q2362" s="1">
        <v>23.913</v>
      </c>
      <c r="R2362" s="1">
        <v>47.84</v>
      </c>
      <c r="S2362" s="1">
        <v>71.796999999999997</v>
      </c>
      <c r="T2362" s="1">
        <v>95.8</v>
      </c>
      <c r="U2362" s="24"/>
    </row>
    <row r="2363" spans="1:28">
      <c r="A2363" s="1">
        <v>3150</v>
      </c>
      <c r="B2363" s="1">
        <v>42.231000000000002</v>
      </c>
      <c r="C2363" s="1">
        <v>42.247999999999998</v>
      </c>
      <c r="D2363" s="1">
        <v>42.256</v>
      </c>
      <c r="E2363" s="1">
        <v>42.265000000000001</v>
      </c>
      <c r="F2363" s="1">
        <v>42.273000000000003</v>
      </c>
      <c r="G2363" s="1">
        <v>42.281999999999996</v>
      </c>
      <c r="H2363" s="1">
        <v>42.298999999999999</v>
      </c>
      <c r="I2363" s="1">
        <v>42.314999999999998</v>
      </c>
      <c r="J2363" s="21">
        <v>8105</v>
      </c>
      <c r="K2363" s="1">
        <v>4800</v>
      </c>
      <c r="L2363" s="1">
        <v>-95.8</v>
      </c>
      <c r="M2363" s="1">
        <v>-71.799000000000007</v>
      </c>
      <c r="N2363" s="1">
        <v>-47.841999999999999</v>
      </c>
      <c r="O2363" s="1">
        <v>-23.913</v>
      </c>
      <c r="P2363" s="365">
        <v>0</v>
      </c>
      <c r="Q2363" s="1">
        <v>23.914999999999999</v>
      </c>
      <c r="R2363" s="1">
        <v>47.841000000000001</v>
      </c>
      <c r="S2363" s="1">
        <v>71.799000000000007</v>
      </c>
      <c r="T2363" s="1">
        <v>95.8</v>
      </c>
      <c r="U2363" s="25"/>
    </row>
    <row r="2364" spans="1:28">
      <c r="A2364" s="1">
        <v>3200</v>
      </c>
      <c r="B2364" s="1">
        <v>41.95</v>
      </c>
      <c r="C2364" s="1">
        <v>41.966999999999999</v>
      </c>
      <c r="D2364" s="1">
        <v>41.975000000000001</v>
      </c>
      <c r="E2364" s="1">
        <v>41.982999999999997</v>
      </c>
      <c r="F2364" s="1">
        <v>41.991999999999997</v>
      </c>
      <c r="G2364" s="1">
        <v>42</v>
      </c>
      <c r="H2364" s="1">
        <v>42.017000000000003</v>
      </c>
      <c r="I2364" s="1">
        <v>42.033999999999999</v>
      </c>
      <c r="J2364" s="21">
        <v>8055</v>
      </c>
      <c r="K2364" s="1">
        <v>4900</v>
      </c>
      <c r="L2364" s="1">
        <v>-95.802000000000007</v>
      </c>
      <c r="M2364" s="1">
        <v>-71.801000000000002</v>
      </c>
      <c r="N2364" s="1">
        <v>-47.844000000000001</v>
      </c>
      <c r="O2364" s="1">
        <v>-23.914000000000001</v>
      </c>
      <c r="P2364" s="365">
        <v>0</v>
      </c>
      <c r="Q2364" s="1">
        <v>23.911999999999999</v>
      </c>
      <c r="R2364" s="1">
        <v>47.84</v>
      </c>
      <c r="S2364" s="1">
        <v>71.796999999999997</v>
      </c>
      <c r="T2364" s="1">
        <v>95.798000000000002</v>
      </c>
      <c r="U2364" s="28"/>
    </row>
    <row r="2365" spans="1:28">
      <c r="A2365" s="1">
        <v>3250</v>
      </c>
      <c r="B2365" s="1">
        <v>41.667999999999999</v>
      </c>
      <c r="C2365" s="1">
        <v>41.685000000000002</v>
      </c>
      <c r="D2365" s="1">
        <v>41.694000000000003</v>
      </c>
      <c r="E2365" s="1">
        <v>41.701999999999998</v>
      </c>
      <c r="F2365" s="1">
        <v>41.71</v>
      </c>
      <c r="G2365" s="1">
        <v>41.719000000000001</v>
      </c>
      <c r="H2365" s="1">
        <v>41.735999999999997</v>
      </c>
      <c r="I2365" s="1">
        <v>41.753</v>
      </c>
      <c r="J2365" s="21">
        <v>8005</v>
      </c>
      <c r="K2365" s="1">
        <v>5000</v>
      </c>
      <c r="L2365" s="1">
        <v>-95.799000000000007</v>
      </c>
      <c r="M2365" s="1">
        <v>-71.799000000000007</v>
      </c>
      <c r="N2365" s="1">
        <v>-47.841999999999999</v>
      </c>
      <c r="O2365" s="1">
        <v>-23.914000000000001</v>
      </c>
      <c r="P2365" s="365">
        <v>0</v>
      </c>
      <c r="Q2365" s="1">
        <v>23.913</v>
      </c>
      <c r="R2365" s="1">
        <v>47.841000000000001</v>
      </c>
      <c r="S2365" s="1">
        <v>71.798000000000002</v>
      </c>
      <c r="T2365" s="1">
        <v>95.799000000000007</v>
      </c>
    </row>
    <row r="2366" spans="1:28">
      <c r="A2366" s="1">
        <v>3300</v>
      </c>
      <c r="B2366" s="1">
        <v>41.387</v>
      </c>
      <c r="C2366" s="1">
        <v>41.404000000000003</v>
      </c>
      <c r="D2366" s="1">
        <v>41.411999999999999</v>
      </c>
      <c r="E2366" s="1">
        <v>41.420999999999999</v>
      </c>
      <c r="F2366" s="1">
        <v>41.429000000000002</v>
      </c>
      <c r="G2366" s="1">
        <v>41.438000000000002</v>
      </c>
      <c r="H2366" s="1">
        <v>41.454000000000001</v>
      </c>
      <c r="I2366" s="1">
        <v>41.470999999999997</v>
      </c>
      <c r="J2366" s="21">
        <v>7955</v>
      </c>
      <c r="K2366" s="1">
        <v>5100</v>
      </c>
      <c r="L2366" s="1">
        <v>-95.8</v>
      </c>
      <c r="M2366" s="1">
        <v>-71.799000000000007</v>
      </c>
      <c r="N2366" s="1">
        <v>-47.843000000000004</v>
      </c>
      <c r="O2366" s="1">
        <v>-23.914000000000001</v>
      </c>
      <c r="P2366" s="365">
        <v>0</v>
      </c>
      <c r="Q2366" s="1">
        <v>23.914000000000001</v>
      </c>
      <c r="R2366" s="1">
        <v>47.841999999999999</v>
      </c>
      <c r="S2366" s="1">
        <v>71.799000000000007</v>
      </c>
      <c r="T2366" s="1">
        <v>95.8</v>
      </c>
    </row>
    <row r="2367" spans="1:28">
      <c r="A2367" s="1">
        <v>3350</v>
      </c>
      <c r="B2367" s="1">
        <v>41.106000000000002</v>
      </c>
      <c r="C2367" s="1">
        <v>41.122</v>
      </c>
      <c r="D2367" s="1">
        <v>41.131</v>
      </c>
      <c r="E2367" s="1">
        <v>41.139000000000003</v>
      </c>
      <c r="F2367" s="1">
        <v>41.148000000000003</v>
      </c>
      <c r="G2367" s="1">
        <v>41.155999999999999</v>
      </c>
      <c r="H2367" s="1">
        <v>41.173000000000002</v>
      </c>
      <c r="I2367" s="1">
        <v>41.19</v>
      </c>
      <c r="J2367" s="21">
        <v>7905</v>
      </c>
      <c r="K2367" s="1">
        <v>5200</v>
      </c>
      <c r="L2367" s="1">
        <v>-95.8</v>
      </c>
      <c r="M2367" s="1">
        <v>-71.799000000000007</v>
      </c>
      <c r="N2367" s="1">
        <v>-47.841999999999999</v>
      </c>
      <c r="O2367" s="1">
        <v>-23.913</v>
      </c>
      <c r="P2367" s="365">
        <v>0</v>
      </c>
      <c r="Q2367" s="1">
        <v>23.913</v>
      </c>
      <c r="R2367" s="1">
        <v>47.841000000000001</v>
      </c>
      <c r="S2367" s="1">
        <v>71.799000000000007</v>
      </c>
      <c r="T2367" s="1">
        <v>95.8</v>
      </c>
    </row>
    <row r="2368" spans="1:28">
      <c r="A2368" s="1">
        <v>3400</v>
      </c>
      <c r="B2368" s="1">
        <v>40.823999999999998</v>
      </c>
      <c r="C2368" s="1">
        <v>40.841000000000001</v>
      </c>
      <c r="D2368" s="1">
        <v>40.85</v>
      </c>
      <c r="E2368" s="1">
        <v>40.857999999999997</v>
      </c>
      <c r="F2368" s="1">
        <v>40.866</v>
      </c>
      <c r="G2368" s="1">
        <v>40.875</v>
      </c>
      <c r="H2368" s="1">
        <v>40.892000000000003</v>
      </c>
      <c r="I2368" s="1">
        <v>40.908000000000001</v>
      </c>
      <c r="J2368" s="21">
        <v>7855</v>
      </c>
      <c r="K2368" s="1">
        <v>5300</v>
      </c>
      <c r="L2368" s="1">
        <v>-95.8</v>
      </c>
      <c r="M2368" s="1">
        <v>-71.799000000000007</v>
      </c>
      <c r="N2368" s="1">
        <v>-47.841999999999999</v>
      </c>
      <c r="O2368" s="1">
        <v>-23.914000000000001</v>
      </c>
      <c r="P2368" s="365">
        <v>0</v>
      </c>
      <c r="Q2368" s="1">
        <v>23.911999999999999</v>
      </c>
      <c r="R2368" s="1">
        <v>47.841000000000001</v>
      </c>
      <c r="S2368" s="1">
        <v>71.799000000000007</v>
      </c>
      <c r="T2368" s="1">
        <v>95.799000000000007</v>
      </c>
    </row>
    <row r="2369" spans="1:20">
      <c r="A2369" s="1">
        <v>3450</v>
      </c>
      <c r="B2369" s="1">
        <v>40.542999999999999</v>
      </c>
      <c r="C2369" s="1">
        <v>40.56</v>
      </c>
      <c r="D2369" s="1">
        <v>40.567999999999998</v>
      </c>
      <c r="E2369" s="1">
        <v>40.576999999999998</v>
      </c>
      <c r="F2369" s="1">
        <v>40.585000000000001</v>
      </c>
      <c r="G2369" s="1">
        <v>40.593000000000004</v>
      </c>
      <c r="H2369" s="1">
        <v>40.61</v>
      </c>
      <c r="I2369" s="1">
        <v>40.627000000000002</v>
      </c>
      <c r="J2369" s="21">
        <v>7805</v>
      </c>
      <c r="K2369" s="1">
        <v>5400</v>
      </c>
      <c r="L2369" s="1">
        <v>-95.798000000000002</v>
      </c>
      <c r="M2369" s="1">
        <v>-71.796999999999997</v>
      </c>
      <c r="N2369" s="1">
        <v>-47.841999999999999</v>
      </c>
      <c r="O2369" s="1">
        <v>-23.913</v>
      </c>
      <c r="P2369" s="365">
        <v>0</v>
      </c>
      <c r="Q2369" s="1">
        <v>23.913</v>
      </c>
      <c r="R2369" s="1">
        <v>47.841999999999999</v>
      </c>
      <c r="S2369" s="1">
        <v>71.8</v>
      </c>
      <c r="T2369" s="1">
        <v>95.801000000000002</v>
      </c>
    </row>
    <row r="2370" spans="1:20">
      <c r="A2370" s="1">
        <v>3500</v>
      </c>
      <c r="B2370" s="1">
        <v>40.261000000000003</v>
      </c>
      <c r="C2370" s="1">
        <v>40.277999999999999</v>
      </c>
      <c r="D2370" s="1">
        <v>40.286999999999999</v>
      </c>
      <c r="E2370" s="1">
        <v>40.295000000000002</v>
      </c>
      <c r="F2370" s="1">
        <v>40.304000000000002</v>
      </c>
      <c r="G2370" s="1">
        <v>40.311999999999998</v>
      </c>
      <c r="H2370" s="1">
        <v>40.329000000000001</v>
      </c>
      <c r="I2370" s="1">
        <v>40.345999999999997</v>
      </c>
      <c r="J2370" s="21">
        <v>7755</v>
      </c>
      <c r="K2370" s="1">
        <v>5500</v>
      </c>
      <c r="L2370" s="1">
        <v>-95.801000000000002</v>
      </c>
      <c r="M2370" s="1">
        <v>-71.8</v>
      </c>
      <c r="N2370" s="1">
        <v>-47.843000000000004</v>
      </c>
      <c r="O2370" s="1">
        <v>-23.914000000000001</v>
      </c>
      <c r="P2370" s="365">
        <v>0</v>
      </c>
      <c r="Q2370" s="1">
        <v>23.913</v>
      </c>
      <c r="R2370" s="1">
        <v>47.841000000000001</v>
      </c>
      <c r="S2370" s="1">
        <v>71.799000000000007</v>
      </c>
      <c r="T2370" s="1">
        <v>95.799000000000007</v>
      </c>
    </row>
    <row r="2371" spans="1:20">
      <c r="A2371" s="1">
        <v>3550</v>
      </c>
      <c r="B2371" s="1">
        <v>39.979999999999997</v>
      </c>
      <c r="C2371" s="1">
        <v>39.997</v>
      </c>
      <c r="D2371" s="1">
        <v>40.005000000000003</v>
      </c>
      <c r="E2371" s="1">
        <v>40.014000000000003</v>
      </c>
      <c r="F2371" s="1">
        <v>40.021999999999998</v>
      </c>
      <c r="G2371" s="1">
        <v>40.030999999999999</v>
      </c>
      <c r="H2371" s="1">
        <v>40.046999999999997</v>
      </c>
      <c r="I2371" s="1">
        <v>40.064</v>
      </c>
      <c r="J2371" s="21">
        <v>7705</v>
      </c>
      <c r="K2371" s="1">
        <v>5600</v>
      </c>
      <c r="L2371" s="1">
        <v>-95.799000000000007</v>
      </c>
      <c r="M2371" s="1">
        <v>-71.798000000000002</v>
      </c>
      <c r="N2371" s="1">
        <v>-47.841999999999999</v>
      </c>
      <c r="O2371" s="1">
        <v>-23.914000000000001</v>
      </c>
      <c r="P2371" s="365">
        <v>0</v>
      </c>
      <c r="Q2371" s="1">
        <v>23.911999999999999</v>
      </c>
      <c r="R2371" s="1">
        <v>47.841000000000001</v>
      </c>
      <c r="S2371" s="1">
        <v>71.799000000000007</v>
      </c>
      <c r="T2371" s="1">
        <v>95.799000000000007</v>
      </c>
    </row>
    <row r="2372" spans="1:20">
      <c r="A2372" s="1">
        <v>3600</v>
      </c>
      <c r="B2372" s="1">
        <v>39.698999999999998</v>
      </c>
      <c r="C2372" s="1">
        <v>39.716000000000001</v>
      </c>
      <c r="D2372" s="1">
        <v>39.723999999999997</v>
      </c>
      <c r="E2372" s="1">
        <v>39.731999999999999</v>
      </c>
      <c r="F2372" s="1">
        <v>39.741</v>
      </c>
      <c r="G2372" s="1">
        <v>39.749000000000002</v>
      </c>
      <c r="H2372" s="1">
        <v>39.765999999999998</v>
      </c>
      <c r="I2372" s="1">
        <v>39.783000000000001</v>
      </c>
      <c r="J2372" s="21">
        <v>7655</v>
      </c>
      <c r="K2372" s="1">
        <v>5700</v>
      </c>
      <c r="L2372" s="1">
        <v>-95.8</v>
      </c>
      <c r="M2372" s="1">
        <v>-71.799000000000007</v>
      </c>
      <c r="N2372" s="1">
        <v>-47.841000000000001</v>
      </c>
      <c r="O2372" s="1">
        <v>-23.914000000000001</v>
      </c>
      <c r="P2372" s="365">
        <v>0</v>
      </c>
      <c r="Q2372" s="1">
        <v>23.911999999999999</v>
      </c>
      <c r="R2372" s="1">
        <v>47.841999999999999</v>
      </c>
      <c r="S2372" s="1">
        <v>71.8</v>
      </c>
      <c r="T2372" s="1">
        <v>95.8</v>
      </c>
    </row>
    <row r="2373" spans="1:20">
      <c r="A2373" s="1">
        <v>3650</v>
      </c>
      <c r="B2373" s="1">
        <v>39.417000000000002</v>
      </c>
      <c r="C2373" s="1">
        <v>39.433999999999997</v>
      </c>
      <c r="D2373" s="1">
        <v>39.442999999999998</v>
      </c>
      <c r="E2373" s="1">
        <v>39.451000000000001</v>
      </c>
      <c r="F2373" s="1">
        <v>39.459000000000003</v>
      </c>
      <c r="G2373" s="1">
        <v>39.468000000000004</v>
      </c>
      <c r="H2373" s="1">
        <v>39.484999999999999</v>
      </c>
      <c r="I2373" s="1">
        <v>39.502000000000002</v>
      </c>
      <c r="J2373" s="21">
        <v>7605</v>
      </c>
      <c r="K2373" s="1">
        <v>5800</v>
      </c>
      <c r="L2373" s="1">
        <v>-95.8</v>
      </c>
      <c r="M2373" s="1">
        <v>-71.799000000000007</v>
      </c>
      <c r="N2373" s="1">
        <v>-47.841999999999999</v>
      </c>
      <c r="O2373" s="1">
        <v>-23.913</v>
      </c>
      <c r="P2373" s="365">
        <v>0</v>
      </c>
      <c r="Q2373" s="1">
        <v>23.913</v>
      </c>
      <c r="R2373" s="1">
        <v>47.841999999999999</v>
      </c>
      <c r="S2373" s="1">
        <v>71.799000000000007</v>
      </c>
      <c r="T2373" s="1">
        <v>95.8</v>
      </c>
    </row>
    <row r="2374" spans="1:20">
      <c r="A2374" s="1">
        <v>3700</v>
      </c>
      <c r="B2374" s="1">
        <v>39.136000000000003</v>
      </c>
      <c r="C2374" s="1">
        <v>39.152999999999999</v>
      </c>
      <c r="D2374" s="1">
        <v>39.161000000000001</v>
      </c>
      <c r="E2374" s="1">
        <v>39.17</v>
      </c>
      <c r="F2374" s="1">
        <v>39.177999999999997</v>
      </c>
      <c r="G2374" s="1">
        <v>39.186</v>
      </c>
      <c r="H2374" s="1">
        <v>39.203000000000003</v>
      </c>
      <c r="I2374" s="1">
        <v>39.22</v>
      </c>
      <c r="J2374" s="21">
        <v>7555</v>
      </c>
      <c r="K2374" s="1">
        <v>5900</v>
      </c>
      <c r="L2374" s="1">
        <v>-95.8</v>
      </c>
      <c r="M2374" s="1">
        <v>-71.799000000000007</v>
      </c>
      <c r="N2374" s="1">
        <v>-47.841999999999999</v>
      </c>
      <c r="O2374" s="1">
        <v>-23.914000000000001</v>
      </c>
      <c r="P2374" s="365">
        <v>0</v>
      </c>
      <c r="Q2374" s="1">
        <v>23.911999999999999</v>
      </c>
      <c r="R2374" s="1">
        <v>47.841000000000001</v>
      </c>
      <c r="S2374" s="1">
        <v>71.798000000000002</v>
      </c>
      <c r="T2374" s="1">
        <v>95.721999999999994</v>
      </c>
    </row>
    <row r="2375" spans="1:20">
      <c r="A2375" s="1">
        <v>3750</v>
      </c>
      <c r="B2375" s="1">
        <v>38.854999999999997</v>
      </c>
      <c r="C2375" s="1">
        <v>38.871000000000002</v>
      </c>
      <c r="D2375" s="1">
        <v>38.880000000000003</v>
      </c>
      <c r="E2375" s="1">
        <v>38.887999999999998</v>
      </c>
      <c r="F2375" s="1">
        <v>38.896999999999998</v>
      </c>
      <c r="G2375" s="1">
        <v>38.905000000000001</v>
      </c>
      <c r="H2375" s="1">
        <v>38.921999999999997</v>
      </c>
      <c r="I2375" s="1">
        <v>38.939</v>
      </c>
      <c r="J2375" s="21">
        <v>7505</v>
      </c>
      <c r="K2375" s="1">
        <v>6000</v>
      </c>
      <c r="L2375" s="1">
        <v>-95.798000000000002</v>
      </c>
      <c r="M2375" s="1">
        <v>-71.796999999999997</v>
      </c>
      <c r="N2375" s="1">
        <v>-47.841000000000001</v>
      </c>
      <c r="O2375" s="1">
        <v>-23.914000000000001</v>
      </c>
      <c r="P2375" s="365">
        <v>0</v>
      </c>
      <c r="Q2375" s="1">
        <v>23.920999999999999</v>
      </c>
      <c r="R2375" s="1">
        <v>47.805</v>
      </c>
      <c r="S2375" s="1">
        <v>71.578999999999994</v>
      </c>
      <c r="T2375" s="1">
        <v>95.251999999999995</v>
      </c>
    </row>
    <row r="2376" spans="1:20">
      <c r="A2376" s="1">
        <v>3800</v>
      </c>
      <c r="B2376" s="1">
        <v>38.573</v>
      </c>
      <c r="C2376" s="1">
        <v>38.590000000000003</v>
      </c>
      <c r="D2376" s="1">
        <v>38.597999999999999</v>
      </c>
      <c r="E2376" s="1">
        <v>38.606999999999999</v>
      </c>
      <c r="F2376" s="1">
        <v>38.615000000000002</v>
      </c>
      <c r="G2376" s="1">
        <v>38.624000000000002</v>
      </c>
      <c r="H2376" s="1">
        <v>38.640999999999998</v>
      </c>
      <c r="I2376" s="1">
        <v>38.656999999999996</v>
      </c>
      <c r="J2376" s="21">
        <v>7455</v>
      </c>
      <c r="K2376" s="1">
        <v>6100</v>
      </c>
      <c r="L2376" s="1">
        <v>-95.799000000000007</v>
      </c>
      <c r="M2376" s="1">
        <v>-71.790999999999997</v>
      </c>
      <c r="N2376" s="1">
        <v>-47.826000000000001</v>
      </c>
      <c r="O2376" s="1">
        <v>-23.888999999999999</v>
      </c>
      <c r="P2376" s="365">
        <v>0</v>
      </c>
      <c r="Q2376" s="1">
        <v>23.844999999999999</v>
      </c>
      <c r="R2376" s="1">
        <v>47.561</v>
      </c>
      <c r="S2376" s="1">
        <v>71.165999999999997</v>
      </c>
      <c r="T2376" s="1">
        <v>94.67</v>
      </c>
    </row>
    <row r="2377" spans="1:20">
      <c r="A2377" s="1">
        <v>3850</v>
      </c>
      <c r="B2377" s="1">
        <v>38.292000000000002</v>
      </c>
      <c r="C2377" s="1">
        <v>38.308999999999997</v>
      </c>
      <c r="D2377" s="1">
        <v>38.317</v>
      </c>
      <c r="E2377" s="1">
        <v>38.325000000000003</v>
      </c>
      <c r="F2377" s="1">
        <v>38.334000000000003</v>
      </c>
      <c r="G2377" s="1">
        <v>38.341999999999999</v>
      </c>
      <c r="H2377" s="1">
        <v>38.359000000000002</v>
      </c>
      <c r="I2377" s="1">
        <v>38.375999999999998</v>
      </c>
      <c r="J2377" s="21">
        <v>7405</v>
      </c>
      <c r="K2377" s="1">
        <v>6200</v>
      </c>
      <c r="L2377" s="1">
        <v>-95.751000000000005</v>
      </c>
      <c r="M2377" s="1">
        <v>-71.650999999999996</v>
      </c>
      <c r="N2377" s="1">
        <v>-47.612000000000002</v>
      </c>
      <c r="O2377" s="1">
        <v>-23.725999999999999</v>
      </c>
      <c r="P2377" s="365">
        <v>0</v>
      </c>
      <c r="Q2377" s="1">
        <v>23.696999999999999</v>
      </c>
      <c r="R2377" s="1">
        <v>47.265000000000001</v>
      </c>
      <c r="S2377" s="1">
        <v>70.722999999999999</v>
      </c>
      <c r="T2377" s="1">
        <v>94.081000000000003</v>
      </c>
    </row>
    <row r="2378" spans="1:20">
      <c r="A2378" s="1">
        <v>3900</v>
      </c>
      <c r="B2378" s="1">
        <v>38.01</v>
      </c>
      <c r="C2378" s="1">
        <v>30.021000000000001</v>
      </c>
      <c r="D2378" s="1">
        <v>38.036000000000001</v>
      </c>
      <c r="E2378" s="1">
        <v>38.043999999999997</v>
      </c>
      <c r="F2378" s="1">
        <v>38.052999999999997</v>
      </c>
      <c r="G2378" s="1">
        <v>38.061</v>
      </c>
      <c r="H2378" s="1">
        <v>38.078000000000003</v>
      </c>
      <c r="I2378" s="1">
        <v>38.094999999999999</v>
      </c>
      <c r="J2378" s="21">
        <v>7355</v>
      </c>
      <c r="K2378" s="1">
        <v>6300</v>
      </c>
      <c r="L2378" s="1">
        <v>-95.319000000000003</v>
      </c>
      <c r="M2378" s="1">
        <v>-71.221000000000004</v>
      </c>
      <c r="N2378" s="1">
        <v>-47.311999999999998</v>
      </c>
      <c r="O2378" s="1">
        <v>-23.577000000000002</v>
      </c>
      <c r="P2378" s="365">
        <v>0</v>
      </c>
      <c r="Q2378" s="1">
        <v>23.55</v>
      </c>
      <c r="R2378" s="1">
        <v>46.970999999999997</v>
      </c>
      <c r="S2378" s="1">
        <v>70.281999999999996</v>
      </c>
      <c r="T2378" s="1">
        <v>93.495999999999995</v>
      </c>
    </row>
    <row r="2379" spans="1:20">
      <c r="A2379" s="1">
        <v>3950</v>
      </c>
      <c r="B2379" s="1">
        <v>37.728999999999999</v>
      </c>
      <c r="C2379" s="1">
        <v>37.746000000000002</v>
      </c>
      <c r="D2379" s="1">
        <v>37.753999999999998</v>
      </c>
      <c r="E2379" s="1">
        <v>37.762999999999998</v>
      </c>
      <c r="F2379" s="1">
        <v>37.771000000000001</v>
      </c>
      <c r="G2379" s="1">
        <v>37.78</v>
      </c>
      <c r="H2379" s="1">
        <v>37.795999999999999</v>
      </c>
      <c r="I2379" s="1">
        <v>37.813000000000002</v>
      </c>
      <c r="J2379" s="21">
        <v>7305</v>
      </c>
      <c r="K2379" s="1">
        <v>6400</v>
      </c>
      <c r="L2379" s="1">
        <v>-94.72</v>
      </c>
      <c r="M2379" s="1">
        <v>-70.772999999999996</v>
      </c>
      <c r="N2379" s="1">
        <v>-47.015999999999998</v>
      </c>
      <c r="O2379" s="1">
        <v>-23.43</v>
      </c>
      <c r="P2379" s="365">
        <v>0</v>
      </c>
      <c r="Q2379" s="1">
        <v>23.402000000000001</v>
      </c>
      <c r="R2379" s="1">
        <v>46.677999999999997</v>
      </c>
      <c r="S2379" s="1">
        <v>69.843000000000004</v>
      </c>
      <c r="T2379" s="1">
        <v>92.911000000000001</v>
      </c>
    </row>
    <row r="2380" spans="1:20">
      <c r="A2380" s="1">
        <v>4000</v>
      </c>
      <c r="B2380" s="1">
        <v>37.448</v>
      </c>
      <c r="C2380" s="1">
        <v>37.463999999999999</v>
      </c>
      <c r="D2380" s="1">
        <v>37.472999999999999</v>
      </c>
      <c r="E2380" s="1">
        <v>37.481000000000002</v>
      </c>
      <c r="F2380" s="1">
        <v>37.49</v>
      </c>
      <c r="G2380" s="1">
        <v>37.497999999999998</v>
      </c>
      <c r="H2380" s="1">
        <v>37.515000000000001</v>
      </c>
      <c r="I2380" s="1">
        <v>37.531999999999996</v>
      </c>
      <c r="J2380" s="21">
        <v>7255</v>
      </c>
      <c r="K2380" s="1">
        <v>6500</v>
      </c>
      <c r="L2380" s="1">
        <v>-94.122</v>
      </c>
      <c r="M2380" s="1">
        <v>-70.325999999999993</v>
      </c>
      <c r="N2380" s="1">
        <v>-46.718000000000004</v>
      </c>
      <c r="O2380" s="1">
        <v>-23.282</v>
      </c>
      <c r="P2380" s="365">
        <v>0</v>
      </c>
      <c r="Q2380" s="1">
        <v>23.254999999999999</v>
      </c>
      <c r="R2380" s="1">
        <v>46.384</v>
      </c>
      <c r="S2380" s="1">
        <v>69.403000000000006</v>
      </c>
      <c r="T2380" s="1">
        <v>92.325999999999993</v>
      </c>
    </row>
    <row r="2381" spans="1:20">
      <c r="A2381" s="1">
        <v>4050</v>
      </c>
      <c r="B2381" s="1">
        <v>37.165999999999997</v>
      </c>
      <c r="C2381" s="1">
        <v>37.183</v>
      </c>
      <c r="D2381" s="1">
        <v>37.192</v>
      </c>
      <c r="E2381" s="1">
        <v>37.200000000000003</v>
      </c>
      <c r="F2381" s="1">
        <v>37.207999999999998</v>
      </c>
      <c r="G2381" s="1">
        <v>37.216999999999999</v>
      </c>
      <c r="H2381" s="1">
        <v>37.234000000000002</v>
      </c>
      <c r="I2381" s="1">
        <v>37.25</v>
      </c>
      <c r="J2381" s="21">
        <v>7205</v>
      </c>
      <c r="K2381" s="1">
        <v>6600</v>
      </c>
      <c r="L2381" s="1">
        <v>-93.522999999999996</v>
      </c>
      <c r="M2381" s="1">
        <v>-69.879000000000005</v>
      </c>
      <c r="N2381" s="1">
        <v>-46.420999999999999</v>
      </c>
      <c r="O2381" s="1">
        <v>-23.132999999999999</v>
      </c>
      <c r="P2381" s="365">
        <v>0</v>
      </c>
      <c r="Q2381" s="1">
        <v>23.106999999999999</v>
      </c>
      <c r="R2381" s="1">
        <v>46.088999999999999</v>
      </c>
      <c r="S2381" s="1">
        <v>68.962000000000003</v>
      </c>
      <c r="T2381" s="1">
        <v>91.738</v>
      </c>
    </row>
    <row r="2382" spans="1:20">
      <c r="A2382" s="1">
        <v>4100</v>
      </c>
      <c r="B2382" s="1">
        <v>36.884999999999998</v>
      </c>
      <c r="C2382" s="1">
        <v>36.902000000000001</v>
      </c>
      <c r="D2382" s="1">
        <v>36.909999999999997</v>
      </c>
      <c r="E2382" s="1">
        <v>36.918999999999997</v>
      </c>
      <c r="F2382" s="1">
        <v>36.927</v>
      </c>
      <c r="G2382" s="1">
        <v>36.935000000000002</v>
      </c>
      <c r="H2382" s="1">
        <v>36.951999999999998</v>
      </c>
      <c r="I2382" s="1">
        <v>36.969000000000001</v>
      </c>
      <c r="J2382" s="21">
        <v>7155</v>
      </c>
      <c r="K2382" s="1">
        <v>6700</v>
      </c>
      <c r="L2382" s="1">
        <v>-92.923000000000002</v>
      </c>
      <c r="M2382" s="1">
        <v>-69.430000000000007</v>
      </c>
      <c r="N2382" s="1">
        <v>-46.122999999999998</v>
      </c>
      <c r="O2382" s="1">
        <v>-22.984999999999999</v>
      </c>
      <c r="P2382" s="365">
        <v>0</v>
      </c>
      <c r="Q2382" s="1">
        <v>22.96</v>
      </c>
      <c r="R2382" s="1">
        <v>45.795000000000002</v>
      </c>
      <c r="S2382" s="1">
        <v>68.522000000000006</v>
      </c>
      <c r="T2382" s="1">
        <v>91.153999999999996</v>
      </c>
    </row>
    <row r="2383" spans="1:20">
      <c r="A2383" s="1">
        <v>4150</v>
      </c>
      <c r="B2383" s="1">
        <v>36.603999999999999</v>
      </c>
      <c r="C2383" s="1">
        <v>36.619999999999997</v>
      </c>
      <c r="D2383" s="1">
        <v>36.628999999999998</v>
      </c>
      <c r="E2383" s="1">
        <v>36.637</v>
      </c>
      <c r="F2383" s="1">
        <v>36.646000000000001</v>
      </c>
      <c r="G2383" s="1">
        <v>36.654000000000003</v>
      </c>
      <c r="H2383" s="1">
        <v>36.670999999999999</v>
      </c>
      <c r="I2383" s="1">
        <v>36.688000000000002</v>
      </c>
      <c r="J2383" s="21">
        <v>7105</v>
      </c>
      <c r="K2383" s="1">
        <v>6800</v>
      </c>
      <c r="L2383" s="1">
        <v>-92.325999999999993</v>
      </c>
      <c r="M2383" s="1">
        <v>-68.983999999999995</v>
      </c>
      <c r="N2383" s="1">
        <v>-45.826000000000001</v>
      </c>
      <c r="O2383" s="1">
        <v>-22.835999999999999</v>
      </c>
      <c r="P2383" s="365">
        <v>0</v>
      </c>
      <c r="Q2383" s="1">
        <v>22.81</v>
      </c>
      <c r="R2383" s="1">
        <v>45.497999999999998</v>
      </c>
      <c r="S2383" s="1">
        <v>68.078999999999994</v>
      </c>
      <c r="T2383" s="1">
        <v>90.563999999999993</v>
      </c>
    </row>
    <row r="2384" spans="1:20">
      <c r="A2384" s="1">
        <v>4200</v>
      </c>
      <c r="B2384" s="1">
        <v>36.322000000000003</v>
      </c>
      <c r="C2384" s="1">
        <v>36.338999999999999</v>
      </c>
      <c r="D2384" s="1">
        <v>36.347000000000001</v>
      </c>
      <c r="E2384" s="1">
        <v>36.356000000000002</v>
      </c>
      <c r="F2384" s="1">
        <v>36.363999999999997</v>
      </c>
      <c r="G2384" s="1">
        <v>36.372999999999998</v>
      </c>
      <c r="H2384" s="1">
        <v>36.389000000000003</v>
      </c>
      <c r="I2384" s="1">
        <v>36.405999999999999</v>
      </c>
      <c r="J2384" s="21">
        <v>7055</v>
      </c>
      <c r="K2384" s="1">
        <v>6900</v>
      </c>
      <c r="L2384" s="1">
        <v>-91.721999999999994</v>
      </c>
      <c r="M2384" s="1">
        <v>-68.533000000000001</v>
      </c>
      <c r="N2384" s="1">
        <v>-45.527000000000001</v>
      </c>
      <c r="O2384" s="1">
        <v>-22.687000000000001</v>
      </c>
      <c r="P2384" s="365">
        <v>0</v>
      </c>
      <c r="Q2384" s="1">
        <v>22.664999999999999</v>
      </c>
      <c r="R2384" s="1">
        <v>45.206000000000003</v>
      </c>
      <c r="S2384" s="1">
        <v>67.64</v>
      </c>
      <c r="T2384" s="1">
        <v>89.980999999999995</v>
      </c>
    </row>
    <row r="2385" spans="1:20">
      <c r="A2385" s="1">
        <v>4250</v>
      </c>
      <c r="B2385" s="1">
        <v>36.040999999999997</v>
      </c>
      <c r="C2385" s="1">
        <v>36.058</v>
      </c>
      <c r="D2385" s="1">
        <v>36.066000000000003</v>
      </c>
      <c r="E2385" s="1">
        <v>36.073999999999998</v>
      </c>
      <c r="F2385" s="1">
        <v>36.082999999999998</v>
      </c>
      <c r="G2385" s="1">
        <v>36.091000000000001</v>
      </c>
      <c r="H2385" s="1">
        <v>36.107999999999997</v>
      </c>
      <c r="I2385" s="1">
        <v>36.125</v>
      </c>
      <c r="J2385" s="21">
        <v>7005</v>
      </c>
      <c r="K2385" s="1">
        <v>7000</v>
      </c>
      <c r="L2385" s="1">
        <v>-91.126999999999995</v>
      </c>
      <c r="M2385" s="1">
        <v>-68.087000000000003</v>
      </c>
      <c r="N2385" s="1">
        <v>-45.231000000000002</v>
      </c>
      <c r="O2385" s="1">
        <v>-22.541</v>
      </c>
      <c r="P2385" s="365">
        <v>0</v>
      </c>
      <c r="Q2385" s="1">
        <v>22.515999999999998</v>
      </c>
      <c r="R2385" s="1">
        <v>44.91</v>
      </c>
      <c r="S2385" s="1">
        <v>67.198999999999998</v>
      </c>
      <c r="T2385" s="1">
        <v>89.393000000000001</v>
      </c>
    </row>
    <row r="2386" spans="1:20">
      <c r="A2386" s="1">
        <v>4300</v>
      </c>
      <c r="B2386" s="1">
        <v>35.759</v>
      </c>
      <c r="C2386" s="1">
        <v>35.776000000000003</v>
      </c>
      <c r="D2386" s="1">
        <v>35.784999999999997</v>
      </c>
      <c r="E2386" s="1">
        <v>35.792999999999999</v>
      </c>
      <c r="F2386" s="1">
        <v>35.801000000000002</v>
      </c>
      <c r="G2386" s="1">
        <v>35.81</v>
      </c>
      <c r="H2386" s="1">
        <v>35.826999999999998</v>
      </c>
      <c r="I2386" s="1">
        <v>35.844000000000001</v>
      </c>
      <c r="J2386" s="21">
        <v>6955</v>
      </c>
      <c r="K2386" s="1">
        <v>7100</v>
      </c>
      <c r="L2386" s="1">
        <v>-90.525999999999996</v>
      </c>
      <c r="M2386" s="1">
        <v>-67.638000000000005</v>
      </c>
      <c r="N2386" s="1">
        <v>-44.932000000000002</v>
      </c>
      <c r="O2386" s="1">
        <v>-22.390999999999998</v>
      </c>
      <c r="P2386" s="365">
        <v>0</v>
      </c>
      <c r="Q2386" s="1">
        <v>22.369</v>
      </c>
      <c r="R2386" s="1">
        <v>44.616</v>
      </c>
      <c r="S2386" s="1">
        <v>66.759</v>
      </c>
      <c r="T2386" s="1">
        <v>88.807000000000002</v>
      </c>
    </row>
    <row r="2387" spans="1:20">
      <c r="A2387" s="1">
        <v>4350</v>
      </c>
      <c r="B2387" s="1">
        <v>35.478000000000002</v>
      </c>
      <c r="C2387" s="1">
        <v>35.494999999999997</v>
      </c>
      <c r="D2387" s="1">
        <v>35.503</v>
      </c>
      <c r="E2387" s="1">
        <v>35.512</v>
      </c>
      <c r="F2387" s="1">
        <v>35.520000000000003</v>
      </c>
      <c r="G2387" s="1">
        <v>35.527999999999999</v>
      </c>
      <c r="H2387" s="1">
        <v>35.545000000000002</v>
      </c>
      <c r="I2387" s="1">
        <v>35.561999999999998</v>
      </c>
      <c r="J2387" s="21">
        <v>6905</v>
      </c>
      <c r="K2387" s="1">
        <v>7200</v>
      </c>
      <c r="L2387" s="1">
        <v>-89.926000000000002</v>
      </c>
      <c r="M2387" s="1">
        <v>-67.191000000000003</v>
      </c>
      <c r="N2387" s="1">
        <v>-44.636000000000003</v>
      </c>
      <c r="O2387" s="1">
        <v>-22.242999999999999</v>
      </c>
      <c r="P2387" s="365">
        <v>0</v>
      </c>
      <c r="Q2387" s="1">
        <v>22.221</v>
      </c>
      <c r="R2387" s="1">
        <v>44.322000000000003</v>
      </c>
      <c r="S2387" s="1">
        <v>66.319000000000003</v>
      </c>
      <c r="T2387" s="1">
        <v>88.221999999999994</v>
      </c>
    </row>
    <row r="2388" spans="1:20">
      <c r="A2388" s="1">
        <v>4400</v>
      </c>
      <c r="B2388" s="1">
        <v>35.197000000000003</v>
      </c>
      <c r="C2388" s="1">
        <v>35.213000000000001</v>
      </c>
      <c r="D2388" s="1">
        <v>35.222000000000001</v>
      </c>
      <c r="E2388" s="1">
        <v>35.229999999999997</v>
      </c>
      <c r="F2388" s="1">
        <v>35.238999999999997</v>
      </c>
      <c r="G2388" s="1">
        <v>35.247</v>
      </c>
      <c r="H2388" s="1">
        <v>35.264000000000003</v>
      </c>
      <c r="I2388" s="1">
        <v>35.280999999999999</v>
      </c>
      <c r="J2388" s="21">
        <v>6855</v>
      </c>
      <c r="K2388" s="1">
        <v>7300</v>
      </c>
      <c r="L2388" s="1">
        <v>-89.326999999999998</v>
      </c>
      <c r="M2388" s="1">
        <v>-66.742999999999995</v>
      </c>
      <c r="N2388" s="1">
        <v>-44.338000000000001</v>
      </c>
      <c r="O2388" s="1">
        <v>-22.094999999999999</v>
      </c>
      <c r="P2388" s="365">
        <v>0</v>
      </c>
      <c r="Q2388" s="1">
        <v>22.073</v>
      </c>
      <c r="R2388" s="1">
        <v>44.027999999999999</v>
      </c>
      <c r="S2388" s="1">
        <v>65.876000000000005</v>
      </c>
      <c r="T2388" s="1">
        <v>87.634</v>
      </c>
    </row>
    <row r="2389" spans="1:20">
      <c r="A2389" s="1">
        <v>4450</v>
      </c>
      <c r="B2389" s="1">
        <v>34.914999999999999</v>
      </c>
      <c r="C2389" s="1">
        <v>34.932000000000002</v>
      </c>
      <c r="D2389" s="1">
        <v>34.94</v>
      </c>
      <c r="E2389" s="1">
        <v>34.948999999999998</v>
      </c>
      <c r="F2389" s="1">
        <v>34.957000000000001</v>
      </c>
      <c r="G2389" s="1">
        <v>34.966000000000001</v>
      </c>
      <c r="H2389" s="1">
        <v>34.982999999999997</v>
      </c>
      <c r="I2389" s="1">
        <v>34.999000000000002</v>
      </c>
      <c r="J2389" s="21">
        <v>6805</v>
      </c>
      <c r="K2389" s="1">
        <v>7400</v>
      </c>
      <c r="L2389" s="1">
        <v>-88.727000000000004</v>
      </c>
      <c r="M2389" s="1">
        <v>-66.295000000000002</v>
      </c>
      <c r="N2389" s="1">
        <v>-44.04</v>
      </c>
      <c r="O2389" s="1">
        <v>-21.946000000000002</v>
      </c>
      <c r="P2389" s="365">
        <v>0</v>
      </c>
      <c r="Q2389" s="1">
        <v>21.925999999999998</v>
      </c>
      <c r="R2389" s="1">
        <v>43.734000000000002</v>
      </c>
      <c r="S2389" s="1">
        <v>65.436999999999998</v>
      </c>
      <c r="T2389" s="1">
        <v>87.049000000000007</v>
      </c>
    </row>
    <row r="2390" spans="1:20">
      <c r="A2390" s="1">
        <v>4500</v>
      </c>
      <c r="B2390" s="1">
        <v>34.634</v>
      </c>
      <c r="C2390" s="1">
        <v>34.651000000000003</v>
      </c>
      <c r="D2390" s="1">
        <v>34.658999999999999</v>
      </c>
      <c r="E2390" s="1">
        <v>34.667000000000002</v>
      </c>
      <c r="F2390" s="1">
        <v>34.676000000000002</v>
      </c>
      <c r="G2390" s="1">
        <v>34.683999999999997</v>
      </c>
      <c r="H2390" s="1">
        <v>34.701000000000001</v>
      </c>
      <c r="I2390" s="1">
        <v>34.718000000000004</v>
      </c>
      <c r="J2390" s="21">
        <v>6755</v>
      </c>
      <c r="K2390" s="1">
        <v>7500</v>
      </c>
      <c r="L2390" s="1">
        <v>-88.13</v>
      </c>
      <c r="M2390" s="1">
        <v>-65.847999999999999</v>
      </c>
      <c r="N2390" s="1">
        <v>-43.743000000000002</v>
      </c>
      <c r="O2390" s="1">
        <v>-21.798999999999999</v>
      </c>
      <c r="P2390" s="365">
        <v>0</v>
      </c>
      <c r="Q2390" s="1">
        <v>21.777999999999999</v>
      </c>
      <c r="R2390" s="1">
        <v>43.438000000000002</v>
      </c>
      <c r="S2390" s="1">
        <v>64.995999999999995</v>
      </c>
      <c r="T2390" s="1">
        <v>86.462000000000003</v>
      </c>
    </row>
    <row r="2391" spans="1:20">
      <c r="A2391" s="1">
        <v>4550</v>
      </c>
      <c r="B2391" s="1">
        <v>34.351999999999997</v>
      </c>
      <c r="C2391" s="1">
        <v>34.369</v>
      </c>
      <c r="D2391" s="1">
        <v>34.378</v>
      </c>
      <c r="E2391" s="1">
        <v>34.386000000000003</v>
      </c>
      <c r="F2391" s="1">
        <v>34.395000000000003</v>
      </c>
      <c r="G2391" s="1">
        <v>34.402999999999999</v>
      </c>
      <c r="H2391" s="1">
        <v>34.42</v>
      </c>
      <c r="I2391" s="1">
        <v>34.436999999999998</v>
      </c>
      <c r="J2391" s="21">
        <v>6705</v>
      </c>
      <c r="K2391" s="1">
        <v>7600</v>
      </c>
      <c r="L2391" s="1">
        <v>-87.528999999999996</v>
      </c>
      <c r="M2391" s="1">
        <v>-65.400000000000006</v>
      </c>
      <c r="N2391" s="1">
        <v>-43.445</v>
      </c>
      <c r="O2391" s="1">
        <v>-21.65</v>
      </c>
      <c r="P2391" s="365">
        <v>0</v>
      </c>
      <c r="Q2391" s="1">
        <v>21.63</v>
      </c>
      <c r="R2391" s="1">
        <v>43.143999999999998</v>
      </c>
      <c r="S2391" s="1">
        <v>64.555000000000007</v>
      </c>
      <c r="T2391" s="1">
        <v>85.876000000000005</v>
      </c>
    </row>
    <row r="2392" spans="1:20">
      <c r="A2392" s="1">
        <v>4600</v>
      </c>
      <c r="B2392" s="1">
        <v>34.070999999999998</v>
      </c>
      <c r="C2392" s="1">
        <v>34.088000000000001</v>
      </c>
      <c r="D2392" s="1">
        <v>34.095999999999997</v>
      </c>
      <c r="E2392" s="1">
        <v>34.104999999999997</v>
      </c>
      <c r="F2392" s="1">
        <v>34.113</v>
      </c>
      <c r="G2392" s="1">
        <v>34.122</v>
      </c>
      <c r="H2392" s="1">
        <v>34.137999999999998</v>
      </c>
      <c r="I2392" s="1">
        <v>34.155000000000001</v>
      </c>
      <c r="J2392" s="21">
        <v>6655</v>
      </c>
      <c r="K2392" s="1">
        <v>7700</v>
      </c>
      <c r="L2392" s="1">
        <v>-86.930999999999997</v>
      </c>
      <c r="M2392" s="1">
        <v>-64.950999999999993</v>
      </c>
      <c r="N2392" s="1">
        <v>-43.148000000000003</v>
      </c>
      <c r="O2392" s="1">
        <v>-21.501999999999999</v>
      </c>
      <c r="P2392" s="365">
        <v>0</v>
      </c>
      <c r="Q2392" s="1">
        <v>21.481999999999999</v>
      </c>
      <c r="R2392" s="1">
        <v>42.848999999999997</v>
      </c>
      <c r="S2392" s="1">
        <v>64.114000000000004</v>
      </c>
      <c r="T2392" s="1">
        <v>85.289000000000001</v>
      </c>
    </row>
    <row r="2393" spans="1:20">
      <c r="A2393" s="1">
        <v>4650</v>
      </c>
      <c r="B2393" s="1">
        <v>33.79</v>
      </c>
      <c r="C2393" s="1">
        <v>33.805999999999997</v>
      </c>
      <c r="D2393" s="1">
        <v>33.814999999999998</v>
      </c>
      <c r="E2393" s="1">
        <v>33.823</v>
      </c>
      <c r="F2393" s="1">
        <v>33.832000000000001</v>
      </c>
      <c r="G2393" s="1">
        <v>33.840000000000003</v>
      </c>
      <c r="H2393" s="1">
        <v>33.856999999999999</v>
      </c>
      <c r="I2393" s="1">
        <v>33.814</v>
      </c>
      <c r="J2393" s="21">
        <v>6605</v>
      </c>
      <c r="K2393" s="1">
        <v>7800</v>
      </c>
      <c r="L2393" s="1">
        <v>-86.328999999999994</v>
      </c>
      <c r="M2393" s="1">
        <v>-64.503</v>
      </c>
      <c r="N2393" s="1">
        <v>-42.85</v>
      </c>
      <c r="O2393" s="1">
        <v>-21.353999999999999</v>
      </c>
      <c r="P2393" s="365">
        <v>0</v>
      </c>
      <c r="Q2393" s="1">
        <v>21.335000000000001</v>
      </c>
      <c r="R2393" s="1">
        <v>42.555</v>
      </c>
      <c r="S2393" s="1">
        <v>63.673999999999999</v>
      </c>
      <c r="T2393" s="1">
        <v>84.703999999999994</v>
      </c>
    </row>
    <row r="2394" spans="1:20">
      <c r="A2394" s="1">
        <v>4700</v>
      </c>
      <c r="B2394" s="1">
        <v>33.508000000000003</v>
      </c>
      <c r="C2394" s="1">
        <v>33.524999999999999</v>
      </c>
      <c r="D2394" s="1">
        <v>33.533999999999999</v>
      </c>
      <c r="E2394" s="1">
        <v>33.542000000000002</v>
      </c>
      <c r="F2394" s="1">
        <v>33.549999999999997</v>
      </c>
      <c r="G2394" s="1">
        <v>33.558999999999997</v>
      </c>
      <c r="H2394" s="1">
        <v>33.576000000000001</v>
      </c>
      <c r="I2394" s="1">
        <v>33.593000000000004</v>
      </c>
      <c r="J2394" s="21">
        <v>6555</v>
      </c>
      <c r="K2394" s="1">
        <v>7900</v>
      </c>
      <c r="L2394" s="1">
        <v>-85.731999999999999</v>
      </c>
      <c r="M2394" s="1">
        <v>-64.055999999999997</v>
      </c>
      <c r="N2394" s="1">
        <v>-42.552999999999997</v>
      </c>
      <c r="O2394" s="1">
        <v>-21.206</v>
      </c>
      <c r="P2394" s="365">
        <v>0</v>
      </c>
      <c r="Q2394" s="1">
        <v>21.187999999999999</v>
      </c>
      <c r="R2394" s="1">
        <v>42.261000000000003</v>
      </c>
      <c r="S2394" s="1">
        <v>63.232999999999997</v>
      </c>
      <c r="T2394" s="1">
        <v>84.117999999999995</v>
      </c>
    </row>
    <row r="2395" spans="1:20">
      <c r="A2395" s="1">
        <v>4750</v>
      </c>
      <c r="B2395" s="1">
        <v>33.226999999999997</v>
      </c>
      <c r="C2395" s="1">
        <v>33.244</v>
      </c>
      <c r="D2395" s="1">
        <v>33.252000000000002</v>
      </c>
      <c r="E2395" s="1">
        <v>33.261000000000003</v>
      </c>
      <c r="F2395" s="1">
        <v>33.268999999999998</v>
      </c>
      <c r="G2395" s="1">
        <v>33.277000000000001</v>
      </c>
      <c r="H2395" s="1">
        <v>33.293999999999997</v>
      </c>
      <c r="I2395" s="1">
        <v>33.311</v>
      </c>
      <c r="J2395" s="21">
        <v>6505</v>
      </c>
      <c r="K2395" s="1">
        <v>8000</v>
      </c>
      <c r="L2395" s="1">
        <v>-85.132999999999996</v>
      </c>
      <c r="M2395" s="1">
        <v>-63.61</v>
      </c>
      <c r="N2395" s="1">
        <v>-42.256</v>
      </c>
      <c r="O2395" s="1">
        <v>-21.056999999999999</v>
      </c>
      <c r="P2395" s="365">
        <v>0</v>
      </c>
      <c r="Q2395" s="1">
        <v>21.039000000000001</v>
      </c>
      <c r="R2395" s="1">
        <v>41.965000000000003</v>
      </c>
      <c r="S2395" s="1">
        <v>62.792000000000002</v>
      </c>
      <c r="T2395" s="1">
        <v>83.53</v>
      </c>
    </row>
    <row r="2396" spans="1:20">
      <c r="A2396" s="1">
        <v>4800</v>
      </c>
      <c r="B2396" s="1">
        <v>32.945999999999998</v>
      </c>
      <c r="C2396" s="1">
        <v>32.962000000000003</v>
      </c>
      <c r="D2396" s="1">
        <v>32.970999999999997</v>
      </c>
      <c r="E2396" s="1">
        <v>32.978999999999999</v>
      </c>
      <c r="F2396" s="1">
        <v>32.988</v>
      </c>
      <c r="G2396" s="1">
        <v>32.996000000000002</v>
      </c>
      <c r="H2396" s="1">
        <v>33.012999999999998</v>
      </c>
      <c r="I2396" s="1">
        <v>33.03</v>
      </c>
      <c r="J2396" s="21">
        <v>6455</v>
      </c>
      <c r="K2396" s="1">
        <v>8100</v>
      </c>
      <c r="L2396" s="1">
        <v>-84.531999999999996</v>
      </c>
      <c r="M2396" s="1">
        <v>-63.16</v>
      </c>
      <c r="N2396" s="1">
        <v>-41.956000000000003</v>
      </c>
      <c r="O2396" s="1">
        <v>-20.908999999999999</v>
      </c>
      <c r="P2396" s="365">
        <v>0</v>
      </c>
      <c r="Q2396" s="1">
        <v>20.890999999999998</v>
      </c>
      <c r="R2396" s="1">
        <v>41.673000000000002</v>
      </c>
      <c r="S2396" s="1">
        <v>62.353000000000002</v>
      </c>
      <c r="T2396" s="1">
        <v>82.945999999999998</v>
      </c>
    </row>
    <row r="2397" spans="1:20">
      <c r="A2397" s="1">
        <v>4850</v>
      </c>
      <c r="B2397" s="1">
        <v>32.664000000000001</v>
      </c>
      <c r="C2397" s="1">
        <v>32.680999999999997</v>
      </c>
      <c r="D2397" s="1">
        <v>32.689</v>
      </c>
      <c r="E2397" s="1">
        <v>32.698</v>
      </c>
      <c r="F2397" s="1">
        <v>32.116</v>
      </c>
      <c r="G2397" s="1">
        <v>32.715000000000003</v>
      </c>
      <c r="H2397" s="1">
        <v>32.731999999999999</v>
      </c>
      <c r="I2397" s="1">
        <v>32.747999999999998</v>
      </c>
      <c r="J2397" s="21">
        <v>6405</v>
      </c>
      <c r="K2397" s="1">
        <v>8200</v>
      </c>
      <c r="L2397" s="1">
        <v>-83.933999999999997</v>
      </c>
      <c r="M2397" s="1">
        <v>-62.713000000000001</v>
      </c>
      <c r="N2397" s="1">
        <v>-41.658999999999999</v>
      </c>
      <c r="O2397" s="1">
        <v>-20.760999999999999</v>
      </c>
      <c r="P2397" s="365">
        <v>0</v>
      </c>
      <c r="Q2397" s="1">
        <v>20.744</v>
      </c>
      <c r="R2397" s="1">
        <v>41.378</v>
      </c>
      <c r="S2397" s="1">
        <v>61.911000000000001</v>
      </c>
      <c r="T2397" s="1">
        <v>82.356999999999999</v>
      </c>
    </row>
    <row r="2398" spans="1:20">
      <c r="A2398" s="1">
        <v>4900</v>
      </c>
      <c r="B2398" s="1">
        <v>32.383000000000003</v>
      </c>
      <c r="C2398" s="1">
        <v>32.4</v>
      </c>
      <c r="D2398" s="1">
        <v>32.408000000000001</v>
      </c>
      <c r="E2398" s="1">
        <v>32.415999999999997</v>
      </c>
      <c r="F2398" s="1">
        <v>32.424999999999997</v>
      </c>
      <c r="G2398" s="1">
        <v>32.433</v>
      </c>
      <c r="H2398" s="1">
        <v>32.450000000000003</v>
      </c>
      <c r="I2398" s="1">
        <v>32.466999999999999</v>
      </c>
      <c r="J2398" s="21">
        <v>6355</v>
      </c>
      <c r="K2398" s="1">
        <v>8300</v>
      </c>
      <c r="L2398" s="1">
        <v>-83.332999999999998</v>
      </c>
      <c r="M2398" s="1">
        <v>-62.264000000000003</v>
      </c>
      <c r="N2398" s="1">
        <v>-41.362000000000002</v>
      </c>
      <c r="O2398" s="1">
        <v>-20.611999999999998</v>
      </c>
      <c r="P2398" s="365">
        <v>0</v>
      </c>
      <c r="Q2398" s="1">
        <v>20.597000000000001</v>
      </c>
      <c r="R2398" s="1">
        <v>41.082999999999998</v>
      </c>
      <c r="S2398" s="1">
        <v>61.470999999999997</v>
      </c>
      <c r="T2398" s="1">
        <v>81.772999999999996</v>
      </c>
    </row>
    <row r="2399" spans="1:20">
      <c r="A2399" s="1">
        <v>4950</v>
      </c>
      <c r="B2399" s="1">
        <v>32.100999999999999</v>
      </c>
      <c r="C2399" s="1">
        <v>32.118000000000002</v>
      </c>
      <c r="D2399" s="1">
        <v>32.127000000000002</v>
      </c>
      <c r="E2399" s="1">
        <v>32.134999999999998</v>
      </c>
      <c r="F2399" s="1">
        <v>32.143000000000001</v>
      </c>
      <c r="G2399" s="1">
        <v>32.152000000000001</v>
      </c>
      <c r="H2399" s="1">
        <v>32.168999999999997</v>
      </c>
      <c r="I2399" s="1">
        <v>32.186</v>
      </c>
      <c r="J2399" s="21">
        <v>6305</v>
      </c>
      <c r="K2399" s="1">
        <v>8400</v>
      </c>
      <c r="L2399" s="1">
        <v>-82.733999999999995</v>
      </c>
      <c r="M2399" s="1">
        <v>-61.817</v>
      </c>
      <c r="N2399" s="1">
        <v>-41.064</v>
      </c>
      <c r="O2399" s="1">
        <v>-20.463999999999999</v>
      </c>
      <c r="P2399" s="365">
        <v>0</v>
      </c>
      <c r="Q2399" s="1">
        <v>20.45</v>
      </c>
      <c r="R2399" s="1">
        <v>40.789000000000001</v>
      </c>
      <c r="S2399" s="1">
        <v>61.03</v>
      </c>
      <c r="T2399" s="1">
        <v>81.186000000000007</v>
      </c>
    </row>
    <row r="2400" spans="1:20">
      <c r="A2400" s="1">
        <v>5000</v>
      </c>
      <c r="B2400" s="1">
        <v>31.82</v>
      </c>
      <c r="C2400" s="1">
        <v>31.837</v>
      </c>
      <c r="D2400" s="1">
        <v>31.844999999999999</v>
      </c>
      <c r="E2400" s="1">
        <v>31.853999999999999</v>
      </c>
      <c r="F2400" s="1">
        <v>31.861999999999998</v>
      </c>
      <c r="G2400" s="1">
        <v>31.870999999999999</v>
      </c>
      <c r="H2400" s="1">
        <v>31.887</v>
      </c>
      <c r="I2400" s="1">
        <v>31.904</v>
      </c>
      <c r="J2400" s="21">
        <v>6255</v>
      </c>
      <c r="K2400" s="1">
        <v>8500</v>
      </c>
      <c r="L2400" s="1">
        <v>-82.135000000000005</v>
      </c>
      <c r="M2400" s="1">
        <v>-61.369</v>
      </c>
      <c r="N2400" s="1">
        <v>-40.768000000000001</v>
      </c>
      <c r="O2400" s="1">
        <v>-20.315999999999999</v>
      </c>
      <c r="P2400" s="365">
        <v>0</v>
      </c>
      <c r="Q2400" s="1">
        <v>20.300999999999998</v>
      </c>
      <c r="R2400" s="1">
        <v>40.494</v>
      </c>
      <c r="S2400" s="1">
        <v>60.59</v>
      </c>
      <c r="T2400" s="1">
        <v>80.599999999999994</v>
      </c>
    </row>
    <row r="2401" spans="1:20">
      <c r="A2401" s="1">
        <v>5050</v>
      </c>
      <c r="B2401" s="1">
        <v>31.539000000000001</v>
      </c>
      <c r="C2401" s="1">
        <v>31.555</v>
      </c>
      <c r="D2401" s="1">
        <v>31.564</v>
      </c>
      <c r="E2401" s="1">
        <v>31.571999999999999</v>
      </c>
      <c r="F2401" s="1">
        <v>31.581</v>
      </c>
      <c r="G2401" s="1">
        <v>31.588999999999999</v>
      </c>
      <c r="H2401" s="1">
        <v>31.606000000000002</v>
      </c>
      <c r="I2401" s="1">
        <v>31.623000000000001</v>
      </c>
      <c r="J2401" s="21">
        <v>6205</v>
      </c>
      <c r="K2401" s="1">
        <v>8600</v>
      </c>
      <c r="L2401" s="1">
        <v>-81.536000000000001</v>
      </c>
      <c r="M2401" s="1">
        <v>-60.921999999999997</v>
      </c>
      <c r="N2401" s="1">
        <v>-40.470999999999997</v>
      </c>
      <c r="O2401" s="1">
        <v>-20.167000000000002</v>
      </c>
      <c r="P2401" s="365">
        <v>0</v>
      </c>
      <c r="Q2401" s="1">
        <v>20.154</v>
      </c>
      <c r="R2401" s="1">
        <v>40.198999999999998</v>
      </c>
      <c r="S2401" s="1">
        <v>60.149000000000001</v>
      </c>
      <c r="T2401" s="1">
        <v>80.013999999999996</v>
      </c>
    </row>
    <row r="2402" spans="1:20">
      <c r="A2402" s="1">
        <v>5100</v>
      </c>
      <c r="B2402" s="1">
        <v>31.257000000000001</v>
      </c>
      <c r="C2402" s="1">
        <v>31.274000000000001</v>
      </c>
      <c r="D2402" s="1">
        <v>31.282</v>
      </c>
      <c r="E2402" s="1">
        <v>31.291</v>
      </c>
      <c r="F2402" s="1">
        <v>31.298999999999999</v>
      </c>
      <c r="G2402" s="1">
        <v>31.308</v>
      </c>
      <c r="H2402" s="1">
        <v>31.324999999999999</v>
      </c>
      <c r="I2402" s="1">
        <v>31.341000000000001</v>
      </c>
      <c r="J2402" s="21">
        <v>6155</v>
      </c>
      <c r="K2402" s="1">
        <v>8700</v>
      </c>
      <c r="L2402" s="1">
        <v>-80.936000000000007</v>
      </c>
      <c r="M2402" s="1">
        <v>-60.472999999999999</v>
      </c>
      <c r="N2402" s="1">
        <v>-40.173000000000002</v>
      </c>
      <c r="O2402" s="1">
        <v>-20.02</v>
      </c>
      <c r="P2402" s="365">
        <v>0</v>
      </c>
      <c r="Q2402" s="1">
        <v>20.006</v>
      </c>
      <c r="R2402" s="1">
        <v>39.905999999999999</v>
      </c>
      <c r="S2402" s="1">
        <v>59.709000000000003</v>
      </c>
      <c r="T2402" s="1">
        <v>79.427999999999997</v>
      </c>
    </row>
    <row r="2403" spans="1:20">
      <c r="A2403" s="1">
        <v>5150</v>
      </c>
      <c r="B2403" s="1">
        <v>30.975999999999999</v>
      </c>
      <c r="C2403" s="1">
        <v>30.992999999999999</v>
      </c>
      <c r="D2403" s="1">
        <v>31.001000000000001</v>
      </c>
      <c r="E2403" s="1">
        <v>31.01</v>
      </c>
      <c r="F2403" s="1">
        <v>31.018000000000001</v>
      </c>
      <c r="G2403" s="1">
        <v>31.026</v>
      </c>
      <c r="H2403" s="1">
        <v>31.042999999999999</v>
      </c>
      <c r="I2403" s="1">
        <v>31.06</v>
      </c>
      <c r="J2403" s="21">
        <v>6105</v>
      </c>
      <c r="K2403" s="1">
        <v>8800</v>
      </c>
      <c r="L2403" s="1">
        <v>-80.337999999999994</v>
      </c>
      <c r="M2403" s="1">
        <v>-60.026000000000003</v>
      </c>
      <c r="N2403" s="1">
        <v>-39.875</v>
      </c>
      <c r="O2403" s="1">
        <v>-19.870999999999999</v>
      </c>
      <c r="P2403" s="365">
        <v>0</v>
      </c>
      <c r="Q2403" s="1">
        <v>19.858000000000001</v>
      </c>
      <c r="R2403" s="1">
        <v>39.61</v>
      </c>
      <c r="S2403" s="1">
        <v>59.267000000000003</v>
      </c>
      <c r="T2403" s="1">
        <v>78.84</v>
      </c>
    </row>
    <row r="2404" spans="1:20">
      <c r="A2404" s="1">
        <v>5200</v>
      </c>
      <c r="B2404" s="1">
        <v>30.693999999999999</v>
      </c>
      <c r="C2404" s="1">
        <v>30.710999999999999</v>
      </c>
      <c r="D2404" s="1">
        <v>30.72</v>
      </c>
      <c r="E2404" s="1">
        <v>30.728000000000002</v>
      </c>
      <c r="F2404" s="1">
        <v>30.736999999999998</v>
      </c>
      <c r="G2404" s="1">
        <v>30.745000000000001</v>
      </c>
      <c r="H2404" s="1">
        <v>30.762</v>
      </c>
      <c r="I2404" s="1">
        <v>30.779</v>
      </c>
      <c r="J2404" s="21">
        <v>6055</v>
      </c>
      <c r="K2404" s="1">
        <v>8900</v>
      </c>
      <c r="L2404" s="1">
        <v>-79.738</v>
      </c>
      <c r="M2404" s="1">
        <v>-59.578000000000003</v>
      </c>
      <c r="N2404" s="1">
        <v>-39.576000000000001</v>
      </c>
      <c r="O2404" s="1">
        <v>-19.722999999999999</v>
      </c>
      <c r="P2404" s="365">
        <v>0</v>
      </c>
      <c r="Q2404" s="1">
        <v>19.710999999999999</v>
      </c>
      <c r="R2404" s="1">
        <v>39.316000000000003</v>
      </c>
      <c r="S2404" s="1">
        <v>58.826000000000001</v>
      </c>
      <c r="T2404" s="1">
        <v>78.254000000000005</v>
      </c>
    </row>
    <row r="2405" spans="1:20">
      <c r="A2405" s="1">
        <v>5250</v>
      </c>
      <c r="B2405" s="1">
        <v>30.413</v>
      </c>
      <c r="C2405" s="1">
        <v>30.43</v>
      </c>
      <c r="D2405" s="1">
        <v>30.437999999999999</v>
      </c>
      <c r="E2405" s="1">
        <v>30.446999999999999</v>
      </c>
      <c r="F2405" s="1">
        <v>30.454999999999998</v>
      </c>
      <c r="G2405" s="1">
        <v>30.463999999999999</v>
      </c>
      <c r="H2405" s="1">
        <v>30.48</v>
      </c>
      <c r="I2405" s="1">
        <v>30.497</v>
      </c>
      <c r="J2405" s="21">
        <v>6005</v>
      </c>
      <c r="K2405" s="1">
        <v>9000</v>
      </c>
      <c r="L2405" s="1">
        <v>-79.138999999999996</v>
      </c>
      <c r="M2405" s="1">
        <v>-59.131</v>
      </c>
      <c r="N2405" s="1">
        <v>-39.279000000000003</v>
      </c>
      <c r="O2405" s="1">
        <v>-19.574999999999999</v>
      </c>
      <c r="P2405" s="365">
        <v>0</v>
      </c>
      <c r="Q2405" s="1">
        <v>19.562999999999999</v>
      </c>
      <c r="R2405" s="1">
        <v>39.021999999999998</v>
      </c>
      <c r="S2405" s="1">
        <v>58.384999999999998</v>
      </c>
      <c r="T2405" s="1">
        <v>77.668000000000006</v>
      </c>
    </row>
    <row r="2406" spans="1:20">
      <c r="A2406" s="1">
        <v>5300</v>
      </c>
      <c r="B2406" s="1">
        <v>30.132000000000001</v>
      </c>
      <c r="C2406" s="1">
        <v>30.149000000000001</v>
      </c>
      <c r="D2406" s="1">
        <v>30.157</v>
      </c>
      <c r="E2406" s="1">
        <v>30.164999999999999</v>
      </c>
      <c r="F2406" s="1">
        <v>30.173999999999999</v>
      </c>
      <c r="G2406" s="1">
        <v>30.181999999999999</v>
      </c>
      <c r="H2406" s="1">
        <v>30.199000000000002</v>
      </c>
      <c r="I2406" s="1">
        <v>30.216000000000001</v>
      </c>
      <c r="J2406" s="21">
        <v>5955</v>
      </c>
      <c r="K2406" s="1">
        <v>9100</v>
      </c>
      <c r="L2406" s="1">
        <v>-78.539000000000001</v>
      </c>
      <c r="M2406" s="1">
        <v>-58.680999999999997</v>
      </c>
      <c r="N2406" s="1">
        <v>-38.981000000000002</v>
      </c>
      <c r="O2406" s="1">
        <v>-19.425999999999998</v>
      </c>
      <c r="P2406" s="365">
        <v>0</v>
      </c>
      <c r="Q2406" s="1">
        <v>19.414999999999999</v>
      </c>
      <c r="R2406" s="1">
        <v>38.726999999999997</v>
      </c>
      <c r="S2406" s="1">
        <v>57.945</v>
      </c>
      <c r="T2406" s="1">
        <v>77.082999999999998</v>
      </c>
    </row>
    <row r="2407" spans="1:20">
      <c r="A2407" s="1">
        <v>5350</v>
      </c>
      <c r="B2407" s="1">
        <v>29.85</v>
      </c>
      <c r="C2407" s="1">
        <v>29.867000000000001</v>
      </c>
      <c r="D2407" s="1">
        <v>29.876000000000001</v>
      </c>
      <c r="E2407" s="1">
        <v>29.884</v>
      </c>
      <c r="F2407" s="1">
        <v>29.891999999999999</v>
      </c>
      <c r="G2407" s="1">
        <v>29.901</v>
      </c>
      <c r="H2407" s="1">
        <v>29.917999999999999</v>
      </c>
      <c r="I2407" s="1">
        <v>29.934999999999999</v>
      </c>
      <c r="J2407" s="21">
        <v>5905</v>
      </c>
      <c r="K2407" s="1">
        <v>9200</v>
      </c>
      <c r="L2407" s="1">
        <v>-77.94</v>
      </c>
      <c r="M2407" s="1">
        <v>-58.234000000000002</v>
      </c>
      <c r="N2407" s="1">
        <v>-38.685000000000002</v>
      </c>
      <c r="O2407" s="1">
        <v>-19.279</v>
      </c>
      <c r="P2407" s="365">
        <v>0</v>
      </c>
      <c r="Q2407" s="1">
        <v>19.268000000000001</v>
      </c>
      <c r="R2407" s="1">
        <v>38.433</v>
      </c>
      <c r="S2407" s="1">
        <v>57.505000000000003</v>
      </c>
      <c r="T2407" s="1">
        <v>76.495999999999995</v>
      </c>
    </row>
    <row r="2408" spans="1:20">
      <c r="A2408" s="1">
        <v>5400</v>
      </c>
      <c r="B2408" s="1">
        <v>29.568999999999999</v>
      </c>
      <c r="C2408" s="1">
        <v>29.585999999999999</v>
      </c>
      <c r="D2408" s="1">
        <v>29.594000000000001</v>
      </c>
      <c r="E2408" s="1">
        <v>29.603000000000002</v>
      </c>
      <c r="F2408" s="1">
        <v>29.611000000000001</v>
      </c>
      <c r="G2408" s="1">
        <v>29.619</v>
      </c>
      <c r="H2408" s="1">
        <v>29.635999999999999</v>
      </c>
      <c r="I2408" s="1">
        <v>29.652999999999999</v>
      </c>
      <c r="J2408" s="21">
        <v>5855</v>
      </c>
      <c r="K2408" s="1">
        <v>9300</v>
      </c>
      <c r="L2408" s="1">
        <v>-77.340999999999994</v>
      </c>
      <c r="M2408" s="1">
        <v>-57.786999999999999</v>
      </c>
      <c r="N2408" s="1">
        <v>-38.387</v>
      </c>
      <c r="O2408" s="1">
        <v>-19.128</v>
      </c>
      <c r="P2408" s="365">
        <v>0</v>
      </c>
      <c r="Q2408" s="1">
        <v>19.120999999999999</v>
      </c>
      <c r="R2408" s="1">
        <v>38.137</v>
      </c>
      <c r="S2408" s="1">
        <v>57.064</v>
      </c>
      <c r="T2408" s="1">
        <v>75.911000000000001</v>
      </c>
    </row>
    <row r="2409" spans="1:20">
      <c r="A2409" s="1">
        <v>5450</v>
      </c>
      <c r="B2409" s="1">
        <v>29.288</v>
      </c>
      <c r="C2409" s="1">
        <v>29.303999999999998</v>
      </c>
      <c r="D2409" s="1">
        <v>29.312999999999999</v>
      </c>
      <c r="E2409" s="1">
        <v>29.321000000000002</v>
      </c>
      <c r="F2409" s="1">
        <v>29.33</v>
      </c>
      <c r="G2409" s="1">
        <v>29.338000000000001</v>
      </c>
      <c r="H2409" s="1">
        <v>29.355</v>
      </c>
      <c r="I2409" s="1">
        <v>29.372</v>
      </c>
      <c r="J2409" s="21">
        <v>5805</v>
      </c>
      <c r="K2409" s="1">
        <v>9400</v>
      </c>
      <c r="L2409" s="1">
        <v>-76.742999999999995</v>
      </c>
      <c r="M2409" s="1">
        <v>-57.338999999999999</v>
      </c>
      <c r="N2409" s="1">
        <v>-38.091000000000001</v>
      </c>
      <c r="O2409" s="1">
        <v>-18.98</v>
      </c>
      <c r="P2409" s="365">
        <v>0</v>
      </c>
      <c r="Q2409" s="1">
        <v>18.972999999999999</v>
      </c>
      <c r="R2409" s="1">
        <v>37.844000000000001</v>
      </c>
      <c r="S2409" s="1">
        <v>56.622999999999998</v>
      </c>
      <c r="T2409" s="1">
        <v>75.320999999999998</v>
      </c>
    </row>
    <row r="2410" spans="1:20">
      <c r="A2410" s="1">
        <v>5500</v>
      </c>
      <c r="B2410" s="1">
        <v>29.006</v>
      </c>
      <c r="C2410" s="1">
        <v>29.023</v>
      </c>
      <c r="D2410" s="1">
        <v>29.030999999999999</v>
      </c>
      <c r="E2410" s="1">
        <v>29.04</v>
      </c>
      <c r="F2410" s="1">
        <v>29.047999999999998</v>
      </c>
      <c r="G2410" s="1">
        <v>29.056999999999999</v>
      </c>
      <c r="H2410" s="1">
        <v>29.074000000000002</v>
      </c>
      <c r="I2410" s="1">
        <v>29.09</v>
      </c>
      <c r="J2410" s="21">
        <v>5755</v>
      </c>
      <c r="K2410" s="1">
        <v>9500</v>
      </c>
      <c r="L2410" s="1">
        <v>-76.141000000000005</v>
      </c>
      <c r="M2410" s="1">
        <v>-56.89</v>
      </c>
      <c r="N2410" s="1">
        <v>-37.792000000000002</v>
      </c>
      <c r="O2410" s="1">
        <v>-18.832000000000001</v>
      </c>
      <c r="P2410" s="365">
        <v>0</v>
      </c>
      <c r="Q2410" s="1">
        <v>18.826000000000001</v>
      </c>
      <c r="R2410" s="1">
        <v>37.548999999999999</v>
      </c>
      <c r="S2410" s="1">
        <v>56.182000000000002</v>
      </c>
      <c r="T2410" s="1">
        <v>74.738</v>
      </c>
    </row>
    <row r="2411" spans="1:20">
      <c r="A2411" s="1">
        <v>5550</v>
      </c>
      <c r="B2411" s="1">
        <v>28.725000000000001</v>
      </c>
      <c r="C2411" s="1">
        <v>28.742000000000001</v>
      </c>
      <c r="D2411" s="1">
        <v>28.15</v>
      </c>
      <c r="E2411" s="1">
        <v>28.757999999999999</v>
      </c>
      <c r="F2411" s="1">
        <v>28.766999999999999</v>
      </c>
      <c r="G2411" s="1">
        <v>28.774999999999999</v>
      </c>
      <c r="H2411" s="1">
        <v>28.792000000000002</v>
      </c>
      <c r="I2411" s="1">
        <v>28.809000000000001</v>
      </c>
      <c r="J2411" s="21">
        <v>5705</v>
      </c>
      <c r="K2411" s="1">
        <v>9600</v>
      </c>
      <c r="L2411" s="1">
        <v>-75.543000000000006</v>
      </c>
      <c r="M2411" s="1">
        <v>-56.444000000000003</v>
      </c>
      <c r="N2411" s="1">
        <v>-37.496000000000002</v>
      </c>
      <c r="O2411" s="1">
        <v>-18.684000000000001</v>
      </c>
      <c r="P2411" s="365">
        <v>0</v>
      </c>
      <c r="Q2411" s="1">
        <v>18.678999999999998</v>
      </c>
      <c r="R2411" s="1">
        <v>37.253</v>
      </c>
      <c r="S2411" s="1">
        <v>55.741</v>
      </c>
      <c r="T2411" s="1">
        <v>74.150000000000006</v>
      </c>
    </row>
    <row r="2412" spans="1:20">
      <c r="A2412" s="1">
        <v>5600</v>
      </c>
      <c r="B2412" s="1">
        <v>28.443000000000001</v>
      </c>
      <c r="C2412" s="1">
        <v>28.46</v>
      </c>
      <c r="D2412" s="1">
        <v>28.469000000000001</v>
      </c>
      <c r="E2412" s="1">
        <v>28.477</v>
      </c>
      <c r="F2412" s="1">
        <v>28.486000000000001</v>
      </c>
      <c r="G2412" s="1">
        <v>28.494</v>
      </c>
      <c r="H2412" s="1">
        <v>28.510999999999999</v>
      </c>
      <c r="I2412" s="1">
        <v>28.527999999999999</v>
      </c>
      <c r="J2412" s="21">
        <v>5655</v>
      </c>
      <c r="K2412" s="1">
        <v>9700</v>
      </c>
      <c r="L2412" s="1">
        <v>-74.944000000000003</v>
      </c>
      <c r="M2412" s="1">
        <v>-55.997</v>
      </c>
      <c r="N2412" s="1">
        <v>-37.195999999999998</v>
      </c>
      <c r="O2412" s="1">
        <v>-18.536000000000001</v>
      </c>
      <c r="P2412" s="365">
        <v>0</v>
      </c>
      <c r="Q2412" s="1">
        <v>18.530999999999999</v>
      </c>
      <c r="R2412" s="1">
        <v>36.960999999999999</v>
      </c>
      <c r="S2412" s="1">
        <v>55.301000000000002</v>
      </c>
      <c r="T2412" s="1">
        <v>73.563999999999993</v>
      </c>
    </row>
    <row r="2413" spans="1:20">
      <c r="A2413" s="1">
        <v>5650</v>
      </c>
      <c r="B2413" s="1">
        <v>28.161999999999999</v>
      </c>
      <c r="C2413" s="1">
        <v>28.178999999999998</v>
      </c>
      <c r="D2413" s="1">
        <v>28.187000000000001</v>
      </c>
      <c r="E2413" s="1">
        <v>28.196000000000002</v>
      </c>
      <c r="F2413" s="1">
        <v>28.204000000000001</v>
      </c>
      <c r="G2413" s="1">
        <v>28.213000000000001</v>
      </c>
      <c r="H2413" s="1">
        <v>28.228999999999999</v>
      </c>
      <c r="I2413" s="1">
        <v>28.245999999999999</v>
      </c>
      <c r="J2413" s="21">
        <v>5605</v>
      </c>
      <c r="K2413" s="1">
        <v>9800</v>
      </c>
      <c r="L2413" s="1">
        <v>-74.344999999999999</v>
      </c>
      <c r="M2413" s="1">
        <v>-55.548000000000002</v>
      </c>
      <c r="N2413" s="1">
        <v>-36.9</v>
      </c>
      <c r="O2413" s="1">
        <v>-18.388000000000002</v>
      </c>
      <c r="P2413" s="365">
        <v>0</v>
      </c>
      <c r="Q2413" s="1">
        <v>18.382999999999999</v>
      </c>
      <c r="R2413" s="1">
        <v>36.665999999999997</v>
      </c>
      <c r="S2413" s="1">
        <v>54.860999999999997</v>
      </c>
      <c r="T2413" s="1">
        <v>72.978999999999999</v>
      </c>
    </row>
    <row r="2414" spans="1:20">
      <c r="A2414" s="1">
        <v>5700</v>
      </c>
      <c r="B2414" s="1">
        <v>27.881</v>
      </c>
      <c r="C2414" s="1">
        <v>27.896999999999998</v>
      </c>
      <c r="D2414" s="1">
        <v>27.905999999999999</v>
      </c>
      <c r="E2414" s="1">
        <v>27.914000000000001</v>
      </c>
      <c r="F2414" s="1">
        <v>27.922999999999998</v>
      </c>
      <c r="G2414" s="1">
        <v>27.931000000000001</v>
      </c>
      <c r="H2414" s="1">
        <v>27.948</v>
      </c>
      <c r="I2414" s="1">
        <v>27.965</v>
      </c>
      <c r="J2414" s="21">
        <v>5555</v>
      </c>
      <c r="K2414" s="1">
        <v>9900</v>
      </c>
      <c r="L2414" s="1">
        <v>-73.747</v>
      </c>
      <c r="M2414" s="1">
        <v>-55.1</v>
      </c>
      <c r="N2414" s="1">
        <v>-36.601999999999997</v>
      </c>
      <c r="O2414" s="1">
        <v>-18.239000000000001</v>
      </c>
      <c r="P2414" s="365">
        <v>0</v>
      </c>
      <c r="Q2414" s="1">
        <v>18.234999999999999</v>
      </c>
      <c r="R2414" s="1">
        <v>36.369999999999997</v>
      </c>
      <c r="S2414" s="1">
        <v>54.418999999999997</v>
      </c>
      <c r="T2414" s="1">
        <v>72.39</v>
      </c>
    </row>
    <row r="2415" spans="1:20">
      <c r="A2415" s="1">
        <v>5750</v>
      </c>
      <c r="B2415" s="1">
        <v>27.599</v>
      </c>
      <c r="C2415" s="1">
        <v>27.616</v>
      </c>
      <c r="D2415" s="1">
        <v>27.625</v>
      </c>
      <c r="E2415" s="1">
        <v>27.632999999999999</v>
      </c>
      <c r="F2415" s="1">
        <v>27.640999999999998</v>
      </c>
      <c r="G2415" s="1">
        <v>27.65</v>
      </c>
      <c r="H2415" s="1">
        <v>27.667000000000002</v>
      </c>
      <c r="I2415" s="1">
        <v>27.683</v>
      </c>
      <c r="J2415" s="21">
        <v>5505</v>
      </c>
      <c r="K2415" s="1">
        <v>10000</v>
      </c>
      <c r="L2415" s="1">
        <v>-73.144999999999996</v>
      </c>
      <c r="M2415" s="1">
        <v>-54.652000000000001</v>
      </c>
      <c r="N2415" s="1">
        <v>-36.304000000000002</v>
      </c>
      <c r="O2415" s="1">
        <v>-18.091000000000001</v>
      </c>
      <c r="P2415" s="365">
        <v>0</v>
      </c>
      <c r="Q2415" s="1">
        <v>18.087</v>
      </c>
      <c r="R2415" s="1">
        <v>36.076999999999998</v>
      </c>
      <c r="S2415" s="1">
        <v>53.978999999999999</v>
      </c>
      <c r="T2415" s="1">
        <v>71.805999999999997</v>
      </c>
    </row>
    <row r="2416" spans="1:20">
      <c r="A2416" s="1">
        <v>5800</v>
      </c>
      <c r="B2416" s="1">
        <v>27.318000000000001</v>
      </c>
      <c r="C2416" s="1">
        <v>27.335000000000001</v>
      </c>
      <c r="D2416" s="1">
        <v>27.343</v>
      </c>
      <c r="E2416" s="1">
        <v>27.352</v>
      </c>
      <c r="F2416" s="1">
        <v>27.36</v>
      </c>
      <c r="G2416" s="1">
        <v>27.367999999999999</v>
      </c>
      <c r="H2416" s="1">
        <v>27.385000000000002</v>
      </c>
      <c r="I2416" s="1">
        <v>27.402000000000001</v>
      </c>
      <c r="J2416" s="21">
        <v>5455</v>
      </c>
      <c r="K2416" s="1">
        <v>10100</v>
      </c>
      <c r="L2416" s="1">
        <v>-72.548000000000002</v>
      </c>
      <c r="M2416" s="1">
        <v>-54.204999999999998</v>
      </c>
      <c r="N2416" s="1">
        <v>-36.008000000000003</v>
      </c>
      <c r="O2416" s="1">
        <v>-17.942</v>
      </c>
      <c r="P2416" s="365">
        <v>0</v>
      </c>
      <c r="Q2416" s="1">
        <v>17.940000000000001</v>
      </c>
      <c r="R2416" s="1">
        <v>35.781999999999996</v>
      </c>
      <c r="S2416" s="1">
        <v>53.537999999999997</v>
      </c>
      <c r="T2416" s="1">
        <v>71.218000000000004</v>
      </c>
    </row>
    <row r="2417" spans="1:20">
      <c r="A2417" s="1">
        <v>5850</v>
      </c>
      <c r="B2417" s="1">
        <v>27.036000000000001</v>
      </c>
      <c r="C2417" s="1">
        <v>27.053000000000001</v>
      </c>
      <c r="D2417" s="1">
        <v>27.062000000000001</v>
      </c>
      <c r="E2417" s="1">
        <v>27.07</v>
      </c>
      <c r="F2417" s="1">
        <v>27.079000000000001</v>
      </c>
      <c r="G2417" s="1">
        <v>27.087</v>
      </c>
      <c r="H2417" s="1">
        <v>27.103999999999999</v>
      </c>
      <c r="I2417" s="1">
        <v>27.120999999999999</v>
      </c>
      <c r="J2417" s="21">
        <v>5405</v>
      </c>
      <c r="K2417" s="1">
        <v>10200</v>
      </c>
      <c r="L2417" s="1">
        <v>-71.947999999999993</v>
      </c>
      <c r="M2417" s="1">
        <v>-53.758000000000003</v>
      </c>
      <c r="N2417" s="1">
        <v>-35.71</v>
      </c>
      <c r="O2417" s="1">
        <v>-17.795000000000002</v>
      </c>
      <c r="P2417" s="365">
        <v>0</v>
      </c>
      <c r="Q2417" s="1">
        <v>17.792000000000002</v>
      </c>
      <c r="R2417" s="1">
        <v>35.487000000000002</v>
      </c>
      <c r="S2417" s="1">
        <v>53.097999999999999</v>
      </c>
      <c r="T2417" s="1">
        <v>70.632000000000005</v>
      </c>
    </row>
    <row r="2418" spans="1:20">
      <c r="A2418" s="1">
        <v>5900</v>
      </c>
      <c r="B2418" s="1">
        <v>26.754999999999999</v>
      </c>
      <c r="C2418" s="1">
        <v>26.771999999999998</v>
      </c>
      <c r="D2418" s="1">
        <v>26.78</v>
      </c>
      <c r="E2418" s="1">
        <v>26.789000000000001</v>
      </c>
      <c r="F2418" s="1">
        <v>26.797000000000001</v>
      </c>
      <c r="G2418" s="1">
        <v>26.806000000000001</v>
      </c>
      <c r="H2418" s="1">
        <v>26.821999999999999</v>
      </c>
      <c r="I2418" s="1">
        <v>26.838999999999999</v>
      </c>
      <c r="J2418" s="21">
        <v>5355</v>
      </c>
      <c r="K2418" s="1">
        <v>10300</v>
      </c>
      <c r="L2418" s="1">
        <v>-71.349999999999994</v>
      </c>
      <c r="M2418" s="1">
        <v>-53.308</v>
      </c>
      <c r="N2418" s="1">
        <v>-35.411999999999999</v>
      </c>
      <c r="O2418" s="1">
        <v>-17.646999999999998</v>
      </c>
      <c r="P2418" s="365">
        <v>0</v>
      </c>
      <c r="Q2418" s="1">
        <v>17.643999999999998</v>
      </c>
      <c r="R2418" s="1">
        <v>35.192</v>
      </c>
      <c r="S2418" s="1">
        <v>52.655999999999999</v>
      </c>
      <c r="T2418" s="1">
        <v>70.045000000000002</v>
      </c>
    </row>
    <row r="2419" spans="1:20">
      <c r="A2419" s="1">
        <v>5950</v>
      </c>
      <c r="B2419" s="1">
        <v>26.474</v>
      </c>
      <c r="C2419" s="1">
        <v>26.491</v>
      </c>
      <c r="D2419" s="1">
        <v>26.498999999999999</v>
      </c>
      <c r="E2419" s="1">
        <v>26.507000000000001</v>
      </c>
      <c r="F2419" s="1">
        <v>26.515999999999998</v>
      </c>
      <c r="G2419" s="1">
        <v>26.524000000000001</v>
      </c>
      <c r="H2419" s="1">
        <v>26.541</v>
      </c>
      <c r="I2419" s="1">
        <v>26.558</v>
      </c>
      <c r="J2419" s="21">
        <v>5305</v>
      </c>
      <c r="K2419" s="1">
        <v>10400</v>
      </c>
      <c r="L2419" s="1">
        <v>-70.75</v>
      </c>
      <c r="M2419" s="1">
        <v>-52.860999999999997</v>
      </c>
      <c r="N2419" s="1">
        <v>-35.115000000000002</v>
      </c>
      <c r="O2419" s="1">
        <v>-17.498000000000001</v>
      </c>
      <c r="P2419" s="365">
        <v>0</v>
      </c>
      <c r="Q2419" s="1">
        <v>17.497</v>
      </c>
      <c r="R2419" s="1">
        <v>34.898000000000003</v>
      </c>
      <c r="S2419" s="1">
        <v>52.216000000000001</v>
      </c>
      <c r="T2419" s="1">
        <v>69.459999999999994</v>
      </c>
    </row>
    <row r="2420" spans="1:20">
      <c r="A2420" s="1">
        <v>6000</v>
      </c>
      <c r="B2420" s="1">
        <v>26.192</v>
      </c>
      <c r="C2420" s="1">
        <v>26.209</v>
      </c>
      <c r="D2420" s="1">
        <v>26.218</v>
      </c>
      <c r="E2420" s="1">
        <v>26.225999999999999</v>
      </c>
      <c r="F2420" s="1">
        <v>26.234000000000002</v>
      </c>
      <c r="G2420" s="1">
        <v>26.242999999999999</v>
      </c>
      <c r="H2420" s="1">
        <v>26.26</v>
      </c>
      <c r="I2420" s="1">
        <v>26.277000000000001</v>
      </c>
      <c r="J2420" s="21">
        <v>5255</v>
      </c>
      <c r="K2420" s="1">
        <v>10500</v>
      </c>
      <c r="L2420" s="1">
        <v>-70.150000000000006</v>
      </c>
      <c r="M2420" s="1">
        <v>-52.412999999999997</v>
      </c>
      <c r="N2420" s="1">
        <v>-34.817999999999998</v>
      </c>
      <c r="O2420" s="1">
        <v>-17.350000000000001</v>
      </c>
      <c r="P2420" s="365">
        <v>0</v>
      </c>
      <c r="Q2420" s="1">
        <v>17.349</v>
      </c>
      <c r="R2420" s="1">
        <v>34.603999999999999</v>
      </c>
      <c r="S2420" s="1">
        <v>51.774999999999999</v>
      </c>
      <c r="T2420" s="1">
        <v>68.873000000000005</v>
      </c>
    </row>
    <row r="2421" spans="1:20">
      <c r="A2421" s="1">
        <v>6050</v>
      </c>
      <c r="B2421" s="1">
        <v>25.911000000000001</v>
      </c>
      <c r="C2421" s="1">
        <v>25.928000000000001</v>
      </c>
      <c r="D2421" s="1">
        <v>25.936</v>
      </c>
      <c r="E2421" s="1">
        <v>25.945</v>
      </c>
      <c r="F2421" s="1">
        <v>25.952999999999999</v>
      </c>
      <c r="G2421" s="1">
        <v>25.960999999999999</v>
      </c>
      <c r="H2421" s="1">
        <v>25.978000000000002</v>
      </c>
      <c r="I2421" s="1">
        <v>25.995000000000001</v>
      </c>
      <c r="J2421" s="21">
        <v>5205</v>
      </c>
      <c r="K2421" s="1">
        <v>10600</v>
      </c>
      <c r="L2421" s="1">
        <v>-69.552000000000007</v>
      </c>
      <c r="M2421" s="1">
        <v>-51.966999999999999</v>
      </c>
      <c r="N2421" s="1">
        <v>-34.520000000000003</v>
      </c>
      <c r="O2421" s="1">
        <v>-17.201000000000001</v>
      </c>
      <c r="P2421" s="365">
        <v>0</v>
      </c>
      <c r="Q2421" s="1">
        <v>17.201000000000001</v>
      </c>
      <c r="R2421" s="1">
        <v>34.308999999999997</v>
      </c>
      <c r="S2421" s="1">
        <v>51.332999999999998</v>
      </c>
      <c r="T2421" s="1">
        <v>68.287000000000006</v>
      </c>
    </row>
    <row r="2422" spans="1:20">
      <c r="A2422" s="1">
        <v>6100</v>
      </c>
      <c r="B2422" s="1">
        <v>25.63</v>
      </c>
      <c r="C2422" s="1">
        <v>25.646999999999998</v>
      </c>
      <c r="D2422" s="1">
        <v>25.655000000000001</v>
      </c>
      <c r="E2422" s="1">
        <v>25.663</v>
      </c>
      <c r="F2422" s="1">
        <v>25.672000000000001</v>
      </c>
      <c r="G2422" s="1">
        <v>25.68</v>
      </c>
      <c r="H2422" s="1">
        <v>25.696999999999999</v>
      </c>
      <c r="I2422" s="1">
        <v>25.713999999999999</v>
      </c>
      <c r="J2422" s="21">
        <v>5155</v>
      </c>
      <c r="K2422" s="1">
        <v>10700</v>
      </c>
      <c r="L2422" s="1">
        <v>-68.953000000000003</v>
      </c>
      <c r="M2422" s="1">
        <v>-51.518000000000001</v>
      </c>
      <c r="N2422" s="1">
        <v>-34.222999999999999</v>
      </c>
      <c r="O2422" s="1">
        <v>-17.055</v>
      </c>
      <c r="P2422" s="365">
        <v>0</v>
      </c>
      <c r="Q2422" s="1">
        <v>17.053999999999998</v>
      </c>
      <c r="R2422" s="1">
        <v>34.015000000000001</v>
      </c>
      <c r="S2422" s="1">
        <v>50.893000000000001</v>
      </c>
      <c r="T2422" s="1">
        <v>67.7</v>
      </c>
    </row>
    <row r="2423" spans="1:20">
      <c r="A2423" s="1">
        <v>6150</v>
      </c>
      <c r="B2423" s="1">
        <v>25.349</v>
      </c>
      <c r="C2423" s="1">
        <v>25.366</v>
      </c>
      <c r="D2423" s="1">
        <v>25.373999999999999</v>
      </c>
      <c r="E2423" s="1">
        <v>25.382999999999999</v>
      </c>
      <c r="F2423" s="1">
        <v>25.390999999999998</v>
      </c>
      <c r="G2423" s="1">
        <v>25.4</v>
      </c>
      <c r="H2423" s="1">
        <v>25.416</v>
      </c>
      <c r="I2423" s="1">
        <v>25.433</v>
      </c>
      <c r="J2423" s="21">
        <v>5105</v>
      </c>
      <c r="K2423" s="1">
        <v>10800</v>
      </c>
      <c r="L2423" s="1">
        <v>-68.353999999999999</v>
      </c>
      <c r="M2423" s="1">
        <v>-51.069000000000003</v>
      </c>
      <c r="N2423" s="1">
        <v>-33.924999999999997</v>
      </c>
      <c r="O2423" s="1">
        <v>-16.905000000000001</v>
      </c>
      <c r="P2423" s="365">
        <v>0</v>
      </c>
      <c r="Q2423" s="1">
        <v>16.907</v>
      </c>
      <c r="R2423" s="1">
        <v>33.72</v>
      </c>
      <c r="S2423" s="1">
        <v>50.453000000000003</v>
      </c>
      <c r="T2423" s="1">
        <v>67.113</v>
      </c>
    </row>
    <row r="2424" spans="1:20">
      <c r="A2424" s="1">
        <v>6200</v>
      </c>
      <c r="B2424" s="1">
        <v>25.068999999999999</v>
      </c>
      <c r="C2424" s="1">
        <v>25.085999999999999</v>
      </c>
      <c r="D2424" s="1">
        <v>25.094999999999999</v>
      </c>
      <c r="E2424" s="1">
        <v>25.103000000000002</v>
      </c>
      <c r="F2424" s="1">
        <v>25.111000000000001</v>
      </c>
      <c r="G2424" s="1">
        <v>25.12</v>
      </c>
      <c r="H2424" s="1">
        <v>25.135999999999999</v>
      </c>
      <c r="I2424" s="1">
        <v>25.152999999999999</v>
      </c>
      <c r="J2424" s="21">
        <v>5055</v>
      </c>
      <c r="K2424" s="1">
        <v>10900</v>
      </c>
      <c r="L2424" s="1">
        <v>-67.754000000000005</v>
      </c>
      <c r="M2424" s="1">
        <v>-50.622999999999998</v>
      </c>
      <c r="N2424" s="1">
        <v>-33.628</v>
      </c>
      <c r="O2424" s="1">
        <v>-16.757999999999999</v>
      </c>
      <c r="P2424" s="365">
        <v>0</v>
      </c>
      <c r="Q2424" s="1">
        <v>16.759</v>
      </c>
      <c r="R2424" s="1">
        <v>33.424999999999997</v>
      </c>
      <c r="S2424" s="1">
        <v>50.012999999999998</v>
      </c>
      <c r="T2424" s="1">
        <v>66.527000000000001</v>
      </c>
    </row>
    <row r="2425" spans="1:20">
      <c r="A2425" s="1">
        <v>6250</v>
      </c>
      <c r="B2425" s="1">
        <v>24.79</v>
      </c>
      <c r="C2425" s="1">
        <v>24.806999999999999</v>
      </c>
      <c r="D2425" s="1">
        <v>24.815000000000001</v>
      </c>
      <c r="E2425" s="1">
        <v>24.824000000000002</v>
      </c>
      <c r="F2425" s="1">
        <v>24.832000000000001</v>
      </c>
      <c r="G2425" s="1">
        <v>24.84</v>
      </c>
      <c r="H2425" s="1">
        <v>24.856999999999999</v>
      </c>
      <c r="I2425" s="1">
        <v>24.873999999999999</v>
      </c>
      <c r="J2425" s="21">
        <v>5005</v>
      </c>
      <c r="K2425" s="1">
        <v>11000</v>
      </c>
      <c r="L2425" s="1">
        <v>-67.156000000000006</v>
      </c>
      <c r="M2425" s="1">
        <v>-50.176000000000002</v>
      </c>
      <c r="N2425" s="1">
        <v>-33.33</v>
      </c>
      <c r="O2425" s="1">
        <v>-16.609000000000002</v>
      </c>
      <c r="P2425" s="365">
        <v>0</v>
      </c>
      <c r="Q2425" s="1">
        <v>16.61</v>
      </c>
      <c r="R2425" s="1">
        <v>33.131</v>
      </c>
      <c r="S2425" s="1">
        <v>49.570999999999998</v>
      </c>
      <c r="T2425" s="1">
        <v>65.941000000000003</v>
      </c>
    </row>
    <row r="2426" spans="1:20">
      <c r="A2426" s="1">
        <v>6300</v>
      </c>
      <c r="B2426" s="1">
        <v>24.512</v>
      </c>
      <c r="C2426" s="1">
        <v>24.527999999999999</v>
      </c>
      <c r="D2426" s="1">
        <v>24.536999999999999</v>
      </c>
      <c r="E2426" s="1">
        <v>24.545000000000002</v>
      </c>
      <c r="F2426" s="1">
        <v>24.553000000000001</v>
      </c>
      <c r="G2426" s="1">
        <v>24.562000000000001</v>
      </c>
      <c r="H2426" s="1">
        <v>24.577999999999999</v>
      </c>
      <c r="I2426" s="1">
        <v>24.594999999999999</v>
      </c>
      <c r="J2426" s="21">
        <v>4955</v>
      </c>
      <c r="K2426" s="1">
        <v>11100</v>
      </c>
      <c r="L2426" s="1">
        <v>-66.555999999999997</v>
      </c>
      <c r="M2426" s="1">
        <v>-49.726999999999997</v>
      </c>
      <c r="N2426" s="1">
        <v>-33.033000000000001</v>
      </c>
      <c r="O2426" s="1">
        <v>-16.46</v>
      </c>
      <c r="P2426" s="365">
        <v>0</v>
      </c>
      <c r="Q2426" s="1">
        <v>16.463000000000001</v>
      </c>
      <c r="R2426" s="1">
        <v>32.835999999999999</v>
      </c>
      <c r="S2426" s="1">
        <v>49.13</v>
      </c>
      <c r="T2426" s="1">
        <v>65.353999999999999</v>
      </c>
    </row>
    <row r="2427" spans="1:20">
      <c r="A2427" s="1">
        <v>6350</v>
      </c>
      <c r="B2427" s="1">
        <v>24.234000000000002</v>
      </c>
      <c r="C2427" s="1">
        <v>24.25</v>
      </c>
      <c r="D2427" s="1">
        <v>24.259</v>
      </c>
      <c r="E2427" s="1">
        <v>24.266999999999999</v>
      </c>
      <c r="F2427" s="1">
        <v>24.274999999999999</v>
      </c>
      <c r="G2427" s="1">
        <v>24.283999999999999</v>
      </c>
      <c r="H2427" s="1">
        <v>24.3</v>
      </c>
      <c r="I2427" s="1">
        <v>24.317</v>
      </c>
      <c r="J2427" s="21">
        <v>4905</v>
      </c>
      <c r="K2427" s="1">
        <v>11200</v>
      </c>
      <c r="L2427" s="1">
        <v>-65.956000000000003</v>
      </c>
      <c r="M2427" s="1">
        <v>-49.279000000000003</v>
      </c>
      <c r="N2427" s="1">
        <v>-32.735999999999997</v>
      </c>
      <c r="O2427" s="1">
        <v>-16.312000000000001</v>
      </c>
      <c r="P2427" s="365">
        <v>0</v>
      </c>
      <c r="Q2427" s="1">
        <v>16.292999999999999</v>
      </c>
      <c r="R2427" s="1">
        <v>32.494999999999997</v>
      </c>
      <c r="S2427" s="1">
        <v>48.533000000000001</v>
      </c>
      <c r="T2427" s="365">
        <v>0</v>
      </c>
    </row>
    <row r="2428" spans="1:20">
      <c r="A2428" s="1">
        <v>6400</v>
      </c>
      <c r="B2428" s="1">
        <v>23.95</v>
      </c>
      <c r="C2428" s="1">
        <v>23.972999999999999</v>
      </c>
      <c r="D2428" s="1">
        <v>23.981999999999999</v>
      </c>
      <c r="E2428" s="1">
        <v>23.99</v>
      </c>
      <c r="F2428" s="1">
        <v>23.998000000000001</v>
      </c>
      <c r="G2428" s="1">
        <v>24.006</v>
      </c>
      <c r="H2428" s="1">
        <v>24.023</v>
      </c>
      <c r="I2428" s="1">
        <v>24.04</v>
      </c>
      <c r="J2428" s="21">
        <v>4855</v>
      </c>
      <c r="K2428" s="1">
        <v>11255</v>
      </c>
      <c r="L2428" s="1">
        <v>-65.665999999999997</v>
      </c>
      <c r="M2428" s="1">
        <v>-49.100999999999999</v>
      </c>
      <c r="N2428" s="1">
        <v>-32.616</v>
      </c>
      <c r="O2428" s="1">
        <v>-16.253</v>
      </c>
      <c r="P2428" s="365">
        <v>0</v>
      </c>
      <c r="Q2428" s="365">
        <v>0</v>
      </c>
      <c r="R2428" s="365">
        <v>0</v>
      </c>
      <c r="S2428" s="365">
        <v>0</v>
      </c>
      <c r="T2428" s="365">
        <v>0</v>
      </c>
    </row>
    <row r="2429" spans="1:20">
      <c r="A2429" s="1">
        <v>6450</v>
      </c>
      <c r="B2429" s="1">
        <v>23.68</v>
      </c>
      <c r="C2429" s="1">
        <v>23.696999999999999</v>
      </c>
      <c r="D2429" s="1">
        <v>23.704999999999998</v>
      </c>
      <c r="E2429" s="1">
        <v>23.713000000000001</v>
      </c>
      <c r="F2429" s="1">
        <v>23.722000000000001</v>
      </c>
      <c r="G2429" s="1">
        <v>23.73</v>
      </c>
      <c r="H2429" s="1">
        <v>23.745999999999999</v>
      </c>
      <c r="I2429" s="1">
        <v>23.763000000000002</v>
      </c>
      <c r="J2429" s="21">
        <v>4805</v>
      </c>
      <c r="K2429" s="1"/>
      <c r="L2429" s="1"/>
      <c r="M2429" s="1"/>
      <c r="N2429" s="1"/>
      <c r="O2429" s="1"/>
      <c r="P2429" s="365"/>
      <c r="Q2429" s="365"/>
      <c r="R2429" s="365"/>
      <c r="S2429" s="365"/>
      <c r="T2429" s="365"/>
    </row>
    <row r="2430" spans="1:20">
      <c r="A2430" s="1">
        <v>6500</v>
      </c>
      <c r="B2430" s="1">
        <v>23.404</v>
      </c>
      <c r="C2430" s="1">
        <v>23.420999999999999</v>
      </c>
      <c r="D2430" s="1">
        <v>23.428999999999998</v>
      </c>
      <c r="E2430" s="1">
        <v>23.437000000000001</v>
      </c>
      <c r="F2430" s="1">
        <v>23.446000000000002</v>
      </c>
      <c r="G2430" s="1">
        <v>23.454000000000001</v>
      </c>
      <c r="H2430" s="1">
        <v>23.47</v>
      </c>
      <c r="I2430" s="1">
        <v>23.486999999999998</v>
      </c>
      <c r="J2430" s="21">
        <v>4755</v>
      </c>
      <c r="K2430" s="1"/>
      <c r="L2430" s="1"/>
      <c r="M2430" s="1"/>
      <c r="N2430" s="1"/>
      <c r="O2430" s="1"/>
      <c r="P2430" s="365"/>
      <c r="Q2430" s="1"/>
      <c r="R2430" s="1"/>
      <c r="S2430" s="1"/>
      <c r="T2430" s="1"/>
    </row>
    <row r="2431" spans="1:20">
      <c r="A2431" s="1">
        <v>6550</v>
      </c>
      <c r="B2431" s="1">
        <v>23.129000000000001</v>
      </c>
      <c r="C2431" s="1">
        <v>23.146000000000001</v>
      </c>
      <c r="D2431" s="1">
        <v>23.154</v>
      </c>
      <c r="E2431" s="1">
        <v>23.161999999999999</v>
      </c>
      <c r="F2431" s="1">
        <v>23.17</v>
      </c>
      <c r="G2431" s="1">
        <v>23.178999999999998</v>
      </c>
      <c r="H2431" s="1">
        <v>23.195</v>
      </c>
      <c r="I2431" s="1">
        <v>23.212</v>
      </c>
      <c r="J2431" s="21">
        <v>4705</v>
      </c>
      <c r="K2431" s="1"/>
      <c r="L2431" s="1"/>
      <c r="M2431" s="1"/>
      <c r="N2431" s="1"/>
      <c r="O2431" s="1"/>
      <c r="P2431" s="365"/>
      <c r="Q2431" s="1"/>
      <c r="R2431" s="1"/>
      <c r="S2431" s="1"/>
      <c r="T2431" s="1"/>
    </row>
    <row r="2432" spans="1:20">
      <c r="A2432" s="1">
        <v>6600</v>
      </c>
      <c r="B2432" s="1">
        <v>22.855</v>
      </c>
      <c r="C2432" s="1">
        <v>22.870999999999999</v>
      </c>
      <c r="D2432" s="1">
        <v>22.879000000000001</v>
      </c>
      <c r="E2432" s="1">
        <v>22.888000000000002</v>
      </c>
      <c r="F2432" s="1">
        <v>22.896000000000001</v>
      </c>
      <c r="G2432" s="1">
        <v>22.904</v>
      </c>
      <c r="H2432" s="1">
        <v>22.92</v>
      </c>
      <c r="I2432" s="1">
        <v>22.937000000000001</v>
      </c>
      <c r="J2432" s="21">
        <v>4655</v>
      </c>
      <c r="K2432" s="1"/>
      <c r="L2432" s="1"/>
      <c r="M2432" s="1"/>
      <c r="N2432" s="1"/>
      <c r="O2432" s="1"/>
      <c r="P2432" s="365"/>
      <c r="Q2432" s="1"/>
      <c r="R2432" s="1"/>
      <c r="S2432" s="1"/>
      <c r="T2432" s="1"/>
    </row>
    <row r="2433" spans="1:20">
      <c r="A2433" s="1">
        <v>6650</v>
      </c>
      <c r="B2433" s="1">
        <v>22.581</v>
      </c>
      <c r="C2433" s="1">
        <v>22.597000000000001</v>
      </c>
      <c r="D2433" s="1">
        <v>22.605</v>
      </c>
      <c r="E2433" s="1">
        <v>22.614000000000001</v>
      </c>
      <c r="F2433" s="1">
        <v>22.622</v>
      </c>
      <c r="G2433" s="1">
        <v>22.63</v>
      </c>
      <c r="H2433" s="1">
        <v>22.646000000000001</v>
      </c>
      <c r="I2433" s="1">
        <v>22.663</v>
      </c>
      <c r="J2433" s="21">
        <v>4605</v>
      </c>
      <c r="K2433" s="1"/>
      <c r="L2433" s="1"/>
      <c r="M2433" s="1"/>
      <c r="N2433" s="1"/>
      <c r="O2433" s="1"/>
      <c r="P2433" s="365"/>
      <c r="Q2433" s="1"/>
      <c r="R2433" s="1"/>
      <c r="S2433" s="1"/>
      <c r="T2433" s="1"/>
    </row>
    <row r="2434" spans="1:20">
      <c r="A2434" s="1">
        <v>6700</v>
      </c>
      <c r="B2434" s="1">
        <v>22.308</v>
      </c>
      <c r="C2434" s="1">
        <v>22.324000000000002</v>
      </c>
      <c r="D2434" s="1">
        <v>22.332000000000001</v>
      </c>
      <c r="E2434" s="1">
        <v>22.34</v>
      </c>
      <c r="F2434" s="1">
        <v>22.349</v>
      </c>
      <c r="G2434" s="1">
        <v>22.356999999999999</v>
      </c>
      <c r="H2434" s="1">
        <v>22.373000000000001</v>
      </c>
      <c r="I2434" s="1">
        <v>22.388999999999999</v>
      </c>
      <c r="J2434" s="21">
        <v>4555</v>
      </c>
      <c r="K2434" s="1"/>
      <c r="L2434" s="1"/>
      <c r="M2434" s="1"/>
      <c r="N2434" s="1"/>
      <c r="O2434" s="1"/>
      <c r="P2434" s="365"/>
      <c r="Q2434" s="1"/>
      <c r="R2434" s="1"/>
      <c r="S2434" s="1"/>
      <c r="T2434" s="1"/>
    </row>
    <row r="2435" spans="1:20">
      <c r="A2435" s="1">
        <v>6750</v>
      </c>
      <c r="B2435" s="1">
        <v>22.035</v>
      </c>
      <c r="C2435" s="1">
        <v>22.052</v>
      </c>
      <c r="D2435" s="1">
        <v>22.06</v>
      </c>
      <c r="E2435" s="1">
        <v>22.068000000000001</v>
      </c>
      <c r="F2435" s="1">
        <v>22.076000000000001</v>
      </c>
      <c r="G2435" s="1">
        <v>22.084</v>
      </c>
      <c r="H2435" s="1">
        <v>22.100999999999999</v>
      </c>
      <c r="I2435" s="1">
        <v>22.117000000000001</v>
      </c>
      <c r="J2435" s="21">
        <v>4505</v>
      </c>
      <c r="K2435" s="1"/>
      <c r="L2435" s="1"/>
      <c r="M2435" s="1"/>
      <c r="N2435" s="1"/>
      <c r="O2435" s="1"/>
      <c r="P2435" s="365"/>
      <c r="Q2435" s="1"/>
      <c r="R2435" s="1"/>
      <c r="S2435" s="1"/>
      <c r="T2435" s="1"/>
    </row>
    <row r="2436" spans="1:20">
      <c r="A2436" s="1">
        <v>6800</v>
      </c>
      <c r="B2436" s="1">
        <v>21.763000000000002</v>
      </c>
      <c r="C2436" s="1">
        <v>21.78</v>
      </c>
      <c r="D2436" s="1">
        <v>21.788</v>
      </c>
      <c r="E2436" s="1">
        <v>21.795999999999999</v>
      </c>
      <c r="F2436" s="1">
        <v>21.803999999999998</v>
      </c>
      <c r="G2436" s="1">
        <v>21.812000000000001</v>
      </c>
      <c r="H2436" s="1">
        <v>21.829000000000001</v>
      </c>
      <c r="I2436" s="1">
        <v>21.844999999999999</v>
      </c>
      <c r="J2436" s="21">
        <v>4455</v>
      </c>
      <c r="K2436" s="1"/>
      <c r="L2436" s="1"/>
      <c r="M2436" s="1"/>
      <c r="N2436" s="1"/>
      <c r="O2436" s="1"/>
      <c r="P2436" s="365"/>
      <c r="Q2436" s="1"/>
      <c r="R2436" s="1"/>
      <c r="S2436" s="1"/>
      <c r="T2436" s="1"/>
    </row>
    <row r="2437" spans="1:20">
      <c r="A2437" s="1">
        <v>6850</v>
      </c>
      <c r="B2437" s="1">
        <v>21.492000000000001</v>
      </c>
      <c r="C2437" s="1">
        <v>21.509</v>
      </c>
      <c r="D2437" s="1">
        <v>21.516999999999999</v>
      </c>
      <c r="E2437" s="1">
        <v>21.524999999999999</v>
      </c>
      <c r="F2437" s="1">
        <v>21.533000000000001</v>
      </c>
      <c r="G2437" s="1">
        <v>21.541</v>
      </c>
      <c r="H2437" s="1">
        <v>21.556999999999999</v>
      </c>
      <c r="I2437" s="1">
        <v>21.573</v>
      </c>
      <c r="J2437" s="21">
        <v>4405</v>
      </c>
      <c r="K2437" s="1"/>
      <c r="L2437" s="1"/>
      <c r="M2437" s="1"/>
      <c r="N2437" s="1"/>
      <c r="O2437" s="1"/>
      <c r="P2437" s="365"/>
      <c r="Q2437" s="1"/>
      <c r="R2437" s="1"/>
      <c r="S2437" s="1"/>
      <c r="T2437" s="1"/>
    </row>
    <row r="2438" spans="1:20">
      <c r="A2438" s="1">
        <v>6900</v>
      </c>
      <c r="B2438" s="1">
        <v>21.222000000000001</v>
      </c>
      <c r="C2438" s="1">
        <v>21.238</v>
      </c>
      <c r="D2438" s="1">
        <v>21.245999999999999</v>
      </c>
      <c r="E2438" s="1">
        <v>21.254000000000001</v>
      </c>
      <c r="F2438" s="1">
        <v>21.262</v>
      </c>
      <c r="G2438" s="1">
        <v>21.27</v>
      </c>
      <c r="H2438" s="1">
        <v>21.286999999999999</v>
      </c>
      <c r="I2438" s="1">
        <v>21.303000000000001</v>
      </c>
      <c r="J2438" s="21">
        <v>4355</v>
      </c>
      <c r="K2438" s="1"/>
      <c r="L2438" s="1"/>
      <c r="M2438" s="1"/>
      <c r="N2438" s="1"/>
      <c r="O2438" s="1"/>
      <c r="P2438" s="365"/>
      <c r="Q2438" s="1"/>
      <c r="R2438" s="1"/>
      <c r="S2438" s="1"/>
      <c r="T2438" s="1"/>
    </row>
    <row r="2439" spans="1:20">
      <c r="A2439" s="1">
        <v>6950</v>
      </c>
      <c r="B2439" s="1">
        <v>20.952000000000002</v>
      </c>
      <c r="C2439" s="1">
        <v>20.968</v>
      </c>
      <c r="D2439" s="1">
        <v>20.975999999999999</v>
      </c>
      <c r="E2439" s="1">
        <v>20.984000000000002</v>
      </c>
      <c r="F2439" s="1">
        <v>20.992000000000001</v>
      </c>
      <c r="G2439" s="1">
        <v>21</v>
      </c>
      <c r="H2439" s="1">
        <v>21.016999999999999</v>
      </c>
      <c r="I2439" s="1">
        <v>21.033000000000001</v>
      </c>
      <c r="J2439" s="21">
        <v>4305</v>
      </c>
      <c r="K2439" s="1"/>
      <c r="L2439" s="1"/>
      <c r="M2439" s="1"/>
      <c r="N2439" s="1"/>
      <c r="O2439" s="1"/>
      <c r="P2439" s="365"/>
      <c r="Q2439" s="1"/>
      <c r="R2439" s="1"/>
      <c r="S2439" s="1"/>
      <c r="T2439" s="1"/>
    </row>
    <row r="2440" spans="1:20">
      <c r="A2440" s="1">
        <v>7000</v>
      </c>
      <c r="B2440" s="1">
        <v>20.683</v>
      </c>
      <c r="C2440" s="1">
        <v>20.699000000000002</v>
      </c>
      <c r="D2440" s="1">
        <v>20.707000000000001</v>
      </c>
      <c r="E2440" s="1">
        <v>20.715</v>
      </c>
      <c r="F2440" s="1">
        <v>20.722999999999999</v>
      </c>
      <c r="G2440" s="1">
        <v>20.731000000000002</v>
      </c>
      <c r="H2440" s="1">
        <v>20.747</v>
      </c>
      <c r="I2440" s="1">
        <v>20.763000000000002</v>
      </c>
      <c r="J2440" s="21">
        <v>4255</v>
      </c>
      <c r="K2440" s="1"/>
      <c r="L2440" s="1"/>
      <c r="M2440" s="1"/>
      <c r="N2440" s="1"/>
      <c r="O2440" s="1"/>
      <c r="P2440" s="365"/>
      <c r="Q2440" s="1"/>
      <c r="R2440" s="1"/>
      <c r="S2440" s="1"/>
      <c r="T2440" s="1"/>
    </row>
    <row r="2441" spans="1:20">
      <c r="A2441" s="1">
        <v>7050</v>
      </c>
      <c r="B2441" s="1">
        <v>20.414000000000001</v>
      </c>
      <c r="C2441" s="1">
        <v>20.431000000000001</v>
      </c>
      <c r="D2441" s="1">
        <v>20.439</v>
      </c>
      <c r="E2441" s="1">
        <v>20.446999999999999</v>
      </c>
      <c r="F2441" s="1">
        <v>20.454999999999998</v>
      </c>
      <c r="G2441" s="1">
        <v>20.463000000000001</v>
      </c>
      <c r="H2441" s="1">
        <v>20.478999999999999</v>
      </c>
      <c r="I2441" s="1">
        <v>20.495000000000001</v>
      </c>
      <c r="J2441" s="21">
        <v>4205</v>
      </c>
      <c r="K2441" s="1"/>
      <c r="L2441" s="1"/>
      <c r="M2441" s="1"/>
      <c r="N2441" s="1"/>
      <c r="O2441" s="1"/>
      <c r="P2441" s="365"/>
      <c r="Q2441" s="1"/>
      <c r="R2441" s="1"/>
      <c r="S2441" s="1"/>
      <c r="T2441" s="1"/>
    </row>
    <row r="2442" spans="1:20">
      <c r="A2442" s="1">
        <v>7100</v>
      </c>
      <c r="B2442" s="1">
        <v>20.146999999999998</v>
      </c>
      <c r="C2442" s="1">
        <v>20.163</v>
      </c>
      <c r="D2442" s="1">
        <v>20.170999999999999</v>
      </c>
      <c r="E2442" s="1">
        <v>20.178999999999998</v>
      </c>
      <c r="F2442" s="1">
        <v>20.187000000000001</v>
      </c>
      <c r="G2442" s="1">
        <v>20.195</v>
      </c>
      <c r="H2442" s="1">
        <v>20.210999999999999</v>
      </c>
      <c r="I2442" s="1">
        <v>20.227</v>
      </c>
      <c r="J2442" s="21">
        <v>4155</v>
      </c>
      <c r="K2442" s="1"/>
      <c r="L2442" s="1"/>
      <c r="M2442" s="1"/>
      <c r="N2442" s="1"/>
      <c r="O2442" s="1"/>
      <c r="P2442" s="365"/>
      <c r="Q2442" s="1"/>
      <c r="R2442" s="1"/>
      <c r="S2442" s="1"/>
      <c r="T2442" s="1"/>
    </row>
    <row r="2443" spans="1:20">
      <c r="A2443" s="1">
        <v>7150</v>
      </c>
      <c r="B2443" s="1">
        <v>19.88</v>
      </c>
      <c r="C2443" s="1">
        <v>19.896000000000001</v>
      </c>
      <c r="D2443" s="1">
        <v>19.904</v>
      </c>
      <c r="E2443" s="1">
        <v>19.911999999999999</v>
      </c>
      <c r="F2443" s="1">
        <v>19.920000000000002</v>
      </c>
      <c r="G2443" s="1">
        <v>19.928000000000001</v>
      </c>
      <c r="H2443" s="1">
        <v>19.943999999999999</v>
      </c>
      <c r="I2443" s="1">
        <v>19.959</v>
      </c>
      <c r="J2443" s="21">
        <v>4105</v>
      </c>
      <c r="K2443" s="1"/>
      <c r="L2443" s="1"/>
      <c r="M2443" s="1"/>
      <c r="N2443" s="1"/>
      <c r="O2443" s="1"/>
      <c r="P2443" s="365"/>
      <c r="Q2443" s="1"/>
      <c r="R2443" s="1"/>
      <c r="S2443" s="1"/>
      <c r="T2443" s="1"/>
    </row>
    <row r="2444" spans="1:20">
      <c r="A2444" s="1">
        <v>7200</v>
      </c>
      <c r="B2444" s="1">
        <v>19.613</v>
      </c>
      <c r="C2444" s="1">
        <v>19.629000000000001</v>
      </c>
      <c r="D2444" s="1">
        <v>19.637</v>
      </c>
      <c r="E2444" s="1">
        <v>19.645</v>
      </c>
      <c r="F2444" s="1">
        <v>19.652999999999999</v>
      </c>
      <c r="G2444" s="1">
        <v>19.661000000000001</v>
      </c>
      <c r="H2444" s="1">
        <v>19.677</v>
      </c>
      <c r="I2444" s="1">
        <v>19.693000000000001</v>
      </c>
      <c r="J2444" s="21">
        <v>4055</v>
      </c>
      <c r="K2444" s="1"/>
      <c r="L2444" s="1"/>
      <c r="M2444" s="1"/>
      <c r="N2444" s="1"/>
      <c r="O2444" s="1"/>
      <c r="P2444" s="365"/>
      <c r="Q2444" s="1"/>
      <c r="R2444" s="1"/>
      <c r="S2444" s="1"/>
      <c r="T2444" s="1"/>
    </row>
    <row r="2445" spans="1:20">
      <c r="A2445" s="1">
        <v>7250</v>
      </c>
      <c r="B2445" s="1">
        <v>19.347000000000001</v>
      </c>
      <c r="C2445" s="1">
        <v>19.363</v>
      </c>
      <c r="D2445" s="1">
        <v>19.370999999999999</v>
      </c>
      <c r="E2445" s="1">
        <v>19.379000000000001</v>
      </c>
      <c r="F2445" s="1">
        <v>19.387</v>
      </c>
      <c r="G2445" s="1">
        <v>19.395</v>
      </c>
      <c r="H2445" s="1">
        <v>19.411000000000001</v>
      </c>
      <c r="I2445" s="1">
        <v>19.427</v>
      </c>
      <c r="J2445" s="21">
        <v>4005</v>
      </c>
      <c r="K2445" s="1"/>
      <c r="L2445" s="1"/>
      <c r="M2445" s="1"/>
      <c r="N2445" s="1"/>
      <c r="O2445" s="1"/>
      <c r="P2445" s="365"/>
      <c r="Q2445" s="1"/>
      <c r="R2445" s="1"/>
      <c r="S2445" s="1"/>
      <c r="T2445" s="1"/>
    </row>
    <row r="2446" spans="1:20">
      <c r="A2446" s="1">
        <v>7300</v>
      </c>
      <c r="B2446" s="1">
        <v>19.082000000000001</v>
      </c>
      <c r="C2446" s="1">
        <v>19.097999999999999</v>
      </c>
      <c r="D2446" s="1">
        <v>19.106000000000002</v>
      </c>
      <c r="E2446" s="1">
        <v>19.114000000000001</v>
      </c>
      <c r="F2446" s="1">
        <v>19.122</v>
      </c>
      <c r="G2446" s="1">
        <v>19.13</v>
      </c>
      <c r="H2446" s="1">
        <v>19.146000000000001</v>
      </c>
      <c r="I2446" s="1">
        <v>19.161999999999999</v>
      </c>
      <c r="J2446" s="21">
        <v>3955</v>
      </c>
      <c r="K2446" s="1"/>
      <c r="L2446" s="1"/>
      <c r="M2446" s="1"/>
      <c r="N2446" s="1"/>
      <c r="O2446" s="1"/>
      <c r="P2446" s="365"/>
      <c r="Q2446" s="1"/>
      <c r="R2446" s="1"/>
      <c r="S2446" s="1"/>
      <c r="T2446" s="1"/>
    </row>
    <row r="2447" spans="1:20">
      <c r="A2447" s="1">
        <v>7350</v>
      </c>
      <c r="B2447" s="1">
        <v>18.818000000000001</v>
      </c>
      <c r="C2447" s="1">
        <v>18.834</v>
      </c>
      <c r="D2447" s="1">
        <v>18.841999999999999</v>
      </c>
      <c r="E2447" s="1">
        <v>18.849</v>
      </c>
      <c r="F2447" s="1">
        <v>18.856999999999999</v>
      </c>
      <c r="G2447" s="1">
        <v>18.864999999999998</v>
      </c>
      <c r="H2447" s="1">
        <v>18.881</v>
      </c>
      <c r="I2447" s="1">
        <v>18.896999999999998</v>
      </c>
      <c r="J2447" s="21">
        <v>3905</v>
      </c>
      <c r="K2447" s="1"/>
      <c r="L2447" s="1"/>
      <c r="M2447" s="1"/>
      <c r="N2447" s="1"/>
      <c r="O2447" s="1"/>
      <c r="P2447" s="365"/>
      <c r="Q2447" s="1"/>
      <c r="R2447" s="1"/>
      <c r="S2447" s="1"/>
      <c r="T2447" s="1"/>
    </row>
    <row r="2448" spans="1:20">
      <c r="A2448" s="1">
        <v>7400</v>
      </c>
      <c r="B2448" s="1">
        <v>18.553999999999998</v>
      </c>
      <c r="C2448" s="1">
        <v>18.57</v>
      </c>
      <c r="D2448" s="1">
        <v>18.577999999999999</v>
      </c>
      <c r="E2448" s="1">
        <v>18.585999999999999</v>
      </c>
      <c r="F2448" s="1">
        <v>18.593</v>
      </c>
      <c r="G2448" s="1">
        <v>18.600999999999999</v>
      </c>
      <c r="H2448" s="1">
        <v>18.617000000000001</v>
      </c>
      <c r="I2448" s="1">
        <v>18.632999999999999</v>
      </c>
      <c r="J2448" s="21">
        <v>3855</v>
      </c>
      <c r="K2448" s="1"/>
      <c r="L2448" s="1"/>
      <c r="M2448" s="1"/>
      <c r="N2448" s="1"/>
      <c r="O2448" s="1"/>
      <c r="P2448" s="365"/>
      <c r="Q2448" s="1"/>
      <c r="R2448" s="1"/>
      <c r="S2448" s="1"/>
      <c r="T2448" s="1"/>
    </row>
    <row r="2449" spans="1:20">
      <c r="A2449" s="1">
        <v>7450</v>
      </c>
      <c r="B2449" s="1">
        <v>18.291</v>
      </c>
      <c r="C2449" s="1">
        <v>18.306999999999999</v>
      </c>
      <c r="D2449" s="1">
        <v>18.315000000000001</v>
      </c>
      <c r="E2449" s="1">
        <v>18.321999999999999</v>
      </c>
      <c r="F2449" s="1">
        <v>18.329999999999998</v>
      </c>
      <c r="G2449" s="1">
        <v>18.338000000000001</v>
      </c>
      <c r="H2449" s="1">
        <v>18.353999999999999</v>
      </c>
      <c r="I2449" s="1">
        <v>18.37</v>
      </c>
      <c r="J2449" s="21">
        <v>3805</v>
      </c>
      <c r="K2449" s="1"/>
      <c r="L2449" s="1"/>
      <c r="M2449" s="1"/>
      <c r="N2449" s="1"/>
      <c r="O2449" s="1"/>
      <c r="P2449" s="365"/>
      <c r="Q2449" s="1"/>
      <c r="R2449" s="1"/>
      <c r="S2449" s="1"/>
      <c r="T2449" s="1"/>
    </row>
    <row r="2450" spans="1:20">
      <c r="A2450" s="1">
        <v>7500</v>
      </c>
      <c r="B2450" s="1">
        <v>18.029</v>
      </c>
      <c r="C2450" s="1">
        <v>18.044</v>
      </c>
      <c r="D2450" s="1">
        <v>18.052</v>
      </c>
      <c r="E2450" s="1">
        <v>18.059999999999999</v>
      </c>
      <c r="F2450" s="1">
        <v>18.068000000000001</v>
      </c>
      <c r="G2450" s="1">
        <v>18.076000000000001</v>
      </c>
      <c r="H2450" s="1">
        <v>18.091000000000001</v>
      </c>
      <c r="I2450" s="1">
        <v>18.106999999999999</v>
      </c>
      <c r="J2450" s="21">
        <v>3755</v>
      </c>
      <c r="K2450" s="1"/>
      <c r="L2450" s="1"/>
      <c r="M2450" s="1"/>
      <c r="N2450" s="1"/>
      <c r="O2450" s="1"/>
      <c r="P2450" s="365"/>
      <c r="Q2450" s="1"/>
      <c r="R2450" s="1"/>
      <c r="S2450" s="1"/>
      <c r="T2450" s="1"/>
    </row>
    <row r="2451" spans="1:20">
      <c r="A2451" s="1">
        <v>7550</v>
      </c>
      <c r="B2451" s="1">
        <v>17.766999999999999</v>
      </c>
      <c r="C2451" s="1">
        <v>17.782</v>
      </c>
      <c r="D2451" s="1">
        <v>17.79</v>
      </c>
      <c r="E2451" s="1">
        <v>17.797999999999998</v>
      </c>
      <c r="F2451" s="1">
        <v>17.806000000000001</v>
      </c>
      <c r="G2451" s="1">
        <v>17.814</v>
      </c>
      <c r="H2451" s="1">
        <v>17.829000000000001</v>
      </c>
      <c r="I2451" s="1">
        <v>17.844999999999999</v>
      </c>
      <c r="J2451" s="21">
        <v>3705</v>
      </c>
      <c r="K2451" s="1"/>
      <c r="L2451" s="1"/>
      <c r="M2451" s="1"/>
      <c r="N2451" s="1"/>
      <c r="O2451" s="1"/>
      <c r="P2451" s="365"/>
      <c r="Q2451" s="1"/>
      <c r="R2451" s="1"/>
      <c r="S2451" s="1"/>
      <c r="T2451" s="1"/>
    </row>
    <row r="2452" spans="1:20">
      <c r="A2452" s="1">
        <v>7600</v>
      </c>
      <c r="B2452" s="1">
        <v>17.506</v>
      </c>
      <c r="C2452" s="1">
        <v>17.521000000000001</v>
      </c>
      <c r="D2452" s="1">
        <v>17.529</v>
      </c>
      <c r="E2452" s="1">
        <v>17.536999999999999</v>
      </c>
      <c r="F2452" s="1">
        <v>17.545000000000002</v>
      </c>
      <c r="G2452" s="1">
        <v>17.553000000000001</v>
      </c>
      <c r="H2452" s="1">
        <v>17.568000000000001</v>
      </c>
      <c r="I2452" s="1">
        <v>17.584</v>
      </c>
      <c r="J2452" s="21">
        <v>3655</v>
      </c>
      <c r="K2452" s="1"/>
      <c r="L2452" s="1"/>
      <c r="M2452" s="1"/>
      <c r="N2452" s="1"/>
      <c r="O2452" s="1"/>
      <c r="P2452" s="365"/>
      <c r="Q2452" s="1"/>
      <c r="R2452" s="1"/>
      <c r="S2452" s="1"/>
      <c r="T2452" s="1"/>
    </row>
    <row r="2453" spans="1:20">
      <c r="A2453" s="1">
        <v>7650</v>
      </c>
      <c r="B2453" s="1">
        <v>17.245000000000001</v>
      </c>
      <c r="C2453" s="1">
        <v>17.260999999999999</v>
      </c>
      <c r="D2453" s="1">
        <v>17.268999999999998</v>
      </c>
      <c r="E2453" s="1">
        <v>17.276</v>
      </c>
      <c r="F2453" s="1">
        <v>17.283999999999999</v>
      </c>
      <c r="G2453" s="1">
        <v>17.292000000000002</v>
      </c>
      <c r="H2453" s="1">
        <v>17.308</v>
      </c>
      <c r="I2453" s="1">
        <v>17.323</v>
      </c>
      <c r="J2453" s="21">
        <v>3605</v>
      </c>
      <c r="K2453" s="1"/>
      <c r="L2453" s="1"/>
      <c r="M2453" s="1"/>
      <c r="N2453" s="1"/>
      <c r="O2453" s="1"/>
      <c r="P2453" s="365"/>
      <c r="Q2453" s="1"/>
      <c r="R2453" s="1"/>
      <c r="S2453" s="1"/>
      <c r="T2453" s="1"/>
    </row>
    <row r="2454" spans="1:20">
      <c r="A2454" s="1">
        <v>7700</v>
      </c>
      <c r="B2454" s="1">
        <v>16.986000000000001</v>
      </c>
      <c r="C2454" s="1">
        <v>17.001000000000001</v>
      </c>
      <c r="D2454" s="1">
        <v>17.009</v>
      </c>
      <c r="E2454" s="1">
        <v>17.016999999999999</v>
      </c>
      <c r="F2454" s="1">
        <v>17.024000000000001</v>
      </c>
      <c r="G2454" s="1">
        <v>17.032</v>
      </c>
      <c r="H2454" s="1">
        <v>17.047999999999998</v>
      </c>
      <c r="I2454" s="1">
        <v>17.062999999999999</v>
      </c>
      <c r="J2454" s="21">
        <v>3555</v>
      </c>
      <c r="K2454" s="1"/>
      <c r="L2454" s="1"/>
      <c r="M2454" s="1"/>
      <c r="N2454" s="1"/>
      <c r="O2454" s="1"/>
      <c r="P2454" s="365"/>
      <c r="Q2454" s="1"/>
      <c r="R2454" s="1"/>
      <c r="S2454" s="1"/>
      <c r="T2454" s="1"/>
    </row>
    <row r="2455" spans="1:20">
      <c r="A2455" s="1">
        <v>7750</v>
      </c>
      <c r="B2455" s="1">
        <v>16.725999999999999</v>
      </c>
      <c r="C2455" s="1">
        <v>16.742000000000001</v>
      </c>
      <c r="D2455" s="1">
        <v>16.75</v>
      </c>
      <c r="E2455" s="1">
        <v>16.757000000000001</v>
      </c>
      <c r="F2455" s="1">
        <v>16.765000000000001</v>
      </c>
      <c r="G2455" s="1">
        <v>16.773</v>
      </c>
      <c r="H2455" s="1">
        <v>16.788</v>
      </c>
      <c r="I2455" s="1">
        <v>16.803999999999998</v>
      </c>
      <c r="J2455" s="21">
        <v>3505</v>
      </c>
      <c r="K2455" s="1"/>
      <c r="L2455" s="1"/>
      <c r="M2455" s="1"/>
      <c r="N2455" s="1"/>
      <c r="O2455" s="1"/>
      <c r="P2455" s="365"/>
      <c r="Q2455" s="1"/>
      <c r="R2455" s="1"/>
      <c r="S2455" s="1"/>
      <c r="T2455" s="1"/>
    </row>
    <row r="2456" spans="1:20">
      <c r="A2456" s="1">
        <v>7800</v>
      </c>
      <c r="B2456" s="1">
        <v>16.468</v>
      </c>
      <c r="C2456" s="1">
        <v>16.483000000000001</v>
      </c>
      <c r="D2456" s="1">
        <v>16.491</v>
      </c>
      <c r="E2456" s="1">
        <v>16.498999999999999</v>
      </c>
      <c r="F2456" s="1">
        <v>16.507000000000001</v>
      </c>
      <c r="G2456" s="1">
        <v>16.513999999999999</v>
      </c>
      <c r="H2456" s="1">
        <v>16.53</v>
      </c>
      <c r="I2456" s="1">
        <v>16.545000000000002</v>
      </c>
      <c r="J2456" s="21">
        <v>3455</v>
      </c>
      <c r="K2456" s="1"/>
      <c r="L2456" s="1"/>
      <c r="M2456" s="1"/>
      <c r="N2456" s="1"/>
      <c r="O2456" s="1"/>
      <c r="P2456" s="365"/>
      <c r="Q2456" s="1"/>
      <c r="R2456" s="1"/>
      <c r="S2456" s="1"/>
      <c r="T2456" s="1"/>
    </row>
    <row r="2457" spans="1:20">
      <c r="A2457" s="1">
        <v>7850</v>
      </c>
      <c r="B2457" s="1">
        <v>16.21</v>
      </c>
      <c r="C2457" s="1">
        <v>16.225999999999999</v>
      </c>
      <c r="D2457" s="1">
        <v>16.233000000000001</v>
      </c>
      <c r="E2457" s="1">
        <v>16.241</v>
      </c>
      <c r="F2457" s="1">
        <v>16.248999999999999</v>
      </c>
      <c r="G2457" s="1">
        <v>16.257000000000001</v>
      </c>
      <c r="H2457" s="1">
        <v>16.271999999999998</v>
      </c>
      <c r="I2457" s="1">
        <v>16.286999999999999</v>
      </c>
      <c r="J2457" s="21">
        <v>3405</v>
      </c>
      <c r="K2457" s="1"/>
      <c r="L2457" s="1"/>
      <c r="M2457" s="1"/>
      <c r="N2457" s="1"/>
      <c r="O2457" s="1"/>
      <c r="P2457" s="365"/>
      <c r="Q2457" s="1"/>
      <c r="R2457" s="1"/>
      <c r="S2457" s="1"/>
      <c r="T2457" s="1"/>
    </row>
    <row r="2458" spans="1:20">
      <c r="A2458" s="1">
        <v>7900</v>
      </c>
      <c r="B2458" s="1">
        <v>15.952999999999999</v>
      </c>
      <c r="C2458" s="1">
        <v>15.968999999999999</v>
      </c>
      <c r="D2458" s="1">
        <v>15.976000000000001</v>
      </c>
      <c r="E2458" s="1">
        <v>15.984</v>
      </c>
      <c r="F2458" s="1">
        <v>15.992000000000001</v>
      </c>
      <c r="G2458" s="1">
        <v>15.999000000000001</v>
      </c>
      <c r="H2458" s="1">
        <v>16.015000000000001</v>
      </c>
      <c r="I2458" s="1">
        <v>16.03</v>
      </c>
      <c r="J2458" s="21">
        <v>3355</v>
      </c>
      <c r="K2458" s="1"/>
      <c r="L2458" s="1"/>
      <c r="M2458" s="1"/>
      <c r="N2458" s="1"/>
      <c r="O2458" s="1"/>
      <c r="P2458" s="365"/>
      <c r="Q2458" s="1"/>
      <c r="R2458" s="1"/>
      <c r="S2458" s="1"/>
      <c r="T2458" s="1"/>
    </row>
    <row r="2459" spans="1:20">
      <c r="A2459" s="1">
        <v>7950</v>
      </c>
      <c r="B2459" s="1">
        <v>15.696999999999999</v>
      </c>
      <c r="C2459" s="1">
        <v>15.712</v>
      </c>
      <c r="D2459" s="1">
        <v>15.72</v>
      </c>
      <c r="E2459" s="1">
        <v>15.727</v>
      </c>
      <c r="F2459" s="1">
        <v>15.734999999999999</v>
      </c>
      <c r="G2459" s="1">
        <v>15.743</v>
      </c>
      <c r="H2459" s="1">
        <v>15.757999999999999</v>
      </c>
      <c r="I2459" s="1">
        <v>15.773</v>
      </c>
      <c r="J2459" s="21">
        <v>3305</v>
      </c>
      <c r="K2459" s="1"/>
      <c r="L2459" s="1"/>
      <c r="M2459" s="1"/>
      <c r="N2459" s="1"/>
      <c r="O2459" s="1"/>
      <c r="P2459" s="365"/>
      <c r="Q2459" s="1"/>
      <c r="R2459" s="1"/>
      <c r="S2459" s="1"/>
      <c r="T2459" s="1"/>
    </row>
    <row r="2460" spans="1:20">
      <c r="A2460" s="1">
        <v>8000</v>
      </c>
      <c r="B2460" s="1">
        <v>15.441000000000001</v>
      </c>
      <c r="C2460" s="1">
        <v>15.456</v>
      </c>
      <c r="D2460" s="1">
        <v>15.464</v>
      </c>
      <c r="E2460" s="1">
        <v>15.472</v>
      </c>
      <c r="F2460" s="1">
        <v>15.478999999999999</v>
      </c>
      <c r="G2460" s="1">
        <v>15.487</v>
      </c>
      <c r="H2460" s="1">
        <v>15.502000000000001</v>
      </c>
      <c r="I2460" s="1">
        <v>15.518000000000001</v>
      </c>
      <c r="J2460" s="21">
        <v>3255</v>
      </c>
      <c r="K2460" s="1"/>
      <c r="L2460" s="1"/>
      <c r="M2460" s="1"/>
      <c r="N2460" s="1"/>
      <c r="O2460" s="1"/>
      <c r="P2460" s="365"/>
      <c r="Q2460" s="1"/>
      <c r="R2460" s="1"/>
      <c r="S2460" s="1"/>
      <c r="T2460" s="1"/>
    </row>
    <row r="2461" spans="1:20">
      <c r="A2461" s="1">
        <v>8050</v>
      </c>
      <c r="B2461" s="1">
        <v>15.186</v>
      </c>
      <c r="C2461" s="1">
        <v>15.201000000000001</v>
      </c>
      <c r="D2461" s="1">
        <v>15.209</v>
      </c>
      <c r="E2461" s="1">
        <v>15.217000000000001</v>
      </c>
      <c r="F2461" s="1">
        <v>15.224</v>
      </c>
      <c r="G2461" s="1">
        <v>15.231999999999999</v>
      </c>
      <c r="H2461" s="1">
        <v>15.247</v>
      </c>
      <c r="I2461" s="1">
        <v>15.262</v>
      </c>
      <c r="J2461" s="21">
        <v>3205</v>
      </c>
      <c r="K2461" s="1"/>
      <c r="L2461" s="1"/>
      <c r="M2461" s="1"/>
      <c r="N2461" s="1"/>
      <c r="O2461" s="1"/>
      <c r="P2461" s="365"/>
      <c r="Q2461" s="1"/>
      <c r="R2461" s="1"/>
      <c r="S2461" s="1"/>
      <c r="T2461" s="1"/>
    </row>
    <row r="2462" spans="1:20">
      <c r="A2462" s="1">
        <v>8100</v>
      </c>
      <c r="B2462" s="1">
        <v>14.932</v>
      </c>
      <c r="C2462" s="1">
        <v>14.946999999999999</v>
      </c>
      <c r="D2462" s="1">
        <v>14.954000000000001</v>
      </c>
      <c r="E2462" s="1">
        <v>14.962</v>
      </c>
      <c r="F2462" s="1">
        <v>14.97</v>
      </c>
      <c r="G2462" s="1">
        <v>14.977</v>
      </c>
      <c r="H2462" s="1">
        <v>14.992000000000001</v>
      </c>
      <c r="I2462" s="1">
        <v>15.007999999999999</v>
      </c>
      <c r="J2462" s="21">
        <v>3155</v>
      </c>
      <c r="K2462" s="1"/>
      <c r="L2462" s="1"/>
      <c r="M2462" s="1"/>
      <c r="N2462" s="1"/>
      <c r="O2462" s="1"/>
      <c r="P2462" s="365"/>
      <c r="Q2462" s="1"/>
      <c r="R2462" s="1"/>
      <c r="S2462" s="1"/>
      <c r="T2462" s="1"/>
    </row>
    <row r="2463" spans="1:20">
      <c r="A2463" s="1">
        <v>8150</v>
      </c>
      <c r="B2463" s="1">
        <v>14.678000000000001</v>
      </c>
      <c r="C2463" s="1">
        <v>14.693</v>
      </c>
      <c r="D2463" s="1">
        <v>14.701000000000001</v>
      </c>
      <c r="E2463" s="1">
        <v>14.708</v>
      </c>
      <c r="F2463" s="1">
        <v>14.715999999999999</v>
      </c>
      <c r="G2463" s="1">
        <v>14.723000000000001</v>
      </c>
      <c r="H2463" s="1">
        <v>14.739000000000001</v>
      </c>
      <c r="I2463" s="1">
        <v>14.754</v>
      </c>
      <c r="J2463" s="21">
        <v>3105</v>
      </c>
      <c r="K2463" s="1"/>
      <c r="L2463" s="1"/>
      <c r="M2463" s="1"/>
      <c r="N2463" s="1"/>
      <c r="O2463" s="1"/>
      <c r="P2463" s="365"/>
      <c r="Q2463" s="1"/>
      <c r="R2463" s="1"/>
      <c r="S2463" s="1"/>
      <c r="T2463" s="1"/>
    </row>
    <row r="2464" spans="1:20">
      <c r="A2464" s="1">
        <v>8200</v>
      </c>
      <c r="B2464" s="1">
        <v>14.425000000000001</v>
      </c>
      <c r="C2464" s="1">
        <v>14.44</v>
      </c>
      <c r="D2464" s="1">
        <v>14.448</v>
      </c>
      <c r="E2464" s="1">
        <v>14.455</v>
      </c>
      <c r="F2464" s="1">
        <v>14.462999999999999</v>
      </c>
      <c r="G2464" s="1">
        <v>14.47</v>
      </c>
      <c r="H2464" s="1">
        <v>14.484999999999999</v>
      </c>
      <c r="I2464" s="1">
        <v>14.500999999999999</v>
      </c>
      <c r="J2464" s="21">
        <v>3055</v>
      </c>
      <c r="K2464" s="1"/>
      <c r="L2464" s="1"/>
      <c r="M2464" s="1"/>
      <c r="N2464" s="1"/>
      <c r="O2464" s="1"/>
      <c r="P2464" s="365"/>
      <c r="Q2464" s="1"/>
      <c r="R2464" s="1"/>
      <c r="S2464" s="1"/>
      <c r="T2464" s="1"/>
    </row>
    <row r="2465" spans="1:20">
      <c r="A2465" s="1">
        <v>8250</v>
      </c>
      <c r="B2465" s="1">
        <v>14.172000000000001</v>
      </c>
      <c r="C2465" s="1">
        <v>14.188000000000001</v>
      </c>
      <c r="D2465" s="1">
        <v>14.195</v>
      </c>
      <c r="E2465" s="1">
        <v>14.202999999999999</v>
      </c>
      <c r="F2465" s="1">
        <v>14.21</v>
      </c>
      <c r="G2465" s="1">
        <v>14.218</v>
      </c>
      <c r="H2465" s="1">
        <v>14.233000000000001</v>
      </c>
      <c r="I2465" s="1">
        <v>14.247999999999999</v>
      </c>
      <c r="J2465" s="21">
        <v>3005</v>
      </c>
      <c r="K2465" s="1"/>
      <c r="L2465" s="1"/>
      <c r="M2465" s="1"/>
      <c r="N2465" s="1"/>
      <c r="O2465" s="1"/>
      <c r="P2465" s="365"/>
      <c r="Q2465" s="1"/>
      <c r="R2465" s="1"/>
      <c r="S2465" s="1"/>
      <c r="T2465" s="1"/>
    </row>
    <row r="2466" spans="1:20">
      <c r="A2466" s="1">
        <v>8300</v>
      </c>
      <c r="B2466" s="1">
        <v>13.920999999999999</v>
      </c>
      <c r="C2466" s="1">
        <v>13.936</v>
      </c>
      <c r="D2466" s="1">
        <v>13.943</v>
      </c>
      <c r="E2466" s="1">
        <v>13.951000000000001</v>
      </c>
      <c r="F2466" s="1">
        <v>13.958</v>
      </c>
      <c r="G2466" s="1">
        <v>13.965999999999999</v>
      </c>
      <c r="H2466" s="1">
        <v>13.981</v>
      </c>
      <c r="I2466" s="1">
        <v>13.996</v>
      </c>
      <c r="J2466" s="21">
        <v>2955</v>
      </c>
      <c r="K2466" s="1"/>
      <c r="L2466" s="1"/>
      <c r="M2466" s="1"/>
      <c r="N2466" s="1"/>
      <c r="O2466" s="1"/>
      <c r="P2466" s="365"/>
      <c r="Q2466" s="1"/>
      <c r="R2466" s="1"/>
      <c r="S2466" s="1"/>
      <c r="T2466" s="1"/>
    </row>
    <row r="2467" spans="1:20">
      <c r="A2467" s="1">
        <v>8350</v>
      </c>
      <c r="B2467" s="1">
        <v>13.67</v>
      </c>
      <c r="C2467" s="1">
        <v>13.685</v>
      </c>
      <c r="D2467" s="1">
        <v>13.692</v>
      </c>
      <c r="E2467" s="1">
        <v>13.7</v>
      </c>
      <c r="F2467" s="1">
        <v>13.707000000000001</v>
      </c>
      <c r="G2467" s="1">
        <v>13.715</v>
      </c>
      <c r="H2467" s="1">
        <v>13.73</v>
      </c>
      <c r="I2467" s="1">
        <v>13.744999999999999</v>
      </c>
      <c r="J2467" s="21">
        <v>2905</v>
      </c>
      <c r="K2467" s="1"/>
      <c r="L2467" s="1"/>
      <c r="M2467" s="1"/>
      <c r="N2467" s="1"/>
      <c r="O2467" s="1"/>
      <c r="P2467" s="365"/>
      <c r="Q2467" s="1"/>
      <c r="R2467" s="1"/>
      <c r="S2467" s="1"/>
      <c r="T2467" s="1"/>
    </row>
    <row r="2468" spans="1:20">
      <c r="A2468" s="1">
        <v>8400</v>
      </c>
      <c r="B2468" s="1">
        <v>13.419</v>
      </c>
      <c r="C2468" s="1">
        <v>13.433999999999999</v>
      </c>
      <c r="D2468" s="1">
        <v>13.442</v>
      </c>
      <c r="E2468" s="1">
        <v>13.449</v>
      </c>
      <c r="F2468" s="1">
        <v>13.457000000000001</v>
      </c>
      <c r="G2468" s="1">
        <v>13.464</v>
      </c>
      <c r="H2468" s="1">
        <v>13.478999999999999</v>
      </c>
      <c r="I2468" s="1">
        <v>13.494</v>
      </c>
      <c r="J2468" s="21">
        <v>2855</v>
      </c>
      <c r="K2468" s="1"/>
      <c r="L2468" s="1"/>
      <c r="M2468" s="1"/>
      <c r="N2468" s="1"/>
      <c r="O2468" s="1"/>
      <c r="P2468" s="365"/>
      <c r="Q2468" s="1"/>
      <c r="R2468" s="1"/>
      <c r="S2468" s="1"/>
      <c r="T2468" s="1"/>
    </row>
    <row r="2469" spans="1:20">
      <c r="A2469" s="1">
        <v>8450</v>
      </c>
      <c r="B2469" s="1">
        <v>13.17</v>
      </c>
      <c r="C2469" s="1">
        <v>13.185</v>
      </c>
      <c r="D2469" s="1">
        <v>13.192</v>
      </c>
      <c r="E2469" s="1">
        <v>13.2</v>
      </c>
      <c r="F2469" s="1">
        <v>13.207000000000001</v>
      </c>
      <c r="G2469" s="1">
        <v>13.214</v>
      </c>
      <c r="H2469" s="1">
        <v>13.228999999999999</v>
      </c>
      <c r="I2469" s="1">
        <v>13.244</v>
      </c>
      <c r="J2469" s="21">
        <v>2805</v>
      </c>
      <c r="K2469" s="1"/>
      <c r="L2469" s="1"/>
      <c r="M2469" s="1"/>
      <c r="N2469" s="1"/>
      <c r="O2469" s="1"/>
      <c r="P2469" s="365"/>
      <c r="Q2469" s="1"/>
      <c r="R2469" s="1"/>
      <c r="S2469" s="1"/>
      <c r="T2469" s="1"/>
    </row>
    <row r="2470" spans="1:20">
      <c r="A2470" s="1">
        <v>8500</v>
      </c>
      <c r="B2470" s="1">
        <v>12.920999999999999</v>
      </c>
      <c r="C2470" s="1">
        <v>12.936</v>
      </c>
      <c r="D2470" s="1">
        <v>12.943</v>
      </c>
      <c r="E2470" s="1">
        <v>12.95</v>
      </c>
      <c r="F2470" s="1">
        <v>12.958</v>
      </c>
      <c r="G2470" s="1">
        <v>12.965</v>
      </c>
      <c r="H2470" s="1">
        <v>12.98</v>
      </c>
      <c r="I2470" s="1">
        <v>12.994999999999999</v>
      </c>
      <c r="J2470" s="21">
        <v>2755</v>
      </c>
      <c r="K2470" s="1"/>
      <c r="L2470" s="1"/>
      <c r="M2470" s="1"/>
      <c r="N2470" s="1"/>
      <c r="O2470" s="1"/>
      <c r="P2470" s="365"/>
      <c r="Q2470" s="1"/>
      <c r="R2470" s="1"/>
      <c r="S2470" s="1"/>
      <c r="T2470" s="1"/>
    </row>
    <row r="2471" spans="1:20">
      <c r="A2471" s="1">
        <v>8550</v>
      </c>
      <c r="B2471" s="1">
        <v>12.672000000000001</v>
      </c>
      <c r="C2471" s="1">
        <v>12.686999999999999</v>
      </c>
      <c r="D2471" s="1">
        <v>12.695</v>
      </c>
      <c r="E2471" s="1">
        <v>12.702</v>
      </c>
      <c r="F2471" s="1">
        <v>12.709</v>
      </c>
      <c r="G2471" s="1">
        <v>12.717000000000001</v>
      </c>
      <c r="H2471" s="1">
        <v>12.731999999999999</v>
      </c>
      <c r="I2471" s="1">
        <v>12.747</v>
      </c>
      <c r="J2471" s="21">
        <v>2705</v>
      </c>
      <c r="K2471" s="1"/>
      <c r="L2471" s="1"/>
      <c r="M2471" s="1"/>
      <c r="N2471" s="1"/>
      <c r="O2471" s="1"/>
      <c r="P2471" s="365"/>
      <c r="Q2471" s="1"/>
      <c r="R2471" s="1"/>
      <c r="S2471" s="1"/>
      <c r="T2471" s="1"/>
    </row>
    <row r="2472" spans="1:20">
      <c r="A2472" s="1">
        <v>8600</v>
      </c>
      <c r="B2472" s="1">
        <v>12.425000000000001</v>
      </c>
      <c r="C2472" s="1">
        <v>12.439</v>
      </c>
      <c r="D2472" s="1">
        <v>12.446999999999999</v>
      </c>
      <c r="E2472" s="1">
        <v>12.454000000000001</v>
      </c>
      <c r="F2472" s="1">
        <v>12.462</v>
      </c>
      <c r="G2472" s="1">
        <v>12.468999999999999</v>
      </c>
      <c r="H2472" s="1">
        <v>12.484</v>
      </c>
      <c r="I2472" s="1">
        <v>12.499000000000001</v>
      </c>
      <c r="J2472" s="21">
        <v>2655</v>
      </c>
      <c r="K2472" s="1"/>
      <c r="L2472" s="1"/>
      <c r="M2472" s="1"/>
      <c r="N2472" s="1"/>
      <c r="O2472" s="1"/>
      <c r="P2472" s="365"/>
      <c r="Q2472" s="1"/>
      <c r="R2472" s="1"/>
      <c r="S2472" s="1"/>
      <c r="T2472" s="1"/>
    </row>
    <row r="2473" spans="1:20">
      <c r="A2473" s="1">
        <v>8650</v>
      </c>
      <c r="B2473" s="1">
        <v>12.178000000000001</v>
      </c>
      <c r="C2473" s="1">
        <v>12.192</v>
      </c>
      <c r="D2473" s="1">
        <v>12.2</v>
      </c>
      <c r="E2473" s="1">
        <v>12.207000000000001</v>
      </c>
      <c r="F2473" s="1">
        <v>12.214</v>
      </c>
      <c r="G2473" s="1">
        <v>12.222</v>
      </c>
      <c r="H2473" s="1">
        <v>12.237</v>
      </c>
      <c r="I2473" s="1">
        <v>12.250999999999999</v>
      </c>
      <c r="J2473" s="21">
        <v>2605</v>
      </c>
      <c r="K2473" s="1"/>
      <c r="L2473" s="1"/>
      <c r="M2473" s="1"/>
      <c r="N2473" s="1"/>
      <c r="O2473" s="1"/>
      <c r="P2473" s="365"/>
      <c r="Q2473" s="1"/>
      <c r="R2473" s="1"/>
      <c r="S2473" s="1"/>
      <c r="T2473" s="1"/>
    </row>
    <row r="2474" spans="1:20">
      <c r="A2474" s="1">
        <v>8700</v>
      </c>
      <c r="B2474" s="1">
        <v>11.930999999999999</v>
      </c>
      <c r="C2474" s="1">
        <v>11.946</v>
      </c>
      <c r="D2474" s="1">
        <v>11.952999999999999</v>
      </c>
      <c r="E2474" s="1">
        <v>11.961</v>
      </c>
      <c r="F2474" s="1">
        <v>11.968</v>
      </c>
      <c r="G2474" s="1">
        <v>11.975</v>
      </c>
      <c r="H2474" s="1">
        <v>11.99</v>
      </c>
      <c r="I2474" s="1">
        <v>12.005000000000001</v>
      </c>
      <c r="J2474" s="21">
        <v>2555</v>
      </c>
      <c r="K2474" s="1"/>
      <c r="L2474" s="1"/>
      <c r="M2474" s="1"/>
      <c r="N2474" s="1"/>
      <c r="O2474" s="1"/>
      <c r="P2474" s="365"/>
      <c r="Q2474" s="1"/>
      <c r="R2474" s="1"/>
      <c r="S2474" s="1"/>
      <c r="T2474" s="1"/>
    </row>
    <row r="2475" spans="1:20">
      <c r="A2475" s="1">
        <v>8750</v>
      </c>
      <c r="B2475" s="1">
        <v>11.686</v>
      </c>
      <c r="C2475" s="1">
        <v>11.7</v>
      </c>
      <c r="D2475" s="1">
        <v>11.708</v>
      </c>
      <c r="E2475" s="1">
        <v>11.715</v>
      </c>
      <c r="F2475" s="1">
        <v>11.722</v>
      </c>
      <c r="G2475" s="1">
        <v>11.73</v>
      </c>
      <c r="H2475" s="1">
        <v>11.744</v>
      </c>
      <c r="I2475" s="1">
        <v>11.759</v>
      </c>
      <c r="J2475" s="21">
        <v>2505</v>
      </c>
      <c r="K2475" s="1"/>
      <c r="L2475" s="1"/>
      <c r="M2475" s="1"/>
      <c r="N2475" s="1"/>
      <c r="O2475" s="1"/>
      <c r="P2475" s="365"/>
      <c r="Q2475" s="1"/>
      <c r="R2475" s="1"/>
      <c r="S2475" s="1"/>
      <c r="T2475" s="1"/>
    </row>
    <row r="2476" spans="1:20">
      <c r="A2476" s="1">
        <v>8800</v>
      </c>
      <c r="B2476" s="1">
        <v>11.441000000000001</v>
      </c>
      <c r="C2476" s="1">
        <v>11.455</v>
      </c>
      <c r="D2476" s="1">
        <v>11.462999999999999</v>
      </c>
      <c r="E2476" s="1">
        <v>11.47</v>
      </c>
      <c r="F2476" s="1">
        <v>11.477</v>
      </c>
      <c r="G2476" s="1">
        <v>11.484</v>
      </c>
      <c r="H2476" s="1">
        <v>11.499000000000001</v>
      </c>
      <c r="I2476" s="1">
        <v>11.513999999999999</v>
      </c>
      <c r="J2476" s="21">
        <v>2455</v>
      </c>
      <c r="K2476" s="1"/>
      <c r="L2476" s="1"/>
      <c r="M2476" s="1"/>
      <c r="N2476" s="1"/>
      <c r="O2476" s="1"/>
      <c r="P2476" s="365"/>
      <c r="Q2476" s="1"/>
      <c r="R2476" s="1"/>
      <c r="S2476" s="1"/>
      <c r="T2476" s="1"/>
    </row>
    <row r="2477" spans="1:20">
      <c r="A2477" s="1">
        <v>8850</v>
      </c>
      <c r="B2477" s="1">
        <v>11.196</v>
      </c>
      <c r="C2477" s="1">
        <v>11.211</v>
      </c>
      <c r="D2477" s="1">
        <v>11.218</v>
      </c>
      <c r="E2477" s="1">
        <v>11.225</v>
      </c>
      <c r="F2477" s="1">
        <v>11.233000000000001</v>
      </c>
      <c r="G2477" s="1">
        <v>11.24</v>
      </c>
      <c r="H2477" s="1">
        <v>11.255000000000001</v>
      </c>
      <c r="I2477" s="1">
        <v>11.269</v>
      </c>
      <c r="J2477" s="21">
        <v>2405</v>
      </c>
      <c r="K2477" s="1"/>
      <c r="L2477" s="1"/>
      <c r="M2477" s="1"/>
      <c r="N2477" s="1"/>
      <c r="O2477" s="1"/>
      <c r="P2477" s="365"/>
      <c r="Q2477" s="1"/>
      <c r="R2477" s="1"/>
      <c r="S2477" s="1"/>
      <c r="T2477" s="1"/>
    </row>
    <row r="2478" spans="1:20">
      <c r="A2478" s="1">
        <v>8900</v>
      </c>
      <c r="B2478" s="1">
        <v>10.952999999999999</v>
      </c>
      <c r="C2478" s="1">
        <v>10.967000000000001</v>
      </c>
      <c r="D2478" s="1">
        <v>10.974</v>
      </c>
      <c r="E2478" s="1">
        <v>10.981999999999999</v>
      </c>
      <c r="F2478" s="1">
        <v>10.989000000000001</v>
      </c>
      <c r="G2478" s="1">
        <v>10.996</v>
      </c>
      <c r="H2478" s="1">
        <v>11.010999999999999</v>
      </c>
      <c r="I2478" s="1">
        <v>11.025</v>
      </c>
      <c r="J2478" s="21">
        <v>2355</v>
      </c>
      <c r="K2478" s="1"/>
      <c r="L2478" s="1"/>
      <c r="M2478" s="1"/>
      <c r="N2478" s="1"/>
      <c r="O2478" s="1"/>
      <c r="P2478" s="365"/>
      <c r="Q2478" s="1"/>
      <c r="R2478" s="1"/>
      <c r="S2478" s="1"/>
      <c r="T2478" s="1"/>
    </row>
    <row r="2479" spans="1:20">
      <c r="A2479" s="1">
        <v>8950</v>
      </c>
      <c r="B2479" s="1">
        <v>10.71</v>
      </c>
      <c r="C2479" s="1">
        <v>10.724</v>
      </c>
      <c r="D2479" s="1">
        <v>10.731</v>
      </c>
      <c r="E2479" s="1">
        <v>10.739000000000001</v>
      </c>
      <c r="F2479" s="1">
        <v>10.746</v>
      </c>
      <c r="G2479" s="1">
        <v>10.753</v>
      </c>
      <c r="H2479" s="1">
        <v>10.768000000000001</v>
      </c>
      <c r="I2479" s="1">
        <v>10.782</v>
      </c>
      <c r="J2479" s="21">
        <v>2305</v>
      </c>
      <c r="K2479" s="1"/>
      <c r="L2479" s="1"/>
      <c r="M2479" s="1"/>
      <c r="N2479" s="1"/>
      <c r="O2479" s="1"/>
      <c r="P2479" s="365"/>
      <c r="Q2479" s="1"/>
      <c r="R2479" s="1"/>
      <c r="S2479" s="1"/>
      <c r="T2479" s="1"/>
    </row>
    <row r="2480" spans="1:20">
      <c r="A2480" s="1">
        <v>9000</v>
      </c>
      <c r="B2480" s="1">
        <v>10.467000000000001</v>
      </c>
      <c r="C2480" s="1">
        <v>10.481999999999999</v>
      </c>
      <c r="D2480" s="1">
        <v>10.489000000000001</v>
      </c>
      <c r="E2480" s="1">
        <v>10.496</v>
      </c>
      <c r="F2480" s="1">
        <v>10.503</v>
      </c>
      <c r="G2480" s="1">
        <v>10.510999999999999</v>
      </c>
      <c r="H2480" s="1">
        <v>10.525</v>
      </c>
      <c r="I2480" s="1">
        <v>10.54</v>
      </c>
      <c r="J2480" s="21">
        <v>2255</v>
      </c>
      <c r="K2480" s="1"/>
      <c r="L2480" s="1"/>
      <c r="M2480" s="1"/>
      <c r="N2480" s="1"/>
      <c r="O2480" s="1"/>
      <c r="P2480" s="365"/>
      <c r="Q2480" s="1"/>
      <c r="R2480" s="1"/>
      <c r="S2480" s="1"/>
      <c r="T2480" s="1"/>
    </row>
    <row r="2481" spans="1:20">
      <c r="A2481" s="1">
        <v>9050</v>
      </c>
      <c r="B2481" s="1">
        <v>10.226000000000001</v>
      </c>
      <c r="C2481" s="1">
        <v>10.24</v>
      </c>
      <c r="D2481" s="1">
        <v>10.247</v>
      </c>
      <c r="E2481" s="1">
        <v>10.254</v>
      </c>
      <c r="F2481" s="1">
        <v>10.262</v>
      </c>
      <c r="G2481" s="1">
        <v>10.269</v>
      </c>
      <c r="H2481" s="1">
        <v>10.282999999999999</v>
      </c>
      <c r="I2481" s="1">
        <v>10.298</v>
      </c>
      <c r="J2481" s="21">
        <v>2205</v>
      </c>
      <c r="K2481" s="1"/>
      <c r="L2481" s="1"/>
      <c r="M2481" s="1"/>
      <c r="N2481" s="1"/>
      <c r="O2481" s="1"/>
      <c r="P2481" s="365"/>
      <c r="Q2481" s="1"/>
      <c r="R2481" s="1"/>
      <c r="S2481" s="1"/>
      <c r="T2481" s="1"/>
    </row>
    <row r="2482" spans="1:20">
      <c r="A2482" s="1">
        <v>9100</v>
      </c>
      <c r="B2482" s="1">
        <v>9.9849999999999994</v>
      </c>
      <c r="C2482" s="1">
        <v>9.9990000000000006</v>
      </c>
      <c r="D2482" s="1">
        <v>10.006</v>
      </c>
      <c r="E2482" s="1">
        <v>10.013</v>
      </c>
      <c r="F2482" s="1">
        <v>10.021000000000001</v>
      </c>
      <c r="G2482" s="1">
        <v>10.028</v>
      </c>
      <c r="H2482" s="1">
        <v>10.042</v>
      </c>
      <c r="I2482" s="1">
        <v>10.057</v>
      </c>
      <c r="J2482" s="21">
        <v>2155</v>
      </c>
      <c r="K2482" s="1"/>
      <c r="L2482" s="1"/>
      <c r="M2482" s="1"/>
      <c r="N2482" s="1"/>
      <c r="O2482" s="1"/>
      <c r="P2482" s="365"/>
      <c r="Q2482" s="1"/>
      <c r="R2482" s="1"/>
      <c r="S2482" s="1"/>
      <c r="T2482" s="1"/>
    </row>
    <row r="2483" spans="1:20">
      <c r="A2483" s="1">
        <v>9150</v>
      </c>
      <c r="B2483" s="1">
        <v>9.7439999999999998</v>
      </c>
      <c r="C2483" s="1">
        <v>9.7590000000000003</v>
      </c>
      <c r="D2483" s="1">
        <v>9.766</v>
      </c>
      <c r="E2483" s="1">
        <v>9.7729999999999997</v>
      </c>
      <c r="F2483" s="1">
        <v>9.7799999999999994</v>
      </c>
      <c r="G2483" s="1">
        <v>9.7870000000000008</v>
      </c>
      <c r="H2483" s="1">
        <v>9.8019999999999996</v>
      </c>
      <c r="I2483" s="1">
        <v>9.8160000000000007</v>
      </c>
      <c r="J2483" s="21">
        <v>2105</v>
      </c>
      <c r="K2483" s="1"/>
      <c r="L2483" s="1"/>
      <c r="M2483" s="1"/>
      <c r="N2483" s="1"/>
      <c r="O2483" s="1"/>
      <c r="P2483" s="365"/>
      <c r="Q2483" s="1"/>
      <c r="R2483" s="1"/>
      <c r="S2483" s="1"/>
      <c r="T2483" s="1"/>
    </row>
    <row r="2484" spans="1:20" ht="15" customHeight="1">
      <c r="A2484" s="1">
        <v>9200</v>
      </c>
      <c r="B2484" s="1">
        <v>9.5050000000000008</v>
      </c>
      <c r="C2484" s="1">
        <v>9.5190000000000001</v>
      </c>
      <c r="D2484" s="1">
        <v>9.5259999999999998</v>
      </c>
      <c r="E2484" s="1">
        <v>9.5329999999999995</v>
      </c>
      <c r="F2484" s="1">
        <v>9.5399999999999991</v>
      </c>
      <c r="G2484" s="1">
        <v>9.548</v>
      </c>
      <c r="H2484" s="1">
        <v>9.5619999999999994</v>
      </c>
      <c r="I2484" s="1">
        <v>9.5760000000000005</v>
      </c>
      <c r="J2484" s="21">
        <v>2055</v>
      </c>
      <c r="K2484" s="1"/>
      <c r="L2484" s="1"/>
      <c r="M2484" s="1"/>
      <c r="N2484" s="1"/>
      <c r="O2484" s="1"/>
      <c r="P2484" s="365"/>
      <c r="Q2484" s="1"/>
      <c r="R2484" s="1"/>
      <c r="S2484" s="1"/>
      <c r="T2484" s="1"/>
    </row>
    <row r="2485" spans="1:20">
      <c r="A2485" s="1">
        <v>9250</v>
      </c>
      <c r="B2485" s="1">
        <v>9.266</v>
      </c>
      <c r="C2485" s="1">
        <v>9.2799999999999994</v>
      </c>
      <c r="D2485" s="1">
        <v>9.2870000000000008</v>
      </c>
      <c r="E2485" s="1">
        <v>9.2940000000000005</v>
      </c>
      <c r="F2485" s="1">
        <v>9.3010000000000002</v>
      </c>
      <c r="G2485" s="1">
        <v>9.3079999999999998</v>
      </c>
      <c r="H2485" s="1">
        <v>9.3230000000000004</v>
      </c>
      <c r="I2485" s="1">
        <v>9.3369999999999997</v>
      </c>
      <c r="J2485" s="21">
        <v>2005</v>
      </c>
      <c r="K2485" s="1"/>
      <c r="L2485" s="1"/>
      <c r="M2485" s="1"/>
      <c r="N2485" s="1"/>
      <c r="O2485" s="1"/>
      <c r="P2485" s="365"/>
      <c r="Q2485" s="1"/>
      <c r="R2485" s="1"/>
      <c r="S2485" s="1"/>
      <c r="T2485" s="1"/>
    </row>
    <row r="2486" spans="1:20">
      <c r="A2486" s="1">
        <v>9300</v>
      </c>
      <c r="B2486" s="1">
        <v>9.0269999999999992</v>
      </c>
      <c r="C2486" s="1">
        <v>9.0419999999999998</v>
      </c>
      <c r="D2486" s="1">
        <v>9.0489999999999995</v>
      </c>
      <c r="E2486" s="1">
        <v>9.0559999999999992</v>
      </c>
      <c r="F2486" s="1">
        <v>9.0630000000000006</v>
      </c>
      <c r="G2486" s="1">
        <v>9.07</v>
      </c>
      <c r="H2486" s="1">
        <v>9.0839999999999996</v>
      </c>
      <c r="I2486" s="1">
        <v>9.0990000000000002</v>
      </c>
      <c r="J2486" s="21">
        <v>1955</v>
      </c>
      <c r="K2486" s="1"/>
      <c r="L2486" s="1"/>
      <c r="M2486" s="1"/>
      <c r="N2486" s="1"/>
      <c r="O2486" s="1"/>
      <c r="P2486" s="365"/>
      <c r="Q2486" s="1"/>
      <c r="R2486" s="1"/>
      <c r="S2486" s="1"/>
      <c r="T2486" s="1"/>
    </row>
    <row r="2487" spans="1:20">
      <c r="A2487" s="1">
        <v>9350</v>
      </c>
      <c r="B2487" s="1">
        <v>8.7899999999999991</v>
      </c>
      <c r="C2487" s="1">
        <v>8.8040000000000003</v>
      </c>
      <c r="D2487" s="1">
        <v>8.8109999999999999</v>
      </c>
      <c r="E2487" s="1">
        <v>8.8179999999999996</v>
      </c>
      <c r="F2487" s="1">
        <v>8.8249999999999993</v>
      </c>
      <c r="G2487" s="1">
        <v>8.8320000000000007</v>
      </c>
      <c r="H2487" s="1">
        <v>8.8460000000000001</v>
      </c>
      <c r="I2487" s="1">
        <v>8.8610000000000007</v>
      </c>
      <c r="J2487" s="21">
        <v>1905</v>
      </c>
      <c r="K2487" s="1"/>
      <c r="L2487" s="1"/>
      <c r="M2487" s="1"/>
      <c r="N2487" s="1"/>
      <c r="O2487" s="1"/>
      <c r="P2487" s="365"/>
      <c r="Q2487" s="1"/>
      <c r="R2487" s="1"/>
      <c r="S2487" s="1"/>
      <c r="T2487" s="1"/>
    </row>
    <row r="2488" spans="1:20">
      <c r="A2488" s="1">
        <v>9400</v>
      </c>
      <c r="B2488" s="1">
        <v>8.5530000000000008</v>
      </c>
      <c r="C2488" s="1">
        <v>8.5670000000000002</v>
      </c>
      <c r="D2488" s="1">
        <v>8.5739999999999998</v>
      </c>
      <c r="E2488" s="1">
        <v>8.5809999999999995</v>
      </c>
      <c r="F2488" s="1">
        <v>8.5879999999999992</v>
      </c>
      <c r="G2488" s="1">
        <v>8.5950000000000006</v>
      </c>
      <c r="H2488" s="1">
        <v>8.609</v>
      </c>
      <c r="I2488" s="1">
        <v>8.6240000000000006</v>
      </c>
      <c r="J2488" s="21">
        <v>1855</v>
      </c>
      <c r="K2488" s="1"/>
      <c r="L2488" s="1"/>
      <c r="M2488" s="1"/>
      <c r="N2488" s="1"/>
      <c r="O2488" s="1"/>
      <c r="P2488" s="365"/>
      <c r="Q2488" s="1"/>
      <c r="R2488" s="1"/>
      <c r="S2488" s="1"/>
      <c r="T2488" s="1"/>
    </row>
    <row r="2489" spans="1:20">
      <c r="A2489" s="1">
        <v>9450</v>
      </c>
      <c r="B2489" s="1">
        <v>8.3160000000000007</v>
      </c>
      <c r="C2489" s="1">
        <v>8.33</v>
      </c>
      <c r="D2489" s="1">
        <v>8.3379999999999992</v>
      </c>
      <c r="E2489" s="1">
        <v>8.3450000000000006</v>
      </c>
      <c r="F2489" s="1">
        <v>8.3520000000000003</v>
      </c>
      <c r="G2489" s="1">
        <v>8.359</v>
      </c>
      <c r="H2489" s="1">
        <v>8.3729999999999993</v>
      </c>
      <c r="I2489" s="1">
        <v>8.3870000000000005</v>
      </c>
      <c r="J2489" s="21">
        <v>1805</v>
      </c>
      <c r="K2489" s="1"/>
      <c r="L2489" s="1"/>
      <c r="M2489" s="1"/>
      <c r="N2489" s="1"/>
      <c r="O2489" s="1"/>
      <c r="P2489" s="365"/>
      <c r="Q2489" s="1"/>
      <c r="R2489" s="1"/>
      <c r="S2489" s="1"/>
      <c r="T2489" s="1"/>
    </row>
    <row r="2490" spans="1:20">
      <c r="A2490" s="1">
        <v>9500</v>
      </c>
      <c r="B2490" s="1">
        <v>8.0809999999999995</v>
      </c>
      <c r="C2490" s="1">
        <v>8.0950000000000006</v>
      </c>
      <c r="D2490" s="1">
        <v>8.1020000000000003</v>
      </c>
      <c r="E2490" s="1">
        <v>8.109</v>
      </c>
      <c r="F2490" s="1">
        <v>8.1159999999999997</v>
      </c>
      <c r="G2490" s="1">
        <v>8.1229999999999993</v>
      </c>
      <c r="H2490" s="1">
        <v>8.1370000000000005</v>
      </c>
      <c r="I2490" s="1">
        <v>8.1509999999999998</v>
      </c>
      <c r="J2490" s="21">
        <v>1755</v>
      </c>
      <c r="K2490" s="1"/>
      <c r="L2490" s="1"/>
      <c r="M2490" s="1"/>
      <c r="N2490" s="1"/>
      <c r="O2490" s="1"/>
      <c r="P2490" s="365"/>
      <c r="Q2490" s="1"/>
      <c r="R2490" s="1"/>
      <c r="S2490" s="1"/>
      <c r="T2490" s="1"/>
    </row>
    <row r="2491" spans="1:20">
      <c r="A2491" s="1">
        <v>9550</v>
      </c>
      <c r="B2491" s="1">
        <v>7.8460000000000001</v>
      </c>
      <c r="C2491" s="1">
        <v>7.86</v>
      </c>
      <c r="D2491" s="1">
        <v>7.867</v>
      </c>
      <c r="E2491" s="1">
        <v>7.8739999999999997</v>
      </c>
      <c r="F2491" s="1">
        <v>7.8810000000000002</v>
      </c>
      <c r="G2491" s="1">
        <v>7.8879999999999999</v>
      </c>
      <c r="H2491" s="1">
        <v>7.9020000000000001</v>
      </c>
      <c r="I2491" s="1">
        <v>7.9160000000000004</v>
      </c>
      <c r="J2491" s="21">
        <v>1705</v>
      </c>
      <c r="K2491" s="1"/>
      <c r="L2491" s="1"/>
      <c r="M2491" s="1"/>
      <c r="N2491" s="1"/>
      <c r="O2491" s="1"/>
      <c r="P2491" s="365"/>
      <c r="Q2491" s="1"/>
      <c r="R2491" s="1"/>
      <c r="S2491" s="1"/>
      <c r="T2491" s="1"/>
    </row>
    <row r="2492" spans="1:20">
      <c r="A2492" s="1">
        <v>9600</v>
      </c>
      <c r="B2492" s="1">
        <v>7.6109999999999998</v>
      </c>
      <c r="C2492" s="1">
        <v>7.625</v>
      </c>
      <c r="D2492" s="1">
        <v>7.6319999999999997</v>
      </c>
      <c r="E2492" s="1">
        <v>7.6390000000000002</v>
      </c>
      <c r="F2492" s="1">
        <v>7.6459999999999999</v>
      </c>
      <c r="G2492" s="1">
        <v>7.6539999999999999</v>
      </c>
      <c r="H2492" s="1">
        <v>7.6680000000000001</v>
      </c>
      <c r="I2492" s="1">
        <v>7.6820000000000004</v>
      </c>
      <c r="J2492" s="21">
        <v>1655</v>
      </c>
      <c r="K2492" s="1"/>
      <c r="L2492" s="1"/>
      <c r="M2492" s="1"/>
      <c r="N2492" s="1"/>
      <c r="O2492" s="1"/>
      <c r="P2492" s="365"/>
      <c r="Q2492" s="1"/>
      <c r="R2492" s="1"/>
      <c r="S2492" s="1"/>
      <c r="T2492" s="1"/>
    </row>
    <row r="2493" spans="1:20">
      <c r="A2493" s="1">
        <v>9650</v>
      </c>
      <c r="B2493" s="1">
        <v>7.3780000000000001</v>
      </c>
      <c r="C2493" s="1">
        <v>7.3920000000000003</v>
      </c>
      <c r="D2493" s="1">
        <v>7.399</v>
      </c>
      <c r="E2493" s="1">
        <v>7.4059999999999997</v>
      </c>
      <c r="F2493" s="1">
        <v>7.4130000000000003</v>
      </c>
      <c r="G2493" s="1">
        <v>7.42</v>
      </c>
      <c r="H2493" s="1">
        <v>7.4340000000000002</v>
      </c>
      <c r="I2493" s="1">
        <v>7.4480000000000004</v>
      </c>
      <c r="J2493" s="21">
        <v>1605</v>
      </c>
      <c r="K2493" s="1"/>
      <c r="L2493" s="1"/>
      <c r="M2493" s="1"/>
      <c r="N2493" s="1"/>
      <c r="O2493" s="1"/>
      <c r="P2493" s="365"/>
      <c r="Q2493" s="1"/>
      <c r="R2493" s="1"/>
      <c r="S2493" s="1"/>
      <c r="T2493" s="1"/>
    </row>
    <row r="2494" spans="1:20">
      <c r="A2494" s="1">
        <v>9700</v>
      </c>
      <c r="B2494" s="1">
        <v>7.1449999999999996</v>
      </c>
      <c r="C2494" s="1">
        <v>7.1589999999999998</v>
      </c>
      <c r="D2494" s="1">
        <v>7.1660000000000004</v>
      </c>
      <c r="E2494" s="1">
        <v>7.173</v>
      </c>
      <c r="F2494" s="1">
        <v>7.18</v>
      </c>
      <c r="G2494" s="1">
        <v>7.1870000000000003</v>
      </c>
      <c r="H2494" s="1">
        <v>7.2009999999999996</v>
      </c>
      <c r="I2494" s="1">
        <v>7.2149999999999999</v>
      </c>
      <c r="J2494" s="21">
        <v>1555</v>
      </c>
      <c r="K2494" s="1"/>
      <c r="L2494" s="1"/>
      <c r="M2494" s="1"/>
      <c r="N2494" s="1"/>
      <c r="O2494" s="1"/>
      <c r="P2494" s="365"/>
      <c r="Q2494" s="1"/>
      <c r="R2494" s="1"/>
      <c r="S2494" s="1"/>
      <c r="T2494" s="1"/>
    </row>
    <row r="2495" spans="1:20">
      <c r="A2495" s="1">
        <v>9750</v>
      </c>
      <c r="B2495" s="1">
        <v>6.9130000000000003</v>
      </c>
      <c r="C2495" s="1">
        <v>6.9260000000000002</v>
      </c>
      <c r="D2495" s="1">
        <v>6.9329999999999998</v>
      </c>
      <c r="E2495" s="1">
        <v>6.94</v>
      </c>
      <c r="F2495" s="1">
        <v>6.9470000000000001</v>
      </c>
      <c r="G2495" s="1">
        <v>6.9539999999999997</v>
      </c>
      <c r="H2495" s="1">
        <v>6.968</v>
      </c>
      <c r="I2495" s="1">
        <v>6.9820000000000002</v>
      </c>
      <c r="J2495" s="21">
        <v>1505</v>
      </c>
      <c r="K2495" s="1"/>
      <c r="L2495" s="1"/>
      <c r="M2495" s="1"/>
      <c r="N2495" s="1"/>
      <c r="O2495" s="1"/>
      <c r="P2495" s="365"/>
      <c r="Q2495" s="1"/>
      <c r="R2495" s="1"/>
      <c r="S2495" s="1"/>
      <c r="T2495" s="1"/>
    </row>
    <row r="2496" spans="1:20">
      <c r="A2496" s="1">
        <v>9800</v>
      </c>
      <c r="B2496" s="1">
        <v>6.681</v>
      </c>
      <c r="C2496" s="1">
        <v>6.6950000000000003</v>
      </c>
      <c r="D2496" s="1">
        <v>6.702</v>
      </c>
      <c r="E2496" s="1">
        <v>6.7089999999999996</v>
      </c>
      <c r="F2496" s="1">
        <v>6.7160000000000002</v>
      </c>
      <c r="G2496" s="1">
        <v>6.7229999999999999</v>
      </c>
      <c r="H2496" s="1">
        <v>6.7359999999999998</v>
      </c>
      <c r="I2496" s="1">
        <v>6.75</v>
      </c>
      <c r="J2496" s="21">
        <v>1455</v>
      </c>
      <c r="K2496" s="1"/>
      <c r="L2496" s="1"/>
      <c r="M2496" s="1"/>
      <c r="N2496" s="1"/>
      <c r="O2496" s="1"/>
      <c r="P2496" s="365"/>
      <c r="Q2496" s="1"/>
      <c r="R2496" s="1"/>
      <c r="S2496" s="1"/>
      <c r="T2496" s="1"/>
    </row>
    <row r="2497" spans="1:20">
      <c r="A2497" s="1">
        <v>9850</v>
      </c>
      <c r="B2497" s="1">
        <v>6.45</v>
      </c>
      <c r="C2497" s="1">
        <v>6.4640000000000004</v>
      </c>
      <c r="D2497" s="1">
        <v>6.4710000000000001</v>
      </c>
      <c r="E2497" s="1">
        <v>6.4779999999999998</v>
      </c>
      <c r="F2497" s="1">
        <v>6.4850000000000003</v>
      </c>
      <c r="G2497" s="1">
        <v>6.4909999999999997</v>
      </c>
      <c r="H2497" s="1">
        <v>6.5049999999999999</v>
      </c>
      <c r="I2497" s="1">
        <v>6.5190000000000001</v>
      </c>
      <c r="J2497" s="21">
        <v>1405</v>
      </c>
      <c r="K2497" s="1"/>
      <c r="L2497" s="1"/>
      <c r="M2497" s="1"/>
      <c r="N2497" s="1"/>
      <c r="O2497" s="1"/>
      <c r="P2497" s="365"/>
      <c r="Q2497" s="1"/>
      <c r="R2497" s="1"/>
      <c r="S2497" s="1"/>
      <c r="T2497" s="1"/>
    </row>
    <row r="2498" spans="1:20">
      <c r="A2498" s="1">
        <v>9900</v>
      </c>
      <c r="B2498" s="1">
        <v>6.22</v>
      </c>
      <c r="C2498" s="1">
        <v>6.234</v>
      </c>
      <c r="D2498" s="1">
        <v>6.24</v>
      </c>
      <c r="E2498" s="1">
        <v>6.2469999999999999</v>
      </c>
      <c r="F2498" s="1">
        <v>6.2539999999999996</v>
      </c>
      <c r="G2498" s="1">
        <v>6.2610000000000001</v>
      </c>
      <c r="H2498" s="1">
        <v>6.2750000000000004</v>
      </c>
      <c r="I2498" s="1">
        <v>6.2889999999999997</v>
      </c>
      <c r="J2498" s="21">
        <v>1355</v>
      </c>
      <c r="K2498" s="1"/>
      <c r="L2498" s="1"/>
      <c r="M2498" s="1"/>
      <c r="N2498" s="1"/>
      <c r="O2498" s="1"/>
      <c r="P2498" s="365"/>
      <c r="Q2498" s="1"/>
      <c r="R2498" s="1"/>
      <c r="S2498" s="1"/>
      <c r="T2498" s="1"/>
    </row>
    <row r="2499" spans="1:20">
      <c r="A2499" s="1">
        <v>9950</v>
      </c>
      <c r="B2499" s="1">
        <v>5.99</v>
      </c>
      <c r="C2499" s="1">
        <v>6.0039999999999996</v>
      </c>
      <c r="D2499" s="1">
        <v>6.0110000000000001</v>
      </c>
      <c r="E2499" s="1">
        <v>6.0179999999999998</v>
      </c>
      <c r="F2499" s="1">
        <v>6.0250000000000004</v>
      </c>
      <c r="G2499" s="1">
        <v>6.0309999999999997</v>
      </c>
      <c r="H2499" s="1">
        <v>6.0449999999999999</v>
      </c>
      <c r="I2499" s="1">
        <v>6.0590000000000002</v>
      </c>
      <c r="J2499" s="21">
        <v>1305</v>
      </c>
      <c r="K2499" s="1"/>
      <c r="L2499" s="1"/>
      <c r="M2499" s="1"/>
      <c r="N2499" s="1"/>
      <c r="O2499" s="1"/>
      <c r="P2499" s="365"/>
      <c r="Q2499" s="1"/>
      <c r="R2499" s="1"/>
      <c r="S2499" s="1"/>
      <c r="T2499" s="1"/>
    </row>
    <row r="2500" spans="1:20">
      <c r="A2500" s="1">
        <v>10000</v>
      </c>
      <c r="B2500" s="1">
        <v>5.7610000000000001</v>
      </c>
      <c r="C2500" s="1">
        <v>5.7750000000000004</v>
      </c>
      <c r="D2500" s="1">
        <v>5.782</v>
      </c>
      <c r="E2500" s="1">
        <v>5.7889999999999997</v>
      </c>
      <c r="F2500" s="1">
        <v>5.7949999999999999</v>
      </c>
      <c r="G2500" s="1">
        <v>5.8019999999999996</v>
      </c>
      <c r="H2500" s="1">
        <v>5.8159999999999998</v>
      </c>
      <c r="I2500" s="1">
        <v>5.83</v>
      </c>
      <c r="J2500" s="21">
        <v>1255</v>
      </c>
      <c r="K2500" s="1"/>
      <c r="L2500" s="1"/>
      <c r="M2500" s="1"/>
      <c r="N2500" s="1"/>
      <c r="O2500" s="1"/>
      <c r="P2500" s="365"/>
      <c r="Q2500" s="1"/>
      <c r="R2500" s="1"/>
      <c r="S2500" s="1"/>
      <c r="T2500" s="1"/>
    </row>
    <row r="2501" spans="1:20">
      <c r="A2501" s="1">
        <v>10050</v>
      </c>
      <c r="B2501" s="1">
        <v>5.5330000000000004</v>
      </c>
      <c r="C2501" s="1">
        <v>5.5469999999999997</v>
      </c>
      <c r="D2501" s="1">
        <v>5.5529999999999999</v>
      </c>
      <c r="E2501" s="1">
        <v>5.56</v>
      </c>
      <c r="F2501" s="1">
        <v>5.5670000000000002</v>
      </c>
      <c r="G2501" s="1">
        <v>5.5739999999999998</v>
      </c>
      <c r="H2501" s="1">
        <v>5.5880000000000001</v>
      </c>
      <c r="I2501" s="1">
        <v>5.601</v>
      </c>
      <c r="J2501" s="21">
        <v>1205</v>
      </c>
      <c r="K2501" s="1"/>
      <c r="L2501" s="1"/>
      <c r="M2501" s="1"/>
      <c r="N2501" s="1"/>
      <c r="O2501" s="1"/>
      <c r="P2501" s="365"/>
      <c r="Q2501" s="1"/>
      <c r="R2501" s="1"/>
      <c r="S2501" s="1"/>
      <c r="T2501" s="1"/>
    </row>
    <row r="2502" spans="1:20">
      <c r="A2502" s="1">
        <v>10100</v>
      </c>
      <c r="B2502" s="1">
        <v>5.3049999999999997</v>
      </c>
      <c r="C2502" s="1">
        <v>5.319</v>
      </c>
      <c r="D2502" s="1">
        <v>5.3259999999999996</v>
      </c>
      <c r="E2502" s="1">
        <v>5.3330000000000002</v>
      </c>
      <c r="F2502" s="1">
        <v>5.3390000000000004</v>
      </c>
      <c r="G2502" s="1">
        <v>5.3460000000000001</v>
      </c>
      <c r="H2502" s="1">
        <v>5.36</v>
      </c>
      <c r="I2502" s="1">
        <v>5.3730000000000002</v>
      </c>
      <c r="J2502" s="21">
        <v>1155</v>
      </c>
      <c r="K2502" s="1"/>
      <c r="L2502" s="1"/>
      <c r="M2502" s="1"/>
      <c r="N2502" s="1"/>
      <c r="O2502" s="1"/>
      <c r="P2502" s="365"/>
      <c r="Q2502" s="1"/>
      <c r="R2502" s="1"/>
      <c r="S2502" s="1"/>
      <c r="T2502" s="1"/>
    </row>
    <row r="2503" spans="1:20">
      <c r="A2503" s="1">
        <v>10150</v>
      </c>
      <c r="B2503" s="1">
        <v>5.0780000000000003</v>
      </c>
      <c r="C2503" s="1">
        <v>5.0919999999999996</v>
      </c>
      <c r="D2503" s="1">
        <v>5.0990000000000002</v>
      </c>
      <c r="E2503" s="1">
        <v>5.1059999999999999</v>
      </c>
      <c r="F2503" s="1">
        <v>5.1120000000000001</v>
      </c>
      <c r="G2503" s="1">
        <v>5.1189999999999998</v>
      </c>
      <c r="H2503" s="1">
        <v>5.133</v>
      </c>
      <c r="I2503" s="1">
        <v>5.1459999999999999</v>
      </c>
      <c r="J2503" s="21">
        <v>1105</v>
      </c>
      <c r="K2503" s="1"/>
      <c r="L2503" s="1"/>
      <c r="M2503" s="1"/>
      <c r="N2503" s="1"/>
      <c r="O2503" s="1"/>
      <c r="P2503" s="365"/>
      <c r="Q2503" s="1"/>
      <c r="R2503" s="1"/>
      <c r="S2503" s="1"/>
      <c r="T2503" s="1"/>
    </row>
    <row r="2504" spans="1:20">
      <c r="A2504" s="1">
        <v>10200</v>
      </c>
      <c r="B2504" s="1">
        <v>4.8520000000000003</v>
      </c>
      <c r="C2504" s="1">
        <v>4.8659999999999997</v>
      </c>
      <c r="D2504" s="1">
        <v>4.8730000000000002</v>
      </c>
      <c r="E2504" s="1">
        <v>4.8789999999999996</v>
      </c>
      <c r="F2504" s="1">
        <v>4.8860000000000001</v>
      </c>
      <c r="G2504" s="1">
        <v>4.8929999999999998</v>
      </c>
      <c r="H2504" s="1">
        <v>4.9059999999999997</v>
      </c>
      <c r="I2504" s="1">
        <v>4.92</v>
      </c>
      <c r="J2504" s="21">
        <v>1055</v>
      </c>
      <c r="K2504" s="1"/>
      <c r="L2504" s="1"/>
      <c r="M2504" s="1"/>
      <c r="N2504" s="1"/>
      <c r="O2504" s="1"/>
      <c r="P2504" s="365"/>
      <c r="Q2504" s="1"/>
      <c r="R2504" s="1"/>
      <c r="S2504" s="1"/>
      <c r="T2504" s="1"/>
    </row>
    <row r="2505" spans="1:20">
      <c r="A2505" s="1">
        <v>10250</v>
      </c>
      <c r="B2505" s="1">
        <v>4.6269999999999998</v>
      </c>
      <c r="C2505" s="1">
        <v>4.6399999999999997</v>
      </c>
      <c r="D2505" s="1">
        <v>4.6470000000000002</v>
      </c>
      <c r="E2505" s="1">
        <v>4.6539999999999999</v>
      </c>
      <c r="F2505" s="1">
        <v>4.66</v>
      </c>
      <c r="G2505" s="1">
        <v>4.6669999999999998</v>
      </c>
      <c r="H2505" s="1">
        <v>4.681</v>
      </c>
      <c r="I2505" s="1">
        <v>4.694</v>
      </c>
      <c r="J2505" s="21">
        <v>1005</v>
      </c>
      <c r="K2505" s="1"/>
      <c r="L2505" s="1"/>
      <c r="M2505" s="1"/>
      <c r="N2505" s="1"/>
      <c r="O2505" s="1"/>
      <c r="P2505" s="365"/>
      <c r="Q2505" s="1"/>
      <c r="R2505" s="1"/>
      <c r="S2505" s="1"/>
      <c r="T2505" s="1"/>
    </row>
    <row r="2506" spans="1:20">
      <c r="A2506" s="1">
        <v>10300</v>
      </c>
      <c r="B2506" s="1">
        <v>4.4020000000000001</v>
      </c>
      <c r="C2506" s="1">
        <v>4.415</v>
      </c>
      <c r="D2506" s="1">
        <v>4.4219999999999997</v>
      </c>
      <c r="E2506" s="1">
        <v>4.4290000000000003</v>
      </c>
      <c r="F2506" s="1">
        <v>4.4349999999999996</v>
      </c>
      <c r="G2506" s="1">
        <v>4.4420000000000002</v>
      </c>
      <c r="H2506" s="1">
        <v>4.4560000000000004</v>
      </c>
      <c r="I2506" s="1">
        <v>4.4690000000000003</v>
      </c>
      <c r="J2506" s="21">
        <v>955</v>
      </c>
      <c r="K2506" s="1"/>
      <c r="L2506" s="1"/>
      <c r="M2506" s="1"/>
      <c r="N2506" s="1"/>
      <c r="O2506" s="1"/>
      <c r="P2506" s="365"/>
      <c r="Q2506" s="1"/>
      <c r="R2506" s="1"/>
      <c r="S2506" s="1"/>
      <c r="T2506" s="1"/>
    </row>
    <row r="2507" spans="1:20">
      <c r="A2507" s="1">
        <v>10350</v>
      </c>
      <c r="B2507" s="1">
        <v>4.1769999999999996</v>
      </c>
      <c r="C2507" s="1">
        <v>4.1909999999999998</v>
      </c>
      <c r="D2507" s="1">
        <v>4.1980000000000004</v>
      </c>
      <c r="E2507" s="1">
        <v>4.2039999999999997</v>
      </c>
      <c r="F2507" s="1">
        <v>4.2110000000000003</v>
      </c>
      <c r="G2507" s="1">
        <v>4.218</v>
      </c>
      <c r="H2507" s="1">
        <v>4.2309999999999999</v>
      </c>
      <c r="I2507" s="1">
        <v>4.2450000000000001</v>
      </c>
      <c r="J2507" s="21">
        <v>905</v>
      </c>
      <c r="K2507" s="1"/>
      <c r="L2507" s="1"/>
      <c r="M2507" s="1"/>
      <c r="N2507" s="1"/>
      <c r="O2507" s="1"/>
      <c r="P2507" s="365"/>
      <c r="Q2507" s="1"/>
      <c r="R2507" s="1"/>
      <c r="S2507" s="1"/>
      <c r="T2507" s="1"/>
    </row>
    <row r="2508" spans="1:20">
      <c r="A2508" s="1">
        <v>10400</v>
      </c>
      <c r="B2508" s="1">
        <v>3.9540000000000002</v>
      </c>
      <c r="C2508" s="1">
        <v>3.9670000000000001</v>
      </c>
      <c r="D2508" s="1">
        <v>3.9740000000000002</v>
      </c>
      <c r="E2508" s="1">
        <v>3.9809999999999999</v>
      </c>
      <c r="F2508" s="1">
        <v>3.9870000000000001</v>
      </c>
      <c r="G2508" s="1">
        <v>3.9940000000000002</v>
      </c>
      <c r="H2508" s="1">
        <v>4.0069999999999997</v>
      </c>
      <c r="I2508" s="1">
        <v>4.0209999999999999</v>
      </c>
      <c r="J2508" s="21">
        <v>855</v>
      </c>
      <c r="K2508" s="1"/>
      <c r="L2508" s="1"/>
      <c r="M2508" s="1"/>
      <c r="N2508" s="1"/>
      <c r="O2508" s="1"/>
      <c r="P2508" s="365"/>
      <c r="Q2508" s="1"/>
      <c r="R2508" s="1"/>
      <c r="S2508" s="1"/>
      <c r="T2508" s="1"/>
    </row>
    <row r="2509" spans="1:20">
      <c r="A2509" s="1">
        <v>10450</v>
      </c>
      <c r="B2509" s="1">
        <v>3.7309999999999999</v>
      </c>
      <c r="C2509" s="1">
        <v>3.7440000000000002</v>
      </c>
      <c r="D2509" s="1">
        <v>3.7509999999999999</v>
      </c>
      <c r="E2509" s="1">
        <v>3.758</v>
      </c>
      <c r="F2509" s="1">
        <v>3.7639999999999998</v>
      </c>
      <c r="G2509" s="1">
        <v>3.7709999999999999</v>
      </c>
      <c r="H2509" s="1">
        <v>3.7839999999999998</v>
      </c>
      <c r="I2509" s="1">
        <v>3.798</v>
      </c>
      <c r="J2509" s="21">
        <v>805</v>
      </c>
      <c r="K2509" s="1"/>
      <c r="L2509" s="1"/>
      <c r="M2509" s="1"/>
      <c r="N2509" s="1"/>
      <c r="O2509" s="1"/>
      <c r="P2509" s="365"/>
      <c r="Q2509" s="1"/>
      <c r="R2509" s="1"/>
      <c r="S2509" s="1"/>
      <c r="T2509" s="1"/>
    </row>
    <row r="2510" spans="1:20">
      <c r="A2510" s="1">
        <v>10500</v>
      </c>
      <c r="B2510" s="1">
        <v>3.5089999999999999</v>
      </c>
      <c r="C2510" s="1">
        <v>3.5219999999999998</v>
      </c>
      <c r="D2510" s="1">
        <v>3.5289999999999999</v>
      </c>
      <c r="E2510" s="1">
        <v>3.5350000000000001</v>
      </c>
      <c r="F2510" s="1">
        <v>3.5419999999999998</v>
      </c>
      <c r="G2510" s="1">
        <v>3.5489999999999999</v>
      </c>
      <c r="H2510" s="1">
        <v>3.5619999999999998</v>
      </c>
      <c r="I2510" s="1">
        <v>3.5750000000000002</v>
      </c>
      <c r="J2510" s="21">
        <v>755</v>
      </c>
      <c r="K2510" s="1"/>
      <c r="L2510" s="1"/>
      <c r="M2510" s="1"/>
      <c r="N2510" s="1"/>
      <c r="O2510" s="1"/>
      <c r="P2510" s="365"/>
      <c r="Q2510" s="1"/>
      <c r="R2510" s="1"/>
      <c r="S2510" s="1"/>
      <c r="T2510" s="1"/>
    </row>
    <row r="2511" spans="1:20">
      <c r="A2511" s="1">
        <v>10550</v>
      </c>
      <c r="B2511" s="1">
        <v>3.2869999999999999</v>
      </c>
      <c r="C2511" s="1">
        <v>3.3</v>
      </c>
      <c r="D2511" s="1">
        <v>3.3069999999999999</v>
      </c>
      <c r="E2511" s="1">
        <v>3.3140000000000001</v>
      </c>
      <c r="F2511" s="1">
        <v>3.32</v>
      </c>
      <c r="G2511" s="1">
        <v>3.327</v>
      </c>
      <c r="H2511" s="1">
        <v>3.34</v>
      </c>
      <c r="I2511" s="1">
        <v>3.3530000000000002</v>
      </c>
      <c r="J2511" s="21">
        <v>705</v>
      </c>
      <c r="K2511" s="1"/>
      <c r="L2511" s="1"/>
      <c r="M2511" s="1"/>
      <c r="N2511" s="1"/>
      <c r="O2511" s="1"/>
      <c r="P2511" s="365"/>
      <c r="Q2511" s="1"/>
      <c r="R2511" s="1"/>
      <c r="S2511" s="1"/>
      <c r="T2511" s="1"/>
    </row>
    <row r="2512" spans="1:20">
      <c r="A2512" s="1">
        <v>10600</v>
      </c>
      <c r="B2512" s="1">
        <v>3.0659999999999998</v>
      </c>
      <c r="C2512" s="1">
        <v>3.08</v>
      </c>
      <c r="D2512" s="1">
        <v>3.0859999999999999</v>
      </c>
      <c r="E2512" s="1">
        <v>3.093</v>
      </c>
      <c r="F2512" s="1">
        <v>3.0990000000000002</v>
      </c>
      <c r="G2512" s="1">
        <v>3.1059999999999999</v>
      </c>
      <c r="H2512" s="1">
        <v>3.1190000000000002</v>
      </c>
      <c r="I2512" s="1">
        <v>3.1320000000000001</v>
      </c>
      <c r="J2512" s="21">
        <v>655</v>
      </c>
      <c r="K2512" s="1"/>
      <c r="L2512" s="1"/>
      <c r="M2512" s="1"/>
      <c r="N2512" s="1"/>
      <c r="O2512" s="1"/>
      <c r="P2512" s="365"/>
      <c r="Q2512" s="1"/>
      <c r="R2512" s="1"/>
      <c r="S2512" s="1"/>
      <c r="T2512" s="1"/>
    </row>
    <row r="2513" spans="1:20">
      <c r="A2513" s="1">
        <v>10650</v>
      </c>
      <c r="B2513" s="1">
        <v>2.8460000000000001</v>
      </c>
      <c r="C2513" s="1">
        <v>2.859</v>
      </c>
      <c r="D2513" s="1">
        <v>2.8660000000000001</v>
      </c>
      <c r="E2513" s="1">
        <v>2.8719999999999999</v>
      </c>
      <c r="F2513" s="1">
        <v>2.879</v>
      </c>
      <c r="G2513" s="1">
        <v>2.8860000000000001</v>
      </c>
      <c r="H2513" s="1">
        <v>2.899</v>
      </c>
      <c r="I2513" s="1">
        <v>2.9119999999999999</v>
      </c>
      <c r="J2513" s="21">
        <v>605</v>
      </c>
      <c r="K2513" s="1"/>
      <c r="L2513" s="1"/>
      <c r="M2513" s="1"/>
      <c r="N2513" s="1"/>
      <c r="O2513" s="1"/>
      <c r="P2513" s="365"/>
      <c r="Q2513" s="1"/>
      <c r="R2513" s="1"/>
      <c r="S2513" s="1"/>
      <c r="T2513" s="1"/>
    </row>
    <row r="2514" spans="1:20">
      <c r="A2514" s="1">
        <v>10700</v>
      </c>
      <c r="B2514" s="1">
        <v>2.6269999999999998</v>
      </c>
      <c r="C2514" s="1">
        <v>2.64</v>
      </c>
      <c r="D2514" s="1">
        <v>2.6459999999999999</v>
      </c>
      <c r="E2514" s="1">
        <v>2.653</v>
      </c>
      <c r="F2514" s="1">
        <v>2.6589999999999998</v>
      </c>
      <c r="G2514" s="1">
        <v>2.6659999999999999</v>
      </c>
      <c r="H2514" s="1">
        <v>2.6789999999999998</v>
      </c>
      <c r="I2514" s="1">
        <v>2.6920000000000002</v>
      </c>
      <c r="J2514" s="21">
        <v>555</v>
      </c>
      <c r="K2514" s="1"/>
      <c r="L2514" s="1"/>
      <c r="M2514" s="1"/>
      <c r="N2514" s="1"/>
      <c r="O2514" s="1"/>
      <c r="P2514" s="365"/>
      <c r="Q2514" s="1"/>
      <c r="R2514" s="1"/>
      <c r="S2514" s="1"/>
      <c r="T2514" s="1"/>
    </row>
    <row r="2515" spans="1:20">
      <c r="A2515" s="1">
        <v>10750</v>
      </c>
      <c r="B2515" s="1">
        <v>2.4079999999999999</v>
      </c>
      <c r="C2515" s="1">
        <v>2.4209999999999998</v>
      </c>
      <c r="D2515" s="1">
        <v>2.427</v>
      </c>
      <c r="E2515" s="1">
        <v>2.4340000000000002</v>
      </c>
      <c r="F2515" s="1">
        <v>2.44</v>
      </c>
      <c r="G2515" s="1">
        <v>2.4470000000000001</v>
      </c>
      <c r="H2515" s="1">
        <v>2.46</v>
      </c>
      <c r="I2515" s="1">
        <v>2.4729999999999999</v>
      </c>
      <c r="J2515" s="21">
        <v>505</v>
      </c>
      <c r="K2515" s="1"/>
      <c r="L2515" s="1"/>
      <c r="M2515" s="1"/>
      <c r="N2515" s="1"/>
      <c r="O2515" s="1"/>
      <c r="P2515" s="365"/>
      <c r="Q2515" s="1"/>
      <c r="R2515" s="1"/>
      <c r="S2515" s="1"/>
      <c r="T2515" s="1"/>
    </row>
    <row r="2516" spans="1:20">
      <c r="A2516" s="1">
        <v>10800</v>
      </c>
      <c r="B2516" s="1">
        <v>2.1890000000000001</v>
      </c>
      <c r="C2516" s="1">
        <v>2.2029999999999998</v>
      </c>
      <c r="D2516" s="1">
        <v>2.2090000000000001</v>
      </c>
      <c r="E2516" s="1">
        <v>2.2160000000000002</v>
      </c>
      <c r="F2516" s="1">
        <v>2.222</v>
      </c>
      <c r="G2516" s="1">
        <v>2.2290000000000001</v>
      </c>
      <c r="H2516" s="1">
        <v>2.242</v>
      </c>
      <c r="I2516" s="1">
        <v>2.2549999999999999</v>
      </c>
      <c r="J2516" s="21">
        <v>455</v>
      </c>
      <c r="K2516" s="1"/>
      <c r="L2516" s="1"/>
      <c r="M2516" s="1"/>
      <c r="N2516" s="1"/>
      <c r="O2516" s="1"/>
      <c r="P2516" s="365"/>
      <c r="Q2516" s="1"/>
      <c r="R2516" s="1"/>
      <c r="S2516" s="1"/>
      <c r="T2516" s="1"/>
    </row>
    <row r="2517" spans="1:20">
      <c r="A2517" s="1">
        <v>10850</v>
      </c>
      <c r="B2517" s="1">
        <v>1.972</v>
      </c>
      <c r="C2517" s="1">
        <v>1.9850000000000001</v>
      </c>
      <c r="D2517" s="1">
        <v>1.9910000000000001</v>
      </c>
      <c r="E2517" s="1">
        <v>1.998</v>
      </c>
      <c r="F2517" s="1">
        <v>2.004</v>
      </c>
      <c r="G2517" s="1">
        <v>2.0110000000000001</v>
      </c>
      <c r="H2517" s="1">
        <v>2.024</v>
      </c>
      <c r="I2517" s="1">
        <v>2.0369999999999999</v>
      </c>
      <c r="J2517" s="21">
        <v>405</v>
      </c>
      <c r="K2517" s="1"/>
      <c r="L2517" s="1"/>
      <c r="M2517" s="1"/>
      <c r="N2517" s="1"/>
      <c r="O2517" s="1"/>
      <c r="P2517" s="365"/>
      <c r="Q2517" s="1"/>
      <c r="R2517" s="1"/>
      <c r="S2517" s="1"/>
      <c r="T2517" s="1"/>
    </row>
    <row r="2518" spans="1:20">
      <c r="A2518" s="1">
        <v>10900</v>
      </c>
      <c r="B2518" s="1">
        <v>1.7549999999999999</v>
      </c>
      <c r="C2518" s="1">
        <v>1.768</v>
      </c>
      <c r="D2518" s="1">
        <v>1.774</v>
      </c>
      <c r="E2518" s="1">
        <v>1.7809999999999999</v>
      </c>
      <c r="F2518" s="1">
        <v>1.7869999999999999</v>
      </c>
      <c r="G2518" s="1">
        <v>1.794</v>
      </c>
      <c r="H2518" s="1">
        <v>1.8069999999999999</v>
      </c>
      <c r="I2518" s="1">
        <v>1.82</v>
      </c>
      <c r="J2518" s="21">
        <v>355</v>
      </c>
      <c r="K2518" s="1"/>
      <c r="L2518" s="1"/>
      <c r="M2518" s="1"/>
      <c r="N2518" s="1"/>
      <c r="O2518" s="1"/>
      <c r="P2518" s="365"/>
      <c r="Q2518" s="1"/>
      <c r="R2518" s="1"/>
      <c r="S2518" s="1"/>
      <c r="T2518" s="1"/>
    </row>
    <row r="2519" spans="1:20">
      <c r="A2519" s="1">
        <v>10950</v>
      </c>
      <c r="B2519" s="1">
        <v>1.5389999999999999</v>
      </c>
      <c r="C2519" s="1">
        <v>1.552</v>
      </c>
      <c r="D2519" s="1">
        <v>1.5580000000000001</v>
      </c>
      <c r="E2519" s="1">
        <v>1.5649999999999999</v>
      </c>
      <c r="F2519" s="1">
        <v>1.571</v>
      </c>
      <c r="G2519" s="1">
        <v>1.5780000000000001</v>
      </c>
      <c r="H2519" s="1">
        <v>1.591</v>
      </c>
      <c r="I2519" s="1">
        <v>1.6040000000000001</v>
      </c>
      <c r="J2519" s="21">
        <v>305</v>
      </c>
      <c r="K2519" s="1"/>
      <c r="L2519" s="1"/>
      <c r="M2519" s="1"/>
      <c r="N2519" s="1"/>
      <c r="O2519" s="1"/>
      <c r="P2519" s="365"/>
      <c r="Q2519" s="1"/>
      <c r="R2519" s="1"/>
      <c r="S2519" s="1"/>
      <c r="T2519" s="1"/>
    </row>
    <row r="2520" spans="1:20">
      <c r="A2520" s="1">
        <v>11000</v>
      </c>
      <c r="B2520" s="1">
        <v>1.323</v>
      </c>
      <c r="C2520" s="1">
        <v>1.3360000000000001</v>
      </c>
      <c r="D2520" s="1">
        <v>1.343</v>
      </c>
      <c r="E2520" s="1">
        <v>1.349</v>
      </c>
      <c r="F2520" s="1">
        <v>1.3560000000000001</v>
      </c>
      <c r="G2520" s="1">
        <v>1.3620000000000001</v>
      </c>
      <c r="H2520" s="1">
        <v>1.375</v>
      </c>
      <c r="I2520" s="1">
        <v>1.3879999999999999</v>
      </c>
      <c r="J2520" s="21">
        <v>255</v>
      </c>
      <c r="K2520" s="1"/>
      <c r="L2520" s="1"/>
      <c r="M2520" s="1"/>
      <c r="N2520" s="1"/>
      <c r="O2520" s="1"/>
      <c r="P2520" s="365"/>
      <c r="Q2520" s="1"/>
      <c r="R2520" s="1"/>
      <c r="S2520" s="1"/>
      <c r="T2520" s="1"/>
    </row>
    <row r="2521" spans="1:20">
      <c r="A2521" s="1">
        <v>11050</v>
      </c>
      <c r="B2521" s="1">
        <v>1.1080000000000001</v>
      </c>
      <c r="C2521" s="1">
        <v>1.121</v>
      </c>
      <c r="D2521" s="1">
        <v>1.1279999999999999</v>
      </c>
      <c r="E2521" s="1">
        <v>1.1339999999999999</v>
      </c>
      <c r="F2521" s="1">
        <v>1.141</v>
      </c>
      <c r="G2521" s="1">
        <v>1.147</v>
      </c>
      <c r="H2521" s="1">
        <v>1.1599999999999999</v>
      </c>
      <c r="I2521" s="1">
        <v>1.173</v>
      </c>
      <c r="J2521" s="21">
        <v>205</v>
      </c>
      <c r="K2521" s="1"/>
      <c r="L2521" s="1"/>
      <c r="M2521" s="1"/>
      <c r="N2521" s="1"/>
      <c r="O2521" s="1"/>
      <c r="P2521" s="365"/>
      <c r="Q2521" s="1"/>
      <c r="R2521" s="1"/>
      <c r="S2521" s="1"/>
      <c r="T2521" s="1"/>
    </row>
    <row r="2522" spans="1:20">
      <c r="A2522" s="1">
        <v>11100</v>
      </c>
      <c r="B2522" s="1">
        <v>0.89400000000000002</v>
      </c>
      <c r="C2522" s="1">
        <v>0.90700000000000003</v>
      </c>
      <c r="D2522" s="1">
        <v>0.91300000000000003</v>
      </c>
      <c r="E2522" s="1">
        <v>0.92</v>
      </c>
      <c r="F2522" s="1">
        <v>0.92600000000000005</v>
      </c>
      <c r="G2522" s="1">
        <v>0.93300000000000005</v>
      </c>
      <c r="H2522" s="1">
        <v>0.94599999999999995</v>
      </c>
      <c r="I2522" s="1">
        <v>0.95799999999999996</v>
      </c>
      <c r="J2522" s="21">
        <v>155</v>
      </c>
      <c r="K2522" s="1"/>
      <c r="L2522" s="1"/>
      <c r="M2522" s="1"/>
      <c r="N2522" s="1"/>
      <c r="O2522" s="1"/>
      <c r="P2522" s="365"/>
      <c r="Q2522" s="1"/>
      <c r="R2522" s="1"/>
      <c r="S2522" s="1"/>
      <c r="T2522" s="1"/>
    </row>
    <row r="2523" spans="1:20">
      <c r="A2523" s="1">
        <v>11150</v>
      </c>
      <c r="B2523" s="1">
        <v>0.68100000000000005</v>
      </c>
      <c r="C2523" s="1">
        <v>0.69399999999999995</v>
      </c>
      <c r="D2523" s="1">
        <v>0.7</v>
      </c>
      <c r="E2523" s="1">
        <v>0.70599999999999996</v>
      </c>
      <c r="F2523" s="1">
        <v>0.71299999999999997</v>
      </c>
      <c r="G2523" s="1">
        <v>0.71899999999999997</v>
      </c>
      <c r="H2523" s="1">
        <v>0.73199999999999998</v>
      </c>
      <c r="I2523" s="1">
        <v>0.745</v>
      </c>
      <c r="J2523" s="21">
        <v>105</v>
      </c>
      <c r="K2523" s="1"/>
      <c r="L2523" s="1"/>
      <c r="M2523" s="1"/>
      <c r="N2523" s="1"/>
      <c r="O2523" s="1"/>
      <c r="P2523" s="365"/>
      <c r="Q2523" s="1"/>
      <c r="R2523" s="1"/>
      <c r="S2523" s="1"/>
      <c r="T2523" s="1"/>
    </row>
    <row r="2524" spans="1:20">
      <c r="A2524" s="1">
        <v>11200</v>
      </c>
      <c r="B2524" s="1">
        <v>0.46800000000000003</v>
      </c>
      <c r="C2524" s="1">
        <v>0.48099999999999998</v>
      </c>
      <c r="D2524" s="1">
        <v>0.48699999999999999</v>
      </c>
      <c r="E2524" s="1">
        <v>0.49299999999999999</v>
      </c>
      <c r="F2524" s="1">
        <v>0.5</v>
      </c>
      <c r="G2524" s="1">
        <v>0.50600000000000001</v>
      </c>
      <c r="H2524" s="1">
        <v>0.51900000000000002</v>
      </c>
      <c r="I2524" s="1">
        <v>0.53200000000000003</v>
      </c>
      <c r="J2524" s="21">
        <v>55</v>
      </c>
      <c r="K2524" s="1"/>
      <c r="L2524" s="1"/>
      <c r="M2524" s="1"/>
      <c r="N2524" s="1"/>
      <c r="O2524" s="1"/>
      <c r="P2524" s="365"/>
      <c r="Q2524" s="1"/>
      <c r="R2524" s="1"/>
      <c r="S2524" s="1"/>
      <c r="T2524" s="1"/>
    </row>
    <row r="2525" spans="1:20">
      <c r="A2525" s="1">
        <v>11250</v>
      </c>
      <c r="B2525" s="1">
        <v>0.25600000000000001</v>
      </c>
      <c r="C2525" s="1">
        <v>0.26800000000000002</v>
      </c>
      <c r="D2525" s="1">
        <v>0.27500000000000002</v>
      </c>
      <c r="E2525" s="1">
        <v>0.28100000000000003</v>
      </c>
      <c r="F2525" s="1">
        <v>0.28699999999999998</v>
      </c>
      <c r="G2525" s="1">
        <v>0.29399999999999998</v>
      </c>
      <c r="H2525" s="1">
        <v>0.30599999999999999</v>
      </c>
      <c r="I2525" s="1">
        <v>0.31900000000000001</v>
      </c>
      <c r="J2525" s="21">
        <v>5</v>
      </c>
      <c r="K2525" s="1"/>
      <c r="L2525" s="1"/>
      <c r="M2525" s="1"/>
      <c r="N2525" s="1"/>
      <c r="O2525" s="1"/>
      <c r="P2525" s="365"/>
      <c r="Q2525" s="1"/>
      <c r="R2525" s="1"/>
      <c r="S2525" s="1"/>
      <c r="T2525" s="1"/>
    </row>
    <row r="2526" spans="1:20">
      <c r="A2526" s="1">
        <v>11255</v>
      </c>
      <c r="B2526" s="1">
        <v>0.23300000000000001</v>
      </c>
      <c r="C2526" s="1">
        <v>0.245</v>
      </c>
      <c r="D2526" s="1">
        <v>0.252</v>
      </c>
      <c r="E2526" s="1">
        <v>0.25800000000000001</v>
      </c>
      <c r="F2526" s="1">
        <v>0.26400000000000001</v>
      </c>
      <c r="G2526" s="1">
        <v>0.27100000000000002</v>
      </c>
      <c r="H2526" s="1">
        <v>0.28299999999999997</v>
      </c>
      <c r="I2526" s="1">
        <v>0.29599999999999999</v>
      </c>
      <c r="J2526" s="21">
        <v>0</v>
      </c>
      <c r="K2526" s="1"/>
      <c r="L2526" s="1"/>
      <c r="M2526" s="1"/>
      <c r="N2526" s="1"/>
      <c r="O2526" s="1"/>
      <c r="P2526" s="365"/>
      <c r="Q2526" s="1"/>
      <c r="R2526" s="1"/>
      <c r="S2526" s="1"/>
      <c r="T2526" s="1"/>
    </row>
    <row r="2527" spans="1:20" hidden="1">
      <c r="B2527" s="19"/>
      <c r="C2527" s="19"/>
      <c r="D2527" s="19"/>
      <c r="E2527" s="19"/>
      <c r="F2527" s="19"/>
      <c r="G2527" s="19"/>
      <c r="H2527" s="19"/>
      <c r="I2527" s="19"/>
      <c r="J2527" s="19"/>
      <c r="K2527" s="421"/>
      <c r="L2527" s="23"/>
      <c r="M2527" s="19"/>
      <c r="N2527" s="19"/>
      <c r="O2527" s="19"/>
      <c r="P2527" s="19"/>
      <c r="Q2527" s="19"/>
    </row>
    <row r="2528" spans="1:20" hidden="1">
      <c r="B2528" s="19"/>
      <c r="C2528" s="19"/>
      <c r="D2528" s="19"/>
      <c r="E2528" s="19"/>
      <c r="F2528" s="19"/>
      <c r="G2528" s="19"/>
      <c r="H2528" s="19"/>
      <c r="I2528" s="19"/>
      <c r="J2528" s="19"/>
      <c r="K2528" s="421"/>
      <c r="L2528" s="23"/>
      <c r="M2528" s="19"/>
      <c r="N2528" s="19"/>
      <c r="O2528" s="19"/>
      <c r="P2528" s="19"/>
      <c r="Q2528" s="19"/>
    </row>
    <row r="2529" spans="2:17" hidden="1">
      <c r="B2529" s="19"/>
      <c r="C2529" s="19"/>
      <c r="D2529" s="19"/>
      <c r="E2529" s="19"/>
      <c r="F2529" s="19"/>
      <c r="G2529" s="19"/>
      <c r="H2529" s="19"/>
      <c r="I2529" s="19"/>
      <c r="J2529" s="19"/>
      <c r="K2529" s="421"/>
      <c r="L2529" s="23"/>
      <c r="M2529" s="19"/>
      <c r="N2529" s="19"/>
      <c r="O2529" s="19"/>
      <c r="P2529" s="19"/>
      <c r="Q2529" s="19"/>
    </row>
    <row r="2530" spans="2:17" hidden="1">
      <c r="B2530" s="19"/>
      <c r="C2530" s="19"/>
      <c r="D2530" s="19"/>
      <c r="E2530" s="19"/>
      <c r="F2530" s="19"/>
      <c r="G2530" s="19"/>
      <c r="H2530" s="19"/>
      <c r="I2530" s="19"/>
      <c r="J2530" s="19"/>
      <c r="K2530" s="421"/>
      <c r="L2530" s="23"/>
      <c r="M2530" s="19"/>
      <c r="N2530" s="19"/>
      <c r="O2530" s="19"/>
      <c r="P2530" s="19"/>
      <c r="Q2530" s="19"/>
    </row>
    <row r="2531" spans="2:17" hidden="1">
      <c r="B2531" s="19"/>
      <c r="C2531" s="19"/>
      <c r="D2531" s="19"/>
      <c r="E2531" s="19"/>
      <c r="F2531" s="19"/>
      <c r="G2531" s="19"/>
      <c r="H2531" s="19"/>
      <c r="I2531" s="19"/>
      <c r="J2531" s="19"/>
      <c r="K2531" s="421"/>
      <c r="L2531" s="23"/>
      <c r="M2531" s="19"/>
      <c r="N2531" s="19"/>
      <c r="O2531" s="19"/>
      <c r="P2531" s="19"/>
      <c r="Q2531" s="19"/>
    </row>
    <row r="2532" spans="2:17" hidden="1">
      <c r="B2532" s="19"/>
      <c r="C2532" s="19"/>
      <c r="D2532" s="19"/>
      <c r="E2532" s="19"/>
      <c r="F2532" s="19"/>
      <c r="G2532" s="19"/>
      <c r="H2532" s="19"/>
      <c r="I2532" s="19"/>
      <c r="J2532" s="19"/>
      <c r="K2532" s="421"/>
      <c r="L2532" s="23"/>
      <c r="M2532" s="19"/>
      <c r="N2532" s="19"/>
      <c r="O2532" s="19"/>
      <c r="P2532" s="19"/>
      <c r="Q2532" s="19"/>
    </row>
    <row r="2533" spans="2:17" hidden="1">
      <c r="B2533" s="19"/>
      <c r="C2533" s="19"/>
      <c r="D2533" s="19"/>
      <c r="E2533" s="19"/>
      <c r="F2533" s="19"/>
      <c r="G2533" s="19"/>
      <c r="H2533" s="19"/>
      <c r="I2533" s="19"/>
      <c r="J2533" s="19"/>
      <c r="K2533" s="421"/>
      <c r="L2533" s="23"/>
      <c r="M2533" s="19"/>
      <c r="N2533" s="19"/>
      <c r="O2533" s="19"/>
      <c r="P2533" s="19"/>
      <c r="Q2533" s="19"/>
    </row>
    <row r="2534" spans="2:17" hidden="1">
      <c r="B2534" s="19"/>
      <c r="C2534" s="19"/>
      <c r="D2534" s="19"/>
      <c r="E2534" s="19"/>
      <c r="F2534" s="19"/>
      <c r="G2534" s="19"/>
      <c r="H2534" s="19"/>
      <c r="I2534" s="19"/>
      <c r="J2534" s="19"/>
      <c r="K2534" s="421"/>
      <c r="L2534" s="23"/>
      <c r="M2534" s="19"/>
      <c r="N2534" s="19"/>
      <c r="O2534" s="19"/>
      <c r="P2534" s="19"/>
      <c r="Q2534" s="19"/>
    </row>
    <row r="2535" spans="2:17" hidden="1">
      <c r="B2535" s="19"/>
      <c r="C2535" s="19"/>
      <c r="D2535" s="19"/>
      <c r="E2535" s="19"/>
      <c r="F2535" s="19"/>
      <c r="G2535" s="19"/>
      <c r="H2535" s="19"/>
      <c r="I2535" s="19"/>
      <c r="J2535" s="19"/>
      <c r="K2535" s="421"/>
      <c r="L2535" s="23"/>
      <c r="M2535" s="19"/>
      <c r="N2535" s="19"/>
      <c r="O2535" s="19"/>
      <c r="P2535" s="19"/>
      <c r="Q2535" s="19"/>
    </row>
    <row r="2536" spans="2:17" hidden="1">
      <c r="B2536" s="19"/>
      <c r="C2536" s="19"/>
      <c r="D2536" s="19"/>
      <c r="E2536" s="19"/>
      <c r="F2536" s="19"/>
      <c r="G2536" s="19"/>
      <c r="H2536" s="19"/>
      <c r="I2536" s="19"/>
      <c r="J2536" s="19"/>
      <c r="K2536" s="421"/>
      <c r="L2536" s="23"/>
      <c r="M2536" s="19"/>
      <c r="N2536" s="19"/>
      <c r="O2536" s="19"/>
      <c r="P2536" s="19"/>
      <c r="Q2536" s="19"/>
    </row>
    <row r="2537" spans="2:17" hidden="1">
      <c r="B2537" s="19"/>
      <c r="C2537" s="19"/>
      <c r="D2537" s="19"/>
      <c r="E2537" s="19"/>
      <c r="F2537" s="19"/>
      <c r="G2537" s="19"/>
      <c r="H2537" s="19"/>
      <c r="I2537" s="19"/>
      <c r="J2537" s="19"/>
      <c r="K2537" s="421"/>
      <c r="L2537" s="23"/>
      <c r="M2537" s="19"/>
      <c r="N2537" s="19"/>
      <c r="O2537" s="19"/>
      <c r="P2537" s="19"/>
      <c r="Q2537" s="19"/>
    </row>
    <row r="2538" spans="2:17" hidden="1">
      <c r="B2538" s="19"/>
      <c r="C2538" s="19"/>
      <c r="D2538" s="19"/>
      <c r="E2538" s="19"/>
      <c r="F2538" s="19"/>
      <c r="G2538" s="19"/>
      <c r="H2538" s="19"/>
      <c r="I2538" s="19"/>
      <c r="J2538" s="19"/>
      <c r="K2538" s="421"/>
      <c r="L2538" s="23"/>
      <c r="M2538" s="19"/>
      <c r="N2538" s="19"/>
      <c r="O2538" s="19"/>
      <c r="P2538" s="19"/>
      <c r="Q2538" s="19"/>
    </row>
    <row r="2539" spans="2:17" hidden="1">
      <c r="B2539" s="19"/>
      <c r="C2539" s="19"/>
      <c r="D2539" s="19"/>
      <c r="E2539" s="19"/>
      <c r="F2539" s="19"/>
      <c r="G2539" s="19"/>
      <c r="H2539" s="19"/>
      <c r="I2539" s="19"/>
      <c r="J2539" s="19"/>
      <c r="K2539" s="421"/>
      <c r="L2539" s="23"/>
      <c r="M2539" s="19"/>
      <c r="N2539" s="19"/>
      <c r="O2539" s="19"/>
      <c r="P2539" s="19"/>
      <c r="Q2539" s="19"/>
    </row>
    <row r="2540" spans="2:17" hidden="1">
      <c r="B2540" s="19"/>
      <c r="C2540" s="19"/>
      <c r="D2540" s="19"/>
      <c r="E2540" s="19"/>
      <c r="F2540" s="19"/>
      <c r="G2540" s="19"/>
      <c r="H2540" s="19"/>
      <c r="I2540" s="19"/>
      <c r="J2540" s="19"/>
      <c r="K2540" s="421"/>
      <c r="L2540" s="23"/>
      <c r="M2540" s="19"/>
      <c r="N2540" s="19"/>
      <c r="O2540" s="19"/>
      <c r="P2540" s="19"/>
      <c r="Q2540" s="19"/>
    </row>
    <row r="2541" spans="2:17" hidden="1">
      <c r="B2541" s="19"/>
      <c r="C2541" s="19"/>
      <c r="D2541" s="19"/>
      <c r="E2541" s="19"/>
      <c r="F2541" s="19"/>
      <c r="G2541" s="19"/>
      <c r="H2541" s="19"/>
      <c r="I2541" s="19"/>
      <c r="J2541" s="19"/>
      <c r="K2541" s="421"/>
      <c r="L2541" s="23"/>
      <c r="M2541" s="19"/>
      <c r="N2541" s="19"/>
      <c r="O2541" s="19"/>
      <c r="P2541" s="19"/>
      <c r="Q2541" s="19"/>
    </row>
    <row r="2542" spans="2:17" hidden="1">
      <c r="B2542" s="19"/>
      <c r="C2542" s="19"/>
      <c r="D2542" s="19"/>
      <c r="E2542" s="19"/>
      <c r="F2542" s="19"/>
      <c r="G2542" s="19"/>
      <c r="H2542" s="19"/>
      <c r="I2542" s="19"/>
      <c r="J2542" s="19"/>
      <c r="K2542" s="421"/>
      <c r="L2542" s="23"/>
      <c r="M2542" s="19"/>
      <c r="N2542" s="19"/>
      <c r="O2542" s="19"/>
      <c r="P2542" s="19"/>
      <c r="Q2542" s="19"/>
    </row>
    <row r="2543" spans="2:17" hidden="1">
      <c r="B2543" s="19"/>
      <c r="C2543" s="19"/>
      <c r="D2543" s="19"/>
      <c r="E2543" s="19"/>
      <c r="F2543" s="19"/>
      <c r="G2543" s="19"/>
      <c r="H2543" s="19"/>
      <c r="I2543" s="19"/>
      <c r="J2543" s="19"/>
      <c r="K2543" s="421"/>
      <c r="L2543" s="23"/>
      <c r="M2543" s="19"/>
      <c r="N2543" s="19"/>
      <c r="O2543" s="19"/>
      <c r="P2543" s="19"/>
      <c r="Q2543" s="19"/>
    </row>
    <row r="2544" spans="2:17" hidden="1">
      <c r="B2544" s="19"/>
      <c r="C2544" s="19"/>
      <c r="D2544" s="19"/>
      <c r="E2544" s="19"/>
      <c r="F2544" s="19"/>
      <c r="G2544" s="19"/>
      <c r="H2544" s="19"/>
      <c r="I2544" s="19"/>
      <c r="J2544" s="19"/>
      <c r="K2544" s="421"/>
      <c r="L2544" s="23"/>
      <c r="M2544" s="19"/>
      <c r="N2544" s="19"/>
      <c r="O2544" s="19"/>
      <c r="P2544" s="19"/>
      <c r="Q2544" s="19"/>
    </row>
    <row r="2545" spans="2:17" hidden="1">
      <c r="B2545" s="19"/>
      <c r="C2545" s="19"/>
      <c r="D2545" s="19"/>
      <c r="E2545" s="19"/>
      <c r="F2545" s="19"/>
      <c r="G2545" s="19"/>
      <c r="H2545" s="19"/>
      <c r="I2545" s="19"/>
      <c r="J2545" s="19"/>
      <c r="K2545" s="421"/>
      <c r="L2545" s="23"/>
      <c r="M2545" s="19"/>
      <c r="N2545" s="19"/>
      <c r="O2545" s="19"/>
      <c r="P2545" s="19"/>
      <c r="Q2545" s="19"/>
    </row>
    <row r="2546" spans="2:17" hidden="1">
      <c r="B2546" s="19"/>
      <c r="C2546" s="19"/>
      <c r="D2546" s="19"/>
      <c r="E2546" s="19"/>
      <c r="F2546" s="19"/>
      <c r="G2546" s="19"/>
      <c r="H2546" s="19"/>
      <c r="I2546" s="19"/>
      <c r="J2546" s="19"/>
      <c r="K2546" s="421"/>
      <c r="L2546" s="23"/>
      <c r="M2546" s="19"/>
      <c r="N2546" s="19"/>
      <c r="O2546" s="19"/>
      <c r="P2546" s="19"/>
      <c r="Q2546" s="19"/>
    </row>
    <row r="2547" spans="2:17" hidden="1">
      <c r="B2547" s="19"/>
      <c r="C2547" s="19"/>
      <c r="D2547" s="19"/>
      <c r="E2547" s="19"/>
      <c r="F2547" s="19"/>
      <c r="G2547" s="19"/>
      <c r="H2547" s="19"/>
      <c r="I2547" s="19"/>
      <c r="J2547" s="19"/>
      <c r="K2547" s="421"/>
      <c r="L2547" s="23"/>
      <c r="M2547" s="19"/>
      <c r="N2547" s="19"/>
      <c r="O2547" s="19"/>
      <c r="P2547" s="19"/>
      <c r="Q2547" s="19"/>
    </row>
    <row r="2548" spans="2:17" hidden="1">
      <c r="B2548" s="19"/>
      <c r="C2548" s="19"/>
      <c r="D2548" s="19"/>
      <c r="E2548" s="19"/>
      <c r="F2548" s="19"/>
      <c r="G2548" s="19"/>
      <c r="H2548" s="19"/>
      <c r="I2548" s="19"/>
      <c r="J2548" s="19"/>
      <c r="K2548" s="421"/>
      <c r="L2548" s="23"/>
      <c r="M2548" s="19"/>
      <c r="N2548" s="19"/>
      <c r="O2548" s="19"/>
      <c r="P2548" s="19"/>
      <c r="Q2548" s="19"/>
    </row>
    <row r="2549" spans="2:17" hidden="1">
      <c r="B2549" s="19"/>
      <c r="C2549" s="19"/>
      <c r="D2549" s="19"/>
      <c r="E2549" s="19"/>
      <c r="F2549" s="19"/>
      <c r="G2549" s="19"/>
      <c r="H2549" s="19"/>
      <c r="I2549" s="19"/>
      <c r="J2549" s="19"/>
      <c r="K2549" s="421"/>
      <c r="L2549" s="23"/>
      <c r="M2549" s="19"/>
      <c r="N2549" s="19"/>
      <c r="O2549" s="19"/>
      <c r="P2549" s="19"/>
      <c r="Q2549" s="19"/>
    </row>
    <row r="2550" spans="2:17" hidden="1">
      <c r="B2550" s="19"/>
      <c r="C2550" s="19"/>
      <c r="D2550" s="19"/>
      <c r="E2550" s="19"/>
      <c r="F2550" s="19"/>
      <c r="G2550" s="19"/>
      <c r="H2550" s="19"/>
      <c r="I2550" s="19"/>
      <c r="J2550" s="19"/>
      <c r="K2550" s="421"/>
      <c r="L2550" s="23"/>
      <c r="M2550" s="19"/>
      <c r="N2550" s="19"/>
      <c r="O2550" s="19"/>
      <c r="P2550" s="19"/>
      <c r="Q2550" s="19"/>
    </row>
    <row r="2551" spans="2:17" hidden="1">
      <c r="B2551" s="19"/>
      <c r="C2551" s="19"/>
      <c r="D2551" s="19"/>
      <c r="E2551" s="19"/>
      <c r="F2551" s="19"/>
      <c r="G2551" s="19"/>
      <c r="H2551" s="19"/>
      <c r="I2551" s="19"/>
      <c r="J2551" s="19"/>
      <c r="K2551" s="421"/>
      <c r="L2551" s="23"/>
      <c r="M2551" s="19"/>
      <c r="N2551" s="19"/>
      <c r="O2551" s="19"/>
      <c r="P2551" s="19"/>
      <c r="Q2551" s="19"/>
    </row>
    <row r="2552" spans="2:17" hidden="1">
      <c r="B2552" s="19"/>
      <c r="C2552" s="19"/>
      <c r="D2552" s="19"/>
      <c r="E2552" s="19"/>
      <c r="F2552" s="19"/>
      <c r="G2552" s="19"/>
      <c r="H2552" s="19"/>
      <c r="I2552" s="19"/>
      <c r="J2552" s="19"/>
      <c r="K2552" s="421"/>
      <c r="L2552" s="23"/>
      <c r="M2552" s="19"/>
      <c r="N2552" s="19"/>
      <c r="O2552" s="19"/>
      <c r="P2552" s="19"/>
      <c r="Q2552" s="19"/>
    </row>
    <row r="2553" spans="2:17" hidden="1">
      <c r="B2553" s="19"/>
      <c r="C2553" s="19"/>
      <c r="D2553" s="19"/>
      <c r="E2553" s="19"/>
      <c r="F2553" s="19"/>
      <c r="G2553" s="19"/>
      <c r="H2553" s="19"/>
      <c r="I2553" s="19"/>
      <c r="J2553" s="19"/>
      <c r="K2553" s="421"/>
      <c r="L2553" s="23"/>
      <c r="M2553" s="19"/>
      <c r="N2553" s="19"/>
      <c r="O2553" s="19"/>
      <c r="P2553" s="19"/>
      <c r="Q2553" s="19"/>
    </row>
    <row r="2554" spans="2:17" hidden="1">
      <c r="B2554" s="19"/>
      <c r="C2554" s="19"/>
      <c r="D2554" s="19"/>
      <c r="E2554" s="19"/>
      <c r="F2554" s="19"/>
      <c r="G2554" s="19"/>
      <c r="H2554" s="19"/>
      <c r="I2554" s="19"/>
      <c r="J2554" s="19"/>
      <c r="K2554" s="421"/>
      <c r="L2554" s="23"/>
      <c r="M2554" s="19"/>
      <c r="N2554" s="19"/>
      <c r="O2554" s="19"/>
      <c r="P2554" s="19"/>
      <c r="Q2554" s="19"/>
    </row>
    <row r="2555" spans="2:17" hidden="1">
      <c r="B2555" s="19"/>
      <c r="C2555" s="19"/>
      <c r="D2555" s="19"/>
      <c r="E2555" s="19"/>
      <c r="F2555" s="19"/>
      <c r="G2555" s="19"/>
      <c r="H2555" s="19"/>
      <c r="I2555" s="19"/>
      <c r="J2555" s="19"/>
      <c r="K2555" s="421"/>
      <c r="L2555" s="23"/>
      <c r="M2555" s="19"/>
      <c r="N2555" s="19"/>
      <c r="O2555" s="19"/>
      <c r="P2555" s="19"/>
      <c r="Q2555" s="19"/>
    </row>
    <row r="2556" spans="2:17" hidden="1">
      <c r="B2556" s="19"/>
      <c r="C2556" s="19"/>
      <c r="D2556" s="19"/>
      <c r="E2556" s="19"/>
      <c r="F2556" s="19"/>
      <c r="G2556" s="19"/>
      <c r="H2556" s="19"/>
      <c r="I2556" s="19"/>
      <c r="J2556" s="19"/>
      <c r="K2556" s="421"/>
      <c r="L2556" s="23"/>
      <c r="M2556" s="19"/>
      <c r="N2556" s="19"/>
      <c r="O2556" s="19"/>
      <c r="P2556" s="19"/>
      <c r="Q2556" s="19"/>
    </row>
    <row r="2557" spans="2:17" hidden="1">
      <c r="B2557" s="19"/>
      <c r="C2557" s="19"/>
      <c r="D2557" s="19"/>
      <c r="E2557" s="19"/>
      <c r="F2557" s="19"/>
      <c r="G2557" s="19"/>
      <c r="H2557" s="19"/>
      <c r="I2557" s="19"/>
      <c r="J2557" s="19"/>
      <c r="K2557" s="421"/>
      <c r="L2557" s="23"/>
      <c r="M2557" s="19"/>
      <c r="N2557" s="19"/>
      <c r="O2557" s="19"/>
      <c r="P2557" s="19"/>
      <c r="Q2557" s="19"/>
    </row>
    <row r="2558" spans="2:17" hidden="1">
      <c r="B2558" s="19"/>
      <c r="C2558" s="19"/>
      <c r="D2558" s="19"/>
      <c r="E2558" s="19"/>
      <c r="F2558" s="19"/>
      <c r="G2558" s="19"/>
      <c r="H2558" s="19"/>
      <c r="I2558" s="19"/>
      <c r="J2558" s="19"/>
      <c r="K2558" s="421"/>
      <c r="L2558" s="23"/>
      <c r="M2558" s="19"/>
      <c r="N2558" s="19"/>
      <c r="O2558" s="19"/>
      <c r="P2558" s="19"/>
      <c r="Q2558" s="19"/>
    </row>
    <row r="2559" spans="2:17" hidden="1">
      <c r="B2559" s="19"/>
      <c r="C2559" s="19"/>
      <c r="D2559" s="19"/>
      <c r="E2559" s="19"/>
      <c r="F2559" s="19"/>
      <c r="G2559" s="19"/>
      <c r="H2559" s="19"/>
      <c r="I2559" s="19"/>
      <c r="J2559" s="19"/>
      <c r="K2559" s="421"/>
      <c r="L2559" s="23"/>
      <c r="M2559" s="19"/>
      <c r="N2559" s="19"/>
      <c r="O2559" s="19"/>
      <c r="P2559" s="19"/>
      <c r="Q2559" s="19"/>
    </row>
    <row r="2560" spans="2:17" hidden="1">
      <c r="B2560" s="19"/>
      <c r="C2560" s="19"/>
      <c r="D2560" s="19"/>
      <c r="E2560" s="19"/>
      <c r="F2560" s="19"/>
      <c r="G2560" s="19"/>
      <c r="H2560" s="19"/>
      <c r="I2560" s="19"/>
      <c r="J2560" s="19"/>
      <c r="K2560" s="421"/>
      <c r="L2560" s="23"/>
      <c r="M2560" s="19"/>
      <c r="N2560" s="19"/>
      <c r="O2560" s="19"/>
      <c r="P2560" s="19"/>
      <c r="Q2560" s="19"/>
    </row>
    <row r="2561" spans="1:28" hidden="1">
      <c r="B2561" s="19"/>
      <c r="C2561" s="19"/>
      <c r="D2561" s="19"/>
      <c r="E2561" s="19"/>
      <c r="F2561" s="19"/>
      <c r="G2561" s="19"/>
      <c r="H2561" s="19"/>
      <c r="I2561" s="19"/>
      <c r="J2561" s="19"/>
      <c r="K2561" s="421"/>
      <c r="L2561" s="23"/>
      <c r="M2561" s="19"/>
      <c r="N2561" s="19"/>
      <c r="O2561" s="19"/>
      <c r="P2561" s="19"/>
      <c r="Q2561" s="19"/>
    </row>
    <row r="2562" spans="1:28" hidden="1"/>
    <row r="2563" spans="1:28" hidden="1"/>
    <row r="2564" spans="1:28" hidden="1"/>
    <row r="2565" spans="1:28" ht="18.75">
      <c r="A2565" s="410" t="s">
        <v>441</v>
      </c>
      <c r="B2565" s="410"/>
      <c r="C2565" s="410"/>
      <c r="D2565" s="410"/>
      <c r="E2565" s="410"/>
      <c r="F2565" s="410"/>
      <c r="G2565" s="410"/>
      <c r="H2565" s="410"/>
      <c r="I2565" s="410"/>
      <c r="J2565" s="410"/>
      <c r="K2565" s="410"/>
      <c r="L2565" s="410"/>
      <c r="M2565" s="410"/>
      <c r="N2565" s="410"/>
      <c r="O2565" s="410"/>
      <c r="P2565" s="410"/>
      <c r="Q2565" s="410"/>
      <c r="V2565" s="914"/>
      <c r="W2565" s="914"/>
      <c r="X2565" s="38"/>
    </row>
    <row r="2566" spans="1:28">
      <c r="B2566" s="21">
        <f>COUNT(B2569:B2765)</f>
        <v>197</v>
      </c>
      <c r="C2566" s="21">
        <f t="shared" ref="C2566:I2566" si="36">COUNT(C2569:C2765)</f>
        <v>197</v>
      </c>
      <c r="D2566" s="21">
        <f t="shared" si="36"/>
        <v>197</v>
      </c>
      <c r="E2566" s="21">
        <f t="shared" si="36"/>
        <v>197</v>
      </c>
      <c r="F2566" s="21">
        <f t="shared" si="36"/>
        <v>197</v>
      </c>
      <c r="G2566" s="21">
        <f t="shared" si="36"/>
        <v>197</v>
      </c>
      <c r="H2566" s="21">
        <f t="shared" si="36"/>
        <v>197</v>
      </c>
      <c r="I2566" s="21">
        <f t="shared" si="36"/>
        <v>197</v>
      </c>
      <c r="L2566" s="21">
        <f>COUNT(L2569:L2671)</f>
        <v>99</v>
      </c>
      <c r="M2566" s="21">
        <f t="shared" ref="M2566:T2566" si="37">COUNT(M2569:M2671)</f>
        <v>99</v>
      </c>
      <c r="N2566" s="21">
        <f t="shared" si="37"/>
        <v>99</v>
      </c>
      <c r="O2566" s="21">
        <f t="shared" si="37"/>
        <v>99</v>
      </c>
      <c r="P2566" s="21">
        <f t="shared" si="37"/>
        <v>99</v>
      </c>
      <c r="Q2566" s="21">
        <f t="shared" si="37"/>
        <v>99</v>
      </c>
      <c r="R2566" s="21">
        <f t="shared" si="37"/>
        <v>99</v>
      </c>
      <c r="S2566" s="21">
        <f t="shared" si="37"/>
        <v>99</v>
      </c>
      <c r="T2566" s="21">
        <f t="shared" si="37"/>
        <v>99</v>
      </c>
      <c r="V2566" s="916"/>
      <c r="W2566" s="916"/>
      <c r="X2566" s="39"/>
      <c r="Z2566" s="916"/>
      <c r="AA2566" s="916"/>
      <c r="AB2566" s="40"/>
    </row>
    <row r="2567" spans="1:28" ht="15" customHeight="1">
      <c r="A2567" s="915" t="s">
        <v>417</v>
      </c>
      <c r="B2567" s="21">
        <f>COUNTA(B2569:B2765)</f>
        <v>197</v>
      </c>
      <c r="C2567" s="21">
        <f t="shared" ref="C2567:I2567" si="38">COUNTA(C2569:C2765)</f>
        <v>197</v>
      </c>
      <c r="D2567" s="21">
        <f t="shared" si="38"/>
        <v>197</v>
      </c>
      <c r="E2567" s="21">
        <f t="shared" si="38"/>
        <v>197</v>
      </c>
      <c r="F2567" s="21">
        <f t="shared" si="38"/>
        <v>197</v>
      </c>
      <c r="G2567" s="21">
        <f t="shared" si="38"/>
        <v>197</v>
      </c>
      <c r="H2567" s="21">
        <f t="shared" si="38"/>
        <v>197</v>
      </c>
      <c r="I2567" s="21">
        <f t="shared" si="38"/>
        <v>197</v>
      </c>
      <c r="J2567" s="905" t="s">
        <v>418</v>
      </c>
      <c r="K2567" s="906" t="s">
        <v>419</v>
      </c>
      <c r="L2567" s="21">
        <f>COUNTA(L2569:L2671)</f>
        <v>99</v>
      </c>
      <c r="M2567" s="21">
        <f t="shared" ref="M2567:T2567" si="39">COUNTA(M2569:M2671)</f>
        <v>99</v>
      </c>
      <c r="N2567" s="21">
        <f t="shared" si="39"/>
        <v>99</v>
      </c>
      <c r="O2567" s="21">
        <f t="shared" si="39"/>
        <v>99</v>
      </c>
      <c r="P2567" s="21">
        <f t="shared" si="39"/>
        <v>99</v>
      </c>
      <c r="Q2567" s="21">
        <f t="shared" si="39"/>
        <v>99</v>
      </c>
      <c r="R2567" s="21">
        <f t="shared" si="39"/>
        <v>99</v>
      </c>
      <c r="S2567" s="21">
        <f t="shared" si="39"/>
        <v>99</v>
      </c>
      <c r="T2567" s="21">
        <f t="shared" si="39"/>
        <v>99</v>
      </c>
      <c r="V2567" s="1">
        <f>heeling</f>
        <v>0</v>
      </c>
      <c r="W2567" s="382">
        <f>sound210</f>
        <v>3510</v>
      </c>
      <c r="X2567" s="186">
        <f>IF((W2567+W2570)&lt;0,W2567,W2567+W2570)</f>
        <v>3510</v>
      </c>
      <c r="Y2567" s="381">
        <f>IF(Y2569=Y2568,Y2568,Interp1(X2568:X2569,Y2568:Y2569,X2567))</f>
        <v>40.265000000000001</v>
      </c>
      <c r="AA2567" s="30"/>
    </row>
    <row r="2568" spans="1:28">
      <c r="A2568" s="915"/>
      <c r="B2568" s="36">
        <v>-1</v>
      </c>
      <c r="C2568" s="35">
        <v>0</v>
      </c>
      <c r="D2568" s="35">
        <v>0.5</v>
      </c>
      <c r="E2568" s="35">
        <v>1</v>
      </c>
      <c r="F2568" s="35">
        <v>1.5</v>
      </c>
      <c r="G2568" s="35">
        <v>2</v>
      </c>
      <c r="H2568" s="37">
        <v>3</v>
      </c>
      <c r="I2568" s="21">
        <v>4</v>
      </c>
      <c r="J2568" s="905"/>
      <c r="K2568" s="906"/>
      <c r="L2568" s="21">
        <v>-4</v>
      </c>
      <c r="M2568" s="35">
        <v>-3</v>
      </c>
      <c r="N2568" s="35">
        <v>-2</v>
      </c>
      <c r="O2568" s="35">
        <v>-1</v>
      </c>
      <c r="P2568" s="35">
        <v>0</v>
      </c>
      <c r="Q2568" s="35">
        <v>1</v>
      </c>
      <c r="R2568" s="35">
        <v>2</v>
      </c>
      <c r="S2568" s="35">
        <v>3</v>
      </c>
      <c r="T2568" s="35">
        <v>4</v>
      </c>
      <c r="V2568" s="1">
        <f>IF(tankSound10=soundingPipe10,tankSound10,FLOOR(W2567,incHeel))</f>
        <v>3500</v>
      </c>
      <c r="W2568" s="1">
        <f>Interp2(tank10Heel1,tank10Heel2,tank10Heel3,V2568,V2567)</f>
        <v>0</v>
      </c>
      <c r="X2568" s="1">
        <f>IF(X2567=soundingPipe10,Tank1!X2567,FLOOR(X2567,inc))</f>
        <v>3500</v>
      </c>
      <c r="Y2568" s="42">
        <f>IF(W2573=W2572,W2572,Interp1(V2572:V2573,W2572:W2573,V2571))</f>
        <v>40.32</v>
      </c>
      <c r="AA2568" s="30"/>
    </row>
    <row r="2569" spans="1:28">
      <c r="A2569" s="1">
        <v>1500</v>
      </c>
      <c r="B2569" s="42">
        <v>51.18</v>
      </c>
      <c r="C2569" s="42">
        <v>51.18</v>
      </c>
      <c r="D2569" s="42">
        <v>51.18</v>
      </c>
      <c r="E2569" s="42">
        <v>51.18</v>
      </c>
      <c r="F2569" s="42">
        <v>51.18</v>
      </c>
      <c r="G2569" s="42">
        <v>51.18</v>
      </c>
      <c r="H2569" s="42">
        <v>51.18</v>
      </c>
      <c r="I2569" s="42">
        <v>51.18</v>
      </c>
      <c r="J2569" s="21">
        <v>9769</v>
      </c>
      <c r="K2569" s="1">
        <v>1500</v>
      </c>
      <c r="L2569" s="1">
        <v>0</v>
      </c>
      <c r="M2569" s="1">
        <v>0</v>
      </c>
      <c r="N2569" s="1">
        <v>0</v>
      </c>
      <c r="O2569" s="1">
        <v>0</v>
      </c>
      <c r="P2569" s="35">
        <v>0</v>
      </c>
      <c r="Q2569" s="1">
        <v>1.7010000000000001</v>
      </c>
      <c r="R2569" s="1">
        <v>34.886000000000003</v>
      </c>
      <c r="S2569" s="1">
        <v>79.161000000000001</v>
      </c>
      <c r="T2569" s="1">
        <v>113.989</v>
      </c>
      <c r="U2569" s="24"/>
      <c r="V2569" s="1">
        <f>IF(V2568=tankSound10,V2568,CEILING(W2567,incHeel))</f>
        <v>3600</v>
      </c>
      <c r="W2569" s="1">
        <f>Interp2(tank10Heel1,tank10Heel2,tank10Heel3,V2569,V2567)</f>
        <v>0</v>
      </c>
      <c r="X2569" s="1">
        <f>IF(X2568=X2567,X2568,CEILING(X2567,inc))</f>
        <v>3550</v>
      </c>
      <c r="Y2569" s="42">
        <f>IF(X2573=X2572,X2572,Interp1(V2572:V2573,X2572:X2573,V2571))</f>
        <v>40.046999999999997</v>
      </c>
      <c r="AA2569" s="30"/>
      <c r="AB2569" s="42"/>
    </row>
    <row r="2570" spans="1:28">
      <c r="A2570" s="1">
        <v>1550</v>
      </c>
      <c r="B2570" s="42">
        <v>51.16</v>
      </c>
      <c r="C2570" s="42">
        <v>51.16</v>
      </c>
      <c r="D2570" s="42">
        <v>51.16</v>
      </c>
      <c r="E2570" s="42">
        <v>51.16</v>
      </c>
      <c r="F2570" s="42">
        <v>51.15</v>
      </c>
      <c r="G2570" s="42">
        <v>51.15</v>
      </c>
      <c r="H2570" s="42">
        <v>51.14</v>
      </c>
      <c r="I2570" s="42">
        <v>51.14</v>
      </c>
      <c r="J2570" s="21">
        <v>9719</v>
      </c>
      <c r="K2570" s="1">
        <v>1600</v>
      </c>
      <c r="L2570" s="1">
        <v>-80.191999999999993</v>
      </c>
      <c r="M2570" s="1">
        <v>-76.97</v>
      </c>
      <c r="N2570" s="1">
        <v>-70.177000000000007</v>
      </c>
      <c r="O2570" s="1">
        <v>-49.11</v>
      </c>
      <c r="P2570" s="35">
        <v>0</v>
      </c>
      <c r="Q2570" s="1">
        <v>26.271000000000001</v>
      </c>
      <c r="R2570" s="1">
        <v>52.555999999999997</v>
      </c>
      <c r="S2570" s="1">
        <v>78.876000000000005</v>
      </c>
      <c r="T2570" s="1">
        <v>105.24</v>
      </c>
      <c r="U2570" s="25"/>
      <c r="W2570" s="1">
        <f>IF(W2569=W2568,W2568,Interp1(V2568:V2569,W2568:W2569,W2567))</f>
        <v>0</v>
      </c>
      <c r="Y2570" s="42"/>
      <c r="AA2570" s="30"/>
      <c r="AB2570" s="42"/>
    </row>
    <row r="2571" spans="1:28">
      <c r="A2571" s="1">
        <v>1600</v>
      </c>
      <c r="B2571" s="42">
        <v>50.88</v>
      </c>
      <c r="C2571" s="42">
        <v>50.88</v>
      </c>
      <c r="D2571" s="42">
        <v>50.88</v>
      </c>
      <c r="E2571" s="42">
        <v>50.87</v>
      </c>
      <c r="F2571" s="42">
        <v>50.87</v>
      </c>
      <c r="G2571" s="42">
        <v>50.87</v>
      </c>
      <c r="H2571" s="42">
        <v>50.87</v>
      </c>
      <c r="I2571" s="42">
        <v>50.86</v>
      </c>
      <c r="J2571" s="21">
        <v>9669</v>
      </c>
      <c r="K2571" s="1">
        <v>1700</v>
      </c>
      <c r="L2571" s="1">
        <v>-93.498000000000005</v>
      </c>
      <c r="M2571" s="1">
        <v>-77.921999999999997</v>
      </c>
      <c r="N2571" s="1">
        <v>-52.557000000000002</v>
      </c>
      <c r="O2571" s="1">
        <v>-26.27</v>
      </c>
      <c r="P2571" s="35">
        <v>0</v>
      </c>
      <c r="Q2571" s="1">
        <v>26.27</v>
      </c>
      <c r="R2571" s="1">
        <v>52.555</v>
      </c>
      <c r="S2571" s="1">
        <v>78.873000000000005</v>
      </c>
      <c r="T2571" s="1">
        <v>105.29</v>
      </c>
      <c r="U2571" s="25"/>
      <c r="V2571" s="1">
        <f>trim</f>
        <v>0.36</v>
      </c>
      <c r="AA2571" s="30"/>
      <c r="AB2571" s="42"/>
    </row>
    <row r="2572" spans="1:28">
      <c r="A2572" s="1">
        <v>1650</v>
      </c>
      <c r="B2572" s="42">
        <v>50.6</v>
      </c>
      <c r="C2572" s="42">
        <v>50.6</v>
      </c>
      <c r="D2572" s="42">
        <v>50.59</v>
      </c>
      <c r="E2572" s="42">
        <v>50.59</v>
      </c>
      <c r="F2572" s="42">
        <v>50.59</v>
      </c>
      <c r="G2572" s="42">
        <v>50.59</v>
      </c>
      <c r="H2572" s="42">
        <v>50.58</v>
      </c>
      <c r="I2572" s="42">
        <v>50.58</v>
      </c>
      <c r="J2572" s="21">
        <v>9619</v>
      </c>
      <c r="K2572" s="1">
        <v>1800</v>
      </c>
      <c r="L2572" s="1">
        <v>-105.241</v>
      </c>
      <c r="M2572" s="1">
        <v>-78.873000000000005</v>
      </c>
      <c r="N2572" s="1">
        <v>-52.555999999999997</v>
      </c>
      <c r="O2572" s="1">
        <v>-26.27</v>
      </c>
      <c r="P2572" s="35">
        <v>0</v>
      </c>
      <c r="Q2572" s="1">
        <v>26.52</v>
      </c>
      <c r="R2572" s="1">
        <v>53.055</v>
      </c>
      <c r="S2572" s="1">
        <v>79.625</v>
      </c>
      <c r="T2572" s="1">
        <v>106.273</v>
      </c>
      <c r="U2572" s="25"/>
      <c r="V2572" s="1">
        <f>INDEX(tank10Trim2,0,MATCH(V2571,tank10Trim2,1))</f>
        <v>0</v>
      </c>
      <c r="W2572" s="1">
        <f>Interp2(tank10Trim1,tank10Trim2,tank10Trim3,X2568,V2572)</f>
        <v>40.32</v>
      </c>
      <c r="X2572" s="1">
        <f>Interp2(tank10Trim1,tank10Trim2,tank10Trim3,X2569,V2572)</f>
        <v>40.04</v>
      </c>
      <c r="AA2572" s="30"/>
    </row>
    <row r="2573" spans="1:28">
      <c r="A2573" s="1">
        <v>1700</v>
      </c>
      <c r="B2573" s="42">
        <v>50.32</v>
      </c>
      <c r="C2573" s="42">
        <v>50.31</v>
      </c>
      <c r="D2573" s="42">
        <v>50.31</v>
      </c>
      <c r="E2573" s="42">
        <v>50.31</v>
      </c>
      <c r="F2573" s="42">
        <v>50.31</v>
      </c>
      <c r="G2573" s="42">
        <v>50.31</v>
      </c>
      <c r="H2573" s="42">
        <v>50.3</v>
      </c>
      <c r="I2573" s="42">
        <v>50.3</v>
      </c>
      <c r="J2573" s="21">
        <v>9569</v>
      </c>
      <c r="K2573" s="1">
        <v>1900</v>
      </c>
      <c r="L2573" s="1">
        <v>-105.73</v>
      </c>
      <c r="M2573" s="1">
        <v>-79.281999999999996</v>
      </c>
      <c r="N2573" s="1">
        <v>-52.829000000000001</v>
      </c>
      <c r="O2573" s="1">
        <v>-26.405000000000001</v>
      </c>
      <c r="P2573" s="35">
        <v>0</v>
      </c>
      <c r="Q2573" s="1">
        <v>26.545000000000002</v>
      </c>
      <c r="R2573" s="1">
        <v>53.107999999999997</v>
      </c>
      <c r="S2573" s="1">
        <v>79.703000000000003</v>
      </c>
      <c r="T2573" s="1">
        <v>106.345</v>
      </c>
      <c r="U2573" s="25"/>
      <c r="V2573" s="1">
        <f>IF(V2572=V2571,V2571,INDEX(tank10Trim2,0,MATCH(V2571,tank10Trim2,1)+1))</f>
        <v>0.5</v>
      </c>
      <c r="W2573" s="1">
        <f>Interp2(tank10Trim1,tank10Trim2,tank10Trim3,X2568,V2573)</f>
        <v>40.32</v>
      </c>
      <c r="X2573" s="1">
        <f>Interp2(tank10Trim1,tank10Trim2,tank10Trim3,X2569,V2573)</f>
        <v>40.049999999999997</v>
      </c>
      <c r="AA2573" s="30"/>
      <c r="AB2573" s="42"/>
    </row>
    <row r="2574" spans="1:28">
      <c r="A2574" s="1">
        <v>1750</v>
      </c>
      <c r="B2574" s="42">
        <v>50.04</v>
      </c>
      <c r="C2574" s="42">
        <v>50.03</v>
      </c>
      <c r="D2574" s="42">
        <v>50.03</v>
      </c>
      <c r="E2574" s="42">
        <v>50.03</v>
      </c>
      <c r="F2574" s="42">
        <v>50.03</v>
      </c>
      <c r="G2574" s="42">
        <v>50.03</v>
      </c>
      <c r="H2574" s="42">
        <v>50.02</v>
      </c>
      <c r="I2574" s="42">
        <v>50.02</v>
      </c>
      <c r="J2574" s="21">
        <v>9519</v>
      </c>
      <c r="K2574" s="1">
        <v>2000</v>
      </c>
      <c r="L2574" s="1">
        <v>-105.601</v>
      </c>
      <c r="M2574" s="1">
        <v>-79.165999999999997</v>
      </c>
      <c r="N2574" s="1">
        <v>-52.750999999999998</v>
      </c>
      <c r="O2574" s="1">
        <v>-26.367000000000001</v>
      </c>
      <c r="P2574" s="35">
        <v>0</v>
      </c>
      <c r="Q2574" s="1">
        <v>26.366</v>
      </c>
      <c r="R2574" s="1">
        <v>52.750999999999998</v>
      </c>
      <c r="S2574" s="1">
        <v>79.167000000000002</v>
      </c>
      <c r="T2574" s="1">
        <v>105.631</v>
      </c>
      <c r="U2574" s="25"/>
      <c r="W2574" s="43"/>
      <c r="X2574" s="42"/>
      <c r="AA2574" s="30"/>
      <c r="AB2574" s="42"/>
    </row>
    <row r="2575" spans="1:28">
      <c r="A2575" s="1">
        <v>1800</v>
      </c>
      <c r="B2575" s="42">
        <v>49.76</v>
      </c>
      <c r="C2575" s="42">
        <v>49.75</v>
      </c>
      <c r="D2575" s="42">
        <v>49.75</v>
      </c>
      <c r="E2575" s="42">
        <v>49.75</v>
      </c>
      <c r="F2575" s="42">
        <v>49.75</v>
      </c>
      <c r="G2575" s="42">
        <v>49.74</v>
      </c>
      <c r="H2575" s="42">
        <v>49.74</v>
      </c>
      <c r="I2575" s="42">
        <v>49.74</v>
      </c>
      <c r="J2575" s="21">
        <v>9469</v>
      </c>
      <c r="K2575" s="1">
        <v>2100</v>
      </c>
      <c r="L2575" s="1">
        <v>-104.914</v>
      </c>
      <c r="M2575" s="1">
        <v>-78.629000000000005</v>
      </c>
      <c r="N2575" s="1">
        <v>-52.393999999999998</v>
      </c>
      <c r="O2575" s="1">
        <v>-26.19</v>
      </c>
      <c r="P2575" s="35">
        <v>0</v>
      </c>
      <c r="Q2575" s="1">
        <v>26.187999999999999</v>
      </c>
      <c r="R2575" s="1">
        <v>52.392000000000003</v>
      </c>
      <c r="S2575" s="1">
        <v>78.63</v>
      </c>
      <c r="T2575" s="1">
        <v>104.914</v>
      </c>
      <c r="U2575" s="25"/>
    </row>
    <row r="2576" spans="1:28">
      <c r="A2576" s="1">
        <v>1850</v>
      </c>
      <c r="B2576" s="42">
        <v>49.48</v>
      </c>
      <c r="C2576" s="42">
        <v>49.47</v>
      </c>
      <c r="D2576" s="42">
        <v>49.47</v>
      </c>
      <c r="E2576" s="42">
        <v>49.47</v>
      </c>
      <c r="F2576" s="42">
        <v>49.47</v>
      </c>
      <c r="G2576" s="42">
        <v>49.46</v>
      </c>
      <c r="H2576" s="42">
        <v>49.46</v>
      </c>
      <c r="I2576" s="42">
        <v>49.46</v>
      </c>
      <c r="J2576" s="21">
        <v>9419</v>
      </c>
      <c r="K2576" s="1">
        <v>2200</v>
      </c>
      <c r="L2576" s="1">
        <v>-104.199</v>
      </c>
      <c r="M2576" s="1">
        <v>-78.091999999999999</v>
      </c>
      <c r="N2576" s="1">
        <v>-52.036999999999999</v>
      </c>
      <c r="O2576" s="1">
        <v>-26.01</v>
      </c>
      <c r="P2576" s="35">
        <v>0</v>
      </c>
      <c r="Q2576" s="1">
        <v>26.007999999999999</v>
      </c>
      <c r="R2576" s="1">
        <v>52.036999999999999</v>
      </c>
      <c r="S2576" s="1">
        <v>78.093000000000004</v>
      </c>
      <c r="T2576" s="1">
        <v>104.19799999999999</v>
      </c>
      <c r="U2576" s="25"/>
      <c r="V2576" s="1">
        <f>Bunkering!heeling1</f>
        <v>0</v>
      </c>
      <c r="W2576" s="382">
        <f>sound310</f>
        <v>4070</v>
      </c>
      <c r="X2576" s="186">
        <f>IF((W2576+W2579)&lt;0,W2576,W2576+W2579)</f>
        <v>4070</v>
      </c>
      <c r="Y2576" s="381">
        <f>IF(Y2578=Y2577,Y2577,Interp1(X2577:X2578,Y2577:Y2578,X2576))</f>
        <v>37.128</v>
      </c>
    </row>
    <row r="2577" spans="1:28">
      <c r="A2577" s="1">
        <v>1900</v>
      </c>
      <c r="B2577" s="42">
        <v>49.2</v>
      </c>
      <c r="C2577" s="42">
        <v>49.19</v>
      </c>
      <c r="D2577" s="42">
        <v>49.19</v>
      </c>
      <c r="E2577" s="42">
        <v>49.19</v>
      </c>
      <c r="F2577" s="42">
        <v>49.19</v>
      </c>
      <c r="G2577" s="42">
        <v>49.19</v>
      </c>
      <c r="H2577" s="42">
        <v>49.18</v>
      </c>
      <c r="I2577" s="42">
        <v>49.18</v>
      </c>
      <c r="J2577" s="21">
        <v>9369</v>
      </c>
      <c r="K2577" s="1">
        <v>2300</v>
      </c>
      <c r="L2577" s="1">
        <v>-103.483</v>
      </c>
      <c r="M2577" s="1">
        <v>-77.555000000000007</v>
      </c>
      <c r="N2577" s="1">
        <v>-51.677</v>
      </c>
      <c r="O2577" s="1">
        <v>-25.831</v>
      </c>
      <c r="P2577" s="35">
        <v>0</v>
      </c>
      <c r="Q2577" s="1">
        <v>25.831</v>
      </c>
      <c r="R2577" s="1">
        <v>51.68</v>
      </c>
      <c r="S2577" s="1">
        <v>77.557000000000002</v>
      </c>
      <c r="T2577" s="1">
        <v>103.48399999999999</v>
      </c>
      <c r="U2577" s="25"/>
      <c r="V2577" s="1">
        <f>IF(tankSound210=soundingPipe10,tankSound210,FLOOR(W2576,incHeel))</f>
        <v>4000</v>
      </c>
      <c r="W2577" s="1">
        <f>Interp2(tank10Heel1,tank10Heel2,tank10Heel3,V2577,V2576)</f>
        <v>0</v>
      </c>
      <c r="X2577" s="1">
        <f>IF(X2576=soundingPipe10,Tank1!X2576,FLOOR(X2576,inc))</f>
        <v>4050</v>
      </c>
      <c r="Y2577" s="42">
        <f>IF(W2582=W2581,W2581,Interp1(V2581:V2582,W2581:W2582,V2580))</f>
        <v>37.24</v>
      </c>
      <c r="Z2577" s="918"/>
      <c r="AA2577" s="918"/>
      <c r="AB2577" s="42"/>
    </row>
    <row r="2578" spans="1:28">
      <c r="A2578" s="1">
        <v>1950</v>
      </c>
      <c r="B2578" s="42">
        <v>48.92</v>
      </c>
      <c r="C2578" s="42">
        <v>48.92</v>
      </c>
      <c r="D2578" s="42">
        <v>48.92</v>
      </c>
      <c r="E2578" s="42">
        <v>48.91</v>
      </c>
      <c r="F2578" s="42">
        <v>48.91</v>
      </c>
      <c r="G2578" s="42">
        <v>48.91</v>
      </c>
      <c r="H2578" s="42">
        <v>48.91</v>
      </c>
      <c r="I2578" s="42">
        <v>48.9</v>
      </c>
      <c r="J2578" s="21">
        <v>9319</v>
      </c>
      <c r="K2578" s="1">
        <v>2400</v>
      </c>
      <c r="L2578" s="1">
        <v>-102.768</v>
      </c>
      <c r="M2578" s="1">
        <v>-77.02</v>
      </c>
      <c r="N2578" s="1">
        <v>-51.32</v>
      </c>
      <c r="O2578" s="1">
        <v>-25.652000000000001</v>
      </c>
      <c r="P2578" s="35">
        <v>0</v>
      </c>
      <c r="Q2578" s="1">
        <v>25.652999999999999</v>
      </c>
      <c r="R2578" s="1">
        <v>51.319000000000003</v>
      </c>
      <c r="S2578" s="1">
        <v>77.018000000000001</v>
      </c>
      <c r="T2578" s="1">
        <v>102.765</v>
      </c>
      <c r="U2578" s="25"/>
      <c r="V2578" s="1">
        <f>IF(V2577=tankSound210,V2577,CEILING(W2576,incHeel))</f>
        <v>4100</v>
      </c>
      <c r="W2578" s="1">
        <f>Interp2(tank10Heel1,tank10Heel2,tank10Heel3,V2578,V2576)</f>
        <v>0</v>
      </c>
      <c r="X2578" s="1">
        <f>IF(X2577=X2576,X2577,CEILING(X2576,inc))</f>
        <v>4100</v>
      </c>
      <c r="Y2578" s="42">
        <f>IF(X2582=X2581,X2581,Interp1(V2581:V2582,X2581:X2582,V2580))</f>
        <v>36.96</v>
      </c>
    </row>
    <row r="2579" spans="1:28">
      <c r="A2579" s="1">
        <v>2000</v>
      </c>
      <c r="B2579" s="42">
        <v>48.64</v>
      </c>
      <c r="C2579" s="42">
        <v>48.64</v>
      </c>
      <c r="D2579" s="42">
        <v>48.64</v>
      </c>
      <c r="E2579" s="42">
        <v>48.64</v>
      </c>
      <c r="F2579" s="42">
        <v>48.64</v>
      </c>
      <c r="G2579" s="42">
        <v>48.63</v>
      </c>
      <c r="H2579" s="42">
        <v>48.63</v>
      </c>
      <c r="I2579" s="42">
        <v>48.63</v>
      </c>
      <c r="J2579" s="21">
        <v>9269</v>
      </c>
      <c r="K2579" s="1">
        <v>2500</v>
      </c>
      <c r="L2579" s="1">
        <v>-102.051</v>
      </c>
      <c r="M2579" s="1">
        <v>-76.481999999999999</v>
      </c>
      <c r="N2579" s="1">
        <v>-50.962000000000003</v>
      </c>
      <c r="O2579" s="1">
        <v>-25.472000000000001</v>
      </c>
      <c r="P2579" s="35">
        <v>0</v>
      </c>
      <c r="Q2579" s="1">
        <v>25.472999999999999</v>
      </c>
      <c r="R2579" s="1">
        <v>50.963000000000001</v>
      </c>
      <c r="S2579" s="1">
        <v>76.483000000000004</v>
      </c>
      <c r="T2579" s="1">
        <v>102.047</v>
      </c>
      <c r="U2579" s="26"/>
      <c r="W2579" s="1">
        <f>IF(W2578=W2577,W2577,Interp1(V2577:V2578,W2577:W2578,W2576))</f>
        <v>0</v>
      </c>
      <c r="Y2579" s="42"/>
    </row>
    <row r="2580" spans="1:28">
      <c r="A2580" s="1">
        <v>2050</v>
      </c>
      <c r="B2580" s="42">
        <v>48.37</v>
      </c>
      <c r="C2580" s="42">
        <v>48.36</v>
      </c>
      <c r="D2580" s="42">
        <v>48.36</v>
      </c>
      <c r="E2580" s="42">
        <v>48.36</v>
      </c>
      <c r="F2580" s="42">
        <v>48.36</v>
      </c>
      <c r="G2580" s="42">
        <v>48.36</v>
      </c>
      <c r="H2580" s="42">
        <v>48.35</v>
      </c>
      <c r="I2580" s="42">
        <v>48.35</v>
      </c>
      <c r="J2580" s="21">
        <v>9219</v>
      </c>
      <c r="K2580" s="1">
        <v>2600</v>
      </c>
      <c r="L2580" s="1">
        <v>-101.33199999999999</v>
      </c>
      <c r="M2580" s="1">
        <v>-75.944999999999993</v>
      </c>
      <c r="N2580" s="1">
        <v>-50.603999999999999</v>
      </c>
      <c r="O2580" s="1">
        <v>-25.294</v>
      </c>
      <c r="P2580" s="35">
        <v>0</v>
      </c>
      <c r="Q2580" s="1">
        <v>25.295000000000002</v>
      </c>
      <c r="R2580" s="1">
        <v>50.604999999999997</v>
      </c>
      <c r="S2580" s="1">
        <v>75.947999999999993</v>
      </c>
      <c r="T2580" s="1">
        <v>101.336</v>
      </c>
      <c r="U2580" s="25"/>
      <c r="V2580" s="1">
        <f>Bunkering!trim1</f>
        <v>0.36</v>
      </c>
    </row>
    <row r="2581" spans="1:28">
      <c r="A2581" s="1">
        <v>2100</v>
      </c>
      <c r="B2581" s="42">
        <v>48.09</v>
      </c>
      <c r="C2581" s="42">
        <v>48.09</v>
      </c>
      <c r="D2581" s="42">
        <v>48.08</v>
      </c>
      <c r="E2581" s="42">
        <v>48.08</v>
      </c>
      <c r="F2581" s="42">
        <v>48.08</v>
      </c>
      <c r="G2581" s="42">
        <v>48.08</v>
      </c>
      <c r="H2581" s="42">
        <v>48.08</v>
      </c>
      <c r="I2581" s="42">
        <v>48.07</v>
      </c>
      <c r="J2581" s="21">
        <v>9169</v>
      </c>
      <c r="K2581" s="1">
        <v>2700</v>
      </c>
      <c r="L2581" s="1">
        <v>-100.62</v>
      </c>
      <c r="M2581" s="1">
        <v>-75.411000000000001</v>
      </c>
      <c r="N2581" s="1">
        <v>-50.247</v>
      </c>
      <c r="O2581" s="1">
        <v>-25.117000000000001</v>
      </c>
      <c r="P2581" s="35">
        <v>0</v>
      </c>
      <c r="Q2581" s="1">
        <v>25.116</v>
      </c>
      <c r="R2581" s="1">
        <v>50.247</v>
      </c>
      <c r="S2581" s="1">
        <v>75.41</v>
      </c>
      <c r="T2581" s="1">
        <v>100.61799999999999</v>
      </c>
      <c r="U2581" s="25"/>
      <c r="V2581" s="1">
        <f>INDEX(tank10Trim2,0,MATCH(V2580,tank10Trim2,1))</f>
        <v>0</v>
      </c>
      <c r="W2581" s="1">
        <f>Interp2(tank10Trim1,tank10Trim2,tank10Trim3,X2577,V2581)</f>
        <v>37.24</v>
      </c>
      <c r="X2581" s="1">
        <f>Interp2(tank10Trim1,tank10Trim2,tank10Trim3,X2578,V2581)</f>
        <v>36.96</v>
      </c>
      <c r="Z2581" s="916"/>
      <c r="AA2581" s="916"/>
      <c r="AB2581" s="40"/>
    </row>
    <row r="2582" spans="1:28">
      <c r="A2582" s="1">
        <v>2150</v>
      </c>
      <c r="B2582" s="42">
        <v>47.81</v>
      </c>
      <c r="C2582" s="42">
        <v>47.81</v>
      </c>
      <c r="D2582" s="42">
        <v>47.81</v>
      </c>
      <c r="E2582" s="42">
        <v>47.81</v>
      </c>
      <c r="F2582" s="42">
        <v>47.8</v>
      </c>
      <c r="G2582" s="42">
        <v>47.8</v>
      </c>
      <c r="H2582" s="42">
        <v>47.8</v>
      </c>
      <c r="I2582" s="42">
        <v>47.8</v>
      </c>
      <c r="J2582" s="21">
        <v>9119</v>
      </c>
      <c r="K2582" s="1">
        <v>2800</v>
      </c>
      <c r="L2582" s="1">
        <v>-99.902000000000001</v>
      </c>
      <c r="M2582" s="1">
        <v>-74.873000000000005</v>
      </c>
      <c r="N2582" s="1">
        <v>-49.890999999999998</v>
      </c>
      <c r="O2582" s="1">
        <v>-24.937000000000001</v>
      </c>
      <c r="P2582" s="35">
        <v>0</v>
      </c>
      <c r="Q2582" s="1">
        <v>24.936</v>
      </c>
      <c r="R2582" s="1">
        <v>49.890999999999998</v>
      </c>
      <c r="S2582" s="1">
        <v>74.873999999999995</v>
      </c>
      <c r="T2582" s="1">
        <v>99.903999999999996</v>
      </c>
      <c r="U2582" s="25"/>
      <c r="V2582" s="1">
        <f>IF(V2581=V2580,V2580,INDEX(tank10Trim2,0,MATCH(V2580,tank10Trim2,1)+1))</f>
        <v>0.5</v>
      </c>
      <c r="W2582" s="1">
        <f>Interp2(tank10Trim1,tank10Trim2,tank10Trim3,X2577,V2582)</f>
        <v>37.24</v>
      </c>
      <c r="X2582" s="1">
        <f>Interp2(tank10Trim1,tank10Trim2,tank10Trim3,X2578,V2582)</f>
        <v>36.96</v>
      </c>
      <c r="AA2582" s="30"/>
    </row>
    <row r="2583" spans="1:28">
      <c r="A2583" s="1">
        <v>2200</v>
      </c>
      <c r="B2583" s="42">
        <v>47.53</v>
      </c>
      <c r="C2583" s="42">
        <v>47.53</v>
      </c>
      <c r="D2583" s="42">
        <v>47.53</v>
      </c>
      <c r="E2583" s="42">
        <v>47.53</v>
      </c>
      <c r="F2583" s="42">
        <v>47.53</v>
      </c>
      <c r="G2583" s="42">
        <v>47.53</v>
      </c>
      <c r="H2583" s="42">
        <v>47.52</v>
      </c>
      <c r="I2583" s="42">
        <v>47.52</v>
      </c>
      <c r="J2583" s="21">
        <v>9069</v>
      </c>
      <c r="K2583" s="1">
        <v>2900</v>
      </c>
      <c r="L2583" s="1">
        <v>-99.186000000000007</v>
      </c>
      <c r="M2583" s="1">
        <v>-74.337999999999994</v>
      </c>
      <c r="N2583" s="1">
        <v>-49.531999999999996</v>
      </c>
      <c r="O2583" s="1">
        <v>-24.759</v>
      </c>
      <c r="P2583" s="35">
        <v>0</v>
      </c>
      <c r="Q2583" s="1">
        <v>24.757000000000001</v>
      </c>
      <c r="R2583" s="1">
        <v>49.530999999999999</v>
      </c>
      <c r="S2583" s="1">
        <v>74.334000000000003</v>
      </c>
      <c r="T2583" s="1">
        <v>99.182000000000002</v>
      </c>
      <c r="U2583" s="25"/>
      <c r="W2583" s="30"/>
      <c r="AA2583" s="30"/>
    </row>
    <row r="2584" spans="1:28">
      <c r="A2584" s="1">
        <v>2250</v>
      </c>
      <c r="B2584" s="42">
        <v>47.26</v>
      </c>
      <c r="C2584" s="42">
        <v>47.25</v>
      </c>
      <c r="D2584" s="42">
        <v>47.25</v>
      </c>
      <c r="E2584" s="42">
        <v>47.25</v>
      </c>
      <c r="F2584" s="42">
        <v>47.25</v>
      </c>
      <c r="G2584" s="42">
        <v>47.25</v>
      </c>
      <c r="H2584" s="42">
        <v>47.25</v>
      </c>
      <c r="I2584" s="42">
        <v>47.24</v>
      </c>
      <c r="J2584" s="21">
        <v>9019</v>
      </c>
      <c r="K2584" s="1">
        <v>3000</v>
      </c>
      <c r="L2584" s="1">
        <v>-98.466999999999999</v>
      </c>
      <c r="M2584" s="1">
        <v>-73.796000000000006</v>
      </c>
      <c r="N2584" s="1">
        <v>-49.174999999999997</v>
      </c>
      <c r="O2584" s="1">
        <v>-24.581</v>
      </c>
      <c r="P2584" s="35">
        <v>0</v>
      </c>
      <c r="Q2584" s="1">
        <v>24.579000000000001</v>
      </c>
      <c r="R2584" s="1">
        <v>49.174999999999997</v>
      </c>
      <c r="S2584" s="1">
        <v>73.802000000000007</v>
      </c>
      <c r="T2584" s="1">
        <v>98.468999999999994</v>
      </c>
      <c r="U2584" s="24"/>
      <c r="W2584" s="30"/>
      <c r="X2584" s="42"/>
      <c r="AA2584" s="30"/>
      <c r="AB2584" s="42"/>
    </row>
    <row r="2585" spans="1:28">
      <c r="A2585" s="1">
        <v>2300</v>
      </c>
      <c r="B2585" s="42">
        <v>46.98</v>
      </c>
      <c r="C2585" s="42">
        <v>46.98</v>
      </c>
      <c r="D2585" s="42">
        <v>46.98</v>
      </c>
      <c r="E2585" s="42">
        <v>46.97</v>
      </c>
      <c r="F2585" s="42">
        <v>46.97</v>
      </c>
      <c r="G2585" s="42">
        <v>46.97</v>
      </c>
      <c r="H2585" s="42">
        <v>46.97</v>
      </c>
      <c r="I2585" s="42">
        <v>46.97</v>
      </c>
      <c r="J2585" s="21">
        <v>8969</v>
      </c>
      <c r="K2585" s="1">
        <v>3100</v>
      </c>
      <c r="L2585" s="1">
        <v>-97.754999999999995</v>
      </c>
      <c r="M2585" s="1">
        <v>-73.263999999999996</v>
      </c>
      <c r="N2585" s="1">
        <v>-48.817999999999998</v>
      </c>
      <c r="O2585" s="1">
        <v>-24.401</v>
      </c>
      <c r="P2585" s="35">
        <v>0</v>
      </c>
      <c r="Q2585" s="1">
        <v>24.399000000000001</v>
      </c>
      <c r="R2585" s="1">
        <v>48.816000000000003</v>
      </c>
      <c r="S2585" s="1">
        <v>73.260999999999996</v>
      </c>
      <c r="T2585" s="1">
        <v>97.748999999999995</v>
      </c>
      <c r="U2585" s="24"/>
      <c r="W2585" s="30"/>
      <c r="X2585" s="42"/>
      <c r="AA2585" s="30"/>
      <c r="AB2585" s="42"/>
    </row>
    <row r="2586" spans="1:28">
      <c r="A2586" s="1">
        <v>2350</v>
      </c>
      <c r="B2586" s="42">
        <v>46.7</v>
      </c>
      <c r="C2586" s="42">
        <v>46.7</v>
      </c>
      <c r="D2586" s="42">
        <v>46.7</v>
      </c>
      <c r="E2586" s="42">
        <v>46.7</v>
      </c>
      <c r="F2586" s="42">
        <v>46.7</v>
      </c>
      <c r="G2586" s="42">
        <v>46.7</v>
      </c>
      <c r="H2586" s="42">
        <v>46.69</v>
      </c>
      <c r="I2586" s="42">
        <v>46.69</v>
      </c>
      <c r="J2586" s="21">
        <v>8919</v>
      </c>
      <c r="K2586" s="1">
        <v>3200</v>
      </c>
      <c r="L2586" s="1">
        <v>-97.033000000000001</v>
      </c>
      <c r="M2586" s="1">
        <v>-72.722999999999999</v>
      </c>
      <c r="N2586" s="1">
        <v>-48.457999999999998</v>
      </c>
      <c r="O2586" s="1">
        <v>-24.22</v>
      </c>
      <c r="P2586" s="35">
        <v>0</v>
      </c>
      <c r="Q2586" s="1">
        <v>24.222999999999999</v>
      </c>
      <c r="R2586" s="1">
        <v>48.459000000000003</v>
      </c>
      <c r="S2586" s="1">
        <v>72.727000000000004</v>
      </c>
      <c r="T2586" s="1">
        <v>97.039000000000001</v>
      </c>
      <c r="U2586" s="24"/>
      <c r="W2586" s="30"/>
      <c r="X2586" s="42"/>
      <c r="AA2586" s="30"/>
      <c r="AB2586" s="42"/>
    </row>
    <row r="2587" spans="1:28">
      <c r="A2587" s="1">
        <v>2400</v>
      </c>
      <c r="B2587" s="42">
        <v>46.42</v>
      </c>
      <c r="C2587" s="42">
        <v>46.42</v>
      </c>
      <c r="D2587" s="42">
        <v>46.42</v>
      </c>
      <c r="E2587" s="42">
        <v>46.42</v>
      </c>
      <c r="F2587" s="42">
        <v>46.42</v>
      </c>
      <c r="G2587" s="42">
        <v>46.42</v>
      </c>
      <c r="H2587" s="42">
        <v>46.42</v>
      </c>
      <c r="I2587" s="42">
        <v>46.41</v>
      </c>
      <c r="J2587" s="21">
        <v>8869</v>
      </c>
      <c r="K2587" s="1">
        <v>3300</v>
      </c>
      <c r="L2587" s="1">
        <v>-96.322000000000003</v>
      </c>
      <c r="M2587" s="1">
        <v>-72.188999999999993</v>
      </c>
      <c r="N2587" s="1">
        <v>-48.103000000000002</v>
      </c>
      <c r="O2587" s="1">
        <v>-24.044</v>
      </c>
      <c r="P2587" s="35">
        <v>0</v>
      </c>
      <c r="Q2587" s="1">
        <v>24.044</v>
      </c>
      <c r="R2587" s="1">
        <v>48.101999999999997</v>
      </c>
      <c r="S2587" s="1">
        <v>72.188000000000002</v>
      </c>
      <c r="T2587" s="1">
        <v>96.32</v>
      </c>
      <c r="U2587" s="24"/>
      <c r="W2587" s="30"/>
      <c r="AA2587" s="30"/>
    </row>
    <row r="2588" spans="1:28">
      <c r="A2588" s="1">
        <v>2450</v>
      </c>
      <c r="B2588" s="42">
        <v>46.15</v>
      </c>
      <c r="C2588" s="42">
        <v>46.14</v>
      </c>
      <c r="D2588" s="42">
        <v>46.14</v>
      </c>
      <c r="E2588" s="42">
        <v>46.14</v>
      </c>
      <c r="F2588" s="42">
        <v>46.14</v>
      </c>
      <c r="G2588" s="42">
        <v>46.14</v>
      </c>
      <c r="H2588" s="42">
        <v>46.14</v>
      </c>
      <c r="I2588" s="42">
        <v>46.14</v>
      </c>
      <c r="J2588" s="21">
        <v>8819</v>
      </c>
      <c r="K2588" s="1">
        <v>3400</v>
      </c>
      <c r="L2588" s="1">
        <v>-95.603999999999999</v>
      </c>
      <c r="M2588" s="1">
        <v>-71.653000000000006</v>
      </c>
      <c r="N2588" s="1">
        <v>-47.744</v>
      </c>
      <c r="O2588" s="1">
        <v>-23.864000000000001</v>
      </c>
      <c r="P2588" s="35">
        <v>0</v>
      </c>
      <c r="Q2588" s="1">
        <v>23.864999999999998</v>
      </c>
      <c r="R2588" s="1">
        <v>47.743000000000002</v>
      </c>
      <c r="S2588" s="1">
        <v>71.653000000000006</v>
      </c>
      <c r="T2588" s="1">
        <v>95.603999999999999</v>
      </c>
      <c r="U2588" s="25"/>
      <c r="W2588" s="43"/>
      <c r="X2588" s="42"/>
      <c r="AA2588" s="30"/>
      <c r="AB2588" s="42"/>
    </row>
    <row r="2589" spans="1:28">
      <c r="A2589" s="1">
        <v>2500</v>
      </c>
      <c r="B2589" s="42">
        <v>45.87</v>
      </c>
      <c r="C2589" s="42">
        <v>45.87</v>
      </c>
      <c r="D2589" s="42">
        <v>45.87</v>
      </c>
      <c r="E2589" s="42">
        <v>45.87</v>
      </c>
      <c r="F2589" s="42">
        <v>45.87</v>
      </c>
      <c r="G2589" s="42">
        <v>45.86</v>
      </c>
      <c r="H2589" s="42">
        <v>45.86</v>
      </c>
      <c r="I2589" s="42">
        <v>45.86</v>
      </c>
      <c r="J2589" s="21">
        <v>8769</v>
      </c>
      <c r="K2589" s="1">
        <v>3500</v>
      </c>
      <c r="L2589" s="1">
        <v>-94.888000000000005</v>
      </c>
      <c r="M2589" s="1">
        <v>-71.114999999999995</v>
      </c>
      <c r="N2589" s="1">
        <v>-47.384999999999998</v>
      </c>
      <c r="O2589" s="1">
        <v>-23.686</v>
      </c>
      <c r="P2589" s="35">
        <v>0</v>
      </c>
      <c r="Q2589" s="1">
        <v>23.684999999999999</v>
      </c>
      <c r="R2589" s="1">
        <v>47.386000000000003</v>
      </c>
      <c r="S2589" s="1">
        <v>71.117999999999995</v>
      </c>
      <c r="T2589" s="1">
        <v>94.888000000000005</v>
      </c>
      <c r="U2589" s="27"/>
      <c r="W2589" s="43"/>
      <c r="X2589" s="42"/>
      <c r="AA2589" s="30"/>
      <c r="AB2589" s="42"/>
    </row>
    <row r="2590" spans="1:28">
      <c r="A2590" s="1">
        <v>2550</v>
      </c>
      <c r="B2590" s="42">
        <v>45.59</v>
      </c>
      <c r="C2590" s="42">
        <v>45.59</v>
      </c>
      <c r="D2590" s="42">
        <v>45.59</v>
      </c>
      <c r="E2590" s="42">
        <v>45.59</v>
      </c>
      <c r="F2590" s="42">
        <v>45.59</v>
      </c>
      <c r="G2590" s="42">
        <v>45.59</v>
      </c>
      <c r="H2590" s="42">
        <v>45.59</v>
      </c>
      <c r="I2590" s="42">
        <v>45.58</v>
      </c>
      <c r="J2590" s="21">
        <v>8719</v>
      </c>
      <c r="K2590" s="1">
        <v>3600</v>
      </c>
      <c r="L2590" s="1">
        <v>-94.171999999999997</v>
      </c>
      <c r="M2590" s="1">
        <v>-70.578999999999994</v>
      </c>
      <c r="N2590" s="1">
        <v>-47.03</v>
      </c>
      <c r="O2590" s="1">
        <v>-23.507999999999999</v>
      </c>
      <c r="P2590" s="35">
        <v>0</v>
      </c>
      <c r="Q2590" s="1">
        <v>23.469000000000001</v>
      </c>
      <c r="R2590" s="1">
        <v>46.95</v>
      </c>
      <c r="S2590" s="1">
        <v>70.462999999999994</v>
      </c>
      <c r="T2590" s="1">
        <v>94.016000000000005</v>
      </c>
      <c r="U2590" s="25"/>
    </row>
    <row r="2591" spans="1:28">
      <c r="A2591" s="1">
        <v>2600</v>
      </c>
      <c r="B2591" s="42">
        <v>45.31</v>
      </c>
      <c r="C2591" s="42">
        <v>45.31</v>
      </c>
      <c r="D2591" s="42">
        <v>45.31</v>
      </c>
      <c r="E2591" s="42">
        <v>45.31</v>
      </c>
      <c r="F2591" s="42">
        <v>45.31</v>
      </c>
      <c r="G2591" s="42">
        <v>45.31</v>
      </c>
      <c r="H2591" s="42">
        <v>45.31</v>
      </c>
      <c r="I2591" s="42">
        <v>45.31</v>
      </c>
      <c r="J2591" s="21">
        <v>8669</v>
      </c>
      <c r="K2591" s="1">
        <v>3700</v>
      </c>
      <c r="L2591" s="1">
        <v>-93.382999999999996</v>
      </c>
      <c r="M2591" s="1">
        <v>-69.986999999999995</v>
      </c>
      <c r="N2591" s="1">
        <v>-46.634999999999998</v>
      </c>
      <c r="O2591" s="1">
        <v>-23.311</v>
      </c>
      <c r="P2591" s="35">
        <v>0</v>
      </c>
      <c r="Q2591" s="1">
        <v>23.004999999999999</v>
      </c>
      <c r="R2591" s="1">
        <v>46.026000000000003</v>
      </c>
      <c r="S2591" s="1">
        <v>69.073999999999998</v>
      </c>
      <c r="T2591" s="1">
        <v>92.162999999999997</v>
      </c>
      <c r="U2591" s="24"/>
    </row>
    <row r="2592" spans="1:28">
      <c r="A2592" s="1">
        <v>2650</v>
      </c>
      <c r="B2592" s="42">
        <v>45.04</v>
      </c>
      <c r="C2592" s="42">
        <v>45.04</v>
      </c>
      <c r="D2592" s="42">
        <v>45.04</v>
      </c>
      <c r="E2592" s="42">
        <v>45.03</v>
      </c>
      <c r="F2592" s="42">
        <v>45.03</v>
      </c>
      <c r="G2592" s="42">
        <v>45.03</v>
      </c>
      <c r="H2592" s="42">
        <v>45.03</v>
      </c>
      <c r="I2592" s="42">
        <v>45.03</v>
      </c>
      <c r="J2592" s="21">
        <v>8619</v>
      </c>
      <c r="K2592" s="1">
        <v>3800</v>
      </c>
      <c r="L2592" s="1">
        <v>-92.164000000000001</v>
      </c>
      <c r="M2592" s="1">
        <v>-69.072000000000003</v>
      </c>
      <c r="N2592" s="1">
        <v>-46.024000000000001</v>
      </c>
      <c r="O2592" s="1">
        <v>-23.007000000000001</v>
      </c>
      <c r="P2592" s="35">
        <v>0</v>
      </c>
      <c r="Q2592" s="1">
        <v>23.006</v>
      </c>
      <c r="R2592" s="1">
        <v>46.026000000000003</v>
      </c>
      <c r="S2592" s="1">
        <v>69.072999999999993</v>
      </c>
      <c r="T2592" s="1">
        <v>92.165000000000006</v>
      </c>
      <c r="U2592" s="25"/>
      <c r="V2592" s="918"/>
      <c r="W2592" s="918"/>
      <c r="X2592" s="42"/>
      <c r="Z2592" s="918"/>
      <c r="AA2592" s="918"/>
      <c r="AB2592" s="42"/>
    </row>
    <row r="2593" spans="1:21">
      <c r="A2593" s="1">
        <v>2700</v>
      </c>
      <c r="B2593" s="42">
        <v>44.76</v>
      </c>
      <c r="C2593" s="42">
        <v>44.76</v>
      </c>
      <c r="D2593" s="42">
        <v>44.76</v>
      </c>
      <c r="E2593" s="42">
        <v>44.76</v>
      </c>
      <c r="F2593" s="42">
        <v>44.76</v>
      </c>
      <c r="G2593" s="42">
        <v>44.76</v>
      </c>
      <c r="H2593" s="42">
        <v>44.76</v>
      </c>
      <c r="I2593" s="42">
        <v>44.76</v>
      </c>
      <c r="J2593" s="21">
        <v>8569</v>
      </c>
      <c r="K2593" s="1">
        <v>3900</v>
      </c>
      <c r="L2593" s="1">
        <v>-92.165000000000006</v>
      </c>
      <c r="M2593" s="1">
        <v>-69.072999999999993</v>
      </c>
      <c r="N2593" s="1">
        <v>-46.026000000000003</v>
      </c>
      <c r="O2593" s="1">
        <v>-23.007999999999999</v>
      </c>
      <c r="P2593" s="35">
        <v>0</v>
      </c>
      <c r="Q2593" s="1">
        <v>23.004999999999999</v>
      </c>
      <c r="R2593" s="1">
        <v>46.024000000000001</v>
      </c>
      <c r="S2593" s="1">
        <v>69.072000000000003</v>
      </c>
      <c r="T2593" s="1">
        <v>92.164000000000001</v>
      </c>
      <c r="U2593" s="25"/>
    </row>
    <row r="2594" spans="1:21">
      <c r="A2594" s="1">
        <v>2750</v>
      </c>
      <c r="B2594" s="42">
        <v>44.48</v>
      </c>
      <c r="C2594" s="42">
        <v>44.48</v>
      </c>
      <c r="D2594" s="42">
        <v>44.48</v>
      </c>
      <c r="E2594" s="42">
        <v>44.48</v>
      </c>
      <c r="F2594" s="42">
        <v>44.48</v>
      </c>
      <c r="G2594" s="42">
        <v>44.48</v>
      </c>
      <c r="H2594" s="42">
        <v>44.48</v>
      </c>
      <c r="I2594" s="42">
        <v>44.48</v>
      </c>
      <c r="J2594" s="21">
        <v>8519</v>
      </c>
      <c r="K2594" s="1">
        <v>4000</v>
      </c>
      <c r="L2594" s="1">
        <v>-92.164000000000001</v>
      </c>
      <c r="M2594" s="1">
        <v>-69.073999999999998</v>
      </c>
      <c r="N2594" s="1">
        <v>-46.026000000000003</v>
      </c>
      <c r="O2594" s="1">
        <v>-23.007000000000001</v>
      </c>
      <c r="P2594" s="35">
        <v>0</v>
      </c>
      <c r="Q2594" s="1">
        <v>23.006</v>
      </c>
      <c r="R2594" s="1">
        <v>46.026000000000003</v>
      </c>
      <c r="S2594" s="1">
        <v>69.073999999999998</v>
      </c>
      <c r="T2594" s="1">
        <v>92.162000000000006</v>
      </c>
      <c r="U2594" s="25"/>
    </row>
    <row r="2595" spans="1:21">
      <c r="A2595" s="1">
        <v>2800</v>
      </c>
      <c r="B2595" s="42">
        <v>44.2</v>
      </c>
      <c r="C2595" s="42">
        <v>44.2</v>
      </c>
      <c r="D2595" s="42">
        <v>44.2</v>
      </c>
      <c r="E2595" s="42">
        <v>44.2</v>
      </c>
      <c r="F2595" s="42">
        <v>44.2</v>
      </c>
      <c r="G2595" s="42">
        <v>44.2</v>
      </c>
      <c r="H2595" s="42">
        <v>44.2</v>
      </c>
      <c r="I2595" s="42">
        <v>44.2</v>
      </c>
      <c r="J2595" s="21">
        <v>8469</v>
      </c>
      <c r="K2595" s="1">
        <v>4100</v>
      </c>
      <c r="L2595" s="1">
        <v>-92.165000000000006</v>
      </c>
      <c r="M2595" s="1">
        <v>-69.072999999999993</v>
      </c>
      <c r="N2595" s="1">
        <v>-46.024999999999999</v>
      </c>
      <c r="O2595" s="1">
        <v>-23.007000000000001</v>
      </c>
      <c r="P2595" s="35">
        <v>0</v>
      </c>
      <c r="Q2595" s="1">
        <v>23.006</v>
      </c>
      <c r="R2595" s="1">
        <v>46.024000000000001</v>
      </c>
      <c r="S2595" s="1">
        <v>69.076999999999998</v>
      </c>
      <c r="T2595" s="1">
        <v>92.164000000000001</v>
      </c>
      <c r="U2595" s="25"/>
    </row>
    <row r="2596" spans="1:21">
      <c r="A2596" s="1">
        <v>2850</v>
      </c>
      <c r="B2596" s="42">
        <v>43.93</v>
      </c>
      <c r="C2596" s="42">
        <v>43.93</v>
      </c>
      <c r="D2596" s="42">
        <v>43.93</v>
      </c>
      <c r="E2596" s="42">
        <v>43.93</v>
      </c>
      <c r="F2596" s="42">
        <v>43.93</v>
      </c>
      <c r="G2596" s="42">
        <v>43.93</v>
      </c>
      <c r="H2596" s="42">
        <v>43.93</v>
      </c>
      <c r="I2596" s="42">
        <v>43.93</v>
      </c>
      <c r="J2596" s="21">
        <v>8419</v>
      </c>
      <c r="K2596" s="1">
        <v>4200</v>
      </c>
      <c r="L2596" s="1">
        <v>-92.165000000000006</v>
      </c>
      <c r="M2596" s="1">
        <v>-69.075000000000003</v>
      </c>
      <c r="N2596" s="1">
        <v>-46.026000000000003</v>
      </c>
      <c r="O2596" s="1">
        <v>-23.007999999999999</v>
      </c>
      <c r="P2596" s="35">
        <v>0</v>
      </c>
      <c r="Q2596" s="1">
        <v>23.004999999999999</v>
      </c>
      <c r="R2596" s="1">
        <v>46.023000000000003</v>
      </c>
      <c r="S2596" s="1">
        <v>69.073999999999998</v>
      </c>
      <c r="T2596" s="1">
        <v>92.162000000000006</v>
      </c>
      <c r="U2596" s="24"/>
    </row>
    <row r="2597" spans="1:21">
      <c r="A2597" s="1">
        <v>2900</v>
      </c>
      <c r="B2597" s="42">
        <v>43.65</v>
      </c>
      <c r="C2597" s="42">
        <v>43.65</v>
      </c>
      <c r="D2597" s="42">
        <v>43.65</v>
      </c>
      <c r="E2597" s="42">
        <v>43.65</v>
      </c>
      <c r="F2597" s="42">
        <v>43.65</v>
      </c>
      <c r="G2597" s="42">
        <v>43.65</v>
      </c>
      <c r="H2597" s="42">
        <v>43.65</v>
      </c>
      <c r="I2597" s="42">
        <v>43.65</v>
      </c>
      <c r="J2597" s="21">
        <v>8369</v>
      </c>
      <c r="K2597" s="1">
        <v>4300</v>
      </c>
      <c r="L2597" s="1">
        <v>-92.162000000000006</v>
      </c>
      <c r="M2597" s="1">
        <v>-69.070999999999998</v>
      </c>
      <c r="N2597" s="1">
        <v>-46.024000000000001</v>
      </c>
      <c r="O2597" s="1">
        <v>-23.007000000000001</v>
      </c>
      <c r="P2597" s="35">
        <v>0</v>
      </c>
      <c r="Q2597" s="1">
        <v>23.004999999999999</v>
      </c>
      <c r="R2597" s="1">
        <v>46.023000000000003</v>
      </c>
      <c r="S2597" s="1">
        <v>69.073999999999998</v>
      </c>
      <c r="T2597" s="1">
        <v>92.164000000000001</v>
      </c>
      <c r="U2597" s="25"/>
    </row>
    <row r="2598" spans="1:21">
      <c r="A2598" s="1">
        <v>2950</v>
      </c>
      <c r="B2598" s="42">
        <v>43.37</v>
      </c>
      <c r="C2598" s="42">
        <v>43.37</v>
      </c>
      <c r="D2598" s="42">
        <v>43.37</v>
      </c>
      <c r="E2598" s="42">
        <v>43.37</v>
      </c>
      <c r="F2598" s="42">
        <v>43.37</v>
      </c>
      <c r="G2598" s="42">
        <v>43.37</v>
      </c>
      <c r="H2598" s="42">
        <v>43.37</v>
      </c>
      <c r="I2598" s="42">
        <v>43.37</v>
      </c>
      <c r="J2598" s="21">
        <v>8319</v>
      </c>
      <c r="K2598" s="1">
        <v>4400</v>
      </c>
      <c r="L2598" s="1">
        <v>-92.164000000000001</v>
      </c>
      <c r="M2598" s="1">
        <v>-69.072000000000003</v>
      </c>
      <c r="N2598" s="1">
        <v>-46.027000000000001</v>
      </c>
      <c r="O2598" s="1">
        <v>-23.007000000000001</v>
      </c>
      <c r="P2598" s="35">
        <v>0</v>
      </c>
      <c r="Q2598" s="1">
        <v>23.004999999999999</v>
      </c>
      <c r="R2598" s="1">
        <v>46.027000000000001</v>
      </c>
      <c r="S2598" s="1">
        <v>69.073999999999998</v>
      </c>
      <c r="T2598" s="1">
        <v>92.165000000000006</v>
      </c>
      <c r="U2598" s="24"/>
    </row>
    <row r="2599" spans="1:21">
      <c r="A2599" s="1">
        <v>3000</v>
      </c>
      <c r="B2599" s="42">
        <v>43.09</v>
      </c>
      <c r="C2599" s="42">
        <v>43.09</v>
      </c>
      <c r="D2599" s="42">
        <v>43.09</v>
      </c>
      <c r="E2599" s="42">
        <v>43.1</v>
      </c>
      <c r="F2599" s="42">
        <v>43.1</v>
      </c>
      <c r="G2599" s="42">
        <v>43.1</v>
      </c>
      <c r="H2599" s="42">
        <v>43.1</v>
      </c>
      <c r="I2599" s="42">
        <v>43.1</v>
      </c>
      <c r="J2599" s="21">
        <v>8269</v>
      </c>
      <c r="K2599" s="1">
        <v>4500</v>
      </c>
      <c r="L2599" s="1">
        <v>-92.165999999999997</v>
      </c>
      <c r="M2599" s="1">
        <v>-69.073999999999998</v>
      </c>
      <c r="N2599" s="1">
        <v>-46.027999999999999</v>
      </c>
      <c r="O2599" s="1">
        <v>-23.007000000000001</v>
      </c>
      <c r="P2599" s="35">
        <v>0</v>
      </c>
      <c r="Q2599" s="1">
        <v>23.004999999999999</v>
      </c>
      <c r="R2599" s="1">
        <v>46.026000000000003</v>
      </c>
      <c r="S2599" s="1">
        <v>69.072000000000003</v>
      </c>
      <c r="T2599" s="1">
        <v>92.162000000000006</v>
      </c>
      <c r="U2599" s="26"/>
    </row>
    <row r="2600" spans="1:21">
      <c r="A2600" s="1">
        <v>3050</v>
      </c>
      <c r="B2600" s="42">
        <v>42.82</v>
      </c>
      <c r="C2600" s="42">
        <v>42.82</v>
      </c>
      <c r="D2600" s="42">
        <v>42.82</v>
      </c>
      <c r="E2600" s="42">
        <v>42.82</v>
      </c>
      <c r="F2600" s="42">
        <v>42.82</v>
      </c>
      <c r="G2600" s="42">
        <v>42.82</v>
      </c>
      <c r="H2600" s="42">
        <v>42.82</v>
      </c>
      <c r="I2600" s="42">
        <v>42.82</v>
      </c>
      <c r="J2600" s="21">
        <v>8219</v>
      </c>
      <c r="K2600" s="1">
        <v>4600</v>
      </c>
      <c r="L2600" s="1">
        <v>-92.164000000000001</v>
      </c>
      <c r="M2600" s="1">
        <v>-69.072999999999993</v>
      </c>
      <c r="N2600" s="1">
        <v>-46.027000000000001</v>
      </c>
      <c r="O2600" s="1">
        <v>-23.007000000000001</v>
      </c>
      <c r="P2600" s="35">
        <v>0</v>
      </c>
      <c r="Q2600" s="1">
        <v>23.004999999999999</v>
      </c>
      <c r="R2600" s="1">
        <v>46.023000000000003</v>
      </c>
      <c r="S2600" s="1">
        <v>69.072000000000003</v>
      </c>
      <c r="T2600" s="1">
        <v>92.162999999999997</v>
      </c>
      <c r="U2600" s="24"/>
    </row>
    <row r="2601" spans="1:21">
      <c r="A2601" s="1">
        <v>3100</v>
      </c>
      <c r="B2601" s="42">
        <v>42.54</v>
      </c>
      <c r="C2601" s="42">
        <v>42.54</v>
      </c>
      <c r="D2601" s="42">
        <v>42.54</v>
      </c>
      <c r="E2601" s="42">
        <v>42.54</v>
      </c>
      <c r="F2601" s="42">
        <v>42.54</v>
      </c>
      <c r="G2601" s="42">
        <v>42.54</v>
      </c>
      <c r="H2601" s="42">
        <v>42.54</v>
      </c>
      <c r="I2601" s="42">
        <v>42.54</v>
      </c>
      <c r="J2601" s="21">
        <v>8169</v>
      </c>
      <c r="K2601" s="1">
        <v>4700</v>
      </c>
      <c r="L2601" s="1">
        <v>-92.164000000000001</v>
      </c>
      <c r="M2601" s="1">
        <v>-69.073999999999998</v>
      </c>
      <c r="N2601" s="1">
        <v>-46.024000000000001</v>
      </c>
      <c r="O2601" s="1">
        <v>-23.007000000000001</v>
      </c>
      <c r="P2601" s="35">
        <v>0</v>
      </c>
      <c r="Q2601" s="1">
        <v>23.004999999999999</v>
      </c>
      <c r="R2601" s="1">
        <v>46.024999999999999</v>
      </c>
      <c r="S2601" s="1">
        <v>69.072000000000003</v>
      </c>
      <c r="T2601" s="1">
        <v>92.162999999999997</v>
      </c>
      <c r="U2601" s="24"/>
    </row>
    <row r="2602" spans="1:21">
      <c r="A2602" s="1">
        <v>3150</v>
      </c>
      <c r="B2602" s="42">
        <v>42.26</v>
      </c>
      <c r="C2602" s="42">
        <v>42.26</v>
      </c>
      <c r="D2602" s="42">
        <v>42.26</v>
      </c>
      <c r="E2602" s="42">
        <v>42.26</v>
      </c>
      <c r="F2602" s="42">
        <v>42.26</v>
      </c>
      <c r="G2602" s="42">
        <v>42.26</v>
      </c>
      <c r="H2602" s="42">
        <v>42.27</v>
      </c>
      <c r="I2602" s="42">
        <v>42.27</v>
      </c>
      <c r="J2602" s="21">
        <v>8119</v>
      </c>
      <c r="K2602" s="1">
        <v>4800</v>
      </c>
      <c r="L2602" s="1">
        <v>-92.165000000000006</v>
      </c>
      <c r="M2602" s="1">
        <v>-69.070999999999998</v>
      </c>
      <c r="N2602" s="1">
        <v>-46.024999999999999</v>
      </c>
      <c r="O2602" s="1">
        <v>-23.006</v>
      </c>
      <c r="P2602" s="35">
        <v>0</v>
      </c>
      <c r="Q2602" s="1">
        <v>23.006</v>
      </c>
      <c r="R2602" s="1">
        <v>46.027999999999999</v>
      </c>
      <c r="S2602" s="1">
        <v>69.075000000000003</v>
      </c>
      <c r="T2602" s="1">
        <v>92.164000000000001</v>
      </c>
      <c r="U2602" s="25"/>
    </row>
    <row r="2603" spans="1:21">
      <c r="A2603" s="1">
        <v>3200</v>
      </c>
      <c r="B2603" s="42">
        <v>41.98</v>
      </c>
      <c r="C2603" s="42">
        <v>41.99</v>
      </c>
      <c r="D2603" s="42">
        <v>41.99</v>
      </c>
      <c r="E2603" s="42">
        <v>41.99</v>
      </c>
      <c r="F2603" s="42">
        <v>41.99</v>
      </c>
      <c r="G2603" s="42">
        <v>41.99</v>
      </c>
      <c r="H2603" s="42">
        <v>41.98</v>
      </c>
      <c r="I2603" s="42">
        <v>41.99</v>
      </c>
      <c r="J2603" s="21">
        <v>8069</v>
      </c>
      <c r="K2603" s="1">
        <v>4900</v>
      </c>
      <c r="L2603" s="1">
        <v>-92.165000000000006</v>
      </c>
      <c r="M2603" s="1">
        <v>-69.072999999999993</v>
      </c>
      <c r="N2603" s="1">
        <v>-46.026000000000003</v>
      </c>
      <c r="O2603" s="1">
        <v>-23.006</v>
      </c>
      <c r="P2603" s="35">
        <v>0</v>
      </c>
      <c r="Q2603" s="1">
        <v>23.004999999999999</v>
      </c>
      <c r="R2603" s="1">
        <v>46.027000000000001</v>
      </c>
      <c r="S2603" s="1">
        <v>69.075999999999993</v>
      </c>
      <c r="T2603" s="1">
        <v>92.162999999999997</v>
      </c>
      <c r="U2603" s="28"/>
    </row>
    <row r="2604" spans="1:21">
      <c r="A2604" s="1">
        <v>3250</v>
      </c>
      <c r="B2604" s="42">
        <v>41.71</v>
      </c>
      <c r="C2604" s="42">
        <v>41.71</v>
      </c>
      <c r="D2604" s="42">
        <v>41.71</v>
      </c>
      <c r="E2604" s="42">
        <v>41.71</v>
      </c>
      <c r="F2604" s="42">
        <v>41.71</v>
      </c>
      <c r="G2604" s="42">
        <v>41.71</v>
      </c>
      <c r="H2604" s="42">
        <v>41.71</v>
      </c>
      <c r="I2604" s="42">
        <v>41.71</v>
      </c>
      <c r="J2604" s="21">
        <v>8019</v>
      </c>
      <c r="K2604" s="1">
        <v>5000</v>
      </c>
      <c r="L2604" s="1">
        <v>-92.164000000000001</v>
      </c>
      <c r="M2604" s="1">
        <v>-69.072999999999993</v>
      </c>
      <c r="N2604" s="1">
        <v>-46.026000000000003</v>
      </c>
      <c r="O2604" s="1">
        <v>-23.006</v>
      </c>
      <c r="P2604" s="35">
        <v>0</v>
      </c>
      <c r="Q2604" s="1">
        <v>23.004999999999999</v>
      </c>
      <c r="R2604" s="1">
        <v>46.026000000000003</v>
      </c>
      <c r="S2604" s="1">
        <v>69.072999999999993</v>
      </c>
      <c r="T2604" s="1">
        <v>92.162000000000006</v>
      </c>
    </row>
    <row r="2605" spans="1:21">
      <c r="A2605" s="1">
        <v>3300</v>
      </c>
      <c r="B2605" s="42">
        <v>41.43</v>
      </c>
      <c r="C2605" s="42">
        <v>41.43</v>
      </c>
      <c r="D2605" s="42">
        <v>41.43</v>
      </c>
      <c r="E2605" s="42">
        <v>41.43</v>
      </c>
      <c r="F2605" s="42">
        <v>41.43</v>
      </c>
      <c r="G2605" s="42">
        <v>41.43</v>
      </c>
      <c r="H2605" s="42">
        <v>41.44</v>
      </c>
      <c r="I2605" s="42">
        <v>41.44</v>
      </c>
      <c r="J2605" s="21">
        <v>7969</v>
      </c>
      <c r="K2605" s="1">
        <v>5100</v>
      </c>
      <c r="L2605" s="1">
        <v>-92.164000000000001</v>
      </c>
      <c r="M2605" s="1">
        <v>-69.072000000000003</v>
      </c>
      <c r="N2605" s="1">
        <v>-46.024999999999999</v>
      </c>
      <c r="O2605" s="1">
        <v>-23.004999999999999</v>
      </c>
      <c r="P2605" s="35">
        <v>0</v>
      </c>
      <c r="Q2605" s="1">
        <v>23.004999999999999</v>
      </c>
      <c r="R2605" s="1">
        <v>46.024999999999999</v>
      </c>
      <c r="S2605" s="1">
        <v>69.072999999999993</v>
      </c>
      <c r="T2605" s="1">
        <v>92.162999999999997</v>
      </c>
    </row>
    <row r="2606" spans="1:21">
      <c r="A2606" s="1">
        <v>3350</v>
      </c>
      <c r="B2606" s="42">
        <v>41.15</v>
      </c>
      <c r="C2606" s="42">
        <v>41.15</v>
      </c>
      <c r="D2606" s="42">
        <v>41.15</v>
      </c>
      <c r="E2606" s="42">
        <v>41.16</v>
      </c>
      <c r="F2606" s="42">
        <v>41.16</v>
      </c>
      <c r="G2606" s="42">
        <v>41.16</v>
      </c>
      <c r="H2606" s="42">
        <v>41.16</v>
      </c>
      <c r="I2606" s="42">
        <v>41.16</v>
      </c>
      <c r="J2606" s="21">
        <v>7919</v>
      </c>
      <c r="K2606" s="1">
        <v>5200</v>
      </c>
      <c r="L2606" s="1">
        <v>-92.164000000000001</v>
      </c>
      <c r="M2606" s="1">
        <v>-69.072999999999993</v>
      </c>
      <c r="N2606" s="1">
        <v>-46.024999999999999</v>
      </c>
      <c r="O2606" s="1">
        <v>-23.006</v>
      </c>
      <c r="P2606" s="35">
        <v>0</v>
      </c>
      <c r="Q2606" s="1">
        <v>23.004999999999999</v>
      </c>
      <c r="R2606" s="1">
        <v>46.024999999999999</v>
      </c>
      <c r="S2606" s="1">
        <v>69.073999999999998</v>
      </c>
      <c r="T2606" s="1">
        <v>92.162999999999997</v>
      </c>
    </row>
    <row r="2607" spans="1:21">
      <c r="A2607" s="1">
        <v>3400</v>
      </c>
      <c r="B2607" s="42">
        <v>40.880000000000003</v>
      </c>
      <c r="C2607" s="42">
        <v>40.880000000000003</v>
      </c>
      <c r="D2607" s="42">
        <v>40.880000000000003</v>
      </c>
      <c r="E2607" s="42">
        <v>40.880000000000003</v>
      </c>
      <c r="F2607" s="42">
        <v>40.880000000000003</v>
      </c>
      <c r="G2607" s="42">
        <v>40.880000000000003</v>
      </c>
      <c r="H2607" s="42">
        <v>40.880000000000003</v>
      </c>
      <c r="I2607" s="42">
        <v>40.880000000000003</v>
      </c>
      <c r="J2607" s="21">
        <v>7869</v>
      </c>
      <c r="K2607" s="1">
        <v>5300</v>
      </c>
      <c r="L2607" s="1">
        <v>-92.165000000000006</v>
      </c>
      <c r="M2607" s="1">
        <v>-69.072999999999993</v>
      </c>
      <c r="N2607" s="1">
        <v>-46.024999999999999</v>
      </c>
      <c r="O2607" s="1">
        <v>-23.004999999999999</v>
      </c>
      <c r="P2607" s="35">
        <v>0</v>
      </c>
      <c r="Q2607" s="1">
        <v>23.006</v>
      </c>
      <c r="R2607" s="1">
        <v>46.027000000000001</v>
      </c>
      <c r="S2607" s="1">
        <v>69.075000000000003</v>
      </c>
      <c r="T2607" s="1">
        <v>92.162000000000006</v>
      </c>
    </row>
    <row r="2608" spans="1:21">
      <c r="A2608" s="1">
        <v>3450</v>
      </c>
      <c r="B2608" s="42">
        <v>40.6</v>
      </c>
      <c r="C2608" s="42">
        <v>40.6</v>
      </c>
      <c r="D2608" s="42">
        <v>40.6</v>
      </c>
      <c r="E2608" s="42">
        <v>40.6</v>
      </c>
      <c r="F2608" s="42">
        <v>40.6</v>
      </c>
      <c r="G2608" s="42">
        <v>40.6</v>
      </c>
      <c r="H2608" s="42">
        <v>40.6</v>
      </c>
      <c r="I2608" s="42">
        <v>40.61</v>
      </c>
      <c r="J2608" s="21">
        <v>7819</v>
      </c>
      <c r="K2608" s="1">
        <v>5400</v>
      </c>
      <c r="L2608" s="1">
        <v>-92.165000000000006</v>
      </c>
      <c r="M2608" s="1">
        <v>-69.072999999999993</v>
      </c>
      <c r="N2608" s="1">
        <v>-46.026000000000003</v>
      </c>
      <c r="O2608" s="1">
        <v>-23.004999999999999</v>
      </c>
      <c r="P2608" s="35">
        <v>0</v>
      </c>
      <c r="Q2608" s="1">
        <v>23.004999999999999</v>
      </c>
      <c r="R2608" s="1">
        <v>46.026000000000003</v>
      </c>
      <c r="S2608" s="1">
        <v>69.075000000000003</v>
      </c>
      <c r="T2608" s="1">
        <v>92.162999999999997</v>
      </c>
    </row>
    <row r="2609" spans="1:20">
      <c r="A2609" s="1">
        <v>3500</v>
      </c>
      <c r="B2609" s="42">
        <v>40.32</v>
      </c>
      <c r="C2609" s="42">
        <v>40.32</v>
      </c>
      <c r="D2609" s="42">
        <v>40.32</v>
      </c>
      <c r="E2609" s="42">
        <v>40.32</v>
      </c>
      <c r="F2609" s="42">
        <v>40.33</v>
      </c>
      <c r="G2609" s="42">
        <v>40.33</v>
      </c>
      <c r="H2609" s="42">
        <v>40.33</v>
      </c>
      <c r="I2609" s="42">
        <v>40.33</v>
      </c>
      <c r="J2609" s="21">
        <v>7769</v>
      </c>
      <c r="K2609" s="1">
        <v>5500</v>
      </c>
      <c r="L2609" s="1">
        <v>-92.164000000000001</v>
      </c>
      <c r="M2609" s="1">
        <v>-69.073999999999998</v>
      </c>
      <c r="N2609" s="1">
        <v>-46.026000000000003</v>
      </c>
      <c r="O2609" s="1">
        <v>-23.006</v>
      </c>
      <c r="P2609" s="35">
        <v>0</v>
      </c>
      <c r="Q2609" s="1">
        <v>23.004999999999999</v>
      </c>
      <c r="R2609" s="1">
        <v>46.026000000000003</v>
      </c>
      <c r="S2609" s="1">
        <v>69.073999999999998</v>
      </c>
      <c r="T2609" s="1">
        <v>92.164000000000001</v>
      </c>
    </row>
    <row r="2610" spans="1:20">
      <c r="A2610" s="1">
        <v>3550</v>
      </c>
      <c r="B2610" s="42">
        <v>40.04</v>
      </c>
      <c r="C2610" s="42">
        <v>40.04</v>
      </c>
      <c r="D2610" s="42">
        <v>40.049999999999997</v>
      </c>
      <c r="E2610" s="42">
        <v>40.049999999999997</v>
      </c>
      <c r="F2610" s="42">
        <v>40.049999999999997</v>
      </c>
      <c r="G2610" s="42">
        <v>40.049999999999997</v>
      </c>
      <c r="H2610" s="42">
        <v>40.51</v>
      </c>
      <c r="I2610" s="42">
        <v>40.049999999999997</v>
      </c>
      <c r="J2610" s="21">
        <v>7719</v>
      </c>
      <c r="K2610" s="1">
        <v>5600</v>
      </c>
      <c r="L2610" s="1">
        <v>-92.165000000000006</v>
      </c>
      <c r="M2610" s="1">
        <v>-69.073999999999998</v>
      </c>
      <c r="N2610" s="1">
        <v>-46.026000000000003</v>
      </c>
      <c r="O2610" s="1">
        <v>-23.006</v>
      </c>
      <c r="P2610" s="35">
        <v>0</v>
      </c>
      <c r="Q2610" s="1">
        <v>23.004999999999999</v>
      </c>
      <c r="R2610" s="1">
        <v>46.024000000000001</v>
      </c>
      <c r="S2610" s="1">
        <v>69.072000000000003</v>
      </c>
      <c r="T2610" s="1">
        <v>92.162000000000006</v>
      </c>
    </row>
    <row r="2611" spans="1:20">
      <c r="A2611" s="1">
        <v>3600</v>
      </c>
      <c r="B2611" s="42">
        <v>39.770000000000003</v>
      </c>
      <c r="C2611" s="42">
        <v>39.770000000000003</v>
      </c>
      <c r="D2611" s="42">
        <v>39.770000000000003</v>
      </c>
      <c r="E2611" s="42">
        <v>39.770000000000003</v>
      </c>
      <c r="F2611" s="42">
        <v>39.770000000000003</v>
      </c>
      <c r="G2611" s="42">
        <v>39.770000000000003</v>
      </c>
      <c r="H2611" s="42">
        <v>39.770000000000003</v>
      </c>
      <c r="I2611" s="42">
        <v>39.78</v>
      </c>
      <c r="J2611" s="21">
        <v>7669</v>
      </c>
      <c r="K2611" s="1">
        <v>5700</v>
      </c>
      <c r="L2611" s="1">
        <v>-92.162999999999997</v>
      </c>
      <c r="M2611" s="1">
        <v>-69.072999999999993</v>
      </c>
      <c r="N2611" s="1">
        <v>-46.024999999999999</v>
      </c>
      <c r="O2611" s="1">
        <v>-23.006</v>
      </c>
      <c r="P2611" s="35">
        <v>0</v>
      </c>
      <c r="Q2611" s="1">
        <v>23.004999999999999</v>
      </c>
      <c r="R2611" s="1">
        <v>46.024999999999999</v>
      </c>
      <c r="S2611" s="1">
        <v>69.073999999999998</v>
      </c>
      <c r="T2611" s="1">
        <v>92.165000000000006</v>
      </c>
    </row>
    <row r="2612" spans="1:20">
      <c r="A2612" s="1">
        <v>3650</v>
      </c>
      <c r="B2612" s="42">
        <v>39.49</v>
      </c>
      <c r="C2612" s="42">
        <v>39.49</v>
      </c>
      <c r="D2612" s="42">
        <v>39.49</v>
      </c>
      <c r="E2612" s="42">
        <v>39.49</v>
      </c>
      <c r="F2612" s="42">
        <v>39.49</v>
      </c>
      <c r="G2612" s="42">
        <v>39.5</v>
      </c>
      <c r="H2612" s="42">
        <v>39.5</v>
      </c>
      <c r="I2612" s="42">
        <v>39.5</v>
      </c>
      <c r="J2612" s="21">
        <v>7619</v>
      </c>
      <c r="K2612" s="1">
        <v>5800</v>
      </c>
      <c r="L2612" s="1">
        <v>-92.165000000000006</v>
      </c>
      <c r="M2612" s="1">
        <v>-69.073999999999998</v>
      </c>
      <c r="N2612" s="1">
        <v>-46.027000000000001</v>
      </c>
      <c r="O2612" s="1">
        <v>-23.006</v>
      </c>
      <c r="P2612" s="35">
        <v>0</v>
      </c>
      <c r="Q2612" s="1">
        <v>23.004999999999999</v>
      </c>
      <c r="R2612" s="1">
        <v>46.024999999999999</v>
      </c>
      <c r="S2612" s="1">
        <v>69.073999999999998</v>
      </c>
      <c r="T2612" s="1">
        <v>92.164000000000001</v>
      </c>
    </row>
    <row r="2613" spans="1:20">
      <c r="A2613" s="1">
        <v>3700</v>
      </c>
      <c r="B2613" s="42">
        <v>39.21</v>
      </c>
      <c r="C2613" s="42">
        <v>39.21</v>
      </c>
      <c r="D2613" s="42">
        <v>39.21</v>
      </c>
      <c r="E2613" s="42">
        <v>39.21</v>
      </c>
      <c r="F2613" s="42">
        <v>39.22</v>
      </c>
      <c r="G2613" s="42">
        <v>39.22</v>
      </c>
      <c r="H2613" s="42">
        <v>39.22</v>
      </c>
      <c r="I2613" s="42">
        <v>39.22</v>
      </c>
      <c r="J2613" s="21">
        <v>7569</v>
      </c>
      <c r="K2613" s="1">
        <v>5900</v>
      </c>
      <c r="L2613" s="1">
        <v>-92.164000000000001</v>
      </c>
      <c r="M2613" s="1">
        <v>-69.073999999999998</v>
      </c>
      <c r="N2613" s="1">
        <v>-46.024999999999999</v>
      </c>
      <c r="O2613" s="1">
        <v>-23.004999999999999</v>
      </c>
      <c r="P2613" s="35">
        <v>0</v>
      </c>
      <c r="Q2613" s="1">
        <v>23.004999999999999</v>
      </c>
      <c r="R2613" s="1">
        <v>46.024999999999999</v>
      </c>
      <c r="S2613" s="1">
        <v>69.072999999999993</v>
      </c>
      <c r="T2613" s="1">
        <v>92.12</v>
      </c>
    </row>
    <row r="2614" spans="1:20">
      <c r="A2614" s="1">
        <v>3750</v>
      </c>
      <c r="B2614" s="42">
        <v>38.93</v>
      </c>
      <c r="C2614" s="42">
        <v>38.93</v>
      </c>
      <c r="D2614" s="42">
        <v>38.93</v>
      </c>
      <c r="E2614" s="42">
        <v>38.93</v>
      </c>
      <c r="F2614" s="42">
        <v>38.93</v>
      </c>
      <c r="G2614" s="42">
        <v>38.94</v>
      </c>
      <c r="H2614" s="42">
        <v>38.94</v>
      </c>
      <c r="I2614" s="42">
        <v>38.94</v>
      </c>
      <c r="J2614" s="21">
        <v>7519</v>
      </c>
      <c r="K2614" s="1">
        <v>6000</v>
      </c>
      <c r="L2614" s="1">
        <v>-92.162000000000006</v>
      </c>
      <c r="M2614" s="1">
        <v>-69.072000000000003</v>
      </c>
      <c r="N2614" s="1">
        <v>-46.024000000000001</v>
      </c>
      <c r="O2614" s="1">
        <v>-23.004999999999999</v>
      </c>
      <c r="P2614" s="35">
        <v>0</v>
      </c>
      <c r="Q2614" s="1">
        <v>23.009</v>
      </c>
      <c r="R2614" s="1">
        <v>46.006999999999998</v>
      </c>
      <c r="S2614" s="1">
        <v>68.902000000000001</v>
      </c>
      <c r="T2614" s="1">
        <v>91.700999999999993</v>
      </c>
    </row>
    <row r="2615" spans="1:20">
      <c r="A2615" s="1">
        <v>3800</v>
      </c>
      <c r="B2615" s="42">
        <v>38.65</v>
      </c>
      <c r="C2615" s="42">
        <v>38.65</v>
      </c>
      <c r="D2615" s="42">
        <v>38.65</v>
      </c>
      <c r="E2615" s="42">
        <v>38.65</v>
      </c>
      <c r="F2615" s="42">
        <v>38.65</v>
      </c>
      <c r="G2615" s="42">
        <v>38.65</v>
      </c>
      <c r="H2615" s="42">
        <v>38.659999999999997</v>
      </c>
      <c r="I2615" s="42">
        <v>38.659999999999997</v>
      </c>
      <c r="J2615" s="21">
        <v>7469</v>
      </c>
      <c r="K2615" s="1">
        <v>6100</v>
      </c>
      <c r="L2615" s="1">
        <v>-92.164000000000001</v>
      </c>
      <c r="M2615" s="1">
        <v>-69.069000000000003</v>
      </c>
      <c r="N2615" s="1">
        <v>-46.018000000000001</v>
      </c>
      <c r="O2615" s="1">
        <v>-22.994</v>
      </c>
      <c r="P2615" s="35">
        <v>0</v>
      </c>
      <c r="Q2615" s="1">
        <v>22.952000000000002</v>
      </c>
      <c r="R2615" s="1">
        <v>45.780999999999999</v>
      </c>
      <c r="S2615" s="1">
        <v>68.5</v>
      </c>
      <c r="T2615" s="1">
        <v>91.123999999999995</v>
      </c>
    </row>
    <row r="2616" spans="1:20">
      <c r="A2616" s="1">
        <v>3850</v>
      </c>
      <c r="B2616" s="42">
        <v>38.369999999999997</v>
      </c>
      <c r="C2616" s="42">
        <v>38.369999999999997</v>
      </c>
      <c r="D2616" s="42">
        <v>38.369999999999997</v>
      </c>
      <c r="E2616" s="42">
        <v>38.369999999999997</v>
      </c>
      <c r="F2616" s="42">
        <v>38.369999999999997</v>
      </c>
      <c r="G2616" s="42">
        <v>38.369999999999997</v>
      </c>
      <c r="H2616" s="42">
        <v>38.380000000000003</v>
      </c>
      <c r="I2616" s="42">
        <v>38.380000000000003</v>
      </c>
      <c r="J2616" s="21">
        <v>7419</v>
      </c>
      <c r="K2616" s="1">
        <v>6200</v>
      </c>
      <c r="L2616" s="1">
        <v>-92.119</v>
      </c>
      <c r="M2616" s="1">
        <v>-68.944999999999993</v>
      </c>
      <c r="N2616" s="1">
        <v>-45.820999999999998</v>
      </c>
      <c r="O2616" s="1">
        <v>-22.834</v>
      </c>
      <c r="P2616" s="35">
        <v>0</v>
      </c>
      <c r="Q2616" s="1">
        <v>22.803999999999998</v>
      </c>
      <c r="R2616" s="1">
        <v>45.484999999999999</v>
      </c>
      <c r="S2616" s="1">
        <v>68.058000000000007</v>
      </c>
      <c r="T2616" s="1">
        <v>90.537000000000006</v>
      </c>
    </row>
    <row r="2617" spans="1:20">
      <c r="A2617" s="1">
        <v>3900</v>
      </c>
      <c r="B2617" s="42">
        <v>38.08</v>
      </c>
      <c r="C2617" s="42">
        <v>38.090000000000003</v>
      </c>
      <c r="D2617" s="42">
        <v>38.090000000000003</v>
      </c>
      <c r="E2617" s="42">
        <v>38.090000000000003</v>
      </c>
      <c r="F2617" s="42">
        <v>38.090000000000003</v>
      </c>
      <c r="G2617" s="42">
        <v>38.090000000000003</v>
      </c>
      <c r="H2617" s="42">
        <v>38.090000000000003</v>
      </c>
      <c r="I2617" s="42">
        <v>38.1</v>
      </c>
      <c r="J2617" s="21">
        <v>7369</v>
      </c>
      <c r="K2617" s="1">
        <v>6300</v>
      </c>
      <c r="L2617" s="1">
        <v>-91.716999999999999</v>
      </c>
      <c r="M2617" s="1">
        <v>-68.528000000000006</v>
      </c>
      <c r="N2617" s="1">
        <v>-45.523000000000003</v>
      </c>
      <c r="O2617" s="1">
        <v>-22.684999999999999</v>
      </c>
      <c r="P2617" s="35">
        <v>0</v>
      </c>
      <c r="Q2617" s="1">
        <v>22.657</v>
      </c>
      <c r="R2617" s="1">
        <v>45.192999999999998</v>
      </c>
      <c r="S2617" s="1">
        <v>67.62</v>
      </c>
      <c r="T2617" s="1">
        <v>89.951999999999998</v>
      </c>
    </row>
    <row r="2618" spans="1:20">
      <c r="A2618" s="1">
        <v>3950</v>
      </c>
      <c r="B2618" s="42">
        <v>37.799999999999997</v>
      </c>
      <c r="C2618" s="42">
        <v>37.81</v>
      </c>
      <c r="D2618" s="42">
        <v>37.81</v>
      </c>
      <c r="E2618" s="42">
        <v>37.81</v>
      </c>
      <c r="F2618" s="42">
        <v>37.81</v>
      </c>
      <c r="G2618" s="42">
        <v>37.81</v>
      </c>
      <c r="H2618" s="42">
        <v>37.81</v>
      </c>
      <c r="I2618" s="42">
        <v>37.82</v>
      </c>
      <c r="J2618" s="21">
        <v>7319</v>
      </c>
      <c r="K2618" s="1">
        <v>6400</v>
      </c>
      <c r="L2618" s="1">
        <v>-91.12</v>
      </c>
      <c r="M2618" s="1">
        <v>-68.081999999999994</v>
      </c>
      <c r="N2618" s="1">
        <v>-45.226999999999997</v>
      </c>
      <c r="O2618" s="1">
        <v>-22.538</v>
      </c>
      <c r="P2618" s="35">
        <v>0</v>
      </c>
      <c r="Q2618" s="1">
        <v>22.509</v>
      </c>
      <c r="R2618" s="1">
        <v>44.896999999999998</v>
      </c>
      <c r="S2618" s="1">
        <v>67.177999999999997</v>
      </c>
      <c r="T2618" s="1">
        <v>89.364999999999995</v>
      </c>
    </row>
    <row r="2619" spans="1:20">
      <c r="A2619" s="1">
        <v>4000</v>
      </c>
      <c r="B2619" s="42">
        <v>37.520000000000003</v>
      </c>
      <c r="C2619" s="42">
        <v>37.520000000000003</v>
      </c>
      <c r="D2619" s="42">
        <v>37.53</v>
      </c>
      <c r="E2619" s="42">
        <v>37.53</v>
      </c>
      <c r="F2619" s="42">
        <v>37.53</v>
      </c>
      <c r="G2619" s="42">
        <v>37.53</v>
      </c>
      <c r="H2619" s="42">
        <v>37.53</v>
      </c>
      <c r="I2619" s="42">
        <v>37.53</v>
      </c>
      <c r="J2619" s="21">
        <v>7269</v>
      </c>
      <c r="K2619" s="1">
        <v>6500</v>
      </c>
      <c r="L2619" s="1">
        <v>-90.519000000000005</v>
      </c>
      <c r="M2619" s="1">
        <v>-67.632999999999996</v>
      </c>
      <c r="N2619" s="1">
        <v>-44.927999999999997</v>
      </c>
      <c r="O2619" s="1">
        <v>-22.388999999999999</v>
      </c>
      <c r="P2619" s="35">
        <v>0</v>
      </c>
      <c r="Q2619" s="1">
        <v>22.361000000000001</v>
      </c>
      <c r="R2619" s="1">
        <v>44.603000000000002</v>
      </c>
      <c r="S2619" s="1">
        <v>66.738</v>
      </c>
      <c r="T2619" s="1">
        <v>88.778000000000006</v>
      </c>
    </row>
    <row r="2620" spans="1:20">
      <c r="A2620" s="1">
        <v>4050</v>
      </c>
      <c r="B2620" s="42">
        <v>37.24</v>
      </c>
      <c r="C2620" s="42">
        <v>37.24</v>
      </c>
      <c r="D2620" s="42">
        <v>37.24</v>
      </c>
      <c r="E2620" s="42">
        <v>37.25</v>
      </c>
      <c r="F2620" s="42">
        <v>37.25</v>
      </c>
      <c r="G2620" s="42">
        <v>37.25</v>
      </c>
      <c r="H2620" s="42">
        <v>37.25</v>
      </c>
      <c r="I2620" s="42">
        <v>37.25</v>
      </c>
      <c r="J2620" s="21">
        <v>7219</v>
      </c>
      <c r="K2620" s="1">
        <v>6600</v>
      </c>
      <c r="L2620" s="1">
        <v>-89.921000000000006</v>
      </c>
      <c r="M2620" s="1">
        <v>-67.185000000000002</v>
      </c>
      <c r="N2620" s="1">
        <v>-44.631</v>
      </c>
      <c r="O2620" s="1">
        <v>-22.24</v>
      </c>
      <c r="P2620" s="35">
        <v>0</v>
      </c>
      <c r="Q2620" s="1">
        <v>22.213999999999999</v>
      </c>
      <c r="R2620" s="1">
        <v>44.308</v>
      </c>
      <c r="S2620" s="1">
        <v>66.296999999999997</v>
      </c>
      <c r="T2620" s="1">
        <v>88.192999999999998</v>
      </c>
    </row>
    <row r="2621" spans="1:20">
      <c r="A2621" s="1">
        <v>4100</v>
      </c>
      <c r="B2621" s="42">
        <v>36.96</v>
      </c>
      <c r="C2621" s="42">
        <v>36.96</v>
      </c>
      <c r="D2621" s="42">
        <v>36.96</v>
      </c>
      <c r="E2621" s="42">
        <v>36.96</v>
      </c>
      <c r="F2621" s="42">
        <v>36.97</v>
      </c>
      <c r="G2621" s="42">
        <v>36.97</v>
      </c>
      <c r="H2621" s="42">
        <v>36.97</v>
      </c>
      <c r="I2621" s="42">
        <v>36.97</v>
      </c>
      <c r="J2621" s="21">
        <v>7169</v>
      </c>
      <c r="K2621" s="1">
        <v>6700</v>
      </c>
      <c r="L2621" s="1">
        <v>-89.32</v>
      </c>
      <c r="M2621" s="1">
        <v>-66.736999999999995</v>
      </c>
      <c r="N2621" s="1">
        <v>-44.332999999999998</v>
      </c>
      <c r="O2621" s="1">
        <v>-22.091999999999999</v>
      </c>
      <c r="P2621" s="35">
        <v>0</v>
      </c>
      <c r="Q2621" s="1">
        <v>22.065999999999999</v>
      </c>
      <c r="R2621" s="1">
        <v>44.015000000000001</v>
      </c>
      <c r="S2621" s="1">
        <v>65.855999999999995</v>
      </c>
      <c r="T2621" s="1">
        <v>87.606999999999999</v>
      </c>
    </row>
    <row r="2622" spans="1:20">
      <c r="A2622" s="1">
        <v>4150</v>
      </c>
      <c r="B2622" s="42">
        <v>36.68</v>
      </c>
      <c r="C2622" s="42">
        <v>36.68</v>
      </c>
      <c r="D2622" s="42">
        <v>36.68</v>
      </c>
      <c r="E2622" s="42">
        <v>36.68</v>
      </c>
      <c r="F2622" s="42">
        <v>36.68</v>
      </c>
      <c r="G2622" s="42">
        <v>36.69</v>
      </c>
      <c r="H2622" s="42">
        <v>36.69</v>
      </c>
      <c r="I2622" s="42">
        <v>36.69</v>
      </c>
      <c r="J2622" s="21">
        <v>7119</v>
      </c>
      <c r="K2622" s="1">
        <v>6800</v>
      </c>
      <c r="L2622" s="1">
        <v>-88.722999999999999</v>
      </c>
      <c r="M2622" s="1">
        <v>-66.289000000000001</v>
      </c>
      <c r="N2622" s="1">
        <v>-44.034999999999997</v>
      </c>
      <c r="O2622" s="1">
        <v>-21.945</v>
      </c>
      <c r="P2622" s="35">
        <v>0</v>
      </c>
      <c r="Q2622" s="1">
        <v>21.919</v>
      </c>
      <c r="R2622" s="1">
        <v>43.72</v>
      </c>
      <c r="S2622" s="1">
        <v>65.415000000000006</v>
      </c>
      <c r="T2622" s="1">
        <v>87.02</v>
      </c>
    </row>
    <row r="2623" spans="1:20">
      <c r="A2623" s="1">
        <v>4200</v>
      </c>
      <c r="B2623" s="42">
        <v>36.4</v>
      </c>
      <c r="C2623" s="42">
        <v>36.4</v>
      </c>
      <c r="D2623" s="42">
        <v>36.4</v>
      </c>
      <c r="E2623" s="42">
        <v>36.4</v>
      </c>
      <c r="F2623" s="42">
        <v>36.4</v>
      </c>
      <c r="G2623" s="42">
        <v>36.4</v>
      </c>
      <c r="H2623" s="42">
        <v>36.409999999999997</v>
      </c>
      <c r="I2623" s="42">
        <v>36.409999999999997</v>
      </c>
      <c r="J2623" s="21">
        <v>7069</v>
      </c>
      <c r="K2623" s="1">
        <v>6900</v>
      </c>
      <c r="L2623" s="1">
        <v>-88.122</v>
      </c>
      <c r="M2623" s="1">
        <v>-65.841999999999999</v>
      </c>
      <c r="N2623" s="1">
        <v>-43.738</v>
      </c>
      <c r="O2623" s="1">
        <v>-21.795999999999999</v>
      </c>
      <c r="P2623" s="35">
        <v>0</v>
      </c>
      <c r="Q2623" s="1">
        <v>21.771000000000001</v>
      </c>
      <c r="R2623" s="1">
        <v>43.426000000000002</v>
      </c>
      <c r="S2623" s="1">
        <v>64.974999999999994</v>
      </c>
      <c r="T2623" s="1">
        <v>86.433999999999997</v>
      </c>
    </row>
    <row r="2624" spans="1:20">
      <c r="A2624" s="1">
        <v>4250</v>
      </c>
      <c r="B2624" s="42">
        <v>36.11</v>
      </c>
      <c r="C2624" s="42">
        <v>36.119999999999997</v>
      </c>
      <c r="D2624" s="42">
        <v>36.119999999999997</v>
      </c>
      <c r="E2624" s="42">
        <v>36.119999999999997</v>
      </c>
      <c r="F2624" s="42">
        <v>36.119999999999997</v>
      </c>
      <c r="G2624" s="42">
        <v>36.119999999999997</v>
      </c>
      <c r="H2624" s="42">
        <v>36.119999999999997</v>
      </c>
      <c r="I2624" s="42">
        <v>36.130000000000003</v>
      </c>
      <c r="J2624" s="21">
        <v>7019</v>
      </c>
      <c r="K2624" s="1">
        <v>7000</v>
      </c>
      <c r="L2624" s="1">
        <v>-87.524000000000001</v>
      </c>
      <c r="M2624" s="1">
        <v>-65.394000000000005</v>
      </c>
      <c r="N2624" s="1">
        <v>-13.441000000000001</v>
      </c>
      <c r="O2624" s="1">
        <v>-21.648</v>
      </c>
      <c r="P2624" s="35">
        <v>0</v>
      </c>
      <c r="Q2624" s="1">
        <v>21.623000000000001</v>
      </c>
      <c r="R2624" s="1">
        <v>43.131</v>
      </c>
      <c r="S2624" s="1">
        <v>64.534999999999997</v>
      </c>
      <c r="T2624" s="1">
        <v>85.846999999999994</v>
      </c>
    </row>
    <row r="2625" spans="1:20">
      <c r="A2625" s="1">
        <v>4300</v>
      </c>
      <c r="B2625" s="42">
        <v>35.83</v>
      </c>
      <c r="C2625" s="42">
        <v>35.840000000000003</v>
      </c>
      <c r="D2625" s="42">
        <v>35.840000000000003</v>
      </c>
      <c r="E2625" s="42">
        <v>35.840000000000003</v>
      </c>
      <c r="F2625" s="42">
        <v>35.840000000000003</v>
      </c>
      <c r="G2625" s="42">
        <v>35.840000000000003</v>
      </c>
      <c r="H2625" s="42">
        <v>35.840000000000003</v>
      </c>
      <c r="I2625" s="42">
        <v>35.85</v>
      </c>
      <c r="J2625" s="21">
        <v>6969</v>
      </c>
      <c r="K2625" s="1">
        <v>7100</v>
      </c>
      <c r="L2625" s="1">
        <v>-86.924000000000007</v>
      </c>
      <c r="M2625" s="1">
        <v>-64.945999999999998</v>
      </c>
      <c r="N2625" s="1">
        <v>-43.143000000000001</v>
      </c>
      <c r="O2625" s="1">
        <v>-21.498000000000001</v>
      </c>
      <c r="P2625" s="35">
        <v>0</v>
      </c>
      <c r="Q2625" s="1">
        <v>21.475999999999999</v>
      </c>
      <c r="R2625" s="1">
        <v>42.835999999999999</v>
      </c>
      <c r="S2625" s="1">
        <v>64.093999999999994</v>
      </c>
      <c r="T2625" s="1">
        <v>85.260999999999996</v>
      </c>
    </row>
    <row r="2626" spans="1:20">
      <c r="A2626" s="1">
        <v>4350</v>
      </c>
      <c r="B2626" s="42">
        <v>35.549999999999997</v>
      </c>
      <c r="C2626" s="42">
        <v>35.549999999999997</v>
      </c>
      <c r="D2626" s="42">
        <v>35.56</v>
      </c>
      <c r="E2626" s="42">
        <v>35.56</v>
      </c>
      <c r="F2626" s="42">
        <v>35.56</v>
      </c>
      <c r="G2626" s="42">
        <v>35.56</v>
      </c>
      <c r="H2626" s="42">
        <v>35.56</v>
      </c>
      <c r="I2626" s="42">
        <v>35.56</v>
      </c>
      <c r="J2626" s="21">
        <v>6919</v>
      </c>
      <c r="K2626" s="1">
        <v>7200</v>
      </c>
      <c r="L2626" s="1">
        <v>-86.325000000000003</v>
      </c>
      <c r="M2626" s="1">
        <v>-64.498000000000005</v>
      </c>
      <c r="N2626" s="1">
        <v>-42.845999999999997</v>
      </c>
      <c r="O2626" s="1">
        <v>-21.35</v>
      </c>
      <c r="P2626" s="35">
        <v>0</v>
      </c>
      <c r="Q2626" s="1">
        <v>21.329000000000001</v>
      </c>
      <c r="R2626" s="1">
        <v>42.542000000000002</v>
      </c>
      <c r="S2626" s="1">
        <v>63.652999999999999</v>
      </c>
      <c r="T2626" s="1">
        <v>84.674000000000007</v>
      </c>
    </row>
    <row r="2627" spans="1:20">
      <c r="A2627" s="1">
        <v>4400</v>
      </c>
      <c r="B2627" s="42">
        <v>35.270000000000003</v>
      </c>
      <c r="C2627" s="42">
        <v>35.270000000000003</v>
      </c>
      <c r="D2627" s="42">
        <v>35.270000000000003</v>
      </c>
      <c r="E2627" s="42">
        <v>35.28</v>
      </c>
      <c r="F2627" s="42">
        <v>35.28</v>
      </c>
      <c r="G2627" s="42">
        <v>35.28</v>
      </c>
      <c r="H2627" s="42">
        <v>35.28</v>
      </c>
      <c r="I2627" s="42">
        <v>35.28</v>
      </c>
      <c r="J2627" s="21">
        <v>6869</v>
      </c>
      <c r="K2627" s="1">
        <v>7300</v>
      </c>
      <c r="L2627" s="1">
        <v>-85.724999999999994</v>
      </c>
      <c r="M2627" s="1">
        <v>-64.051000000000002</v>
      </c>
      <c r="N2627" s="1">
        <v>-42.548999999999999</v>
      </c>
      <c r="O2627" s="1">
        <v>-21.202000000000002</v>
      </c>
      <c r="P2627" s="35">
        <v>0</v>
      </c>
      <c r="Q2627" s="1">
        <v>21.181000000000001</v>
      </c>
      <c r="R2627" s="1">
        <v>42.246000000000002</v>
      </c>
      <c r="S2627" s="1">
        <v>63.210999999999999</v>
      </c>
      <c r="T2627" s="1">
        <v>84.087999999999994</v>
      </c>
    </row>
    <row r="2628" spans="1:20">
      <c r="A2628" s="1">
        <v>4450</v>
      </c>
      <c r="B2628" s="42">
        <v>34.99</v>
      </c>
      <c r="C2628" s="42">
        <v>34.99</v>
      </c>
      <c r="D2628" s="42">
        <v>34.99</v>
      </c>
      <c r="E2628" s="42">
        <v>34.99</v>
      </c>
      <c r="F2628" s="42">
        <v>35</v>
      </c>
      <c r="G2628" s="42">
        <v>35</v>
      </c>
      <c r="H2628" s="42">
        <v>35</v>
      </c>
      <c r="I2628" s="42">
        <v>35</v>
      </c>
      <c r="J2628" s="21">
        <v>6819</v>
      </c>
      <c r="K2628" s="1">
        <v>7400</v>
      </c>
      <c r="L2628" s="1">
        <v>-85.126000000000005</v>
      </c>
      <c r="M2628" s="1">
        <v>-63.601999999999997</v>
      </c>
      <c r="N2628" s="1">
        <v>-42.250999999999998</v>
      </c>
      <c r="O2628" s="1">
        <v>-21.053999999999998</v>
      </c>
      <c r="P2628" s="35">
        <v>0</v>
      </c>
      <c r="Q2628" s="1">
        <v>21.033999999999999</v>
      </c>
      <c r="R2628" s="1">
        <v>41.951999999999998</v>
      </c>
      <c r="S2628" s="1">
        <v>62.771999999999998</v>
      </c>
      <c r="T2628" s="1">
        <v>83.503</v>
      </c>
    </row>
    <row r="2629" spans="1:20">
      <c r="A2629" s="1">
        <v>4500</v>
      </c>
      <c r="B2629" s="42">
        <v>34.71</v>
      </c>
      <c r="C2629" s="42">
        <v>34.71</v>
      </c>
      <c r="D2629" s="42">
        <v>34.71</v>
      </c>
      <c r="E2629" s="42">
        <v>34.71</v>
      </c>
      <c r="F2629" s="42">
        <v>34.71</v>
      </c>
      <c r="G2629" s="42">
        <v>34.72</v>
      </c>
      <c r="H2629" s="42">
        <v>34.72</v>
      </c>
      <c r="I2629" s="42">
        <v>34.72</v>
      </c>
      <c r="J2629" s="21">
        <v>6769</v>
      </c>
      <c r="K2629" s="1">
        <v>7500</v>
      </c>
      <c r="L2629" s="1">
        <v>-84.527000000000001</v>
      </c>
      <c r="M2629" s="1">
        <v>-63.155000000000001</v>
      </c>
      <c r="N2629" s="1">
        <v>-41.953000000000003</v>
      </c>
      <c r="O2629" s="1">
        <v>-20.905999999999999</v>
      </c>
      <c r="P2629" s="35">
        <v>0</v>
      </c>
      <c r="Q2629" s="1">
        <v>20.885999999999999</v>
      </c>
      <c r="R2629" s="1">
        <v>41.658999999999999</v>
      </c>
      <c r="S2629" s="1">
        <v>62.33</v>
      </c>
      <c r="T2629" s="1">
        <v>82.915000000000006</v>
      </c>
    </row>
    <row r="2630" spans="1:20">
      <c r="A2630" s="1">
        <v>4550</v>
      </c>
      <c r="B2630" s="42">
        <v>34.43</v>
      </c>
      <c r="C2630" s="42">
        <v>34.43</v>
      </c>
      <c r="D2630" s="42">
        <v>34.43</v>
      </c>
      <c r="E2630" s="42">
        <v>34.43</v>
      </c>
      <c r="F2630" s="42">
        <v>34.43</v>
      </c>
      <c r="G2630" s="42">
        <v>34.43</v>
      </c>
      <c r="H2630" s="42">
        <v>34.44</v>
      </c>
      <c r="I2630" s="42">
        <v>34.44</v>
      </c>
      <c r="J2630" s="21">
        <v>6719</v>
      </c>
      <c r="K2630" s="1">
        <v>7600</v>
      </c>
      <c r="L2630" s="1">
        <v>-83.927000000000007</v>
      </c>
      <c r="M2630" s="1">
        <v>-62.707000000000001</v>
      </c>
      <c r="N2630" s="1">
        <v>-41.655000000000001</v>
      </c>
      <c r="O2630" s="1">
        <v>-20.757000000000001</v>
      </c>
      <c r="P2630" s="35">
        <v>0</v>
      </c>
      <c r="Q2630" s="1">
        <v>20.738</v>
      </c>
      <c r="R2630" s="1">
        <v>41.365000000000002</v>
      </c>
      <c r="S2630" s="1">
        <v>61.890999999999998</v>
      </c>
      <c r="T2630" s="1">
        <v>82.331999999999994</v>
      </c>
    </row>
    <row r="2631" spans="1:20">
      <c r="A2631" s="1">
        <v>4600</v>
      </c>
      <c r="B2631" s="42">
        <v>34.14</v>
      </c>
      <c r="C2631" s="42">
        <v>34.15</v>
      </c>
      <c r="D2631" s="42">
        <v>34.15</v>
      </c>
      <c r="E2631" s="42">
        <v>34.15</v>
      </c>
      <c r="F2631" s="42">
        <v>34.15</v>
      </c>
      <c r="G2631" s="42">
        <v>34.15</v>
      </c>
      <c r="H2631" s="42">
        <v>34.159999999999997</v>
      </c>
      <c r="I2631" s="42">
        <v>34.159999999999997</v>
      </c>
      <c r="J2631" s="21">
        <v>6669</v>
      </c>
      <c r="K2631" s="1">
        <v>7700</v>
      </c>
      <c r="L2631" s="1">
        <v>-83.33</v>
      </c>
      <c r="M2631" s="1">
        <v>-62.259</v>
      </c>
      <c r="N2631" s="1">
        <v>-41.357999999999997</v>
      </c>
      <c r="O2631" s="1">
        <v>-20.609000000000002</v>
      </c>
      <c r="P2631" s="35">
        <v>0</v>
      </c>
      <c r="Q2631" s="1">
        <v>20.591000000000001</v>
      </c>
      <c r="R2631" s="1">
        <v>41.07</v>
      </c>
      <c r="S2631" s="1">
        <v>61.45</v>
      </c>
      <c r="T2631" s="1">
        <v>81.742000000000004</v>
      </c>
    </row>
    <row r="2632" spans="1:20">
      <c r="A2632" s="1">
        <v>4650</v>
      </c>
      <c r="B2632" s="42">
        <v>33.86</v>
      </c>
      <c r="C2632" s="42">
        <v>33.869999999999997</v>
      </c>
      <c r="D2632" s="42">
        <v>33.869999999999997</v>
      </c>
      <c r="E2632" s="42">
        <v>33.869999999999997</v>
      </c>
      <c r="F2632" s="42">
        <v>33.869999999999997</v>
      </c>
      <c r="G2632" s="42">
        <v>33.869999999999997</v>
      </c>
      <c r="H2632" s="42">
        <v>33.869999999999997</v>
      </c>
      <c r="I2632" s="42">
        <v>33.880000000000003</v>
      </c>
      <c r="J2632" s="21">
        <v>6619</v>
      </c>
      <c r="K2632" s="1">
        <v>7800</v>
      </c>
      <c r="L2632" s="1">
        <v>-82.727999999999994</v>
      </c>
      <c r="M2632" s="1">
        <v>-61.811</v>
      </c>
      <c r="N2632" s="1">
        <v>-41.06</v>
      </c>
      <c r="O2632" s="1">
        <v>-20.460999999999999</v>
      </c>
      <c r="P2632" s="35">
        <v>0</v>
      </c>
      <c r="Q2632" s="1">
        <v>20.443000000000001</v>
      </c>
      <c r="R2632" s="1">
        <v>40.774999999999999</v>
      </c>
      <c r="S2632" s="1">
        <v>61.009</v>
      </c>
      <c r="T2632" s="1">
        <v>81.156999999999996</v>
      </c>
    </row>
    <row r="2633" spans="1:20">
      <c r="A2633" s="1">
        <v>4700</v>
      </c>
      <c r="B2633" s="42">
        <v>33.58</v>
      </c>
      <c r="C2633" s="42">
        <v>33.58</v>
      </c>
      <c r="D2633" s="42">
        <v>33.590000000000003</v>
      </c>
      <c r="E2633" s="42">
        <v>33.590000000000003</v>
      </c>
      <c r="F2633" s="42">
        <v>33.590000000000003</v>
      </c>
      <c r="G2633" s="42">
        <v>33.590000000000003</v>
      </c>
      <c r="H2633" s="42">
        <v>33.590000000000003</v>
      </c>
      <c r="I2633" s="42">
        <v>33.6</v>
      </c>
      <c r="J2633" s="21">
        <v>6569</v>
      </c>
      <c r="K2633" s="1">
        <v>7900</v>
      </c>
      <c r="L2633" s="1">
        <v>-82.129000000000005</v>
      </c>
      <c r="M2633" s="1">
        <v>-61.363</v>
      </c>
      <c r="N2633" s="1">
        <v>-40.762999999999998</v>
      </c>
      <c r="O2633" s="1">
        <v>-20.312000000000001</v>
      </c>
      <c r="P2633" s="35">
        <v>0</v>
      </c>
      <c r="Q2633" s="1">
        <v>20.295999999999999</v>
      </c>
      <c r="R2633" s="1">
        <v>40.479999999999997</v>
      </c>
      <c r="S2633" s="1">
        <v>60.567999999999998</v>
      </c>
      <c r="T2633" s="1">
        <v>80.570999999999998</v>
      </c>
    </row>
    <row r="2634" spans="1:20">
      <c r="A2634" s="1">
        <v>4750</v>
      </c>
      <c r="B2634" s="42">
        <v>33.299999999999997</v>
      </c>
      <c r="C2634" s="42">
        <v>33.299999999999997</v>
      </c>
      <c r="D2634" s="42">
        <v>33.299999999999997</v>
      </c>
      <c r="E2634" s="42">
        <v>33.31</v>
      </c>
      <c r="F2634" s="42">
        <v>33.31</v>
      </c>
      <c r="G2634" s="42">
        <v>33.31</v>
      </c>
      <c r="H2634" s="42">
        <v>33.31</v>
      </c>
      <c r="I2634" s="42">
        <v>33.31</v>
      </c>
      <c r="J2634" s="21">
        <v>6519</v>
      </c>
      <c r="K2634" s="1">
        <v>8000</v>
      </c>
      <c r="L2634" s="1">
        <v>-81.531999999999996</v>
      </c>
      <c r="M2634" s="1">
        <v>-60.915999999999997</v>
      </c>
      <c r="N2634" s="1">
        <v>-40.466999999999999</v>
      </c>
      <c r="O2634" s="1">
        <v>-20.164000000000001</v>
      </c>
      <c r="P2634" s="35">
        <v>0</v>
      </c>
      <c r="Q2634" s="1">
        <v>20.148</v>
      </c>
      <c r="R2634" s="1">
        <v>40.185000000000002</v>
      </c>
      <c r="S2634" s="1">
        <v>60.127000000000002</v>
      </c>
      <c r="T2634" s="1">
        <v>79.983999999999995</v>
      </c>
    </row>
    <row r="2635" spans="1:20">
      <c r="A2635" s="1">
        <v>4800</v>
      </c>
      <c r="B2635" s="42">
        <v>33.020000000000003</v>
      </c>
      <c r="C2635" s="42">
        <v>33.020000000000003</v>
      </c>
      <c r="D2635" s="42">
        <v>33.020000000000003</v>
      </c>
      <c r="E2635" s="42">
        <v>33.020000000000003</v>
      </c>
      <c r="F2635" s="42">
        <v>33.03</v>
      </c>
      <c r="G2635" s="42">
        <v>33.03</v>
      </c>
      <c r="H2635" s="42">
        <v>33.03</v>
      </c>
      <c r="I2635" s="42">
        <v>33.03</v>
      </c>
      <c r="J2635" s="21">
        <v>6469</v>
      </c>
      <c r="K2635" s="1">
        <v>8100</v>
      </c>
      <c r="L2635" s="1">
        <v>-80.930999999999997</v>
      </c>
      <c r="M2635" s="1">
        <v>-60.468000000000004</v>
      </c>
      <c r="N2635" s="1">
        <v>-40.167999999999999</v>
      </c>
      <c r="O2635" s="1">
        <v>-20.016999999999999</v>
      </c>
      <c r="P2635" s="35">
        <v>0</v>
      </c>
      <c r="Q2635" s="1">
        <v>20</v>
      </c>
      <c r="R2635" s="1">
        <v>39.890999999999998</v>
      </c>
      <c r="S2635" s="1">
        <v>59.686999999999998</v>
      </c>
      <c r="T2635" s="1">
        <v>79.397999999999996</v>
      </c>
    </row>
    <row r="2636" spans="1:20">
      <c r="A2636" s="1">
        <v>4850</v>
      </c>
      <c r="B2636" s="42">
        <v>32.74</v>
      </c>
      <c r="C2636" s="42">
        <v>32.74</v>
      </c>
      <c r="D2636" s="42">
        <v>32.74</v>
      </c>
      <c r="E2636" s="42">
        <v>32.74</v>
      </c>
      <c r="F2636" s="42">
        <v>32.74</v>
      </c>
      <c r="G2636" s="42">
        <v>32.75</v>
      </c>
      <c r="H2636" s="42">
        <v>32.75</v>
      </c>
      <c r="I2636" s="42">
        <v>32.75</v>
      </c>
      <c r="J2636" s="21">
        <v>6419</v>
      </c>
      <c r="K2636" s="1">
        <v>8200</v>
      </c>
      <c r="L2636" s="1">
        <v>-80.332999999999998</v>
      </c>
      <c r="M2636" s="1">
        <v>-60.021000000000001</v>
      </c>
      <c r="N2636" s="1">
        <v>-39.871000000000002</v>
      </c>
      <c r="O2636" s="1">
        <v>-19.867999999999999</v>
      </c>
      <c r="P2636" s="35">
        <v>0</v>
      </c>
      <c r="Q2636" s="1">
        <v>19.853000000000002</v>
      </c>
      <c r="R2636" s="1">
        <v>39.597000000000001</v>
      </c>
      <c r="S2636" s="1">
        <v>59.244999999999997</v>
      </c>
      <c r="T2636" s="1">
        <v>78.811999999999998</v>
      </c>
    </row>
    <row r="2637" spans="1:20">
      <c r="A2637" s="1">
        <v>4900</v>
      </c>
      <c r="B2637" s="42">
        <v>32.46</v>
      </c>
      <c r="C2637" s="42">
        <v>32.46</v>
      </c>
      <c r="D2637" s="42">
        <v>32.46</v>
      </c>
      <c r="E2637" s="42">
        <v>32.46</v>
      </c>
      <c r="F2637" s="42">
        <v>32.46</v>
      </c>
      <c r="G2637" s="42">
        <v>32.46</v>
      </c>
      <c r="H2637" s="42">
        <v>32.47</v>
      </c>
      <c r="I2637" s="42">
        <v>32.47</v>
      </c>
      <c r="J2637" s="21">
        <v>6369</v>
      </c>
      <c r="K2637" s="1">
        <v>8300</v>
      </c>
      <c r="L2637" s="1">
        <v>-79.731999999999999</v>
      </c>
      <c r="M2637" s="1">
        <v>-59.572000000000003</v>
      </c>
      <c r="N2637" s="1">
        <v>-39.573</v>
      </c>
      <c r="O2637" s="1">
        <v>-19.719000000000001</v>
      </c>
      <c r="P2637" s="35">
        <v>0</v>
      </c>
      <c r="Q2637" s="1">
        <v>19.704999999999998</v>
      </c>
      <c r="R2637" s="1">
        <v>39.302999999999997</v>
      </c>
      <c r="S2637" s="1">
        <v>58.805</v>
      </c>
      <c r="T2637" s="1">
        <v>78.227000000000004</v>
      </c>
    </row>
    <row r="2638" spans="1:20">
      <c r="A2638" s="1">
        <v>4950</v>
      </c>
      <c r="B2638" s="42">
        <v>32.18</v>
      </c>
      <c r="C2638" s="42">
        <v>32.18</v>
      </c>
      <c r="D2638" s="42">
        <v>32.18</v>
      </c>
      <c r="E2638" s="42">
        <v>32.18</v>
      </c>
      <c r="F2638" s="42">
        <v>32.18</v>
      </c>
      <c r="G2638" s="42">
        <v>32.18</v>
      </c>
      <c r="H2638" s="42">
        <v>32.19</v>
      </c>
      <c r="I2638" s="42">
        <v>32.19</v>
      </c>
      <c r="J2638" s="21">
        <v>6319</v>
      </c>
      <c r="K2638" s="1">
        <v>8400</v>
      </c>
      <c r="L2638" s="1">
        <v>-79.135000000000005</v>
      </c>
      <c r="M2638" s="1">
        <v>-59.125</v>
      </c>
      <c r="N2638" s="1">
        <v>-39.274999999999999</v>
      </c>
      <c r="O2638" s="1">
        <v>-19.571000000000002</v>
      </c>
      <c r="P2638" s="35">
        <v>0</v>
      </c>
      <c r="Q2638" s="1">
        <v>19.556999999999999</v>
      </c>
      <c r="R2638" s="1">
        <v>39.008000000000003</v>
      </c>
      <c r="S2638" s="1">
        <v>58.365000000000002</v>
      </c>
      <c r="T2638" s="1">
        <v>77.638999999999996</v>
      </c>
    </row>
    <row r="2639" spans="1:20">
      <c r="A2639" s="1">
        <v>5000</v>
      </c>
      <c r="B2639" s="42">
        <v>31.89</v>
      </c>
      <c r="C2639" s="42">
        <v>31.9</v>
      </c>
      <c r="D2639" s="42">
        <v>31.9</v>
      </c>
      <c r="E2639" s="42">
        <v>31.9</v>
      </c>
      <c r="F2639" s="42">
        <v>31.9</v>
      </c>
      <c r="G2639" s="42">
        <v>31.9</v>
      </c>
      <c r="H2639" s="42">
        <v>31.9</v>
      </c>
      <c r="I2639" s="42">
        <v>31.91</v>
      </c>
      <c r="J2639" s="21">
        <v>6269</v>
      </c>
      <c r="K2639" s="1">
        <v>8500</v>
      </c>
      <c r="L2639" s="1">
        <v>-78.534000000000006</v>
      </c>
      <c r="M2639" s="1">
        <v>-58.677</v>
      </c>
      <c r="N2639" s="1">
        <v>-38.978000000000002</v>
      </c>
      <c r="O2639" s="1">
        <v>-19.422999999999998</v>
      </c>
      <c r="P2639" s="35">
        <v>0</v>
      </c>
      <c r="Q2639" s="1">
        <v>19.408999999999999</v>
      </c>
      <c r="R2639" s="1">
        <v>38.713000000000001</v>
      </c>
      <c r="S2639" s="1">
        <v>57.923000000000002</v>
      </c>
      <c r="T2639" s="1">
        <v>77.052000000000007</v>
      </c>
    </row>
    <row r="2640" spans="1:20">
      <c r="A2640" s="1">
        <v>5050</v>
      </c>
      <c r="B2640" s="42">
        <v>31.61</v>
      </c>
      <c r="C2640" s="42">
        <v>31.61</v>
      </c>
      <c r="D2640" s="42">
        <v>31.62</v>
      </c>
      <c r="E2640" s="42">
        <v>31.62</v>
      </c>
      <c r="F2640" s="42">
        <v>31.62</v>
      </c>
      <c r="G2640" s="42">
        <v>31.62</v>
      </c>
      <c r="H2640" s="42">
        <v>31.62</v>
      </c>
      <c r="I2640" s="42">
        <v>31.63</v>
      </c>
      <c r="J2640" s="21">
        <v>6219</v>
      </c>
      <c r="K2640" s="1">
        <v>8600</v>
      </c>
      <c r="L2640" s="1">
        <v>-77.936000000000007</v>
      </c>
      <c r="M2640" s="1">
        <v>-58.228999999999999</v>
      </c>
      <c r="N2640" s="1">
        <v>-38.68</v>
      </c>
      <c r="O2640" s="1">
        <v>-19.274999999999999</v>
      </c>
      <c r="P2640" s="35">
        <v>0</v>
      </c>
      <c r="Q2640" s="1">
        <v>19.260999999999999</v>
      </c>
      <c r="R2640" s="1">
        <v>38.418999999999997</v>
      </c>
      <c r="S2640" s="1">
        <v>57.482999999999997</v>
      </c>
      <c r="T2640" s="1">
        <v>76.466999999999999</v>
      </c>
    </row>
    <row r="2641" spans="1:20">
      <c r="A2641" s="1">
        <v>5100</v>
      </c>
      <c r="B2641" s="42">
        <v>31.33</v>
      </c>
      <c r="C2641" s="42">
        <v>31.33</v>
      </c>
      <c r="D2641" s="42">
        <v>31.33</v>
      </c>
      <c r="E2641" s="42">
        <v>31.34</v>
      </c>
      <c r="F2641" s="42">
        <v>31.34</v>
      </c>
      <c r="G2641" s="42">
        <v>31.34</v>
      </c>
      <c r="H2641" s="42">
        <v>31.34</v>
      </c>
      <c r="I2641" s="42">
        <v>31.34</v>
      </c>
      <c r="J2641" s="21">
        <v>6169</v>
      </c>
      <c r="K2641" s="1">
        <v>8700</v>
      </c>
      <c r="L2641" s="1">
        <v>-77.335999999999999</v>
      </c>
      <c r="M2641" s="1">
        <v>-57.781999999999996</v>
      </c>
      <c r="N2641" s="1">
        <v>-38.383000000000003</v>
      </c>
      <c r="O2641" s="1">
        <v>-19.126999999999999</v>
      </c>
      <c r="P2641" s="35">
        <v>0</v>
      </c>
      <c r="Q2641" s="1">
        <v>19.114000000000001</v>
      </c>
      <c r="R2641" s="1">
        <v>38.124000000000002</v>
      </c>
      <c r="S2641" s="1">
        <v>57.042000000000002</v>
      </c>
      <c r="T2641" s="1">
        <v>75.88</v>
      </c>
    </row>
    <row r="2642" spans="1:20">
      <c r="A2642" s="1">
        <v>5150</v>
      </c>
      <c r="B2642" s="42">
        <v>31.05</v>
      </c>
      <c r="C2642" s="42">
        <v>31.05</v>
      </c>
      <c r="D2642" s="42">
        <v>31.05</v>
      </c>
      <c r="E2642" s="42">
        <v>31.05</v>
      </c>
      <c r="F2642" s="42">
        <v>31.06</v>
      </c>
      <c r="G2642" s="42">
        <v>31.06</v>
      </c>
      <c r="H2642" s="42">
        <v>31.06</v>
      </c>
      <c r="I2642" s="42">
        <v>31.06</v>
      </c>
      <c r="J2642" s="21">
        <v>6119</v>
      </c>
      <c r="K2642" s="1">
        <v>8800</v>
      </c>
      <c r="L2642" s="1">
        <v>-76.736000000000004</v>
      </c>
      <c r="M2642" s="1">
        <v>-57.334000000000003</v>
      </c>
      <c r="N2642" s="1">
        <v>-38.085999999999999</v>
      </c>
      <c r="O2642" s="1">
        <v>-18.978000000000002</v>
      </c>
      <c r="P2642" s="35">
        <v>0</v>
      </c>
      <c r="Q2642" s="1">
        <v>18.966000000000001</v>
      </c>
      <c r="R2642" s="1">
        <v>37.829000000000001</v>
      </c>
      <c r="S2642" s="1">
        <v>56.601999999999997</v>
      </c>
      <c r="T2642" s="1">
        <v>75.293999999999997</v>
      </c>
    </row>
    <row r="2643" spans="1:20">
      <c r="A2643" s="1">
        <v>5200</v>
      </c>
      <c r="B2643" s="42">
        <v>30.77</v>
      </c>
      <c r="C2643" s="42">
        <v>30.77</v>
      </c>
      <c r="D2643" s="42">
        <v>30.77</v>
      </c>
      <c r="E2643" s="42">
        <v>30.77</v>
      </c>
      <c r="F2643" s="42">
        <v>30.77</v>
      </c>
      <c r="G2643" s="42">
        <v>30.78</v>
      </c>
      <c r="H2643" s="42">
        <v>30.78</v>
      </c>
      <c r="I2643" s="42">
        <v>30.78</v>
      </c>
      <c r="J2643" s="21">
        <v>6069</v>
      </c>
      <c r="K2643" s="1">
        <v>8900</v>
      </c>
      <c r="L2643" s="1">
        <v>-76.138000000000005</v>
      </c>
      <c r="M2643" s="1">
        <v>-56.887</v>
      </c>
      <c r="N2643" s="1">
        <v>-37.787999999999997</v>
      </c>
      <c r="O2643" s="1">
        <v>-18.829999999999998</v>
      </c>
      <c r="P2643" s="35">
        <v>0</v>
      </c>
      <c r="Q2643" s="1">
        <v>18.818999999999999</v>
      </c>
      <c r="R2643" s="1">
        <v>37.534999999999997</v>
      </c>
      <c r="S2643" s="1">
        <v>56.16</v>
      </c>
      <c r="T2643" s="1">
        <v>74.706999999999994</v>
      </c>
    </row>
    <row r="2644" spans="1:20">
      <c r="A2644" s="1">
        <v>5250</v>
      </c>
      <c r="B2644" s="42">
        <v>30.49</v>
      </c>
      <c r="C2644" s="42">
        <v>30.49</v>
      </c>
      <c r="D2644" s="42">
        <v>30.49</v>
      </c>
      <c r="E2644" s="42">
        <v>30.49</v>
      </c>
      <c r="F2644" s="42">
        <v>30.49</v>
      </c>
      <c r="G2644" s="42">
        <v>30.49</v>
      </c>
      <c r="H2644" s="42">
        <v>30.5</v>
      </c>
      <c r="I2644" s="42">
        <v>30.5</v>
      </c>
      <c r="J2644" s="21">
        <v>6019</v>
      </c>
      <c r="K2644" s="1">
        <v>9000</v>
      </c>
      <c r="L2644" s="1">
        <v>-75.539000000000001</v>
      </c>
      <c r="M2644" s="1">
        <v>-56.439</v>
      </c>
      <c r="N2644" s="1">
        <v>-37.491999999999997</v>
      </c>
      <c r="O2644" s="1">
        <v>-18.681999999999999</v>
      </c>
      <c r="P2644" s="35">
        <v>0</v>
      </c>
      <c r="Q2644" s="1">
        <v>18.670000000000002</v>
      </c>
      <c r="R2644" s="1">
        <v>37.24</v>
      </c>
      <c r="S2644" s="1">
        <v>55.719000000000001</v>
      </c>
      <c r="T2644" s="1">
        <v>74.120999999999995</v>
      </c>
    </row>
    <row r="2645" spans="1:20">
      <c r="A2645" s="1">
        <v>5300</v>
      </c>
      <c r="B2645" s="42">
        <v>30.21</v>
      </c>
      <c r="C2645" s="42">
        <v>30.21</v>
      </c>
      <c r="D2645" s="42">
        <v>30.21</v>
      </c>
      <c r="E2645" s="42">
        <v>30.21</v>
      </c>
      <c r="F2645" s="42">
        <v>30.21</v>
      </c>
      <c r="G2645" s="42">
        <v>30.21</v>
      </c>
      <c r="H2645" s="42">
        <v>30.22</v>
      </c>
      <c r="I2645" s="42">
        <v>30.22</v>
      </c>
      <c r="J2645" s="21">
        <v>5969</v>
      </c>
      <c r="K2645" s="1">
        <v>9100</v>
      </c>
      <c r="L2645" s="1">
        <v>-74.94</v>
      </c>
      <c r="M2645" s="1">
        <v>-55.99</v>
      </c>
      <c r="N2645" s="1">
        <v>-37.192</v>
      </c>
      <c r="O2645" s="1">
        <v>-18.533999999999999</v>
      </c>
      <c r="P2645" s="35">
        <v>0</v>
      </c>
      <c r="Q2645" s="1">
        <v>18.523</v>
      </c>
      <c r="R2645" s="1">
        <v>36.945999999999998</v>
      </c>
      <c r="S2645" s="1">
        <v>55.28</v>
      </c>
      <c r="T2645" s="1">
        <v>73.534000000000006</v>
      </c>
    </row>
    <row r="2646" spans="1:20">
      <c r="A2646" s="1">
        <v>5350</v>
      </c>
      <c r="B2646" s="42">
        <v>29.92</v>
      </c>
      <c r="C2646" s="42">
        <v>29.93</v>
      </c>
      <c r="D2646" s="42">
        <v>29.93</v>
      </c>
      <c r="E2646" s="42">
        <v>29.93</v>
      </c>
      <c r="F2646" s="42">
        <v>29.93</v>
      </c>
      <c r="G2646" s="42">
        <v>29.93</v>
      </c>
      <c r="H2646" s="42">
        <v>29.93</v>
      </c>
      <c r="I2646" s="42">
        <v>29.94</v>
      </c>
      <c r="J2646" s="21">
        <v>5919</v>
      </c>
      <c r="K2646" s="1">
        <v>9200</v>
      </c>
      <c r="L2646" s="1">
        <v>-74.34</v>
      </c>
      <c r="M2646" s="1">
        <v>-55.542999999999999</v>
      </c>
      <c r="N2646" s="1">
        <v>-36.895000000000003</v>
      </c>
      <c r="O2646" s="1">
        <v>-18.385999999999999</v>
      </c>
      <c r="P2646" s="35">
        <v>0</v>
      </c>
      <c r="Q2646" s="1">
        <v>18.375</v>
      </c>
      <c r="R2646" s="1">
        <v>36.652000000000001</v>
      </c>
      <c r="S2646" s="1">
        <v>54.838999999999999</v>
      </c>
      <c r="T2646" s="1">
        <v>72.947999999999993</v>
      </c>
    </row>
    <row r="2647" spans="1:20">
      <c r="A2647" s="1">
        <v>5400</v>
      </c>
      <c r="B2647" s="42">
        <v>29.64</v>
      </c>
      <c r="C2647" s="42">
        <v>29.65</v>
      </c>
      <c r="D2647" s="42">
        <v>29.65</v>
      </c>
      <c r="E2647" s="42">
        <v>29.65</v>
      </c>
      <c r="F2647" s="42">
        <v>29.65</v>
      </c>
      <c r="G2647" s="42">
        <v>29.65</v>
      </c>
      <c r="H2647" s="42">
        <v>29.65</v>
      </c>
      <c r="I2647" s="42">
        <v>29.66</v>
      </c>
      <c r="J2647" s="21">
        <v>5869</v>
      </c>
      <c r="K2647" s="1">
        <v>9300</v>
      </c>
      <c r="L2647" s="1">
        <v>-73.742000000000004</v>
      </c>
      <c r="M2647" s="1">
        <v>-55.095999999999997</v>
      </c>
      <c r="N2647" s="1">
        <v>-36.597999999999999</v>
      </c>
      <c r="O2647" s="1">
        <v>-18.236999999999998</v>
      </c>
      <c r="P2647" s="35">
        <v>0</v>
      </c>
      <c r="Q2647" s="1">
        <v>18.228000000000002</v>
      </c>
      <c r="R2647" s="1">
        <v>36.356999999999999</v>
      </c>
      <c r="S2647" s="1">
        <v>54.398000000000003</v>
      </c>
      <c r="T2647" s="1">
        <v>72.361000000000004</v>
      </c>
    </row>
    <row r="2648" spans="1:20">
      <c r="A2648" s="1">
        <v>5450</v>
      </c>
      <c r="B2648" s="42">
        <v>29.36</v>
      </c>
      <c r="C2648" s="42">
        <v>29.36</v>
      </c>
      <c r="D2648" s="42">
        <v>29.37</v>
      </c>
      <c r="E2648" s="42">
        <v>29.37</v>
      </c>
      <c r="F2648" s="42">
        <v>29.37</v>
      </c>
      <c r="G2648" s="42">
        <v>29.37</v>
      </c>
      <c r="H2648" s="42">
        <v>29.37</v>
      </c>
      <c r="I2648" s="42">
        <v>29.37</v>
      </c>
      <c r="J2648" s="21">
        <v>5819</v>
      </c>
      <c r="K2648" s="1">
        <v>9400</v>
      </c>
      <c r="L2648" s="1">
        <v>-73.143000000000001</v>
      </c>
      <c r="M2648" s="1">
        <v>-54.646999999999998</v>
      </c>
      <c r="N2648" s="1">
        <v>-36.301000000000002</v>
      </c>
      <c r="O2648" s="1">
        <v>-18.088999999999999</v>
      </c>
      <c r="P2648" s="35">
        <v>0</v>
      </c>
      <c r="Q2648" s="1">
        <v>18.079999999999998</v>
      </c>
      <c r="R2648" s="1">
        <v>36.061999999999998</v>
      </c>
      <c r="S2648" s="1">
        <v>53.957000000000001</v>
      </c>
      <c r="T2648" s="1">
        <v>71.775000000000006</v>
      </c>
    </row>
    <row r="2649" spans="1:20">
      <c r="A2649" s="1">
        <v>5500</v>
      </c>
      <c r="B2649" s="42">
        <v>29.08</v>
      </c>
      <c r="C2649" s="42">
        <v>29.08</v>
      </c>
      <c r="D2649" s="42">
        <v>29.08</v>
      </c>
      <c r="E2649" s="42">
        <v>29.09</v>
      </c>
      <c r="F2649" s="42">
        <v>29.09</v>
      </c>
      <c r="G2649" s="42">
        <v>29.09</v>
      </c>
      <c r="H2649" s="42">
        <v>29.09</v>
      </c>
      <c r="I2649" s="42">
        <v>29.09</v>
      </c>
      <c r="J2649" s="21">
        <v>5769</v>
      </c>
      <c r="K2649" s="1">
        <v>9500</v>
      </c>
      <c r="L2649" s="1">
        <v>-72.543000000000006</v>
      </c>
      <c r="M2649" s="1">
        <v>-54.2</v>
      </c>
      <c r="N2649" s="1">
        <v>-36.003999999999998</v>
      </c>
      <c r="O2649" s="1">
        <v>-17.940999999999999</v>
      </c>
      <c r="P2649" s="35">
        <v>0</v>
      </c>
      <c r="Q2649" s="1">
        <v>17.933</v>
      </c>
      <c r="R2649" s="1">
        <v>35.768000000000001</v>
      </c>
      <c r="S2649" s="1">
        <v>53.515000000000001</v>
      </c>
      <c r="T2649" s="1">
        <v>71.188999999999993</v>
      </c>
    </row>
    <row r="2650" spans="1:20">
      <c r="A2650" s="1">
        <v>5550</v>
      </c>
      <c r="B2650" s="42">
        <v>28.8</v>
      </c>
      <c r="C2650" s="42">
        <v>28.8</v>
      </c>
      <c r="D2650" s="42">
        <v>28.8</v>
      </c>
      <c r="E2650" s="42">
        <v>28.8</v>
      </c>
      <c r="F2650" s="42">
        <v>28.81</v>
      </c>
      <c r="G2650" s="42">
        <v>28.81</v>
      </c>
      <c r="H2650" s="42">
        <v>28.81</v>
      </c>
      <c r="I2650" s="42">
        <v>28.81</v>
      </c>
      <c r="J2650" s="21">
        <v>5719</v>
      </c>
      <c r="K2650" s="1">
        <v>9600</v>
      </c>
      <c r="L2650" s="1">
        <v>-71.944000000000003</v>
      </c>
      <c r="M2650" s="1">
        <v>-53.752000000000002</v>
      </c>
      <c r="N2650" s="1">
        <v>-35.707000000000001</v>
      </c>
      <c r="O2650" s="1">
        <v>-17.792999999999999</v>
      </c>
      <c r="P2650" s="35">
        <v>0</v>
      </c>
      <c r="Q2650" s="1">
        <v>17.785</v>
      </c>
      <c r="R2650" s="1">
        <v>35.472999999999999</v>
      </c>
      <c r="S2650" s="1">
        <v>53.075000000000003</v>
      </c>
      <c r="T2650" s="1">
        <v>70.602000000000004</v>
      </c>
    </row>
    <row r="2651" spans="1:20">
      <c r="A2651" s="1">
        <v>5600</v>
      </c>
      <c r="B2651" s="42">
        <v>28.52</v>
      </c>
      <c r="C2651" s="42">
        <v>28.52</v>
      </c>
      <c r="D2651" s="42">
        <v>28.52</v>
      </c>
      <c r="E2651" s="42">
        <v>28.52</v>
      </c>
      <c r="F2651" s="42">
        <v>28.52</v>
      </c>
      <c r="G2651" s="42">
        <v>28.53</v>
      </c>
      <c r="H2651" s="42">
        <v>28.53</v>
      </c>
      <c r="I2651" s="42">
        <v>28.53</v>
      </c>
      <c r="J2651" s="21">
        <v>5669</v>
      </c>
      <c r="K2651" s="1">
        <v>9700</v>
      </c>
      <c r="L2651" s="1">
        <v>-71.343999999999994</v>
      </c>
      <c r="M2651" s="1">
        <v>-53.304000000000002</v>
      </c>
      <c r="N2651" s="1">
        <v>-35.408999999999999</v>
      </c>
      <c r="O2651" s="1">
        <v>-17.643999999999998</v>
      </c>
      <c r="P2651" s="35">
        <v>0</v>
      </c>
      <c r="Q2651" s="1">
        <v>17.637</v>
      </c>
      <c r="R2651" s="1">
        <v>35.177999999999997</v>
      </c>
      <c r="S2651" s="1">
        <v>52.634</v>
      </c>
      <c r="T2651" s="1">
        <v>70.016000000000005</v>
      </c>
    </row>
    <row r="2652" spans="1:20">
      <c r="A2652" s="1">
        <v>5650</v>
      </c>
      <c r="B2652" s="42">
        <v>28.24</v>
      </c>
      <c r="C2652" s="42">
        <v>28.24</v>
      </c>
      <c r="D2652" s="42">
        <v>28.24</v>
      </c>
      <c r="E2652" s="42">
        <v>28.24</v>
      </c>
      <c r="F2652" s="42">
        <v>28.24</v>
      </c>
      <c r="G2652" s="42">
        <v>28.24</v>
      </c>
      <c r="H2652" s="42">
        <v>28.25</v>
      </c>
      <c r="I2652" s="42">
        <v>28.25</v>
      </c>
      <c r="J2652" s="21">
        <v>5619</v>
      </c>
      <c r="K2652" s="1">
        <v>9800</v>
      </c>
      <c r="L2652" s="1">
        <v>-70.745000000000005</v>
      </c>
      <c r="M2652" s="1">
        <v>-52.856000000000002</v>
      </c>
      <c r="N2652" s="1">
        <v>-35.110999999999997</v>
      </c>
      <c r="O2652" s="1">
        <v>-17.495999999999999</v>
      </c>
      <c r="P2652" s="35">
        <v>0</v>
      </c>
      <c r="Q2652" s="1">
        <v>17.488</v>
      </c>
      <c r="R2652" s="1">
        <v>34.883000000000003</v>
      </c>
      <c r="S2652" s="1">
        <v>52.194000000000003</v>
      </c>
      <c r="T2652" s="1">
        <v>69.427999999999997</v>
      </c>
    </row>
    <row r="2653" spans="1:20">
      <c r="A2653" s="1">
        <v>5700</v>
      </c>
      <c r="B2653" s="42">
        <v>27.95</v>
      </c>
      <c r="C2653" s="42">
        <v>27.96</v>
      </c>
      <c r="D2653" s="42">
        <v>27.96</v>
      </c>
      <c r="E2653" s="42">
        <v>27.96</v>
      </c>
      <c r="F2653" s="42">
        <v>27.96</v>
      </c>
      <c r="G2653" s="42">
        <v>27.96</v>
      </c>
      <c r="H2653" s="42">
        <v>27.96</v>
      </c>
      <c r="I2653" s="42">
        <v>27.97</v>
      </c>
      <c r="J2653" s="21">
        <v>5569</v>
      </c>
      <c r="K2653" s="1">
        <v>9900</v>
      </c>
      <c r="L2653" s="1">
        <v>-70.147000000000006</v>
      </c>
      <c r="M2653" s="1">
        <v>-52.408000000000001</v>
      </c>
      <c r="N2653" s="1">
        <v>-34.813000000000002</v>
      </c>
      <c r="O2653" s="1">
        <v>-17.347999999999999</v>
      </c>
      <c r="P2653" s="35">
        <v>0</v>
      </c>
      <c r="Q2653" s="1">
        <v>17.341999999999999</v>
      </c>
      <c r="R2653" s="1">
        <v>34.590000000000003</v>
      </c>
      <c r="S2653" s="1">
        <v>51.753</v>
      </c>
      <c r="T2653" s="1">
        <v>68.843000000000004</v>
      </c>
    </row>
    <row r="2654" spans="1:20">
      <c r="A2654" s="1">
        <v>5750</v>
      </c>
      <c r="B2654" s="42">
        <v>27.67</v>
      </c>
      <c r="C2654" s="42">
        <v>27.68</v>
      </c>
      <c r="D2654" s="42">
        <v>27.68</v>
      </c>
      <c r="E2654" s="42">
        <v>27.68</v>
      </c>
      <c r="F2654" s="42">
        <v>27.68</v>
      </c>
      <c r="G2654" s="42">
        <v>27.68</v>
      </c>
      <c r="H2654" s="42">
        <v>27.68</v>
      </c>
      <c r="I2654" s="42">
        <v>27.69</v>
      </c>
      <c r="J2654" s="21">
        <v>5519</v>
      </c>
      <c r="K2654" s="1">
        <v>10000</v>
      </c>
      <c r="L2654" s="1">
        <v>-69.546999999999997</v>
      </c>
      <c r="M2654" s="1">
        <v>-51.962000000000003</v>
      </c>
      <c r="N2654" s="1">
        <v>-34.515999999999998</v>
      </c>
      <c r="O2654" s="1">
        <v>-17.2</v>
      </c>
      <c r="P2654" s="35">
        <v>0</v>
      </c>
      <c r="Q2654" s="1">
        <v>17.193999999999999</v>
      </c>
      <c r="R2654" s="1">
        <v>34.295000000000002</v>
      </c>
      <c r="S2654" s="1">
        <v>51.311</v>
      </c>
      <c r="T2654" s="1">
        <v>68.256</v>
      </c>
    </row>
    <row r="2655" spans="1:20">
      <c r="A2655" s="1">
        <v>5800</v>
      </c>
      <c r="B2655" s="42">
        <v>27.39</v>
      </c>
      <c r="C2655" s="42">
        <v>27.39</v>
      </c>
      <c r="D2655" s="42">
        <v>27.4</v>
      </c>
      <c r="E2655" s="42">
        <v>27.4</v>
      </c>
      <c r="F2655" s="42">
        <v>27.4</v>
      </c>
      <c r="G2655" s="42">
        <v>27.4</v>
      </c>
      <c r="H2655" s="42">
        <v>27.4</v>
      </c>
      <c r="I2655" s="42">
        <v>27.4</v>
      </c>
      <c r="J2655" s="21">
        <v>5469</v>
      </c>
      <c r="K2655" s="1">
        <v>10100</v>
      </c>
      <c r="L2655" s="1">
        <v>-68.948999999999998</v>
      </c>
      <c r="M2655" s="1">
        <v>-51.512999999999998</v>
      </c>
      <c r="N2655" s="1">
        <v>-34.219000000000001</v>
      </c>
      <c r="O2655" s="1">
        <v>-17.052</v>
      </c>
      <c r="P2655" s="35">
        <v>0</v>
      </c>
      <c r="Q2655" s="1">
        <v>17.047000000000001</v>
      </c>
      <c r="R2655" s="1">
        <v>34</v>
      </c>
      <c r="S2655" s="1">
        <v>50.872</v>
      </c>
      <c r="T2655" s="1">
        <v>67.67</v>
      </c>
    </row>
    <row r="2656" spans="1:20">
      <c r="A2656" s="1">
        <v>5850</v>
      </c>
      <c r="B2656" s="42">
        <v>27.11</v>
      </c>
      <c r="C2656" s="42">
        <v>27.11</v>
      </c>
      <c r="D2656" s="42">
        <v>27.11</v>
      </c>
      <c r="E2656" s="42">
        <v>27.12</v>
      </c>
      <c r="F2656" s="42">
        <v>27.12</v>
      </c>
      <c r="G2656" s="42">
        <v>27.12</v>
      </c>
      <c r="H2656" s="42">
        <v>27.12</v>
      </c>
      <c r="I2656" s="42">
        <v>27.12</v>
      </c>
      <c r="J2656" s="21">
        <v>5419</v>
      </c>
      <c r="K2656" s="1">
        <v>10200</v>
      </c>
      <c r="L2656" s="1">
        <v>-68.349000000000004</v>
      </c>
      <c r="M2656" s="1">
        <v>-51.066000000000003</v>
      </c>
      <c r="N2656" s="1">
        <v>-33.920999999999999</v>
      </c>
      <c r="O2656" s="1">
        <v>-16.902999999999999</v>
      </c>
      <c r="P2656" s="35">
        <v>0</v>
      </c>
      <c r="Q2656" s="1">
        <v>16.899000000000001</v>
      </c>
      <c r="R2656" s="1">
        <v>33.706000000000003</v>
      </c>
      <c r="S2656" s="1">
        <v>50.429000000000002</v>
      </c>
      <c r="T2656" s="1">
        <v>67.082999999999998</v>
      </c>
    </row>
    <row r="2657" spans="1:20">
      <c r="A2657" s="1">
        <v>5900</v>
      </c>
      <c r="B2657" s="42">
        <v>26.83</v>
      </c>
      <c r="C2657" s="42">
        <v>26.83</v>
      </c>
      <c r="D2657" s="42">
        <v>26.83</v>
      </c>
      <c r="E2657" s="42">
        <v>26.83</v>
      </c>
      <c r="F2657" s="42">
        <v>26.84</v>
      </c>
      <c r="G2657" s="42">
        <v>26.84</v>
      </c>
      <c r="H2657" s="42">
        <v>26.84</v>
      </c>
      <c r="I2657" s="42">
        <v>26.84</v>
      </c>
      <c r="J2657" s="21">
        <v>5369</v>
      </c>
      <c r="K2657" s="1">
        <v>10300</v>
      </c>
      <c r="L2657" s="1">
        <v>-67.75</v>
      </c>
      <c r="M2657" s="1">
        <v>-50.619</v>
      </c>
      <c r="N2657" s="1">
        <v>-33.624000000000002</v>
      </c>
      <c r="O2657" s="1">
        <v>-16.754000000000001</v>
      </c>
      <c r="P2657" s="35">
        <v>0</v>
      </c>
      <c r="Q2657" s="1">
        <v>16.751000000000001</v>
      </c>
      <c r="R2657" s="1">
        <v>33.411000000000001</v>
      </c>
      <c r="S2657" s="1">
        <v>49.99</v>
      </c>
      <c r="T2657" s="1">
        <v>66.497</v>
      </c>
    </row>
    <row r="2658" spans="1:20">
      <c r="A2658" s="1">
        <v>5950</v>
      </c>
      <c r="B2658" s="42">
        <v>26.55</v>
      </c>
      <c r="C2658" s="42">
        <v>26.55</v>
      </c>
      <c r="D2658" s="42">
        <v>26.55</v>
      </c>
      <c r="E2658" s="42">
        <v>26.55</v>
      </c>
      <c r="F2658" s="42">
        <v>26.55</v>
      </c>
      <c r="G2658" s="42">
        <v>26.56</v>
      </c>
      <c r="H2658" s="42">
        <v>26.56</v>
      </c>
      <c r="I2658" s="42">
        <v>26.56</v>
      </c>
      <c r="J2658" s="21">
        <v>5319</v>
      </c>
      <c r="K2658" s="1">
        <v>10400</v>
      </c>
      <c r="L2658" s="1">
        <v>-67.150999999999996</v>
      </c>
      <c r="M2658" s="1">
        <v>-50.170999999999999</v>
      </c>
      <c r="N2658" s="1">
        <v>-33.326999999999998</v>
      </c>
      <c r="O2658" s="1">
        <v>-16.606000000000002</v>
      </c>
      <c r="P2658" s="35">
        <v>0</v>
      </c>
      <c r="Q2658" s="1">
        <v>16.603999999999999</v>
      </c>
      <c r="R2658" s="1">
        <v>33.116</v>
      </c>
      <c r="S2658" s="1">
        <v>49.548999999999999</v>
      </c>
      <c r="T2658" s="1">
        <v>65.91</v>
      </c>
    </row>
    <row r="2659" spans="1:20">
      <c r="A2659" s="1">
        <v>6000</v>
      </c>
      <c r="B2659" s="42">
        <v>26.27</v>
      </c>
      <c r="C2659" s="42">
        <v>26.27</v>
      </c>
      <c r="D2659" s="42">
        <v>26.27</v>
      </c>
      <c r="E2659" s="42">
        <v>26.27</v>
      </c>
      <c r="F2659" s="42">
        <v>26.27</v>
      </c>
      <c r="G2659" s="42">
        <v>26.27</v>
      </c>
      <c r="H2659" s="42">
        <v>26.28</v>
      </c>
      <c r="I2659" s="42">
        <v>26.28</v>
      </c>
      <c r="J2659" s="21">
        <v>5269</v>
      </c>
      <c r="K2659" s="1">
        <v>10500</v>
      </c>
      <c r="L2659" s="1">
        <v>-66.552000000000007</v>
      </c>
      <c r="M2659" s="1">
        <v>-49.722999999999999</v>
      </c>
      <c r="N2659" s="1">
        <v>-33.029000000000003</v>
      </c>
      <c r="O2659" s="1">
        <v>-16.459</v>
      </c>
      <c r="P2659" s="35">
        <v>0</v>
      </c>
      <c r="Q2659" s="1">
        <v>16.457000000000001</v>
      </c>
      <c r="R2659" s="1">
        <v>32.822000000000003</v>
      </c>
      <c r="S2659" s="1">
        <v>49.107999999999997</v>
      </c>
      <c r="T2659" s="1">
        <v>65.322999999999993</v>
      </c>
    </row>
    <row r="2660" spans="1:20">
      <c r="A2660" s="1">
        <v>6050</v>
      </c>
      <c r="B2660" s="42">
        <v>25.98</v>
      </c>
      <c r="C2660" s="42">
        <v>25.99</v>
      </c>
      <c r="D2660" s="42">
        <v>25.99</v>
      </c>
      <c r="E2660" s="42">
        <v>25.99</v>
      </c>
      <c r="F2660" s="42">
        <v>25.99</v>
      </c>
      <c r="G2660" s="42">
        <v>25.99</v>
      </c>
      <c r="H2660" s="42">
        <v>26</v>
      </c>
      <c r="I2660" s="42">
        <v>26</v>
      </c>
      <c r="J2660" s="21">
        <v>5219</v>
      </c>
      <c r="K2660" s="1">
        <v>10600</v>
      </c>
      <c r="L2660" s="1">
        <v>-65.953000000000003</v>
      </c>
      <c r="M2660" s="1">
        <v>-49.274999999999999</v>
      </c>
      <c r="N2660" s="1">
        <v>-32.731999999999999</v>
      </c>
      <c r="O2660" s="1">
        <v>-16.309999999999999</v>
      </c>
      <c r="P2660" s="35">
        <v>0</v>
      </c>
      <c r="Q2660" s="1">
        <v>16.309000000000001</v>
      </c>
      <c r="R2660" s="1">
        <v>32.527000000000001</v>
      </c>
      <c r="S2660" s="1">
        <v>48.667000000000002</v>
      </c>
      <c r="T2660" s="1">
        <v>64.736999999999995</v>
      </c>
    </row>
    <row r="2661" spans="1:20">
      <c r="A2661" s="1">
        <v>6100</v>
      </c>
      <c r="B2661" s="42">
        <v>25.7</v>
      </c>
      <c r="C2661" s="42">
        <v>25.71</v>
      </c>
      <c r="D2661" s="42">
        <v>25.71</v>
      </c>
      <c r="E2661" s="42">
        <v>25.71</v>
      </c>
      <c r="F2661" s="42">
        <v>25.71</v>
      </c>
      <c r="G2661" s="42">
        <v>25.71</v>
      </c>
      <c r="H2661" s="42">
        <v>25.71</v>
      </c>
      <c r="I2661" s="42">
        <v>25.72</v>
      </c>
      <c r="J2661" s="21">
        <v>5169</v>
      </c>
      <c r="K2661" s="1">
        <v>10700</v>
      </c>
      <c r="L2661" s="1">
        <v>-65.352999999999994</v>
      </c>
      <c r="M2661" s="1">
        <v>-48.829000000000001</v>
      </c>
      <c r="N2661" s="1">
        <v>-32.433999999999997</v>
      </c>
      <c r="O2661" s="1">
        <v>-16.161999999999999</v>
      </c>
      <c r="P2661" s="35">
        <v>0</v>
      </c>
      <c r="Q2661" s="1">
        <v>16.161000000000001</v>
      </c>
      <c r="R2661" s="1">
        <v>32.232999999999997</v>
      </c>
      <c r="S2661" s="1">
        <v>48.225999999999999</v>
      </c>
      <c r="T2661" s="1">
        <v>64.150999999999996</v>
      </c>
    </row>
    <row r="2662" spans="1:20">
      <c r="A2662" s="1">
        <v>6150</v>
      </c>
      <c r="B2662" s="42">
        <v>25.42</v>
      </c>
      <c r="C2662" s="42">
        <v>25.43</v>
      </c>
      <c r="D2662" s="42">
        <v>25.43</v>
      </c>
      <c r="E2662" s="42">
        <v>25.43</v>
      </c>
      <c r="F2662" s="42">
        <v>25.43</v>
      </c>
      <c r="G2662" s="42">
        <v>25.43</v>
      </c>
      <c r="H2662" s="42">
        <v>25.43</v>
      </c>
      <c r="I2662" s="42">
        <v>25.44</v>
      </c>
      <c r="J2662" s="21">
        <v>5119</v>
      </c>
      <c r="K2662" s="1">
        <v>10800</v>
      </c>
      <c r="L2662" s="1">
        <v>-64.754000000000005</v>
      </c>
      <c r="M2662" s="1">
        <v>-48.38</v>
      </c>
      <c r="N2662" s="1">
        <v>-32.136000000000003</v>
      </c>
      <c r="O2662" s="1">
        <v>-16.013000000000002</v>
      </c>
      <c r="P2662" s="35">
        <v>0</v>
      </c>
      <c r="Q2662" s="1">
        <v>16.013999999999999</v>
      </c>
      <c r="R2662" s="1">
        <v>31.939</v>
      </c>
      <c r="S2662" s="1">
        <v>47.784999999999997</v>
      </c>
      <c r="T2662" s="1">
        <v>63.564</v>
      </c>
    </row>
    <row r="2663" spans="1:20">
      <c r="A2663" s="1">
        <v>6200</v>
      </c>
      <c r="B2663" s="42">
        <v>25.14</v>
      </c>
      <c r="C2663" s="42">
        <v>25.15</v>
      </c>
      <c r="D2663" s="42">
        <v>25.15</v>
      </c>
      <c r="E2663" s="42">
        <v>25.15</v>
      </c>
      <c r="F2663" s="42">
        <v>25.15</v>
      </c>
      <c r="G2663" s="42">
        <v>25.15</v>
      </c>
      <c r="H2663" s="42">
        <v>25.15</v>
      </c>
      <c r="I2663" s="42">
        <v>25.16</v>
      </c>
      <c r="J2663" s="21">
        <v>5069</v>
      </c>
      <c r="K2663" s="1">
        <v>10900</v>
      </c>
      <c r="L2663" s="1">
        <v>-64.156000000000006</v>
      </c>
      <c r="M2663" s="1">
        <v>-47.933</v>
      </c>
      <c r="N2663" s="1">
        <v>-31.838999999999999</v>
      </c>
      <c r="O2663" s="1">
        <v>-15.865</v>
      </c>
      <c r="P2663" s="35">
        <v>0</v>
      </c>
      <c r="Q2663" s="1">
        <v>15.866</v>
      </c>
      <c r="R2663" s="1">
        <v>31.643999999999998</v>
      </c>
      <c r="S2663" s="1">
        <v>47.344000000000001</v>
      </c>
      <c r="T2663" s="1">
        <v>62.978999999999999</v>
      </c>
    </row>
    <row r="2664" spans="1:20">
      <c r="A2664" s="1">
        <v>6250</v>
      </c>
      <c r="B2664" s="42">
        <v>24.86</v>
      </c>
      <c r="C2664" s="42">
        <v>24.87</v>
      </c>
      <c r="D2664" s="42">
        <v>24.87</v>
      </c>
      <c r="E2664" s="42">
        <v>24.87</v>
      </c>
      <c r="F2664" s="42">
        <v>24.87</v>
      </c>
      <c r="G2664" s="42">
        <v>24.87</v>
      </c>
      <c r="H2664" s="42">
        <v>24.87</v>
      </c>
      <c r="I2664" s="42">
        <v>24.88</v>
      </c>
      <c r="J2664" s="21">
        <v>5019</v>
      </c>
      <c r="K2664" s="1">
        <v>11000</v>
      </c>
      <c r="L2664" s="1">
        <v>-63.558</v>
      </c>
      <c r="M2664" s="1">
        <v>-47.484000000000002</v>
      </c>
      <c r="N2664" s="1">
        <v>-31.542000000000002</v>
      </c>
      <c r="O2664" s="1">
        <v>-15.717000000000001</v>
      </c>
      <c r="P2664" s="35">
        <v>0</v>
      </c>
      <c r="Q2664" s="1">
        <v>15.718</v>
      </c>
      <c r="R2664" s="1">
        <v>31.349</v>
      </c>
      <c r="S2664" s="1">
        <v>46.904000000000003</v>
      </c>
      <c r="T2664" s="1">
        <v>62.39</v>
      </c>
    </row>
    <row r="2665" spans="1:20">
      <c r="A2665" s="1">
        <v>6300</v>
      </c>
      <c r="B2665" s="42">
        <v>24.58</v>
      </c>
      <c r="C2665" s="42">
        <v>24.59</v>
      </c>
      <c r="D2665" s="42">
        <v>24.59</v>
      </c>
      <c r="E2665" s="42">
        <v>24.59</v>
      </c>
      <c r="F2665" s="42">
        <v>24.59</v>
      </c>
      <c r="G2665" s="42">
        <v>24.59</v>
      </c>
      <c r="H2665" s="42">
        <v>24.6</v>
      </c>
      <c r="I2665" s="42">
        <v>24.6</v>
      </c>
      <c r="J2665" s="21">
        <v>4969</v>
      </c>
      <c r="K2665" s="1">
        <v>11100</v>
      </c>
      <c r="L2665" s="1">
        <v>-62.957999999999998</v>
      </c>
      <c r="M2665" s="1">
        <v>-47.036999999999999</v>
      </c>
      <c r="N2665" s="1">
        <v>-31.244</v>
      </c>
      <c r="O2665" s="1">
        <v>-15.569000000000001</v>
      </c>
      <c r="P2665" s="35">
        <v>0</v>
      </c>
      <c r="Q2665" s="1">
        <v>15.571</v>
      </c>
      <c r="R2665" s="1">
        <v>31.053999999999998</v>
      </c>
      <c r="S2665" s="1">
        <v>46.463000000000001</v>
      </c>
      <c r="T2665" s="1">
        <v>61.805</v>
      </c>
    </row>
    <row r="2666" spans="1:20">
      <c r="A2666" s="1">
        <v>6350</v>
      </c>
      <c r="B2666" s="42">
        <v>24.31</v>
      </c>
      <c r="C2666" s="42">
        <v>24.31</v>
      </c>
      <c r="D2666" s="42">
        <v>24.31</v>
      </c>
      <c r="E2666" s="42">
        <v>24.31</v>
      </c>
      <c r="F2666" s="42">
        <v>24.31</v>
      </c>
      <c r="G2666" s="42">
        <v>24.31</v>
      </c>
      <c r="H2666" s="42">
        <v>24.32</v>
      </c>
      <c r="I2666" s="42">
        <v>24.32</v>
      </c>
      <c r="J2666" s="21">
        <v>4919</v>
      </c>
      <c r="K2666" s="1">
        <v>11200</v>
      </c>
      <c r="L2666" s="1">
        <v>-62.359000000000002</v>
      </c>
      <c r="M2666" s="1">
        <v>-46.588999999999999</v>
      </c>
      <c r="N2666" s="1">
        <v>-30.948</v>
      </c>
      <c r="O2666" s="1">
        <v>-15.420999999999999</v>
      </c>
      <c r="P2666" s="35">
        <v>0</v>
      </c>
      <c r="Q2666" s="1">
        <v>15.407999999999999</v>
      </c>
      <c r="R2666" s="1">
        <v>30.728999999999999</v>
      </c>
      <c r="S2666" s="1">
        <v>45.976999999999997</v>
      </c>
      <c r="T2666" s="1">
        <v>58.719000000000001</v>
      </c>
    </row>
    <row r="2667" spans="1:20">
      <c r="A2667" s="1">
        <v>6400</v>
      </c>
      <c r="B2667" s="42">
        <v>24.03</v>
      </c>
      <c r="C2667" s="42">
        <v>24.03</v>
      </c>
      <c r="D2667" s="42">
        <v>24.03</v>
      </c>
      <c r="E2667" s="42">
        <v>24.03</v>
      </c>
      <c r="F2667" s="42">
        <v>24.04</v>
      </c>
      <c r="G2667" s="42">
        <v>24.04</v>
      </c>
      <c r="H2667" s="42">
        <v>24.04</v>
      </c>
      <c r="I2667" s="42">
        <v>24.04</v>
      </c>
      <c r="J2667" s="21">
        <v>4869</v>
      </c>
      <c r="K2667" s="1">
        <v>11269</v>
      </c>
      <c r="L2667" s="1">
        <v>-62.006999999999998</v>
      </c>
      <c r="M2667" s="1">
        <v>-46.326999999999998</v>
      </c>
      <c r="N2667" s="1">
        <v>-30.771999999999998</v>
      </c>
      <c r="O2667" s="1">
        <v>-15.332000000000001</v>
      </c>
      <c r="P2667" s="35">
        <v>0</v>
      </c>
      <c r="Q2667" s="35">
        <v>0</v>
      </c>
      <c r="R2667" s="35">
        <v>0</v>
      </c>
      <c r="S2667" s="35">
        <v>0</v>
      </c>
      <c r="T2667" s="35">
        <v>0</v>
      </c>
    </row>
    <row r="2668" spans="1:20">
      <c r="A2668" s="1">
        <v>6450</v>
      </c>
      <c r="B2668" s="42">
        <v>23.75</v>
      </c>
      <c r="C2668" s="42">
        <v>23.76</v>
      </c>
      <c r="D2668" s="42">
        <v>23.76</v>
      </c>
      <c r="E2668" s="42">
        <v>23.76</v>
      </c>
      <c r="F2668" s="42">
        <v>23.76</v>
      </c>
      <c r="G2668" s="42">
        <v>23.76</v>
      </c>
      <c r="H2668" s="42">
        <v>23.76</v>
      </c>
      <c r="I2668" s="42">
        <v>23.77</v>
      </c>
      <c r="J2668" s="21">
        <v>4819</v>
      </c>
      <c r="K2668" s="1"/>
      <c r="L2668" s="1"/>
      <c r="M2668" s="1"/>
      <c r="N2668" s="1"/>
      <c r="O2668" s="1"/>
      <c r="P2668" s="365"/>
      <c r="Q2668" s="1"/>
      <c r="R2668" s="1"/>
      <c r="S2668" s="1"/>
      <c r="T2668" s="1"/>
    </row>
    <row r="2669" spans="1:20">
      <c r="A2669" s="1">
        <v>6500</v>
      </c>
      <c r="B2669" s="42">
        <v>23.48</v>
      </c>
      <c r="C2669" s="42">
        <v>23.48</v>
      </c>
      <c r="D2669" s="42">
        <v>23.48</v>
      </c>
      <c r="E2669" s="42">
        <v>23.48</v>
      </c>
      <c r="F2669" s="42">
        <v>23.48</v>
      </c>
      <c r="G2669" s="42">
        <v>23.48</v>
      </c>
      <c r="H2669" s="42">
        <v>23.49</v>
      </c>
      <c r="I2669" s="42">
        <v>23.49</v>
      </c>
      <c r="J2669" s="21">
        <v>4769</v>
      </c>
      <c r="K2669" s="1"/>
      <c r="L2669" s="1"/>
      <c r="M2669" s="1"/>
      <c r="N2669" s="1"/>
      <c r="O2669" s="1"/>
      <c r="P2669" s="365"/>
      <c r="Q2669" s="1"/>
      <c r="R2669" s="1"/>
      <c r="S2669" s="1"/>
      <c r="T2669" s="1"/>
    </row>
    <row r="2670" spans="1:20">
      <c r="A2670" s="1">
        <v>6550</v>
      </c>
      <c r="B2670" s="42">
        <v>23.2</v>
      </c>
      <c r="C2670" s="42">
        <v>23.2</v>
      </c>
      <c r="D2670" s="42">
        <v>23.21</v>
      </c>
      <c r="E2670" s="42">
        <v>23.21</v>
      </c>
      <c r="F2670" s="42">
        <v>23.21</v>
      </c>
      <c r="G2670" s="42">
        <v>23.21</v>
      </c>
      <c r="H2670" s="42">
        <v>23.21</v>
      </c>
      <c r="I2670" s="42">
        <v>23.21</v>
      </c>
      <c r="J2670" s="21">
        <v>4719</v>
      </c>
      <c r="K2670" s="1"/>
      <c r="L2670" s="1"/>
      <c r="M2670" s="1"/>
      <c r="N2670" s="1"/>
      <c r="O2670" s="1"/>
      <c r="P2670" s="365"/>
      <c r="Q2670" s="1"/>
      <c r="R2670" s="1"/>
      <c r="S2670" s="1"/>
      <c r="T2670" s="1"/>
    </row>
    <row r="2671" spans="1:20">
      <c r="A2671" s="1">
        <v>6600</v>
      </c>
      <c r="B2671" s="42">
        <v>22.93</v>
      </c>
      <c r="C2671" s="42">
        <v>22.93</v>
      </c>
      <c r="D2671" s="42">
        <v>22.93</v>
      </c>
      <c r="E2671" s="42">
        <v>22.93</v>
      </c>
      <c r="F2671" s="42">
        <v>22.93</v>
      </c>
      <c r="G2671" s="42">
        <v>22.93</v>
      </c>
      <c r="H2671" s="42">
        <v>22.94</v>
      </c>
      <c r="I2671" s="42">
        <v>22.94</v>
      </c>
      <c r="J2671" s="21">
        <v>4669</v>
      </c>
      <c r="K2671" s="1"/>
      <c r="L2671" s="1"/>
      <c r="M2671" s="1"/>
      <c r="N2671" s="1"/>
      <c r="O2671" s="1"/>
      <c r="P2671" s="365"/>
      <c r="Q2671" s="1"/>
      <c r="R2671" s="1"/>
      <c r="S2671" s="1"/>
      <c r="T2671" s="1"/>
    </row>
    <row r="2672" spans="1:20">
      <c r="A2672" s="1">
        <v>6650</v>
      </c>
      <c r="B2672" s="42">
        <v>22.65</v>
      </c>
      <c r="C2672" s="42">
        <v>22.66</v>
      </c>
      <c r="D2672" s="42">
        <v>22.66</v>
      </c>
      <c r="E2672" s="42">
        <v>22.66</v>
      </c>
      <c r="F2672" s="42">
        <v>22.66</v>
      </c>
      <c r="G2672" s="42">
        <v>22.66</v>
      </c>
      <c r="H2672" s="42">
        <v>22.66</v>
      </c>
      <c r="I2672" s="42">
        <v>22.67</v>
      </c>
      <c r="J2672" s="21">
        <v>4619</v>
      </c>
      <c r="K2672" s="1"/>
      <c r="L2672" s="1"/>
      <c r="M2672" s="1"/>
      <c r="N2672" s="1"/>
      <c r="O2672" s="1"/>
      <c r="P2672" s="365"/>
      <c r="Q2672" s="1"/>
      <c r="R2672" s="1"/>
      <c r="S2672" s="1"/>
      <c r="T2672" s="1"/>
    </row>
    <row r="2673" spans="1:20">
      <c r="A2673" s="1">
        <v>6700</v>
      </c>
      <c r="B2673" s="42">
        <v>22.38</v>
      </c>
      <c r="C2673" s="42">
        <v>22.38</v>
      </c>
      <c r="D2673" s="42">
        <v>22.38</v>
      </c>
      <c r="E2673" s="42">
        <v>22.38</v>
      </c>
      <c r="F2673" s="42">
        <v>22.39</v>
      </c>
      <c r="G2673" s="42">
        <v>22.39</v>
      </c>
      <c r="H2673" s="42">
        <v>22.39</v>
      </c>
      <c r="I2673" s="42">
        <v>22.39</v>
      </c>
      <c r="J2673" s="21">
        <v>4569</v>
      </c>
      <c r="K2673" s="1"/>
      <c r="L2673" s="1"/>
      <c r="M2673" s="1"/>
      <c r="N2673" s="1"/>
      <c r="O2673" s="1"/>
      <c r="P2673" s="365"/>
      <c r="Q2673" s="1"/>
      <c r="R2673" s="1"/>
      <c r="S2673" s="1"/>
      <c r="T2673" s="1"/>
    </row>
    <row r="2674" spans="1:20">
      <c r="A2674" s="1">
        <v>6750</v>
      </c>
      <c r="B2674" s="42">
        <v>22.11</v>
      </c>
      <c r="C2674" s="42">
        <v>22.11</v>
      </c>
      <c r="D2674" s="42">
        <v>22.11</v>
      </c>
      <c r="E2674" s="42">
        <v>22.11</v>
      </c>
      <c r="F2674" s="42">
        <v>22.11</v>
      </c>
      <c r="G2674" s="42">
        <v>22.11</v>
      </c>
      <c r="H2674" s="42">
        <v>22.12</v>
      </c>
      <c r="I2674" s="42">
        <v>22.12</v>
      </c>
      <c r="J2674" s="21">
        <v>4519</v>
      </c>
      <c r="K2674" s="1"/>
      <c r="L2674" s="1"/>
      <c r="M2674" s="1"/>
      <c r="N2674" s="1"/>
      <c r="O2674" s="1"/>
      <c r="P2674" s="365"/>
      <c r="Q2674" s="1"/>
      <c r="R2674" s="1"/>
      <c r="S2674" s="1"/>
      <c r="T2674" s="1"/>
    </row>
    <row r="2675" spans="1:20">
      <c r="A2675" s="1">
        <v>6800</v>
      </c>
      <c r="B2675" s="42">
        <v>21.83</v>
      </c>
      <c r="C2675" s="42">
        <v>21.84</v>
      </c>
      <c r="D2675" s="42">
        <v>21.84</v>
      </c>
      <c r="E2675" s="42">
        <v>21.84</v>
      </c>
      <c r="F2675" s="42">
        <v>21.84</v>
      </c>
      <c r="G2675" s="42">
        <v>21.84</v>
      </c>
      <c r="H2675" s="42">
        <v>21.84</v>
      </c>
      <c r="I2675" s="42">
        <v>21.85</v>
      </c>
      <c r="J2675" s="21">
        <v>4469</v>
      </c>
      <c r="K2675" s="1"/>
      <c r="L2675" s="1"/>
      <c r="M2675" s="1"/>
      <c r="N2675" s="1"/>
      <c r="O2675" s="1"/>
      <c r="P2675" s="365"/>
      <c r="Q2675" s="1"/>
      <c r="R2675" s="1"/>
      <c r="S2675" s="1"/>
      <c r="T2675" s="1"/>
    </row>
    <row r="2676" spans="1:20">
      <c r="A2676" s="1">
        <v>6850</v>
      </c>
      <c r="B2676" s="42">
        <v>21.56</v>
      </c>
      <c r="C2676" s="42">
        <v>21.57</v>
      </c>
      <c r="D2676" s="42">
        <v>21.57</v>
      </c>
      <c r="E2676" s="42">
        <v>21.57</v>
      </c>
      <c r="F2676" s="42">
        <v>21.57</v>
      </c>
      <c r="G2676" s="42">
        <v>21.57</v>
      </c>
      <c r="H2676" s="42">
        <v>21.57</v>
      </c>
      <c r="I2676" s="42">
        <v>21.58</v>
      </c>
      <c r="J2676" s="21">
        <v>4419</v>
      </c>
      <c r="K2676" s="1"/>
      <c r="L2676" s="1"/>
      <c r="M2676" s="1"/>
      <c r="N2676" s="1"/>
      <c r="O2676" s="1"/>
      <c r="P2676" s="365"/>
      <c r="Q2676" s="1"/>
      <c r="R2676" s="1"/>
      <c r="S2676" s="1"/>
      <c r="T2676" s="1"/>
    </row>
    <row r="2677" spans="1:20">
      <c r="A2677" s="1">
        <v>6900</v>
      </c>
      <c r="B2677" s="42">
        <v>21.29</v>
      </c>
      <c r="C2677" s="42">
        <v>21.3</v>
      </c>
      <c r="D2677" s="42">
        <v>21.3</v>
      </c>
      <c r="E2677" s="42">
        <v>21.3</v>
      </c>
      <c r="F2677" s="42">
        <v>21.3</v>
      </c>
      <c r="G2677" s="42">
        <v>21.3</v>
      </c>
      <c r="H2677" s="42">
        <v>21.3</v>
      </c>
      <c r="I2677" s="42">
        <v>21.31</v>
      </c>
      <c r="J2677" s="21">
        <v>4369</v>
      </c>
      <c r="K2677" s="1"/>
      <c r="L2677" s="1"/>
      <c r="M2677" s="1"/>
      <c r="N2677" s="1"/>
      <c r="O2677" s="1"/>
      <c r="P2677" s="365"/>
      <c r="Q2677" s="1"/>
      <c r="R2677" s="1"/>
      <c r="S2677" s="1"/>
      <c r="T2677" s="1"/>
    </row>
    <row r="2678" spans="1:20">
      <c r="A2678" s="1">
        <v>6950</v>
      </c>
      <c r="B2678" s="42">
        <v>21.02</v>
      </c>
      <c r="C2678" s="42">
        <v>21.03</v>
      </c>
      <c r="D2678" s="42">
        <v>21.03</v>
      </c>
      <c r="E2678" s="42">
        <v>21.03</v>
      </c>
      <c r="F2678" s="42">
        <v>21.03</v>
      </c>
      <c r="G2678" s="42">
        <v>21.03</v>
      </c>
      <c r="H2678" s="42">
        <v>21.03</v>
      </c>
      <c r="I2678" s="42">
        <v>21.04</v>
      </c>
      <c r="J2678" s="21">
        <v>4319</v>
      </c>
      <c r="K2678" s="1"/>
      <c r="L2678" s="1"/>
      <c r="M2678" s="1"/>
      <c r="N2678" s="1"/>
      <c r="O2678" s="1"/>
      <c r="P2678" s="365"/>
      <c r="Q2678" s="1"/>
      <c r="R2678" s="1"/>
      <c r="S2678" s="1"/>
      <c r="T2678" s="1"/>
    </row>
    <row r="2679" spans="1:20">
      <c r="A2679" s="1">
        <v>7000</v>
      </c>
      <c r="B2679" s="42">
        <v>20.75</v>
      </c>
      <c r="C2679" s="42">
        <v>20.76</v>
      </c>
      <c r="D2679" s="42">
        <v>20.76</v>
      </c>
      <c r="E2679" s="42">
        <v>20.76</v>
      </c>
      <c r="F2679" s="42">
        <v>20.76</v>
      </c>
      <c r="G2679" s="42">
        <v>20.76</v>
      </c>
      <c r="H2679" s="42">
        <v>20.76</v>
      </c>
      <c r="I2679" s="42">
        <v>20.77</v>
      </c>
      <c r="J2679" s="21">
        <v>4269</v>
      </c>
      <c r="K2679" s="1"/>
      <c r="L2679" s="1"/>
      <c r="M2679" s="1"/>
      <c r="N2679" s="1"/>
      <c r="O2679" s="1"/>
      <c r="P2679" s="365"/>
      <c r="Q2679" s="1"/>
      <c r="R2679" s="1"/>
      <c r="S2679" s="1"/>
      <c r="T2679" s="1"/>
    </row>
    <row r="2680" spans="1:20">
      <c r="A2680" s="1">
        <v>7050</v>
      </c>
      <c r="B2680" s="42">
        <v>20.48</v>
      </c>
      <c r="C2680" s="42">
        <v>20.49</v>
      </c>
      <c r="D2680" s="42">
        <v>20.49</v>
      </c>
      <c r="E2680" s="42">
        <v>20.49</v>
      </c>
      <c r="F2680" s="42">
        <v>20.49</v>
      </c>
      <c r="G2680" s="42">
        <v>20.49</v>
      </c>
      <c r="H2680" s="42">
        <v>20.49</v>
      </c>
      <c r="I2680" s="42">
        <v>20.5</v>
      </c>
      <c r="J2680" s="21">
        <v>4219</v>
      </c>
      <c r="K2680" s="1"/>
      <c r="L2680" s="1"/>
      <c r="M2680" s="1"/>
      <c r="N2680" s="1"/>
      <c r="O2680" s="1"/>
      <c r="P2680" s="365"/>
      <c r="Q2680" s="1"/>
      <c r="R2680" s="1"/>
      <c r="S2680" s="1"/>
      <c r="T2680" s="1"/>
    </row>
    <row r="2681" spans="1:20">
      <c r="A2681" s="1">
        <v>7100</v>
      </c>
      <c r="B2681" s="42">
        <v>20.22</v>
      </c>
      <c r="C2681" s="42">
        <v>20.22</v>
      </c>
      <c r="D2681" s="42">
        <v>20.22</v>
      </c>
      <c r="E2681" s="42">
        <v>20.22</v>
      </c>
      <c r="F2681" s="42">
        <v>20.22</v>
      </c>
      <c r="G2681" s="42">
        <v>20.22</v>
      </c>
      <c r="H2681" s="42">
        <v>20.23</v>
      </c>
      <c r="I2681" s="42">
        <v>20.23</v>
      </c>
      <c r="J2681" s="21">
        <v>4169</v>
      </c>
      <c r="K2681" s="1"/>
      <c r="L2681" s="1"/>
      <c r="M2681" s="1"/>
      <c r="N2681" s="1"/>
      <c r="O2681" s="1"/>
      <c r="P2681" s="365"/>
      <c r="Q2681" s="1"/>
      <c r="R2681" s="1"/>
      <c r="S2681" s="1"/>
      <c r="T2681" s="1"/>
    </row>
    <row r="2682" spans="1:20">
      <c r="A2682" s="1">
        <v>7150</v>
      </c>
      <c r="B2682" s="42">
        <v>19.95</v>
      </c>
      <c r="C2682" s="42">
        <v>19.95</v>
      </c>
      <c r="D2682" s="42">
        <v>19.95</v>
      </c>
      <c r="E2682" s="42">
        <v>19.95</v>
      </c>
      <c r="F2682" s="42">
        <v>19.96</v>
      </c>
      <c r="G2682" s="42">
        <v>19.96</v>
      </c>
      <c r="H2682" s="42">
        <v>19.96</v>
      </c>
      <c r="I2682" s="42">
        <v>19.96</v>
      </c>
      <c r="J2682" s="21">
        <v>4119</v>
      </c>
      <c r="K2682" s="1"/>
      <c r="L2682" s="1"/>
      <c r="M2682" s="1"/>
      <c r="N2682" s="1"/>
      <c r="O2682" s="1"/>
      <c r="P2682" s="365"/>
      <c r="Q2682" s="1"/>
      <c r="R2682" s="1"/>
      <c r="S2682" s="1"/>
      <c r="T2682" s="1"/>
    </row>
    <row r="2683" spans="1:20">
      <c r="A2683" s="1">
        <v>7200</v>
      </c>
      <c r="B2683" s="42">
        <v>19.68</v>
      </c>
      <c r="C2683" s="42">
        <v>19.690000000000001</v>
      </c>
      <c r="D2683" s="42">
        <v>19.690000000000001</v>
      </c>
      <c r="E2683" s="42">
        <v>19.690000000000001</v>
      </c>
      <c r="F2683" s="42">
        <v>19.690000000000001</v>
      </c>
      <c r="G2683" s="42">
        <v>19.690000000000001</v>
      </c>
      <c r="H2683" s="42">
        <v>19.690000000000001</v>
      </c>
      <c r="I2683" s="42">
        <v>19.7</v>
      </c>
      <c r="J2683" s="21">
        <v>4069</v>
      </c>
      <c r="K2683" s="1"/>
      <c r="L2683" s="1"/>
      <c r="M2683" s="1"/>
      <c r="N2683" s="1"/>
      <c r="O2683" s="1"/>
      <c r="P2683" s="365"/>
      <c r="Q2683" s="1"/>
      <c r="R2683" s="1"/>
      <c r="S2683" s="1"/>
      <c r="T2683" s="1"/>
    </row>
    <row r="2684" spans="1:20">
      <c r="A2684" s="1">
        <v>7250</v>
      </c>
      <c r="B2684" s="42">
        <v>19.420000000000002</v>
      </c>
      <c r="C2684" s="42">
        <v>19.420000000000002</v>
      </c>
      <c r="D2684" s="42">
        <v>19.420000000000002</v>
      </c>
      <c r="E2684" s="42">
        <v>19.420000000000002</v>
      </c>
      <c r="F2684" s="42">
        <v>19.420000000000002</v>
      </c>
      <c r="G2684" s="42">
        <v>19.420000000000002</v>
      </c>
      <c r="H2684" s="42">
        <v>19.43</v>
      </c>
      <c r="I2684" s="42">
        <v>19.43</v>
      </c>
      <c r="J2684" s="21">
        <v>4019</v>
      </c>
      <c r="K2684" s="1"/>
      <c r="L2684" s="1"/>
      <c r="M2684" s="1"/>
      <c r="N2684" s="1"/>
      <c r="O2684" s="1"/>
      <c r="P2684" s="365"/>
      <c r="Q2684" s="1"/>
      <c r="R2684" s="1"/>
      <c r="S2684" s="1"/>
      <c r="T2684" s="1"/>
    </row>
    <row r="2685" spans="1:20">
      <c r="A2685" s="1">
        <v>7300</v>
      </c>
      <c r="B2685" s="42">
        <v>19.149999999999999</v>
      </c>
      <c r="C2685" s="42">
        <v>19.149999999999999</v>
      </c>
      <c r="D2685" s="42">
        <v>19.16</v>
      </c>
      <c r="E2685" s="42">
        <v>19.16</v>
      </c>
      <c r="F2685" s="42">
        <v>19.16</v>
      </c>
      <c r="G2685" s="42">
        <v>19.16</v>
      </c>
      <c r="H2685" s="42">
        <v>19.16</v>
      </c>
      <c r="I2685" s="42">
        <v>19.16</v>
      </c>
      <c r="J2685" s="21">
        <v>3969</v>
      </c>
      <c r="K2685" s="1"/>
      <c r="L2685" s="1"/>
      <c r="M2685" s="1"/>
      <c r="N2685" s="1"/>
      <c r="O2685" s="1"/>
      <c r="P2685" s="365"/>
      <c r="Q2685" s="1"/>
      <c r="R2685" s="1"/>
      <c r="S2685" s="1"/>
      <c r="T2685" s="1"/>
    </row>
    <row r="2686" spans="1:20">
      <c r="A2686" s="1">
        <v>7350</v>
      </c>
      <c r="B2686" s="42">
        <v>18.89</v>
      </c>
      <c r="C2686" s="42">
        <v>18.89</v>
      </c>
      <c r="D2686" s="42">
        <v>18.89</v>
      </c>
      <c r="E2686" s="42">
        <v>18.89</v>
      </c>
      <c r="F2686" s="42">
        <v>18.89</v>
      </c>
      <c r="G2686" s="42">
        <v>18.89</v>
      </c>
      <c r="H2686" s="42">
        <v>18.899999999999999</v>
      </c>
      <c r="I2686" s="42">
        <v>18.899999999999999</v>
      </c>
      <c r="J2686" s="21">
        <v>3919</v>
      </c>
      <c r="K2686" s="1"/>
      <c r="L2686" s="1"/>
      <c r="M2686" s="1"/>
      <c r="N2686" s="1"/>
      <c r="O2686" s="1"/>
      <c r="P2686" s="365"/>
      <c r="Q2686" s="1"/>
      <c r="R2686" s="1"/>
      <c r="S2686" s="1"/>
      <c r="T2686" s="1"/>
    </row>
    <row r="2687" spans="1:20">
      <c r="A2687" s="1">
        <v>7400</v>
      </c>
      <c r="B2687" s="42">
        <v>18.62</v>
      </c>
      <c r="C2687" s="42">
        <v>18.63</v>
      </c>
      <c r="D2687" s="42">
        <v>18.63</v>
      </c>
      <c r="E2687" s="42">
        <v>18.63</v>
      </c>
      <c r="F2687" s="42">
        <v>18.63</v>
      </c>
      <c r="G2687" s="42">
        <v>18.63</v>
      </c>
      <c r="H2687" s="42">
        <v>18.63</v>
      </c>
      <c r="I2687" s="42">
        <v>18.64</v>
      </c>
      <c r="J2687" s="21">
        <v>3869</v>
      </c>
      <c r="K2687" s="1"/>
      <c r="L2687" s="1"/>
      <c r="M2687" s="1"/>
      <c r="N2687" s="1"/>
      <c r="O2687" s="1"/>
      <c r="P2687" s="365"/>
      <c r="Q2687" s="1"/>
      <c r="R2687" s="1"/>
      <c r="S2687" s="1"/>
      <c r="T2687" s="1"/>
    </row>
    <row r="2688" spans="1:20">
      <c r="A2688" s="1">
        <v>7450</v>
      </c>
      <c r="B2688" s="42">
        <v>18.36</v>
      </c>
      <c r="C2688" s="42">
        <v>18.36</v>
      </c>
      <c r="D2688" s="42">
        <v>18.36</v>
      </c>
      <c r="E2688" s="42">
        <v>18.36</v>
      </c>
      <c r="F2688" s="42">
        <v>18.37</v>
      </c>
      <c r="G2688" s="42">
        <v>18.37</v>
      </c>
      <c r="H2688" s="42">
        <v>18.37</v>
      </c>
      <c r="I2688" s="42">
        <v>18.37</v>
      </c>
      <c r="J2688" s="21">
        <v>3819</v>
      </c>
      <c r="K2688" s="1"/>
      <c r="L2688" s="1"/>
      <c r="M2688" s="1"/>
      <c r="N2688" s="1"/>
      <c r="O2688" s="1"/>
      <c r="P2688" s="365"/>
      <c r="Q2688" s="1"/>
      <c r="R2688" s="1"/>
      <c r="S2688" s="1"/>
      <c r="T2688" s="1"/>
    </row>
    <row r="2689" spans="1:20">
      <c r="A2689" s="1">
        <v>7500</v>
      </c>
      <c r="B2689" s="42">
        <v>18.100000000000001</v>
      </c>
      <c r="C2689" s="42">
        <v>18.100000000000001</v>
      </c>
      <c r="D2689" s="42">
        <v>18.100000000000001</v>
      </c>
      <c r="E2689" s="42">
        <v>18.100000000000001</v>
      </c>
      <c r="F2689" s="42">
        <v>18.100000000000001</v>
      </c>
      <c r="G2689" s="42">
        <v>18.100000000000001</v>
      </c>
      <c r="H2689" s="42">
        <v>18.11</v>
      </c>
      <c r="I2689" s="42">
        <v>18.11</v>
      </c>
      <c r="J2689" s="21">
        <v>3769</v>
      </c>
      <c r="K2689" s="1"/>
      <c r="L2689" s="1"/>
      <c r="M2689" s="1"/>
      <c r="N2689" s="1"/>
      <c r="O2689" s="1"/>
      <c r="P2689" s="365"/>
      <c r="Q2689" s="1"/>
      <c r="R2689" s="1"/>
      <c r="S2689" s="1"/>
      <c r="T2689" s="1"/>
    </row>
    <row r="2690" spans="1:20">
      <c r="A2690" s="1">
        <v>7550</v>
      </c>
      <c r="B2690" s="42">
        <v>17.84</v>
      </c>
      <c r="C2690" s="42">
        <v>17.84</v>
      </c>
      <c r="D2690" s="42">
        <v>17.84</v>
      </c>
      <c r="E2690" s="42">
        <v>17.84</v>
      </c>
      <c r="F2690" s="42">
        <v>17.84</v>
      </c>
      <c r="G2690" s="42">
        <v>17.84</v>
      </c>
      <c r="H2690" s="42">
        <v>17.850000000000001</v>
      </c>
      <c r="I2690" s="42">
        <v>17.850000000000001</v>
      </c>
      <c r="J2690" s="21">
        <v>3719</v>
      </c>
      <c r="K2690" s="1"/>
      <c r="L2690" s="1"/>
      <c r="M2690" s="1"/>
      <c r="N2690" s="1"/>
      <c r="O2690" s="1"/>
      <c r="P2690" s="365"/>
      <c r="Q2690" s="1"/>
      <c r="R2690" s="1"/>
      <c r="S2690" s="1"/>
      <c r="T2690" s="1"/>
    </row>
    <row r="2691" spans="1:20">
      <c r="A2691" s="1">
        <v>7600</v>
      </c>
      <c r="B2691" s="42">
        <v>17.57</v>
      </c>
      <c r="C2691" s="42">
        <v>17.579999999999998</v>
      </c>
      <c r="D2691" s="42">
        <v>17.579999999999998</v>
      </c>
      <c r="E2691" s="42">
        <v>17.579999999999998</v>
      </c>
      <c r="F2691" s="42">
        <v>17.579999999999998</v>
      </c>
      <c r="G2691" s="42">
        <v>17.579999999999998</v>
      </c>
      <c r="H2691" s="42">
        <v>17.579999999999998</v>
      </c>
      <c r="I2691" s="42">
        <v>17.59</v>
      </c>
      <c r="J2691" s="21">
        <v>3669</v>
      </c>
      <c r="K2691" s="1"/>
      <c r="L2691" s="1"/>
      <c r="M2691" s="1"/>
      <c r="N2691" s="1"/>
      <c r="O2691" s="1"/>
      <c r="P2691" s="365"/>
      <c r="Q2691" s="1"/>
      <c r="R2691" s="1"/>
      <c r="S2691" s="1"/>
      <c r="T2691" s="1"/>
    </row>
    <row r="2692" spans="1:20">
      <c r="A2692" s="1">
        <v>7650</v>
      </c>
      <c r="B2692" s="42">
        <v>17.309999999999999</v>
      </c>
      <c r="C2692" s="42">
        <v>17.32</v>
      </c>
      <c r="D2692" s="42">
        <v>17.32</v>
      </c>
      <c r="E2692" s="42">
        <v>17.32</v>
      </c>
      <c r="F2692" s="42">
        <v>17.32</v>
      </c>
      <c r="G2692" s="42">
        <v>17.32</v>
      </c>
      <c r="H2692" s="42">
        <v>17.32</v>
      </c>
      <c r="I2692" s="42">
        <v>17.329999999999998</v>
      </c>
      <c r="J2692" s="21">
        <v>3619</v>
      </c>
      <c r="K2692" s="1"/>
      <c r="L2692" s="1"/>
      <c r="M2692" s="1"/>
      <c r="N2692" s="1"/>
      <c r="O2692" s="1"/>
      <c r="P2692" s="365"/>
      <c r="Q2692" s="1"/>
      <c r="R2692" s="1"/>
      <c r="S2692" s="1"/>
      <c r="T2692" s="1"/>
    </row>
    <row r="2693" spans="1:20">
      <c r="A2693" s="1">
        <v>7700</v>
      </c>
      <c r="B2693" s="42">
        <v>17.05</v>
      </c>
      <c r="C2693" s="42">
        <v>17.059999999999999</v>
      </c>
      <c r="D2693" s="42">
        <v>17.059999999999999</v>
      </c>
      <c r="E2693" s="42">
        <v>17.059999999999999</v>
      </c>
      <c r="F2693" s="42">
        <v>17.059999999999999</v>
      </c>
      <c r="G2693" s="42">
        <v>17.059999999999999</v>
      </c>
      <c r="H2693" s="42">
        <v>17.059999999999999</v>
      </c>
      <c r="I2693" s="42">
        <v>17.07</v>
      </c>
      <c r="J2693" s="21">
        <v>3569</v>
      </c>
      <c r="K2693" s="1"/>
      <c r="L2693" s="1"/>
      <c r="M2693" s="1"/>
      <c r="N2693" s="1"/>
      <c r="O2693" s="1"/>
      <c r="P2693" s="365"/>
      <c r="Q2693" s="1"/>
      <c r="R2693" s="1"/>
      <c r="S2693" s="1"/>
      <c r="T2693" s="1"/>
    </row>
    <row r="2694" spans="1:20">
      <c r="A2694" s="1">
        <v>7750</v>
      </c>
      <c r="B2694" s="42">
        <v>16.79</v>
      </c>
      <c r="C2694" s="42">
        <v>16.8</v>
      </c>
      <c r="D2694" s="42">
        <v>16.8</v>
      </c>
      <c r="E2694" s="42">
        <v>16.8</v>
      </c>
      <c r="F2694" s="42">
        <v>16.8</v>
      </c>
      <c r="G2694" s="42">
        <v>16.8</v>
      </c>
      <c r="H2694" s="42">
        <v>16.8</v>
      </c>
      <c r="I2694" s="42">
        <v>16.809999999999999</v>
      </c>
      <c r="J2694" s="21">
        <v>3519</v>
      </c>
      <c r="K2694" s="1"/>
      <c r="L2694" s="1"/>
      <c r="M2694" s="1"/>
      <c r="N2694" s="1"/>
      <c r="O2694" s="1"/>
      <c r="P2694" s="365"/>
      <c r="Q2694" s="1"/>
      <c r="R2694" s="1"/>
      <c r="S2694" s="1"/>
      <c r="T2694" s="1"/>
    </row>
    <row r="2695" spans="1:20">
      <c r="A2695" s="1">
        <v>7800</v>
      </c>
      <c r="B2695" s="42">
        <v>16.54</v>
      </c>
      <c r="C2695" s="42">
        <v>16.54</v>
      </c>
      <c r="D2695" s="42">
        <v>16.54</v>
      </c>
      <c r="E2695" s="42">
        <v>16.54</v>
      </c>
      <c r="F2695" s="42">
        <v>16.54</v>
      </c>
      <c r="G2695" s="42">
        <v>16.54</v>
      </c>
      <c r="H2695" s="42">
        <v>16.55</v>
      </c>
      <c r="I2695" s="42">
        <v>16.55</v>
      </c>
      <c r="J2695" s="21">
        <v>3469</v>
      </c>
      <c r="K2695" s="1"/>
      <c r="L2695" s="1"/>
      <c r="M2695" s="1"/>
      <c r="N2695" s="1"/>
      <c r="O2695" s="1"/>
      <c r="P2695" s="365"/>
      <c r="Q2695" s="1"/>
      <c r="R2695" s="1"/>
      <c r="S2695" s="1"/>
      <c r="T2695" s="1"/>
    </row>
    <row r="2696" spans="1:20">
      <c r="A2696" s="1">
        <v>7850</v>
      </c>
      <c r="B2696" s="42">
        <v>16.28</v>
      </c>
      <c r="C2696" s="42">
        <v>16.28</v>
      </c>
      <c r="D2696" s="42">
        <v>16.28</v>
      </c>
      <c r="E2696" s="42">
        <v>16.28</v>
      </c>
      <c r="F2696" s="42">
        <v>16.28</v>
      </c>
      <c r="G2696" s="42">
        <v>16.29</v>
      </c>
      <c r="H2696" s="42">
        <v>16.29</v>
      </c>
      <c r="I2696" s="42">
        <v>16.29</v>
      </c>
      <c r="J2696" s="21">
        <v>3419</v>
      </c>
      <c r="K2696" s="1"/>
      <c r="L2696" s="1"/>
      <c r="M2696" s="1"/>
      <c r="N2696" s="1"/>
      <c r="O2696" s="1"/>
      <c r="P2696" s="365"/>
      <c r="Q2696" s="1"/>
      <c r="R2696" s="1"/>
      <c r="S2696" s="1"/>
      <c r="T2696" s="1"/>
    </row>
    <row r="2697" spans="1:20">
      <c r="A2697" s="1">
        <v>7900</v>
      </c>
      <c r="B2697" s="42">
        <v>16.02</v>
      </c>
      <c r="C2697" s="42">
        <v>16.02</v>
      </c>
      <c r="D2697" s="42">
        <v>16.02</v>
      </c>
      <c r="E2697" s="42">
        <v>16.03</v>
      </c>
      <c r="F2697" s="42">
        <v>16.03</v>
      </c>
      <c r="G2697" s="42">
        <v>16.03</v>
      </c>
      <c r="H2697" s="42">
        <v>16.03</v>
      </c>
      <c r="I2697" s="42">
        <v>16.03</v>
      </c>
      <c r="J2697" s="21">
        <v>3369</v>
      </c>
      <c r="K2697" s="1"/>
      <c r="L2697" s="1"/>
      <c r="M2697" s="1"/>
      <c r="N2697" s="1"/>
      <c r="O2697" s="1"/>
      <c r="P2697" s="365"/>
      <c r="Q2697" s="1"/>
      <c r="R2697" s="1"/>
      <c r="S2697" s="1"/>
      <c r="T2697" s="1"/>
    </row>
    <row r="2698" spans="1:20">
      <c r="A2698" s="1">
        <v>7950</v>
      </c>
      <c r="B2698" s="42">
        <v>15.76</v>
      </c>
      <c r="C2698" s="42">
        <v>15.77</v>
      </c>
      <c r="D2698" s="42">
        <v>15.77</v>
      </c>
      <c r="E2698" s="42">
        <v>15.77</v>
      </c>
      <c r="F2698" s="42">
        <v>15.77</v>
      </c>
      <c r="G2698" s="42">
        <v>15.77</v>
      </c>
      <c r="H2698" s="42">
        <v>15.77</v>
      </c>
      <c r="I2698" s="42">
        <v>15.78</v>
      </c>
      <c r="J2698" s="21">
        <v>3319</v>
      </c>
      <c r="K2698" s="1"/>
      <c r="L2698" s="1"/>
      <c r="M2698" s="1"/>
      <c r="N2698" s="1"/>
      <c r="O2698" s="1"/>
      <c r="P2698" s="365"/>
      <c r="Q2698" s="1"/>
      <c r="R2698" s="1"/>
      <c r="S2698" s="1"/>
      <c r="T2698" s="1"/>
    </row>
    <row r="2699" spans="1:20">
      <c r="A2699" s="1">
        <v>8000</v>
      </c>
      <c r="B2699" s="42">
        <v>15.51</v>
      </c>
      <c r="C2699" s="42">
        <v>15.51</v>
      </c>
      <c r="D2699" s="42">
        <v>15.51</v>
      </c>
      <c r="E2699" s="42">
        <v>15.51</v>
      </c>
      <c r="F2699" s="42">
        <v>15.51</v>
      </c>
      <c r="G2699" s="42">
        <v>15.52</v>
      </c>
      <c r="H2699" s="42">
        <v>15.52</v>
      </c>
      <c r="I2699" s="42">
        <v>15.52</v>
      </c>
      <c r="J2699" s="21">
        <v>3269</v>
      </c>
      <c r="K2699" s="1"/>
      <c r="L2699" s="1"/>
      <c r="M2699" s="1"/>
      <c r="N2699" s="1"/>
      <c r="O2699" s="1"/>
      <c r="P2699" s="365"/>
      <c r="Q2699" s="1"/>
      <c r="R2699" s="1"/>
      <c r="S2699" s="1"/>
      <c r="T2699" s="1"/>
    </row>
    <row r="2700" spans="1:20">
      <c r="A2700" s="1">
        <v>8050</v>
      </c>
      <c r="B2700" s="42">
        <v>15.25</v>
      </c>
      <c r="C2700" s="42">
        <v>15.26</v>
      </c>
      <c r="D2700" s="42">
        <v>15.26</v>
      </c>
      <c r="E2700" s="42">
        <v>15.26</v>
      </c>
      <c r="F2700" s="42">
        <v>15.26</v>
      </c>
      <c r="G2700" s="42">
        <v>15.26</v>
      </c>
      <c r="H2700" s="42">
        <v>15.26</v>
      </c>
      <c r="I2700" s="42">
        <v>15.26</v>
      </c>
      <c r="J2700" s="21">
        <v>3219</v>
      </c>
      <c r="K2700" s="1"/>
      <c r="L2700" s="1"/>
      <c r="M2700" s="1"/>
      <c r="N2700" s="1"/>
      <c r="O2700" s="1"/>
      <c r="P2700" s="365"/>
      <c r="Q2700" s="1"/>
      <c r="R2700" s="1"/>
      <c r="S2700" s="1"/>
      <c r="T2700" s="1"/>
    </row>
    <row r="2701" spans="1:20">
      <c r="A2701" s="1">
        <v>8100</v>
      </c>
      <c r="B2701" s="42">
        <v>15</v>
      </c>
      <c r="C2701" s="42">
        <v>15</v>
      </c>
      <c r="D2701" s="42">
        <v>15</v>
      </c>
      <c r="E2701" s="42">
        <v>15</v>
      </c>
      <c r="F2701" s="42">
        <v>15</v>
      </c>
      <c r="G2701" s="42">
        <v>15.01</v>
      </c>
      <c r="H2701" s="42">
        <v>15.01</v>
      </c>
      <c r="I2701" s="42">
        <v>15.01</v>
      </c>
      <c r="J2701" s="21">
        <v>3169</v>
      </c>
      <c r="K2701" s="1"/>
      <c r="L2701" s="1"/>
      <c r="M2701" s="1"/>
      <c r="N2701" s="1"/>
      <c r="O2701" s="1"/>
      <c r="P2701" s="365"/>
      <c r="Q2701" s="1"/>
      <c r="R2701" s="1"/>
      <c r="S2701" s="1"/>
      <c r="T2701" s="1"/>
    </row>
    <row r="2702" spans="1:20">
      <c r="A2702" s="1">
        <v>8150</v>
      </c>
      <c r="B2702" s="42">
        <v>14.74</v>
      </c>
      <c r="C2702" s="42">
        <v>14.75</v>
      </c>
      <c r="D2702" s="42">
        <v>14.75</v>
      </c>
      <c r="E2702" s="42">
        <v>14.75</v>
      </c>
      <c r="F2702" s="42">
        <v>14.75</v>
      </c>
      <c r="G2702" s="42">
        <v>14.75</v>
      </c>
      <c r="H2702" s="42">
        <v>14.75</v>
      </c>
      <c r="I2702" s="42">
        <v>14.76</v>
      </c>
      <c r="J2702" s="21">
        <v>3119</v>
      </c>
      <c r="K2702" s="1"/>
      <c r="L2702" s="1"/>
      <c r="M2702" s="1"/>
      <c r="N2702" s="1"/>
      <c r="O2702" s="1"/>
      <c r="P2702" s="365"/>
      <c r="Q2702" s="1"/>
      <c r="R2702" s="1"/>
      <c r="S2702" s="1"/>
      <c r="T2702" s="1"/>
    </row>
    <row r="2703" spans="1:20">
      <c r="A2703" s="1">
        <v>8200</v>
      </c>
      <c r="B2703" s="42">
        <v>14.49</v>
      </c>
      <c r="C2703" s="42">
        <v>14.49</v>
      </c>
      <c r="D2703" s="42">
        <v>14.49</v>
      </c>
      <c r="E2703" s="42">
        <v>14.5</v>
      </c>
      <c r="F2703" s="42">
        <v>14.5</v>
      </c>
      <c r="G2703" s="42">
        <v>14.5</v>
      </c>
      <c r="H2703" s="42">
        <v>14.5</v>
      </c>
      <c r="I2703" s="42">
        <v>14.5</v>
      </c>
      <c r="J2703" s="21">
        <v>3069</v>
      </c>
      <c r="K2703" s="1"/>
      <c r="L2703" s="1"/>
      <c r="M2703" s="1"/>
      <c r="N2703" s="1"/>
      <c r="O2703" s="1"/>
      <c r="P2703" s="365"/>
      <c r="Q2703" s="1"/>
      <c r="R2703" s="1"/>
      <c r="S2703" s="1"/>
      <c r="T2703" s="1"/>
    </row>
    <row r="2704" spans="1:20">
      <c r="A2704" s="1">
        <v>8250</v>
      </c>
      <c r="B2704" s="42">
        <v>14.24</v>
      </c>
      <c r="C2704" s="42">
        <v>14.24</v>
      </c>
      <c r="D2704" s="42">
        <v>14.24</v>
      </c>
      <c r="E2704" s="42">
        <v>14.24</v>
      </c>
      <c r="F2704" s="42">
        <v>14.24</v>
      </c>
      <c r="G2704" s="42">
        <v>14.25</v>
      </c>
      <c r="H2704" s="42">
        <v>14.25</v>
      </c>
      <c r="I2704" s="42">
        <v>14.25</v>
      </c>
      <c r="J2704" s="21">
        <v>3019</v>
      </c>
      <c r="K2704" s="1"/>
      <c r="L2704" s="1"/>
      <c r="M2704" s="1"/>
      <c r="N2704" s="1"/>
      <c r="O2704" s="1"/>
      <c r="P2704" s="365"/>
      <c r="Q2704" s="1"/>
      <c r="R2704" s="1"/>
      <c r="S2704" s="1"/>
      <c r="T2704" s="1"/>
    </row>
    <row r="2705" spans="1:20">
      <c r="A2705" s="1">
        <v>8300</v>
      </c>
      <c r="B2705" s="42">
        <v>13.99</v>
      </c>
      <c r="C2705" s="42">
        <v>13.99</v>
      </c>
      <c r="D2705" s="42">
        <v>13.99</v>
      </c>
      <c r="E2705" s="42">
        <v>13.99</v>
      </c>
      <c r="F2705" s="42">
        <v>13.99</v>
      </c>
      <c r="G2705" s="42">
        <v>13.99</v>
      </c>
      <c r="H2705" s="42">
        <v>14</v>
      </c>
      <c r="I2705" s="42">
        <v>14</v>
      </c>
      <c r="J2705" s="21">
        <v>2969</v>
      </c>
      <c r="K2705" s="1"/>
      <c r="L2705" s="1"/>
      <c r="M2705" s="1"/>
      <c r="N2705" s="1"/>
      <c r="O2705" s="1"/>
      <c r="P2705" s="365"/>
      <c r="Q2705" s="1"/>
      <c r="R2705" s="1"/>
      <c r="S2705" s="1"/>
      <c r="T2705" s="1"/>
    </row>
    <row r="2706" spans="1:20">
      <c r="A2706" s="1">
        <v>8350</v>
      </c>
      <c r="B2706" s="42">
        <v>13.74</v>
      </c>
      <c r="C2706" s="42">
        <v>13.74</v>
      </c>
      <c r="D2706" s="42">
        <v>13.74</v>
      </c>
      <c r="E2706" s="42">
        <v>13.74</v>
      </c>
      <c r="F2706" s="42">
        <v>13.74</v>
      </c>
      <c r="G2706" s="42">
        <v>13.74</v>
      </c>
      <c r="H2706" s="42">
        <v>13.74</v>
      </c>
      <c r="I2706" s="42">
        <v>13.75</v>
      </c>
      <c r="J2706" s="21">
        <v>2919</v>
      </c>
      <c r="K2706" s="1"/>
      <c r="L2706" s="1"/>
      <c r="M2706" s="1"/>
      <c r="N2706" s="1"/>
      <c r="O2706" s="1"/>
      <c r="P2706" s="365"/>
      <c r="Q2706" s="1"/>
      <c r="R2706" s="1"/>
      <c r="S2706" s="1"/>
      <c r="T2706" s="1"/>
    </row>
    <row r="2707" spans="1:20">
      <c r="A2707" s="1">
        <v>8400</v>
      </c>
      <c r="B2707" s="42">
        <v>13.48</v>
      </c>
      <c r="C2707" s="42">
        <v>13.49</v>
      </c>
      <c r="D2707" s="42">
        <v>13.49</v>
      </c>
      <c r="E2707" s="42">
        <v>13.49</v>
      </c>
      <c r="F2707" s="42">
        <v>13.49</v>
      </c>
      <c r="G2707" s="42">
        <v>13.49</v>
      </c>
      <c r="H2707" s="42">
        <v>13.49</v>
      </c>
      <c r="I2707" s="42">
        <v>13.5</v>
      </c>
      <c r="J2707" s="21">
        <v>2869</v>
      </c>
      <c r="K2707" s="1"/>
      <c r="L2707" s="1"/>
      <c r="M2707" s="1"/>
      <c r="N2707" s="1"/>
      <c r="O2707" s="1"/>
      <c r="P2707" s="365"/>
      <c r="Q2707" s="1"/>
      <c r="R2707" s="1"/>
      <c r="S2707" s="1"/>
      <c r="T2707" s="1"/>
    </row>
    <row r="2708" spans="1:20">
      <c r="A2708" s="1">
        <v>8450</v>
      </c>
      <c r="B2708" s="42">
        <v>13.24</v>
      </c>
      <c r="C2708" s="42">
        <v>13.22</v>
      </c>
      <c r="D2708" s="42">
        <v>13.24</v>
      </c>
      <c r="E2708" s="42">
        <v>13.24</v>
      </c>
      <c r="F2708" s="42">
        <v>13.24</v>
      </c>
      <c r="G2708" s="42">
        <v>13.24</v>
      </c>
      <c r="H2708" s="42">
        <v>13.24</v>
      </c>
      <c r="I2708" s="42">
        <v>13.25</v>
      </c>
      <c r="J2708" s="21">
        <v>2819</v>
      </c>
      <c r="K2708" s="1"/>
      <c r="L2708" s="1"/>
      <c r="M2708" s="1"/>
      <c r="N2708" s="1"/>
      <c r="O2708" s="1"/>
      <c r="P2708" s="365"/>
      <c r="Q2708" s="1"/>
      <c r="R2708" s="1"/>
      <c r="S2708" s="1"/>
      <c r="T2708" s="1"/>
    </row>
    <row r="2709" spans="1:20">
      <c r="A2709" s="1">
        <v>8500</v>
      </c>
      <c r="B2709" s="42">
        <v>12.99</v>
      </c>
      <c r="C2709" s="42">
        <v>12.99</v>
      </c>
      <c r="D2709" s="42">
        <v>12.99</v>
      </c>
      <c r="E2709" s="42">
        <v>12.99</v>
      </c>
      <c r="F2709" s="42">
        <v>12.99</v>
      </c>
      <c r="G2709" s="42">
        <v>12.99</v>
      </c>
      <c r="H2709" s="42">
        <v>13</v>
      </c>
      <c r="I2709" s="42">
        <v>13</v>
      </c>
      <c r="J2709" s="21">
        <v>2769</v>
      </c>
      <c r="K2709" s="1"/>
      <c r="L2709" s="1"/>
      <c r="M2709" s="1"/>
      <c r="N2709" s="1"/>
      <c r="O2709" s="1"/>
      <c r="P2709" s="365"/>
      <c r="Q2709" s="1"/>
      <c r="R2709" s="1"/>
      <c r="S2709" s="1"/>
      <c r="T2709" s="1"/>
    </row>
    <row r="2710" spans="1:20">
      <c r="A2710" s="1">
        <v>8550</v>
      </c>
      <c r="B2710" s="42">
        <v>12.74</v>
      </c>
      <c r="C2710" s="42">
        <v>12.74</v>
      </c>
      <c r="D2710" s="42">
        <v>12.74</v>
      </c>
      <c r="E2710" s="42">
        <v>12.74</v>
      </c>
      <c r="F2710" s="42">
        <v>12.74</v>
      </c>
      <c r="G2710" s="42">
        <v>12.74</v>
      </c>
      <c r="H2710" s="42">
        <v>12.75</v>
      </c>
      <c r="I2710" s="42">
        <v>12.75</v>
      </c>
      <c r="J2710" s="21">
        <v>2719</v>
      </c>
      <c r="K2710" s="1"/>
      <c r="L2710" s="1"/>
      <c r="M2710" s="1"/>
      <c r="N2710" s="1"/>
      <c r="O2710" s="1"/>
      <c r="P2710" s="365"/>
      <c r="Q2710" s="1"/>
      <c r="R2710" s="1"/>
      <c r="S2710" s="1"/>
      <c r="T2710" s="1"/>
    </row>
    <row r="2711" spans="1:20">
      <c r="A2711" s="1">
        <v>8600</v>
      </c>
      <c r="B2711" s="42">
        <v>12.49</v>
      </c>
      <c r="C2711" s="42">
        <v>12.49</v>
      </c>
      <c r="D2711" s="42">
        <v>12.49</v>
      </c>
      <c r="E2711" s="42">
        <v>12.49</v>
      </c>
      <c r="F2711" s="42">
        <v>12.5</v>
      </c>
      <c r="G2711" s="42">
        <v>12.5</v>
      </c>
      <c r="H2711" s="42">
        <v>12.5</v>
      </c>
      <c r="I2711" s="42">
        <v>12.5</v>
      </c>
      <c r="J2711" s="21">
        <v>2669</v>
      </c>
      <c r="K2711" s="1"/>
      <c r="L2711" s="1"/>
      <c r="M2711" s="1"/>
      <c r="N2711" s="1"/>
      <c r="O2711" s="1"/>
      <c r="P2711" s="365"/>
      <c r="Q2711" s="1"/>
      <c r="R2711" s="1"/>
      <c r="S2711" s="1"/>
      <c r="T2711" s="1"/>
    </row>
    <row r="2712" spans="1:20">
      <c r="A2712" s="1">
        <v>8650</v>
      </c>
      <c r="B2712" s="42">
        <v>12.24</v>
      </c>
      <c r="C2712" s="42">
        <v>12.24</v>
      </c>
      <c r="D2712" s="42">
        <v>12.25</v>
      </c>
      <c r="E2712" s="42">
        <v>12.25</v>
      </c>
      <c r="F2712" s="42">
        <v>12.25</v>
      </c>
      <c r="G2712" s="42">
        <v>12.25</v>
      </c>
      <c r="H2712" s="42">
        <v>12.25</v>
      </c>
      <c r="I2712" s="42">
        <v>12.25</v>
      </c>
      <c r="J2712" s="21">
        <v>2619</v>
      </c>
      <c r="K2712" s="1"/>
      <c r="L2712" s="1"/>
      <c r="M2712" s="1"/>
      <c r="N2712" s="1"/>
      <c r="O2712" s="1"/>
      <c r="P2712" s="365"/>
      <c r="Q2712" s="1"/>
      <c r="R2712" s="1"/>
      <c r="S2712" s="1"/>
      <c r="T2712" s="1"/>
    </row>
    <row r="2713" spans="1:20">
      <c r="A2713" s="1">
        <v>8700</v>
      </c>
      <c r="B2713" s="42">
        <v>12</v>
      </c>
      <c r="C2713" s="42">
        <v>12</v>
      </c>
      <c r="D2713" s="42">
        <v>12</v>
      </c>
      <c r="E2713" s="42">
        <v>12</v>
      </c>
      <c r="F2713" s="42">
        <v>12</v>
      </c>
      <c r="G2713" s="42">
        <v>12</v>
      </c>
      <c r="H2713" s="42">
        <v>12</v>
      </c>
      <c r="I2713" s="42">
        <v>12.01</v>
      </c>
      <c r="J2713" s="21">
        <v>2569</v>
      </c>
      <c r="K2713" s="1"/>
      <c r="L2713" s="1"/>
      <c r="M2713" s="1"/>
      <c r="N2713" s="1"/>
      <c r="O2713" s="1"/>
      <c r="P2713" s="365"/>
      <c r="Q2713" s="1"/>
      <c r="R2713" s="1"/>
      <c r="S2713" s="1"/>
      <c r="T2713" s="1"/>
    </row>
    <row r="2714" spans="1:20">
      <c r="A2714" s="1">
        <v>8750</v>
      </c>
      <c r="B2714" s="42">
        <v>11.75</v>
      </c>
      <c r="C2714" s="42">
        <v>11.75</v>
      </c>
      <c r="D2714" s="42">
        <v>11.75</v>
      </c>
      <c r="E2714" s="42">
        <v>11.75</v>
      </c>
      <c r="F2714" s="42">
        <v>11.76</v>
      </c>
      <c r="G2714" s="42">
        <v>11.76</v>
      </c>
      <c r="H2714" s="42">
        <v>11.76</v>
      </c>
      <c r="I2714" s="42">
        <v>11.76</v>
      </c>
      <c r="J2714" s="21">
        <v>2519</v>
      </c>
      <c r="K2714" s="1"/>
      <c r="L2714" s="1"/>
      <c r="M2714" s="1"/>
      <c r="N2714" s="1"/>
      <c r="O2714" s="1"/>
      <c r="P2714" s="365"/>
      <c r="Q2714" s="1"/>
      <c r="R2714" s="1"/>
      <c r="S2714" s="1"/>
      <c r="T2714" s="1"/>
    </row>
    <row r="2715" spans="1:20">
      <c r="A2715" s="1">
        <v>8800</v>
      </c>
      <c r="B2715" s="42">
        <v>11.5</v>
      </c>
      <c r="C2715" s="42">
        <v>11.51</v>
      </c>
      <c r="D2715" s="42">
        <v>11.51</v>
      </c>
      <c r="E2715" s="42">
        <v>11.51</v>
      </c>
      <c r="F2715" s="42">
        <v>11.51</v>
      </c>
      <c r="G2715" s="42">
        <v>11.51</v>
      </c>
      <c r="H2715" s="42">
        <v>11.51</v>
      </c>
      <c r="I2715" s="42">
        <v>11.52</v>
      </c>
      <c r="J2715" s="21">
        <v>2469</v>
      </c>
      <c r="K2715" s="1"/>
      <c r="L2715" s="1"/>
      <c r="M2715" s="1"/>
      <c r="N2715" s="1"/>
      <c r="O2715" s="1"/>
      <c r="P2715" s="365"/>
      <c r="Q2715" s="1"/>
      <c r="R2715" s="1"/>
      <c r="S2715" s="1"/>
      <c r="T2715" s="1"/>
    </row>
    <row r="2716" spans="1:20">
      <c r="A2716" s="1">
        <v>8850</v>
      </c>
      <c r="B2716" s="42">
        <v>11.26</v>
      </c>
      <c r="C2716" s="42">
        <v>11.26</v>
      </c>
      <c r="D2716" s="42">
        <v>11.26</v>
      </c>
      <c r="E2716" s="42">
        <v>11.26</v>
      </c>
      <c r="F2716" s="42">
        <v>11.27</v>
      </c>
      <c r="G2716" s="42">
        <v>11.27</v>
      </c>
      <c r="H2716" s="42">
        <v>11.27</v>
      </c>
      <c r="I2716" s="42">
        <v>11.27</v>
      </c>
      <c r="J2716" s="21">
        <v>2419</v>
      </c>
      <c r="K2716" s="1"/>
      <c r="L2716" s="1"/>
      <c r="M2716" s="1"/>
      <c r="N2716" s="1"/>
      <c r="O2716" s="1"/>
      <c r="P2716" s="365"/>
      <c r="Q2716" s="1"/>
      <c r="R2716" s="1"/>
      <c r="S2716" s="1"/>
      <c r="T2716" s="1"/>
    </row>
    <row r="2717" spans="1:20">
      <c r="A2717" s="1">
        <v>8900</v>
      </c>
      <c r="B2717" s="42">
        <v>11.02</v>
      </c>
      <c r="C2717" s="42">
        <v>11.02</v>
      </c>
      <c r="D2717" s="42">
        <v>11.02</v>
      </c>
      <c r="E2717" s="42">
        <v>11.02</v>
      </c>
      <c r="F2717" s="42">
        <v>11.02</v>
      </c>
      <c r="G2717" s="42">
        <v>11.02</v>
      </c>
      <c r="H2717" s="42">
        <v>11.03</v>
      </c>
      <c r="I2717" s="42">
        <v>11.03</v>
      </c>
      <c r="J2717" s="21">
        <v>2369</v>
      </c>
      <c r="K2717" s="1"/>
      <c r="L2717" s="1"/>
      <c r="M2717" s="1"/>
      <c r="N2717" s="1"/>
      <c r="O2717" s="1"/>
      <c r="P2717" s="365"/>
      <c r="Q2717" s="1"/>
      <c r="R2717" s="1"/>
      <c r="S2717" s="1"/>
      <c r="T2717" s="1"/>
    </row>
    <row r="2718" spans="1:20">
      <c r="A2718" s="1">
        <v>8950</v>
      </c>
      <c r="B2718" s="42">
        <v>10.77</v>
      </c>
      <c r="C2718" s="42">
        <v>10.78</v>
      </c>
      <c r="D2718" s="42">
        <v>10.78</v>
      </c>
      <c r="E2718" s="42">
        <v>10.78</v>
      </c>
      <c r="F2718" s="42">
        <v>10.78</v>
      </c>
      <c r="G2718" s="42">
        <v>10.78</v>
      </c>
      <c r="H2718" s="42">
        <v>10.78</v>
      </c>
      <c r="I2718" s="42">
        <v>10.78</v>
      </c>
      <c r="J2718" s="21">
        <v>2319</v>
      </c>
      <c r="K2718" s="1"/>
      <c r="L2718" s="1"/>
      <c r="M2718" s="1"/>
      <c r="N2718" s="1"/>
      <c r="O2718" s="1"/>
      <c r="P2718" s="365"/>
      <c r="Q2718" s="1"/>
      <c r="R2718" s="1"/>
      <c r="S2718" s="1"/>
      <c r="T2718" s="1"/>
    </row>
    <row r="2719" spans="1:20">
      <c r="A2719" s="1">
        <v>9000</v>
      </c>
      <c r="B2719" s="42">
        <v>10.53</v>
      </c>
      <c r="C2719" s="42">
        <v>10.53</v>
      </c>
      <c r="D2719" s="42">
        <v>10.53</v>
      </c>
      <c r="E2719" s="42">
        <v>10.54</v>
      </c>
      <c r="F2719" s="42">
        <v>10.54</v>
      </c>
      <c r="G2719" s="42">
        <v>10.54</v>
      </c>
      <c r="H2719" s="42">
        <v>10.54</v>
      </c>
      <c r="I2719" s="42">
        <v>10.54</v>
      </c>
      <c r="J2719" s="21">
        <v>2269</v>
      </c>
      <c r="K2719" s="1"/>
      <c r="L2719" s="1"/>
      <c r="M2719" s="1"/>
      <c r="N2719" s="1"/>
      <c r="O2719" s="1"/>
      <c r="P2719" s="365"/>
      <c r="Q2719" s="1"/>
      <c r="R2719" s="1"/>
      <c r="S2719" s="1"/>
      <c r="T2719" s="1"/>
    </row>
    <row r="2720" spans="1:20">
      <c r="A2720" s="1">
        <v>9050</v>
      </c>
      <c r="B2720" s="42">
        <v>10.29</v>
      </c>
      <c r="C2720" s="42">
        <v>10.29</v>
      </c>
      <c r="D2720" s="42">
        <v>10.29</v>
      </c>
      <c r="E2720" s="42">
        <v>10.29</v>
      </c>
      <c r="F2720" s="42">
        <v>10.29</v>
      </c>
      <c r="G2720" s="42">
        <v>10.3</v>
      </c>
      <c r="H2720" s="42">
        <v>10.3</v>
      </c>
      <c r="I2720" s="42">
        <v>10.3</v>
      </c>
      <c r="J2720" s="21">
        <v>2219</v>
      </c>
      <c r="K2720" s="1"/>
      <c r="L2720" s="1"/>
      <c r="M2720" s="1"/>
      <c r="N2720" s="1"/>
      <c r="O2720" s="1"/>
      <c r="P2720" s="365"/>
      <c r="Q2720" s="1"/>
      <c r="R2720" s="1"/>
      <c r="S2720" s="1"/>
      <c r="T2720" s="1"/>
    </row>
    <row r="2721" spans="1:20">
      <c r="A2721" s="1">
        <v>9100</v>
      </c>
      <c r="B2721" s="42">
        <v>10.050000000000001</v>
      </c>
      <c r="C2721" s="42">
        <v>10.050000000000001</v>
      </c>
      <c r="D2721" s="42">
        <v>10.050000000000001</v>
      </c>
      <c r="E2721" s="42">
        <v>10.050000000000001</v>
      </c>
      <c r="F2721" s="42">
        <v>10.050000000000001</v>
      </c>
      <c r="G2721" s="42">
        <v>10.050000000000001</v>
      </c>
      <c r="H2721" s="42">
        <v>10.06</v>
      </c>
      <c r="I2721" s="42">
        <v>10.06</v>
      </c>
      <c r="J2721" s="21">
        <v>2169</v>
      </c>
      <c r="K2721" s="1"/>
      <c r="L2721" s="1"/>
      <c r="M2721" s="1"/>
      <c r="N2721" s="1"/>
      <c r="O2721" s="1"/>
      <c r="P2721" s="365"/>
      <c r="Q2721" s="1"/>
      <c r="R2721" s="1"/>
      <c r="S2721" s="1"/>
      <c r="T2721" s="1"/>
    </row>
    <row r="2722" spans="1:20">
      <c r="A2722" s="1">
        <v>9150</v>
      </c>
      <c r="B2722" s="42">
        <v>9.81</v>
      </c>
      <c r="C2722" s="42">
        <v>9.81</v>
      </c>
      <c r="D2722" s="42">
        <v>9.81</v>
      </c>
      <c r="E2722" s="42">
        <v>9.81</v>
      </c>
      <c r="F2722" s="42">
        <v>9.81</v>
      </c>
      <c r="G2722" s="42">
        <v>9.81</v>
      </c>
      <c r="H2722" s="42">
        <v>9.82</v>
      </c>
      <c r="I2722" s="42">
        <v>9.82</v>
      </c>
      <c r="J2722" s="21">
        <v>2119</v>
      </c>
      <c r="K2722" s="1"/>
      <c r="L2722" s="1"/>
      <c r="M2722" s="1"/>
      <c r="N2722" s="1"/>
      <c r="O2722" s="1"/>
      <c r="P2722" s="365"/>
      <c r="Q2722" s="1"/>
      <c r="R2722" s="1"/>
      <c r="S2722" s="1"/>
      <c r="T2722" s="1"/>
    </row>
    <row r="2723" spans="1:20">
      <c r="A2723" s="1">
        <v>9200</v>
      </c>
      <c r="B2723" s="42">
        <v>9.57</v>
      </c>
      <c r="C2723" s="42">
        <v>9.57</v>
      </c>
      <c r="D2723" s="42">
        <v>9.57</v>
      </c>
      <c r="E2723" s="42">
        <v>9.57</v>
      </c>
      <c r="F2723" s="42">
        <v>9.57</v>
      </c>
      <c r="G2723" s="42">
        <v>9.57</v>
      </c>
      <c r="H2723" s="42">
        <v>9.58</v>
      </c>
      <c r="I2723" s="42">
        <v>9.58</v>
      </c>
      <c r="J2723" s="21">
        <v>2069</v>
      </c>
      <c r="K2723" s="1"/>
      <c r="L2723" s="1"/>
      <c r="M2723" s="1"/>
      <c r="N2723" s="1"/>
      <c r="O2723" s="1"/>
      <c r="P2723" s="365"/>
      <c r="Q2723" s="1"/>
      <c r="R2723" s="1"/>
      <c r="S2723" s="1"/>
      <c r="T2723" s="1"/>
    </row>
    <row r="2724" spans="1:20">
      <c r="A2724" s="1">
        <v>9250</v>
      </c>
      <c r="B2724" s="42">
        <v>9.33</v>
      </c>
      <c r="C2724" s="42">
        <v>9.33</v>
      </c>
      <c r="D2724" s="42">
        <v>9.33</v>
      </c>
      <c r="E2724" s="42">
        <v>9.33</v>
      </c>
      <c r="F2724" s="42">
        <v>9.33</v>
      </c>
      <c r="G2724" s="42">
        <v>9.33</v>
      </c>
      <c r="H2724" s="42">
        <v>9.34</v>
      </c>
      <c r="I2724" s="42">
        <v>9.34</v>
      </c>
      <c r="J2724" s="21">
        <v>2019</v>
      </c>
      <c r="K2724" s="1"/>
      <c r="L2724" s="1"/>
      <c r="M2724" s="1"/>
      <c r="N2724" s="1"/>
      <c r="O2724" s="1"/>
      <c r="P2724" s="365"/>
      <c r="Q2724" s="1"/>
      <c r="R2724" s="1"/>
      <c r="S2724" s="1"/>
      <c r="T2724" s="1"/>
    </row>
    <row r="2725" spans="1:20">
      <c r="A2725" s="1">
        <v>9300</v>
      </c>
      <c r="B2725" s="42">
        <v>9.09</v>
      </c>
      <c r="C2725" s="42">
        <v>9.09</v>
      </c>
      <c r="D2725" s="42">
        <v>9.09</v>
      </c>
      <c r="E2725" s="42">
        <v>9.09</v>
      </c>
      <c r="F2725" s="42">
        <v>9.1</v>
      </c>
      <c r="G2725" s="42">
        <v>9.1</v>
      </c>
      <c r="H2725" s="42">
        <v>9.1</v>
      </c>
      <c r="I2725" s="42">
        <v>9.1</v>
      </c>
      <c r="J2725" s="21">
        <v>1969</v>
      </c>
      <c r="K2725" s="1"/>
      <c r="L2725" s="1"/>
      <c r="M2725" s="1"/>
      <c r="N2725" s="1"/>
      <c r="O2725" s="1"/>
      <c r="P2725" s="365"/>
      <c r="Q2725" s="1"/>
      <c r="R2725" s="1"/>
      <c r="S2725" s="1"/>
      <c r="T2725" s="1"/>
    </row>
    <row r="2726" spans="1:20">
      <c r="A2726" s="1">
        <v>9350</v>
      </c>
      <c r="B2726" s="42">
        <v>8.85</v>
      </c>
      <c r="C2726" s="42">
        <v>8.85</v>
      </c>
      <c r="D2726" s="42">
        <v>8.86</v>
      </c>
      <c r="E2726" s="42">
        <v>8.86</v>
      </c>
      <c r="F2726" s="42">
        <v>8.86</v>
      </c>
      <c r="G2726" s="42">
        <v>8.86</v>
      </c>
      <c r="H2726" s="42">
        <v>8.86</v>
      </c>
      <c r="I2726" s="42">
        <v>8.86</v>
      </c>
      <c r="J2726" s="21">
        <v>1919</v>
      </c>
      <c r="K2726" s="1"/>
      <c r="L2726" s="1"/>
      <c r="M2726" s="1"/>
      <c r="N2726" s="1"/>
      <c r="O2726" s="1"/>
      <c r="P2726" s="365"/>
      <c r="Q2726" s="1"/>
      <c r="R2726" s="1"/>
      <c r="S2726" s="1"/>
      <c r="T2726" s="1"/>
    </row>
    <row r="2727" spans="1:20">
      <c r="A2727" s="1">
        <v>9400</v>
      </c>
      <c r="B2727" s="42">
        <v>8.61</v>
      </c>
      <c r="C2727" s="42">
        <v>8.6199999999999992</v>
      </c>
      <c r="D2727" s="42">
        <v>8.6199999999999992</v>
      </c>
      <c r="E2727" s="42">
        <v>8.6199999999999992</v>
      </c>
      <c r="F2727" s="42">
        <v>8.6199999999999992</v>
      </c>
      <c r="G2727" s="42">
        <v>8.6199999999999992</v>
      </c>
      <c r="H2727" s="42">
        <v>8.6199999999999992</v>
      </c>
      <c r="I2727" s="42">
        <v>8.625</v>
      </c>
      <c r="J2727" s="21">
        <v>1869</v>
      </c>
      <c r="K2727" s="1"/>
      <c r="L2727" s="1"/>
      <c r="M2727" s="1"/>
      <c r="N2727" s="1"/>
      <c r="O2727" s="1"/>
      <c r="P2727" s="365"/>
      <c r="Q2727" s="1"/>
      <c r="R2727" s="1"/>
      <c r="S2727" s="1"/>
      <c r="T2727" s="1"/>
    </row>
    <row r="2728" spans="1:20">
      <c r="A2728" s="1">
        <v>9450</v>
      </c>
      <c r="B2728" s="42">
        <v>8.3800000000000008</v>
      </c>
      <c r="C2728" s="42">
        <v>8.3800000000000008</v>
      </c>
      <c r="D2728" s="42">
        <v>8.3800000000000008</v>
      </c>
      <c r="E2728" s="42">
        <v>8.3800000000000008</v>
      </c>
      <c r="F2728" s="42">
        <v>8.3800000000000008</v>
      </c>
      <c r="G2728" s="42">
        <v>8.3800000000000008</v>
      </c>
      <c r="H2728" s="42">
        <v>8.39</v>
      </c>
      <c r="I2728" s="42">
        <v>8.39</v>
      </c>
      <c r="J2728" s="21">
        <v>1819</v>
      </c>
      <c r="K2728" s="1"/>
      <c r="L2728" s="1"/>
      <c r="M2728" s="1"/>
      <c r="N2728" s="1"/>
      <c r="O2728" s="1"/>
      <c r="P2728" s="365"/>
      <c r="Q2728" s="1"/>
      <c r="R2728" s="1"/>
      <c r="S2728" s="1"/>
      <c r="T2728" s="1"/>
    </row>
    <row r="2729" spans="1:20">
      <c r="A2729" s="1">
        <v>9500</v>
      </c>
      <c r="B2729" s="42">
        <v>8.14</v>
      </c>
      <c r="C2729" s="42">
        <v>8.14</v>
      </c>
      <c r="D2729" s="42">
        <v>8.15</v>
      </c>
      <c r="E2729" s="42">
        <v>8.15</v>
      </c>
      <c r="F2729" s="42">
        <v>8.15</v>
      </c>
      <c r="G2729" s="42">
        <v>8.15</v>
      </c>
      <c r="H2729" s="42">
        <v>8.15</v>
      </c>
      <c r="I2729" s="42">
        <v>8.15</v>
      </c>
      <c r="J2729" s="21">
        <v>1769</v>
      </c>
      <c r="K2729" s="1"/>
      <c r="L2729" s="1"/>
      <c r="M2729" s="1"/>
      <c r="N2729" s="1"/>
      <c r="O2729" s="1"/>
      <c r="P2729" s="365"/>
      <c r="Q2729" s="1"/>
      <c r="R2729" s="1"/>
      <c r="S2729" s="1"/>
      <c r="T2729" s="1"/>
    </row>
    <row r="2730" spans="1:20">
      <c r="A2730" s="1">
        <v>9550</v>
      </c>
      <c r="B2730" s="42">
        <v>7.91</v>
      </c>
      <c r="C2730" s="42">
        <v>7.91</v>
      </c>
      <c r="D2730" s="42">
        <v>7.91</v>
      </c>
      <c r="E2730" s="42">
        <v>7.91</v>
      </c>
      <c r="F2730" s="42">
        <v>7.91</v>
      </c>
      <c r="G2730" s="42">
        <v>7.91</v>
      </c>
      <c r="H2730" s="42">
        <v>7.92</v>
      </c>
      <c r="I2730" s="42">
        <v>7.92</v>
      </c>
      <c r="J2730" s="21">
        <v>1719</v>
      </c>
      <c r="K2730" s="1"/>
      <c r="L2730" s="1"/>
      <c r="M2730" s="1"/>
      <c r="N2730" s="1"/>
      <c r="O2730" s="1"/>
      <c r="P2730" s="365"/>
      <c r="Q2730" s="1"/>
      <c r="R2730" s="1"/>
      <c r="S2730" s="1"/>
      <c r="T2730" s="1"/>
    </row>
    <row r="2731" spans="1:20">
      <c r="A2731" s="1">
        <v>9600</v>
      </c>
      <c r="B2731" s="42">
        <v>7.67</v>
      </c>
      <c r="C2731" s="42">
        <v>7.68</v>
      </c>
      <c r="D2731" s="42">
        <v>7.68</v>
      </c>
      <c r="E2731" s="42">
        <v>7.68</v>
      </c>
      <c r="F2731" s="42">
        <v>7.68</v>
      </c>
      <c r="G2731" s="42">
        <v>7.68</v>
      </c>
      <c r="H2731" s="42">
        <v>7.68</v>
      </c>
      <c r="I2731" s="42">
        <v>7.68</v>
      </c>
      <c r="J2731" s="21">
        <v>1669</v>
      </c>
      <c r="K2731" s="1"/>
      <c r="L2731" s="1"/>
      <c r="M2731" s="1"/>
      <c r="N2731" s="1"/>
      <c r="O2731" s="1"/>
      <c r="P2731" s="365"/>
      <c r="Q2731" s="1"/>
      <c r="R2731" s="1"/>
      <c r="S2731" s="1"/>
      <c r="T2731" s="1"/>
    </row>
    <row r="2732" spans="1:20">
      <c r="A2732" s="1">
        <v>9650</v>
      </c>
      <c r="B2732" s="42">
        <v>7.44</v>
      </c>
      <c r="C2732" s="42">
        <v>7.44</v>
      </c>
      <c r="D2732" s="42">
        <v>7.44</v>
      </c>
      <c r="E2732" s="42">
        <v>7.44</v>
      </c>
      <c r="F2732" s="42">
        <v>7.44</v>
      </c>
      <c r="G2732" s="42">
        <v>7.45</v>
      </c>
      <c r="H2732" s="42">
        <v>7.45</v>
      </c>
      <c r="I2732" s="42">
        <v>7.45</v>
      </c>
      <c r="J2732" s="21">
        <v>1619</v>
      </c>
      <c r="K2732" s="1"/>
      <c r="L2732" s="1"/>
      <c r="M2732" s="1"/>
      <c r="N2732" s="1"/>
      <c r="O2732" s="1"/>
      <c r="P2732" s="365"/>
      <c r="Q2732" s="1"/>
      <c r="R2732" s="1"/>
      <c r="S2732" s="1"/>
      <c r="T2732" s="1"/>
    </row>
    <row r="2733" spans="1:20">
      <c r="A2733" s="1">
        <v>9700</v>
      </c>
      <c r="B2733" s="42">
        <v>7.21</v>
      </c>
      <c r="C2733" s="42">
        <v>7.21</v>
      </c>
      <c r="D2733" s="42">
        <v>7.21</v>
      </c>
      <c r="E2733" s="42">
        <v>7.21</v>
      </c>
      <c r="F2733" s="42">
        <v>7.21</v>
      </c>
      <c r="G2733" s="42">
        <v>7.21</v>
      </c>
      <c r="H2733" s="42">
        <v>7.21</v>
      </c>
      <c r="I2733" s="42">
        <v>7.22</v>
      </c>
      <c r="J2733" s="21">
        <v>1569</v>
      </c>
      <c r="K2733" s="1"/>
      <c r="L2733" s="1"/>
      <c r="M2733" s="1"/>
      <c r="N2733" s="1"/>
      <c r="O2733" s="1"/>
      <c r="P2733" s="365"/>
      <c r="Q2733" s="1"/>
      <c r="R2733" s="1"/>
      <c r="S2733" s="1"/>
      <c r="T2733" s="1"/>
    </row>
    <row r="2734" spans="1:20">
      <c r="A2734" s="1">
        <v>9750</v>
      </c>
      <c r="B2734" s="42">
        <v>6.97</v>
      </c>
      <c r="C2734" s="42">
        <v>6.98</v>
      </c>
      <c r="D2734" s="42">
        <v>6.98</v>
      </c>
      <c r="E2734" s="42">
        <v>6.98</v>
      </c>
      <c r="F2734" s="42">
        <v>6.98</v>
      </c>
      <c r="G2734" s="42">
        <v>6.98</v>
      </c>
      <c r="H2734" s="42">
        <v>6.98</v>
      </c>
      <c r="I2734" s="42">
        <v>6.98</v>
      </c>
      <c r="J2734" s="21">
        <v>1519</v>
      </c>
      <c r="K2734" s="1"/>
      <c r="L2734" s="1"/>
      <c r="M2734" s="1"/>
      <c r="N2734" s="1"/>
      <c r="O2734" s="1"/>
      <c r="P2734" s="365"/>
      <c r="Q2734" s="1"/>
      <c r="R2734" s="1"/>
      <c r="S2734" s="1"/>
      <c r="T2734" s="1"/>
    </row>
    <row r="2735" spans="1:20">
      <c r="A2735" s="1">
        <v>9800</v>
      </c>
      <c r="B2735" s="42">
        <v>6.74</v>
      </c>
      <c r="C2735" s="42">
        <v>6.74</v>
      </c>
      <c r="D2735" s="42">
        <v>6.74</v>
      </c>
      <c r="E2735" s="42">
        <v>6.75</v>
      </c>
      <c r="F2735" s="42">
        <v>6.75</v>
      </c>
      <c r="G2735" s="42">
        <v>6.75</v>
      </c>
      <c r="H2735" s="42">
        <v>6.75</v>
      </c>
      <c r="I2735" s="42">
        <v>6.75</v>
      </c>
      <c r="J2735" s="21">
        <v>1469</v>
      </c>
      <c r="K2735" s="1"/>
      <c r="L2735" s="1"/>
      <c r="M2735" s="1"/>
      <c r="N2735" s="1"/>
      <c r="O2735" s="1"/>
      <c r="P2735" s="365"/>
      <c r="Q2735" s="1"/>
      <c r="R2735" s="1"/>
      <c r="S2735" s="1"/>
      <c r="T2735" s="1"/>
    </row>
    <row r="2736" spans="1:20">
      <c r="A2736" s="1">
        <v>9850</v>
      </c>
      <c r="B2736" s="42">
        <v>6.51</v>
      </c>
      <c r="C2736" s="42">
        <v>6.51</v>
      </c>
      <c r="D2736" s="42">
        <v>6.51</v>
      </c>
      <c r="E2736" s="42">
        <v>6.51</v>
      </c>
      <c r="F2736" s="42">
        <v>6.52</v>
      </c>
      <c r="G2736" s="42">
        <v>6.52</v>
      </c>
      <c r="H2736" s="42">
        <v>6.52</v>
      </c>
      <c r="I2736" s="42">
        <v>6.52</v>
      </c>
      <c r="J2736" s="21">
        <v>1419</v>
      </c>
      <c r="K2736" s="1"/>
      <c r="L2736" s="1"/>
      <c r="M2736" s="1"/>
      <c r="N2736" s="1"/>
      <c r="O2736" s="1"/>
      <c r="P2736" s="365"/>
      <c r="Q2736" s="1"/>
      <c r="R2736" s="1"/>
      <c r="S2736" s="1"/>
      <c r="T2736" s="1"/>
    </row>
    <row r="2737" spans="1:20">
      <c r="A2737" s="1">
        <v>9900</v>
      </c>
      <c r="B2737" s="42">
        <v>6.28</v>
      </c>
      <c r="C2737" s="42">
        <v>6.28</v>
      </c>
      <c r="D2737" s="42">
        <v>6.28</v>
      </c>
      <c r="E2737" s="42">
        <v>6.28</v>
      </c>
      <c r="F2737" s="42">
        <v>6.29</v>
      </c>
      <c r="G2737" s="42">
        <v>6.29</v>
      </c>
      <c r="H2737" s="42">
        <v>6.29</v>
      </c>
      <c r="I2737" s="42">
        <v>6.29</v>
      </c>
      <c r="J2737" s="21">
        <v>1369</v>
      </c>
      <c r="K2737" s="1"/>
      <c r="L2737" s="1"/>
      <c r="M2737" s="1"/>
      <c r="N2737" s="1"/>
      <c r="O2737" s="1"/>
      <c r="P2737" s="365"/>
      <c r="Q2737" s="1"/>
      <c r="R2737" s="1"/>
      <c r="S2737" s="1"/>
      <c r="T2737" s="1"/>
    </row>
    <row r="2738" spans="1:20">
      <c r="A2738" s="1">
        <v>9950</v>
      </c>
      <c r="B2738" s="42">
        <v>6.05</v>
      </c>
      <c r="C2738" s="42">
        <v>6.05</v>
      </c>
      <c r="D2738" s="42">
        <v>6.05</v>
      </c>
      <c r="E2738" s="42">
        <v>6.05</v>
      </c>
      <c r="F2738" s="42">
        <v>6.06</v>
      </c>
      <c r="G2738" s="42">
        <v>6.06</v>
      </c>
      <c r="H2738" s="42">
        <v>6.06</v>
      </c>
      <c r="I2738" s="42">
        <v>6.06</v>
      </c>
      <c r="J2738" s="21">
        <v>1319</v>
      </c>
      <c r="K2738" s="1"/>
      <c r="L2738" s="1"/>
      <c r="M2738" s="1"/>
      <c r="N2738" s="1"/>
      <c r="O2738" s="1"/>
      <c r="P2738" s="365"/>
      <c r="Q2738" s="1"/>
      <c r="R2738" s="1"/>
      <c r="S2738" s="1"/>
      <c r="T2738" s="1"/>
    </row>
    <row r="2739" spans="1:20">
      <c r="A2739" s="1">
        <v>10000</v>
      </c>
      <c r="B2739" s="42">
        <v>5.82</v>
      </c>
      <c r="C2739" s="42">
        <v>5.82</v>
      </c>
      <c r="D2739" s="42">
        <v>5.82</v>
      </c>
      <c r="E2739" s="42">
        <v>5.83</v>
      </c>
      <c r="F2739" s="42">
        <v>5.83</v>
      </c>
      <c r="G2739" s="42">
        <v>5.83</v>
      </c>
      <c r="H2739" s="42">
        <v>5.83</v>
      </c>
      <c r="I2739" s="42">
        <v>5.83</v>
      </c>
      <c r="J2739" s="21">
        <v>1269</v>
      </c>
      <c r="K2739" s="1"/>
      <c r="L2739" s="1"/>
      <c r="M2739" s="1"/>
      <c r="N2739" s="1"/>
      <c r="O2739" s="1"/>
      <c r="P2739" s="365"/>
      <c r="Q2739" s="1"/>
      <c r="R2739" s="1"/>
      <c r="S2739" s="1"/>
      <c r="T2739" s="1"/>
    </row>
    <row r="2740" spans="1:20">
      <c r="A2740" s="1">
        <v>10050</v>
      </c>
      <c r="B2740" s="42">
        <v>5.59</v>
      </c>
      <c r="C2740" s="42">
        <v>5.6</v>
      </c>
      <c r="D2740" s="42">
        <v>5.6</v>
      </c>
      <c r="E2740" s="42">
        <v>5.6</v>
      </c>
      <c r="F2740" s="42">
        <v>5.6</v>
      </c>
      <c r="G2740" s="42">
        <v>5.6</v>
      </c>
      <c r="H2740" s="42">
        <v>5.6</v>
      </c>
      <c r="I2740" s="42">
        <v>5.6</v>
      </c>
      <c r="J2740" s="21">
        <v>1219</v>
      </c>
      <c r="K2740" s="1"/>
      <c r="L2740" s="1"/>
      <c r="M2740" s="1"/>
      <c r="N2740" s="1"/>
      <c r="O2740" s="1"/>
      <c r="P2740" s="365"/>
      <c r="Q2740" s="1"/>
      <c r="R2740" s="1"/>
      <c r="S2740" s="1"/>
      <c r="T2740" s="1"/>
    </row>
    <row r="2741" spans="1:20">
      <c r="A2741" s="1">
        <v>10100</v>
      </c>
      <c r="B2741" s="42">
        <v>5.37</v>
      </c>
      <c r="C2741" s="42">
        <v>5.37</v>
      </c>
      <c r="D2741" s="42">
        <v>5.37</v>
      </c>
      <c r="E2741" s="42">
        <v>5.37</v>
      </c>
      <c r="F2741" s="42">
        <v>5.37</v>
      </c>
      <c r="G2741" s="42">
        <v>5.37</v>
      </c>
      <c r="H2741" s="42">
        <v>5.37</v>
      </c>
      <c r="I2741" s="42">
        <v>5.38</v>
      </c>
      <c r="J2741" s="21">
        <v>1169</v>
      </c>
      <c r="K2741" s="1"/>
      <c r="L2741" s="1"/>
      <c r="M2741" s="1"/>
      <c r="N2741" s="1"/>
      <c r="O2741" s="1"/>
      <c r="P2741" s="365"/>
      <c r="Q2741" s="1"/>
      <c r="R2741" s="1"/>
      <c r="S2741" s="1"/>
      <c r="T2741" s="1"/>
    </row>
    <row r="2742" spans="1:20">
      <c r="A2742" s="1">
        <v>10150</v>
      </c>
      <c r="B2742" s="42">
        <v>5.14</v>
      </c>
      <c r="C2742" s="42">
        <v>5.14</v>
      </c>
      <c r="D2742" s="42">
        <v>5.14</v>
      </c>
      <c r="E2742" s="42">
        <v>5.14</v>
      </c>
      <c r="F2742" s="42">
        <v>5.14</v>
      </c>
      <c r="G2742" s="42">
        <v>5.14</v>
      </c>
      <c r="H2742" s="42">
        <v>5.15</v>
      </c>
      <c r="I2742" s="42">
        <v>5.15</v>
      </c>
      <c r="J2742" s="21">
        <v>1119</v>
      </c>
      <c r="K2742" s="1"/>
      <c r="L2742" s="1"/>
      <c r="M2742" s="1"/>
      <c r="N2742" s="1"/>
      <c r="O2742" s="1"/>
      <c r="P2742" s="365"/>
      <c r="Q2742" s="1"/>
      <c r="R2742" s="1"/>
      <c r="S2742" s="1"/>
      <c r="T2742" s="1"/>
    </row>
    <row r="2743" spans="1:20">
      <c r="A2743" s="1">
        <v>10200</v>
      </c>
      <c r="B2743" s="42">
        <v>4.91</v>
      </c>
      <c r="C2743" s="42">
        <v>4.91</v>
      </c>
      <c r="D2743" s="42">
        <v>4.91</v>
      </c>
      <c r="E2743" s="42">
        <v>4.92</v>
      </c>
      <c r="F2743" s="42">
        <v>4.92</v>
      </c>
      <c r="G2743" s="42">
        <v>4.92</v>
      </c>
      <c r="H2743" s="42">
        <v>4.92</v>
      </c>
      <c r="I2743" s="42">
        <v>4.92</v>
      </c>
      <c r="J2743" s="21">
        <v>1069</v>
      </c>
      <c r="K2743" s="1"/>
      <c r="L2743" s="1"/>
      <c r="M2743" s="1"/>
      <c r="N2743" s="1"/>
      <c r="O2743" s="1"/>
      <c r="P2743" s="365"/>
      <c r="Q2743" s="1"/>
      <c r="R2743" s="1"/>
      <c r="S2743" s="1"/>
      <c r="T2743" s="1"/>
    </row>
    <row r="2744" spans="1:20">
      <c r="A2744" s="1">
        <v>10250</v>
      </c>
      <c r="B2744" s="42">
        <v>4.6900000000000004</v>
      </c>
      <c r="C2744" s="42">
        <v>4.6900000000000004</v>
      </c>
      <c r="D2744" s="42">
        <v>4.6900000000000004</v>
      </c>
      <c r="E2744" s="42">
        <v>4.6900000000000004</v>
      </c>
      <c r="F2744" s="42">
        <v>4.6900000000000004</v>
      </c>
      <c r="G2744" s="42">
        <v>4.6900000000000004</v>
      </c>
      <c r="H2744" s="42">
        <v>4.6900000000000004</v>
      </c>
      <c r="I2744" s="42">
        <v>4.7</v>
      </c>
      <c r="J2744" s="21">
        <v>1019</v>
      </c>
      <c r="K2744" s="1"/>
      <c r="L2744" s="1"/>
      <c r="M2744" s="1"/>
      <c r="N2744" s="1"/>
      <c r="O2744" s="1"/>
      <c r="P2744" s="365"/>
      <c r="Q2744" s="1"/>
      <c r="R2744" s="1"/>
      <c r="S2744" s="1"/>
      <c r="T2744" s="1"/>
    </row>
    <row r="2745" spans="1:20">
      <c r="A2745" s="1">
        <v>10300</v>
      </c>
      <c r="B2745" s="42">
        <v>4.46</v>
      </c>
      <c r="C2745" s="42">
        <v>4.46</v>
      </c>
      <c r="D2745" s="42">
        <v>4.46</v>
      </c>
      <c r="E2745" s="42">
        <v>4.46</v>
      </c>
      <c r="F2745" s="42">
        <v>4.47</v>
      </c>
      <c r="G2745" s="42">
        <v>4.47</v>
      </c>
      <c r="H2745" s="42">
        <v>4.47</v>
      </c>
      <c r="I2745" s="42">
        <v>4.47</v>
      </c>
      <c r="J2745" s="21">
        <v>969</v>
      </c>
      <c r="K2745" s="1"/>
      <c r="L2745" s="1"/>
      <c r="M2745" s="1"/>
      <c r="N2745" s="1"/>
      <c r="O2745" s="1"/>
      <c r="P2745" s="365"/>
      <c r="Q2745" s="1"/>
      <c r="R2745" s="1"/>
      <c r="S2745" s="1"/>
      <c r="T2745" s="1"/>
    </row>
    <row r="2746" spans="1:20">
      <c r="A2746" s="1">
        <v>10350</v>
      </c>
      <c r="B2746" s="42">
        <v>4.24</v>
      </c>
      <c r="C2746" s="42">
        <v>4.24</v>
      </c>
      <c r="D2746" s="42">
        <v>4.24</v>
      </c>
      <c r="E2746" s="42">
        <v>4.24</v>
      </c>
      <c r="F2746" s="42">
        <v>4.24</v>
      </c>
      <c r="G2746" s="42">
        <v>4.24</v>
      </c>
      <c r="H2746" s="42">
        <v>4.24</v>
      </c>
      <c r="I2746" s="42">
        <v>4.25</v>
      </c>
      <c r="J2746" s="21">
        <v>919</v>
      </c>
      <c r="K2746" s="1"/>
      <c r="L2746" s="1"/>
      <c r="M2746" s="1"/>
      <c r="N2746" s="1"/>
      <c r="O2746" s="1"/>
      <c r="P2746" s="365"/>
      <c r="Q2746" s="1"/>
      <c r="R2746" s="1"/>
      <c r="S2746" s="1"/>
      <c r="T2746" s="1"/>
    </row>
    <row r="2747" spans="1:20">
      <c r="A2747" s="1">
        <v>10400</v>
      </c>
      <c r="B2747" s="42">
        <v>4.01</v>
      </c>
      <c r="C2747" s="42">
        <v>4.01</v>
      </c>
      <c r="D2747" s="42">
        <v>4.0199999999999996</v>
      </c>
      <c r="E2747" s="42">
        <v>4.0199999999999996</v>
      </c>
      <c r="F2747" s="42">
        <v>4.0199999999999996</v>
      </c>
      <c r="G2747" s="42">
        <v>4.0199999999999996</v>
      </c>
      <c r="H2747" s="42">
        <v>4.0199999999999996</v>
      </c>
      <c r="I2747" s="42">
        <v>4.0199999999999996</v>
      </c>
      <c r="J2747" s="21">
        <v>869</v>
      </c>
      <c r="K2747" s="1"/>
      <c r="L2747" s="1"/>
      <c r="M2747" s="1"/>
      <c r="N2747" s="1"/>
      <c r="O2747" s="1"/>
      <c r="P2747" s="365"/>
      <c r="Q2747" s="1"/>
      <c r="R2747" s="1"/>
      <c r="S2747" s="1"/>
      <c r="T2747" s="1"/>
    </row>
    <row r="2748" spans="1:20">
      <c r="A2748" s="1">
        <v>10450</v>
      </c>
      <c r="B2748" s="42">
        <v>3.79</v>
      </c>
      <c r="C2748" s="42">
        <v>3.79</v>
      </c>
      <c r="D2748" s="42">
        <v>3.79</v>
      </c>
      <c r="E2748" s="42">
        <v>3.79</v>
      </c>
      <c r="F2748" s="42">
        <v>3.79</v>
      </c>
      <c r="G2748" s="42">
        <v>3.8</v>
      </c>
      <c r="H2748" s="42">
        <v>3.8</v>
      </c>
      <c r="I2748" s="42">
        <v>3.8</v>
      </c>
      <c r="J2748" s="21">
        <v>819</v>
      </c>
      <c r="K2748" s="1"/>
      <c r="L2748" s="1"/>
      <c r="M2748" s="1"/>
      <c r="N2748" s="1"/>
      <c r="O2748" s="1"/>
      <c r="P2748" s="365"/>
      <c r="Q2748" s="1"/>
      <c r="R2748" s="1"/>
      <c r="S2748" s="1"/>
      <c r="T2748" s="1"/>
    </row>
    <row r="2749" spans="1:20">
      <c r="A2749" s="1">
        <v>10500</v>
      </c>
      <c r="B2749" s="42">
        <v>3.57</v>
      </c>
      <c r="C2749" s="42">
        <v>3.57</v>
      </c>
      <c r="D2749" s="42">
        <v>3.57</v>
      </c>
      <c r="E2749" s="42">
        <v>3.57</v>
      </c>
      <c r="F2749" s="42">
        <v>3.51</v>
      </c>
      <c r="G2749" s="42">
        <v>3.57</v>
      </c>
      <c r="H2749" s="42">
        <v>3.58</v>
      </c>
      <c r="I2749" s="42">
        <v>3.58</v>
      </c>
      <c r="J2749" s="21">
        <v>769</v>
      </c>
      <c r="K2749" s="1"/>
      <c r="L2749" s="1"/>
      <c r="M2749" s="1"/>
      <c r="N2749" s="1"/>
      <c r="O2749" s="1"/>
      <c r="P2749" s="365"/>
      <c r="Q2749" s="1"/>
      <c r="R2749" s="1"/>
      <c r="S2749" s="1"/>
      <c r="T2749" s="1"/>
    </row>
    <row r="2750" spans="1:20">
      <c r="A2750" s="1">
        <v>10550</v>
      </c>
      <c r="B2750" s="42">
        <v>3.35</v>
      </c>
      <c r="C2750" s="42">
        <v>3.35</v>
      </c>
      <c r="D2750" s="42">
        <v>3.35</v>
      </c>
      <c r="E2750" s="42">
        <v>3.35</v>
      </c>
      <c r="F2750" s="42">
        <v>3.35</v>
      </c>
      <c r="G2750" s="42">
        <v>3.35</v>
      </c>
      <c r="H2750" s="42">
        <v>3.35</v>
      </c>
      <c r="I2750" s="42">
        <v>3.36</v>
      </c>
      <c r="J2750" s="21">
        <v>719</v>
      </c>
      <c r="K2750" s="1"/>
      <c r="L2750" s="1"/>
      <c r="M2750" s="1"/>
      <c r="N2750" s="1"/>
      <c r="O2750" s="1"/>
      <c r="P2750" s="365"/>
      <c r="Q2750" s="1"/>
      <c r="R2750" s="1"/>
      <c r="S2750" s="1"/>
      <c r="T2750" s="1"/>
    </row>
    <row r="2751" spans="1:20">
      <c r="A2751" s="1">
        <v>10600</v>
      </c>
      <c r="B2751" s="42">
        <v>3.12</v>
      </c>
      <c r="C2751" s="42">
        <v>3.13</v>
      </c>
      <c r="D2751" s="42">
        <v>3.13</v>
      </c>
      <c r="E2751" s="42">
        <v>3.13</v>
      </c>
      <c r="F2751" s="42">
        <v>3.13</v>
      </c>
      <c r="G2751" s="42">
        <v>3.13</v>
      </c>
      <c r="H2751" s="42">
        <v>3.13</v>
      </c>
      <c r="I2751" s="42">
        <v>3.13</v>
      </c>
      <c r="J2751" s="21">
        <v>669</v>
      </c>
      <c r="K2751" s="1"/>
      <c r="L2751" s="1"/>
      <c r="M2751" s="1"/>
      <c r="N2751" s="1"/>
      <c r="O2751" s="1"/>
      <c r="P2751" s="365"/>
      <c r="Q2751" s="1"/>
      <c r="R2751" s="1"/>
      <c r="S2751" s="1"/>
      <c r="T2751" s="1"/>
    </row>
    <row r="2752" spans="1:20">
      <c r="A2752" s="1">
        <v>10650</v>
      </c>
      <c r="B2752" s="42">
        <v>2.9</v>
      </c>
      <c r="C2752" s="42">
        <v>2.91</v>
      </c>
      <c r="D2752" s="42">
        <v>2.91</v>
      </c>
      <c r="E2752" s="42">
        <v>2.91</v>
      </c>
      <c r="F2752" s="42">
        <v>2.91</v>
      </c>
      <c r="G2752" s="42">
        <v>2.91</v>
      </c>
      <c r="H2752" s="42">
        <v>2.91</v>
      </c>
      <c r="I2752" s="42">
        <v>2.91</v>
      </c>
      <c r="J2752" s="21">
        <v>619</v>
      </c>
      <c r="K2752" s="1"/>
      <c r="L2752" s="1"/>
      <c r="M2752" s="1"/>
      <c r="N2752" s="1"/>
      <c r="O2752" s="1"/>
      <c r="P2752" s="365"/>
      <c r="Q2752" s="1"/>
      <c r="R2752" s="1"/>
      <c r="S2752" s="1"/>
      <c r="T2752" s="1"/>
    </row>
    <row r="2753" spans="1:20">
      <c r="A2753" s="1">
        <v>10700</v>
      </c>
      <c r="B2753" s="42">
        <v>2.68</v>
      </c>
      <c r="C2753" s="42">
        <v>2.69</v>
      </c>
      <c r="D2753" s="42">
        <v>2.69</v>
      </c>
      <c r="E2753" s="42">
        <v>2.69</v>
      </c>
      <c r="F2753" s="42">
        <v>2.69</v>
      </c>
      <c r="G2753" s="42">
        <v>2.69</v>
      </c>
      <c r="H2753" s="42">
        <v>2.69</v>
      </c>
      <c r="I2753" s="42">
        <v>2.69</v>
      </c>
      <c r="J2753" s="21">
        <v>569</v>
      </c>
      <c r="K2753" s="1"/>
      <c r="L2753" s="1"/>
      <c r="M2753" s="1"/>
      <c r="N2753" s="1"/>
      <c r="O2753" s="1"/>
      <c r="P2753" s="365"/>
      <c r="Q2753" s="1"/>
      <c r="R2753" s="1"/>
      <c r="S2753" s="1"/>
      <c r="T2753" s="1"/>
    </row>
    <row r="2754" spans="1:20">
      <c r="A2754" s="1">
        <v>10750</v>
      </c>
      <c r="B2754" s="42">
        <v>2.4700000000000002</v>
      </c>
      <c r="C2754" s="42">
        <v>2.4700000000000002</v>
      </c>
      <c r="D2754" s="42">
        <v>2.4700000000000002</v>
      </c>
      <c r="E2754" s="42">
        <v>2.46</v>
      </c>
      <c r="F2754" s="42">
        <v>2.4700000000000002</v>
      </c>
      <c r="G2754" s="42">
        <v>2.4700000000000002</v>
      </c>
      <c r="H2754" s="42">
        <v>2.4700000000000002</v>
      </c>
      <c r="I2754" s="42">
        <v>2.48</v>
      </c>
      <c r="J2754" s="21">
        <v>519</v>
      </c>
      <c r="K2754" s="1"/>
      <c r="L2754" s="1"/>
      <c r="M2754" s="1"/>
      <c r="N2754" s="1"/>
      <c r="O2754" s="1"/>
      <c r="P2754" s="365"/>
      <c r="Q2754" s="1"/>
      <c r="R2754" s="1"/>
      <c r="S2754" s="1"/>
      <c r="T2754" s="1"/>
    </row>
    <row r="2755" spans="1:20">
      <c r="A2755" s="1">
        <v>10800</v>
      </c>
      <c r="B2755" s="42">
        <v>2.25</v>
      </c>
      <c r="C2755" s="42">
        <v>2.25</v>
      </c>
      <c r="D2755" s="42">
        <v>2.25</v>
      </c>
      <c r="E2755" s="42">
        <v>2.25</v>
      </c>
      <c r="F2755" s="42">
        <v>2.25</v>
      </c>
      <c r="G2755" s="42">
        <v>2.25</v>
      </c>
      <c r="H2755" s="42">
        <v>2.25</v>
      </c>
      <c r="I2755" s="42">
        <v>2.2599999999999998</v>
      </c>
      <c r="J2755" s="21">
        <v>469</v>
      </c>
      <c r="K2755" s="1"/>
      <c r="L2755" s="1"/>
      <c r="M2755" s="1"/>
      <c r="N2755" s="1"/>
      <c r="O2755" s="1"/>
      <c r="P2755" s="365"/>
      <c r="Q2755" s="1"/>
      <c r="R2755" s="1"/>
      <c r="S2755" s="1"/>
      <c r="T2755" s="1"/>
    </row>
    <row r="2756" spans="1:20">
      <c r="A2756" s="1">
        <v>10850</v>
      </c>
      <c r="B2756" s="42">
        <v>2.0299999999999998</v>
      </c>
      <c r="C2756" s="42">
        <v>2.0299999999999998</v>
      </c>
      <c r="D2756" s="42">
        <v>2.0299999999999998</v>
      </c>
      <c r="E2756" s="42">
        <v>2.0299999999999998</v>
      </c>
      <c r="F2756" s="42">
        <v>2.0299999999999998</v>
      </c>
      <c r="G2756" s="42">
        <v>2.04</v>
      </c>
      <c r="H2756" s="42">
        <v>2.04</v>
      </c>
      <c r="I2756" s="42">
        <v>2.04</v>
      </c>
      <c r="J2756" s="21">
        <v>419</v>
      </c>
      <c r="K2756" s="1"/>
      <c r="L2756" s="1"/>
      <c r="M2756" s="1"/>
      <c r="N2756" s="1"/>
      <c r="O2756" s="1"/>
      <c r="P2756" s="365"/>
      <c r="Q2756" s="1"/>
      <c r="R2756" s="1"/>
      <c r="S2756" s="1"/>
      <c r="T2756" s="1"/>
    </row>
    <row r="2757" spans="1:20">
      <c r="A2757" s="1">
        <v>10900</v>
      </c>
      <c r="B2757" s="42">
        <v>1.81</v>
      </c>
      <c r="C2757" s="42">
        <v>1.81</v>
      </c>
      <c r="D2757" s="42">
        <v>1.82</v>
      </c>
      <c r="E2757" s="42">
        <v>1.82</v>
      </c>
      <c r="F2757" s="42">
        <v>1.82</v>
      </c>
      <c r="G2757" s="42">
        <v>1.82</v>
      </c>
      <c r="H2757" s="42">
        <v>1.82</v>
      </c>
      <c r="I2757" s="42">
        <v>1.82</v>
      </c>
      <c r="J2757" s="21">
        <v>369</v>
      </c>
      <c r="K2757" s="1"/>
      <c r="L2757" s="1"/>
      <c r="M2757" s="1"/>
      <c r="N2757" s="1"/>
      <c r="O2757" s="1"/>
      <c r="P2757" s="365"/>
      <c r="Q2757" s="1"/>
      <c r="R2757" s="1"/>
      <c r="S2757" s="1"/>
      <c r="T2757" s="1"/>
    </row>
    <row r="2758" spans="1:20">
      <c r="A2758" s="1">
        <v>10950</v>
      </c>
      <c r="B2758" s="42">
        <v>1.6</v>
      </c>
      <c r="C2758" s="42">
        <v>1.6</v>
      </c>
      <c r="D2758" s="42">
        <v>1.6</v>
      </c>
      <c r="E2758" s="42">
        <v>1.6</v>
      </c>
      <c r="F2758" s="42">
        <v>1.6</v>
      </c>
      <c r="G2758" s="42">
        <v>1.6</v>
      </c>
      <c r="H2758" s="42">
        <v>1.6</v>
      </c>
      <c r="I2758" s="42">
        <v>1.61</v>
      </c>
      <c r="J2758" s="21">
        <v>319</v>
      </c>
      <c r="K2758" s="1"/>
      <c r="L2758" s="1"/>
      <c r="M2758" s="1"/>
      <c r="N2758" s="1"/>
      <c r="O2758" s="1"/>
      <c r="P2758" s="365"/>
      <c r="Q2758" s="1"/>
      <c r="R2758" s="1"/>
      <c r="S2758" s="1"/>
      <c r="T2758" s="1"/>
    </row>
    <row r="2759" spans="1:20">
      <c r="A2759" s="1">
        <v>11000</v>
      </c>
      <c r="B2759" s="42">
        <v>1.38</v>
      </c>
      <c r="C2759" s="42">
        <v>1.38</v>
      </c>
      <c r="D2759" s="42">
        <v>1.38</v>
      </c>
      <c r="E2759" s="42">
        <v>1.38</v>
      </c>
      <c r="F2759" s="42">
        <v>1.38</v>
      </c>
      <c r="G2759" s="42">
        <v>1.39</v>
      </c>
      <c r="H2759" s="42">
        <v>1.39</v>
      </c>
      <c r="I2759" s="42">
        <v>1.39</v>
      </c>
      <c r="J2759" s="21">
        <v>269</v>
      </c>
      <c r="K2759" s="1"/>
      <c r="L2759" s="1"/>
      <c r="M2759" s="1"/>
      <c r="N2759" s="1"/>
      <c r="O2759" s="1"/>
      <c r="P2759" s="365"/>
      <c r="Q2759" s="1"/>
      <c r="R2759" s="1"/>
      <c r="S2759" s="1"/>
      <c r="T2759" s="1"/>
    </row>
    <row r="2760" spans="1:20">
      <c r="A2760" s="1">
        <v>11050</v>
      </c>
      <c r="B2760" s="42">
        <v>1.1599999999999999</v>
      </c>
      <c r="C2760" s="42">
        <v>1.17</v>
      </c>
      <c r="D2760" s="42">
        <v>1.17</v>
      </c>
      <c r="E2760" s="42">
        <v>1.17</v>
      </c>
      <c r="F2760" s="42">
        <v>1.17</v>
      </c>
      <c r="G2760" s="42">
        <v>1.17</v>
      </c>
      <c r="H2760" s="42">
        <v>1.17</v>
      </c>
      <c r="I2760" s="42">
        <v>1.17</v>
      </c>
      <c r="J2760" s="21">
        <v>219</v>
      </c>
      <c r="K2760" s="1"/>
      <c r="L2760" s="1"/>
      <c r="M2760" s="1"/>
      <c r="N2760" s="1"/>
      <c r="O2760" s="1"/>
      <c r="P2760" s="365"/>
      <c r="Q2760" s="1"/>
      <c r="R2760" s="1"/>
      <c r="S2760" s="1"/>
      <c r="T2760" s="1"/>
    </row>
    <row r="2761" spans="1:20">
      <c r="A2761" s="1">
        <v>11100</v>
      </c>
      <c r="B2761" s="42">
        <v>0.95</v>
      </c>
      <c r="C2761" s="42">
        <v>0.95</v>
      </c>
      <c r="D2761" s="42">
        <v>0.95</v>
      </c>
      <c r="E2761" s="42">
        <v>0.95</v>
      </c>
      <c r="F2761" s="42">
        <v>0.96</v>
      </c>
      <c r="G2761" s="42">
        <v>0.96</v>
      </c>
      <c r="H2761" s="42">
        <v>0.96</v>
      </c>
      <c r="I2761" s="42">
        <v>0.96</v>
      </c>
      <c r="J2761" s="21">
        <v>169</v>
      </c>
      <c r="K2761" s="1"/>
      <c r="L2761" s="1"/>
      <c r="M2761" s="1"/>
      <c r="N2761" s="1"/>
      <c r="O2761" s="1"/>
      <c r="P2761" s="365"/>
      <c r="Q2761" s="1"/>
      <c r="R2761" s="1"/>
      <c r="S2761" s="1"/>
      <c r="T2761" s="1"/>
    </row>
    <row r="2762" spans="1:20">
      <c r="A2762" s="1">
        <v>11150</v>
      </c>
      <c r="B2762" s="42">
        <v>0.74</v>
      </c>
      <c r="C2762" s="42">
        <v>0.74</v>
      </c>
      <c r="D2762" s="42">
        <v>0.74</v>
      </c>
      <c r="E2762" s="42">
        <v>0.74</v>
      </c>
      <c r="F2762" s="42">
        <v>0.74</v>
      </c>
      <c r="G2762" s="42">
        <v>0.74</v>
      </c>
      <c r="H2762" s="42">
        <v>0.74</v>
      </c>
      <c r="I2762" s="42">
        <v>0.75</v>
      </c>
      <c r="J2762" s="21">
        <v>119</v>
      </c>
      <c r="K2762" s="1"/>
      <c r="L2762" s="1"/>
      <c r="M2762" s="1"/>
      <c r="N2762" s="1"/>
      <c r="O2762" s="1"/>
      <c r="P2762" s="365"/>
      <c r="Q2762" s="1"/>
      <c r="R2762" s="1"/>
      <c r="S2762" s="1"/>
      <c r="T2762" s="1"/>
    </row>
    <row r="2763" spans="1:20">
      <c r="A2763" s="1">
        <v>11200</v>
      </c>
      <c r="B2763" s="42">
        <v>0.52</v>
      </c>
      <c r="C2763" s="42">
        <v>0.53</v>
      </c>
      <c r="D2763" s="42">
        <v>0.53</v>
      </c>
      <c r="E2763" s="42">
        <v>0.53</v>
      </c>
      <c r="F2763" s="42">
        <v>0.53</v>
      </c>
      <c r="G2763" s="42">
        <v>0.53</v>
      </c>
      <c r="H2763" s="42">
        <v>0.53</v>
      </c>
      <c r="I2763" s="42">
        <v>0.53</v>
      </c>
      <c r="J2763" s="21">
        <v>69</v>
      </c>
      <c r="K2763" s="1"/>
      <c r="L2763" s="1"/>
      <c r="M2763" s="1"/>
      <c r="N2763" s="1"/>
      <c r="O2763" s="1"/>
      <c r="P2763" s="365"/>
      <c r="Q2763" s="1"/>
      <c r="R2763" s="1"/>
      <c r="S2763" s="1"/>
      <c r="T2763" s="1"/>
    </row>
    <row r="2764" spans="1:20">
      <c r="A2764" s="1">
        <v>11250</v>
      </c>
      <c r="B2764" s="42">
        <v>0.31</v>
      </c>
      <c r="C2764" s="42">
        <v>0.31</v>
      </c>
      <c r="D2764" s="42">
        <v>0.31</v>
      </c>
      <c r="E2764" s="42">
        <v>0.32</v>
      </c>
      <c r="F2764" s="42">
        <v>0.32</v>
      </c>
      <c r="G2764" s="42">
        <v>0.32</v>
      </c>
      <c r="H2764" s="42">
        <v>0.32</v>
      </c>
      <c r="I2764" s="42">
        <v>0.32</v>
      </c>
      <c r="J2764" s="21">
        <v>19</v>
      </c>
      <c r="K2764" s="1"/>
      <c r="L2764" s="1"/>
      <c r="M2764" s="1"/>
      <c r="N2764" s="1"/>
      <c r="O2764" s="1"/>
      <c r="P2764" s="365"/>
      <c r="Q2764" s="1"/>
      <c r="R2764" s="1"/>
      <c r="S2764" s="1"/>
      <c r="T2764" s="1"/>
    </row>
    <row r="2765" spans="1:20">
      <c r="A2765" s="433">
        <v>11269</v>
      </c>
      <c r="B2765" s="434">
        <v>0.23</v>
      </c>
      <c r="C2765" s="434">
        <v>0.23</v>
      </c>
      <c r="D2765" s="434">
        <v>0.23</v>
      </c>
      <c r="E2765" s="434">
        <v>0.24</v>
      </c>
      <c r="F2765" s="434">
        <v>0.24</v>
      </c>
      <c r="G2765" s="434">
        <v>0.24</v>
      </c>
      <c r="H2765" s="434">
        <v>0.24</v>
      </c>
      <c r="I2765" s="434">
        <v>0.24</v>
      </c>
      <c r="J2765" s="21">
        <v>0</v>
      </c>
      <c r="K2765" s="1"/>
      <c r="L2765" s="1"/>
      <c r="M2765" s="1"/>
      <c r="N2765" s="1"/>
      <c r="O2765" s="1"/>
      <c r="P2765" s="365"/>
      <c r="Q2765" s="1"/>
      <c r="R2765" s="1"/>
      <c r="S2765" s="1"/>
      <c r="T2765" s="1"/>
    </row>
    <row r="2766" spans="1:20" hidden="1">
      <c r="J2766" s="19"/>
      <c r="K2766" s="421"/>
      <c r="L2766" s="23"/>
      <c r="M2766" s="19"/>
      <c r="N2766" s="19"/>
      <c r="O2766" s="19"/>
      <c r="P2766" s="19"/>
      <c r="Q2766" s="19"/>
    </row>
    <row r="2767" spans="1:20" hidden="1">
      <c r="B2767" s="19"/>
      <c r="C2767" s="19"/>
      <c r="D2767" s="19"/>
      <c r="E2767" s="19"/>
      <c r="F2767" s="19"/>
      <c r="G2767" s="19"/>
      <c r="H2767" s="19"/>
      <c r="I2767" s="19"/>
      <c r="J2767" s="19"/>
      <c r="K2767" s="421"/>
      <c r="L2767" s="23"/>
      <c r="M2767" s="19"/>
      <c r="N2767" s="19"/>
      <c r="O2767" s="19"/>
      <c r="P2767" s="19"/>
      <c r="Q2767" s="19"/>
    </row>
    <row r="2768" spans="1:20" hidden="1">
      <c r="B2768" s="19"/>
      <c r="C2768" s="19"/>
      <c r="D2768" s="19"/>
      <c r="E2768" s="19"/>
      <c r="F2768" s="19"/>
      <c r="G2768" s="19"/>
      <c r="H2768" s="19"/>
      <c r="I2768" s="19"/>
      <c r="J2768" s="19"/>
      <c r="K2768" s="421"/>
      <c r="L2768" s="23"/>
      <c r="M2768" s="19"/>
      <c r="N2768" s="19"/>
      <c r="O2768" s="19"/>
      <c r="P2768" s="19"/>
      <c r="Q2768" s="19"/>
    </row>
    <row r="2769" spans="2:17" hidden="1">
      <c r="B2769" s="19"/>
      <c r="C2769" s="19"/>
      <c r="D2769" s="19"/>
      <c r="E2769" s="19"/>
      <c r="F2769" s="19"/>
      <c r="G2769" s="19"/>
      <c r="H2769" s="19"/>
      <c r="I2769" s="19"/>
      <c r="J2769" s="19"/>
      <c r="K2769" s="421"/>
      <c r="L2769" s="23"/>
      <c r="M2769" s="19"/>
      <c r="N2769" s="19"/>
      <c r="O2769" s="19"/>
      <c r="P2769" s="19"/>
      <c r="Q2769" s="19"/>
    </row>
    <row r="2770" spans="2:17" hidden="1">
      <c r="B2770" s="19"/>
      <c r="C2770" s="19"/>
      <c r="D2770" s="19"/>
      <c r="E2770" s="19"/>
      <c r="F2770" s="19"/>
      <c r="G2770" s="19"/>
      <c r="H2770" s="19"/>
      <c r="I2770" s="19"/>
      <c r="J2770" s="19"/>
      <c r="K2770" s="421"/>
      <c r="L2770" s="23"/>
      <c r="M2770" s="19"/>
      <c r="N2770" s="19"/>
      <c r="O2770" s="19"/>
      <c r="P2770" s="19"/>
      <c r="Q2770" s="19"/>
    </row>
    <row r="2771" spans="2:17" hidden="1">
      <c r="B2771" s="19"/>
      <c r="C2771" s="19"/>
      <c r="D2771" s="19"/>
      <c r="E2771" s="19"/>
      <c r="F2771" s="19"/>
      <c r="G2771" s="19"/>
      <c r="H2771" s="19"/>
      <c r="I2771" s="19"/>
      <c r="J2771" s="19"/>
      <c r="K2771" s="421"/>
      <c r="L2771" s="23"/>
      <c r="M2771" s="19"/>
      <c r="N2771" s="19"/>
      <c r="O2771" s="19"/>
      <c r="P2771" s="19"/>
      <c r="Q2771" s="19"/>
    </row>
    <row r="2772" spans="2:17" hidden="1">
      <c r="B2772" s="19"/>
      <c r="C2772" s="19"/>
      <c r="D2772" s="19"/>
      <c r="E2772" s="19"/>
      <c r="F2772" s="19"/>
      <c r="G2772" s="19"/>
      <c r="H2772" s="19"/>
      <c r="I2772" s="19"/>
      <c r="J2772" s="19"/>
      <c r="K2772" s="421"/>
      <c r="L2772" s="23"/>
      <c r="M2772" s="19"/>
      <c r="N2772" s="19"/>
      <c r="O2772" s="19"/>
      <c r="P2772" s="19"/>
      <c r="Q2772" s="19"/>
    </row>
    <row r="2773" spans="2:17" hidden="1">
      <c r="B2773" s="19"/>
      <c r="C2773" s="19"/>
      <c r="D2773" s="19"/>
      <c r="E2773" s="19"/>
      <c r="F2773" s="19"/>
      <c r="G2773" s="19"/>
      <c r="H2773" s="19"/>
      <c r="I2773" s="19"/>
      <c r="J2773" s="19"/>
      <c r="K2773" s="421"/>
      <c r="L2773" s="23"/>
      <c r="M2773" s="19"/>
      <c r="N2773" s="19"/>
      <c r="O2773" s="19"/>
      <c r="P2773" s="19"/>
      <c r="Q2773" s="19"/>
    </row>
    <row r="2774" spans="2:17" hidden="1">
      <c r="B2774" s="19"/>
      <c r="C2774" s="19"/>
      <c r="D2774" s="19"/>
      <c r="E2774" s="19"/>
      <c r="F2774" s="19"/>
      <c r="G2774" s="19"/>
      <c r="H2774" s="19"/>
      <c r="I2774" s="19"/>
      <c r="J2774" s="19"/>
      <c r="K2774" s="421"/>
      <c r="L2774" s="23"/>
      <c r="M2774" s="19"/>
      <c r="N2774" s="19"/>
      <c r="O2774" s="19"/>
      <c r="P2774" s="19"/>
      <c r="Q2774" s="19"/>
    </row>
    <row r="2775" spans="2:17" hidden="1">
      <c r="B2775" s="19"/>
      <c r="C2775" s="19"/>
      <c r="D2775" s="19"/>
      <c r="E2775" s="19"/>
      <c r="F2775" s="19"/>
      <c r="G2775" s="19"/>
      <c r="H2775" s="19"/>
      <c r="I2775" s="19"/>
      <c r="J2775" s="19"/>
      <c r="K2775" s="421"/>
      <c r="L2775" s="23"/>
      <c r="M2775" s="19"/>
      <c r="N2775" s="19"/>
      <c r="O2775" s="19"/>
      <c r="P2775" s="19"/>
      <c r="Q2775" s="19"/>
    </row>
    <row r="2776" spans="2:17" hidden="1">
      <c r="B2776" s="19"/>
      <c r="C2776" s="19"/>
      <c r="D2776" s="19"/>
      <c r="E2776" s="19"/>
      <c r="F2776" s="19"/>
      <c r="G2776" s="19"/>
      <c r="H2776" s="19"/>
      <c r="I2776" s="19"/>
      <c r="J2776" s="19"/>
      <c r="K2776" s="421"/>
      <c r="L2776" s="23"/>
      <c r="M2776" s="19"/>
      <c r="N2776" s="19"/>
      <c r="O2776" s="19"/>
      <c r="P2776" s="19"/>
      <c r="Q2776" s="19"/>
    </row>
    <row r="2777" spans="2:17" hidden="1">
      <c r="B2777" s="19"/>
      <c r="C2777" s="19"/>
      <c r="D2777" s="19"/>
      <c r="E2777" s="19"/>
      <c r="F2777" s="19"/>
      <c r="G2777" s="19"/>
      <c r="H2777" s="19"/>
      <c r="I2777" s="19"/>
      <c r="J2777" s="19"/>
      <c r="K2777" s="421"/>
      <c r="L2777" s="23"/>
      <c r="M2777" s="19"/>
      <c r="N2777" s="19"/>
      <c r="O2777" s="19"/>
      <c r="P2777" s="19"/>
      <c r="Q2777" s="19"/>
    </row>
    <row r="2778" spans="2:17" hidden="1">
      <c r="B2778" s="19"/>
      <c r="C2778" s="19"/>
      <c r="D2778" s="19"/>
      <c r="E2778" s="19"/>
      <c r="F2778" s="19"/>
      <c r="G2778" s="19"/>
      <c r="H2778" s="19"/>
      <c r="I2778" s="19"/>
      <c r="J2778" s="19"/>
      <c r="K2778" s="421"/>
      <c r="L2778" s="23"/>
      <c r="M2778" s="19"/>
      <c r="N2778" s="19"/>
      <c r="O2778" s="19"/>
      <c r="P2778" s="19"/>
      <c r="Q2778" s="19"/>
    </row>
    <row r="2779" spans="2:17" hidden="1">
      <c r="B2779" s="19"/>
      <c r="C2779" s="19"/>
      <c r="D2779" s="19"/>
      <c r="E2779" s="19"/>
      <c r="F2779" s="19"/>
      <c r="G2779" s="19"/>
      <c r="H2779" s="19"/>
      <c r="I2779" s="19"/>
      <c r="J2779" s="19"/>
      <c r="K2779" s="421"/>
      <c r="L2779" s="23"/>
      <c r="M2779" s="19"/>
      <c r="N2779" s="19"/>
      <c r="O2779" s="19"/>
      <c r="P2779" s="19"/>
      <c r="Q2779" s="19"/>
    </row>
    <row r="2780" spans="2:17" hidden="1">
      <c r="B2780" s="19"/>
      <c r="C2780" s="19"/>
      <c r="D2780" s="19"/>
      <c r="E2780" s="19"/>
      <c r="F2780" s="19"/>
      <c r="G2780" s="19"/>
      <c r="H2780" s="19"/>
      <c r="I2780" s="19"/>
      <c r="J2780" s="19"/>
      <c r="K2780" s="421"/>
      <c r="L2780" s="23"/>
      <c r="M2780" s="19"/>
      <c r="N2780" s="19"/>
      <c r="O2780" s="19"/>
      <c r="P2780" s="19"/>
      <c r="Q2780" s="19"/>
    </row>
    <row r="2781" spans="2:17" hidden="1">
      <c r="B2781" s="19"/>
      <c r="C2781" s="19"/>
      <c r="D2781" s="19"/>
      <c r="E2781" s="19"/>
      <c r="F2781" s="19"/>
      <c r="G2781" s="19"/>
      <c r="H2781" s="19"/>
      <c r="I2781" s="19"/>
      <c r="J2781" s="19"/>
      <c r="K2781" s="421"/>
      <c r="L2781" s="23"/>
      <c r="M2781" s="19"/>
      <c r="N2781" s="19"/>
      <c r="O2781" s="19"/>
      <c r="P2781" s="19"/>
      <c r="Q2781" s="19"/>
    </row>
    <row r="2782" spans="2:17" hidden="1">
      <c r="B2782" s="19"/>
      <c r="C2782" s="19"/>
      <c r="D2782" s="19"/>
      <c r="E2782" s="19"/>
      <c r="F2782" s="19"/>
      <c r="G2782" s="19"/>
      <c r="H2782" s="19"/>
      <c r="I2782" s="19"/>
      <c r="J2782" s="19"/>
      <c r="K2782" s="421"/>
      <c r="L2782" s="23"/>
      <c r="M2782" s="19"/>
      <c r="N2782" s="19"/>
      <c r="O2782" s="19"/>
      <c r="P2782" s="19"/>
      <c r="Q2782" s="19"/>
    </row>
    <row r="2783" spans="2:17" hidden="1">
      <c r="B2783" s="19"/>
      <c r="C2783" s="19"/>
      <c r="D2783" s="19"/>
      <c r="E2783" s="19"/>
      <c r="F2783" s="19"/>
      <c r="G2783" s="19"/>
      <c r="H2783" s="19"/>
      <c r="I2783" s="19"/>
      <c r="J2783" s="19"/>
      <c r="K2783" s="421"/>
      <c r="L2783" s="23"/>
      <c r="M2783" s="19"/>
      <c r="N2783" s="19"/>
      <c r="O2783" s="19"/>
      <c r="P2783" s="19"/>
      <c r="Q2783" s="19"/>
    </row>
    <row r="2784" spans="2:17" hidden="1">
      <c r="B2784" s="19"/>
      <c r="C2784" s="19"/>
      <c r="D2784" s="19"/>
      <c r="E2784" s="19"/>
      <c r="F2784" s="19"/>
      <c r="G2784" s="19"/>
      <c r="H2784" s="19"/>
      <c r="I2784" s="19"/>
      <c r="J2784" s="19"/>
      <c r="K2784" s="421"/>
      <c r="L2784" s="23"/>
      <c r="M2784" s="19"/>
      <c r="N2784" s="19"/>
      <c r="O2784" s="19"/>
      <c r="P2784" s="19"/>
      <c r="Q2784" s="19"/>
    </row>
    <row r="2785" spans="2:17" hidden="1">
      <c r="B2785" s="19"/>
      <c r="C2785" s="19"/>
      <c r="D2785" s="19"/>
      <c r="E2785" s="19"/>
      <c r="F2785" s="19"/>
      <c r="G2785" s="19"/>
      <c r="H2785" s="19"/>
      <c r="I2785" s="19"/>
      <c r="J2785" s="19"/>
      <c r="K2785" s="421"/>
      <c r="L2785" s="23"/>
      <c r="M2785" s="19"/>
      <c r="N2785" s="19"/>
      <c r="O2785" s="19"/>
      <c r="P2785" s="19"/>
      <c r="Q2785" s="19"/>
    </row>
    <row r="2786" spans="2:17" hidden="1">
      <c r="B2786" s="19"/>
      <c r="C2786" s="19"/>
      <c r="D2786" s="19"/>
      <c r="E2786" s="19"/>
      <c r="F2786" s="19"/>
      <c r="G2786" s="19"/>
      <c r="H2786" s="19"/>
      <c r="I2786" s="19"/>
      <c r="J2786" s="19"/>
      <c r="K2786" s="421"/>
      <c r="L2786" s="23"/>
      <c r="M2786" s="19"/>
      <c r="N2786" s="19"/>
      <c r="O2786" s="19"/>
      <c r="P2786" s="19"/>
      <c r="Q2786" s="19"/>
    </row>
    <row r="2787" spans="2:17" hidden="1">
      <c r="B2787" s="19"/>
      <c r="C2787" s="19"/>
      <c r="D2787" s="19"/>
      <c r="E2787" s="19"/>
      <c r="F2787" s="19"/>
      <c r="G2787" s="19"/>
      <c r="H2787" s="19"/>
      <c r="I2787" s="19"/>
      <c r="J2787" s="19"/>
      <c r="K2787" s="421"/>
      <c r="L2787" s="23"/>
      <c r="M2787" s="19"/>
      <c r="N2787" s="19"/>
      <c r="O2787" s="19"/>
      <c r="P2787" s="19"/>
      <c r="Q2787" s="19"/>
    </row>
    <row r="2788" spans="2:17" hidden="1">
      <c r="B2788" s="19"/>
      <c r="C2788" s="19"/>
      <c r="D2788" s="19"/>
      <c r="E2788" s="19"/>
      <c r="F2788" s="19"/>
      <c r="G2788" s="19"/>
      <c r="H2788" s="19"/>
      <c r="I2788" s="19"/>
      <c r="J2788" s="19"/>
      <c r="K2788" s="421"/>
      <c r="L2788" s="23"/>
      <c r="M2788" s="19"/>
      <c r="N2788" s="19"/>
      <c r="O2788" s="19"/>
      <c r="P2788" s="19"/>
      <c r="Q2788" s="19"/>
    </row>
    <row r="2789" spans="2:17" hidden="1">
      <c r="B2789" s="19"/>
      <c r="C2789" s="19"/>
      <c r="D2789" s="19"/>
      <c r="E2789" s="19"/>
      <c r="F2789" s="19"/>
      <c r="G2789" s="19"/>
      <c r="H2789" s="19"/>
      <c r="I2789" s="19"/>
      <c r="J2789" s="19"/>
      <c r="K2789" s="421"/>
      <c r="L2789" s="23"/>
      <c r="M2789" s="19"/>
      <c r="N2789" s="19"/>
      <c r="O2789" s="19"/>
      <c r="P2789" s="19"/>
      <c r="Q2789" s="19"/>
    </row>
    <row r="2790" spans="2:17" hidden="1">
      <c r="B2790" s="19"/>
      <c r="C2790" s="19"/>
      <c r="D2790" s="19"/>
      <c r="E2790" s="19"/>
      <c r="F2790" s="19"/>
      <c r="G2790" s="19"/>
      <c r="H2790" s="19"/>
      <c r="I2790" s="19"/>
      <c r="J2790" s="19"/>
      <c r="K2790" s="421"/>
      <c r="L2790" s="23"/>
      <c r="M2790" s="19"/>
      <c r="N2790" s="19"/>
      <c r="O2790" s="19"/>
      <c r="P2790" s="19"/>
      <c r="Q2790" s="19"/>
    </row>
    <row r="2791" spans="2:17" hidden="1">
      <c r="B2791" s="19"/>
      <c r="C2791" s="19"/>
      <c r="D2791" s="19"/>
      <c r="E2791" s="19"/>
      <c r="F2791" s="19"/>
      <c r="G2791" s="19"/>
      <c r="H2791" s="19"/>
      <c r="I2791" s="19"/>
      <c r="J2791" s="19"/>
      <c r="K2791" s="421"/>
      <c r="L2791" s="23"/>
      <c r="M2791" s="19"/>
      <c r="N2791" s="19"/>
      <c r="O2791" s="19"/>
      <c r="P2791" s="19"/>
      <c r="Q2791" s="19"/>
    </row>
    <row r="2792" spans="2:17" hidden="1">
      <c r="B2792" s="19"/>
      <c r="C2792" s="19"/>
      <c r="D2792" s="19"/>
      <c r="E2792" s="19"/>
      <c r="F2792" s="19"/>
      <c r="G2792" s="19"/>
      <c r="H2792" s="19"/>
      <c r="I2792" s="19"/>
      <c r="J2792" s="19"/>
      <c r="K2792" s="421"/>
      <c r="L2792" s="23"/>
      <c r="M2792" s="19"/>
      <c r="N2792" s="19"/>
      <c r="O2792" s="19"/>
      <c r="P2792" s="19"/>
      <c r="Q2792" s="19"/>
    </row>
    <row r="2793" spans="2:17" hidden="1">
      <c r="B2793" s="19"/>
      <c r="C2793" s="19"/>
      <c r="D2793" s="19"/>
      <c r="E2793" s="19"/>
      <c r="F2793" s="19"/>
      <c r="G2793" s="19"/>
      <c r="H2793" s="19"/>
      <c r="I2793" s="19"/>
      <c r="J2793" s="19"/>
      <c r="K2793" s="421"/>
      <c r="L2793" s="23"/>
      <c r="M2793" s="19"/>
      <c r="N2793" s="19"/>
      <c r="O2793" s="19"/>
      <c r="P2793" s="19"/>
      <c r="Q2793" s="19"/>
    </row>
    <row r="2794" spans="2:17" hidden="1">
      <c r="B2794" s="19"/>
      <c r="C2794" s="19"/>
      <c r="D2794" s="19"/>
      <c r="E2794" s="19"/>
      <c r="F2794" s="19"/>
      <c r="G2794" s="19"/>
      <c r="H2794" s="19"/>
      <c r="I2794" s="19"/>
      <c r="J2794" s="19"/>
      <c r="K2794" s="421"/>
      <c r="L2794" s="23"/>
      <c r="M2794" s="19"/>
      <c r="N2794" s="19"/>
      <c r="O2794" s="19"/>
      <c r="P2794" s="19"/>
      <c r="Q2794" s="19"/>
    </row>
    <row r="2795" spans="2:17" hidden="1">
      <c r="B2795" s="19"/>
      <c r="C2795" s="19"/>
      <c r="D2795" s="19"/>
      <c r="E2795" s="19"/>
      <c r="F2795" s="19"/>
      <c r="G2795" s="19"/>
      <c r="H2795" s="19"/>
      <c r="I2795" s="19"/>
      <c r="J2795" s="19"/>
      <c r="K2795" s="421"/>
      <c r="L2795" s="23"/>
      <c r="M2795" s="19"/>
      <c r="N2795" s="19"/>
      <c r="O2795" s="19"/>
      <c r="P2795" s="19"/>
      <c r="Q2795" s="19"/>
    </row>
    <row r="2796" spans="2:17" hidden="1">
      <c r="B2796" s="19"/>
      <c r="C2796" s="19"/>
      <c r="D2796" s="19"/>
      <c r="E2796" s="19"/>
      <c r="F2796" s="19"/>
      <c r="G2796" s="19"/>
      <c r="H2796" s="19"/>
      <c r="I2796" s="19"/>
      <c r="J2796" s="19"/>
      <c r="K2796" s="421"/>
      <c r="L2796" s="23"/>
      <c r="M2796" s="19"/>
      <c r="N2796" s="19"/>
      <c r="O2796" s="19"/>
      <c r="P2796" s="19"/>
      <c r="Q2796" s="19"/>
    </row>
    <row r="2797" spans="2:17" hidden="1">
      <c r="B2797" s="19"/>
      <c r="C2797" s="19"/>
      <c r="D2797" s="19"/>
      <c r="E2797" s="19"/>
      <c r="F2797" s="19"/>
      <c r="G2797" s="19"/>
      <c r="H2797" s="19"/>
      <c r="I2797" s="19"/>
      <c r="J2797" s="19"/>
      <c r="K2797" s="421"/>
      <c r="L2797" s="23"/>
      <c r="M2797" s="19"/>
      <c r="N2797" s="19"/>
      <c r="O2797" s="19"/>
      <c r="P2797" s="19"/>
      <c r="Q2797" s="19"/>
    </row>
    <row r="2798" spans="2:17" hidden="1">
      <c r="B2798" s="19"/>
      <c r="C2798" s="19"/>
      <c r="D2798" s="19"/>
      <c r="E2798" s="19"/>
      <c r="F2798" s="19"/>
      <c r="G2798" s="19"/>
      <c r="H2798" s="19"/>
      <c r="I2798" s="19"/>
      <c r="J2798" s="19"/>
      <c r="K2798" s="421"/>
      <c r="L2798" s="23"/>
      <c r="M2798" s="19"/>
      <c r="N2798" s="19"/>
      <c r="O2798" s="19"/>
      <c r="P2798" s="19"/>
      <c r="Q2798" s="19"/>
    </row>
    <row r="2799" spans="2:17" hidden="1">
      <c r="B2799" s="19"/>
      <c r="C2799" s="19"/>
      <c r="D2799" s="19"/>
      <c r="E2799" s="19"/>
      <c r="F2799" s="19"/>
      <c r="G2799" s="19"/>
      <c r="H2799" s="19"/>
      <c r="I2799" s="19"/>
      <c r="J2799" s="19"/>
      <c r="K2799" s="421"/>
      <c r="L2799" s="23"/>
      <c r="M2799" s="19"/>
      <c r="N2799" s="19"/>
      <c r="O2799" s="19"/>
      <c r="P2799" s="19"/>
      <c r="Q2799" s="19"/>
    </row>
    <row r="2800" spans="2:17" hidden="1">
      <c r="B2800" s="19"/>
      <c r="C2800" s="19"/>
      <c r="D2800" s="19"/>
      <c r="E2800" s="19"/>
      <c r="F2800" s="19"/>
      <c r="G2800" s="19"/>
      <c r="H2800" s="19"/>
      <c r="I2800" s="19"/>
      <c r="J2800" s="19"/>
      <c r="K2800" s="421"/>
      <c r="L2800" s="23"/>
      <c r="M2800" s="19"/>
      <c r="N2800" s="19"/>
      <c r="O2800" s="19"/>
      <c r="P2800" s="19"/>
      <c r="Q2800" s="19"/>
    </row>
    <row r="2801" spans="2:17" hidden="1">
      <c r="B2801" s="19"/>
      <c r="C2801" s="19"/>
      <c r="D2801" s="19"/>
      <c r="E2801" s="19"/>
      <c r="F2801" s="19"/>
      <c r="G2801" s="19"/>
      <c r="H2801" s="19"/>
      <c r="I2801" s="19"/>
      <c r="J2801" s="19"/>
      <c r="K2801" s="421"/>
      <c r="L2801" s="23"/>
      <c r="M2801" s="19"/>
      <c r="N2801" s="19"/>
      <c r="O2801" s="19"/>
      <c r="P2801" s="19"/>
      <c r="Q2801" s="19"/>
    </row>
    <row r="2802" spans="2:17" hidden="1">
      <c r="B2802" s="19"/>
      <c r="C2802" s="19"/>
      <c r="D2802" s="19"/>
      <c r="E2802" s="19"/>
      <c r="F2802" s="19"/>
      <c r="G2802" s="19"/>
      <c r="H2802" s="19"/>
      <c r="I2802" s="19"/>
      <c r="J2802" s="19"/>
      <c r="K2802" s="421"/>
      <c r="L2802" s="23"/>
      <c r="M2802" s="19"/>
      <c r="N2802" s="19"/>
      <c r="O2802" s="19"/>
      <c r="P2802" s="19"/>
      <c r="Q2802" s="19"/>
    </row>
    <row r="2803" spans="2:17" hidden="1">
      <c r="B2803" s="19"/>
      <c r="C2803" s="19"/>
      <c r="D2803" s="19"/>
      <c r="E2803" s="19"/>
      <c r="F2803" s="19"/>
      <c r="G2803" s="19"/>
      <c r="H2803" s="19"/>
      <c r="I2803" s="19"/>
      <c r="J2803" s="19"/>
      <c r="K2803" s="421"/>
      <c r="L2803" s="23"/>
      <c r="M2803" s="19"/>
      <c r="N2803" s="19"/>
      <c r="O2803" s="19"/>
      <c r="P2803" s="19"/>
      <c r="Q2803" s="19"/>
    </row>
    <row r="2804" spans="2:17" hidden="1">
      <c r="B2804" s="19"/>
      <c r="C2804" s="19"/>
      <c r="D2804" s="19"/>
      <c r="E2804" s="19"/>
      <c r="F2804" s="19"/>
      <c r="G2804" s="19"/>
      <c r="H2804" s="19"/>
      <c r="I2804" s="19"/>
      <c r="J2804" s="19"/>
      <c r="K2804" s="421"/>
      <c r="L2804" s="23"/>
      <c r="M2804" s="19"/>
      <c r="N2804" s="19"/>
      <c r="O2804" s="19"/>
      <c r="P2804" s="19"/>
      <c r="Q2804" s="19"/>
    </row>
    <row r="2805" spans="2:17" hidden="1">
      <c r="B2805" s="19"/>
      <c r="C2805" s="19"/>
      <c r="D2805" s="19"/>
      <c r="E2805" s="19"/>
      <c r="F2805" s="19"/>
      <c r="G2805" s="19"/>
      <c r="H2805" s="19"/>
      <c r="I2805" s="19"/>
      <c r="J2805" s="19"/>
      <c r="K2805" s="421"/>
      <c r="L2805" s="23"/>
      <c r="M2805" s="19"/>
      <c r="N2805" s="19"/>
      <c r="O2805" s="19"/>
      <c r="P2805" s="19"/>
      <c r="Q2805" s="19"/>
    </row>
    <row r="2806" spans="2:17" hidden="1">
      <c r="B2806" s="19"/>
      <c r="C2806" s="19"/>
      <c r="D2806" s="19"/>
      <c r="E2806" s="19"/>
      <c r="F2806" s="19"/>
      <c r="G2806" s="19"/>
      <c r="H2806" s="19"/>
      <c r="I2806" s="19"/>
      <c r="J2806" s="19"/>
      <c r="K2806" s="421"/>
      <c r="L2806" s="23"/>
      <c r="M2806" s="19"/>
      <c r="N2806" s="19"/>
      <c r="O2806" s="19"/>
      <c r="P2806" s="19"/>
      <c r="Q2806" s="19"/>
    </row>
    <row r="2807" spans="2:17" hidden="1">
      <c r="B2807" s="19"/>
      <c r="C2807" s="19"/>
      <c r="D2807" s="19"/>
      <c r="E2807" s="19"/>
      <c r="F2807" s="19"/>
      <c r="G2807" s="19"/>
      <c r="H2807" s="19"/>
      <c r="I2807" s="19"/>
      <c r="J2807" s="19"/>
      <c r="K2807" s="421"/>
      <c r="L2807" s="23"/>
      <c r="M2807" s="19"/>
      <c r="N2807" s="19"/>
      <c r="O2807" s="19"/>
      <c r="P2807" s="19"/>
      <c r="Q2807" s="19"/>
    </row>
    <row r="2808" spans="2:17" hidden="1">
      <c r="B2808" s="19"/>
      <c r="C2808" s="19"/>
      <c r="D2808" s="19"/>
      <c r="E2808" s="19"/>
      <c r="F2808" s="19"/>
      <c r="G2808" s="19"/>
      <c r="H2808" s="19"/>
      <c r="I2808" s="19"/>
      <c r="J2808" s="19"/>
      <c r="K2808" s="421"/>
      <c r="L2808" s="23"/>
      <c r="M2808" s="19"/>
      <c r="N2808" s="19"/>
      <c r="O2808" s="19"/>
      <c r="P2808" s="19"/>
      <c r="Q2808" s="19"/>
    </row>
    <row r="2809" spans="2:17" hidden="1">
      <c r="B2809" s="19"/>
      <c r="C2809" s="19"/>
      <c r="D2809" s="19"/>
      <c r="E2809" s="19"/>
      <c r="F2809" s="19"/>
      <c r="G2809" s="19"/>
      <c r="H2809" s="19"/>
      <c r="I2809" s="19"/>
      <c r="J2809" s="19"/>
      <c r="K2809" s="421"/>
      <c r="L2809" s="23"/>
      <c r="M2809" s="19"/>
      <c r="N2809" s="19"/>
      <c r="O2809" s="19"/>
      <c r="P2809" s="19"/>
      <c r="Q2809" s="19"/>
    </row>
    <row r="2810" spans="2:17" hidden="1">
      <c r="B2810" s="19"/>
      <c r="C2810" s="19"/>
      <c r="D2810" s="19"/>
      <c r="E2810" s="19"/>
      <c r="F2810" s="19"/>
      <c r="G2810" s="19"/>
      <c r="H2810" s="19"/>
      <c r="I2810" s="19"/>
      <c r="J2810" s="19"/>
      <c r="K2810" s="421"/>
      <c r="L2810" s="23"/>
      <c r="M2810" s="19"/>
      <c r="N2810" s="19"/>
      <c r="O2810" s="19"/>
      <c r="P2810" s="19"/>
      <c r="Q2810" s="19"/>
    </row>
    <row r="2811" spans="2:17" hidden="1">
      <c r="B2811" s="19"/>
      <c r="C2811" s="19"/>
      <c r="D2811" s="19"/>
      <c r="E2811" s="19"/>
      <c r="F2811" s="19"/>
      <c r="G2811" s="19"/>
      <c r="H2811" s="19"/>
      <c r="I2811" s="19"/>
      <c r="J2811" s="19"/>
      <c r="K2811" s="421"/>
      <c r="L2811" s="23"/>
      <c r="M2811" s="19"/>
      <c r="N2811" s="19"/>
      <c r="O2811" s="19"/>
      <c r="P2811" s="19"/>
      <c r="Q2811" s="19"/>
    </row>
    <row r="2812" spans="2:17" hidden="1">
      <c r="B2812" s="19"/>
      <c r="C2812" s="19"/>
      <c r="D2812" s="19"/>
      <c r="E2812" s="19"/>
      <c r="F2812" s="19"/>
      <c r="G2812" s="19"/>
      <c r="H2812" s="19"/>
      <c r="I2812" s="19"/>
      <c r="J2812" s="19"/>
      <c r="K2812" s="421"/>
      <c r="L2812" s="23"/>
      <c r="M2812" s="19"/>
      <c r="N2812" s="19"/>
      <c r="O2812" s="19"/>
      <c r="P2812" s="19"/>
      <c r="Q2812" s="19"/>
    </row>
    <row r="2813" spans="2:17" hidden="1">
      <c r="B2813" s="19"/>
      <c r="C2813" s="19"/>
      <c r="D2813" s="19"/>
      <c r="E2813" s="19"/>
      <c r="F2813" s="19"/>
      <c r="G2813" s="19"/>
      <c r="H2813" s="19"/>
      <c r="I2813" s="19"/>
      <c r="J2813" s="19"/>
      <c r="K2813" s="421"/>
      <c r="L2813" s="23"/>
      <c r="M2813" s="19"/>
      <c r="N2813" s="19"/>
      <c r="O2813" s="19"/>
      <c r="P2813" s="19"/>
      <c r="Q2813" s="19"/>
    </row>
    <row r="2814" spans="2:17" hidden="1">
      <c r="B2814" s="19"/>
      <c r="C2814" s="19"/>
      <c r="D2814" s="19"/>
      <c r="E2814" s="19"/>
      <c r="F2814" s="19"/>
      <c r="G2814" s="19"/>
      <c r="H2814" s="19"/>
      <c r="I2814" s="19"/>
      <c r="J2814" s="19"/>
      <c r="K2814" s="421"/>
      <c r="L2814" s="23"/>
      <c r="M2814" s="19"/>
      <c r="N2814" s="19"/>
      <c r="O2814" s="19"/>
      <c r="P2814" s="19"/>
      <c r="Q2814" s="19"/>
    </row>
    <row r="2815" spans="2:17" hidden="1">
      <c r="B2815" s="19"/>
      <c r="C2815" s="19"/>
      <c r="D2815" s="19"/>
      <c r="E2815" s="19"/>
      <c r="F2815" s="19"/>
      <c r="G2815" s="19"/>
      <c r="H2815" s="19"/>
      <c r="I2815" s="19"/>
      <c r="J2815" s="19"/>
      <c r="K2815" s="421"/>
      <c r="L2815" s="23"/>
      <c r="M2815" s="19"/>
      <c r="N2815" s="19"/>
      <c r="O2815" s="19"/>
      <c r="P2815" s="19"/>
      <c r="Q2815" s="19"/>
    </row>
    <row r="2816" spans="2:17" hidden="1">
      <c r="B2816" s="19"/>
      <c r="C2816" s="19"/>
      <c r="D2816" s="19"/>
      <c r="E2816" s="19"/>
      <c r="F2816" s="19"/>
      <c r="G2816" s="19"/>
      <c r="H2816" s="19"/>
      <c r="I2816" s="19"/>
      <c r="J2816" s="19"/>
      <c r="K2816" s="421"/>
      <c r="L2816" s="23"/>
      <c r="M2816" s="19"/>
      <c r="N2816" s="19"/>
      <c r="O2816" s="19"/>
      <c r="P2816" s="19"/>
      <c r="Q2816" s="19"/>
    </row>
    <row r="2817" spans="1:17" hidden="1">
      <c r="B2817" s="19"/>
      <c r="C2817" s="19"/>
      <c r="D2817" s="19"/>
      <c r="E2817" s="19"/>
      <c r="F2817" s="19"/>
      <c r="G2817" s="19"/>
      <c r="H2817" s="19"/>
      <c r="I2817" s="19"/>
      <c r="J2817" s="19"/>
      <c r="K2817" s="421"/>
      <c r="L2817" s="23"/>
      <c r="M2817" s="19"/>
      <c r="N2817" s="19"/>
      <c r="O2817" s="19"/>
      <c r="P2817" s="19"/>
      <c r="Q2817" s="19"/>
    </row>
    <row r="2818" spans="1:17" hidden="1">
      <c r="B2818" s="19"/>
      <c r="C2818" s="19"/>
      <c r="D2818" s="19"/>
      <c r="E2818" s="19"/>
      <c r="F2818" s="19"/>
      <c r="G2818" s="19"/>
      <c r="H2818" s="19"/>
      <c r="I2818" s="19"/>
      <c r="J2818" s="19"/>
      <c r="K2818" s="421"/>
      <c r="L2818" s="23"/>
      <c r="M2818" s="19"/>
      <c r="N2818" s="19"/>
      <c r="O2818" s="19"/>
      <c r="P2818" s="19"/>
      <c r="Q2818" s="19"/>
    </row>
    <row r="2819" spans="1:17" hidden="1">
      <c r="B2819" s="19"/>
      <c r="C2819" s="19"/>
      <c r="D2819" s="19"/>
      <c r="E2819" s="19"/>
      <c r="F2819" s="19"/>
      <c r="G2819" s="19"/>
      <c r="H2819" s="19"/>
      <c r="I2819" s="19"/>
      <c r="J2819" s="19"/>
      <c r="K2819" s="421"/>
      <c r="L2819" s="23"/>
      <c r="M2819" s="19"/>
      <c r="N2819" s="19"/>
      <c r="O2819" s="19"/>
      <c r="P2819" s="19"/>
      <c r="Q2819" s="19"/>
    </row>
    <row r="2820" spans="1:17" hidden="1">
      <c r="B2820" s="19"/>
      <c r="C2820" s="19"/>
      <c r="D2820" s="19"/>
      <c r="E2820" s="19"/>
      <c r="F2820" s="19"/>
      <c r="G2820" s="19"/>
      <c r="H2820" s="19"/>
      <c r="I2820" s="19"/>
      <c r="J2820" s="19"/>
      <c r="K2820" s="421"/>
      <c r="L2820" s="23"/>
      <c r="M2820" s="19"/>
      <c r="N2820" s="19"/>
      <c r="O2820" s="19"/>
      <c r="P2820" s="19"/>
      <c r="Q2820" s="19"/>
    </row>
    <row r="2821" spans="1:17" hidden="1">
      <c r="B2821" s="19"/>
      <c r="C2821" s="19"/>
      <c r="D2821" s="19"/>
      <c r="E2821" s="19"/>
      <c r="F2821" s="19"/>
      <c r="G2821" s="19"/>
      <c r="H2821" s="19"/>
      <c r="I2821" s="19"/>
      <c r="J2821" s="19"/>
      <c r="K2821" s="421"/>
      <c r="L2821" s="23"/>
      <c r="M2821" s="19"/>
      <c r="N2821" s="19"/>
      <c r="O2821" s="19"/>
      <c r="P2821" s="19"/>
      <c r="Q2821" s="19"/>
    </row>
    <row r="2822" spans="1:17" hidden="1">
      <c r="B2822" s="19"/>
      <c r="C2822" s="19"/>
      <c r="D2822" s="19"/>
      <c r="E2822" s="19"/>
      <c r="F2822" s="19"/>
      <c r="G2822" s="19"/>
      <c r="H2822" s="19"/>
      <c r="I2822" s="19"/>
      <c r="J2822" s="19"/>
      <c r="K2822" s="421"/>
      <c r="L2822" s="23"/>
      <c r="M2822" s="19"/>
      <c r="N2822" s="19"/>
      <c r="O2822" s="19"/>
      <c r="P2822" s="19"/>
      <c r="Q2822" s="19"/>
    </row>
    <row r="2823" spans="1:17" hidden="1">
      <c r="B2823" s="19"/>
      <c r="C2823" s="19"/>
      <c r="D2823" s="19"/>
      <c r="E2823" s="19"/>
      <c r="F2823" s="19"/>
      <c r="G2823" s="19"/>
      <c r="H2823" s="19"/>
      <c r="I2823" s="19"/>
      <c r="J2823" s="19"/>
      <c r="K2823" s="421"/>
      <c r="L2823" s="23"/>
      <c r="M2823" s="19"/>
      <c r="N2823" s="19"/>
      <c r="O2823" s="19"/>
      <c r="P2823" s="19"/>
      <c r="Q2823" s="19"/>
    </row>
    <row r="2824" spans="1:17" hidden="1">
      <c r="B2824" s="19"/>
      <c r="C2824" s="19"/>
      <c r="D2824" s="19"/>
      <c r="E2824" s="19"/>
      <c r="F2824" s="19"/>
      <c r="G2824" s="19"/>
      <c r="H2824" s="19"/>
      <c r="I2824" s="19"/>
      <c r="J2824" s="19"/>
      <c r="K2824" s="421"/>
      <c r="L2824" s="23"/>
      <c r="M2824" s="19"/>
      <c r="N2824" s="19"/>
      <c r="O2824" s="19"/>
      <c r="P2824" s="19"/>
      <c r="Q2824" s="19"/>
    </row>
    <row r="2825" spans="1:17" hidden="1">
      <c r="A2825" s="22"/>
      <c r="B2825" s="22"/>
      <c r="C2825" s="22"/>
      <c r="D2825" s="22"/>
      <c r="E2825" s="22"/>
      <c r="F2825" s="22"/>
      <c r="G2825" s="22"/>
      <c r="H2825" s="22"/>
      <c r="J2825" s="22"/>
      <c r="K2825" s="423"/>
      <c r="L2825" s="297"/>
      <c r="M2825" s="297"/>
      <c r="N2825" s="297"/>
      <c r="O2825" s="298"/>
      <c r="P2825" s="22"/>
      <c r="Q2825" s="22"/>
    </row>
    <row r="2826" spans="1:17" hidden="1">
      <c r="A2826" s="22"/>
      <c r="B2826" s="22"/>
      <c r="C2826" s="22"/>
      <c r="D2826" s="22"/>
      <c r="E2826" s="22"/>
      <c r="F2826" s="22"/>
      <c r="G2826" s="22"/>
      <c r="H2826" s="22"/>
      <c r="J2826" s="22"/>
      <c r="L2826" s="22"/>
      <c r="M2826" s="22"/>
      <c r="N2826" s="22"/>
      <c r="O2826" s="298"/>
      <c r="P2826" s="22"/>
      <c r="Q2826" s="22"/>
    </row>
    <row r="2827" spans="1:17" hidden="1">
      <c r="A2827" s="22"/>
      <c r="B2827" s="22"/>
      <c r="C2827" s="22"/>
      <c r="D2827" s="22"/>
      <c r="E2827" s="22"/>
      <c r="F2827" s="22"/>
      <c r="G2827" s="22"/>
      <c r="H2827" s="22"/>
      <c r="J2827" s="22"/>
      <c r="L2827" s="22"/>
      <c r="M2827" s="22"/>
      <c r="N2827" s="22"/>
      <c r="O2827" s="298"/>
      <c r="P2827" s="22"/>
      <c r="Q2827" s="22"/>
    </row>
    <row r="2828" spans="1:17" hidden="1">
      <c r="A2828" s="22"/>
      <c r="B2828" s="22"/>
      <c r="C2828" s="22"/>
      <c r="D2828" s="22"/>
      <c r="E2828" s="22"/>
      <c r="F2828" s="22"/>
      <c r="G2828" s="22"/>
      <c r="H2828" s="22"/>
      <c r="J2828" s="22"/>
      <c r="L2828" s="22"/>
      <c r="M2828" s="22"/>
      <c r="N2828" s="22"/>
      <c r="O2828" s="298"/>
      <c r="P2828" s="22"/>
      <c r="Q2828" s="22"/>
    </row>
    <row r="2829" spans="1:17" hidden="1">
      <c r="A2829" s="22"/>
      <c r="B2829" s="22"/>
      <c r="C2829" s="22"/>
      <c r="D2829" s="22"/>
      <c r="E2829" s="22"/>
      <c r="F2829" s="22"/>
      <c r="G2829" s="22"/>
      <c r="H2829" s="22"/>
      <c r="J2829" s="22"/>
      <c r="L2829" s="22"/>
      <c r="M2829" s="22"/>
      <c r="N2829" s="22"/>
      <c r="O2829" s="298"/>
      <c r="P2829" s="22"/>
      <c r="Q2829" s="22"/>
    </row>
    <row r="2830" spans="1:17" hidden="1">
      <c r="A2830" s="22"/>
      <c r="B2830" s="22"/>
      <c r="C2830" s="22"/>
      <c r="D2830" s="22"/>
      <c r="E2830" s="22"/>
      <c r="F2830" s="22"/>
      <c r="G2830" s="22"/>
      <c r="H2830" s="22"/>
      <c r="J2830" s="22"/>
      <c r="L2830" s="22"/>
      <c r="M2830" s="22"/>
      <c r="N2830" s="22"/>
      <c r="O2830" s="298"/>
      <c r="P2830" s="22"/>
      <c r="Q2830" s="22"/>
    </row>
    <row r="2831" spans="1:17" hidden="1">
      <c r="A2831" s="22"/>
      <c r="B2831" s="22"/>
      <c r="C2831" s="22"/>
      <c r="D2831" s="22"/>
      <c r="E2831" s="22"/>
      <c r="F2831" s="22"/>
      <c r="G2831" s="22"/>
      <c r="H2831" s="22"/>
      <c r="J2831" s="22"/>
      <c r="L2831" s="22"/>
      <c r="M2831" s="22"/>
      <c r="N2831" s="22"/>
      <c r="O2831" s="298"/>
      <c r="P2831" s="22"/>
      <c r="Q2831" s="22"/>
    </row>
    <row r="2832" spans="1:17" hidden="1">
      <c r="A2832" s="22"/>
      <c r="B2832" s="22"/>
      <c r="C2832" s="22"/>
      <c r="D2832" s="22"/>
      <c r="E2832" s="22"/>
      <c r="F2832" s="22"/>
      <c r="G2832" s="22"/>
      <c r="H2832" s="22"/>
      <c r="J2832" s="22"/>
      <c r="L2832" s="22"/>
      <c r="M2832" s="22"/>
      <c r="N2832" s="22"/>
      <c r="O2832" s="298"/>
      <c r="P2832" s="22"/>
      <c r="Q2832" s="22"/>
    </row>
    <row r="2833" spans="1:28" hidden="1"/>
    <row r="2834" spans="1:28" ht="18.75">
      <c r="A2834" s="410" t="s">
        <v>442</v>
      </c>
      <c r="B2834" s="410"/>
      <c r="C2834" s="410"/>
      <c r="D2834" s="410"/>
      <c r="E2834" s="410"/>
      <c r="F2834" s="410"/>
      <c r="G2834" s="410"/>
      <c r="H2834" s="410"/>
      <c r="I2834" s="410"/>
      <c r="J2834" s="410"/>
      <c r="K2834" s="410"/>
      <c r="L2834" s="410"/>
      <c r="M2834" s="410"/>
      <c r="N2834" s="410"/>
      <c r="O2834" s="410"/>
      <c r="P2834" s="410"/>
      <c r="Q2834" s="410"/>
      <c r="V2834" s="914"/>
      <c r="W2834" s="914"/>
      <c r="X2834" s="38"/>
    </row>
    <row r="2835" spans="1:28">
      <c r="B2835" s="21">
        <f>COUNT(B2838:B2884)</f>
        <v>47</v>
      </c>
      <c r="C2835" s="21">
        <f t="shared" ref="C2835:I2835" si="40">COUNT(C2838:C2884)</f>
        <v>47</v>
      </c>
      <c r="D2835" s="21">
        <f t="shared" si="40"/>
        <v>47</v>
      </c>
      <c r="E2835" s="21">
        <f t="shared" si="40"/>
        <v>47</v>
      </c>
      <c r="F2835" s="21">
        <f t="shared" si="40"/>
        <v>47</v>
      </c>
      <c r="G2835" s="21">
        <f t="shared" si="40"/>
        <v>47</v>
      </c>
      <c r="H2835" s="21">
        <f t="shared" si="40"/>
        <v>47</v>
      </c>
      <c r="I2835" s="21">
        <f t="shared" si="40"/>
        <v>47</v>
      </c>
      <c r="L2835" s="21">
        <f>COUNT(L2838:L2862)</f>
        <v>25</v>
      </c>
      <c r="M2835" s="21">
        <f t="shared" ref="M2835:T2835" si="41">COUNT(M2838:M2862)</f>
        <v>25</v>
      </c>
      <c r="N2835" s="21">
        <f t="shared" si="41"/>
        <v>25</v>
      </c>
      <c r="O2835" s="21">
        <f t="shared" si="41"/>
        <v>25</v>
      </c>
      <c r="P2835" s="21">
        <f t="shared" si="41"/>
        <v>25</v>
      </c>
      <c r="Q2835" s="21">
        <f t="shared" si="41"/>
        <v>25</v>
      </c>
      <c r="R2835" s="21">
        <f t="shared" si="41"/>
        <v>25</v>
      </c>
      <c r="S2835" s="21">
        <f t="shared" si="41"/>
        <v>25</v>
      </c>
      <c r="T2835" s="21">
        <f t="shared" si="41"/>
        <v>25</v>
      </c>
      <c r="V2835" s="916"/>
      <c r="W2835" s="916"/>
      <c r="X2835" s="39"/>
      <c r="Z2835" s="916"/>
      <c r="AA2835" s="916"/>
      <c r="AB2835" s="40"/>
    </row>
    <row r="2836" spans="1:28" ht="15" customHeight="1">
      <c r="A2836" s="915" t="s">
        <v>417</v>
      </c>
      <c r="B2836" s="21">
        <f>COUNTA(B2838:B2884)</f>
        <v>47</v>
      </c>
      <c r="C2836" s="21">
        <f t="shared" ref="C2836:I2836" si="42">COUNTA(C2838:C2884)</f>
        <v>47</v>
      </c>
      <c r="D2836" s="21">
        <f t="shared" si="42"/>
        <v>47</v>
      </c>
      <c r="E2836" s="21">
        <f t="shared" si="42"/>
        <v>47</v>
      </c>
      <c r="F2836" s="21">
        <f t="shared" si="42"/>
        <v>47</v>
      </c>
      <c r="G2836" s="21">
        <f t="shared" si="42"/>
        <v>47</v>
      </c>
      <c r="H2836" s="21">
        <f t="shared" si="42"/>
        <v>47</v>
      </c>
      <c r="I2836" s="21">
        <f t="shared" si="42"/>
        <v>47</v>
      </c>
      <c r="J2836" s="905" t="s">
        <v>418</v>
      </c>
      <c r="K2836" s="906" t="s">
        <v>419</v>
      </c>
      <c r="L2836" s="21">
        <f>COUNTA(L2838:L2862)</f>
        <v>25</v>
      </c>
      <c r="M2836" s="21">
        <f t="shared" ref="M2836:T2836" si="43">COUNTA(M2838:M2862)</f>
        <v>25</v>
      </c>
      <c r="N2836" s="21">
        <f t="shared" si="43"/>
        <v>25</v>
      </c>
      <c r="O2836" s="21">
        <f t="shared" si="43"/>
        <v>25</v>
      </c>
      <c r="P2836" s="21">
        <f t="shared" si="43"/>
        <v>25</v>
      </c>
      <c r="Q2836" s="21">
        <f t="shared" si="43"/>
        <v>25</v>
      </c>
      <c r="R2836" s="21">
        <f t="shared" si="43"/>
        <v>25</v>
      </c>
      <c r="S2836" s="21">
        <f t="shared" si="43"/>
        <v>25</v>
      </c>
      <c r="T2836" s="21">
        <f t="shared" si="43"/>
        <v>25</v>
      </c>
      <c r="V2836" s="1">
        <f>heeling</f>
        <v>0</v>
      </c>
      <c r="W2836" s="382">
        <f>sound211</f>
        <v>600</v>
      </c>
      <c r="X2836" s="186">
        <f>IF((W2836+W2839)&lt;0,W2836,W2836+W2839)</f>
        <v>600</v>
      </c>
      <c r="Y2836" s="381">
        <f>IF(Y2838=Y2837,Y2837,Interp1(X2837:X2838,Y2837:Y2838,X2836))</f>
        <v>8.4689999999999994</v>
      </c>
      <c r="AA2836" s="30"/>
    </row>
    <row r="2837" spans="1:28">
      <c r="A2837" s="915"/>
      <c r="B2837" s="36">
        <v>-1</v>
      </c>
      <c r="C2837" s="35">
        <v>0</v>
      </c>
      <c r="D2837" s="35">
        <v>0.5</v>
      </c>
      <c r="E2837" s="35">
        <v>1</v>
      </c>
      <c r="F2837" s="35">
        <v>1.5</v>
      </c>
      <c r="G2837" s="35">
        <v>2</v>
      </c>
      <c r="H2837" s="37">
        <v>3</v>
      </c>
      <c r="I2837" s="21">
        <v>4</v>
      </c>
      <c r="J2837" s="905"/>
      <c r="K2837" s="906"/>
      <c r="L2837" s="21">
        <v>-4</v>
      </c>
      <c r="M2837" s="35">
        <v>-3</v>
      </c>
      <c r="N2837" s="35">
        <v>-2</v>
      </c>
      <c r="O2837" s="35">
        <v>-1</v>
      </c>
      <c r="P2837" s="35">
        <v>0</v>
      </c>
      <c r="Q2837" s="35">
        <v>1</v>
      </c>
      <c r="R2837" s="35">
        <v>2</v>
      </c>
      <c r="S2837" s="35">
        <v>3</v>
      </c>
      <c r="T2837" s="35">
        <v>4</v>
      </c>
      <c r="V2837" s="1">
        <f>IF(tankSound11=soundingPipe11,tankSound11,FLOOR(W2836,incHeel))</f>
        <v>600</v>
      </c>
      <c r="W2837" s="1">
        <f>Interp2(tank11Heel1,tank11Heel2,tank11Heel3,V2837,V2836)</f>
        <v>0</v>
      </c>
      <c r="X2837" s="1">
        <f>IF(X2836=soundingPipe11,Tank1!X2836,FLOOR(X2836,inc))</f>
        <v>600</v>
      </c>
      <c r="Y2837" s="42">
        <f>IF(W2842=W2841,W2841,Interp1(V2841:V2842,W2841:W2842,V2840))</f>
        <v>8.4689999999999994</v>
      </c>
      <c r="AA2837" s="30"/>
    </row>
    <row r="2838" spans="1:28">
      <c r="A2838" s="1">
        <v>0</v>
      </c>
      <c r="B2838" s="42">
        <v>0.35199999999999998</v>
      </c>
      <c r="C2838" s="42">
        <v>0.308</v>
      </c>
      <c r="D2838" s="42">
        <v>0.28699999999999998</v>
      </c>
      <c r="E2838" s="42">
        <v>0.26600000000000001</v>
      </c>
      <c r="F2838" s="42">
        <v>0.246</v>
      </c>
      <c r="G2838" s="42">
        <v>0.22600000000000001</v>
      </c>
      <c r="H2838" s="42">
        <v>0.191</v>
      </c>
      <c r="I2838" s="42">
        <v>0.16400000000000001</v>
      </c>
      <c r="J2838" s="21">
        <v>5206</v>
      </c>
      <c r="K2838" s="1">
        <v>0</v>
      </c>
      <c r="L2838" s="1">
        <v>119.697</v>
      </c>
      <c r="M2838" s="1">
        <v>79.59</v>
      </c>
      <c r="N2838" s="1">
        <v>44.091000000000001</v>
      </c>
      <c r="O2838" s="1">
        <v>17.163</v>
      </c>
      <c r="P2838" s="365">
        <v>0</v>
      </c>
      <c r="Q2838" s="1">
        <v>0</v>
      </c>
      <c r="R2838" s="1">
        <v>0</v>
      </c>
      <c r="S2838" s="1">
        <v>0</v>
      </c>
      <c r="T2838" s="1">
        <v>4.7279999999999998</v>
      </c>
      <c r="U2838" s="24"/>
      <c r="V2838" s="1">
        <f>IF(V2837=tankSound11,V2837,CEILING(W2836,incHeel))</f>
        <v>600</v>
      </c>
      <c r="W2838" s="1">
        <f>Interp2(tank11Heel1,tank11Heel2,tank11Heel3,V2838,V2836)</f>
        <v>0</v>
      </c>
      <c r="X2838" s="1">
        <f>IF(X2837=X2836,X2837,CEILING(X2836,inc))</f>
        <v>600</v>
      </c>
      <c r="Y2838" s="42">
        <f>IF(X2842=X2841,X2841,Interp1(V2841:V2842,X2841:X2842,V2840))</f>
        <v>8.4689999999999994</v>
      </c>
      <c r="AA2838" s="30"/>
      <c r="AB2838" s="42"/>
    </row>
    <row r="2839" spans="1:28">
      <c r="A2839" s="1">
        <v>50</v>
      </c>
      <c r="B2839" s="42">
        <v>0.87</v>
      </c>
      <c r="C2839" s="42">
        <v>0.81799999999999995</v>
      </c>
      <c r="D2839" s="42">
        <v>0.79300000000000004</v>
      </c>
      <c r="E2839" s="42">
        <v>0.76800000000000002</v>
      </c>
      <c r="F2839" s="42">
        <v>0.74299999999999999</v>
      </c>
      <c r="G2839" s="42">
        <v>0.71899999999999997</v>
      </c>
      <c r="H2839" s="42">
        <v>0.67100000000000004</v>
      </c>
      <c r="I2839" s="42">
        <v>0.625</v>
      </c>
      <c r="J2839" s="21">
        <v>2250</v>
      </c>
      <c r="K2839" s="1">
        <v>100</v>
      </c>
      <c r="L2839" s="1">
        <v>125.999</v>
      </c>
      <c r="M2839" s="1">
        <v>87.852000000000004</v>
      </c>
      <c r="N2839" s="1">
        <v>53.064</v>
      </c>
      <c r="O2839" s="1">
        <v>23.858000000000001</v>
      </c>
      <c r="P2839" s="365">
        <v>0</v>
      </c>
      <c r="Q2839" s="1">
        <v>-21.396999999999998</v>
      </c>
      <c r="R2839" s="1">
        <v>-36.853999999999999</v>
      </c>
      <c r="S2839" s="1">
        <v>-45.548999999999999</v>
      </c>
      <c r="T2839" s="1">
        <v>-47.094000000000001</v>
      </c>
      <c r="U2839" s="25"/>
      <c r="W2839" s="1">
        <f>IF(W2838=W2837,W2837,Interp1(V2837:V2838,W2837:W2838,W2836))</f>
        <v>0</v>
      </c>
      <c r="Y2839" s="42"/>
      <c r="AA2839" s="30"/>
      <c r="AB2839" s="42"/>
    </row>
    <row r="2840" spans="1:28">
      <c r="A2840" s="1">
        <v>100</v>
      </c>
      <c r="B2840" s="42">
        <v>1.4330000000000001</v>
      </c>
      <c r="C2840" s="42">
        <v>1.3759999999999999</v>
      </c>
      <c r="D2840" s="42">
        <v>1.3480000000000001</v>
      </c>
      <c r="E2840" s="42">
        <v>1.32</v>
      </c>
      <c r="F2840" s="42">
        <v>1.2929999999999999</v>
      </c>
      <c r="G2840" s="42">
        <v>1.266</v>
      </c>
      <c r="H2840" s="42">
        <v>1.212</v>
      </c>
      <c r="I2840" s="42">
        <v>1.159</v>
      </c>
      <c r="J2840" s="21">
        <v>2200</v>
      </c>
      <c r="K2840" s="1">
        <v>200</v>
      </c>
      <c r="L2840" s="1">
        <v>139.304</v>
      </c>
      <c r="M2840" s="1">
        <v>99.370999999999995</v>
      </c>
      <c r="N2840" s="1">
        <v>61.387</v>
      </c>
      <c r="O2840" s="1">
        <v>28.344000000000001</v>
      </c>
      <c r="P2840" s="365">
        <v>0</v>
      </c>
      <c r="Q2840" s="1">
        <v>-26.088000000000001</v>
      </c>
      <c r="R2840" s="1">
        <v>-47.503</v>
      </c>
      <c r="S2840" s="1">
        <v>-64.447999999999993</v>
      </c>
      <c r="T2840" s="1">
        <v>-76.918000000000006</v>
      </c>
      <c r="U2840" s="25"/>
      <c r="V2840" s="1">
        <f>trim</f>
        <v>0.36</v>
      </c>
      <c r="AA2840" s="30"/>
      <c r="AB2840" s="42"/>
    </row>
    <row r="2841" spans="1:28">
      <c r="A2841" s="1">
        <v>150</v>
      </c>
      <c r="B2841" s="42">
        <v>2.0329999999999999</v>
      </c>
      <c r="C2841" s="42">
        <v>1.972</v>
      </c>
      <c r="D2841" s="42">
        <v>1.9419999999999999</v>
      </c>
      <c r="E2841" s="42">
        <v>1.9119999999999999</v>
      </c>
      <c r="F2841" s="42">
        <v>1.8819999999999999</v>
      </c>
      <c r="G2841" s="42">
        <v>1.8520000000000001</v>
      </c>
      <c r="H2841" s="42">
        <v>1.7929999999999999</v>
      </c>
      <c r="I2841" s="42">
        <v>1.7350000000000001</v>
      </c>
      <c r="J2841" s="21">
        <v>2150</v>
      </c>
      <c r="K2841" s="1">
        <v>300</v>
      </c>
      <c r="L2841" s="1">
        <v>149.33500000000001</v>
      </c>
      <c r="M2841" s="1">
        <v>108.027</v>
      </c>
      <c r="N2841" s="1">
        <v>68.096000000000004</v>
      </c>
      <c r="O2841" s="1">
        <v>31.875</v>
      </c>
      <c r="P2841" s="365">
        <v>0</v>
      </c>
      <c r="Q2841" s="1">
        <v>-29.794</v>
      </c>
      <c r="R2841" s="1">
        <v>-55.353000000000002</v>
      </c>
      <c r="S2841" s="1">
        <v>-76.959000000000003</v>
      </c>
      <c r="T2841" s="1">
        <v>-94.79</v>
      </c>
      <c r="U2841" s="25"/>
      <c r="V2841" s="1">
        <f>INDEX(tank11Trim2,0,MATCH(V2840,tank11Trim2,1))</f>
        <v>0</v>
      </c>
      <c r="W2841" s="1">
        <f>Interp2(tank11Trim1,tank11Trim2,tank11Trim3,X2837,V2841)</f>
        <v>8.5009999999999994</v>
      </c>
      <c r="X2841" s="1">
        <f>Interp2(tank11Trim1,tank11Trim2,tank11Trim3,X2838,V2841)</f>
        <v>8.5009999999999994</v>
      </c>
      <c r="AA2841" s="30"/>
    </row>
    <row r="2842" spans="1:28">
      <c r="A2842" s="1">
        <v>200</v>
      </c>
      <c r="B2842" s="42">
        <v>2.6659999999999999</v>
      </c>
      <c r="C2842" s="42">
        <v>2.6</v>
      </c>
      <c r="D2842" s="42">
        <v>2.5680000000000001</v>
      </c>
      <c r="E2842" s="42">
        <v>2.536</v>
      </c>
      <c r="F2842" s="42">
        <v>2.504</v>
      </c>
      <c r="G2842" s="42">
        <v>2.472</v>
      </c>
      <c r="H2842" s="42">
        <v>2.4089999999999998</v>
      </c>
      <c r="I2842" s="42">
        <v>2.3460000000000001</v>
      </c>
      <c r="J2842" s="21">
        <v>2100</v>
      </c>
      <c r="K2842" s="1">
        <v>400</v>
      </c>
      <c r="L2842" s="1">
        <v>156.18799999999999</v>
      </c>
      <c r="M2842" s="1">
        <v>114.35599999999999</v>
      </c>
      <c r="N2842" s="1">
        <v>73.477999999999994</v>
      </c>
      <c r="O2842" s="1">
        <v>34.880000000000003</v>
      </c>
      <c r="P2842" s="365">
        <v>0</v>
      </c>
      <c r="Q2842" s="1">
        <v>-32.841000000000001</v>
      </c>
      <c r="R2842" s="1">
        <v>-61.81</v>
      </c>
      <c r="S2842" s="1">
        <v>-87.084999999999994</v>
      </c>
      <c r="T2842" s="1">
        <v>-109.5</v>
      </c>
      <c r="U2842" s="25"/>
      <c r="V2842" s="1">
        <f>IF(V2841=V2840,V2840,INDEX(tank11Trim2,0,MATCH(V2840,tank11Trim2,1)+1))</f>
        <v>0.5</v>
      </c>
      <c r="W2842" s="1">
        <f>Interp2(tank11Trim1,tank11Trim2,tank11Trim3,X2837,V2842)</f>
        <v>8.4570000000000007</v>
      </c>
      <c r="X2842" s="1">
        <f>Interp2(tank11Trim1,tank11Trim2,tank11Trim3,X2838,V2842)</f>
        <v>8.4570000000000007</v>
      </c>
      <c r="AA2842" s="30"/>
      <c r="AB2842" s="42"/>
    </row>
    <row r="2843" spans="1:28">
      <c r="A2843" s="1">
        <v>250</v>
      </c>
      <c r="B2843" s="42">
        <v>3.327</v>
      </c>
      <c r="C2843" s="42">
        <v>3.258</v>
      </c>
      <c r="D2843" s="42">
        <v>3.2229999999999999</v>
      </c>
      <c r="E2843" s="42">
        <v>3.1890000000000001</v>
      </c>
      <c r="F2843" s="42">
        <v>3.1549999999999998</v>
      </c>
      <c r="G2843" s="42">
        <v>3.121</v>
      </c>
      <c r="H2843" s="42">
        <v>3.0539999999999998</v>
      </c>
      <c r="I2843" s="42">
        <v>2.988</v>
      </c>
      <c r="J2843" s="21">
        <v>2050</v>
      </c>
      <c r="K2843" s="1">
        <v>500</v>
      </c>
      <c r="L2843" s="1">
        <v>161.136</v>
      </c>
      <c r="M2843" s="1">
        <v>118.562</v>
      </c>
      <c r="N2843" s="1">
        <v>77.215000000000003</v>
      </c>
      <c r="O2843" s="1">
        <v>37.295000000000002</v>
      </c>
      <c r="P2843" s="365">
        <v>0</v>
      </c>
      <c r="Q2843" s="1">
        <v>-35.527000000000001</v>
      </c>
      <c r="R2843" s="1">
        <v>-67.364000000000004</v>
      </c>
      <c r="S2843" s="1">
        <v>-95.722999999999999</v>
      </c>
      <c r="T2843" s="1">
        <v>-122.026</v>
      </c>
      <c r="U2843" s="25"/>
      <c r="W2843" s="43"/>
      <c r="X2843" s="42"/>
      <c r="AA2843" s="30"/>
      <c r="AB2843" s="42"/>
    </row>
    <row r="2844" spans="1:28">
      <c r="A2844" s="1">
        <v>300</v>
      </c>
      <c r="B2844" s="42">
        <v>4.0140000000000002</v>
      </c>
      <c r="C2844" s="42">
        <v>3.9409999999999998</v>
      </c>
      <c r="D2844" s="42">
        <v>3.9049999999999998</v>
      </c>
      <c r="E2844" s="42">
        <v>3.87</v>
      </c>
      <c r="F2844" s="42">
        <v>3.8340000000000001</v>
      </c>
      <c r="G2844" s="42">
        <v>3.798</v>
      </c>
      <c r="H2844" s="42">
        <v>3.7280000000000002</v>
      </c>
      <c r="I2844" s="42">
        <v>3.6579999999999999</v>
      </c>
      <c r="J2844" s="21">
        <v>2000</v>
      </c>
      <c r="K2844" s="1">
        <v>600</v>
      </c>
      <c r="L2844" s="1">
        <v>165.441</v>
      </c>
      <c r="M2844" s="1">
        <v>121.81699999999999</v>
      </c>
      <c r="N2844" s="1">
        <v>79.691999999999993</v>
      </c>
      <c r="O2844" s="1">
        <v>38.93</v>
      </c>
      <c r="P2844" s="365">
        <v>0</v>
      </c>
      <c r="Q2844" s="1">
        <v>-37.701000000000001</v>
      </c>
      <c r="R2844" s="1">
        <v>-72.224999999999994</v>
      </c>
      <c r="S2844" s="1">
        <v>-103.547</v>
      </c>
      <c r="T2844" s="1">
        <v>-132.84</v>
      </c>
      <c r="U2844" s="25"/>
    </row>
    <row r="2845" spans="1:28">
      <c r="A2845" s="1">
        <v>350</v>
      </c>
      <c r="B2845" s="42">
        <v>4.7249999999999996</v>
      </c>
      <c r="C2845" s="42">
        <v>4.6500000000000004</v>
      </c>
      <c r="D2845" s="42">
        <v>4.6120000000000001</v>
      </c>
      <c r="E2845" s="42">
        <v>4.5750000000000002</v>
      </c>
      <c r="F2845" s="42">
        <v>4.5369999999999999</v>
      </c>
      <c r="G2845" s="42">
        <v>4.5</v>
      </c>
      <c r="H2845" s="42">
        <v>4.4260000000000002</v>
      </c>
      <c r="I2845" s="42">
        <v>4.3529999999999998</v>
      </c>
      <c r="J2845" s="21">
        <v>1950</v>
      </c>
      <c r="K2845" s="1">
        <v>700</v>
      </c>
      <c r="L2845" s="1">
        <v>169.60499999999999</v>
      </c>
      <c r="M2845" s="1">
        <v>124.881</v>
      </c>
      <c r="N2845" s="1">
        <v>81.777000000000001</v>
      </c>
      <c r="O2845" s="1">
        <v>40.039000000000001</v>
      </c>
      <c r="P2845" s="365">
        <v>0</v>
      </c>
      <c r="Q2845" s="1">
        <v>-39.159999999999997</v>
      </c>
      <c r="R2845" s="1">
        <v>-76.093999999999994</v>
      </c>
      <c r="S2845" s="1">
        <v>-110.426</v>
      </c>
      <c r="T2845" s="1">
        <v>-142.292</v>
      </c>
      <c r="U2845" s="25"/>
      <c r="V2845" s="1">
        <f>Bunkering!heeling1</f>
        <v>0</v>
      </c>
      <c r="W2845" s="382">
        <f>sound311</f>
        <v>1390</v>
      </c>
      <c r="X2845" s="186">
        <f>IF((W2845+W2848)&lt;0,W2845,W2845+W2848)</f>
        <v>1390</v>
      </c>
      <c r="Y2845" s="381">
        <f>IF(Y2847=Y2846,Y2846,Interp1(X2846:X2847,Y2846:Y2847,X2845))</f>
        <v>22.303000000000001</v>
      </c>
    </row>
    <row r="2846" spans="1:28">
      <c r="A2846" s="1">
        <v>400</v>
      </c>
      <c r="B2846" s="42">
        <v>5.4589999999999996</v>
      </c>
      <c r="C2846" s="42">
        <v>5.38</v>
      </c>
      <c r="D2846" s="42">
        <v>5.3410000000000002</v>
      </c>
      <c r="E2846" s="42">
        <v>5.3019999999999996</v>
      </c>
      <c r="F2846" s="42">
        <v>5.2640000000000002</v>
      </c>
      <c r="G2846" s="42">
        <v>5.2249999999999996</v>
      </c>
      <c r="H2846" s="42">
        <v>5.1479999999999997</v>
      </c>
      <c r="I2846" s="42">
        <v>5.0720000000000001</v>
      </c>
      <c r="J2846" s="21">
        <v>1900</v>
      </c>
      <c r="K2846" s="1">
        <v>800</v>
      </c>
      <c r="L2846" s="1">
        <v>173.72200000000001</v>
      </c>
      <c r="M2846" s="1">
        <v>127.896</v>
      </c>
      <c r="N2846" s="1">
        <v>83.78</v>
      </c>
      <c r="O2846" s="1">
        <v>41.037999999999997</v>
      </c>
      <c r="P2846" s="365">
        <v>0</v>
      </c>
      <c r="Q2846" s="1">
        <v>-40.171999999999997</v>
      </c>
      <c r="R2846" s="1">
        <v>-78.753</v>
      </c>
      <c r="S2846" s="1">
        <v>-115.608</v>
      </c>
      <c r="T2846" s="1">
        <v>-150.143</v>
      </c>
      <c r="U2846" s="25"/>
      <c r="V2846" s="1">
        <f>IF(tankSound211=soundingPipe11,tankSound211,FLOOR(W2845,incHeel))</f>
        <v>1300</v>
      </c>
      <c r="W2846" s="1">
        <f>Interp2(tank11Heel1,tank11Heel2,tank11Heel3,V2846,V2845)</f>
        <v>0</v>
      </c>
      <c r="X2846" s="1">
        <f>IF(X2845=soundingPipe11,Tank1!X2845,FLOOR(X2845,inc))</f>
        <v>1350</v>
      </c>
      <c r="Y2846" s="42">
        <f>IF(W2851=W2850,W2850,Interp1(V2850:V2851,W2850:W2851,V2849))</f>
        <v>21.56</v>
      </c>
      <c r="Z2846" s="918"/>
      <c r="AA2846" s="918"/>
      <c r="AB2846" s="42"/>
    </row>
    <row r="2847" spans="1:28">
      <c r="A2847" s="1">
        <v>450</v>
      </c>
      <c r="B2847" s="42">
        <v>6.2140000000000004</v>
      </c>
      <c r="C2847" s="42">
        <v>6.1319999999999997</v>
      </c>
      <c r="D2847" s="42">
        <v>6.0919999999999996</v>
      </c>
      <c r="E2847" s="42">
        <v>6.0519999999999996</v>
      </c>
      <c r="F2847" s="42">
        <v>6.0119999999999996</v>
      </c>
      <c r="G2847" s="42">
        <v>5.9710000000000001</v>
      </c>
      <c r="H2847" s="42">
        <v>5.8920000000000003</v>
      </c>
      <c r="I2847" s="42">
        <v>5.8129999999999997</v>
      </c>
      <c r="J2847" s="21">
        <v>1850</v>
      </c>
      <c r="K2847" s="1">
        <v>900</v>
      </c>
      <c r="L2847" s="1">
        <v>177.846</v>
      </c>
      <c r="M2847" s="1">
        <v>130.886</v>
      </c>
      <c r="N2847" s="1">
        <v>85.76</v>
      </c>
      <c r="O2847" s="1">
        <v>42.012999999999998</v>
      </c>
      <c r="P2847" s="365">
        <v>0</v>
      </c>
      <c r="Q2847" s="1">
        <v>-41.110999999999997</v>
      </c>
      <c r="R2847" s="1">
        <v>-80.704999999999998</v>
      </c>
      <c r="S2847" s="1">
        <v>-119.169</v>
      </c>
      <c r="T2847" s="1">
        <v>-156.05500000000001</v>
      </c>
      <c r="U2847" s="25"/>
      <c r="V2847" s="1">
        <f>IF(V2846=tankSound211,V2846,CEILING(W2845,incHeel))</f>
        <v>1400</v>
      </c>
      <c r="W2847" s="1">
        <f>Interp2(tank11Heel1,tank11Heel2,tank11Heel3,V2847,V2845)</f>
        <v>0</v>
      </c>
      <c r="X2847" s="1">
        <f>IF(X2846=X2845,X2846,CEILING(X2845,inc))</f>
        <v>1400</v>
      </c>
      <c r="Y2847" s="42">
        <f>IF(X2851=X2850,X2850,Interp1(V2850:V2851,X2850:X2851,V2849))</f>
        <v>22.489000000000001</v>
      </c>
    </row>
    <row r="2848" spans="1:28">
      <c r="A2848" s="1">
        <v>500</v>
      </c>
      <c r="B2848" s="42">
        <v>6.9880000000000004</v>
      </c>
      <c r="C2848" s="42">
        <v>6.9050000000000002</v>
      </c>
      <c r="D2848" s="42">
        <v>6.8630000000000004</v>
      </c>
      <c r="E2848" s="42">
        <v>6.8209999999999997</v>
      </c>
      <c r="F2848" s="42">
        <v>6.78</v>
      </c>
      <c r="G2848" s="42">
        <v>6.7389999999999999</v>
      </c>
      <c r="H2848" s="42">
        <v>6.6559999999999997</v>
      </c>
      <c r="I2848" s="42">
        <v>6.5739999999999998</v>
      </c>
      <c r="J2848" s="21">
        <v>1800</v>
      </c>
      <c r="K2848" s="1">
        <v>1000</v>
      </c>
      <c r="L2848" s="1">
        <v>181.965</v>
      </c>
      <c r="M2848" s="1">
        <v>133.893</v>
      </c>
      <c r="N2848" s="1">
        <v>87.722999999999999</v>
      </c>
      <c r="O2848" s="1">
        <v>42.98</v>
      </c>
      <c r="P2848" s="365">
        <v>0</v>
      </c>
      <c r="Q2848" s="1">
        <v>-42.030999999999999</v>
      </c>
      <c r="R2848" s="1">
        <v>-82.54</v>
      </c>
      <c r="S2848" s="1">
        <v>-121.995</v>
      </c>
      <c r="T2848" s="1">
        <v>-160.35300000000001</v>
      </c>
      <c r="U2848" s="26"/>
      <c r="W2848" s="1">
        <f>IF(W2847=W2846,W2846,Interp1(V2846:V2847,W2846:W2847,W2845))</f>
        <v>0</v>
      </c>
      <c r="Y2848" s="42"/>
    </row>
    <row r="2849" spans="1:28">
      <c r="A2849" s="1">
        <v>550</v>
      </c>
      <c r="B2849" s="42">
        <v>7.7809999999999997</v>
      </c>
      <c r="C2849" s="42">
        <v>7.6950000000000003</v>
      </c>
      <c r="D2849" s="42">
        <v>7.6520000000000001</v>
      </c>
      <c r="E2849" s="42">
        <v>7.61</v>
      </c>
      <c r="F2849" s="42">
        <v>7.5670000000000002</v>
      </c>
      <c r="G2849" s="42">
        <v>7.5250000000000004</v>
      </c>
      <c r="H2849" s="42">
        <v>7.44</v>
      </c>
      <c r="I2849" s="42">
        <v>7.3559999999999999</v>
      </c>
      <c r="J2849" s="21">
        <v>1750</v>
      </c>
      <c r="K2849" s="1">
        <v>1100</v>
      </c>
      <c r="L2849" s="1">
        <v>186.06</v>
      </c>
      <c r="M2849" s="1">
        <v>136.9</v>
      </c>
      <c r="N2849" s="1">
        <v>89.704999999999998</v>
      </c>
      <c r="O2849" s="1">
        <v>43.938000000000002</v>
      </c>
      <c r="P2849" s="365">
        <v>0</v>
      </c>
      <c r="Q2849" s="1">
        <v>-42.945999999999998</v>
      </c>
      <c r="R2849" s="1">
        <v>-84.340999999999994</v>
      </c>
      <c r="S2849" s="1">
        <v>-124.70399999999999</v>
      </c>
      <c r="T2849" s="1">
        <v>-163.96299999999999</v>
      </c>
      <c r="U2849" s="25"/>
      <c r="V2849" s="1">
        <f>Bunkering!trim1</f>
        <v>0.36</v>
      </c>
    </row>
    <row r="2850" spans="1:28">
      <c r="A2850" s="1">
        <v>600</v>
      </c>
      <c r="B2850" s="42">
        <v>8.5869999999999997</v>
      </c>
      <c r="C2850" s="42">
        <v>8.5009999999999994</v>
      </c>
      <c r="D2850" s="42">
        <v>8.4570000000000007</v>
      </c>
      <c r="E2850" s="42">
        <v>8.4139999999999997</v>
      </c>
      <c r="F2850" s="42">
        <v>8.3710000000000004</v>
      </c>
      <c r="G2850" s="42">
        <v>8.3279999999999994</v>
      </c>
      <c r="H2850" s="42">
        <v>8.2409999999999997</v>
      </c>
      <c r="I2850" s="42">
        <v>8.1549999999999994</v>
      </c>
      <c r="J2850" s="21">
        <v>1700</v>
      </c>
      <c r="K2850" s="1">
        <v>1200</v>
      </c>
      <c r="L2850" s="1">
        <v>190.12200000000001</v>
      </c>
      <c r="M2850" s="1">
        <v>139.87899999999999</v>
      </c>
      <c r="N2850" s="1">
        <v>91.685000000000002</v>
      </c>
      <c r="O2850" s="1">
        <v>44.906999999999996</v>
      </c>
      <c r="P2850" s="365">
        <v>0</v>
      </c>
      <c r="Q2850" s="1">
        <v>-43.854999999999997</v>
      </c>
      <c r="R2850" s="1">
        <v>-86.132999999999996</v>
      </c>
      <c r="S2850" s="1">
        <v>-127.376</v>
      </c>
      <c r="T2850" s="1">
        <v>-167.46799999999999</v>
      </c>
      <c r="U2850" s="25"/>
      <c r="V2850" s="1">
        <f>INDEX(tank11Trim2,0,MATCH(V2849,tank11Trim2,1))</f>
        <v>0</v>
      </c>
      <c r="W2850" s="1">
        <f>Interp2(tank11Trim1,tank11Trim2,tank11Trim3,X2846,V2850)</f>
        <v>21.594000000000001</v>
      </c>
      <c r="X2850" s="1">
        <f>Interp2(tank11Trim1,tank11Trim2,tank11Trim3,X2847,V2850)</f>
        <v>22.523</v>
      </c>
      <c r="Z2850" s="916"/>
      <c r="AA2850" s="916"/>
      <c r="AB2850" s="40"/>
    </row>
    <row r="2851" spans="1:28">
      <c r="A2851" s="1">
        <v>650</v>
      </c>
      <c r="B2851" s="42">
        <v>9.4060000000000006</v>
      </c>
      <c r="C2851" s="42">
        <v>9.3190000000000008</v>
      </c>
      <c r="D2851" s="42">
        <v>9.2750000000000004</v>
      </c>
      <c r="E2851" s="42">
        <v>9.2309999999999999</v>
      </c>
      <c r="F2851" s="42">
        <v>9.1869999999999994</v>
      </c>
      <c r="G2851" s="42">
        <v>9.1440000000000001</v>
      </c>
      <c r="H2851" s="42">
        <v>9.0559999999999992</v>
      </c>
      <c r="I2851" s="42">
        <v>8.9689999999999994</v>
      </c>
      <c r="J2851" s="21">
        <v>1650</v>
      </c>
      <c r="K2851" s="1">
        <v>1300</v>
      </c>
      <c r="L2851" s="1">
        <v>193.82900000000001</v>
      </c>
      <c r="M2851" s="1">
        <v>142.845</v>
      </c>
      <c r="N2851" s="1">
        <v>93.631</v>
      </c>
      <c r="O2851" s="1">
        <v>45.875999999999998</v>
      </c>
      <c r="P2851" s="365">
        <v>0</v>
      </c>
      <c r="Q2851" s="1">
        <v>-44.774000000000001</v>
      </c>
      <c r="R2851" s="1">
        <v>-87.917000000000002</v>
      </c>
      <c r="S2851" s="1">
        <v>-130.03100000000001</v>
      </c>
      <c r="T2851" s="1">
        <v>-170.93799999999999</v>
      </c>
      <c r="U2851" s="25"/>
      <c r="V2851" s="1">
        <f>IF(V2850=V2849,V2849,INDEX(tank11Trim2,0,MATCH(V2849,tank11Trim2,1)+1))</f>
        <v>0.5</v>
      </c>
      <c r="W2851" s="1">
        <f>Interp2(tank11Trim1,tank11Trim2,tank11Trim3,X2846,V2851)</f>
        <v>21.547000000000001</v>
      </c>
      <c r="X2851" s="1">
        <f>Interp2(tank11Trim1,tank11Trim2,tank11Trim3,X2847,V2851)</f>
        <v>22.475999999999999</v>
      </c>
      <c r="AA2851" s="30"/>
    </row>
    <row r="2852" spans="1:28">
      <c r="A2852" s="1">
        <v>700</v>
      </c>
      <c r="B2852" s="42">
        <v>10.234999999999999</v>
      </c>
      <c r="C2852" s="42">
        <v>10.147</v>
      </c>
      <c r="D2852" s="42">
        <v>10.103</v>
      </c>
      <c r="E2852" s="42">
        <v>10.058</v>
      </c>
      <c r="F2852" s="42">
        <v>10.013999999999999</v>
      </c>
      <c r="G2852" s="42">
        <v>9.9700000000000006</v>
      </c>
      <c r="H2852" s="42">
        <v>9.8819999999999997</v>
      </c>
      <c r="I2852" s="42">
        <v>9.7940000000000005</v>
      </c>
      <c r="J2852" s="21">
        <v>1600</v>
      </c>
      <c r="K2852" s="1">
        <v>1400</v>
      </c>
      <c r="L2852" s="1">
        <v>194.96199999999999</v>
      </c>
      <c r="M2852" s="1">
        <v>145.72399999999999</v>
      </c>
      <c r="N2852" s="1">
        <v>95.584999999999994</v>
      </c>
      <c r="O2852" s="1">
        <v>46.826000000000001</v>
      </c>
      <c r="P2852" s="365">
        <v>0</v>
      </c>
      <c r="Q2852" s="1">
        <v>-45.698</v>
      </c>
      <c r="R2852" s="1">
        <v>-89.72</v>
      </c>
      <c r="S2852" s="1">
        <v>-132.68899999999999</v>
      </c>
      <c r="T2852" s="1">
        <v>-174.39599999999999</v>
      </c>
      <c r="U2852" s="25"/>
      <c r="W2852" s="30"/>
      <c r="AA2852" s="30"/>
    </row>
    <row r="2853" spans="1:28">
      <c r="A2853" s="1">
        <v>750</v>
      </c>
      <c r="B2853" s="42">
        <v>11.071999999999999</v>
      </c>
      <c r="C2853" s="42">
        <v>10.983000000000001</v>
      </c>
      <c r="D2853" s="42">
        <v>10.939</v>
      </c>
      <c r="E2853" s="42">
        <v>10.89</v>
      </c>
      <c r="F2853" s="42">
        <v>10.85</v>
      </c>
      <c r="G2853" s="42">
        <v>10.805999999999999</v>
      </c>
      <c r="H2853" s="42">
        <v>10.717000000000001</v>
      </c>
      <c r="I2853" s="42">
        <v>10.629</v>
      </c>
      <c r="J2853" s="21">
        <v>1550</v>
      </c>
      <c r="K2853" s="1">
        <v>1500</v>
      </c>
      <c r="L2853" s="1">
        <v>184.773</v>
      </c>
      <c r="M2853" s="1">
        <v>145.84</v>
      </c>
      <c r="N2853" s="1">
        <v>97.522999999999996</v>
      </c>
      <c r="O2853" s="1">
        <v>47.783000000000001</v>
      </c>
      <c r="P2853" s="365">
        <v>0</v>
      </c>
      <c r="Q2853" s="1">
        <v>-46.603000000000002</v>
      </c>
      <c r="R2853" s="1">
        <v>-91.528000000000006</v>
      </c>
      <c r="S2853" s="1">
        <v>-135.36600000000001</v>
      </c>
      <c r="T2853" s="1">
        <v>-177.864</v>
      </c>
      <c r="U2853" s="24"/>
      <c r="W2853" s="30"/>
      <c r="X2853" s="42"/>
      <c r="AA2853" s="30"/>
      <c r="AB2853" s="42"/>
    </row>
    <row r="2854" spans="1:28">
      <c r="A2854" s="1">
        <v>800</v>
      </c>
      <c r="B2854" s="42">
        <v>11.917</v>
      </c>
      <c r="C2854" s="42">
        <v>11.827</v>
      </c>
      <c r="D2854" s="42">
        <v>11.782999999999999</v>
      </c>
      <c r="E2854" s="42">
        <v>11.738</v>
      </c>
      <c r="F2854" s="42">
        <v>111.694</v>
      </c>
      <c r="G2854" s="42">
        <v>11.648999999999999</v>
      </c>
      <c r="H2854" s="42">
        <v>11.56</v>
      </c>
      <c r="I2854" s="42">
        <v>11.471</v>
      </c>
      <c r="J2854" s="21">
        <v>1500</v>
      </c>
      <c r="K2854" s="1">
        <v>1600</v>
      </c>
      <c r="L2854" s="1">
        <v>160.75299999999999</v>
      </c>
      <c r="M2854" s="1">
        <v>135.93799999999999</v>
      </c>
      <c r="N2854" s="1">
        <v>96.519000000000005</v>
      </c>
      <c r="O2854" s="1">
        <v>48.73</v>
      </c>
      <c r="P2854" s="365">
        <v>0</v>
      </c>
      <c r="Q2854" s="1">
        <v>-47.515000000000001</v>
      </c>
      <c r="R2854" s="1">
        <v>-93.305000000000007</v>
      </c>
      <c r="S2854" s="1">
        <v>-138.03399999999999</v>
      </c>
      <c r="T2854" s="1">
        <v>-181.34700000000001</v>
      </c>
      <c r="U2854" s="24"/>
      <c r="W2854" s="30"/>
      <c r="X2854" s="42"/>
      <c r="AA2854" s="30"/>
      <c r="AB2854" s="42"/>
    </row>
    <row r="2855" spans="1:28">
      <c r="A2855" s="1">
        <v>850</v>
      </c>
      <c r="B2855" s="42">
        <v>12.769</v>
      </c>
      <c r="C2855" s="42">
        <v>12.68</v>
      </c>
      <c r="D2855" s="42">
        <v>12.635</v>
      </c>
      <c r="E2855" s="42">
        <v>12.59</v>
      </c>
      <c r="F2855" s="42">
        <v>12.545</v>
      </c>
      <c r="G2855" s="42">
        <v>12.5</v>
      </c>
      <c r="H2855" s="42">
        <v>12.411</v>
      </c>
      <c r="I2855" s="42">
        <v>12.321</v>
      </c>
      <c r="J2855" s="21">
        <v>1450</v>
      </c>
      <c r="K2855" s="1">
        <v>1700</v>
      </c>
      <c r="L2855" s="1">
        <v>130.54400000000001</v>
      </c>
      <c r="M2855" s="1">
        <v>109.992</v>
      </c>
      <c r="N2855" s="1">
        <v>83.814999999999998</v>
      </c>
      <c r="O2855" s="1">
        <v>51.668999999999997</v>
      </c>
      <c r="P2855" s="365">
        <v>0</v>
      </c>
      <c r="Q2855" s="1">
        <v>-48.421999999999997</v>
      </c>
      <c r="R2855" s="1">
        <v>-95.102999999999994</v>
      </c>
      <c r="S2855" s="1">
        <v>-140.96899999999999</v>
      </c>
      <c r="T2855" s="1">
        <v>-185.56399999999999</v>
      </c>
      <c r="U2855" s="24"/>
      <c r="W2855" s="30"/>
      <c r="X2855" s="42"/>
      <c r="AA2855" s="30"/>
      <c r="AB2855" s="42"/>
    </row>
    <row r="2856" spans="1:28">
      <c r="A2856" s="1">
        <v>900</v>
      </c>
      <c r="B2856" s="42">
        <v>13.629</v>
      </c>
      <c r="C2856" s="42">
        <v>13.539</v>
      </c>
      <c r="D2856" s="42">
        <v>13.494</v>
      </c>
      <c r="E2856" s="42">
        <v>13.449</v>
      </c>
      <c r="F2856" s="42">
        <v>13.404</v>
      </c>
      <c r="G2856" s="42">
        <v>13.359</v>
      </c>
      <c r="H2856" s="42">
        <v>13.269</v>
      </c>
      <c r="I2856" s="42">
        <v>13.179</v>
      </c>
      <c r="J2856" s="21">
        <v>1400</v>
      </c>
      <c r="K2856" s="1">
        <v>1800</v>
      </c>
      <c r="L2856" s="1">
        <v>104.89400000000001</v>
      </c>
      <c r="M2856" s="1">
        <v>95.509</v>
      </c>
      <c r="N2856" s="1">
        <v>78.492000000000004</v>
      </c>
      <c r="O2856" s="1">
        <v>41.345999999999997</v>
      </c>
      <c r="P2856" s="365">
        <v>0</v>
      </c>
      <c r="Q2856" s="1">
        <v>-45.250999999999998</v>
      </c>
      <c r="R2856" s="1">
        <v>-99.513000000000005</v>
      </c>
      <c r="S2856" s="1">
        <v>-146.57400000000001</v>
      </c>
      <c r="T2856" s="1">
        <v>-192.089</v>
      </c>
      <c r="U2856" s="24"/>
      <c r="W2856" s="30"/>
      <c r="AA2856" s="30"/>
    </row>
    <row r="2857" spans="1:28">
      <c r="A2857" s="1">
        <v>950</v>
      </c>
      <c r="B2857" s="42">
        <v>14.497</v>
      </c>
      <c r="C2857" s="42">
        <v>14.406000000000001</v>
      </c>
      <c r="D2857" s="42">
        <v>14.361000000000001</v>
      </c>
      <c r="E2857" s="42">
        <v>14.315</v>
      </c>
      <c r="F2857" s="42">
        <v>14.27</v>
      </c>
      <c r="G2857" s="42">
        <v>14.225</v>
      </c>
      <c r="H2857" s="42">
        <v>14.134</v>
      </c>
      <c r="I2857" s="42">
        <v>14.044</v>
      </c>
      <c r="J2857" s="21">
        <v>1350</v>
      </c>
      <c r="K2857" s="1">
        <v>1900</v>
      </c>
      <c r="L2857" s="1">
        <v>80.995999999999995</v>
      </c>
      <c r="M2857" s="1">
        <v>80.269000000000005</v>
      </c>
      <c r="N2857" s="1">
        <v>71.787000000000006</v>
      </c>
      <c r="O2857" s="1">
        <v>53.68</v>
      </c>
      <c r="P2857" s="365">
        <v>0</v>
      </c>
      <c r="Q2857" s="1">
        <v>-45.246000000000002</v>
      </c>
      <c r="R2857" s="1">
        <v>-101.474</v>
      </c>
      <c r="S2857" s="1">
        <v>-150.874</v>
      </c>
      <c r="T2857" s="1">
        <v>-203.327</v>
      </c>
      <c r="U2857" s="25"/>
      <c r="W2857" s="43"/>
      <c r="X2857" s="42"/>
      <c r="AA2857" s="30"/>
      <c r="AB2857" s="42"/>
    </row>
    <row r="2858" spans="1:28">
      <c r="A2858" s="1">
        <v>1000</v>
      </c>
      <c r="B2858" s="42">
        <v>15.371</v>
      </c>
      <c r="C2858" s="42">
        <v>15.28</v>
      </c>
      <c r="D2858" s="42">
        <v>15.234999999999999</v>
      </c>
      <c r="E2858" s="42">
        <v>15.189</v>
      </c>
      <c r="F2858" s="42">
        <v>15.144</v>
      </c>
      <c r="G2858" s="42">
        <v>15.098000000000001</v>
      </c>
      <c r="H2858" s="42">
        <v>15.007</v>
      </c>
      <c r="I2858" s="42">
        <v>14.916</v>
      </c>
      <c r="J2858" s="21">
        <v>1300</v>
      </c>
      <c r="K2858" s="1">
        <v>2000</v>
      </c>
      <c r="L2858" s="1">
        <v>51.609000000000002</v>
      </c>
      <c r="M2858" s="1">
        <v>49.935000000000002</v>
      </c>
      <c r="N2858" s="1">
        <v>40.81</v>
      </c>
      <c r="O2858" s="1">
        <v>11.997</v>
      </c>
      <c r="P2858" s="365">
        <v>0</v>
      </c>
      <c r="Q2858" s="1">
        <v>-37.884</v>
      </c>
      <c r="R2858" s="1">
        <v>-101.747</v>
      </c>
      <c r="S2858" s="1">
        <v>-157.614</v>
      </c>
      <c r="T2858" s="1">
        <v>-218.751</v>
      </c>
      <c r="U2858" s="27"/>
      <c r="W2858" s="43"/>
      <c r="X2858" s="42"/>
      <c r="AA2858" s="30"/>
      <c r="AB2858" s="42"/>
    </row>
    <row r="2859" spans="1:28">
      <c r="A2859" s="1">
        <v>1050</v>
      </c>
      <c r="B2859" s="42">
        <v>16.253</v>
      </c>
      <c r="C2859" s="42">
        <v>16.161000000000001</v>
      </c>
      <c r="D2859" s="42">
        <v>16.116</v>
      </c>
      <c r="E2859" s="42">
        <v>16.07</v>
      </c>
      <c r="F2859" s="42">
        <v>16.024000000000001</v>
      </c>
      <c r="G2859" s="42">
        <v>15.978</v>
      </c>
      <c r="H2859" s="42">
        <v>15.887</v>
      </c>
      <c r="I2859" s="42">
        <v>15.795999999999999</v>
      </c>
      <c r="J2859" s="21">
        <v>1250</v>
      </c>
      <c r="K2859" s="1">
        <v>2100</v>
      </c>
      <c r="L2859" s="1">
        <v>-14.927</v>
      </c>
      <c r="M2859" s="1">
        <v>-7.79</v>
      </c>
      <c r="N2859" s="1">
        <v>-0.89600000000000002</v>
      </c>
      <c r="O2859" s="1">
        <v>23.684999999999999</v>
      </c>
      <c r="P2859" s="365">
        <v>0</v>
      </c>
      <c r="Q2859" s="1">
        <v>-73.739999999999995</v>
      </c>
      <c r="R2859" s="1">
        <v>-111.20699999999999</v>
      </c>
      <c r="S2859" s="1">
        <v>-170.851</v>
      </c>
      <c r="T2859" s="1">
        <v>-231.16</v>
      </c>
      <c r="U2859" s="25"/>
    </row>
    <row r="2860" spans="1:28">
      <c r="A2860" s="1">
        <v>1100</v>
      </c>
      <c r="B2860" s="42">
        <v>17.140999999999998</v>
      </c>
      <c r="C2860" s="42">
        <v>17.05</v>
      </c>
      <c r="D2860" s="42">
        <v>17.004000000000001</v>
      </c>
      <c r="E2860" s="42">
        <v>16.957999999999998</v>
      </c>
      <c r="F2860" s="42">
        <v>16.911999999999999</v>
      </c>
      <c r="G2860" s="42">
        <v>16.866</v>
      </c>
      <c r="H2860" s="42">
        <v>16.774000000000001</v>
      </c>
      <c r="I2860" s="42">
        <v>16.681999999999999</v>
      </c>
      <c r="J2860" s="21">
        <v>1200</v>
      </c>
      <c r="K2860" s="1">
        <v>2200</v>
      </c>
      <c r="L2860" s="1">
        <v>-26.015999999999998</v>
      </c>
      <c r="M2860" s="1">
        <v>-9.1389999999999993</v>
      </c>
      <c r="N2860" s="1">
        <v>0</v>
      </c>
      <c r="O2860" s="1">
        <v>0</v>
      </c>
      <c r="P2860" s="365">
        <v>0</v>
      </c>
      <c r="Q2860" s="1">
        <v>-55.564999999999998</v>
      </c>
      <c r="R2860" s="1">
        <v>-145.523</v>
      </c>
      <c r="S2860" s="1">
        <v>-198.43899999999999</v>
      </c>
      <c r="T2860" s="1">
        <v>-254.619</v>
      </c>
      <c r="U2860" s="24"/>
    </row>
    <row r="2861" spans="1:28">
      <c r="A2861" s="1">
        <v>1150</v>
      </c>
      <c r="B2861" s="42">
        <v>18.036999999999999</v>
      </c>
      <c r="C2861" s="42">
        <v>17.945</v>
      </c>
      <c r="D2861" s="42">
        <v>17.899000000000001</v>
      </c>
      <c r="E2861" s="42">
        <v>17.852</v>
      </c>
      <c r="F2861" s="42">
        <v>17.806000000000001</v>
      </c>
      <c r="G2861" s="42">
        <v>17.760000000000002</v>
      </c>
      <c r="H2861" s="42">
        <v>17.667999999999999</v>
      </c>
      <c r="I2861" s="42">
        <v>17.576000000000001</v>
      </c>
      <c r="J2861" s="21">
        <v>1150</v>
      </c>
      <c r="K2861" s="1">
        <v>2300</v>
      </c>
      <c r="L2861" s="1">
        <v>0</v>
      </c>
      <c r="M2861" s="1">
        <v>0</v>
      </c>
      <c r="N2861" s="1">
        <v>0</v>
      </c>
      <c r="O2861" s="1">
        <v>0</v>
      </c>
      <c r="P2861" s="365">
        <v>0</v>
      </c>
      <c r="Q2861" s="1">
        <v>0</v>
      </c>
      <c r="R2861" s="1">
        <v>-165.02600000000001</v>
      </c>
      <c r="S2861" s="1">
        <v>-234.26</v>
      </c>
      <c r="T2861" s="1">
        <v>-289.93900000000002</v>
      </c>
      <c r="U2861" s="25"/>
      <c r="V2861" s="918"/>
      <c r="W2861" s="918"/>
      <c r="X2861" s="42"/>
      <c r="Z2861" s="918"/>
      <c r="AA2861" s="918"/>
      <c r="AB2861" s="42"/>
    </row>
    <row r="2862" spans="1:28">
      <c r="A2862" s="1">
        <v>1200</v>
      </c>
      <c r="B2862" s="42">
        <v>18.940000000000001</v>
      </c>
      <c r="C2862" s="42">
        <v>18.847000000000001</v>
      </c>
      <c r="D2862" s="42">
        <v>18.8</v>
      </c>
      <c r="E2862" s="42">
        <v>18.754000000000001</v>
      </c>
      <c r="F2862" s="42">
        <v>18.707999999999998</v>
      </c>
      <c r="G2862" s="42">
        <v>18.661000000000001</v>
      </c>
      <c r="H2862" s="42">
        <v>18.568999999999999</v>
      </c>
      <c r="I2862" s="42">
        <v>18.475999999999999</v>
      </c>
      <c r="J2862" s="21">
        <v>1100</v>
      </c>
      <c r="K2862" s="1">
        <v>5206</v>
      </c>
      <c r="L2862" s="1">
        <v>0</v>
      </c>
      <c r="M2862" s="1">
        <v>0</v>
      </c>
      <c r="N2862" s="1">
        <v>0</v>
      </c>
      <c r="O2862" s="1">
        <v>0</v>
      </c>
      <c r="P2862" s="365">
        <v>0</v>
      </c>
      <c r="Q2862" s="1">
        <v>0</v>
      </c>
      <c r="R2862" s="1">
        <v>0</v>
      </c>
      <c r="S2862" s="1">
        <v>0</v>
      </c>
      <c r="T2862" s="1">
        <v>0</v>
      </c>
      <c r="U2862" s="25"/>
    </row>
    <row r="2863" spans="1:28">
      <c r="A2863" s="1">
        <v>1250</v>
      </c>
      <c r="B2863" s="42">
        <v>19.849</v>
      </c>
      <c r="C2863" s="42">
        <v>19.756</v>
      </c>
      <c r="D2863" s="42">
        <v>19.709</v>
      </c>
      <c r="E2863" s="42">
        <v>19.663</v>
      </c>
      <c r="F2863" s="42">
        <v>19.616</v>
      </c>
      <c r="G2863" s="42">
        <v>19.57</v>
      </c>
      <c r="H2863" s="42">
        <v>19.475999999999999</v>
      </c>
      <c r="I2863" s="42">
        <v>19.382999999999999</v>
      </c>
      <c r="J2863" s="21">
        <v>1050</v>
      </c>
      <c r="K2863" s="1"/>
      <c r="L2863" s="1"/>
      <c r="M2863" s="1"/>
      <c r="N2863" s="1"/>
      <c r="O2863" s="1"/>
      <c r="P2863" s="365"/>
      <c r="Q2863" s="1"/>
      <c r="R2863" s="1"/>
      <c r="S2863" s="1"/>
      <c r="T2863" s="1"/>
      <c r="U2863" s="25"/>
    </row>
    <row r="2864" spans="1:28">
      <c r="A2864" s="1">
        <v>1300</v>
      </c>
      <c r="B2864" s="42">
        <v>20.765000000000001</v>
      </c>
      <c r="C2864" s="42">
        <v>20.672000000000001</v>
      </c>
      <c r="D2864" s="42">
        <v>20.625</v>
      </c>
      <c r="E2864" s="42">
        <v>20.577999999999999</v>
      </c>
      <c r="F2864" s="42">
        <v>20.530999999999999</v>
      </c>
      <c r="G2864" s="42">
        <v>20.484000000000002</v>
      </c>
      <c r="H2864" s="42">
        <v>20.390999999999998</v>
      </c>
      <c r="I2864" s="42">
        <v>20.297999999999998</v>
      </c>
      <c r="J2864" s="21">
        <v>1000</v>
      </c>
      <c r="K2864" s="1"/>
      <c r="L2864" s="1"/>
      <c r="M2864" s="1"/>
      <c r="N2864" s="1"/>
      <c r="O2864" s="1"/>
      <c r="P2864" s="365"/>
      <c r="Q2864" s="1"/>
      <c r="R2864" s="1"/>
      <c r="S2864" s="1"/>
      <c r="T2864" s="1"/>
      <c r="U2864" s="25"/>
    </row>
    <row r="2865" spans="1:21">
      <c r="A2865" s="1">
        <v>1350</v>
      </c>
      <c r="B2865" s="42">
        <v>21.687999999999999</v>
      </c>
      <c r="C2865" s="42">
        <v>21.594000000000001</v>
      </c>
      <c r="D2865" s="42">
        <v>21.547000000000001</v>
      </c>
      <c r="E2865" s="42">
        <v>21.5</v>
      </c>
      <c r="F2865" s="42">
        <v>21.452999999999999</v>
      </c>
      <c r="G2865" s="42">
        <v>21.405999999999999</v>
      </c>
      <c r="H2865" s="42">
        <v>21.312000000000001</v>
      </c>
      <c r="I2865" s="42">
        <v>21.218</v>
      </c>
      <c r="J2865" s="21">
        <v>950</v>
      </c>
      <c r="K2865" s="1"/>
      <c r="L2865" s="1"/>
      <c r="M2865" s="1"/>
      <c r="N2865" s="1"/>
      <c r="O2865" s="1"/>
      <c r="P2865" s="365"/>
      <c r="Q2865" s="1"/>
      <c r="R2865" s="1"/>
      <c r="S2865" s="1"/>
      <c r="T2865" s="1"/>
      <c r="U2865" s="24"/>
    </row>
    <row r="2866" spans="1:21">
      <c r="A2866" s="1">
        <v>1400</v>
      </c>
      <c r="B2866" s="42">
        <v>22.617999999999999</v>
      </c>
      <c r="C2866" s="42">
        <v>22.523</v>
      </c>
      <c r="D2866" s="42">
        <v>22.475999999999999</v>
      </c>
      <c r="E2866" s="42">
        <v>22.428999999999998</v>
      </c>
      <c r="F2866" s="42">
        <v>22.382000000000001</v>
      </c>
      <c r="G2866" s="42">
        <v>22.335000000000001</v>
      </c>
      <c r="H2866" s="42">
        <v>22.24</v>
      </c>
      <c r="I2866" s="42">
        <v>22.146000000000001</v>
      </c>
      <c r="J2866" s="21">
        <v>900</v>
      </c>
      <c r="K2866" s="1"/>
      <c r="L2866" s="1"/>
      <c r="M2866" s="1"/>
      <c r="N2866" s="1"/>
      <c r="O2866" s="1"/>
      <c r="P2866" s="365"/>
      <c r="Q2866" s="1"/>
      <c r="R2866" s="1"/>
      <c r="S2866" s="1"/>
      <c r="T2866" s="1"/>
      <c r="U2866" s="25"/>
    </row>
    <row r="2867" spans="1:21">
      <c r="A2867" s="1">
        <v>1450</v>
      </c>
      <c r="B2867" s="42">
        <v>23.553999999999998</v>
      </c>
      <c r="C2867" s="42">
        <v>23.459</v>
      </c>
      <c r="D2867" s="42">
        <v>23.411999999999999</v>
      </c>
      <c r="E2867" s="42">
        <v>23.364000000000001</v>
      </c>
      <c r="F2867" s="42">
        <v>23.317</v>
      </c>
      <c r="G2867" s="42">
        <v>23.268999999999998</v>
      </c>
      <c r="H2867" s="42">
        <v>23.175000000000001</v>
      </c>
      <c r="I2867" s="42">
        <v>23.08</v>
      </c>
      <c r="J2867" s="21">
        <v>850</v>
      </c>
      <c r="K2867" s="1"/>
      <c r="L2867" s="1"/>
      <c r="M2867" s="1"/>
      <c r="N2867" s="1"/>
      <c r="O2867" s="1"/>
      <c r="P2867" s="365"/>
      <c r="Q2867" s="1"/>
      <c r="R2867" s="1"/>
      <c r="S2867" s="1"/>
      <c r="T2867" s="1"/>
      <c r="U2867" s="24"/>
    </row>
    <row r="2868" spans="1:21">
      <c r="A2868" s="1">
        <v>1500</v>
      </c>
      <c r="B2868" s="42">
        <v>24.495999999999999</v>
      </c>
      <c r="C2868" s="42">
        <v>24.401</v>
      </c>
      <c r="D2868" s="42">
        <v>24.353999999999999</v>
      </c>
      <c r="E2868" s="42">
        <v>24.306000000000001</v>
      </c>
      <c r="F2868" s="42">
        <v>24.257999999999999</v>
      </c>
      <c r="G2868" s="42">
        <v>24.210999999999999</v>
      </c>
      <c r="H2868" s="42">
        <v>24.116</v>
      </c>
      <c r="I2868" s="42">
        <v>24.021000000000001</v>
      </c>
      <c r="J2868" s="21">
        <v>800</v>
      </c>
      <c r="K2868" s="1"/>
      <c r="L2868" s="1"/>
      <c r="M2868" s="1"/>
      <c r="N2868" s="1"/>
      <c r="O2868" s="1"/>
      <c r="P2868" s="365"/>
      <c r="Q2868" s="1"/>
      <c r="R2868" s="1"/>
      <c r="S2868" s="1"/>
      <c r="T2868" s="1"/>
      <c r="U2868" s="26"/>
    </row>
    <row r="2869" spans="1:21">
      <c r="A2869" s="1">
        <v>1550</v>
      </c>
      <c r="B2869" s="42">
        <v>25.445</v>
      </c>
      <c r="C2869" s="42">
        <v>25.35</v>
      </c>
      <c r="D2869" s="42">
        <v>25.302</v>
      </c>
      <c r="E2869" s="42">
        <v>25.254000000000001</v>
      </c>
      <c r="F2869" s="42">
        <v>25.206</v>
      </c>
      <c r="G2869" s="42">
        <v>25.158999999999999</v>
      </c>
      <c r="H2869" s="42">
        <v>25.062999999999999</v>
      </c>
      <c r="I2869" s="42">
        <v>24.968</v>
      </c>
      <c r="J2869" s="21">
        <v>750</v>
      </c>
      <c r="K2869" s="1"/>
      <c r="L2869" s="1"/>
      <c r="M2869" s="1"/>
      <c r="N2869" s="1"/>
      <c r="O2869" s="1"/>
      <c r="P2869" s="365"/>
      <c r="Q2869" s="1"/>
      <c r="R2869" s="1"/>
      <c r="S2869" s="1"/>
      <c r="T2869" s="1"/>
      <c r="U2869" s="24"/>
    </row>
    <row r="2870" spans="1:21">
      <c r="A2870" s="1">
        <v>1600</v>
      </c>
      <c r="B2870" s="42">
        <v>26.401</v>
      </c>
      <c r="C2870" s="42">
        <v>26.305</v>
      </c>
      <c r="D2870" s="42">
        <v>26.257000000000001</v>
      </c>
      <c r="E2870" s="42">
        <v>26.209</v>
      </c>
      <c r="F2870" s="42">
        <v>26.161000000000001</v>
      </c>
      <c r="G2870" s="42">
        <v>26.113</v>
      </c>
      <c r="H2870" s="42">
        <v>26.016999999999999</v>
      </c>
      <c r="I2870" s="42">
        <v>25.920999999999999</v>
      </c>
      <c r="J2870" s="21">
        <v>700</v>
      </c>
      <c r="K2870" s="1"/>
      <c r="L2870" s="1"/>
      <c r="M2870" s="1"/>
      <c r="N2870" s="1"/>
      <c r="O2870" s="1"/>
      <c r="P2870" s="365"/>
      <c r="Q2870" s="1"/>
      <c r="R2870" s="1"/>
      <c r="S2870" s="1"/>
      <c r="T2870" s="1"/>
      <c r="U2870" s="24"/>
    </row>
    <row r="2871" spans="1:21">
      <c r="A2871" s="1">
        <v>1650</v>
      </c>
      <c r="B2871" s="42">
        <v>27.363</v>
      </c>
      <c r="C2871" s="42">
        <v>27.265999999999998</v>
      </c>
      <c r="D2871" s="42">
        <v>27.218</v>
      </c>
      <c r="E2871" s="42">
        <v>27.17</v>
      </c>
      <c r="F2871" s="42">
        <v>27.122</v>
      </c>
      <c r="G2871" s="42">
        <v>27.074000000000002</v>
      </c>
      <c r="H2871" s="42">
        <v>26.977</v>
      </c>
      <c r="I2871" s="42">
        <v>26.881</v>
      </c>
      <c r="J2871" s="21">
        <v>650</v>
      </c>
      <c r="K2871" s="1"/>
      <c r="L2871" s="1"/>
      <c r="M2871" s="1"/>
      <c r="N2871" s="1"/>
      <c r="O2871" s="1"/>
      <c r="P2871" s="365"/>
      <c r="Q2871" s="1"/>
      <c r="R2871" s="1"/>
      <c r="S2871" s="1"/>
      <c r="T2871" s="1"/>
      <c r="U2871" s="25"/>
    </row>
    <row r="2872" spans="1:21">
      <c r="A2872" s="1">
        <v>1700</v>
      </c>
      <c r="B2872" s="42">
        <v>28.331</v>
      </c>
      <c r="C2872" s="42">
        <v>28.234000000000002</v>
      </c>
      <c r="D2872" s="42">
        <v>28.186</v>
      </c>
      <c r="E2872" s="42">
        <v>28.137</v>
      </c>
      <c r="F2872" s="42">
        <v>28.088999999999999</v>
      </c>
      <c r="G2872" s="42">
        <v>28.04</v>
      </c>
      <c r="H2872" s="42">
        <v>27.943999999999999</v>
      </c>
      <c r="I2872" s="42">
        <v>27.847000000000001</v>
      </c>
      <c r="J2872" s="21">
        <v>600</v>
      </c>
      <c r="K2872" s="1"/>
      <c r="L2872" s="1"/>
      <c r="M2872" s="1"/>
      <c r="N2872" s="1"/>
      <c r="O2872" s="1"/>
      <c r="P2872" s="365"/>
      <c r="Q2872" s="1"/>
      <c r="R2872" s="1"/>
      <c r="S2872" s="1"/>
      <c r="T2872" s="1"/>
      <c r="U2872" s="28"/>
    </row>
    <row r="2873" spans="1:21">
      <c r="A2873" s="1">
        <v>1750</v>
      </c>
      <c r="B2873" s="42">
        <v>29.305</v>
      </c>
      <c r="C2873" s="42">
        <v>29.207999999999998</v>
      </c>
      <c r="D2873" s="42">
        <v>29.158999999999999</v>
      </c>
      <c r="E2873" s="42">
        <v>29.111000000000001</v>
      </c>
      <c r="F2873" s="42">
        <v>29.062000000000001</v>
      </c>
      <c r="G2873" s="42">
        <v>29.013999999999999</v>
      </c>
      <c r="H2873" s="42">
        <v>28.917000000000002</v>
      </c>
      <c r="I2873" s="42">
        <v>28.82</v>
      </c>
      <c r="J2873" s="21">
        <v>550</v>
      </c>
      <c r="K2873" s="1"/>
      <c r="L2873" s="1"/>
      <c r="M2873" s="1"/>
      <c r="N2873" s="1"/>
      <c r="O2873" s="1"/>
      <c r="P2873" s="365"/>
      <c r="Q2873" s="1"/>
      <c r="R2873" s="1"/>
      <c r="S2873" s="1"/>
      <c r="T2873" s="1"/>
    </row>
    <row r="2874" spans="1:21">
      <c r="A2874" s="1">
        <v>1800</v>
      </c>
      <c r="B2874" s="42">
        <v>29.989000000000001</v>
      </c>
      <c r="C2874" s="42">
        <v>29.957000000000001</v>
      </c>
      <c r="D2874" s="42">
        <v>29.940999999999999</v>
      </c>
      <c r="E2874" s="42">
        <v>29.925000000000001</v>
      </c>
      <c r="F2874" s="42">
        <v>29.908000000000001</v>
      </c>
      <c r="G2874" s="42">
        <v>29.89</v>
      </c>
      <c r="H2874" s="42">
        <v>29.85</v>
      </c>
      <c r="I2874" s="42">
        <v>29.782</v>
      </c>
      <c r="J2874" s="21">
        <v>500</v>
      </c>
      <c r="K2874" s="1"/>
      <c r="L2874" s="1"/>
      <c r="M2874" s="1"/>
      <c r="N2874" s="1"/>
      <c r="O2874" s="1"/>
      <c r="P2874" s="365"/>
      <c r="Q2874" s="1"/>
      <c r="R2874" s="1"/>
      <c r="S2874" s="1"/>
      <c r="T2874" s="1"/>
    </row>
    <row r="2875" spans="1:21">
      <c r="A2875" s="1">
        <v>1850</v>
      </c>
      <c r="B2875" s="42">
        <v>30.56</v>
      </c>
      <c r="C2875" s="42">
        <v>30.536999999999999</v>
      </c>
      <c r="D2875" s="42">
        <v>30.526</v>
      </c>
      <c r="E2875" s="42">
        <v>30.513999999999999</v>
      </c>
      <c r="F2875" s="42">
        <v>30.501999999999999</v>
      </c>
      <c r="G2875" s="42">
        <v>30.489000000000001</v>
      </c>
      <c r="H2875" s="42">
        <v>30.463999999999999</v>
      </c>
      <c r="I2875" s="42">
        <v>30.437999999999999</v>
      </c>
      <c r="J2875" s="21">
        <v>450</v>
      </c>
      <c r="K2875" s="1"/>
      <c r="L2875" s="1"/>
      <c r="M2875" s="1"/>
      <c r="N2875" s="1"/>
      <c r="O2875" s="1"/>
      <c r="P2875" s="365"/>
      <c r="Q2875" s="1"/>
      <c r="R2875" s="1"/>
      <c r="S2875" s="1"/>
      <c r="T2875" s="1"/>
    </row>
    <row r="2876" spans="1:21">
      <c r="A2876" s="1">
        <v>1900</v>
      </c>
      <c r="B2876" s="42">
        <v>31.045999999999999</v>
      </c>
      <c r="C2876" s="42">
        <v>31.030999999999999</v>
      </c>
      <c r="D2876" s="42">
        <v>31.023</v>
      </c>
      <c r="E2876" s="42">
        <v>31.015000000000001</v>
      </c>
      <c r="F2876" s="42">
        <v>31.007000000000001</v>
      </c>
      <c r="G2876" s="42">
        <v>30.998999999999999</v>
      </c>
      <c r="H2876" s="42">
        <v>30.981999999999999</v>
      </c>
      <c r="I2876" s="42">
        <v>30.965</v>
      </c>
      <c r="J2876" s="21">
        <v>400</v>
      </c>
      <c r="K2876" s="1"/>
      <c r="L2876" s="1"/>
      <c r="M2876" s="1"/>
      <c r="N2876" s="1"/>
      <c r="O2876" s="1"/>
      <c r="P2876" s="365"/>
      <c r="Q2876" s="1"/>
      <c r="R2876" s="1"/>
      <c r="S2876" s="1"/>
      <c r="T2876" s="1"/>
    </row>
    <row r="2877" spans="1:21">
      <c r="A2877" s="1">
        <v>1950</v>
      </c>
      <c r="B2877" s="42">
        <v>31.446999999999999</v>
      </c>
      <c r="C2877" s="42">
        <v>31.437999999999999</v>
      </c>
      <c r="D2877" s="42">
        <v>31.433</v>
      </c>
      <c r="E2877" s="42">
        <v>31.428999999999998</v>
      </c>
      <c r="F2877" s="42">
        <v>31.423999999999999</v>
      </c>
      <c r="G2877" s="42">
        <v>31.419</v>
      </c>
      <c r="H2877" s="42">
        <v>31.408000000000001</v>
      </c>
      <c r="I2877" s="42">
        <v>31.398</v>
      </c>
      <c r="J2877" s="21">
        <v>350</v>
      </c>
      <c r="K2877" s="1"/>
      <c r="L2877" s="1"/>
      <c r="M2877" s="1"/>
      <c r="N2877" s="1"/>
      <c r="O2877" s="1"/>
      <c r="P2877" s="365"/>
      <c r="Q2877" s="1"/>
      <c r="R2877" s="1"/>
      <c r="S2877" s="1"/>
      <c r="T2877" s="1"/>
    </row>
    <row r="2878" spans="1:21">
      <c r="A2878" s="1">
        <v>2000</v>
      </c>
      <c r="B2878" s="42">
        <v>31.766999999999999</v>
      </c>
      <c r="C2878" s="42">
        <v>31.762</v>
      </c>
      <c r="D2878" s="42">
        <v>31.76</v>
      </c>
      <c r="E2878" s="42">
        <v>31.757000000000001</v>
      </c>
      <c r="F2878" s="42">
        <v>31.754000000000001</v>
      </c>
      <c r="G2878" s="42">
        <v>31.751999999999999</v>
      </c>
      <c r="H2878" s="42">
        <v>31.745999999999999</v>
      </c>
      <c r="I2878" s="42">
        <v>31.741</v>
      </c>
      <c r="J2878" s="21">
        <v>300</v>
      </c>
      <c r="K2878" s="1"/>
      <c r="L2878" s="1"/>
      <c r="M2878" s="1"/>
      <c r="N2878" s="1"/>
      <c r="O2878" s="1"/>
      <c r="P2878" s="365"/>
      <c r="Q2878" s="1"/>
      <c r="R2878" s="1"/>
      <c r="S2878" s="1"/>
      <c r="T2878" s="1"/>
    </row>
    <row r="2879" spans="1:21">
      <c r="A2879" s="1">
        <v>2050</v>
      </c>
      <c r="B2879" s="42">
        <v>32.005000000000003</v>
      </c>
      <c r="C2879" s="42">
        <v>32.003</v>
      </c>
      <c r="D2879" s="42">
        <v>32.002000000000002</v>
      </c>
      <c r="E2879" s="42">
        <v>32.002000000000002</v>
      </c>
      <c r="F2879" s="42">
        <v>32.000999999999998</v>
      </c>
      <c r="G2879" s="42">
        <v>32</v>
      </c>
      <c r="H2879" s="42">
        <v>31.998000000000001</v>
      </c>
      <c r="I2879" s="42">
        <v>31.995999999999999</v>
      </c>
      <c r="J2879" s="21">
        <v>250</v>
      </c>
      <c r="K2879" s="1"/>
      <c r="L2879" s="1"/>
      <c r="M2879" s="1"/>
      <c r="N2879" s="1"/>
      <c r="O2879" s="1"/>
      <c r="P2879" s="365"/>
      <c r="Q2879" s="1"/>
      <c r="R2879" s="1"/>
      <c r="S2879" s="1"/>
      <c r="T2879" s="1"/>
    </row>
    <row r="2880" spans="1:21">
      <c r="A2880" s="1">
        <v>2100</v>
      </c>
      <c r="B2880" s="42">
        <v>32.155000000000001</v>
      </c>
      <c r="C2880" s="42">
        <v>32.155000000000001</v>
      </c>
      <c r="D2880" s="42">
        <v>32.155000000000001</v>
      </c>
      <c r="E2880" s="42">
        <v>32.155000000000001</v>
      </c>
      <c r="F2880" s="42">
        <v>32.155000000000001</v>
      </c>
      <c r="G2880" s="42">
        <v>32.155000000000001</v>
      </c>
      <c r="H2880" s="42">
        <v>32.155000000000001</v>
      </c>
      <c r="I2880" s="42">
        <v>32.155000000000001</v>
      </c>
      <c r="J2880" s="21">
        <v>200</v>
      </c>
      <c r="K2880" s="1"/>
      <c r="L2880" s="1"/>
      <c r="M2880" s="1"/>
      <c r="N2880" s="1"/>
      <c r="O2880" s="1"/>
      <c r="P2880" s="365"/>
      <c r="Q2880" s="1"/>
      <c r="R2880" s="1"/>
      <c r="S2880" s="1"/>
      <c r="T2880" s="1"/>
    </row>
    <row r="2881" spans="1:20">
      <c r="A2881" s="1">
        <v>2150</v>
      </c>
      <c r="B2881" s="42">
        <v>32.216999999999999</v>
      </c>
      <c r="C2881" s="42">
        <v>32.216999999999999</v>
      </c>
      <c r="D2881" s="42">
        <v>32.216999999999999</v>
      </c>
      <c r="E2881" s="42">
        <v>32.216999999999999</v>
      </c>
      <c r="F2881" s="42">
        <v>32.216999999999999</v>
      </c>
      <c r="G2881" s="42">
        <v>32.218000000000004</v>
      </c>
      <c r="H2881" s="42">
        <v>32.218000000000004</v>
      </c>
      <c r="I2881" s="42">
        <v>32.218000000000004</v>
      </c>
      <c r="J2881" s="21">
        <v>150</v>
      </c>
      <c r="K2881" s="1"/>
      <c r="L2881" s="1"/>
      <c r="M2881" s="1"/>
      <c r="N2881" s="1"/>
      <c r="O2881" s="1"/>
      <c r="P2881" s="365"/>
      <c r="Q2881" s="1"/>
      <c r="R2881" s="1"/>
      <c r="S2881" s="1"/>
      <c r="T2881" s="1"/>
    </row>
    <row r="2882" spans="1:20">
      <c r="A2882" s="1">
        <v>2200</v>
      </c>
      <c r="B2882" s="42">
        <v>32.219000000000001</v>
      </c>
      <c r="C2882" s="42">
        <v>32.219000000000001</v>
      </c>
      <c r="D2882" s="42">
        <v>32.219000000000001</v>
      </c>
      <c r="E2882" s="42">
        <v>32.219000000000001</v>
      </c>
      <c r="F2882" s="42">
        <v>32.219000000000001</v>
      </c>
      <c r="G2882" s="42">
        <v>32.219000000000001</v>
      </c>
      <c r="H2882" s="42">
        <v>32.219000000000001</v>
      </c>
      <c r="I2882" s="42">
        <v>32.219000000000001</v>
      </c>
      <c r="J2882" s="21">
        <v>100</v>
      </c>
      <c r="K2882" s="1"/>
      <c r="L2882" s="1"/>
      <c r="M2882" s="1"/>
      <c r="N2882" s="1"/>
      <c r="O2882" s="1"/>
      <c r="P2882" s="365"/>
      <c r="Q2882" s="1"/>
      <c r="R2882" s="1"/>
      <c r="S2882" s="1"/>
      <c r="T2882" s="1"/>
    </row>
    <row r="2883" spans="1:20">
      <c r="A2883" s="1">
        <v>2250</v>
      </c>
      <c r="B2883" s="42">
        <v>32.219000000000001</v>
      </c>
      <c r="C2883" s="42">
        <v>32.219000000000001</v>
      </c>
      <c r="D2883" s="42">
        <v>32.219000000000001</v>
      </c>
      <c r="E2883" s="42">
        <v>32.219000000000001</v>
      </c>
      <c r="F2883" s="42">
        <v>32.219000000000001</v>
      </c>
      <c r="G2883" s="42">
        <v>32.219000000000001</v>
      </c>
      <c r="H2883" s="42">
        <v>32.219000000000001</v>
      </c>
      <c r="I2883" s="42">
        <v>32.219000000000001</v>
      </c>
      <c r="J2883" s="21">
        <v>50</v>
      </c>
      <c r="K2883" s="1"/>
      <c r="L2883" s="1"/>
      <c r="M2883" s="1"/>
      <c r="N2883" s="1"/>
      <c r="O2883" s="1"/>
      <c r="P2883" s="365"/>
      <c r="Q2883" s="1"/>
      <c r="R2883" s="1"/>
      <c r="S2883" s="1"/>
      <c r="T2883" s="1"/>
    </row>
    <row r="2884" spans="1:20">
      <c r="A2884" s="1">
        <v>5206</v>
      </c>
      <c r="B2884" s="42">
        <v>32.219000000000001</v>
      </c>
      <c r="C2884" s="42">
        <v>32.219000000000001</v>
      </c>
      <c r="D2884" s="42">
        <v>32.219000000000001</v>
      </c>
      <c r="E2884" s="42">
        <v>32.219000000000001</v>
      </c>
      <c r="F2884" s="42">
        <v>32.219000000000001</v>
      </c>
      <c r="G2884" s="42">
        <v>32.219000000000001</v>
      </c>
      <c r="H2884" s="42">
        <v>32.219000000000001</v>
      </c>
      <c r="I2884" s="42">
        <v>32.219000000000001</v>
      </c>
      <c r="J2884" s="21">
        <v>0</v>
      </c>
      <c r="K2884" s="1"/>
      <c r="L2884" s="1"/>
      <c r="M2884" s="1"/>
      <c r="N2884" s="1"/>
      <c r="O2884" s="1"/>
      <c r="P2884" s="365"/>
      <c r="Q2884" s="1"/>
      <c r="R2884" s="1"/>
      <c r="S2884" s="1"/>
      <c r="T2884" s="1"/>
    </row>
    <row r="2885" spans="1:20" hidden="1">
      <c r="B2885" s="19"/>
      <c r="C2885" s="19"/>
      <c r="D2885" s="19"/>
      <c r="E2885" s="19"/>
      <c r="F2885" s="19"/>
      <c r="G2885" s="19"/>
      <c r="H2885" s="19"/>
      <c r="I2885" s="19"/>
      <c r="J2885" s="19"/>
      <c r="K2885" s="421"/>
      <c r="L2885" s="23"/>
      <c r="M2885" s="19"/>
      <c r="N2885" s="19"/>
      <c r="O2885" s="19"/>
      <c r="P2885" s="19"/>
      <c r="Q2885" s="19"/>
    </row>
    <row r="2886" spans="1:20" hidden="1">
      <c r="B2886" s="19"/>
      <c r="C2886" s="19"/>
      <c r="D2886" s="19"/>
      <c r="E2886" s="19"/>
      <c r="F2886" s="19"/>
      <c r="G2886" s="19"/>
      <c r="H2886" s="19"/>
      <c r="I2886" s="19"/>
      <c r="J2886" s="19"/>
      <c r="K2886" s="421"/>
      <c r="L2886" s="23"/>
      <c r="M2886" s="19"/>
      <c r="N2886" s="19"/>
      <c r="O2886" s="19"/>
      <c r="P2886" s="19"/>
      <c r="Q2886" s="19"/>
    </row>
    <row r="2887" spans="1:20" hidden="1">
      <c r="B2887" s="19"/>
      <c r="C2887" s="19"/>
      <c r="D2887" s="19"/>
      <c r="E2887" s="19"/>
      <c r="F2887" s="19"/>
      <c r="G2887" s="19"/>
      <c r="H2887" s="19"/>
      <c r="I2887" s="19"/>
      <c r="J2887" s="19"/>
      <c r="K2887" s="421"/>
      <c r="L2887" s="23"/>
      <c r="M2887" s="19"/>
      <c r="N2887" s="19"/>
      <c r="O2887" s="19"/>
      <c r="P2887" s="19"/>
      <c r="Q2887" s="19"/>
    </row>
    <row r="2888" spans="1:20" hidden="1">
      <c r="B2888" s="19"/>
      <c r="C2888" s="19"/>
      <c r="D2888" s="19"/>
      <c r="E2888" s="19"/>
      <c r="F2888" s="19"/>
      <c r="G2888" s="19"/>
      <c r="H2888" s="19"/>
      <c r="I2888" s="19"/>
      <c r="J2888" s="19"/>
      <c r="K2888" s="421"/>
      <c r="L2888" s="23"/>
      <c r="M2888" s="19"/>
      <c r="N2888" s="19"/>
      <c r="O2888" s="19"/>
      <c r="P2888" s="19"/>
      <c r="Q2888" s="19"/>
    </row>
    <row r="2889" spans="1:20" hidden="1">
      <c r="B2889" s="19"/>
      <c r="C2889" s="19"/>
      <c r="D2889" s="19"/>
      <c r="E2889" s="19"/>
      <c r="F2889" s="19"/>
      <c r="G2889" s="19"/>
      <c r="H2889" s="19"/>
      <c r="I2889" s="19"/>
      <c r="J2889" s="19"/>
      <c r="K2889" s="421"/>
      <c r="L2889" s="23"/>
      <c r="M2889" s="19"/>
      <c r="N2889" s="19"/>
      <c r="O2889" s="19"/>
      <c r="P2889" s="19"/>
      <c r="Q2889" s="19"/>
    </row>
    <row r="2890" spans="1:20" hidden="1">
      <c r="B2890" s="19"/>
      <c r="C2890" s="19"/>
      <c r="D2890" s="19"/>
      <c r="E2890" s="19"/>
      <c r="F2890" s="19"/>
      <c r="G2890" s="19"/>
      <c r="H2890" s="19"/>
      <c r="I2890" s="19"/>
      <c r="J2890" s="19"/>
      <c r="K2890" s="421"/>
      <c r="L2890" s="23"/>
      <c r="M2890" s="19"/>
      <c r="N2890" s="19"/>
      <c r="O2890" s="19"/>
      <c r="P2890" s="19"/>
      <c r="Q2890" s="19"/>
    </row>
    <row r="2891" spans="1:20" hidden="1">
      <c r="B2891" s="19"/>
      <c r="C2891" s="19"/>
      <c r="D2891" s="19"/>
      <c r="E2891" s="19"/>
      <c r="F2891" s="19"/>
      <c r="G2891" s="19"/>
      <c r="H2891" s="19"/>
      <c r="I2891" s="19"/>
      <c r="J2891" s="19"/>
      <c r="K2891" s="421"/>
      <c r="L2891" s="23"/>
      <c r="M2891" s="19"/>
      <c r="N2891" s="19"/>
      <c r="O2891" s="19"/>
      <c r="P2891" s="19"/>
      <c r="Q2891" s="19"/>
    </row>
    <row r="2892" spans="1:20" hidden="1">
      <c r="B2892" s="19"/>
      <c r="C2892" s="19"/>
      <c r="D2892" s="19"/>
      <c r="E2892" s="19"/>
      <c r="F2892" s="19"/>
      <c r="G2892" s="19"/>
      <c r="H2892" s="19"/>
      <c r="I2892" s="19"/>
      <c r="J2892" s="19"/>
      <c r="K2892" s="421"/>
      <c r="L2892" s="23"/>
      <c r="M2892" s="19"/>
      <c r="N2892" s="19"/>
      <c r="O2892" s="19"/>
      <c r="P2892" s="19"/>
      <c r="Q2892" s="19"/>
    </row>
    <row r="2893" spans="1:20" hidden="1">
      <c r="B2893" s="19"/>
      <c r="C2893" s="19"/>
      <c r="D2893" s="19"/>
      <c r="E2893" s="19"/>
      <c r="F2893" s="19"/>
      <c r="G2893" s="19"/>
      <c r="H2893" s="19"/>
      <c r="I2893" s="19"/>
      <c r="J2893" s="19"/>
      <c r="K2893" s="421"/>
      <c r="L2893" s="23"/>
      <c r="M2893" s="19"/>
      <c r="N2893" s="19"/>
      <c r="O2893" s="19"/>
      <c r="P2893" s="19"/>
      <c r="Q2893" s="19"/>
    </row>
    <row r="2894" spans="1:20" hidden="1">
      <c r="B2894" s="19"/>
      <c r="C2894" s="19"/>
      <c r="D2894" s="19"/>
      <c r="E2894" s="19"/>
      <c r="F2894" s="19"/>
      <c r="G2894" s="19"/>
      <c r="H2894" s="19"/>
      <c r="I2894" s="19"/>
      <c r="J2894" s="19"/>
      <c r="K2894" s="421"/>
      <c r="L2894" s="23"/>
      <c r="M2894" s="19"/>
      <c r="N2894" s="19"/>
      <c r="O2894" s="19"/>
      <c r="P2894" s="19"/>
      <c r="Q2894" s="19"/>
    </row>
    <row r="2895" spans="1:20" hidden="1">
      <c r="B2895" s="19"/>
      <c r="C2895" s="19"/>
      <c r="D2895" s="19"/>
      <c r="E2895" s="19"/>
      <c r="F2895" s="19"/>
      <c r="G2895" s="19"/>
      <c r="H2895" s="19"/>
      <c r="I2895" s="19"/>
      <c r="J2895" s="19"/>
      <c r="K2895" s="421"/>
      <c r="L2895" s="23"/>
      <c r="M2895" s="19"/>
      <c r="N2895" s="19"/>
      <c r="O2895" s="19"/>
      <c r="P2895" s="19"/>
      <c r="Q2895" s="19"/>
    </row>
    <row r="2896" spans="1:20" hidden="1">
      <c r="B2896" s="19"/>
      <c r="C2896" s="19"/>
      <c r="D2896" s="19"/>
      <c r="E2896" s="19"/>
      <c r="F2896" s="19"/>
      <c r="G2896" s="19"/>
      <c r="H2896" s="19"/>
      <c r="I2896" s="19"/>
      <c r="J2896" s="19"/>
      <c r="K2896" s="421"/>
      <c r="L2896" s="23"/>
      <c r="M2896" s="19"/>
      <c r="N2896" s="19"/>
      <c r="O2896" s="19"/>
      <c r="P2896" s="19"/>
      <c r="Q2896" s="19"/>
    </row>
    <row r="2897" spans="2:17" hidden="1">
      <c r="B2897" s="19"/>
      <c r="C2897" s="19"/>
      <c r="D2897" s="19"/>
      <c r="E2897" s="19"/>
      <c r="F2897" s="19"/>
      <c r="G2897" s="19"/>
      <c r="H2897" s="19"/>
      <c r="I2897" s="19"/>
      <c r="J2897" s="19"/>
      <c r="K2897" s="421"/>
      <c r="L2897" s="23"/>
      <c r="M2897" s="19"/>
      <c r="N2897" s="19"/>
      <c r="O2897" s="19"/>
      <c r="P2897" s="19"/>
      <c r="Q2897" s="19"/>
    </row>
    <row r="2898" spans="2:17" hidden="1">
      <c r="B2898" s="19"/>
      <c r="C2898" s="19"/>
      <c r="D2898" s="19"/>
      <c r="E2898" s="19"/>
      <c r="F2898" s="19"/>
      <c r="G2898" s="19"/>
      <c r="H2898" s="19"/>
      <c r="I2898" s="19"/>
      <c r="J2898" s="19"/>
      <c r="K2898" s="421"/>
      <c r="L2898" s="23"/>
      <c r="M2898" s="19"/>
      <c r="N2898" s="19"/>
      <c r="O2898" s="19"/>
      <c r="P2898" s="19"/>
      <c r="Q2898" s="19"/>
    </row>
    <row r="2899" spans="2:17" hidden="1">
      <c r="B2899" s="19"/>
      <c r="C2899" s="19"/>
      <c r="D2899" s="19"/>
      <c r="E2899" s="19"/>
      <c r="F2899" s="19"/>
      <c r="G2899" s="19"/>
      <c r="H2899" s="19"/>
      <c r="I2899" s="19"/>
      <c r="J2899" s="19"/>
      <c r="K2899" s="421"/>
      <c r="L2899" s="23"/>
      <c r="M2899" s="19"/>
      <c r="N2899" s="19"/>
      <c r="O2899" s="19"/>
      <c r="P2899" s="19"/>
      <c r="Q2899" s="19"/>
    </row>
    <row r="2900" spans="2:17" hidden="1">
      <c r="B2900" s="19"/>
      <c r="C2900" s="19"/>
      <c r="D2900" s="19"/>
      <c r="E2900" s="19"/>
      <c r="F2900" s="19"/>
      <c r="G2900" s="19"/>
      <c r="H2900" s="19"/>
      <c r="I2900" s="19"/>
      <c r="J2900" s="19"/>
      <c r="K2900" s="421"/>
      <c r="L2900" s="23"/>
      <c r="M2900" s="19"/>
      <c r="N2900" s="19"/>
      <c r="O2900" s="19"/>
      <c r="P2900" s="19"/>
      <c r="Q2900" s="19"/>
    </row>
    <row r="2901" spans="2:17" hidden="1">
      <c r="B2901" s="19"/>
      <c r="C2901" s="19"/>
      <c r="D2901" s="19"/>
      <c r="E2901" s="19"/>
      <c r="F2901" s="19"/>
      <c r="G2901" s="19"/>
      <c r="H2901" s="19"/>
      <c r="I2901" s="19"/>
      <c r="J2901" s="19"/>
      <c r="K2901" s="421"/>
      <c r="L2901" s="23"/>
      <c r="M2901" s="19"/>
      <c r="N2901" s="19"/>
      <c r="O2901" s="19"/>
      <c r="P2901" s="19"/>
      <c r="Q2901" s="19"/>
    </row>
    <row r="2902" spans="2:17" hidden="1">
      <c r="B2902" s="19"/>
      <c r="C2902" s="19"/>
      <c r="D2902" s="19"/>
      <c r="E2902" s="19"/>
      <c r="F2902" s="19"/>
      <c r="G2902" s="19"/>
      <c r="H2902" s="19"/>
      <c r="I2902" s="19"/>
      <c r="J2902" s="19"/>
      <c r="K2902" s="421"/>
      <c r="L2902" s="23"/>
      <c r="M2902" s="19"/>
      <c r="N2902" s="19"/>
      <c r="O2902" s="19"/>
      <c r="P2902" s="19"/>
      <c r="Q2902" s="19"/>
    </row>
    <row r="2903" spans="2:17" hidden="1">
      <c r="B2903" s="19"/>
      <c r="C2903" s="19"/>
      <c r="D2903" s="19"/>
      <c r="E2903" s="19"/>
      <c r="F2903" s="19"/>
      <c r="G2903" s="19"/>
      <c r="H2903" s="19"/>
      <c r="I2903" s="19"/>
      <c r="J2903" s="19"/>
      <c r="K2903" s="421"/>
      <c r="L2903" s="23"/>
      <c r="M2903" s="19"/>
      <c r="N2903" s="19"/>
      <c r="O2903" s="19"/>
      <c r="P2903" s="19"/>
      <c r="Q2903" s="19"/>
    </row>
    <row r="2904" spans="2:17" hidden="1">
      <c r="B2904" s="19"/>
      <c r="C2904" s="19"/>
      <c r="D2904" s="19"/>
      <c r="E2904" s="19"/>
      <c r="F2904" s="19"/>
      <c r="G2904" s="19"/>
      <c r="H2904" s="19"/>
      <c r="I2904" s="19"/>
      <c r="J2904" s="19"/>
      <c r="K2904" s="421"/>
      <c r="L2904" s="23"/>
      <c r="M2904" s="19"/>
      <c r="N2904" s="19"/>
      <c r="O2904" s="19"/>
      <c r="P2904" s="19"/>
      <c r="Q2904" s="19"/>
    </row>
    <row r="2905" spans="2:17" hidden="1">
      <c r="B2905" s="19"/>
      <c r="C2905" s="19"/>
      <c r="D2905" s="19"/>
      <c r="E2905" s="19"/>
      <c r="F2905" s="19"/>
      <c r="G2905" s="19"/>
      <c r="H2905" s="19"/>
      <c r="I2905" s="19"/>
      <c r="J2905" s="19"/>
      <c r="K2905" s="421"/>
      <c r="L2905" s="23"/>
      <c r="M2905" s="19"/>
      <c r="N2905" s="19"/>
      <c r="O2905" s="19"/>
      <c r="P2905" s="19"/>
      <c r="Q2905" s="19"/>
    </row>
    <row r="2906" spans="2:17" hidden="1">
      <c r="B2906" s="19"/>
      <c r="C2906" s="19"/>
      <c r="D2906" s="19"/>
      <c r="E2906" s="19"/>
      <c r="F2906" s="19"/>
      <c r="G2906" s="19"/>
      <c r="H2906" s="19"/>
      <c r="I2906" s="19"/>
      <c r="J2906" s="19"/>
      <c r="K2906" s="421"/>
      <c r="L2906" s="23"/>
      <c r="M2906" s="19"/>
      <c r="N2906" s="19"/>
      <c r="O2906" s="19"/>
      <c r="P2906" s="19"/>
      <c r="Q2906" s="19"/>
    </row>
    <row r="2907" spans="2:17" hidden="1">
      <c r="B2907" s="19"/>
      <c r="C2907" s="19"/>
      <c r="D2907" s="19"/>
      <c r="E2907" s="19"/>
      <c r="F2907" s="19"/>
      <c r="G2907" s="19"/>
      <c r="H2907" s="19"/>
      <c r="I2907" s="19"/>
      <c r="J2907" s="19"/>
      <c r="K2907" s="421"/>
      <c r="L2907" s="23"/>
      <c r="M2907" s="19"/>
      <c r="N2907" s="19"/>
      <c r="O2907" s="19"/>
      <c r="P2907" s="19"/>
      <c r="Q2907" s="19"/>
    </row>
    <row r="2908" spans="2:17" hidden="1">
      <c r="B2908" s="19"/>
      <c r="C2908" s="19"/>
      <c r="D2908" s="19"/>
      <c r="E2908" s="19"/>
      <c r="F2908" s="19"/>
      <c r="G2908" s="19"/>
      <c r="H2908" s="19"/>
      <c r="I2908" s="19"/>
      <c r="J2908" s="19"/>
      <c r="K2908" s="421"/>
      <c r="L2908" s="23"/>
      <c r="M2908" s="19"/>
      <c r="N2908" s="19"/>
      <c r="O2908" s="19"/>
      <c r="P2908" s="19"/>
      <c r="Q2908" s="19"/>
    </row>
    <row r="2909" spans="2:17" hidden="1">
      <c r="B2909" s="19"/>
      <c r="C2909" s="19"/>
      <c r="D2909" s="19"/>
      <c r="E2909" s="19"/>
      <c r="F2909" s="19"/>
      <c r="G2909" s="19"/>
      <c r="H2909" s="19"/>
      <c r="I2909" s="19"/>
      <c r="J2909" s="19"/>
      <c r="K2909" s="421"/>
      <c r="L2909" s="23"/>
      <c r="M2909" s="19"/>
      <c r="N2909" s="19"/>
      <c r="O2909" s="19"/>
      <c r="P2909" s="19"/>
      <c r="Q2909" s="19"/>
    </row>
    <row r="2910" spans="2:17" hidden="1">
      <c r="B2910" s="19"/>
      <c r="C2910" s="19"/>
      <c r="D2910" s="19"/>
      <c r="E2910" s="19"/>
      <c r="F2910" s="19"/>
      <c r="G2910" s="19"/>
      <c r="H2910" s="19"/>
      <c r="I2910" s="19"/>
      <c r="J2910" s="19"/>
      <c r="K2910" s="421"/>
      <c r="L2910" s="23"/>
      <c r="M2910" s="19"/>
      <c r="N2910" s="19"/>
      <c r="O2910" s="19"/>
      <c r="P2910" s="19"/>
      <c r="Q2910" s="19"/>
    </row>
    <row r="2911" spans="2:17" hidden="1">
      <c r="B2911" s="19"/>
      <c r="C2911" s="19"/>
      <c r="D2911" s="19"/>
      <c r="E2911" s="19"/>
      <c r="F2911" s="19"/>
      <c r="G2911" s="19"/>
      <c r="H2911" s="19"/>
      <c r="I2911" s="19"/>
      <c r="J2911" s="19"/>
      <c r="K2911" s="421"/>
      <c r="L2911" s="23"/>
      <c r="M2911" s="19"/>
      <c r="N2911" s="19"/>
      <c r="O2911" s="19"/>
      <c r="P2911" s="19"/>
      <c r="Q2911" s="19"/>
    </row>
    <row r="2912" spans="2:17" hidden="1">
      <c r="B2912" s="19"/>
      <c r="C2912" s="19"/>
      <c r="D2912" s="19"/>
      <c r="E2912" s="19"/>
      <c r="F2912" s="19"/>
      <c r="G2912" s="19"/>
      <c r="H2912" s="19"/>
      <c r="I2912" s="19"/>
      <c r="J2912" s="19"/>
      <c r="K2912" s="421"/>
      <c r="L2912" s="23"/>
      <c r="M2912" s="19"/>
      <c r="N2912" s="19"/>
      <c r="O2912" s="19"/>
      <c r="P2912" s="19"/>
      <c r="Q2912" s="19"/>
    </row>
    <row r="2913" spans="2:17" hidden="1">
      <c r="B2913" s="19"/>
      <c r="C2913" s="19"/>
      <c r="D2913" s="19"/>
      <c r="E2913" s="19"/>
      <c r="F2913" s="19"/>
      <c r="G2913" s="19"/>
      <c r="H2913" s="19"/>
      <c r="I2913" s="19"/>
      <c r="J2913" s="19"/>
      <c r="K2913" s="421"/>
      <c r="L2913" s="23"/>
      <c r="M2913" s="19"/>
      <c r="N2913" s="19"/>
      <c r="O2913" s="19"/>
      <c r="P2913" s="19"/>
      <c r="Q2913" s="19"/>
    </row>
    <row r="2914" spans="2:17" hidden="1">
      <c r="B2914" s="19"/>
      <c r="C2914" s="19"/>
      <c r="D2914" s="19"/>
      <c r="E2914" s="19"/>
      <c r="F2914" s="19"/>
      <c r="G2914" s="19"/>
      <c r="H2914" s="19"/>
      <c r="I2914" s="19"/>
      <c r="J2914" s="19"/>
      <c r="K2914" s="421"/>
      <c r="L2914" s="23"/>
      <c r="M2914" s="19"/>
      <c r="N2914" s="19"/>
      <c r="O2914" s="19"/>
      <c r="P2914" s="19"/>
      <c r="Q2914" s="19"/>
    </row>
    <row r="2915" spans="2:17" hidden="1">
      <c r="B2915" s="19"/>
      <c r="C2915" s="19"/>
      <c r="D2915" s="19"/>
      <c r="E2915" s="19"/>
      <c r="F2915" s="19"/>
      <c r="G2915" s="19"/>
      <c r="H2915" s="19"/>
      <c r="I2915" s="19"/>
      <c r="J2915" s="19"/>
      <c r="K2915" s="421"/>
      <c r="L2915" s="23"/>
      <c r="M2915" s="19"/>
      <c r="N2915" s="19"/>
      <c r="O2915" s="19"/>
      <c r="P2915" s="19"/>
      <c r="Q2915" s="19"/>
    </row>
    <row r="2916" spans="2:17" hidden="1">
      <c r="B2916" s="19"/>
      <c r="C2916" s="19"/>
      <c r="D2916" s="19"/>
      <c r="E2916" s="19"/>
      <c r="F2916" s="19"/>
      <c r="G2916" s="19"/>
      <c r="H2916" s="19"/>
      <c r="I2916" s="19"/>
      <c r="J2916" s="19"/>
      <c r="K2916" s="421"/>
      <c r="L2916" s="23"/>
      <c r="M2916" s="19"/>
      <c r="N2916" s="19"/>
      <c r="O2916" s="19"/>
      <c r="P2916" s="19"/>
      <c r="Q2916" s="19"/>
    </row>
    <row r="2917" spans="2:17" hidden="1">
      <c r="B2917" s="19"/>
      <c r="C2917" s="19"/>
      <c r="D2917" s="19"/>
      <c r="E2917" s="19"/>
      <c r="F2917" s="19"/>
      <c r="G2917" s="19"/>
      <c r="H2917" s="19"/>
      <c r="I2917" s="19"/>
      <c r="J2917" s="19"/>
      <c r="K2917" s="421"/>
      <c r="L2917" s="23"/>
      <c r="M2917" s="19"/>
      <c r="N2917" s="19"/>
      <c r="O2917" s="19"/>
      <c r="P2917" s="19"/>
      <c r="Q2917" s="19"/>
    </row>
    <row r="2918" spans="2:17" hidden="1">
      <c r="B2918" s="19"/>
      <c r="C2918" s="19"/>
      <c r="D2918" s="19"/>
      <c r="E2918" s="19"/>
      <c r="F2918" s="19"/>
      <c r="G2918" s="19"/>
      <c r="H2918" s="19"/>
      <c r="I2918" s="19"/>
      <c r="J2918" s="19"/>
      <c r="K2918" s="421"/>
      <c r="L2918" s="23"/>
      <c r="M2918" s="19"/>
      <c r="N2918" s="19"/>
      <c r="O2918" s="19"/>
      <c r="P2918" s="19"/>
      <c r="Q2918" s="19"/>
    </row>
    <row r="2919" spans="2:17" hidden="1">
      <c r="B2919" s="19"/>
      <c r="C2919" s="19"/>
      <c r="D2919" s="19"/>
      <c r="E2919" s="19"/>
      <c r="F2919" s="19"/>
      <c r="G2919" s="19"/>
      <c r="H2919" s="19"/>
      <c r="I2919" s="19"/>
      <c r="J2919" s="19"/>
      <c r="K2919" s="421"/>
      <c r="L2919" s="23"/>
      <c r="M2919" s="19"/>
      <c r="N2919" s="19"/>
      <c r="O2919" s="19"/>
      <c r="P2919" s="19"/>
      <c r="Q2919" s="19"/>
    </row>
    <row r="2920" spans="2:17" hidden="1">
      <c r="B2920" s="19"/>
      <c r="C2920" s="19"/>
      <c r="D2920" s="19"/>
      <c r="E2920" s="19"/>
      <c r="F2920" s="19"/>
      <c r="G2920" s="19"/>
      <c r="H2920" s="19"/>
      <c r="I2920" s="19"/>
      <c r="J2920" s="19"/>
      <c r="K2920" s="421"/>
      <c r="L2920" s="23"/>
      <c r="M2920" s="19"/>
      <c r="N2920" s="19"/>
      <c r="O2920" s="19"/>
      <c r="P2920" s="19"/>
      <c r="Q2920" s="19"/>
    </row>
    <row r="2921" spans="2:17" hidden="1">
      <c r="B2921" s="19"/>
      <c r="C2921" s="19"/>
      <c r="D2921" s="19"/>
      <c r="E2921" s="19"/>
      <c r="F2921" s="19"/>
      <c r="G2921" s="19"/>
      <c r="H2921" s="19"/>
      <c r="I2921" s="19"/>
      <c r="J2921" s="19"/>
      <c r="K2921" s="421"/>
      <c r="L2921" s="23"/>
      <c r="M2921" s="19"/>
      <c r="N2921" s="19"/>
      <c r="O2921" s="19"/>
      <c r="P2921" s="19"/>
      <c r="Q2921" s="19"/>
    </row>
    <row r="2922" spans="2:17" hidden="1">
      <c r="B2922" s="19"/>
      <c r="C2922" s="19"/>
      <c r="D2922" s="19"/>
      <c r="E2922" s="19"/>
      <c r="F2922" s="19"/>
      <c r="G2922" s="19"/>
      <c r="H2922" s="19"/>
      <c r="I2922" s="19"/>
      <c r="J2922" s="19"/>
      <c r="K2922" s="421"/>
      <c r="L2922" s="23"/>
      <c r="M2922" s="19"/>
      <c r="N2922" s="19"/>
      <c r="O2922" s="19"/>
      <c r="P2922" s="19"/>
      <c r="Q2922" s="19"/>
    </row>
    <row r="2923" spans="2:17" hidden="1">
      <c r="B2923" s="19"/>
      <c r="C2923" s="19"/>
      <c r="D2923" s="19"/>
      <c r="E2923" s="19"/>
      <c r="F2923" s="19"/>
      <c r="G2923" s="19"/>
      <c r="H2923" s="19"/>
      <c r="I2923" s="19"/>
      <c r="J2923" s="19"/>
      <c r="K2923" s="421"/>
      <c r="L2923" s="23"/>
      <c r="M2923" s="19"/>
      <c r="N2923" s="19"/>
      <c r="O2923" s="19"/>
      <c r="P2923" s="19"/>
      <c r="Q2923" s="19"/>
    </row>
    <row r="2924" spans="2:17" hidden="1">
      <c r="B2924" s="19"/>
      <c r="C2924" s="19"/>
      <c r="D2924" s="19"/>
      <c r="E2924" s="19"/>
      <c r="F2924" s="19"/>
      <c r="G2924" s="19"/>
      <c r="H2924" s="19"/>
      <c r="I2924" s="19"/>
      <c r="J2924" s="19"/>
      <c r="K2924" s="421"/>
      <c r="L2924" s="23"/>
      <c r="M2924" s="19"/>
      <c r="N2924" s="19"/>
      <c r="O2924" s="19"/>
      <c r="P2924" s="19"/>
      <c r="Q2924" s="19"/>
    </row>
    <row r="2925" spans="2:17" hidden="1">
      <c r="B2925" s="19"/>
      <c r="C2925" s="19"/>
      <c r="D2925" s="19"/>
      <c r="E2925" s="19"/>
      <c r="F2925" s="19"/>
      <c r="G2925" s="19"/>
      <c r="H2925" s="19"/>
      <c r="I2925" s="19"/>
      <c r="J2925" s="19"/>
      <c r="K2925" s="421"/>
      <c r="L2925" s="23"/>
      <c r="M2925" s="19"/>
      <c r="N2925" s="19"/>
      <c r="O2925" s="19"/>
      <c r="P2925" s="19"/>
      <c r="Q2925" s="19"/>
    </row>
    <row r="2926" spans="2:17" hidden="1">
      <c r="B2926" s="19"/>
      <c r="C2926" s="19"/>
      <c r="D2926" s="19"/>
      <c r="E2926" s="19"/>
      <c r="F2926" s="19"/>
      <c r="G2926" s="19"/>
      <c r="H2926" s="19"/>
      <c r="I2926" s="19"/>
      <c r="J2926" s="19"/>
      <c r="K2926" s="421"/>
      <c r="L2926" s="23"/>
      <c r="M2926" s="19"/>
      <c r="N2926" s="19"/>
      <c r="O2926" s="19"/>
      <c r="P2926" s="19"/>
      <c r="Q2926" s="19"/>
    </row>
    <row r="2927" spans="2:17" hidden="1">
      <c r="B2927" s="19"/>
      <c r="C2927" s="19"/>
      <c r="D2927" s="19"/>
      <c r="E2927" s="19"/>
      <c r="F2927" s="19"/>
      <c r="G2927" s="19"/>
      <c r="H2927" s="19"/>
      <c r="I2927" s="19"/>
      <c r="J2927" s="19"/>
      <c r="K2927" s="421"/>
      <c r="L2927" s="23"/>
      <c r="M2927" s="19"/>
      <c r="N2927" s="19"/>
      <c r="O2927" s="19"/>
      <c r="P2927" s="19"/>
      <c r="Q2927" s="19"/>
    </row>
    <row r="2928" spans="2:17" hidden="1">
      <c r="B2928" s="19"/>
      <c r="C2928" s="19"/>
      <c r="D2928" s="19"/>
      <c r="E2928" s="19"/>
      <c r="F2928" s="19"/>
      <c r="G2928" s="19"/>
      <c r="H2928" s="19"/>
      <c r="I2928" s="19"/>
      <c r="J2928" s="19"/>
      <c r="K2928" s="421"/>
      <c r="L2928" s="23"/>
      <c r="M2928" s="19"/>
      <c r="N2928" s="19"/>
      <c r="O2928" s="19"/>
      <c r="P2928" s="19"/>
      <c r="Q2928" s="19"/>
    </row>
    <row r="2929" spans="2:17" hidden="1">
      <c r="B2929" s="19"/>
      <c r="C2929" s="19"/>
      <c r="D2929" s="19"/>
      <c r="E2929" s="19"/>
      <c r="F2929" s="19"/>
      <c r="G2929" s="19"/>
      <c r="H2929" s="19"/>
      <c r="I2929" s="19"/>
      <c r="J2929" s="19"/>
      <c r="K2929" s="421"/>
      <c r="L2929" s="23"/>
      <c r="M2929" s="19"/>
      <c r="N2929" s="19"/>
      <c r="O2929" s="19"/>
      <c r="P2929" s="19"/>
      <c r="Q2929" s="19"/>
    </row>
    <row r="2930" spans="2:17" hidden="1">
      <c r="B2930" s="19"/>
      <c r="C2930" s="19"/>
      <c r="D2930" s="19"/>
      <c r="E2930" s="19"/>
      <c r="F2930" s="19"/>
      <c r="G2930" s="19"/>
      <c r="H2930" s="19"/>
      <c r="I2930" s="19"/>
      <c r="J2930" s="19"/>
      <c r="K2930" s="421"/>
      <c r="L2930" s="23"/>
      <c r="M2930" s="19"/>
      <c r="N2930" s="19"/>
      <c r="O2930" s="19"/>
      <c r="P2930" s="19"/>
      <c r="Q2930" s="19"/>
    </row>
    <row r="2931" spans="2:17" hidden="1">
      <c r="B2931" s="19"/>
      <c r="C2931" s="19"/>
      <c r="D2931" s="19"/>
      <c r="E2931" s="19"/>
      <c r="F2931" s="19"/>
      <c r="G2931" s="19"/>
      <c r="H2931" s="19"/>
      <c r="I2931" s="19"/>
      <c r="J2931" s="19"/>
      <c r="K2931" s="421"/>
      <c r="L2931" s="23"/>
      <c r="M2931" s="19"/>
      <c r="N2931" s="19"/>
      <c r="O2931" s="19"/>
      <c r="P2931" s="19"/>
      <c r="Q2931" s="19"/>
    </row>
    <row r="2932" spans="2:17" hidden="1">
      <c r="B2932" s="19"/>
      <c r="C2932" s="19"/>
      <c r="D2932" s="19"/>
      <c r="E2932" s="19"/>
      <c r="F2932" s="19"/>
      <c r="G2932" s="19"/>
      <c r="H2932" s="19"/>
      <c r="I2932" s="19"/>
      <c r="J2932" s="19"/>
      <c r="K2932" s="421"/>
      <c r="L2932" s="23"/>
      <c r="M2932" s="19"/>
      <c r="N2932" s="19"/>
      <c r="O2932" s="19"/>
      <c r="P2932" s="19"/>
      <c r="Q2932" s="19"/>
    </row>
    <row r="2933" spans="2:17" hidden="1">
      <c r="B2933" s="19"/>
      <c r="C2933" s="19"/>
      <c r="D2933" s="19"/>
      <c r="E2933" s="19"/>
      <c r="F2933" s="19"/>
      <c r="G2933" s="19"/>
      <c r="H2933" s="19"/>
      <c r="I2933" s="19"/>
      <c r="J2933" s="19"/>
      <c r="K2933" s="421"/>
      <c r="L2933" s="23"/>
      <c r="M2933" s="19"/>
      <c r="N2933" s="19"/>
      <c r="O2933" s="19"/>
      <c r="P2933" s="19"/>
      <c r="Q2933" s="19"/>
    </row>
    <row r="2934" spans="2:17" hidden="1">
      <c r="B2934" s="19"/>
      <c r="C2934" s="19"/>
      <c r="D2934" s="19"/>
      <c r="E2934" s="19"/>
      <c r="F2934" s="19"/>
      <c r="G2934" s="19"/>
      <c r="H2934" s="19"/>
      <c r="I2934" s="19"/>
      <c r="J2934" s="19"/>
      <c r="K2934" s="421"/>
      <c r="L2934" s="23"/>
      <c r="M2934" s="19"/>
      <c r="N2934" s="19"/>
      <c r="O2934" s="19"/>
      <c r="P2934" s="19"/>
      <c r="Q2934" s="19"/>
    </row>
    <row r="2935" spans="2:17" hidden="1">
      <c r="B2935" s="19"/>
      <c r="C2935" s="19"/>
      <c r="D2935" s="19"/>
      <c r="E2935" s="19"/>
      <c r="F2935" s="19"/>
      <c r="G2935" s="19"/>
      <c r="H2935" s="19"/>
      <c r="I2935" s="19"/>
      <c r="J2935" s="19"/>
      <c r="K2935" s="421"/>
      <c r="L2935" s="23"/>
      <c r="M2935" s="19"/>
      <c r="N2935" s="19"/>
      <c r="O2935" s="19"/>
      <c r="P2935" s="19"/>
      <c r="Q2935" s="19"/>
    </row>
    <row r="2936" spans="2:17" hidden="1">
      <c r="B2936" s="19"/>
      <c r="C2936" s="19"/>
      <c r="D2936" s="19"/>
      <c r="E2936" s="19"/>
      <c r="F2936" s="19"/>
      <c r="G2936" s="19"/>
      <c r="H2936" s="19"/>
      <c r="I2936" s="19"/>
      <c r="J2936" s="19"/>
      <c r="K2936" s="421"/>
      <c r="L2936" s="23"/>
      <c r="M2936" s="19"/>
      <c r="N2936" s="19"/>
      <c r="O2936" s="19"/>
      <c r="P2936" s="19"/>
      <c r="Q2936" s="19"/>
    </row>
    <row r="2937" spans="2:17" hidden="1">
      <c r="B2937" s="19"/>
      <c r="C2937" s="19"/>
      <c r="D2937" s="19"/>
      <c r="E2937" s="19"/>
      <c r="F2937" s="19"/>
      <c r="G2937" s="19"/>
      <c r="H2937" s="19"/>
      <c r="I2937" s="19"/>
      <c r="J2937" s="19"/>
      <c r="K2937" s="421"/>
      <c r="L2937" s="23"/>
      <c r="M2937" s="19"/>
      <c r="N2937" s="19"/>
      <c r="O2937" s="19"/>
      <c r="P2937" s="19"/>
      <c r="Q2937" s="19"/>
    </row>
    <row r="2938" spans="2:17" hidden="1">
      <c r="B2938" s="19"/>
      <c r="C2938" s="19"/>
      <c r="D2938" s="19"/>
      <c r="E2938" s="19"/>
      <c r="F2938" s="19"/>
      <c r="G2938" s="19"/>
      <c r="H2938" s="19"/>
      <c r="I2938" s="19"/>
      <c r="J2938" s="19"/>
      <c r="K2938" s="421"/>
      <c r="L2938" s="23"/>
      <c r="M2938" s="19"/>
      <c r="N2938" s="19"/>
      <c r="O2938" s="19"/>
      <c r="P2938" s="19"/>
      <c r="Q2938" s="19"/>
    </row>
    <row r="2939" spans="2:17" hidden="1">
      <c r="B2939" s="19"/>
      <c r="C2939" s="19"/>
      <c r="D2939" s="19"/>
      <c r="E2939" s="19"/>
      <c r="F2939" s="19"/>
      <c r="G2939" s="19"/>
      <c r="H2939" s="19"/>
      <c r="I2939" s="19"/>
      <c r="J2939" s="19"/>
      <c r="K2939" s="421"/>
      <c r="L2939" s="23"/>
      <c r="M2939" s="19"/>
      <c r="N2939" s="19"/>
      <c r="O2939" s="19"/>
      <c r="P2939" s="19"/>
      <c r="Q2939" s="19"/>
    </row>
    <row r="2940" spans="2:17" hidden="1">
      <c r="B2940" s="19"/>
      <c r="C2940" s="19"/>
      <c r="D2940" s="19"/>
      <c r="E2940" s="19"/>
      <c r="F2940" s="19"/>
      <c r="G2940" s="19"/>
      <c r="H2940" s="19"/>
      <c r="I2940" s="19"/>
      <c r="J2940" s="19"/>
      <c r="K2940" s="421"/>
      <c r="L2940" s="23"/>
      <c r="M2940" s="19"/>
      <c r="N2940" s="19"/>
      <c r="O2940" s="19"/>
      <c r="P2940" s="19"/>
      <c r="Q2940" s="19"/>
    </row>
    <row r="2941" spans="2:17" hidden="1">
      <c r="B2941" s="19"/>
      <c r="C2941" s="19"/>
      <c r="D2941" s="19"/>
      <c r="E2941" s="19"/>
      <c r="F2941" s="19"/>
      <c r="G2941" s="19"/>
      <c r="H2941" s="19"/>
      <c r="I2941" s="19"/>
      <c r="J2941" s="19"/>
      <c r="K2941" s="421"/>
      <c r="L2941" s="23"/>
      <c r="M2941" s="19"/>
      <c r="N2941" s="19"/>
      <c r="O2941" s="19"/>
      <c r="P2941" s="19"/>
      <c r="Q2941" s="19"/>
    </row>
    <row r="2942" spans="2:17" hidden="1">
      <c r="B2942" s="19"/>
      <c r="C2942" s="19"/>
      <c r="D2942" s="19"/>
      <c r="E2942" s="19"/>
      <c r="F2942" s="19"/>
      <c r="G2942" s="19"/>
      <c r="H2942" s="19"/>
      <c r="I2942" s="19"/>
      <c r="J2942" s="19"/>
      <c r="K2942" s="421"/>
      <c r="L2942" s="23"/>
      <c r="M2942" s="19"/>
      <c r="N2942" s="19"/>
      <c r="O2942" s="19"/>
      <c r="P2942" s="19"/>
      <c r="Q2942" s="19"/>
    </row>
    <row r="2943" spans="2:17" hidden="1">
      <c r="B2943" s="19"/>
      <c r="C2943" s="19"/>
      <c r="D2943" s="19"/>
      <c r="E2943" s="19"/>
      <c r="F2943" s="19"/>
      <c r="G2943" s="19"/>
      <c r="H2943" s="19"/>
      <c r="I2943" s="19"/>
      <c r="J2943" s="19"/>
      <c r="K2943" s="421"/>
      <c r="L2943" s="23"/>
      <c r="M2943" s="19"/>
      <c r="N2943" s="19"/>
      <c r="O2943" s="19"/>
      <c r="P2943" s="19"/>
      <c r="Q2943" s="19"/>
    </row>
    <row r="2944" spans="2:17" hidden="1">
      <c r="B2944" s="19"/>
      <c r="C2944" s="19"/>
      <c r="D2944" s="19"/>
      <c r="E2944" s="19"/>
      <c r="F2944" s="19"/>
      <c r="G2944" s="19"/>
      <c r="H2944" s="19"/>
      <c r="I2944" s="19"/>
      <c r="J2944" s="19"/>
      <c r="K2944" s="421"/>
      <c r="L2944" s="23"/>
      <c r="M2944" s="19"/>
      <c r="N2944" s="19"/>
      <c r="O2944" s="19"/>
      <c r="P2944" s="19"/>
      <c r="Q2944" s="19"/>
    </row>
    <row r="2945" spans="2:17" hidden="1">
      <c r="B2945" s="19"/>
      <c r="C2945" s="19"/>
      <c r="D2945" s="19"/>
      <c r="E2945" s="19"/>
      <c r="F2945" s="19"/>
      <c r="G2945" s="19"/>
      <c r="H2945" s="19"/>
      <c r="I2945" s="19"/>
      <c r="J2945" s="19"/>
      <c r="K2945" s="421"/>
      <c r="L2945" s="23"/>
      <c r="M2945" s="19"/>
      <c r="N2945" s="19"/>
      <c r="O2945" s="19"/>
      <c r="P2945" s="19"/>
      <c r="Q2945" s="19"/>
    </row>
    <row r="2946" spans="2:17" hidden="1">
      <c r="B2946" s="19"/>
      <c r="C2946" s="19"/>
      <c r="D2946" s="19"/>
      <c r="E2946" s="19"/>
      <c r="F2946" s="19"/>
      <c r="G2946" s="19"/>
      <c r="H2946" s="19"/>
      <c r="I2946" s="19"/>
      <c r="J2946" s="19"/>
      <c r="K2946" s="421"/>
      <c r="L2946" s="23"/>
      <c r="M2946" s="19"/>
      <c r="N2946" s="19"/>
      <c r="O2946" s="19"/>
      <c r="P2946" s="19"/>
      <c r="Q2946" s="19"/>
    </row>
    <row r="2947" spans="2:17" hidden="1">
      <c r="B2947" s="19"/>
      <c r="C2947" s="19"/>
      <c r="D2947" s="19"/>
      <c r="E2947" s="19"/>
      <c r="F2947" s="19"/>
      <c r="G2947" s="19"/>
      <c r="H2947" s="19"/>
      <c r="I2947" s="19"/>
      <c r="J2947" s="19"/>
      <c r="K2947" s="421"/>
      <c r="L2947" s="23"/>
      <c r="M2947" s="19"/>
      <c r="N2947" s="19"/>
      <c r="O2947" s="19"/>
      <c r="P2947" s="19"/>
      <c r="Q2947" s="19"/>
    </row>
    <row r="2948" spans="2:17" hidden="1">
      <c r="B2948" s="19"/>
      <c r="C2948" s="19"/>
      <c r="D2948" s="19"/>
      <c r="E2948" s="19"/>
      <c r="F2948" s="19"/>
      <c r="G2948" s="19"/>
      <c r="H2948" s="19"/>
      <c r="I2948" s="19"/>
      <c r="J2948" s="19"/>
      <c r="K2948" s="421"/>
      <c r="L2948" s="23"/>
      <c r="M2948" s="19"/>
      <c r="N2948" s="19"/>
      <c r="O2948" s="19"/>
      <c r="P2948" s="19"/>
      <c r="Q2948" s="19"/>
    </row>
    <row r="2949" spans="2:17" hidden="1">
      <c r="B2949" s="19"/>
      <c r="C2949" s="19"/>
      <c r="D2949" s="19"/>
      <c r="E2949" s="19"/>
      <c r="F2949" s="19"/>
      <c r="G2949" s="19"/>
      <c r="H2949" s="19"/>
      <c r="I2949" s="19"/>
      <c r="J2949" s="19"/>
      <c r="K2949" s="421"/>
      <c r="L2949" s="23"/>
      <c r="M2949" s="19"/>
      <c r="N2949" s="19"/>
      <c r="O2949" s="19"/>
      <c r="P2949" s="19"/>
      <c r="Q2949" s="19"/>
    </row>
    <row r="2950" spans="2:17" hidden="1">
      <c r="B2950" s="19"/>
      <c r="C2950" s="19"/>
      <c r="D2950" s="19"/>
      <c r="E2950" s="19"/>
      <c r="F2950" s="19"/>
      <c r="G2950" s="19"/>
      <c r="H2950" s="19"/>
      <c r="I2950" s="19"/>
      <c r="J2950" s="19"/>
      <c r="K2950" s="421"/>
      <c r="L2950" s="23"/>
      <c r="M2950" s="19"/>
      <c r="N2950" s="19"/>
      <c r="O2950" s="19"/>
      <c r="P2950" s="19"/>
      <c r="Q2950" s="19"/>
    </row>
    <row r="2951" spans="2:17" hidden="1">
      <c r="B2951" s="19"/>
      <c r="C2951" s="19"/>
      <c r="D2951" s="19"/>
      <c r="E2951" s="19"/>
      <c r="F2951" s="19"/>
      <c r="G2951" s="19"/>
      <c r="H2951" s="19"/>
      <c r="I2951" s="19"/>
      <c r="J2951" s="19"/>
      <c r="K2951" s="421"/>
      <c r="L2951" s="23"/>
      <c r="M2951" s="19"/>
      <c r="N2951" s="19"/>
      <c r="O2951" s="19"/>
      <c r="P2951" s="19"/>
      <c r="Q2951" s="19"/>
    </row>
    <row r="2952" spans="2:17" hidden="1">
      <c r="B2952" s="19"/>
      <c r="C2952" s="19"/>
      <c r="D2952" s="19"/>
      <c r="E2952" s="19"/>
      <c r="F2952" s="19"/>
      <c r="G2952" s="19"/>
      <c r="H2952" s="19"/>
      <c r="I2952" s="19"/>
      <c r="J2952" s="19"/>
      <c r="K2952" s="421"/>
      <c r="L2952" s="23"/>
      <c r="M2952" s="19"/>
      <c r="N2952" s="19"/>
      <c r="O2952" s="19"/>
      <c r="P2952" s="19"/>
      <c r="Q2952" s="19"/>
    </row>
    <row r="2953" spans="2:17" hidden="1">
      <c r="B2953" s="19"/>
      <c r="C2953" s="19"/>
      <c r="D2953" s="19"/>
      <c r="E2953" s="19"/>
      <c r="F2953" s="19"/>
      <c r="G2953" s="19"/>
      <c r="H2953" s="19"/>
      <c r="I2953" s="19"/>
      <c r="J2953" s="19"/>
      <c r="K2953" s="421"/>
      <c r="L2953" s="23"/>
      <c r="M2953" s="19"/>
      <c r="N2953" s="19"/>
      <c r="O2953" s="19"/>
      <c r="P2953" s="19"/>
      <c r="Q2953" s="19"/>
    </row>
    <row r="2954" spans="2:17" hidden="1">
      <c r="B2954" s="19"/>
      <c r="C2954" s="19"/>
      <c r="D2954" s="19"/>
      <c r="E2954" s="19"/>
      <c r="F2954" s="19"/>
      <c r="G2954" s="19"/>
      <c r="H2954" s="19"/>
      <c r="I2954" s="19"/>
      <c r="J2954" s="19"/>
      <c r="K2954" s="421"/>
      <c r="L2954" s="23"/>
      <c r="M2954" s="19"/>
      <c r="N2954" s="19"/>
      <c r="O2954" s="19"/>
      <c r="P2954" s="19"/>
      <c r="Q2954" s="19"/>
    </row>
    <row r="2955" spans="2:17" hidden="1">
      <c r="B2955" s="19"/>
      <c r="C2955" s="19"/>
      <c r="D2955" s="19"/>
      <c r="E2955" s="19"/>
      <c r="F2955" s="19"/>
      <c r="G2955" s="19"/>
      <c r="H2955" s="19"/>
      <c r="I2955" s="19"/>
      <c r="J2955" s="19"/>
      <c r="K2955" s="421"/>
      <c r="L2955" s="23"/>
      <c r="M2955" s="19"/>
      <c r="N2955" s="19"/>
      <c r="O2955" s="19"/>
      <c r="P2955" s="19"/>
      <c r="Q2955" s="19"/>
    </row>
    <row r="2956" spans="2:17" hidden="1">
      <c r="B2956" s="19"/>
      <c r="C2956" s="19"/>
      <c r="D2956" s="19"/>
      <c r="E2956" s="19"/>
      <c r="F2956" s="19"/>
      <c r="G2956" s="19"/>
      <c r="H2956" s="19"/>
      <c r="I2956" s="19"/>
      <c r="J2956" s="19"/>
      <c r="K2956" s="421"/>
      <c r="L2956" s="23"/>
      <c r="M2956" s="19"/>
      <c r="N2956" s="19"/>
      <c r="O2956" s="19"/>
      <c r="P2956" s="19"/>
      <c r="Q2956" s="19"/>
    </row>
    <row r="2957" spans="2:17" hidden="1">
      <c r="B2957" s="19"/>
      <c r="C2957" s="19"/>
      <c r="D2957" s="19"/>
      <c r="E2957" s="19"/>
      <c r="F2957" s="19"/>
      <c r="G2957" s="19"/>
      <c r="H2957" s="19"/>
      <c r="I2957" s="19"/>
      <c r="J2957" s="19"/>
      <c r="K2957" s="421"/>
      <c r="L2957" s="23"/>
      <c r="M2957" s="19"/>
      <c r="N2957" s="19"/>
      <c r="O2957" s="19"/>
      <c r="P2957" s="19"/>
      <c r="Q2957" s="19"/>
    </row>
    <row r="2958" spans="2:17" hidden="1">
      <c r="B2958" s="19"/>
      <c r="C2958" s="19"/>
      <c r="D2958" s="19"/>
      <c r="E2958" s="19"/>
      <c r="F2958" s="19"/>
      <c r="G2958" s="19"/>
      <c r="H2958" s="19"/>
      <c r="I2958" s="19"/>
      <c r="J2958" s="19"/>
      <c r="K2958" s="421"/>
      <c r="L2958" s="23"/>
      <c r="M2958" s="19"/>
      <c r="N2958" s="19"/>
      <c r="O2958" s="19"/>
      <c r="P2958" s="19"/>
      <c r="Q2958" s="19"/>
    </row>
    <row r="2959" spans="2:17" hidden="1">
      <c r="B2959" s="19"/>
      <c r="C2959" s="19"/>
      <c r="D2959" s="19"/>
      <c r="E2959" s="19"/>
      <c r="F2959" s="19"/>
      <c r="G2959" s="19"/>
      <c r="H2959" s="19"/>
      <c r="I2959" s="19"/>
      <c r="J2959" s="19"/>
      <c r="K2959" s="421"/>
      <c r="L2959" s="23"/>
      <c r="M2959" s="19"/>
      <c r="N2959" s="19"/>
      <c r="O2959" s="19"/>
      <c r="P2959" s="19"/>
      <c r="Q2959" s="19"/>
    </row>
    <row r="2960" spans="2:17" hidden="1">
      <c r="B2960" s="19"/>
      <c r="C2960" s="19"/>
      <c r="D2960" s="19"/>
      <c r="E2960" s="19"/>
      <c r="F2960" s="19"/>
      <c r="G2960" s="19"/>
      <c r="H2960" s="19"/>
      <c r="I2960" s="19"/>
      <c r="J2960" s="19"/>
      <c r="K2960" s="421"/>
      <c r="L2960" s="23"/>
      <c r="M2960" s="19"/>
      <c r="N2960" s="19"/>
      <c r="O2960" s="19"/>
      <c r="P2960" s="19"/>
      <c r="Q2960" s="19"/>
    </row>
    <row r="2961" spans="2:17" hidden="1">
      <c r="B2961" s="19"/>
      <c r="C2961" s="19"/>
      <c r="D2961" s="19"/>
      <c r="E2961" s="19"/>
      <c r="F2961" s="19"/>
      <c r="G2961" s="19"/>
      <c r="H2961" s="19"/>
      <c r="I2961" s="19"/>
      <c r="J2961" s="19"/>
      <c r="K2961" s="421"/>
      <c r="L2961" s="23"/>
      <c r="M2961" s="19"/>
      <c r="N2961" s="19"/>
      <c r="O2961" s="19"/>
      <c r="P2961" s="19"/>
      <c r="Q2961" s="19"/>
    </row>
    <row r="2962" spans="2:17" hidden="1">
      <c r="B2962" s="19"/>
      <c r="C2962" s="19"/>
      <c r="D2962" s="19"/>
      <c r="E2962" s="19"/>
      <c r="F2962" s="19"/>
      <c r="G2962" s="19"/>
      <c r="H2962" s="19"/>
      <c r="I2962" s="19"/>
      <c r="J2962" s="19"/>
      <c r="K2962" s="421"/>
      <c r="L2962" s="23"/>
      <c r="M2962" s="19"/>
      <c r="N2962" s="19"/>
      <c r="O2962" s="19"/>
      <c r="P2962" s="19"/>
      <c r="Q2962" s="19"/>
    </row>
    <row r="2963" spans="2:17" hidden="1">
      <c r="B2963" s="19"/>
      <c r="C2963" s="19"/>
      <c r="D2963" s="19"/>
      <c r="E2963" s="19"/>
      <c r="F2963" s="19"/>
      <c r="G2963" s="19"/>
      <c r="H2963" s="19"/>
      <c r="I2963" s="19"/>
      <c r="J2963" s="19"/>
      <c r="K2963" s="421"/>
      <c r="L2963" s="23"/>
      <c r="M2963" s="19"/>
      <c r="N2963" s="19"/>
      <c r="O2963" s="19"/>
      <c r="P2963" s="19"/>
      <c r="Q2963" s="19"/>
    </row>
    <row r="2964" spans="2:17" hidden="1">
      <c r="B2964" s="19"/>
      <c r="C2964" s="19"/>
      <c r="D2964" s="19"/>
      <c r="E2964" s="19"/>
      <c r="F2964" s="19"/>
      <c r="G2964" s="19"/>
      <c r="H2964" s="19"/>
      <c r="I2964" s="19"/>
      <c r="J2964" s="19"/>
      <c r="K2964" s="421"/>
      <c r="L2964" s="23"/>
      <c r="M2964" s="19"/>
      <c r="N2964" s="19"/>
      <c r="O2964" s="19"/>
      <c r="P2964" s="19"/>
      <c r="Q2964" s="19"/>
    </row>
    <row r="2965" spans="2:17" hidden="1">
      <c r="B2965" s="19"/>
      <c r="C2965" s="19"/>
      <c r="D2965" s="19"/>
      <c r="E2965" s="19"/>
      <c r="F2965" s="19"/>
      <c r="G2965" s="19"/>
      <c r="H2965" s="19"/>
      <c r="I2965" s="19"/>
      <c r="J2965" s="19"/>
      <c r="K2965" s="421"/>
      <c r="L2965" s="23"/>
      <c r="M2965" s="19"/>
      <c r="N2965" s="19"/>
      <c r="O2965" s="19"/>
      <c r="P2965" s="19"/>
      <c r="Q2965" s="19"/>
    </row>
    <row r="2966" spans="2:17" hidden="1">
      <c r="B2966" s="19"/>
      <c r="C2966" s="19"/>
      <c r="D2966" s="19"/>
      <c r="E2966" s="19"/>
      <c r="F2966" s="19"/>
      <c r="G2966" s="19"/>
      <c r="H2966" s="19"/>
      <c r="I2966" s="19"/>
      <c r="J2966" s="19"/>
      <c r="K2966" s="421"/>
      <c r="L2966" s="23"/>
      <c r="M2966" s="19"/>
      <c r="N2966" s="19"/>
      <c r="O2966" s="19"/>
      <c r="P2966" s="19"/>
      <c r="Q2966" s="19"/>
    </row>
    <row r="2967" spans="2:17" hidden="1">
      <c r="B2967" s="19"/>
      <c r="C2967" s="19"/>
      <c r="D2967" s="19"/>
      <c r="E2967" s="19"/>
      <c r="F2967" s="19"/>
      <c r="G2967" s="19"/>
      <c r="H2967" s="19"/>
      <c r="I2967" s="19"/>
      <c r="J2967" s="19"/>
      <c r="K2967" s="421"/>
      <c r="L2967" s="23"/>
      <c r="M2967" s="19"/>
      <c r="N2967" s="19"/>
      <c r="O2967" s="19"/>
      <c r="P2967" s="19"/>
      <c r="Q2967" s="19"/>
    </row>
    <row r="2968" spans="2:17" hidden="1">
      <c r="B2968" s="19"/>
      <c r="C2968" s="19"/>
      <c r="D2968" s="19"/>
      <c r="E2968" s="19"/>
      <c r="F2968" s="19"/>
      <c r="G2968" s="19"/>
      <c r="H2968" s="19"/>
      <c r="I2968" s="19"/>
      <c r="J2968" s="19"/>
      <c r="K2968" s="421"/>
      <c r="L2968" s="23"/>
      <c r="M2968" s="19"/>
      <c r="N2968" s="19"/>
      <c r="O2968" s="19"/>
      <c r="P2968" s="19"/>
      <c r="Q2968" s="19"/>
    </row>
    <row r="2969" spans="2:17" hidden="1">
      <c r="B2969" s="19"/>
      <c r="C2969" s="19"/>
      <c r="D2969" s="19"/>
      <c r="E2969" s="19"/>
      <c r="F2969" s="19"/>
      <c r="G2969" s="19"/>
      <c r="H2969" s="19"/>
      <c r="I2969" s="19"/>
      <c r="J2969" s="19"/>
      <c r="K2969" s="421"/>
      <c r="L2969" s="23"/>
      <c r="M2969" s="19"/>
      <c r="N2969" s="19"/>
      <c r="O2969" s="19"/>
      <c r="P2969" s="19"/>
      <c r="Q2969" s="19"/>
    </row>
    <row r="2970" spans="2:17" hidden="1">
      <c r="B2970" s="19"/>
      <c r="C2970" s="19"/>
      <c r="D2970" s="19"/>
      <c r="E2970" s="19"/>
      <c r="F2970" s="19"/>
      <c r="G2970" s="19"/>
      <c r="H2970" s="19"/>
      <c r="I2970" s="19"/>
      <c r="J2970" s="19"/>
      <c r="K2970" s="421"/>
      <c r="L2970" s="23"/>
      <c r="M2970" s="19"/>
      <c r="N2970" s="19"/>
      <c r="O2970" s="19"/>
      <c r="P2970" s="19"/>
      <c r="Q2970" s="19"/>
    </row>
    <row r="2971" spans="2:17" hidden="1">
      <c r="B2971" s="19"/>
      <c r="C2971" s="19"/>
      <c r="D2971" s="19"/>
      <c r="E2971" s="19"/>
      <c r="F2971" s="19"/>
      <c r="G2971" s="19"/>
      <c r="H2971" s="19"/>
      <c r="I2971" s="19"/>
      <c r="J2971" s="19"/>
      <c r="K2971" s="421"/>
      <c r="L2971" s="23"/>
      <c r="M2971" s="19"/>
      <c r="N2971" s="19"/>
      <c r="O2971" s="19"/>
      <c r="P2971" s="19"/>
      <c r="Q2971" s="19"/>
    </row>
    <row r="2972" spans="2:17" hidden="1">
      <c r="B2972" s="19"/>
      <c r="C2972" s="19"/>
      <c r="D2972" s="19"/>
      <c r="E2972" s="19"/>
      <c r="F2972" s="19"/>
      <c r="G2972" s="19"/>
      <c r="H2972" s="19"/>
      <c r="I2972" s="19"/>
      <c r="J2972" s="19"/>
      <c r="K2972" s="421"/>
      <c r="L2972" s="23"/>
      <c r="M2972" s="19"/>
      <c r="N2972" s="19"/>
      <c r="O2972" s="19"/>
      <c r="P2972" s="19"/>
      <c r="Q2972" s="19"/>
    </row>
    <row r="2973" spans="2:17" hidden="1">
      <c r="B2973" s="19"/>
      <c r="C2973" s="19"/>
      <c r="D2973" s="19"/>
      <c r="E2973" s="19"/>
      <c r="F2973" s="19"/>
      <c r="G2973" s="19"/>
      <c r="H2973" s="19"/>
      <c r="I2973" s="19"/>
      <c r="J2973" s="19"/>
      <c r="K2973" s="421"/>
      <c r="L2973" s="23"/>
      <c r="M2973" s="19"/>
      <c r="N2973" s="19"/>
      <c r="O2973" s="19"/>
      <c r="P2973" s="19"/>
      <c r="Q2973" s="19"/>
    </row>
    <row r="2974" spans="2:17" hidden="1">
      <c r="B2974" s="19"/>
      <c r="C2974" s="19"/>
      <c r="D2974" s="19"/>
      <c r="E2974" s="19"/>
      <c r="F2974" s="19"/>
      <c r="G2974" s="19"/>
      <c r="H2974" s="19"/>
      <c r="I2974" s="19"/>
      <c r="J2974" s="19"/>
      <c r="K2974" s="421"/>
      <c r="L2974" s="23"/>
      <c r="M2974" s="19"/>
      <c r="N2974" s="19"/>
      <c r="O2974" s="19"/>
      <c r="P2974" s="19"/>
      <c r="Q2974" s="19"/>
    </row>
    <row r="2975" spans="2:17" hidden="1">
      <c r="B2975" s="19"/>
      <c r="C2975" s="19"/>
      <c r="D2975" s="19"/>
      <c r="E2975" s="19"/>
      <c r="F2975" s="19"/>
      <c r="G2975" s="19"/>
      <c r="H2975" s="19"/>
      <c r="I2975" s="19"/>
      <c r="J2975" s="19"/>
      <c r="K2975" s="421"/>
      <c r="L2975" s="23"/>
      <c r="M2975" s="19"/>
      <c r="N2975" s="19"/>
      <c r="O2975" s="19"/>
      <c r="P2975" s="19"/>
      <c r="Q2975" s="19"/>
    </row>
    <row r="2976" spans="2:17" hidden="1">
      <c r="B2976" s="19"/>
      <c r="C2976" s="19"/>
      <c r="D2976" s="19"/>
      <c r="E2976" s="19"/>
      <c r="F2976" s="19"/>
      <c r="G2976" s="19"/>
      <c r="H2976" s="19"/>
      <c r="I2976" s="19"/>
      <c r="J2976" s="19"/>
      <c r="K2976" s="421"/>
      <c r="L2976" s="23"/>
      <c r="M2976" s="19"/>
      <c r="N2976" s="19"/>
      <c r="O2976" s="19"/>
      <c r="P2976" s="19"/>
      <c r="Q2976" s="19"/>
    </row>
    <row r="2977" spans="2:17" hidden="1">
      <c r="B2977" s="19"/>
      <c r="C2977" s="19"/>
      <c r="D2977" s="19"/>
      <c r="E2977" s="19"/>
      <c r="F2977" s="19"/>
      <c r="G2977" s="19"/>
      <c r="H2977" s="19"/>
      <c r="I2977" s="19"/>
      <c r="J2977" s="19"/>
      <c r="K2977" s="421"/>
      <c r="L2977" s="23"/>
      <c r="M2977" s="19"/>
      <c r="N2977" s="19"/>
      <c r="O2977" s="19"/>
      <c r="P2977" s="19"/>
      <c r="Q2977" s="19"/>
    </row>
    <row r="2978" spans="2:17" hidden="1">
      <c r="B2978" s="19"/>
      <c r="C2978" s="19"/>
      <c r="D2978" s="19"/>
      <c r="E2978" s="19"/>
      <c r="F2978" s="19"/>
      <c r="G2978" s="19"/>
      <c r="H2978" s="19"/>
      <c r="I2978" s="19"/>
      <c r="J2978" s="19"/>
      <c r="K2978" s="421"/>
      <c r="L2978" s="23"/>
      <c r="M2978" s="19"/>
      <c r="N2978" s="19"/>
      <c r="O2978" s="19"/>
      <c r="P2978" s="19"/>
      <c r="Q2978" s="19"/>
    </row>
    <row r="2979" spans="2:17" hidden="1">
      <c r="B2979" s="19"/>
      <c r="C2979" s="19"/>
      <c r="D2979" s="19"/>
      <c r="E2979" s="19"/>
      <c r="F2979" s="19"/>
      <c r="G2979" s="19"/>
      <c r="H2979" s="19"/>
      <c r="I2979" s="19"/>
      <c r="J2979" s="19"/>
      <c r="K2979" s="421"/>
      <c r="L2979" s="23"/>
      <c r="M2979" s="19"/>
      <c r="N2979" s="19"/>
      <c r="O2979" s="19"/>
      <c r="P2979" s="19"/>
      <c r="Q2979" s="19"/>
    </row>
    <row r="2980" spans="2:17" hidden="1">
      <c r="B2980" s="19"/>
      <c r="C2980" s="19"/>
      <c r="D2980" s="19"/>
      <c r="E2980" s="19"/>
      <c r="F2980" s="19"/>
      <c r="G2980" s="19"/>
      <c r="H2980" s="19"/>
      <c r="I2980" s="19"/>
      <c r="J2980" s="19"/>
      <c r="K2980" s="421"/>
      <c r="L2980" s="23"/>
      <c r="M2980" s="19"/>
      <c r="N2980" s="19"/>
      <c r="O2980" s="19"/>
      <c r="P2980" s="19"/>
      <c r="Q2980" s="19"/>
    </row>
    <row r="2981" spans="2:17" hidden="1">
      <c r="B2981" s="19"/>
      <c r="C2981" s="19"/>
      <c r="D2981" s="19"/>
      <c r="E2981" s="19"/>
      <c r="F2981" s="19"/>
      <c r="G2981" s="19"/>
      <c r="H2981" s="19"/>
      <c r="I2981" s="19"/>
      <c r="J2981" s="19"/>
      <c r="K2981" s="421"/>
      <c r="L2981" s="23"/>
      <c r="M2981" s="19"/>
      <c r="N2981" s="19"/>
      <c r="O2981" s="19"/>
      <c r="P2981" s="19"/>
      <c r="Q2981" s="19"/>
    </row>
    <row r="2982" spans="2:17" hidden="1">
      <c r="B2982" s="19"/>
      <c r="C2982" s="19"/>
      <c r="D2982" s="19"/>
      <c r="E2982" s="19"/>
      <c r="F2982" s="19"/>
      <c r="G2982" s="19"/>
      <c r="H2982" s="19"/>
      <c r="I2982" s="19"/>
      <c r="J2982" s="19"/>
      <c r="K2982" s="421"/>
      <c r="L2982" s="23"/>
      <c r="M2982" s="19"/>
      <c r="N2982" s="19"/>
      <c r="O2982" s="19"/>
      <c r="P2982" s="19"/>
      <c r="Q2982" s="19"/>
    </row>
    <row r="2983" spans="2:17" hidden="1">
      <c r="B2983" s="19"/>
      <c r="C2983" s="19"/>
      <c r="D2983" s="19"/>
      <c r="E2983" s="19"/>
      <c r="F2983" s="19"/>
      <c r="G2983" s="19"/>
      <c r="H2983" s="19"/>
      <c r="I2983" s="19"/>
      <c r="J2983" s="19"/>
      <c r="K2983" s="421"/>
      <c r="L2983" s="23"/>
      <c r="M2983" s="19"/>
      <c r="N2983" s="19"/>
      <c r="O2983" s="19"/>
      <c r="P2983" s="19"/>
      <c r="Q2983" s="19"/>
    </row>
    <row r="2984" spans="2:17" hidden="1">
      <c r="B2984" s="19"/>
      <c r="C2984" s="19"/>
      <c r="D2984" s="19"/>
      <c r="E2984" s="19"/>
      <c r="F2984" s="19"/>
      <c r="G2984" s="19"/>
      <c r="H2984" s="19"/>
      <c r="I2984" s="19"/>
      <c r="J2984" s="19"/>
      <c r="K2984" s="421"/>
      <c r="L2984" s="23"/>
      <c r="M2984" s="19"/>
      <c r="N2984" s="19"/>
      <c r="O2984" s="19"/>
      <c r="P2984" s="19"/>
      <c r="Q2984" s="19"/>
    </row>
    <row r="2985" spans="2:17" hidden="1">
      <c r="B2985" s="19"/>
      <c r="C2985" s="19"/>
      <c r="D2985" s="19"/>
      <c r="E2985" s="19"/>
      <c r="F2985" s="19"/>
      <c r="G2985" s="19"/>
      <c r="H2985" s="19"/>
      <c r="I2985" s="19"/>
      <c r="J2985" s="19"/>
      <c r="K2985" s="421"/>
      <c r="L2985" s="23"/>
      <c r="M2985" s="19"/>
      <c r="N2985" s="19"/>
      <c r="O2985" s="19"/>
      <c r="P2985" s="19"/>
      <c r="Q2985" s="19"/>
    </row>
    <row r="2986" spans="2:17" hidden="1">
      <c r="B2986" s="19"/>
      <c r="C2986" s="19"/>
      <c r="D2986" s="19"/>
      <c r="E2986" s="19"/>
      <c r="F2986" s="19"/>
      <c r="G2986" s="19"/>
      <c r="H2986" s="19"/>
      <c r="I2986" s="19"/>
      <c r="J2986" s="19"/>
      <c r="K2986" s="421"/>
      <c r="L2986" s="23"/>
      <c r="M2986" s="19"/>
      <c r="N2986" s="19"/>
      <c r="O2986" s="19"/>
      <c r="P2986" s="19"/>
      <c r="Q2986" s="19"/>
    </row>
    <row r="2987" spans="2:17" hidden="1">
      <c r="B2987" s="19"/>
      <c r="C2987" s="19"/>
      <c r="D2987" s="19"/>
      <c r="E2987" s="19"/>
      <c r="F2987" s="19"/>
      <c r="G2987" s="19"/>
      <c r="H2987" s="19"/>
      <c r="I2987" s="19"/>
      <c r="J2987" s="19"/>
      <c r="K2987" s="421"/>
      <c r="L2987" s="23"/>
      <c r="M2987" s="19"/>
      <c r="N2987" s="19"/>
      <c r="O2987" s="19"/>
      <c r="P2987" s="19"/>
      <c r="Q2987" s="19"/>
    </row>
    <row r="2988" spans="2:17" hidden="1">
      <c r="B2988" s="19"/>
      <c r="C2988" s="19"/>
      <c r="D2988" s="19"/>
      <c r="E2988" s="19"/>
      <c r="F2988" s="19"/>
      <c r="G2988" s="19"/>
      <c r="H2988" s="19"/>
      <c r="I2988" s="19"/>
      <c r="J2988" s="19"/>
      <c r="K2988" s="421"/>
      <c r="L2988" s="23"/>
      <c r="M2988" s="19"/>
      <c r="N2988" s="19"/>
      <c r="O2988" s="19"/>
      <c r="P2988" s="19"/>
      <c r="Q2988" s="19"/>
    </row>
    <row r="2989" spans="2:17" hidden="1">
      <c r="B2989" s="19"/>
      <c r="C2989" s="19"/>
      <c r="D2989" s="19"/>
      <c r="E2989" s="19"/>
      <c r="F2989" s="19"/>
      <c r="G2989" s="19"/>
      <c r="H2989" s="19"/>
      <c r="I2989" s="19"/>
      <c r="J2989" s="19"/>
      <c r="K2989" s="421"/>
      <c r="L2989" s="23"/>
      <c r="M2989" s="19"/>
      <c r="N2989" s="19"/>
      <c r="O2989" s="19"/>
      <c r="P2989" s="19"/>
      <c r="Q2989" s="19"/>
    </row>
    <row r="2990" spans="2:17" hidden="1">
      <c r="B2990" s="19"/>
      <c r="C2990" s="19"/>
      <c r="D2990" s="19"/>
      <c r="E2990" s="19"/>
      <c r="F2990" s="19"/>
      <c r="G2990" s="19"/>
      <c r="H2990" s="19"/>
      <c r="I2990" s="19"/>
      <c r="J2990" s="19"/>
      <c r="K2990" s="421"/>
      <c r="L2990" s="23"/>
      <c r="M2990" s="19"/>
      <c r="N2990" s="19"/>
      <c r="O2990" s="19"/>
      <c r="P2990" s="19"/>
      <c r="Q2990" s="19"/>
    </row>
    <row r="2991" spans="2:17" hidden="1">
      <c r="B2991" s="19"/>
      <c r="C2991" s="19"/>
      <c r="D2991" s="19"/>
      <c r="E2991" s="19"/>
      <c r="F2991" s="19"/>
      <c r="G2991" s="19"/>
      <c r="H2991" s="19"/>
      <c r="I2991" s="19"/>
      <c r="J2991" s="19"/>
      <c r="K2991" s="421"/>
      <c r="L2991" s="23"/>
      <c r="M2991" s="19"/>
      <c r="N2991" s="19"/>
      <c r="O2991" s="19"/>
      <c r="P2991" s="19"/>
      <c r="Q2991" s="19"/>
    </row>
    <row r="2992" spans="2:17" hidden="1">
      <c r="B2992" s="19"/>
      <c r="C2992" s="19"/>
      <c r="D2992" s="19"/>
      <c r="E2992" s="19"/>
      <c r="F2992" s="19"/>
      <c r="G2992" s="19"/>
      <c r="H2992" s="19"/>
      <c r="I2992" s="19"/>
      <c r="J2992" s="19"/>
      <c r="K2992" s="421"/>
      <c r="L2992" s="23"/>
      <c r="M2992" s="19"/>
      <c r="N2992" s="19"/>
      <c r="O2992" s="19"/>
      <c r="P2992" s="19"/>
      <c r="Q2992" s="19"/>
    </row>
    <row r="2993" spans="2:17" hidden="1">
      <c r="B2993" s="19"/>
      <c r="C2993" s="19"/>
      <c r="D2993" s="19"/>
      <c r="E2993" s="19"/>
      <c r="F2993" s="19"/>
      <c r="G2993" s="19"/>
      <c r="H2993" s="19"/>
      <c r="I2993" s="19"/>
      <c r="J2993" s="19"/>
      <c r="K2993" s="421"/>
      <c r="L2993" s="23"/>
      <c r="M2993" s="19"/>
      <c r="N2993" s="19"/>
      <c r="O2993" s="19"/>
      <c r="P2993" s="19"/>
      <c r="Q2993" s="19"/>
    </row>
    <row r="2994" spans="2:17" hidden="1">
      <c r="B2994" s="19"/>
      <c r="C2994" s="19"/>
      <c r="D2994" s="19"/>
      <c r="E2994" s="19"/>
      <c r="F2994" s="19"/>
      <c r="G2994" s="19"/>
      <c r="H2994" s="19"/>
      <c r="I2994" s="19"/>
      <c r="J2994" s="19"/>
      <c r="K2994" s="421"/>
      <c r="L2994" s="23"/>
      <c r="M2994" s="19"/>
      <c r="N2994" s="19"/>
      <c r="O2994" s="19"/>
      <c r="P2994" s="19"/>
      <c r="Q2994" s="19"/>
    </row>
    <row r="2995" spans="2:17" hidden="1">
      <c r="B2995" s="19"/>
      <c r="C2995" s="19"/>
      <c r="D2995" s="19"/>
      <c r="E2995" s="19"/>
      <c r="F2995" s="19"/>
      <c r="G2995" s="19"/>
      <c r="H2995" s="19"/>
      <c r="I2995" s="19"/>
      <c r="J2995" s="19"/>
      <c r="K2995" s="421"/>
      <c r="L2995" s="23"/>
      <c r="M2995" s="19"/>
      <c r="N2995" s="19"/>
      <c r="O2995" s="19"/>
      <c r="P2995" s="19"/>
      <c r="Q2995" s="19"/>
    </row>
    <row r="2996" spans="2:17" hidden="1">
      <c r="B2996" s="19"/>
      <c r="C2996" s="19"/>
      <c r="D2996" s="19"/>
      <c r="E2996" s="19"/>
      <c r="F2996" s="19"/>
      <c r="G2996" s="19"/>
      <c r="H2996" s="19"/>
      <c r="I2996" s="19"/>
      <c r="J2996" s="19"/>
      <c r="K2996" s="421"/>
      <c r="L2996" s="23"/>
      <c r="M2996" s="19"/>
      <c r="N2996" s="19"/>
      <c r="O2996" s="19"/>
      <c r="P2996" s="19"/>
      <c r="Q2996" s="19"/>
    </row>
    <row r="2997" spans="2:17" hidden="1">
      <c r="B2997" s="19"/>
      <c r="C2997" s="19"/>
      <c r="D2997" s="19"/>
      <c r="E2997" s="19"/>
      <c r="F2997" s="19"/>
      <c r="G2997" s="19"/>
      <c r="H2997" s="19"/>
      <c r="I2997" s="19"/>
      <c r="J2997" s="19"/>
      <c r="K2997" s="421"/>
      <c r="L2997" s="23"/>
      <c r="M2997" s="19"/>
      <c r="N2997" s="19"/>
      <c r="O2997" s="19"/>
      <c r="P2997" s="19"/>
      <c r="Q2997" s="19"/>
    </row>
    <row r="2998" spans="2:17" hidden="1">
      <c r="B2998" s="19"/>
      <c r="C2998" s="19"/>
      <c r="D2998" s="19"/>
      <c r="E2998" s="19"/>
      <c r="F2998" s="19"/>
      <c r="G2998" s="19"/>
      <c r="H2998" s="19"/>
      <c r="I2998" s="19"/>
      <c r="J2998" s="19"/>
      <c r="K2998" s="421"/>
      <c r="L2998" s="23"/>
      <c r="M2998" s="19"/>
      <c r="N2998" s="19"/>
      <c r="O2998" s="19"/>
      <c r="P2998" s="19"/>
      <c r="Q2998" s="19"/>
    </row>
    <row r="2999" spans="2:17" hidden="1">
      <c r="B2999" s="19"/>
      <c r="C2999" s="19"/>
      <c r="D2999" s="19"/>
      <c r="E2999" s="19"/>
      <c r="F2999" s="19"/>
      <c r="G2999" s="19"/>
      <c r="H2999" s="19"/>
      <c r="I2999" s="19"/>
      <c r="J2999" s="19"/>
      <c r="K2999" s="421"/>
      <c r="L2999" s="23"/>
      <c r="M2999" s="19"/>
      <c r="N2999" s="19"/>
      <c r="O2999" s="19"/>
      <c r="P2999" s="19"/>
      <c r="Q2999" s="19"/>
    </row>
    <row r="3000" spans="2:17" hidden="1">
      <c r="B3000" s="19"/>
      <c r="C3000" s="19"/>
      <c r="D3000" s="19"/>
      <c r="E3000" s="19"/>
      <c r="F3000" s="19"/>
      <c r="G3000" s="19"/>
      <c r="H3000" s="19"/>
      <c r="I3000" s="19"/>
      <c r="J3000" s="19"/>
      <c r="K3000" s="421"/>
      <c r="L3000" s="23"/>
      <c r="M3000" s="19"/>
      <c r="N3000" s="19"/>
      <c r="O3000" s="19"/>
      <c r="P3000" s="19"/>
      <c r="Q3000" s="19"/>
    </row>
    <row r="3001" spans="2:17" hidden="1">
      <c r="B3001" s="19"/>
      <c r="C3001" s="19"/>
      <c r="D3001" s="19"/>
      <c r="E3001" s="19"/>
      <c r="F3001" s="19"/>
      <c r="G3001" s="19"/>
      <c r="H3001" s="19"/>
      <c r="I3001" s="19"/>
      <c r="J3001" s="19"/>
      <c r="K3001" s="421"/>
      <c r="L3001" s="23"/>
      <c r="M3001" s="19"/>
      <c r="N3001" s="19"/>
      <c r="O3001" s="19"/>
      <c r="P3001" s="19"/>
      <c r="Q3001" s="19"/>
    </row>
    <row r="3002" spans="2:17" hidden="1">
      <c r="B3002" s="19"/>
      <c r="C3002" s="19"/>
      <c r="D3002" s="19"/>
      <c r="E3002" s="19"/>
      <c r="F3002" s="19"/>
      <c r="G3002" s="19"/>
      <c r="H3002" s="19"/>
      <c r="I3002" s="19"/>
      <c r="J3002" s="19"/>
      <c r="K3002" s="421"/>
      <c r="L3002" s="23"/>
      <c r="M3002" s="19"/>
      <c r="N3002" s="19"/>
      <c r="O3002" s="19"/>
      <c r="P3002" s="19"/>
      <c r="Q3002" s="19"/>
    </row>
    <row r="3003" spans="2:17" hidden="1">
      <c r="B3003" s="19"/>
      <c r="C3003" s="19"/>
      <c r="D3003" s="19"/>
      <c r="E3003" s="19"/>
      <c r="F3003" s="19"/>
      <c r="G3003" s="19"/>
      <c r="H3003" s="19"/>
      <c r="I3003" s="19"/>
      <c r="J3003" s="19"/>
      <c r="K3003" s="421"/>
      <c r="L3003" s="23"/>
      <c r="M3003" s="19"/>
      <c r="N3003" s="19"/>
      <c r="O3003" s="19"/>
      <c r="P3003" s="19"/>
      <c r="Q3003" s="19"/>
    </row>
    <row r="3004" spans="2:17" hidden="1">
      <c r="B3004" s="19"/>
      <c r="C3004" s="19"/>
      <c r="D3004" s="19"/>
      <c r="E3004" s="19"/>
      <c r="F3004" s="19"/>
      <c r="G3004" s="19"/>
      <c r="H3004" s="19"/>
      <c r="I3004" s="19"/>
      <c r="J3004" s="19"/>
      <c r="K3004" s="421"/>
      <c r="L3004" s="23"/>
      <c r="M3004" s="19"/>
      <c r="N3004" s="19"/>
      <c r="O3004" s="19"/>
      <c r="P3004" s="19"/>
      <c r="Q3004" s="19"/>
    </row>
    <row r="3005" spans="2:17" hidden="1">
      <c r="B3005" s="19"/>
      <c r="C3005" s="19"/>
      <c r="D3005" s="19"/>
      <c r="E3005" s="19"/>
      <c r="F3005" s="19"/>
      <c r="G3005" s="19"/>
      <c r="H3005" s="19"/>
      <c r="I3005" s="19"/>
      <c r="J3005" s="19"/>
      <c r="K3005" s="421"/>
      <c r="L3005" s="23"/>
      <c r="M3005" s="19"/>
      <c r="N3005" s="19"/>
      <c r="O3005" s="19"/>
      <c r="P3005" s="19"/>
      <c r="Q3005" s="19"/>
    </row>
    <row r="3006" spans="2:17" hidden="1">
      <c r="B3006" s="19"/>
      <c r="C3006" s="19"/>
      <c r="D3006" s="19"/>
      <c r="E3006" s="19"/>
      <c r="F3006" s="19"/>
      <c r="G3006" s="19"/>
      <c r="H3006" s="19"/>
      <c r="I3006" s="19"/>
      <c r="J3006" s="19"/>
      <c r="K3006" s="421"/>
      <c r="L3006" s="23"/>
      <c r="M3006" s="19"/>
      <c r="N3006" s="19"/>
      <c r="O3006" s="19"/>
      <c r="P3006" s="19"/>
      <c r="Q3006" s="19"/>
    </row>
    <row r="3007" spans="2:17" hidden="1">
      <c r="B3007" s="19"/>
      <c r="C3007" s="19"/>
      <c r="D3007" s="19"/>
      <c r="E3007" s="19"/>
      <c r="F3007" s="19"/>
      <c r="G3007" s="19"/>
      <c r="H3007" s="19"/>
      <c r="I3007" s="19"/>
      <c r="J3007" s="19"/>
      <c r="K3007" s="421"/>
      <c r="L3007" s="23"/>
      <c r="M3007" s="19"/>
      <c r="N3007" s="19"/>
      <c r="O3007" s="19"/>
      <c r="P3007" s="19"/>
      <c r="Q3007" s="19"/>
    </row>
    <row r="3008" spans="2:17" hidden="1">
      <c r="B3008" s="19"/>
      <c r="C3008" s="19"/>
      <c r="D3008" s="19"/>
      <c r="E3008" s="19"/>
      <c r="F3008" s="19"/>
      <c r="G3008" s="19"/>
      <c r="H3008" s="19"/>
      <c r="I3008" s="19"/>
      <c r="J3008" s="19"/>
      <c r="K3008" s="421"/>
      <c r="L3008" s="23"/>
      <c r="M3008" s="19"/>
      <c r="N3008" s="19"/>
      <c r="O3008" s="19"/>
      <c r="P3008" s="19"/>
      <c r="Q3008" s="19"/>
    </row>
    <row r="3009" spans="2:17" hidden="1">
      <c r="B3009" s="19"/>
      <c r="C3009" s="19"/>
      <c r="D3009" s="19"/>
      <c r="E3009" s="19"/>
      <c r="F3009" s="19"/>
      <c r="G3009" s="19"/>
      <c r="H3009" s="19"/>
      <c r="I3009" s="19"/>
      <c r="J3009" s="19"/>
      <c r="K3009" s="421"/>
      <c r="L3009" s="23"/>
      <c r="M3009" s="19"/>
      <c r="N3009" s="19"/>
      <c r="O3009" s="19"/>
      <c r="P3009" s="19"/>
      <c r="Q3009" s="19"/>
    </row>
    <row r="3010" spans="2:17" hidden="1">
      <c r="B3010" s="19"/>
      <c r="C3010" s="19"/>
      <c r="D3010" s="19"/>
      <c r="E3010" s="19"/>
      <c r="F3010" s="19"/>
      <c r="G3010" s="19"/>
      <c r="H3010" s="19"/>
      <c r="I3010" s="19"/>
      <c r="J3010" s="19"/>
      <c r="K3010" s="421"/>
      <c r="L3010" s="23"/>
      <c r="M3010" s="19"/>
      <c r="N3010" s="19"/>
      <c r="O3010" s="19"/>
      <c r="P3010" s="19"/>
      <c r="Q3010" s="19"/>
    </row>
    <row r="3011" spans="2:17" hidden="1">
      <c r="B3011" s="19"/>
      <c r="C3011" s="19"/>
      <c r="D3011" s="19"/>
      <c r="E3011" s="19"/>
      <c r="F3011" s="19"/>
      <c r="G3011" s="19"/>
      <c r="H3011" s="19"/>
      <c r="I3011" s="19"/>
      <c r="J3011" s="19"/>
      <c r="K3011" s="421"/>
      <c r="L3011" s="23"/>
      <c r="M3011" s="19"/>
      <c r="N3011" s="19"/>
      <c r="O3011" s="19"/>
      <c r="P3011" s="19"/>
      <c r="Q3011" s="19"/>
    </row>
    <row r="3012" spans="2:17" hidden="1">
      <c r="B3012" s="19"/>
      <c r="C3012" s="19"/>
      <c r="D3012" s="19"/>
      <c r="E3012" s="19"/>
      <c r="F3012" s="19"/>
      <c r="G3012" s="19"/>
      <c r="H3012" s="19"/>
      <c r="I3012" s="19"/>
      <c r="J3012" s="19"/>
      <c r="K3012" s="421"/>
      <c r="L3012" s="23"/>
      <c r="M3012" s="19"/>
      <c r="N3012" s="19"/>
      <c r="O3012" s="19"/>
      <c r="P3012" s="19"/>
      <c r="Q3012" s="19"/>
    </row>
    <row r="3013" spans="2:17" hidden="1">
      <c r="B3013" s="19"/>
      <c r="C3013" s="19"/>
      <c r="D3013" s="19"/>
      <c r="E3013" s="19"/>
      <c r="F3013" s="19"/>
      <c r="G3013" s="19"/>
      <c r="H3013" s="19"/>
      <c r="I3013" s="19"/>
      <c r="J3013" s="19"/>
      <c r="K3013" s="421"/>
      <c r="L3013" s="23"/>
      <c r="M3013" s="19"/>
      <c r="N3013" s="19"/>
      <c r="O3013" s="19"/>
      <c r="P3013" s="19"/>
      <c r="Q3013" s="19"/>
    </row>
    <row r="3014" spans="2:17" hidden="1">
      <c r="B3014" s="19"/>
      <c r="C3014" s="19"/>
      <c r="D3014" s="19"/>
      <c r="E3014" s="19"/>
      <c r="F3014" s="19"/>
      <c r="G3014" s="19"/>
      <c r="H3014" s="19"/>
      <c r="I3014" s="19"/>
      <c r="J3014" s="19"/>
      <c r="K3014" s="421"/>
      <c r="L3014" s="23"/>
      <c r="M3014" s="19"/>
      <c r="N3014" s="19"/>
      <c r="O3014" s="19"/>
      <c r="P3014" s="19"/>
      <c r="Q3014" s="19"/>
    </row>
    <row r="3015" spans="2:17" hidden="1">
      <c r="B3015" s="19"/>
      <c r="C3015" s="19"/>
      <c r="D3015" s="19"/>
      <c r="E3015" s="19"/>
      <c r="F3015" s="19"/>
      <c r="G3015" s="19"/>
      <c r="H3015" s="19"/>
      <c r="I3015" s="19"/>
      <c r="J3015" s="19"/>
      <c r="K3015" s="421"/>
      <c r="L3015" s="23"/>
      <c r="M3015" s="19"/>
      <c r="N3015" s="19"/>
      <c r="O3015" s="19"/>
      <c r="P3015" s="19"/>
      <c r="Q3015" s="19"/>
    </row>
    <row r="3016" spans="2:17" hidden="1">
      <c r="B3016" s="19"/>
      <c r="C3016" s="19"/>
      <c r="D3016" s="19"/>
      <c r="E3016" s="19"/>
      <c r="F3016" s="19"/>
      <c r="G3016" s="19"/>
      <c r="H3016" s="19"/>
      <c r="I3016" s="19"/>
      <c r="J3016" s="19"/>
      <c r="K3016" s="421"/>
      <c r="L3016" s="23"/>
      <c r="M3016" s="19"/>
      <c r="N3016" s="19"/>
      <c r="O3016" s="19"/>
      <c r="P3016" s="19"/>
      <c r="Q3016" s="19"/>
    </row>
    <row r="3017" spans="2:17" hidden="1">
      <c r="B3017" s="19"/>
      <c r="C3017" s="19"/>
      <c r="D3017" s="19"/>
      <c r="E3017" s="19"/>
      <c r="F3017" s="19"/>
      <c r="G3017" s="19"/>
      <c r="H3017" s="19"/>
      <c r="I3017" s="19"/>
      <c r="J3017" s="19"/>
      <c r="K3017" s="421"/>
      <c r="L3017" s="23"/>
      <c r="M3017" s="19"/>
      <c r="N3017" s="19"/>
      <c r="O3017" s="19"/>
      <c r="P3017" s="19"/>
      <c r="Q3017" s="19"/>
    </row>
    <row r="3018" spans="2:17" hidden="1">
      <c r="B3018" s="19"/>
      <c r="C3018" s="19"/>
      <c r="D3018" s="19"/>
      <c r="E3018" s="19"/>
      <c r="F3018" s="19"/>
      <c r="G3018" s="19"/>
      <c r="H3018" s="19"/>
      <c r="I3018" s="19"/>
      <c r="J3018" s="19"/>
      <c r="K3018" s="421"/>
      <c r="L3018" s="23"/>
      <c r="M3018" s="19"/>
      <c r="N3018" s="19"/>
      <c r="O3018" s="19"/>
      <c r="P3018" s="19"/>
      <c r="Q3018" s="19"/>
    </row>
    <row r="3019" spans="2:17" hidden="1">
      <c r="B3019" s="19"/>
      <c r="C3019" s="19"/>
      <c r="D3019" s="19"/>
      <c r="E3019" s="19"/>
      <c r="F3019" s="19"/>
      <c r="G3019" s="19"/>
      <c r="H3019" s="19"/>
      <c r="I3019" s="19"/>
      <c r="J3019" s="19"/>
      <c r="K3019" s="421"/>
      <c r="L3019" s="23"/>
      <c r="M3019" s="19"/>
      <c r="N3019" s="19"/>
      <c r="O3019" s="19"/>
      <c r="P3019" s="19"/>
      <c r="Q3019" s="19"/>
    </row>
    <row r="3020" spans="2:17" hidden="1">
      <c r="B3020" s="19"/>
      <c r="C3020" s="19"/>
      <c r="D3020" s="19"/>
      <c r="E3020" s="19"/>
      <c r="F3020" s="19"/>
      <c r="G3020" s="19"/>
      <c r="H3020" s="19"/>
      <c r="I3020" s="19"/>
      <c r="J3020" s="19"/>
      <c r="K3020" s="421"/>
      <c r="L3020" s="23"/>
      <c r="M3020" s="19"/>
      <c r="N3020" s="19"/>
      <c r="O3020" s="19"/>
      <c r="P3020" s="19"/>
      <c r="Q3020" s="19"/>
    </row>
    <row r="3021" spans="2:17" hidden="1">
      <c r="B3021" s="19"/>
      <c r="C3021" s="19"/>
      <c r="D3021" s="19"/>
      <c r="E3021" s="19"/>
      <c r="F3021" s="19"/>
      <c r="G3021" s="19"/>
      <c r="H3021" s="19"/>
      <c r="I3021" s="19"/>
      <c r="J3021" s="19"/>
      <c r="K3021" s="421"/>
      <c r="L3021" s="23"/>
      <c r="M3021" s="19"/>
      <c r="N3021" s="19"/>
      <c r="O3021" s="19"/>
      <c r="P3021" s="19"/>
      <c r="Q3021" s="19"/>
    </row>
    <row r="3022" spans="2:17" hidden="1">
      <c r="B3022" s="19"/>
      <c r="C3022" s="19"/>
      <c r="D3022" s="19"/>
      <c r="E3022" s="19"/>
      <c r="F3022" s="19"/>
      <c r="G3022" s="19"/>
      <c r="H3022" s="19"/>
      <c r="I3022" s="19"/>
      <c r="J3022" s="19"/>
      <c r="K3022" s="421"/>
      <c r="L3022" s="23"/>
      <c r="M3022" s="19"/>
      <c r="N3022" s="19"/>
      <c r="O3022" s="19"/>
      <c r="P3022" s="19"/>
      <c r="Q3022" s="19"/>
    </row>
    <row r="3023" spans="2:17" hidden="1">
      <c r="B3023" s="19"/>
      <c r="C3023" s="19"/>
      <c r="D3023" s="19"/>
      <c r="E3023" s="19"/>
      <c r="F3023" s="19"/>
      <c r="G3023" s="19"/>
      <c r="H3023" s="19"/>
      <c r="I3023" s="19"/>
      <c r="J3023" s="19"/>
      <c r="K3023" s="421"/>
      <c r="L3023" s="23"/>
      <c r="M3023" s="19"/>
      <c r="N3023" s="19"/>
      <c r="O3023" s="19"/>
      <c r="P3023" s="19"/>
      <c r="Q3023" s="19"/>
    </row>
    <row r="3024" spans="2:17" hidden="1">
      <c r="B3024" s="19"/>
      <c r="C3024" s="19"/>
      <c r="D3024" s="19"/>
      <c r="E3024" s="19"/>
      <c r="F3024" s="19"/>
      <c r="G3024" s="19"/>
      <c r="H3024" s="19"/>
      <c r="I3024" s="19"/>
      <c r="J3024" s="19"/>
      <c r="K3024" s="421"/>
      <c r="L3024" s="23"/>
      <c r="M3024" s="19"/>
      <c r="N3024" s="19"/>
      <c r="O3024" s="19"/>
      <c r="P3024" s="19"/>
      <c r="Q3024" s="19"/>
    </row>
    <row r="3025" spans="2:17" hidden="1">
      <c r="B3025" s="19"/>
      <c r="C3025" s="19"/>
      <c r="D3025" s="19"/>
      <c r="E3025" s="19"/>
      <c r="F3025" s="19"/>
      <c r="G3025" s="19"/>
      <c r="H3025" s="19"/>
      <c r="I3025" s="19"/>
      <c r="J3025" s="19"/>
      <c r="K3025" s="421"/>
      <c r="L3025" s="23"/>
      <c r="M3025" s="19"/>
      <c r="N3025" s="19"/>
      <c r="O3025" s="19"/>
      <c r="P3025" s="19"/>
      <c r="Q3025" s="19"/>
    </row>
    <row r="3026" spans="2:17" hidden="1">
      <c r="B3026" s="19"/>
      <c r="C3026" s="19"/>
      <c r="D3026" s="19"/>
      <c r="E3026" s="19"/>
      <c r="F3026" s="19"/>
      <c r="G3026" s="19"/>
      <c r="H3026" s="19"/>
      <c r="I3026" s="19"/>
      <c r="J3026" s="19"/>
      <c r="K3026" s="421"/>
      <c r="L3026" s="23"/>
      <c r="M3026" s="19"/>
      <c r="N3026" s="19"/>
      <c r="O3026" s="19"/>
      <c r="P3026" s="19"/>
      <c r="Q3026" s="19"/>
    </row>
    <row r="3027" spans="2:17" hidden="1">
      <c r="B3027" s="19"/>
      <c r="C3027" s="19"/>
      <c r="D3027" s="19"/>
      <c r="E3027" s="19"/>
      <c r="F3027" s="19"/>
      <c r="G3027" s="19"/>
      <c r="H3027" s="19"/>
      <c r="I3027" s="19"/>
      <c r="J3027" s="19"/>
      <c r="K3027" s="421"/>
      <c r="L3027" s="23"/>
      <c r="M3027" s="19"/>
      <c r="N3027" s="19"/>
      <c r="O3027" s="19"/>
      <c r="P3027" s="19"/>
      <c r="Q3027" s="19"/>
    </row>
    <row r="3028" spans="2:17" hidden="1">
      <c r="B3028" s="19"/>
      <c r="C3028" s="19"/>
      <c r="D3028" s="19"/>
      <c r="E3028" s="19"/>
      <c r="F3028" s="19"/>
      <c r="G3028" s="19"/>
      <c r="H3028" s="19"/>
      <c r="I3028" s="19"/>
      <c r="J3028" s="19"/>
      <c r="K3028" s="421"/>
      <c r="L3028" s="23"/>
      <c r="M3028" s="19"/>
      <c r="N3028" s="19"/>
      <c r="O3028" s="19"/>
      <c r="P3028" s="19"/>
      <c r="Q3028" s="19"/>
    </row>
    <row r="3029" spans="2:17" hidden="1">
      <c r="B3029" s="19"/>
      <c r="C3029" s="19"/>
      <c r="D3029" s="19"/>
      <c r="E3029" s="19"/>
      <c r="F3029" s="19"/>
      <c r="G3029" s="19"/>
      <c r="H3029" s="19"/>
      <c r="I3029" s="19"/>
      <c r="J3029" s="19"/>
      <c r="K3029" s="421"/>
      <c r="L3029" s="23"/>
      <c r="M3029" s="19"/>
      <c r="N3029" s="19"/>
      <c r="O3029" s="19"/>
      <c r="P3029" s="19"/>
      <c r="Q3029" s="19"/>
    </row>
    <row r="3030" spans="2:17" hidden="1">
      <c r="B3030" s="19"/>
      <c r="C3030" s="19"/>
      <c r="D3030" s="19"/>
      <c r="E3030" s="19"/>
      <c r="F3030" s="19"/>
      <c r="G3030" s="19"/>
      <c r="H3030" s="19"/>
      <c r="I3030" s="19"/>
      <c r="J3030" s="19"/>
      <c r="K3030" s="421"/>
      <c r="L3030" s="23"/>
      <c r="M3030" s="19"/>
      <c r="N3030" s="19"/>
      <c r="O3030" s="19"/>
      <c r="P3030" s="19"/>
      <c r="Q3030" s="19"/>
    </row>
    <row r="3031" spans="2:17" hidden="1">
      <c r="B3031" s="19"/>
      <c r="C3031" s="19"/>
      <c r="D3031" s="19"/>
      <c r="E3031" s="19"/>
      <c r="F3031" s="19"/>
      <c r="G3031" s="19"/>
      <c r="H3031" s="19"/>
      <c r="I3031" s="19"/>
      <c r="J3031" s="19"/>
      <c r="K3031" s="421"/>
      <c r="L3031" s="23"/>
      <c r="M3031" s="19"/>
      <c r="N3031" s="19"/>
      <c r="O3031" s="19"/>
      <c r="P3031" s="19"/>
      <c r="Q3031" s="19"/>
    </row>
    <row r="3032" spans="2:17" hidden="1">
      <c r="B3032" s="19"/>
      <c r="C3032" s="19"/>
      <c r="D3032" s="19"/>
      <c r="E3032" s="19"/>
      <c r="F3032" s="19"/>
      <c r="G3032" s="19"/>
      <c r="H3032" s="19"/>
      <c r="I3032" s="19"/>
      <c r="J3032" s="19"/>
      <c r="K3032" s="421"/>
      <c r="L3032" s="23"/>
      <c r="M3032" s="19"/>
      <c r="N3032" s="19"/>
      <c r="O3032" s="19"/>
      <c r="P3032" s="19"/>
      <c r="Q3032" s="19"/>
    </row>
    <row r="3033" spans="2:17" hidden="1">
      <c r="B3033" s="19"/>
      <c r="C3033" s="19"/>
      <c r="D3033" s="19"/>
      <c r="E3033" s="19"/>
      <c r="F3033" s="19"/>
      <c r="G3033" s="19"/>
      <c r="H3033" s="19"/>
      <c r="I3033" s="19"/>
      <c r="J3033" s="19"/>
      <c r="K3033" s="421"/>
      <c r="L3033" s="23"/>
      <c r="M3033" s="19"/>
      <c r="N3033" s="19"/>
      <c r="O3033" s="19"/>
      <c r="P3033" s="19"/>
      <c r="Q3033" s="19"/>
    </row>
    <row r="3034" spans="2:17" hidden="1">
      <c r="B3034" s="19"/>
      <c r="C3034" s="19"/>
      <c r="D3034" s="19"/>
      <c r="E3034" s="19"/>
      <c r="F3034" s="19"/>
      <c r="G3034" s="19"/>
      <c r="H3034" s="19"/>
      <c r="I3034" s="19"/>
      <c r="J3034" s="19"/>
      <c r="K3034" s="421"/>
      <c r="L3034" s="23"/>
      <c r="M3034" s="19"/>
      <c r="N3034" s="19"/>
      <c r="O3034" s="19"/>
      <c r="P3034" s="19"/>
      <c r="Q3034" s="19"/>
    </row>
    <row r="3035" spans="2:17" hidden="1">
      <c r="B3035" s="19"/>
      <c r="C3035" s="19"/>
      <c r="D3035" s="19"/>
      <c r="E3035" s="19"/>
      <c r="F3035" s="19"/>
      <c r="G3035" s="19"/>
      <c r="H3035" s="19"/>
      <c r="I3035" s="19"/>
      <c r="J3035" s="19"/>
      <c r="K3035" s="421"/>
      <c r="L3035" s="23"/>
      <c r="M3035" s="19"/>
      <c r="N3035" s="19"/>
      <c r="O3035" s="19"/>
      <c r="P3035" s="19"/>
      <c r="Q3035" s="19"/>
    </row>
    <row r="3036" spans="2:17" hidden="1">
      <c r="B3036" s="19"/>
      <c r="C3036" s="19"/>
      <c r="D3036" s="19"/>
      <c r="E3036" s="19"/>
      <c r="F3036" s="19"/>
      <c r="G3036" s="19"/>
      <c r="H3036" s="19"/>
      <c r="I3036" s="19"/>
      <c r="J3036" s="19"/>
      <c r="K3036" s="421"/>
      <c r="L3036" s="23"/>
      <c r="M3036" s="19"/>
      <c r="N3036" s="19"/>
      <c r="O3036" s="19"/>
      <c r="P3036" s="19"/>
      <c r="Q3036" s="19"/>
    </row>
    <row r="3037" spans="2:17" hidden="1">
      <c r="B3037" s="19"/>
      <c r="C3037" s="19"/>
      <c r="D3037" s="19"/>
      <c r="E3037" s="19"/>
      <c r="F3037" s="19"/>
      <c r="G3037" s="19"/>
      <c r="H3037" s="19"/>
      <c r="I3037" s="19"/>
      <c r="J3037" s="19"/>
      <c r="K3037" s="421"/>
      <c r="L3037" s="23"/>
      <c r="M3037" s="19"/>
      <c r="N3037" s="19"/>
      <c r="O3037" s="19"/>
      <c r="P3037" s="19"/>
      <c r="Q3037" s="19"/>
    </row>
    <row r="3038" spans="2:17" hidden="1">
      <c r="B3038" s="19"/>
      <c r="C3038" s="19"/>
      <c r="D3038" s="19"/>
      <c r="E3038" s="19"/>
      <c r="F3038" s="19"/>
      <c r="G3038" s="19"/>
      <c r="H3038" s="19"/>
      <c r="I3038" s="19"/>
      <c r="J3038" s="19"/>
      <c r="K3038" s="421"/>
      <c r="L3038" s="23"/>
      <c r="M3038" s="19"/>
      <c r="N3038" s="19"/>
      <c r="O3038" s="19"/>
      <c r="P3038" s="19"/>
      <c r="Q3038" s="19"/>
    </row>
    <row r="3039" spans="2:17" hidden="1">
      <c r="B3039" s="19"/>
      <c r="C3039" s="19"/>
      <c r="D3039" s="19"/>
      <c r="E3039" s="19"/>
      <c r="F3039" s="19"/>
      <c r="G3039" s="19"/>
      <c r="H3039" s="19"/>
      <c r="I3039" s="19"/>
      <c r="J3039" s="19"/>
      <c r="K3039" s="421"/>
      <c r="L3039" s="23"/>
      <c r="M3039" s="19"/>
      <c r="N3039" s="19"/>
      <c r="O3039" s="19"/>
      <c r="P3039" s="19"/>
      <c r="Q3039" s="19"/>
    </row>
    <row r="3040" spans="2:17" hidden="1">
      <c r="B3040" s="19"/>
      <c r="C3040" s="19"/>
      <c r="D3040" s="19"/>
      <c r="E3040" s="19"/>
      <c r="F3040" s="19"/>
      <c r="G3040" s="19"/>
      <c r="H3040" s="19"/>
      <c r="I3040" s="19"/>
      <c r="J3040" s="19"/>
      <c r="K3040" s="421"/>
      <c r="L3040" s="23"/>
      <c r="M3040" s="19"/>
      <c r="N3040" s="19"/>
      <c r="O3040" s="19"/>
      <c r="P3040" s="19"/>
      <c r="Q3040" s="19"/>
    </row>
    <row r="3041" spans="2:17" hidden="1">
      <c r="B3041" s="19"/>
      <c r="C3041" s="19"/>
      <c r="D3041" s="19"/>
      <c r="E3041" s="19"/>
      <c r="F3041" s="19"/>
      <c r="G3041" s="19"/>
      <c r="H3041" s="19"/>
      <c r="I3041" s="19"/>
      <c r="J3041" s="19"/>
      <c r="K3041" s="421"/>
      <c r="L3041" s="23"/>
      <c r="M3041" s="19"/>
      <c r="N3041" s="19"/>
      <c r="O3041" s="19"/>
      <c r="P3041" s="19"/>
      <c r="Q3041" s="19"/>
    </row>
    <row r="3042" spans="2:17" hidden="1">
      <c r="B3042" s="19"/>
      <c r="C3042" s="19"/>
      <c r="D3042" s="19"/>
      <c r="E3042" s="19"/>
      <c r="F3042" s="19"/>
      <c r="G3042" s="19"/>
      <c r="H3042" s="19"/>
      <c r="I3042" s="19"/>
      <c r="J3042" s="19"/>
      <c r="K3042" s="421"/>
      <c r="L3042" s="23"/>
      <c r="M3042" s="19"/>
      <c r="N3042" s="19"/>
      <c r="O3042" s="19"/>
      <c r="P3042" s="19"/>
      <c r="Q3042" s="19"/>
    </row>
    <row r="3043" spans="2:17" hidden="1">
      <c r="B3043" s="19"/>
      <c r="C3043" s="19"/>
      <c r="D3043" s="19"/>
      <c r="E3043" s="19"/>
      <c r="F3043" s="19"/>
      <c r="G3043" s="19"/>
      <c r="H3043" s="19"/>
      <c r="I3043" s="19"/>
      <c r="J3043" s="19"/>
      <c r="K3043" s="421"/>
      <c r="L3043" s="23"/>
      <c r="M3043" s="19"/>
      <c r="N3043" s="19"/>
      <c r="O3043" s="19"/>
      <c r="P3043" s="19"/>
      <c r="Q3043" s="19"/>
    </row>
    <row r="3044" spans="2:17" hidden="1">
      <c r="B3044" s="19"/>
      <c r="C3044" s="19"/>
      <c r="D3044" s="19"/>
      <c r="E3044" s="19"/>
      <c r="F3044" s="19"/>
      <c r="G3044" s="19"/>
      <c r="H3044" s="19"/>
      <c r="I3044" s="19"/>
      <c r="J3044" s="19"/>
      <c r="K3044" s="421"/>
      <c r="L3044" s="23"/>
      <c r="M3044" s="19"/>
      <c r="N3044" s="19"/>
      <c r="O3044" s="19"/>
      <c r="P3044" s="19"/>
      <c r="Q3044" s="19"/>
    </row>
    <row r="3045" spans="2:17" hidden="1">
      <c r="B3045" s="19"/>
      <c r="C3045" s="19"/>
      <c r="D3045" s="19"/>
      <c r="E3045" s="19"/>
      <c r="F3045" s="19"/>
      <c r="G3045" s="19"/>
      <c r="H3045" s="19"/>
      <c r="I3045" s="19"/>
      <c r="J3045" s="19"/>
      <c r="K3045" s="421"/>
      <c r="L3045" s="23"/>
      <c r="M3045" s="19"/>
      <c r="N3045" s="19"/>
      <c r="O3045" s="19"/>
      <c r="P3045" s="19"/>
      <c r="Q3045" s="19"/>
    </row>
    <row r="3046" spans="2:17" hidden="1">
      <c r="B3046" s="19"/>
      <c r="C3046" s="19"/>
      <c r="D3046" s="19"/>
      <c r="E3046" s="19"/>
      <c r="F3046" s="19"/>
      <c r="G3046" s="19"/>
      <c r="H3046" s="19"/>
      <c r="I3046" s="19"/>
      <c r="J3046" s="19"/>
      <c r="K3046" s="421"/>
      <c r="L3046" s="23"/>
      <c r="M3046" s="19"/>
      <c r="N3046" s="19"/>
      <c r="O3046" s="19"/>
      <c r="P3046" s="19"/>
      <c r="Q3046" s="19"/>
    </row>
    <row r="3047" spans="2:17" hidden="1">
      <c r="B3047" s="19"/>
      <c r="C3047" s="19"/>
      <c r="D3047" s="19"/>
      <c r="E3047" s="19"/>
      <c r="F3047" s="19"/>
      <c r="G3047" s="19"/>
      <c r="H3047" s="19"/>
      <c r="I3047" s="19"/>
      <c r="J3047" s="19"/>
      <c r="K3047" s="421"/>
      <c r="L3047" s="23"/>
      <c r="M3047" s="19"/>
      <c r="N3047" s="19"/>
      <c r="O3047" s="19"/>
      <c r="P3047" s="19"/>
      <c r="Q3047" s="19"/>
    </row>
    <row r="3048" spans="2:17" hidden="1">
      <c r="B3048" s="19"/>
      <c r="C3048" s="19"/>
      <c r="D3048" s="19"/>
      <c r="E3048" s="19"/>
      <c r="F3048" s="19"/>
      <c r="G3048" s="19"/>
      <c r="H3048" s="19"/>
      <c r="I3048" s="19"/>
      <c r="J3048" s="19"/>
      <c r="K3048" s="421"/>
      <c r="L3048" s="23"/>
      <c r="M3048" s="19"/>
      <c r="N3048" s="19"/>
      <c r="O3048" s="19"/>
      <c r="P3048" s="19"/>
      <c r="Q3048" s="19"/>
    </row>
    <row r="3049" spans="2:17" hidden="1">
      <c r="B3049" s="19"/>
      <c r="C3049" s="19"/>
      <c r="D3049" s="19"/>
      <c r="E3049" s="19"/>
      <c r="F3049" s="19"/>
      <c r="G3049" s="19"/>
      <c r="H3049" s="19"/>
      <c r="I3049" s="19"/>
      <c r="J3049" s="19"/>
      <c r="K3049" s="421"/>
      <c r="L3049" s="23"/>
      <c r="M3049" s="19"/>
      <c r="N3049" s="19"/>
      <c r="O3049" s="19"/>
      <c r="P3049" s="19"/>
      <c r="Q3049" s="19"/>
    </row>
    <row r="3050" spans="2:17" hidden="1">
      <c r="B3050" s="19"/>
      <c r="C3050" s="19"/>
      <c r="D3050" s="19"/>
      <c r="E3050" s="19"/>
      <c r="F3050" s="19"/>
      <c r="G3050" s="19"/>
      <c r="H3050" s="19"/>
      <c r="I3050" s="19"/>
      <c r="J3050" s="19"/>
      <c r="K3050" s="421"/>
      <c r="L3050" s="23"/>
      <c r="M3050" s="19"/>
      <c r="N3050" s="19"/>
      <c r="O3050" s="19"/>
      <c r="P3050" s="19"/>
      <c r="Q3050" s="19"/>
    </row>
    <row r="3051" spans="2:17" hidden="1">
      <c r="B3051" s="19"/>
      <c r="C3051" s="19"/>
      <c r="D3051" s="19"/>
      <c r="E3051" s="19"/>
      <c r="F3051" s="19"/>
      <c r="G3051" s="19"/>
      <c r="H3051" s="19"/>
      <c r="I3051" s="19"/>
      <c r="J3051" s="19"/>
      <c r="K3051" s="421"/>
      <c r="L3051" s="23"/>
      <c r="M3051" s="19"/>
      <c r="N3051" s="19"/>
      <c r="O3051" s="19"/>
      <c r="P3051" s="19"/>
      <c r="Q3051" s="19"/>
    </row>
    <row r="3052" spans="2:17" hidden="1">
      <c r="B3052" s="19"/>
      <c r="C3052" s="19"/>
      <c r="D3052" s="19"/>
      <c r="E3052" s="19"/>
      <c r="F3052" s="19"/>
      <c r="G3052" s="19"/>
      <c r="H3052" s="19"/>
      <c r="I3052" s="19"/>
      <c r="J3052" s="19"/>
      <c r="K3052" s="421"/>
      <c r="L3052" s="23"/>
      <c r="M3052" s="19"/>
      <c r="N3052" s="19"/>
      <c r="O3052" s="19"/>
      <c r="P3052" s="19"/>
      <c r="Q3052" s="19"/>
    </row>
    <row r="3053" spans="2:17" hidden="1">
      <c r="B3053" s="19"/>
      <c r="C3053" s="19"/>
      <c r="D3053" s="19"/>
      <c r="E3053" s="19"/>
      <c r="F3053" s="19"/>
      <c r="G3053" s="19"/>
      <c r="H3053" s="19"/>
      <c r="I3053" s="19"/>
      <c r="J3053" s="19"/>
      <c r="K3053" s="421"/>
      <c r="L3053" s="23"/>
      <c r="M3053" s="19"/>
      <c r="N3053" s="19"/>
      <c r="O3053" s="19"/>
      <c r="P3053" s="19"/>
      <c r="Q3053" s="19"/>
    </row>
    <row r="3054" spans="2:17" hidden="1">
      <c r="B3054" s="19"/>
      <c r="C3054" s="19"/>
      <c r="D3054" s="19"/>
      <c r="E3054" s="19"/>
      <c r="F3054" s="19"/>
      <c r="G3054" s="19"/>
      <c r="H3054" s="19"/>
      <c r="I3054" s="19"/>
      <c r="J3054" s="19"/>
      <c r="K3054" s="421"/>
      <c r="L3054" s="23"/>
      <c r="M3054" s="19"/>
      <c r="N3054" s="19"/>
      <c r="O3054" s="19"/>
      <c r="P3054" s="19"/>
      <c r="Q3054" s="19"/>
    </row>
    <row r="3055" spans="2:17" hidden="1">
      <c r="B3055" s="19"/>
      <c r="C3055" s="19"/>
      <c r="D3055" s="19"/>
      <c r="E3055" s="19"/>
      <c r="F3055" s="19"/>
      <c r="G3055" s="19"/>
      <c r="H3055" s="19"/>
      <c r="I3055" s="19"/>
      <c r="J3055" s="19"/>
      <c r="K3055" s="421"/>
      <c r="L3055" s="23"/>
      <c r="M3055" s="19"/>
      <c r="N3055" s="19"/>
      <c r="O3055" s="19"/>
      <c r="P3055" s="19"/>
      <c r="Q3055" s="19"/>
    </row>
    <row r="3056" spans="2:17" hidden="1">
      <c r="B3056" s="19"/>
      <c r="C3056" s="19"/>
      <c r="D3056" s="19"/>
      <c r="E3056" s="19"/>
      <c r="F3056" s="19"/>
      <c r="G3056" s="19"/>
      <c r="H3056" s="19"/>
      <c r="I3056" s="19"/>
      <c r="J3056" s="19"/>
      <c r="K3056" s="421"/>
      <c r="L3056" s="23"/>
      <c r="M3056" s="19"/>
      <c r="N3056" s="19"/>
      <c r="O3056" s="19"/>
      <c r="P3056" s="19"/>
      <c r="Q3056" s="19"/>
    </row>
    <row r="3057" spans="2:17" hidden="1">
      <c r="B3057" s="19"/>
      <c r="C3057" s="19"/>
      <c r="D3057" s="19"/>
      <c r="E3057" s="19"/>
      <c r="F3057" s="19"/>
      <c r="G3057" s="19"/>
      <c r="H3057" s="19"/>
      <c r="I3057" s="19"/>
      <c r="J3057" s="19"/>
      <c r="K3057" s="421"/>
      <c r="L3057" s="23"/>
      <c r="M3057" s="19"/>
      <c r="N3057" s="19"/>
      <c r="O3057" s="19"/>
      <c r="P3057" s="19"/>
      <c r="Q3057" s="19"/>
    </row>
    <row r="3058" spans="2:17" hidden="1">
      <c r="B3058" s="19"/>
      <c r="C3058" s="19"/>
      <c r="D3058" s="19"/>
      <c r="E3058" s="19"/>
      <c r="F3058" s="19"/>
      <c r="G3058" s="19"/>
      <c r="H3058" s="19"/>
      <c r="I3058" s="19"/>
      <c r="J3058" s="19"/>
      <c r="K3058" s="421"/>
      <c r="L3058" s="23"/>
      <c r="M3058" s="19"/>
      <c r="N3058" s="19"/>
      <c r="O3058" s="19"/>
      <c r="P3058" s="19"/>
      <c r="Q3058" s="19"/>
    </row>
    <row r="3059" spans="2:17" hidden="1">
      <c r="B3059" s="19"/>
      <c r="C3059" s="19"/>
      <c r="D3059" s="19"/>
      <c r="E3059" s="19"/>
      <c r="F3059" s="19"/>
      <c r="G3059" s="19"/>
      <c r="H3059" s="19"/>
      <c r="I3059" s="19"/>
      <c r="J3059" s="19"/>
      <c r="K3059" s="421"/>
      <c r="L3059" s="23"/>
      <c r="M3059" s="19"/>
      <c r="N3059" s="19"/>
      <c r="O3059" s="19"/>
      <c r="P3059" s="19"/>
      <c r="Q3059" s="19"/>
    </row>
    <row r="3060" spans="2:17" hidden="1">
      <c r="B3060" s="19"/>
      <c r="C3060" s="19"/>
      <c r="D3060" s="19"/>
      <c r="E3060" s="19"/>
      <c r="F3060" s="19"/>
      <c r="G3060" s="19"/>
      <c r="H3060" s="19"/>
      <c r="I3060" s="19"/>
      <c r="J3060" s="19"/>
      <c r="K3060" s="421"/>
      <c r="L3060" s="23"/>
      <c r="M3060" s="19"/>
      <c r="N3060" s="19"/>
      <c r="O3060" s="19"/>
      <c r="P3060" s="19"/>
      <c r="Q3060" s="19"/>
    </row>
    <row r="3061" spans="2:17" hidden="1">
      <c r="B3061" s="19"/>
      <c r="C3061" s="19"/>
      <c r="D3061" s="19"/>
      <c r="E3061" s="19"/>
      <c r="F3061" s="19"/>
      <c r="G3061" s="19"/>
      <c r="H3061" s="19"/>
      <c r="I3061" s="19"/>
      <c r="J3061" s="19"/>
      <c r="K3061" s="421"/>
      <c r="L3061" s="23"/>
      <c r="M3061" s="19"/>
      <c r="N3061" s="19"/>
      <c r="O3061" s="19"/>
      <c r="P3061" s="19"/>
      <c r="Q3061" s="19"/>
    </row>
    <row r="3062" spans="2:17" hidden="1">
      <c r="B3062" s="19"/>
      <c r="C3062" s="19"/>
      <c r="D3062" s="19"/>
      <c r="E3062" s="19"/>
      <c r="F3062" s="19"/>
      <c r="G3062" s="19"/>
      <c r="H3062" s="19"/>
      <c r="I3062" s="19"/>
      <c r="J3062" s="19"/>
      <c r="K3062" s="421"/>
      <c r="L3062" s="23"/>
      <c r="M3062" s="19"/>
      <c r="N3062" s="19"/>
      <c r="O3062" s="19"/>
      <c r="P3062" s="19"/>
      <c r="Q3062" s="19"/>
    </row>
    <row r="3063" spans="2:17" hidden="1">
      <c r="B3063" s="19"/>
      <c r="C3063" s="19"/>
      <c r="D3063" s="19"/>
      <c r="E3063" s="19"/>
      <c r="F3063" s="19"/>
      <c r="G3063" s="19"/>
      <c r="H3063" s="19"/>
      <c r="I3063" s="19"/>
      <c r="J3063" s="19"/>
      <c r="K3063" s="421"/>
      <c r="L3063" s="23"/>
      <c r="M3063" s="19"/>
      <c r="N3063" s="19"/>
      <c r="O3063" s="19"/>
      <c r="P3063" s="19"/>
      <c r="Q3063" s="19"/>
    </row>
    <row r="3064" spans="2:17" hidden="1">
      <c r="B3064" s="19"/>
      <c r="C3064" s="19"/>
      <c r="D3064" s="19"/>
      <c r="E3064" s="19"/>
      <c r="F3064" s="19"/>
      <c r="G3064" s="19"/>
      <c r="H3064" s="19"/>
      <c r="I3064" s="19"/>
      <c r="J3064" s="19"/>
      <c r="K3064" s="421"/>
      <c r="L3064" s="23"/>
      <c r="M3064" s="19"/>
      <c r="N3064" s="19"/>
      <c r="O3064" s="19"/>
      <c r="P3064" s="19"/>
      <c r="Q3064" s="19"/>
    </row>
    <row r="3065" spans="2:17" hidden="1">
      <c r="B3065" s="19"/>
      <c r="C3065" s="19"/>
      <c r="D3065" s="19"/>
      <c r="E3065" s="19"/>
      <c r="F3065" s="19"/>
      <c r="G3065" s="19"/>
      <c r="H3065" s="19"/>
      <c r="I3065" s="19"/>
      <c r="J3065" s="19"/>
      <c r="K3065" s="421"/>
      <c r="L3065" s="23"/>
      <c r="M3065" s="19"/>
      <c r="N3065" s="19"/>
      <c r="O3065" s="19"/>
      <c r="P3065" s="19"/>
      <c r="Q3065" s="19"/>
    </row>
    <row r="3066" spans="2:17" hidden="1">
      <c r="B3066" s="19"/>
      <c r="C3066" s="19"/>
      <c r="D3066" s="19"/>
      <c r="E3066" s="19"/>
      <c r="F3066" s="19"/>
      <c r="G3066" s="19"/>
      <c r="H3066" s="19"/>
      <c r="I3066" s="19"/>
      <c r="J3066" s="19"/>
      <c r="K3066" s="421"/>
      <c r="L3066" s="23"/>
      <c r="M3066" s="19"/>
      <c r="N3066" s="19"/>
      <c r="O3066" s="19"/>
      <c r="P3066" s="19"/>
      <c r="Q3066" s="19"/>
    </row>
    <row r="3067" spans="2:17" hidden="1">
      <c r="B3067" s="19"/>
      <c r="C3067" s="19"/>
      <c r="D3067" s="19"/>
      <c r="E3067" s="19"/>
      <c r="F3067" s="19"/>
      <c r="G3067" s="19"/>
      <c r="H3067" s="19"/>
      <c r="I3067" s="19"/>
      <c r="J3067" s="19"/>
      <c r="K3067" s="421"/>
      <c r="L3067" s="23"/>
      <c r="M3067" s="19"/>
      <c r="N3067" s="19"/>
      <c r="O3067" s="19"/>
      <c r="P3067" s="19"/>
      <c r="Q3067" s="19"/>
    </row>
    <row r="3068" spans="2:17" hidden="1">
      <c r="B3068" s="19"/>
      <c r="C3068" s="19"/>
      <c r="D3068" s="19"/>
      <c r="E3068" s="19"/>
      <c r="F3068" s="19"/>
      <c r="G3068" s="19"/>
      <c r="H3068" s="19"/>
      <c r="I3068" s="19"/>
      <c r="J3068" s="19"/>
      <c r="K3068" s="421"/>
      <c r="L3068" s="23"/>
      <c r="M3068" s="19"/>
      <c r="N3068" s="19"/>
      <c r="O3068" s="19"/>
      <c r="P3068" s="19"/>
      <c r="Q3068" s="19"/>
    </row>
    <row r="3069" spans="2:17" hidden="1">
      <c r="B3069" s="19"/>
      <c r="C3069" s="19"/>
      <c r="D3069" s="19"/>
      <c r="E3069" s="19"/>
      <c r="F3069" s="19"/>
      <c r="G3069" s="19"/>
      <c r="H3069" s="19"/>
      <c r="I3069" s="19"/>
      <c r="J3069" s="19"/>
      <c r="K3069" s="421"/>
      <c r="L3069" s="23"/>
      <c r="M3069" s="19"/>
      <c r="N3069" s="19"/>
      <c r="O3069" s="19"/>
      <c r="P3069" s="19"/>
      <c r="Q3069" s="19"/>
    </row>
    <row r="3070" spans="2:17" hidden="1">
      <c r="B3070" s="19"/>
      <c r="C3070" s="19"/>
      <c r="D3070" s="19"/>
      <c r="E3070" s="19"/>
      <c r="F3070" s="19"/>
      <c r="G3070" s="19"/>
      <c r="H3070" s="19"/>
      <c r="I3070" s="19"/>
      <c r="J3070" s="19"/>
      <c r="K3070" s="421"/>
      <c r="L3070" s="23"/>
      <c r="M3070" s="19"/>
      <c r="N3070" s="19"/>
      <c r="O3070" s="19"/>
      <c r="P3070" s="19"/>
      <c r="Q3070" s="19"/>
    </row>
    <row r="3071" spans="2:17" hidden="1">
      <c r="B3071" s="19"/>
      <c r="C3071" s="19"/>
      <c r="D3071" s="19"/>
      <c r="E3071" s="19"/>
      <c r="F3071" s="19"/>
      <c r="G3071" s="19"/>
      <c r="H3071" s="19"/>
      <c r="I3071" s="19"/>
      <c r="J3071" s="19"/>
      <c r="K3071" s="421"/>
      <c r="L3071" s="23"/>
      <c r="M3071" s="19"/>
      <c r="N3071" s="19"/>
      <c r="O3071" s="19"/>
      <c r="P3071" s="19"/>
      <c r="Q3071" s="19"/>
    </row>
    <row r="3072" spans="2:17" hidden="1">
      <c r="B3072" s="19"/>
      <c r="C3072" s="19"/>
      <c r="D3072" s="19"/>
      <c r="E3072" s="19"/>
      <c r="F3072" s="19"/>
      <c r="G3072" s="19"/>
      <c r="H3072" s="19"/>
      <c r="I3072" s="19"/>
      <c r="J3072" s="19"/>
      <c r="K3072" s="421"/>
      <c r="L3072" s="23"/>
      <c r="M3072" s="19"/>
      <c r="N3072" s="19"/>
      <c r="O3072" s="19"/>
      <c r="P3072" s="19"/>
      <c r="Q3072" s="19"/>
    </row>
    <row r="3073" spans="2:17" hidden="1">
      <c r="B3073" s="19"/>
      <c r="C3073" s="19"/>
      <c r="D3073" s="19"/>
      <c r="E3073" s="19"/>
      <c r="F3073" s="19"/>
      <c r="G3073" s="19"/>
      <c r="H3073" s="19"/>
      <c r="I3073" s="19"/>
      <c r="J3073" s="19"/>
      <c r="K3073" s="421"/>
      <c r="L3073" s="23"/>
      <c r="M3073" s="19"/>
      <c r="N3073" s="19"/>
      <c r="O3073" s="19"/>
      <c r="P3073" s="19"/>
      <c r="Q3073" s="19"/>
    </row>
    <row r="3074" spans="2:17" hidden="1">
      <c r="B3074" s="19"/>
      <c r="C3074" s="19"/>
      <c r="D3074" s="19"/>
      <c r="E3074" s="19"/>
      <c r="F3074" s="19"/>
      <c r="G3074" s="19"/>
      <c r="H3074" s="19"/>
      <c r="I3074" s="19"/>
      <c r="J3074" s="19"/>
      <c r="K3074" s="421"/>
      <c r="L3074" s="23"/>
      <c r="M3074" s="19"/>
      <c r="N3074" s="19"/>
      <c r="O3074" s="19"/>
      <c r="P3074" s="19"/>
      <c r="Q3074" s="19"/>
    </row>
    <row r="3075" spans="2:17" hidden="1">
      <c r="B3075" s="19"/>
      <c r="C3075" s="19"/>
      <c r="D3075" s="19"/>
      <c r="E3075" s="19"/>
      <c r="F3075" s="19"/>
      <c r="G3075" s="19"/>
      <c r="H3075" s="19"/>
      <c r="I3075" s="19"/>
      <c r="J3075" s="19"/>
      <c r="K3075" s="421"/>
      <c r="L3075" s="23"/>
      <c r="M3075" s="19"/>
      <c r="N3075" s="19"/>
      <c r="O3075" s="19"/>
      <c r="P3075" s="19"/>
      <c r="Q3075" s="19"/>
    </row>
    <row r="3076" spans="2:17" hidden="1">
      <c r="B3076" s="19"/>
      <c r="C3076" s="19"/>
      <c r="D3076" s="19"/>
      <c r="E3076" s="19"/>
      <c r="F3076" s="19"/>
      <c r="G3076" s="19"/>
      <c r="H3076" s="19"/>
      <c r="I3076" s="19"/>
      <c r="J3076" s="19"/>
      <c r="K3076" s="421"/>
      <c r="L3076" s="23"/>
      <c r="M3076" s="19"/>
      <c r="N3076" s="19"/>
      <c r="O3076" s="19"/>
      <c r="P3076" s="19"/>
      <c r="Q3076" s="19"/>
    </row>
    <row r="3077" spans="2:17" hidden="1">
      <c r="B3077" s="19"/>
      <c r="C3077" s="19"/>
      <c r="D3077" s="19"/>
      <c r="E3077" s="19"/>
      <c r="F3077" s="19"/>
      <c r="G3077" s="19"/>
      <c r="H3077" s="19"/>
      <c r="I3077" s="19"/>
      <c r="J3077" s="19"/>
      <c r="K3077" s="421"/>
      <c r="L3077" s="23"/>
      <c r="M3077" s="19"/>
      <c r="N3077" s="19"/>
      <c r="O3077" s="19"/>
      <c r="P3077" s="19"/>
      <c r="Q3077" s="19"/>
    </row>
    <row r="3078" spans="2:17" hidden="1">
      <c r="B3078" s="19"/>
      <c r="C3078" s="19"/>
      <c r="D3078" s="19"/>
      <c r="E3078" s="19"/>
      <c r="F3078" s="19"/>
      <c r="G3078" s="19"/>
      <c r="H3078" s="19"/>
      <c r="I3078" s="19"/>
      <c r="J3078" s="19"/>
      <c r="K3078" s="421"/>
      <c r="L3078" s="23"/>
      <c r="M3078" s="19"/>
      <c r="N3078" s="19"/>
      <c r="O3078" s="19"/>
      <c r="P3078" s="19"/>
      <c r="Q3078" s="19"/>
    </row>
    <row r="3079" spans="2:17" hidden="1">
      <c r="B3079" s="19"/>
      <c r="C3079" s="19"/>
      <c r="D3079" s="19"/>
      <c r="E3079" s="19"/>
      <c r="F3079" s="19"/>
      <c r="G3079" s="19"/>
      <c r="H3079" s="19"/>
      <c r="I3079" s="19"/>
      <c r="J3079" s="19"/>
      <c r="K3079" s="421"/>
      <c r="L3079" s="23"/>
      <c r="M3079" s="19"/>
      <c r="N3079" s="19"/>
      <c r="O3079" s="19"/>
      <c r="P3079" s="19"/>
      <c r="Q3079" s="19"/>
    </row>
    <row r="3080" spans="2:17" hidden="1">
      <c r="B3080" s="19"/>
      <c r="C3080" s="19"/>
      <c r="D3080" s="19"/>
      <c r="E3080" s="19"/>
      <c r="F3080" s="19"/>
      <c r="G3080" s="19"/>
      <c r="H3080" s="19"/>
      <c r="I3080" s="19"/>
      <c r="J3080" s="19"/>
      <c r="K3080" s="421"/>
      <c r="L3080" s="23"/>
      <c r="M3080" s="19"/>
      <c r="N3080" s="19"/>
      <c r="O3080" s="19"/>
      <c r="P3080" s="19"/>
      <c r="Q3080" s="19"/>
    </row>
    <row r="3081" spans="2:17" hidden="1">
      <c r="B3081" s="19"/>
      <c r="C3081" s="19"/>
      <c r="D3081" s="19"/>
      <c r="E3081" s="19"/>
      <c r="F3081" s="19"/>
      <c r="G3081" s="19"/>
      <c r="H3081" s="19"/>
      <c r="I3081" s="19"/>
      <c r="J3081" s="19"/>
      <c r="K3081" s="421"/>
      <c r="L3081" s="23"/>
      <c r="M3081" s="19"/>
      <c r="N3081" s="19"/>
      <c r="O3081" s="19"/>
      <c r="P3081" s="19"/>
      <c r="Q3081" s="19"/>
    </row>
    <row r="3082" spans="2:17" hidden="1">
      <c r="B3082" s="19"/>
      <c r="C3082" s="19"/>
      <c r="D3082" s="19"/>
      <c r="E3082" s="19"/>
      <c r="F3082" s="19"/>
      <c r="G3082" s="19"/>
      <c r="H3082" s="19"/>
      <c r="I3082" s="19"/>
      <c r="J3082" s="19"/>
      <c r="K3082" s="421"/>
      <c r="L3082" s="23"/>
      <c r="M3082" s="19"/>
      <c r="N3082" s="19"/>
      <c r="O3082" s="19"/>
      <c r="P3082" s="19"/>
      <c r="Q3082" s="19"/>
    </row>
    <row r="3083" spans="2:17" hidden="1">
      <c r="B3083" s="19"/>
      <c r="C3083" s="19"/>
      <c r="D3083" s="19"/>
      <c r="E3083" s="19"/>
      <c r="F3083" s="19"/>
      <c r="G3083" s="19"/>
      <c r="H3083" s="19"/>
      <c r="I3083" s="19"/>
      <c r="J3083" s="19"/>
      <c r="K3083" s="421"/>
      <c r="L3083" s="23"/>
      <c r="M3083" s="19"/>
      <c r="N3083" s="19"/>
      <c r="O3083" s="19"/>
      <c r="P3083" s="19"/>
      <c r="Q3083" s="19"/>
    </row>
    <row r="3084" spans="2:17" hidden="1">
      <c r="B3084" s="19"/>
      <c r="C3084" s="19"/>
      <c r="D3084" s="19"/>
      <c r="E3084" s="19"/>
      <c r="F3084" s="19"/>
      <c r="G3084" s="19"/>
      <c r="H3084" s="19"/>
      <c r="I3084" s="19"/>
      <c r="J3084" s="19"/>
      <c r="K3084" s="421"/>
      <c r="L3084" s="23"/>
      <c r="M3084" s="19"/>
      <c r="N3084" s="19"/>
      <c r="O3084" s="19"/>
      <c r="P3084" s="19"/>
      <c r="Q3084" s="19"/>
    </row>
    <row r="3085" spans="2:17" hidden="1">
      <c r="B3085" s="19"/>
      <c r="C3085" s="19"/>
      <c r="D3085" s="19"/>
      <c r="E3085" s="19"/>
      <c r="F3085" s="19"/>
      <c r="G3085" s="19"/>
      <c r="H3085" s="19"/>
      <c r="I3085" s="19"/>
      <c r="J3085" s="19"/>
      <c r="K3085" s="421"/>
      <c r="L3085" s="23"/>
      <c r="M3085" s="19"/>
      <c r="N3085" s="19"/>
      <c r="O3085" s="19"/>
      <c r="P3085" s="19"/>
      <c r="Q3085" s="19"/>
    </row>
    <row r="3086" spans="2:17" hidden="1">
      <c r="B3086" s="19"/>
      <c r="C3086" s="19"/>
      <c r="D3086" s="19"/>
      <c r="E3086" s="19"/>
      <c r="F3086" s="19"/>
      <c r="G3086" s="19"/>
      <c r="H3086" s="19"/>
      <c r="I3086" s="19"/>
      <c r="J3086" s="19"/>
      <c r="K3086" s="421"/>
      <c r="L3086" s="23"/>
      <c r="M3086" s="19"/>
      <c r="N3086" s="19"/>
      <c r="O3086" s="19"/>
      <c r="P3086" s="19"/>
      <c r="Q3086" s="19"/>
    </row>
    <row r="3087" spans="2:17" hidden="1">
      <c r="B3087" s="19"/>
      <c r="C3087" s="19"/>
      <c r="D3087" s="19"/>
      <c r="E3087" s="19"/>
      <c r="F3087" s="19"/>
      <c r="G3087" s="19"/>
      <c r="H3087" s="19"/>
      <c r="I3087" s="19"/>
      <c r="J3087" s="19"/>
      <c r="K3087" s="421"/>
      <c r="L3087" s="23"/>
      <c r="M3087" s="19"/>
      <c r="N3087" s="19"/>
      <c r="O3087" s="19"/>
      <c r="P3087" s="19"/>
      <c r="Q3087" s="19"/>
    </row>
    <row r="3088" spans="2:17" hidden="1">
      <c r="B3088" s="19"/>
      <c r="C3088" s="19"/>
      <c r="D3088" s="19"/>
      <c r="E3088" s="19"/>
      <c r="F3088" s="19"/>
      <c r="G3088" s="19"/>
      <c r="H3088" s="19"/>
      <c r="I3088" s="19"/>
      <c r="J3088" s="19"/>
      <c r="K3088" s="421"/>
      <c r="L3088" s="23"/>
      <c r="M3088" s="19"/>
      <c r="N3088" s="19"/>
      <c r="O3088" s="19"/>
      <c r="P3088" s="19"/>
      <c r="Q3088" s="19"/>
    </row>
    <row r="3089" spans="1:17" hidden="1">
      <c r="B3089" s="19"/>
      <c r="C3089" s="19"/>
      <c r="D3089" s="19"/>
      <c r="E3089" s="19"/>
      <c r="F3089" s="19"/>
      <c r="G3089" s="19"/>
      <c r="H3089" s="19"/>
      <c r="I3089" s="19"/>
      <c r="J3089" s="19"/>
      <c r="K3089" s="421"/>
      <c r="L3089" s="23"/>
      <c r="M3089" s="19"/>
      <c r="N3089" s="19"/>
      <c r="O3089" s="19"/>
      <c r="P3089" s="19"/>
      <c r="Q3089" s="19"/>
    </row>
    <row r="3090" spans="1:17" hidden="1">
      <c r="B3090" s="19"/>
      <c r="C3090" s="19"/>
      <c r="D3090" s="19"/>
      <c r="E3090" s="19"/>
      <c r="F3090" s="19"/>
      <c r="G3090" s="19"/>
      <c r="H3090" s="19"/>
      <c r="I3090" s="19"/>
      <c r="J3090" s="19"/>
      <c r="K3090" s="421"/>
      <c r="L3090" s="23"/>
      <c r="M3090" s="19"/>
      <c r="N3090" s="19"/>
      <c r="O3090" s="19"/>
      <c r="P3090" s="19"/>
      <c r="Q3090" s="19"/>
    </row>
    <row r="3091" spans="1:17" hidden="1">
      <c r="B3091" s="19"/>
      <c r="C3091" s="19"/>
      <c r="D3091" s="19"/>
      <c r="E3091" s="19"/>
      <c r="F3091" s="19"/>
      <c r="G3091" s="19"/>
      <c r="H3091" s="19"/>
      <c r="I3091" s="19"/>
      <c r="J3091" s="19"/>
      <c r="K3091" s="421"/>
      <c r="L3091" s="23"/>
      <c r="M3091" s="19"/>
      <c r="N3091" s="19"/>
      <c r="O3091" s="19"/>
      <c r="P3091" s="19"/>
      <c r="Q3091" s="19"/>
    </row>
    <row r="3092" spans="1:17" hidden="1">
      <c r="B3092" s="19"/>
      <c r="C3092" s="19"/>
      <c r="D3092" s="19"/>
      <c r="E3092" s="19"/>
      <c r="F3092" s="19"/>
      <c r="G3092" s="19"/>
      <c r="H3092" s="19"/>
      <c r="I3092" s="19"/>
      <c r="J3092" s="19"/>
      <c r="K3092" s="421"/>
      <c r="L3092" s="23"/>
      <c r="M3092" s="19"/>
      <c r="N3092" s="19"/>
      <c r="O3092" s="19"/>
      <c r="P3092" s="19"/>
      <c r="Q3092" s="19"/>
    </row>
    <row r="3093" spans="1:17" hidden="1">
      <c r="B3093" s="19"/>
      <c r="C3093" s="19"/>
      <c r="D3093" s="19"/>
      <c r="E3093" s="19"/>
      <c r="F3093" s="19"/>
      <c r="G3093" s="19"/>
      <c r="H3093" s="19"/>
      <c r="I3093" s="19"/>
      <c r="J3093" s="19"/>
      <c r="K3093" s="421"/>
      <c r="L3093" s="23"/>
      <c r="M3093" s="19"/>
      <c r="N3093" s="19"/>
      <c r="O3093" s="19"/>
      <c r="P3093" s="19"/>
      <c r="Q3093" s="19"/>
    </row>
    <row r="3094" spans="1:17" hidden="1">
      <c r="A3094" s="22"/>
      <c r="B3094" s="22"/>
      <c r="C3094" s="22"/>
      <c r="D3094" s="22"/>
      <c r="E3094" s="22"/>
      <c r="F3094" s="22"/>
      <c r="G3094" s="22"/>
      <c r="H3094" s="22"/>
      <c r="J3094" s="22"/>
      <c r="K3094" s="423"/>
      <c r="L3094" s="297"/>
      <c r="M3094" s="297"/>
      <c r="N3094" s="297"/>
      <c r="O3094" s="298"/>
      <c r="P3094" s="22"/>
      <c r="Q3094" s="22"/>
    </row>
    <row r="3095" spans="1:17" hidden="1">
      <c r="A3095" s="22"/>
      <c r="B3095" s="22"/>
      <c r="C3095" s="22"/>
      <c r="D3095" s="22"/>
      <c r="E3095" s="22"/>
      <c r="F3095" s="22"/>
      <c r="G3095" s="22"/>
      <c r="H3095" s="22"/>
      <c r="J3095" s="22"/>
      <c r="L3095" s="22"/>
      <c r="M3095" s="22"/>
      <c r="N3095" s="22"/>
      <c r="O3095" s="298"/>
      <c r="P3095" s="22"/>
      <c r="Q3095" s="22"/>
    </row>
    <row r="3096" spans="1:17" hidden="1">
      <c r="A3096" s="22"/>
      <c r="B3096" s="22"/>
      <c r="C3096" s="22"/>
      <c r="D3096" s="22"/>
      <c r="E3096" s="22"/>
      <c r="F3096" s="22"/>
      <c r="G3096" s="22"/>
      <c r="H3096" s="22"/>
      <c r="J3096" s="22"/>
      <c r="L3096" s="22"/>
      <c r="M3096" s="22"/>
      <c r="N3096" s="22"/>
      <c r="O3096" s="298"/>
      <c r="P3096" s="22"/>
      <c r="Q3096" s="22"/>
    </row>
    <row r="3097" spans="1:17" hidden="1">
      <c r="A3097" s="22"/>
      <c r="B3097" s="22"/>
      <c r="C3097" s="22"/>
      <c r="D3097" s="22"/>
      <c r="E3097" s="22"/>
      <c r="F3097" s="22"/>
      <c r="G3097" s="22"/>
      <c r="H3097" s="22"/>
      <c r="J3097" s="22"/>
      <c r="L3097" s="22"/>
      <c r="M3097" s="22"/>
      <c r="N3097" s="22"/>
      <c r="O3097" s="298"/>
      <c r="P3097" s="22"/>
      <c r="Q3097" s="22"/>
    </row>
    <row r="3098" spans="1:17" hidden="1">
      <c r="A3098" s="22"/>
      <c r="B3098" s="22"/>
      <c r="C3098" s="22"/>
      <c r="D3098" s="22"/>
      <c r="E3098" s="22"/>
      <c r="F3098" s="22"/>
      <c r="G3098" s="22"/>
      <c r="H3098" s="22"/>
      <c r="J3098" s="22"/>
      <c r="L3098" s="22"/>
      <c r="M3098" s="22"/>
      <c r="N3098" s="22"/>
      <c r="O3098" s="298"/>
      <c r="P3098" s="22"/>
      <c r="Q3098" s="22"/>
    </row>
    <row r="3099" spans="1:17" hidden="1">
      <c r="A3099" s="22"/>
      <c r="B3099" s="22"/>
      <c r="C3099" s="22"/>
      <c r="D3099" s="22"/>
      <c r="E3099" s="22"/>
      <c r="F3099" s="22"/>
      <c r="G3099" s="22"/>
      <c r="H3099" s="22"/>
      <c r="J3099" s="22"/>
      <c r="L3099" s="22"/>
      <c r="M3099" s="22"/>
      <c r="N3099" s="22"/>
      <c r="O3099" s="298"/>
      <c r="P3099" s="22"/>
      <c r="Q3099" s="22"/>
    </row>
    <row r="3100" spans="1:17" hidden="1">
      <c r="A3100" s="22"/>
      <c r="B3100" s="22"/>
      <c r="C3100" s="22"/>
      <c r="D3100" s="22"/>
      <c r="E3100" s="22"/>
      <c r="F3100" s="22"/>
      <c r="G3100" s="22"/>
      <c r="H3100" s="22"/>
      <c r="J3100" s="22"/>
      <c r="L3100" s="22"/>
      <c r="M3100" s="22"/>
      <c r="N3100" s="22"/>
      <c r="O3100" s="298"/>
      <c r="P3100" s="22"/>
      <c r="Q3100" s="22"/>
    </row>
    <row r="3101" spans="1:17" hidden="1">
      <c r="A3101" s="22"/>
      <c r="B3101" s="22"/>
      <c r="C3101" s="22"/>
      <c r="D3101" s="22"/>
      <c r="E3101" s="22"/>
      <c r="F3101" s="22"/>
      <c r="G3101" s="22"/>
      <c r="H3101" s="22"/>
      <c r="J3101" s="22"/>
      <c r="L3101" s="22"/>
      <c r="M3101" s="22"/>
      <c r="N3101" s="22"/>
      <c r="O3101" s="298"/>
      <c r="P3101" s="22"/>
      <c r="Q3101" s="22"/>
    </row>
    <row r="3102" spans="1:17" hidden="1"/>
    <row r="3103" spans="1:17" hidden="1"/>
    <row r="3104" spans="1:17" hidden="1"/>
    <row r="3105" spans="1:28" ht="18.75">
      <c r="A3105" s="410" t="s">
        <v>435</v>
      </c>
      <c r="B3105" s="410"/>
      <c r="C3105" s="410"/>
      <c r="D3105" s="410"/>
      <c r="E3105" s="410"/>
      <c r="F3105" s="410"/>
      <c r="G3105" s="410"/>
      <c r="H3105" s="410"/>
      <c r="I3105" s="410"/>
      <c r="J3105" s="410"/>
      <c r="K3105" s="410"/>
      <c r="L3105" s="410"/>
      <c r="M3105" s="410"/>
      <c r="N3105" s="410"/>
      <c r="O3105" s="410"/>
      <c r="P3105" s="410"/>
      <c r="Q3105" s="410"/>
      <c r="V3105" s="914"/>
      <c r="W3105" s="914"/>
      <c r="X3105" s="38"/>
    </row>
    <row r="3106" spans="1:28">
      <c r="B3106" s="21">
        <f>COUNT(B3109:B3159)</f>
        <v>51</v>
      </c>
      <c r="C3106" s="21">
        <f t="shared" ref="C3106:I3106" si="44">COUNT(C3109:C3159)</f>
        <v>51</v>
      </c>
      <c r="D3106" s="21">
        <f t="shared" si="44"/>
        <v>51</v>
      </c>
      <c r="E3106" s="21">
        <f t="shared" si="44"/>
        <v>51</v>
      </c>
      <c r="F3106" s="21">
        <f t="shared" si="44"/>
        <v>51</v>
      </c>
      <c r="G3106" s="21">
        <f t="shared" si="44"/>
        <v>51</v>
      </c>
      <c r="H3106" s="21">
        <f t="shared" si="44"/>
        <v>51</v>
      </c>
      <c r="I3106" s="21">
        <f t="shared" si="44"/>
        <v>51</v>
      </c>
      <c r="L3106" s="21">
        <f>COUNT(L3109:L3135)</f>
        <v>27</v>
      </c>
      <c r="M3106" s="21">
        <f t="shared" ref="M3106:T3106" si="45">COUNT(M3109:M3135)</f>
        <v>27</v>
      </c>
      <c r="N3106" s="21">
        <f t="shared" si="45"/>
        <v>27</v>
      </c>
      <c r="O3106" s="21">
        <f t="shared" si="45"/>
        <v>27</v>
      </c>
      <c r="P3106" s="21">
        <f t="shared" si="45"/>
        <v>27</v>
      </c>
      <c r="Q3106" s="21">
        <f t="shared" si="45"/>
        <v>27</v>
      </c>
      <c r="R3106" s="21">
        <f t="shared" si="45"/>
        <v>27</v>
      </c>
      <c r="S3106" s="21">
        <f t="shared" si="45"/>
        <v>27</v>
      </c>
      <c r="T3106" s="21">
        <f t="shared" si="45"/>
        <v>27</v>
      </c>
      <c r="V3106" s="916"/>
      <c r="W3106" s="916"/>
      <c r="X3106" s="39"/>
      <c r="Z3106" s="916"/>
      <c r="AA3106" s="916"/>
      <c r="AB3106" s="40"/>
    </row>
    <row r="3107" spans="1:28" ht="15" customHeight="1">
      <c r="A3107" s="915" t="s">
        <v>417</v>
      </c>
      <c r="B3107" s="21">
        <f>COUNTA(B3109:B3159)</f>
        <v>51</v>
      </c>
      <c r="C3107" s="21">
        <f t="shared" ref="C3107:I3107" si="46">COUNTA(C3109:C3159)</f>
        <v>51</v>
      </c>
      <c r="D3107" s="21">
        <f t="shared" si="46"/>
        <v>51</v>
      </c>
      <c r="E3107" s="21">
        <f t="shared" si="46"/>
        <v>51</v>
      </c>
      <c r="F3107" s="21">
        <f t="shared" si="46"/>
        <v>51</v>
      </c>
      <c r="G3107" s="21">
        <f t="shared" si="46"/>
        <v>51</v>
      </c>
      <c r="H3107" s="21">
        <f t="shared" si="46"/>
        <v>51</v>
      </c>
      <c r="I3107" s="21">
        <f t="shared" si="46"/>
        <v>51</v>
      </c>
      <c r="J3107" s="905" t="s">
        <v>418</v>
      </c>
      <c r="K3107" s="906" t="s">
        <v>419</v>
      </c>
      <c r="L3107" s="21">
        <f>COUNTA(L3109:L3135)</f>
        <v>27</v>
      </c>
      <c r="M3107" s="21">
        <f t="shared" ref="M3107:T3107" si="47">COUNTA(M3109:M3135)</f>
        <v>27</v>
      </c>
      <c r="N3107" s="21">
        <f t="shared" si="47"/>
        <v>27</v>
      </c>
      <c r="O3107" s="21">
        <f t="shared" si="47"/>
        <v>27</v>
      </c>
      <c r="P3107" s="21">
        <f t="shared" si="47"/>
        <v>27</v>
      </c>
      <c r="Q3107" s="21">
        <f t="shared" si="47"/>
        <v>27</v>
      </c>
      <c r="R3107" s="21">
        <f t="shared" si="47"/>
        <v>27</v>
      </c>
      <c r="S3107" s="21">
        <f t="shared" si="47"/>
        <v>27</v>
      </c>
      <c r="T3107" s="21">
        <f t="shared" si="47"/>
        <v>27</v>
      </c>
      <c r="V3107" s="1">
        <f>heeling</f>
        <v>0</v>
      </c>
      <c r="W3107" s="382">
        <f>sound212</f>
        <v>2290</v>
      </c>
      <c r="X3107" s="186">
        <f>IF((W3107+W3110)&lt;0,W3107,W3107+W3110)</f>
        <v>2290</v>
      </c>
      <c r="Y3107" s="381">
        <f>IF(Y3109=Y3108,Y3108,Interp1(X3108:X3109,Y3108:Y3109,X3107))</f>
        <v>68.183999999999997</v>
      </c>
      <c r="AA3107" s="30"/>
    </row>
    <row r="3108" spans="1:28">
      <c r="A3108" s="915"/>
      <c r="B3108" s="36">
        <v>-1</v>
      </c>
      <c r="C3108" s="35">
        <v>0</v>
      </c>
      <c r="D3108" s="35">
        <v>0.5</v>
      </c>
      <c r="E3108" s="35">
        <v>1</v>
      </c>
      <c r="F3108" s="35">
        <v>1.5</v>
      </c>
      <c r="G3108" s="35">
        <v>2</v>
      </c>
      <c r="H3108" s="37">
        <v>3</v>
      </c>
      <c r="I3108" s="21">
        <v>4</v>
      </c>
      <c r="J3108" s="905"/>
      <c r="K3108" s="906"/>
      <c r="L3108" s="21">
        <v>-4</v>
      </c>
      <c r="M3108" s="35">
        <v>-3</v>
      </c>
      <c r="N3108" s="35">
        <v>-2</v>
      </c>
      <c r="O3108" s="35">
        <v>-1</v>
      </c>
      <c r="P3108" s="35">
        <v>0</v>
      </c>
      <c r="Q3108" s="35">
        <v>1</v>
      </c>
      <c r="R3108" s="35">
        <v>2</v>
      </c>
      <c r="S3108" s="35">
        <v>3</v>
      </c>
      <c r="T3108" s="35">
        <v>4</v>
      </c>
      <c r="V3108" s="1">
        <f>IF(tankSound12=soundingPipe12,tankSound12,FLOOR(W3107,inc*2))</f>
        <v>2200</v>
      </c>
      <c r="W3108" s="1">
        <f>Interp2(tank12Heel1,tank12Heel2,tank12Heel3,V3108,V3107)</f>
        <v>0</v>
      </c>
      <c r="X3108" s="1">
        <f>IF(X3107=soundingPipe12,Tank1!X3107,FLOOR(X3107,inc))</f>
        <v>2250</v>
      </c>
      <c r="Y3108" s="42">
        <f>IF(W3113=W3112,W3112,Interp1(V3112:V3113,W3112:W3113,V3111))</f>
        <v>66.762</v>
      </c>
      <c r="AA3108" s="30"/>
    </row>
    <row r="3109" spans="1:28">
      <c r="A3109" s="1">
        <v>0</v>
      </c>
      <c r="B3109" s="411">
        <v>0.26500000000000001</v>
      </c>
      <c r="C3109" s="411">
        <v>0.35599999999999998</v>
      </c>
      <c r="D3109" s="411">
        <v>0.40699999999999997</v>
      </c>
      <c r="E3109" s="411">
        <v>0.46100000000000002</v>
      </c>
      <c r="F3109" s="411">
        <v>0.51700000000000002</v>
      </c>
      <c r="G3109" s="411">
        <v>0.57699999999999996</v>
      </c>
      <c r="H3109" s="411">
        <v>0.70199999999999996</v>
      </c>
      <c r="I3109" s="411">
        <v>0.83599999999999997</v>
      </c>
      <c r="J3109" s="21">
        <v>5190</v>
      </c>
      <c r="K3109" s="1">
        <v>0</v>
      </c>
      <c r="L3109" s="1">
        <v>148.10300000000001</v>
      </c>
      <c r="M3109" s="1">
        <v>105.821</v>
      </c>
      <c r="N3109" s="1">
        <v>63.298999999999999</v>
      </c>
      <c r="O3109" s="1">
        <v>27.207999999999998</v>
      </c>
      <c r="P3109" s="365">
        <v>0</v>
      </c>
      <c r="Q3109" s="365">
        <v>0</v>
      </c>
      <c r="R3109" s="365">
        <v>0</v>
      </c>
      <c r="S3109" s="365">
        <v>0</v>
      </c>
      <c r="T3109" s="365">
        <v>0</v>
      </c>
      <c r="U3109" s="24"/>
      <c r="V3109" s="1">
        <f>IF(V3108=tankSound12,V3108,CEILING(W3107,inc*2))</f>
        <v>2300</v>
      </c>
      <c r="W3109" s="1">
        <f>Interp2(tank12Heel1,tank12Heel2,tank12Heel3,V3109,V3107)</f>
        <v>0</v>
      </c>
      <c r="X3109" s="1">
        <f>IF(X3108=X3107,X3108,CEILING(X3107,inc))</f>
        <v>2300</v>
      </c>
      <c r="Y3109" s="42">
        <f>IF(X3113=X3112,X3112,Interp1(V3112:V3113,X3112:X3113,V3111))</f>
        <v>68.540000000000006</v>
      </c>
      <c r="AA3109" s="30"/>
      <c r="AB3109" s="42"/>
    </row>
    <row r="3110" spans="1:28">
      <c r="A3110" s="1">
        <v>50</v>
      </c>
      <c r="B3110" s="411">
        <v>0.94699999999999995</v>
      </c>
      <c r="C3110" s="411">
        <v>1.0720000000000001</v>
      </c>
      <c r="D3110" s="411">
        <v>1.1379999999999999</v>
      </c>
      <c r="E3110" s="411">
        <v>1.206</v>
      </c>
      <c r="F3110" s="411">
        <v>1.2769999999999999</v>
      </c>
      <c r="G3110" s="411">
        <v>1.349</v>
      </c>
      <c r="H3110" s="411">
        <v>1.498</v>
      </c>
      <c r="I3110" s="411">
        <v>1.653</v>
      </c>
      <c r="J3110" s="21">
        <v>2450</v>
      </c>
      <c r="K3110" s="1">
        <v>100</v>
      </c>
      <c r="L3110" s="1">
        <v>159.512</v>
      </c>
      <c r="M3110" s="1">
        <v>114.959</v>
      </c>
      <c r="N3110" s="1">
        <v>72.584000000000003</v>
      </c>
      <c r="O3110" s="1">
        <v>33.802</v>
      </c>
      <c r="P3110" s="365">
        <v>0</v>
      </c>
      <c r="Q3110" s="1">
        <v>-33.86</v>
      </c>
      <c r="R3110" s="1">
        <v>-60.34</v>
      </c>
      <c r="S3110" s="1">
        <v>-78.98</v>
      </c>
      <c r="T3110" s="1">
        <v>-89.828000000000003</v>
      </c>
      <c r="U3110" s="25"/>
      <c r="W3110" s="1">
        <f>IF(W3109=W3108,W3108,Interp1(V3108:V3109,W3108:W3109,W3107))</f>
        <v>0</v>
      </c>
      <c r="Y3110" s="42"/>
      <c r="AA3110" s="30"/>
      <c r="AB3110" s="42"/>
    </row>
    <row r="3111" spans="1:28">
      <c r="A3111" s="1">
        <v>100</v>
      </c>
      <c r="B3111" s="411">
        <v>1.7450000000000001</v>
      </c>
      <c r="C3111" s="411">
        <v>1.8939999999999999</v>
      </c>
      <c r="D3111" s="411">
        <v>1.9710000000000001</v>
      </c>
      <c r="E3111" s="411">
        <v>2.048</v>
      </c>
      <c r="F3111" s="411">
        <v>2.1269999999999998</v>
      </c>
      <c r="G3111" s="411">
        <v>2.2080000000000002</v>
      </c>
      <c r="H3111" s="411">
        <v>2.371</v>
      </c>
      <c r="I3111" s="411">
        <v>2.5390000000000001</v>
      </c>
      <c r="J3111" s="21">
        <v>2400</v>
      </c>
      <c r="K3111" s="1">
        <v>200</v>
      </c>
      <c r="L3111" s="1">
        <v>169.49299999999999</v>
      </c>
      <c r="M3111" s="1">
        <v>122.74</v>
      </c>
      <c r="N3111" s="1">
        <v>78.61</v>
      </c>
      <c r="O3111" s="1">
        <v>37.128999999999998</v>
      </c>
      <c r="P3111" s="365">
        <v>0</v>
      </c>
      <c r="Q3111" s="1">
        <v>-36.389000000000003</v>
      </c>
      <c r="R3111" s="1">
        <v>-68.272999999999996</v>
      </c>
      <c r="S3111" s="1">
        <v>-95.204999999999998</v>
      </c>
      <c r="T3111" s="1">
        <v>-120.19199999999999</v>
      </c>
      <c r="U3111" s="25"/>
      <c r="V3111" s="1">
        <f>trim</f>
        <v>0.36</v>
      </c>
      <c r="AA3111" s="30"/>
      <c r="AB3111" s="42"/>
    </row>
    <row r="3112" spans="1:28">
      <c r="A3112" s="1">
        <v>150</v>
      </c>
      <c r="B3112" s="411">
        <v>2.6240000000000001</v>
      </c>
      <c r="C3112" s="411">
        <v>2.7869999999999999</v>
      </c>
      <c r="D3112" s="411">
        <v>2.87</v>
      </c>
      <c r="E3112" s="411">
        <v>2.9550000000000001</v>
      </c>
      <c r="F3112" s="411">
        <v>3.04</v>
      </c>
      <c r="G3112" s="411">
        <v>3.1259999999999999</v>
      </c>
      <c r="H3112" s="411">
        <v>3.302</v>
      </c>
      <c r="I3112" s="411">
        <v>3.4809999999999999</v>
      </c>
      <c r="J3112" s="21">
        <v>2350</v>
      </c>
      <c r="K3112" s="1">
        <v>300</v>
      </c>
      <c r="L3112" s="1">
        <v>178.07400000000001</v>
      </c>
      <c r="M3112" s="1">
        <v>129.32</v>
      </c>
      <c r="N3112" s="1">
        <v>83.513999999999996</v>
      </c>
      <c r="O3112" s="1">
        <v>39.813000000000002</v>
      </c>
      <c r="P3112" s="365">
        <v>0</v>
      </c>
      <c r="Q3112" s="1">
        <v>-38.929000000000002</v>
      </c>
      <c r="R3112" s="1">
        <v>-73.885000000000005</v>
      </c>
      <c r="S3112" s="1">
        <v>-105.614</v>
      </c>
      <c r="T3112" s="1">
        <v>-135.96799999999999</v>
      </c>
      <c r="U3112" s="25"/>
      <c r="V3112" s="1">
        <f>INDEX(tank12Trim2,0,MATCH(V3111,tank12Trim2,1))</f>
        <v>0</v>
      </c>
      <c r="W3112" s="1">
        <f>Interp2(tank12Trim1,tank12Trim2,tank12Trim3,X3108,V3112)</f>
        <v>66.616</v>
      </c>
      <c r="X3112" s="1">
        <f>Interp2(tank12Trim1,tank12Trim2,tank12Trim3,X3109,V3112)</f>
        <v>68.391999999999996</v>
      </c>
      <c r="AA3112" s="30"/>
    </row>
    <row r="3113" spans="1:28">
      <c r="A3113" s="1">
        <v>200</v>
      </c>
      <c r="B3113" s="411">
        <v>3.5590000000000002</v>
      </c>
      <c r="C3113" s="411">
        <v>3.7330000000000001</v>
      </c>
      <c r="D3113" s="411">
        <v>3.8220000000000001</v>
      </c>
      <c r="E3113" s="411">
        <v>3.9119999999999999</v>
      </c>
      <c r="F3113" s="411">
        <v>4.0030000000000001</v>
      </c>
      <c r="G3113" s="411">
        <v>4.0949999999999998</v>
      </c>
      <c r="H3113" s="411">
        <v>4.2809999999999997</v>
      </c>
      <c r="I3113" s="411">
        <v>4.4710000000000001</v>
      </c>
      <c r="J3113" s="21">
        <v>2300</v>
      </c>
      <c r="K3113" s="1">
        <v>400</v>
      </c>
      <c r="L3113" s="1">
        <v>185.73699999999999</v>
      </c>
      <c r="M3113" s="1">
        <v>135.19399999999999</v>
      </c>
      <c r="N3113" s="1">
        <v>87.704999999999998</v>
      </c>
      <c r="O3113" s="1">
        <v>42.07</v>
      </c>
      <c r="P3113" s="365">
        <v>0</v>
      </c>
      <c r="Q3113" s="1">
        <v>-41.097999999999999</v>
      </c>
      <c r="R3113" s="1">
        <v>-78.625</v>
      </c>
      <c r="S3113" s="1">
        <v>-113.70399999999999</v>
      </c>
      <c r="T3113" s="1">
        <v>-146.91900000000001</v>
      </c>
      <c r="U3113" s="25"/>
      <c r="V3113" s="1">
        <f>IF(V3112=V3111,V3111,INDEX(tank12Trim2,0,MATCH(V3111,tank12Trim2,1)+1))</f>
        <v>0.5</v>
      </c>
      <c r="W3113" s="1">
        <f>Interp2(tank12Trim1,tank12Trim2,tank12Trim3,X3108,V3113)</f>
        <v>66.819000000000003</v>
      </c>
      <c r="X3113" s="1">
        <f>Interp2(tank12Trim1,tank12Trim2,tank12Trim3,X3109,V3113)</f>
        <v>68.596999999999994</v>
      </c>
      <c r="AA3113" s="30"/>
      <c r="AB3113" s="42"/>
    </row>
    <row r="3114" spans="1:28">
      <c r="A3114" s="1">
        <v>250</v>
      </c>
      <c r="B3114" s="411">
        <v>4.5419999999999998</v>
      </c>
      <c r="C3114" s="411">
        <v>4.7279999999999998</v>
      </c>
      <c r="D3114" s="411">
        <v>4.8220000000000001</v>
      </c>
      <c r="E3114" s="411">
        <v>4.9180000000000001</v>
      </c>
      <c r="F3114" s="411">
        <v>5.0140000000000002</v>
      </c>
      <c r="G3114" s="411">
        <v>5.1109999999999998</v>
      </c>
      <c r="H3114" s="411">
        <v>5.3070000000000004</v>
      </c>
      <c r="I3114" s="411">
        <v>5.5069999999999997</v>
      </c>
      <c r="J3114" s="21">
        <v>2250</v>
      </c>
      <c r="K3114" s="1">
        <v>500</v>
      </c>
      <c r="L3114" s="1">
        <v>192.71100000000001</v>
      </c>
      <c r="M3114" s="1">
        <v>140.52699999999999</v>
      </c>
      <c r="N3114" s="1">
        <v>91.475999999999999</v>
      </c>
      <c r="O3114" s="1">
        <v>44.039000000000001</v>
      </c>
      <c r="P3114" s="365">
        <v>0</v>
      </c>
      <c r="Q3114" s="1">
        <v>-43.002000000000002</v>
      </c>
      <c r="R3114" s="1">
        <v>-82.74</v>
      </c>
      <c r="S3114" s="1">
        <v>-120.52800000000001</v>
      </c>
      <c r="T3114" s="1">
        <v>-156.13200000000001</v>
      </c>
      <c r="U3114" s="25"/>
      <c r="W3114" s="43"/>
      <c r="X3114" s="42"/>
      <c r="AA3114" s="30"/>
      <c r="AB3114" s="42"/>
    </row>
    <row r="3115" spans="1:28">
      <c r="A3115" s="1">
        <v>300</v>
      </c>
      <c r="B3115" s="411">
        <v>5.5709999999999997</v>
      </c>
      <c r="C3115" s="411">
        <v>5.7670000000000003</v>
      </c>
      <c r="D3115" s="411">
        <v>5.8659999999999997</v>
      </c>
      <c r="E3115" s="411">
        <v>5.9660000000000002</v>
      </c>
      <c r="F3115" s="411">
        <v>6.0670000000000002</v>
      </c>
      <c r="G3115" s="411">
        <v>6.1689999999999996</v>
      </c>
      <c r="H3115" s="411">
        <v>6.375</v>
      </c>
      <c r="I3115" s="411">
        <v>6.5830000000000002</v>
      </c>
      <c r="J3115" s="21">
        <v>2200</v>
      </c>
      <c r="K3115" s="1">
        <v>600</v>
      </c>
      <c r="L3115" s="1">
        <v>199.17699999999999</v>
      </c>
      <c r="M3115" s="1">
        <v>145.44499999999999</v>
      </c>
      <c r="N3115" s="1">
        <v>94.903000000000006</v>
      </c>
      <c r="O3115" s="1">
        <v>45.837000000000003</v>
      </c>
      <c r="P3115" s="365">
        <v>0</v>
      </c>
      <c r="Q3115" s="1">
        <v>-44.762</v>
      </c>
      <c r="R3115" s="1">
        <v>-86.397000000000006</v>
      </c>
      <c r="S3115" s="1">
        <v>-126.422</v>
      </c>
      <c r="T3115" s="1">
        <v>-164.16800000000001</v>
      </c>
      <c r="U3115" s="25"/>
    </row>
    <row r="3116" spans="1:28">
      <c r="A3116" s="1">
        <v>350</v>
      </c>
      <c r="B3116" s="411">
        <v>6.641</v>
      </c>
      <c r="C3116" s="411">
        <v>6.8460000000000001</v>
      </c>
      <c r="D3116" s="411">
        <v>6.95</v>
      </c>
      <c r="E3116" s="411">
        <v>7.0549999999999997</v>
      </c>
      <c r="F3116" s="411">
        <v>7.16</v>
      </c>
      <c r="G3116" s="411">
        <v>7.266</v>
      </c>
      <c r="H3116" s="411">
        <v>7.4809999999999999</v>
      </c>
      <c r="I3116" s="411">
        <v>7.6980000000000004</v>
      </c>
      <c r="J3116" s="21">
        <v>2150</v>
      </c>
      <c r="K3116" s="1">
        <v>700</v>
      </c>
      <c r="L3116" s="1">
        <v>205.06700000000001</v>
      </c>
      <c r="M3116" s="1">
        <v>150.04499999999999</v>
      </c>
      <c r="N3116" s="1">
        <v>98.08</v>
      </c>
      <c r="O3116" s="1">
        <v>47.484000000000002</v>
      </c>
      <c r="P3116" s="365">
        <v>0</v>
      </c>
      <c r="Q3116" s="1">
        <v>-46.371000000000002</v>
      </c>
      <c r="R3116" s="1">
        <v>-89.778000000000006</v>
      </c>
      <c r="S3116" s="1">
        <v>-131.73699999999999</v>
      </c>
      <c r="T3116" s="1">
        <v>-171.33099999999999</v>
      </c>
      <c r="U3116" s="25"/>
      <c r="V3116" s="1">
        <f>Bunkering!heeling1</f>
        <v>0</v>
      </c>
      <c r="W3116" s="382">
        <f>sound312</f>
        <v>1780</v>
      </c>
      <c r="X3116" s="186">
        <f>IF((W3116+W3119)&lt;0,W3116,W3116+W3119)</f>
        <v>1780</v>
      </c>
      <c r="Y3116" s="381">
        <f>IF(Y3118=Y3117,Y3117,Interp1(X3117:X3118,Y3117:Y3118,X3116))</f>
        <v>47.83</v>
      </c>
    </row>
    <row r="3117" spans="1:28">
      <c r="A3117" s="1">
        <v>400</v>
      </c>
      <c r="B3117" s="411">
        <v>7.75</v>
      </c>
      <c r="C3117" s="411">
        <v>7.9640000000000004</v>
      </c>
      <c r="D3117" s="411">
        <v>8.0719999999999992</v>
      </c>
      <c r="E3117" s="411">
        <v>8.18</v>
      </c>
      <c r="F3117" s="411">
        <v>8.2899999999999991</v>
      </c>
      <c r="G3117" s="411">
        <v>8.4</v>
      </c>
      <c r="H3117" s="411">
        <v>8.6219999999999999</v>
      </c>
      <c r="I3117" s="411">
        <v>8.8469999999999995</v>
      </c>
      <c r="J3117" s="21">
        <v>2100</v>
      </c>
      <c r="K3117" s="1">
        <v>800</v>
      </c>
      <c r="L3117" s="1">
        <v>210.66900000000001</v>
      </c>
      <c r="M3117" s="1">
        <v>154.38499999999999</v>
      </c>
      <c r="N3117" s="1">
        <v>101.01900000000001</v>
      </c>
      <c r="O3117" s="1">
        <v>49.02</v>
      </c>
      <c r="P3117" s="365">
        <v>0</v>
      </c>
      <c r="Q3117" s="1">
        <v>-47.872999999999998</v>
      </c>
      <c r="R3117" s="1">
        <v>-92.896000000000001</v>
      </c>
      <c r="S3117" s="1">
        <v>-136.642</v>
      </c>
      <c r="T3117" s="1">
        <v>-177.92400000000001</v>
      </c>
      <c r="U3117" s="25"/>
      <c r="V3117" s="1">
        <f>IF(tankSound212=soundingPipe12,tankSound212,FLOOR(W3116,inc*2))</f>
        <v>1700</v>
      </c>
      <c r="W3117" s="1">
        <f>Interp2(tank12Heel1,tank12Heel2,tank12Heel3,V3117,V3116)</f>
        <v>0</v>
      </c>
      <c r="X3117" s="1">
        <f>IF(X3116=soundingPipe12,Tank1!X3116,FLOOR(X3116,inc))</f>
        <v>1750</v>
      </c>
      <c r="Y3117" s="42">
        <f>IF(W3122=W3121,W3121,Interp1(V3121:V3122,W3121:W3122,V3120))</f>
        <v>44.6</v>
      </c>
      <c r="Z3117" s="918"/>
      <c r="AA3117" s="918"/>
      <c r="AB3117" s="42"/>
    </row>
    <row r="3118" spans="1:28">
      <c r="A3118" s="1">
        <v>450</v>
      </c>
      <c r="B3118" s="411">
        <v>8.8940000000000001</v>
      </c>
      <c r="C3118" s="411">
        <v>9.1159999999999997</v>
      </c>
      <c r="D3118" s="411">
        <v>9.2279999999999998</v>
      </c>
      <c r="E3118" s="411">
        <v>9.34</v>
      </c>
      <c r="F3118" s="411">
        <v>9.4540000000000006</v>
      </c>
      <c r="G3118" s="411">
        <v>9.5670000000000002</v>
      </c>
      <c r="H3118" s="411">
        <v>9.7970000000000006</v>
      </c>
      <c r="I3118" s="411">
        <v>10.029</v>
      </c>
      <c r="J3118" s="21">
        <v>2050</v>
      </c>
      <c r="K3118" s="1">
        <v>900</v>
      </c>
      <c r="L3118" s="1">
        <v>216.113</v>
      </c>
      <c r="M3118" s="1">
        <v>158.54</v>
      </c>
      <c r="N3118" s="1">
        <v>103.748</v>
      </c>
      <c r="O3118" s="1">
        <v>50.463000000000001</v>
      </c>
      <c r="P3118" s="365">
        <v>0</v>
      </c>
      <c r="Q3118" s="1">
        <v>-49.293999999999997</v>
      </c>
      <c r="R3118" s="1">
        <v>-95.813999999999993</v>
      </c>
      <c r="S3118" s="1">
        <v>-141.18100000000001</v>
      </c>
      <c r="T3118" s="1">
        <v>-184.059</v>
      </c>
      <c r="U3118" s="25"/>
      <c r="V3118" s="1">
        <f>IF(V3117=tankSound212,V3117,CEILING(W3116,inc*2))</f>
        <v>1800</v>
      </c>
      <c r="W3118" s="1">
        <f>Interp2(tank12Heel1,tank12Heel2,tank12Heel3,V3118,V3116)</f>
        <v>0</v>
      </c>
      <c r="X3118" s="1">
        <f>IF(X3117=X3116,X3117,CEILING(X3116,inc))</f>
        <v>1800</v>
      </c>
      <c r="Y3118" s="42">
        <f>IF(X3122=X3121,X3121,Interp1(V3121:V3122,X3121:X3122,V3120))</f>
        <v>49.984000000000002</v>
      </c>
    </row>
    <row r="3119" spans="1:28">
      <c r="A3119" s="1">
        <v>500</v>
      </c>
      <c r="B3119" s="411">
        <v>10.071</v>
      </c>
      <c r="C3119" s="411">
        <v>10.301</v>
      </c>
      <c r="D3119" s="411">
        <v>10.416</v>
      </c>
      <c r="E3119" s="411">
        <v>10.532999999999999</v>
      </c>
      <c r="F3119" s="411">
        <v>10.65</v>
      </c>
      <c r="G3119" s="411">
        <v>10.766999999999999</v>
      </c>
      <c r="H3119" s="411">
        <v>11.004</v>
      </c>
      <c r="I3119" s="411">
        <v>11.243</v>
      </c>
      <c r="J3119" s="21">
        <v>2000</v>
      </c>
      <c r="K3119" s="1">
        <v>1000</v>
      </c>
      <c r="L3119" s="1">
        <v>221.37899999999999</v>
      </c>
      <c r="M3119" s="1">
        <v>162.58699999999999</v>
      </c>
      <c r="N3119" s="1">
        <v>106.38200000000001</v>
      </c>
      <c r="O3119" s="1">
        <v>51.832000000000001</v>
      </c>
      <c r="P3119" s="365">
        <v>0</v>
      </c>
      <c r="Q3119" s="1">
        <v>-50.643000000000001</v>
      </c>
      <c r="R3119" s="1">
        <v>-98.578000000000003</v>
      </c>
      <c r="S3119" s="1">
        <v>-145.44399999999999</v>
      </c>
      <c r="T3119" s="1">
        <v>-189.797</v>
      </c>
      <c r="U3119" s="26"/>
      <c r="W3119" s="1">
        <f>IF(W3118=W3117,W3117,Interp1(V3117:V3118,W3117:W3118,W3116))</f>
        <v>0</v>
      </c>
      <c r="Y3119" s="42"/>
    </row>
    <row r="3120" spans="1:28">
      <c r="A3120" s="1">
        <v>550</v>
      </c>
      <c r="B3120" s="411">
        <v>11.281000000000001</v>
      </c>
      <c r="C3120" s="411">
        <v>11.516999999999999</v>
      </c>
      <c r="D3120" s="411">
        <v>11.635999999999999</v>
      </c>
      <c r="E3120" s="411">
        <v>11.756</v>
      </c>
      <c r="F3120" s="411">
        <v>11.877000000000001</v>
      </c>
      <c r="G3120" s="411">
        <v>11.997999999999999</v>
      </c>
      <c r="H3120" s="411">
        <v>12.241</v>
      </c>
      <c r="I3120" s="411">
        <v>12.488</v>
      </c>
      <c r="J3120" s="21">
        <v>1950</v>
      </c>
      <c r="K3120" s="1">
        <v>1100</v>
      </c>
      <c r="L3120" s="1">
        <v>226.46199999999999</v>
      </c>
      <c r="M3120" s="1">
        <v>166.482</v>
      </c>
      <c r="N3120" s="1">
        <v>108.97</v>
      </c>
      <c r="O3120" s="1">
        <v>53.151000000000003</v>
      </c>
      <c r="P3120" s="365">
        <v>0</v>
      </c>
      <c r="Q3120" s="1">
        <v>-51.929000000000002</v>
      </c>
      <c r="R3120" s="1">
        <v>-101.249</v>
      </c>
      <c r="S3120" s="1">
        <v>-149.482</v>
      </c>
      <c r="T3120" s="1">
        <v>-195.22399999999999</v>
      </c>
      <c r="U3120" s="25"/>
      <c r="V3120" s="1">
        <f>Bunkering!trim1</f>
        <v>0.36</v>
      </c>
    </row>
    <row r="3121" spans="1:28">
      <c r="A3121" s="1">
        <v>600</v>
      </c>
      <c r="B3121" s="411">
        <v>12.521000000000001</v>
      </c>
      <c r="C3121" s="411">
        <v>12.763999999999999</v>
      </c>
      <c r="D3121" s="411">
        <v>12.887</v>
      </c>
      <c r="E3121" s="411">
        <v>13.01</v>
      </c>
      <c r="F3121" s="411">
        <v>13.134</v>
      </c>
      <c r="G3121" s="411">
        <v>13.257999999999999</v>
      </c>
      <c r="H3121" s="411">
        <v>13.509</v>
      </c>
      <c r="I3121" s="411">
        <v>13.760999999999999</v>
      </c>
      <c r="J3121" s="21">
        <v>1900</v>
      </c>
      <c r="K3121" s="1">
        <v>1200</v>
      </c>
      <c r="L3121" s="1">
        <v>231.39599999999999</v>
      </c>
      <c r="M3121" s="1">
        <v>170.245</v>
      </c>
      <c r="N3121" s="1">
        <v>111.452</v>
      </c>
      <c r="O3121" s="1">
        <v>54.444000000000003</v>
      </c>
      <c r="P3121" s="365">
        <v>0</v>
      </c>
      <c r="Q3121" s="1">
        <v>-53.171999999999997</v>
      </c>
      <c r="R3121" s="1">
        <v>-103.837</v>
      </c>
      <c r="S3121" s="1">
        <v>-153.33199999999999</v>
      </c>
      <c r="T3121" s="1">
        <v>-200.40100000000001</v>
      </c>
      <c r="U3121" s="25"/>
      <c r="V3121" s="1">
        <f>INDEX(tank12Trim2,0,MATCH(V3120,tank12Trim2,1))</f>
        <v>0</v>
      </c>
      <c r="W3121" s="1">
        <f>Interp2(tank12Trim1,tank12Trim2,tank12Trim3,X3117,V3121)</f>
        <v>48.07</v>
      </c>
      <c r="X3121" s="1">
        <f>Interp2(tank12Trim1,tank12Trim2,tank12Trim3,X3118,V3121)</f>
        <v>49.851999999999997</v>
      </c>
      <c r="Z3121" s="916"/>
      <c r="AA3121" s="916"/>
      <c r="AB3121" s="40"/>
    </row>
    <row r="3122" spans="1:28">
      <c r="A3122" s="1">
        <v>650</v>
      </c>
      <c r="B3122" s="411">
        <v>13.79</v>
      </c>
      <c r="C3122" s="411">
        <v>14.04</v>
      </c>
      <c r="D3122" s="411">
        <v>14.166</v>
      </c>
      <c r="E3122" s="411">
        <v>14.292999999999999</v>
      </c>
      <c r="F3122" s="411">
        <v>14.42</v>
      </c>
      <c r="G3122" s="411">
        <v>14.547000000000001</v>
      </c>
      <c r="H3122" s="411">
        <v>14.804</v>
      </c>
      <c r="I3122" s="411">
        <v>15.063000000000001</v>
      </c>
      <c r="J3122" s="21">
        <v>1850</v>
      </c>
      <c r="K3122" s="1">
        <v>1300</v>
      </c>
      <c r="L3122" s="1">
        <v>236.22300000000001</v>
      </c>
      <c r="M3122" s="1">
        <v>173.899</v>
      </c>
      <c r="N3122" s="1">
        <v>113.861</v>
      </c>
      <c r="O3122" s="1">
        <v>55.683999999999997</v>
      </c>
      <c r="P3122" s="365">
        <v>0</v>
      </c>
      <c r="Q3122" s="1">
        <v>-54.393999999999998</v>
      </c>
      <c r="R3122" s="1">
        <v>-106.33199999999999</v>
      </c>
      <c r="S3122" s="1">
        <v>-157.03200000000001</v>
      </c>
      <c r="T3122" s="1">
        <v>-205.488</v>
      </c>
      <c r="U3122" s="25"/>
      <c r="V3122" s="1">
        <f>IF(V3121=V3120,V3120,INDEX(tank12Trim2,0,MATCH(V3120,tank12Trim2,1)+1))</f>
        <v>0.5</v>
      </c>
      <c r="W3122" s="1">
        <f>Interp2(tank12Trim1,tank12Trim2,tank12Trim3,X3117,V3122)</f>
        <v>43.250999999999998</v>
      </c>
      <c r="X3122" s="1">
        <f>Interp2(tank12Trim1,tank12Trim2,tank12Trim3,X3118,V3122)</f>
        <v>50.034999999999997</v>
      </c>
      <c r="AA3122" s="30"/>
    </row>
    <row r="3123" spans="1:28">
      <c r="A3123" s="1">
        <v>700</v>
      </c>
      <c r="B3123" s="411">
        <v>15.087999999999999</v>
      </c>
      <c r="C3123" s="411">
        <v>15.343999999999999</v>
      </c>
      <c r="D3123" s="411">
        <v>15.473000000000001</v>
      </c>
      <c r="E3123" s="411">
        <v>15.603</v>
      </c>
      <c r="F3123" s="411">
        <v>15.733000000000001</v>
      </c>
      <c r="G3123" s="411">
        <v>15.864000000000001</v>
      </c>
      <c r="H3123" s="411">
        <v>16.126000000000001</v>
      </c>
      <c r="I3123" s="411">
        <v>16.390999999999998</v>
      </c>
      <c r="J3123" s="21">
        <v>1800</v>
      </c>
      <c r="K3123" s="1">
        <v>1400</v>
      </c>
      <c r="L3123" s="1">
        <v>240.98599999999999</v>
      </c>
      <c r="M3123" s="1">
        <v>177.47300000000001</v>
      </c>
      <c r="N3123" s="1">
        <v>116.208</v>
      </c>
      <c r="O3123" s="1">
        <v>56.884999999999998</v>
      </c>
      <c r="P3123" s="365">
        <v>0</v>
      </c>
      <c r="Q3123" s="1">
        <v>-55.573</v>
      </c>
      <c r="R3123" s="1">
        <v>-108.78100000000001</v>
      </c>
      <c r="S3123" s="1">
        <v>-160.62799999999999</v>
      </c>
      <c r="T3123" s="1">
        <v>-210.38499999999999</v>
      </c>
      <c r="U3123" s="25"/>
      <c r="W3123" s="30"/>
      <c r="AA3123" s="30"/>
    </row>
    <row r="3124" spans="1:28">
      <c r="A3124" s="1">
        <v>750</v>
      </c>
      <c r="B3124" s="411">
        <v>16.411999999999999</v>
      </c>
      <c r="C3124" s="411">
        <v>16.675000000000001</v>
      </c>
      <c r="D3124" s="411">
        <v>16.806999999999999</v>
      </c>
      <c r="E3124" s="411">
        <v>16.940000000000001</v>
      </c>
      <c r="F3124" s="411">
        <v>17.073</v>
      </c>
      <c r="G3124" s="411">
        <v>17.206</v>
      </c>
      <c r="H3124" s="411">
        <v>17.475000000000001</v>
      </c>
      <c r="I3124" s="411">
        <v>17.745999999999999</v>
      </c>
      <c r="J3124" s="21">
        <v>1750</v>
      </c>
      <c r="K3124" s="1">
        <v>1500</v>
      </c>
      <c r="L3124" s="1">
        <v>245.72499999999999</v>
      </c>
      <c r="M3124" s="1">
        <v>181.00200000000001</v>
      </c>
      <c r="N3124" s="1">
        <v>118.509</v>
      </c>
      <c r="O3124" s="1">
        <v>58.054000000000002</v>
      </c>
      <c r="P3124" s="365">
        <v>0</v>
      </c>
      <c r="Q3124" s="1">
        <v>-56.716999999999999</v>
      </c>
      <c r="R3124" s="1">
        <v>-111.139</v>
      </c>
      <c r="S3124" s="1">
        <v>-164.14099999999999</v>
      </c>
      <c r="T3124" s="1">
        <v>-215.15299999999999</v>
      </c>
      <c r="U3124" s="24"/>
      <c r="W3124" s="30"/>
      <c r="X3124" s="42"/>
      <c r="AA3124" s="30"/>
      <c r="AB3124" s="42"/>
    </row>
    <row r="3125" spans="1:28">
      <c r="A3125" s="1">
        <v>800</v>
      </c>
      <c r="B3125" s="411">
        <v>17.763000000000002</v>
      </c>
      <c r="C3125" s="411">
        <v>18.030999999999999</v>
      </c>
      <c r="D3125" s="411">
        <v>18.167000000000002</v>
      </c>
      <c r="E3125" s="411">
        <v>18.302</v>
      </c>
      <c r="F3125" s="411">
        <v>18.437999999999999</v>
      </c>
      <c r="G3125" s="411">
        <v>18.574999999999999</v>
      </c>
      <c r="H3125" s="411">
        <v>18.849</v>
      </c>
      <c r="I3125" s="411">
        <v>19.126000000000001</v>
      </c>
      <c r="J3125" s="21">
        <v>1700</v>
      </c>
      <c r="K3125" s="1">
        <v>1600</v>
      </c>
      <c r="L3125" s="1">
        <v>250.44499999999999</v>
      </c>
      <c r="M3125" s="1">
        <v>184.517</v>
      </c>
      <c r="N3125" s="1">
        <v>120.785</v>
      </c>
      <c r="O3125" s="1">
        <v>59.198999999999998</v>
      </c>
      <c r="P3125" s="365">
        <v>0</v>
      </c>
      <c r="Q3125" s="1">
        <v>-57.832999999999998</v>
      </c>
      <c r="R3125" s="1">
        <v>-113.425</v>
      </c>
      <c r="S3125" s="1">
        <v>-167.54300000000001</v>
      </c>
      <c r="T3125" s="1">
        <v>-219.78700000000001</v>
      </c>
      <c r="U3125" s="24"/>
      <c r="V3125" s="1">
        <f>bunkerPlanTrim</f>
        <v>-0.15</v>
      </c>
      <c r="W3125" s="383">
        <v>26</v>
      </c>
      <c r="X3125" s="384" t="str">
        <f>ADDRESS(X3127,10,1,1)</f>
        <v>$J$3130</v>
      </c>
      <c r="AA3125" s="30"/>
      <c r="AB3125" s="42"/>
    </row>
    <row r="3126" spans="1:28">
      <c r="A3126" s="1">
        <v>850</v>
      </c>
      <c r="B3126" s="411">
        <v>19.138999999999999</v>
      </c>
      <c r="C3126" s="411">
        <v>19.414000000000001</v>
      </c>
      <c r="D3126" s="411">
        <v>19.552</v>
      </c>
      <c r="E3126" s="411">
        <v>19.690000000000001</v>
      </c>
      <c r="F3126" s="411">
        <v>19.829000000000001</v>
      </c>
      <c r="G3126" s="411">
        <v>19.968</v>
      </c>
      <c r="H3126" s="411">
        <v>20.248000000000001</v>
      </c>
      <c r="I3126" s="411">
        <v>20.53</v>
      </c>
      <c r="J3126" s="21">
        <v>1650</v>
      </c>
      <c r="K3126" s="1">
        <v>1700</v>
      </c>
      <c r="L3126" s="1">
        <v>254.768</v>
      </c>
      <c r="M3126" s="1">
        <v>188.02099999999999</v>
      </c>
      <c r="N3126" s="1">
        <v>123.057</v>
      </c>
      <c r="O3126" s="1">
        <v>60.331000000000003</v>
      </c>
      <c r="P3126" s="365">
        <v>0</v>
      </c>
      <c r="Q3126" s="1">
        <v>-58.927</v>
      </c>
      <c r="R3126" s="1">
        <v>-115.65300000000001</v>
      </c>
      <c r="S3126" s="1">
        <v>-170.852</v>
      </c>
      <c r="T3126" s="1">
        <v>-224.28</v>
      </c>
      <c r="U3126" s="24"/>
      <c r="V3126" s="188">
        <f>INDEX(tank12Trim2,0,MATCH(V3125,tank12Trim2,1))</f>
        <v>-1</v>
      </c>
      <c r="W3126" s="188">
        <f>MATCH(V3126,tank12Trim2,0)+1</f>
        <v>2</v>
      </c>
      <c r="X3126" s="188">
        <f>MATCH(targetTank12,IF(W3126=2,B3109:B3159,IF(W3126=3,C3109:C3412,IF(W3126=4,D3109:D3159,IF(W3126=5,E3109:E3159,IF(W3126=6,F3109:F3159,IF(W3126=7,G3109:G3159,IF(W3126=8,H3109:H3159,IF(W3126=9,I3109:I3159)))))))),1)</f>
        <v>22</v>
      </c>
      <c r="AA3126" s="30"/>
      <c r="AB3126" s="42"/>
    </row>
    <row r="3127" spans="1:28">
      <c r="A3127" s="1">
        <v>900</v>
      </c>
      <c r="B3127" s="411">
        <v>20.54</v>
      </c>
      <c r="C3127" s="411">
        <v>20.82</v>
      </c>
      <c r="D3127" s="411">
        <v>20.960999999999999</v>
      </c>
      <c r="E3127" s="411">
        <v>21.102</v>
      </c>
      <c r="F3127" s="411">
        <v>21.244</v>
      </c>
      <c r="G3127" s="411">
        <v>21.385999999999999</v>
      </c>
      <c r="H3127" s="411">
        <v>21.672000000000001</v>
      </c>
      <c r="I3127" s="411">
        <v>21.959</v>
      </c>
      <c r="J3127" s="21">
        <v>1600</v>
      </c>
      <c r="K3127" s="1">
        <v>1800</v>
      </c>
      <c r="L3127" s="1">
        <v>257.18799999999999</v>
      </c>
      <c r="M3127" s="1">
        <v>191.33799999999999</v>
      </c>
      <c r="N3127" s="1">
        <v>125.324</v>
      </c>
      <c r="O3127" s="1">
        <v>61.46</v>
      </c>
      <c r="P3127" s="365">
        <v>0</v>
      </c>
      <c r="Q3127" s="1">
        <v>-60.006</v>
      </c>
      <c r="R3127" s="1">
        <v>-117.836</v>
      </c>
      <c r="S3127" s="1">
        <v>-174.08500000000001</v>
      </c>
      <c r="T3127" s="1">
        <v>-228.65199999999999</v>
      </c>
      <c r="U3127" s="24"/>
      <c r="V3127" s="386">
        <v>306</v>
      </c>
      <c r="X3127" s="188">
        <f>X3126+3108</f>
        <v>3130</v>
      </c>
      <c r="AA3127" s="30"/>
    </row>
    <row r="3128" spans="1:28">
      <c r="A3128" s="1">
        <v>950</v>
      </c>
      <c r="B3128" s="411">
        <v>21.965</v>
      </c>
      <c r="C3128" s="411">
        <v>22.251000000000001</v>
      </c>
      <c r="D3128" s="411">
        <v>22.393999999999998</v>
      </c>
      <c r="E3128" s="411">
        <v>22.538</v>
      </c>
      <c r="F3128" s="411">
        <v>22.681999999999999</v>
      </c>
      <c r="G3128" s="411">
        <v>22.827000000000002</v>
      </c>
      <c r="H3128" s="411">
        <v>23.117999999999999</v>
      </c>
      <c r="I3128" s="411">
        <v>23.411000000000001</v>
      </c>
      <c r="J3128" s="21">
        <v>1550</v>
      </c>
      <c r="K3128" s="1">
        <v>1900</v>
      </c>
      <c r="L3128" s="1">
        <v>254.059</v>
      </c>
      <c r="M3128" s="1">
        <v>193.30500000000001</v>
      </c>
      <c r="N3128" s="1">
        <v>127.551</v>
      </c>
      <c r="O3128" s="1">
        <v>62.585000000000001</v>
      </c>
      <c r="P3128" s="365">
        <v>0</v>
      </c>
      <c r="Q3128" s="1">
        <v>-61.082999999999998</v>
      </c>
      <c r="R3128" s="1">
        <v>-119.985</v>
      </c>
      <c r="S3128" s="1">
        <v>-177.261</v>
      </c>
      <c r="T3128" s="1">
        <v>-232.92400000000001</v>
      </c>
      <c r="U3128" s="25"/>
      <c r="V3128" s="188">
        <f>FLOOR(V3127,inc)</f>
        <v>300</v>
      </c>
      <c r="W3128" s="188">
        <f>Interp2(tank12Trim1,tank12Trim2,tank12Trim3,V3128,V3126)</f>
        <v>5.5709999999999997</v>
      </c>
      <c r="X3128" s="188"/>
      <c r="AA3128" s="30"/>
      <c r="AB3128" s="42"/>
    </row>
    <row r="3129" spans="1:28">
      <c r="A3129" s="1">
        <v>1000</v>
      </c>
      <c r="B3129" s="411">
        <v>23.414000000000001</v>
      </c>
      <c r="C3129" s="411">
        <v>23.704999999999998</v>
      </c>
      <c r="D3129" s="411">
        <v>23.850999999999999</v>
      </c>
      <c r="E3129" s="411">
        <v>23.997</v>
      </c>
      <c r="F3129" s="411">
        <v>24.143999999999998</v>
      </c>
      <c r="G3129" s="411">
        <v>24.292000000000002</v>
      </c>
      <c r="H3129" s="411">
        <v>24.588000000000001</v>
      </c>
      <c r="I3129" s="411">
        <v>24.885999999999999</v>
      </c>
      <c r="J3129" s="21">
        <v>1500</v>
      </c>
      <c r="K3129" s="1">
        <v>2000</v>
      </c>
      <c r="L3129" s="1">
        <v>238.251</v>
      </c>
      <c r="M3129" s="1">
        <v>191053</v>
      </c>
      <c r="N3129" s="1">
        <v>129.09399999999999</v>
      </c>
      <c r="O3129" s="1">
        <v>63.704999999999998</v>
      </c>
      <c r="P3129" s="365">
        <v>0</v>
      </c>
      <c r="Q3129" s="1">
        <v>-62.156999999999996</v>
      </c>
      <c r="R3129" s="1">
        <v>-122.13</v>
      </c>
      <c r="S3129" s="1">
        <v>-180.39699999999999</v>
      </c>
      <c r="T3129" s="1">
        <v>-237.12299999999999</v>
      </c>
      <c r="U3129" s="27"/>
      <c r="W3129" s="43"/>
      <c r="X3129" s="42"/>
      <c r="AA3129" s="30"/>
      <c r="AB3129" s="42"/>
    </row>
    <row r="3130" spans="1:28">
      <c r="A3130" s="1">
        <v>1050</v>
      </c>
      <c r="B3130" s="411">
        <v>24.885999999999999</v>
      </c>
      <c r="C3130" s="411">
        <v>25.181000000000001</v>
      </c>
      <c r="D3130" s="411">
        <v>25.33</v>
      </c>
      <c r="E3130" s="411">
        <v>25.478999999999999</v>
      </c>
      <c r="F3130" s="411">
        <v>25.629000000000001</v>
      </c>
      <c r="G3130" s="411">
        <v>25.779</v>
      </c>
      <c r="H3130" s="411">
        <v>26.08</v>
      </c>
      <c r="I3130" s="411">
        <v>26.382999999999999</v>
      </c>
      <c r="J3130" s="21">
        <v>1450</v>
      </c>
      <c r="K3130" s="1">
        <v>2100</v>
      </c>
      <c r="L3130" s="1">
        <v>202.25399999999999</v>
      </c>
      <c r="M3130" s="1">
        <v>176.93600000000001</v>
      </c>
      <c r="N3130" s="1">
        <v>129.15600000000001</v>
      </c>
      <c r="O3130" s="1">
        <v>64.573999999999998</v>
      </c>
      <c r="P3130" s="365">
        <v>0</v>
      </c>
      <c r="Q3130" s="1">
        <v>-63.225999999999999</v>
      </c>
      <c r="R3130" s="1">
        <v>-124.26600000000001</v>
      </c>
      <c r="S3130" s="1">
        <v>-183.524</v>
      </c>
      <c r="T3130" s="1">
        <v>-241.27600000000001</v>
      </c>
      <c r="U3130" s="25"/>
    </row>
    <row r="3131" spans="1:28">
      <c r="A3131" s="1">
        <v>1100</v>
      </c>
      <c r="B3131" s="411">
        <v>26.38</v>
      </c>
      <c r="C3131" s="411">
        <v>26.681000000000001</v>
      </c>
      <c r="D3131" s="411">
        <v>26.832000000000001</v>
      </c>
      <c r="E3131" s="411">
        <v>26.983000000000001</v>
      </c>
      <c r="F3131" s="411">
        <v>27.135000000000002</v>
      </c>
      <c r="G3131" s="411">
        <v>27.288</v>
      </c>
      <c r="H3131" s="411">
        <v>27.594000000000001</v>
      </c>
      <c r="I3131" s="411">
        <v>27.902000000000001</v>
      </c>
      <c r="J3131" s="21">
        <v>1400</v>
      </c>
      <c r="K3131" s="1">
        <v>2200</v>
      </c>
      <c r="L3131" s="1">
        <v>169.893</v>
      </c>
      <c r="M3131" s="1">
        <v>156.10900000000001</v>
      </c>
      <c r="N3131" s="1">
        <v>124.955</v>
      </c>
      <c r="O3131" s="1">
        <v>66.073999999999998</v>
      </c>
      <c r="P3131" s="365">
        <v>0</v>
      </c>
      <c r="Q3131" s="1">
        <v>-64.341999999999999</v>
      </c>
      <c r="R3131" s="1">
        <v>-126.611</v>
      </c>
      <c r="S3131" s="1">
        <v>-186.86799999999999</v>
      </c>
      <c r="T3131" s="1">
        <v>-245.666</v>
      </c>
      <c r="U3131" s="24"/>
      <c r="V3131" s="1">
        <f>bunkerPlanHeel</f>
        <v>0</v>
      </c>
      <c r="W3131" s="382">
        <f>currentSounding12</f>
        <v>306</v>
      </c>
      <c r="X3131" s="186">
        <f>IF((W3131+W3134)&lt;0,W3131,W3131+W3134)</f>
        <v>306</v>
      </c>
      <c r="Y3131" s="381">
        <f>IF(Y3133=Y3132,Y3132,Interp1(X3132:X3133,Y3132:Y3133,X3131))</f>
        <v>5.867</v>
      </c>
    </row>
    <row r="3132" spans="1:28">
      <c r="A3132" s="1">
        <v>1150</v>
      </c>
      <c r="B3132" s="411">
        <v>27.896000000000001</v>
      </c>
      <c r="C3132" s="411">
        <v>28.202000000000002</v>
      </c>
      <c r="D3132" s="411">
        <v>26.355</v>
      </c>
      <c r="E3132" s="411">
        <v>28.51</v>
      </c>
      <c r="F3132" s="411">
        <v>28.664000000000001</v>
      </c>
      <c r="G3132" s="411">
        <v>28.818999999999999</v>
      </c>
      <c r="H3132" s="411">
        <v>29.13</v>
      </c>
      <c r="I3132" s="411">
        <v>29.443000000000001</v>
      </c>
      <c r="J3132" s="21">
        <v>1350</v>
      </c>
      <c r="K3132" s="1">
        <v>2300</v>
      </c>
      <c r="L3132" s="1">
        <v>94.102000000000004</v>
      </c>
      <c r="M3132" s="1">
        <v>94.069000000000003</v>
      </c>
      <c r="N3132" s="1">
        <v>92.572000000000003</v>
      </c>
      <c r="O3132" s="1">
        <v>81.631</v>
      </c>
      <c r="P3132" s="365">
        <v>0</v>
      </c>
      <c r="Q3132" s="1">
        <v>-65.284000000000006</v>
      </c>
      <c r="R3132" s="1">
        <v>-130.36799999999999</v>
      </c>
      <c r="S3132" s="1">
        <v>-191.703</v>
      </c>
      <c r="T3132" s="1">
        <v>251.53800000000001</v>
      </c>
      <c r="U3132" s="25"/>
      <c r="V3132" s="1">
        <f>FLOOR(W3131,inc)</f>
        <v>300</v>
      </c>
      <c r="W3132" s="1">
        <f>Interp2(tank12Heel1,tank12Heel2,tank12Heel3,V3132,V3131)</f>
        <v>0</v>
      </c>
      <c r="X3132" s="1">
        <f>FLOOR(X3131,inc)</f>
        <v>300</v>
      </c>
      <c r="Y3132" s="42">
        <f>IF(W3137=W3136,W3136,Interp1(V3136:V3137,W3136:W3137,V3135))</f>
        <v>5.7380000000000004</v>
      </c>
      <c r="Z3132" s="918"/>
      <c r="AA3132" s="918"/>
      <c r="AB3132" s="42"/>
    </row>
    <row r="3133" spans="1:28">
      <c r="A3133" s="1">
        <v>1200</v>
      </c>
      <c r="B3133" s="411">
        <v>29.434000000000001</v>
      </c>
      <c r="C3133" s="411">
        <v>29.745000000000001</v>
      </c>
      <c r="D3133" s="411">
        <v>29.901</v>
      </c>
      <c r="E3133" s="411">
        <v>30.056999999999999</v>
      </c>
      <c r="F3133" s="411">
        <v>30.213999999999999</v>
      </c>
      <c r="G3133" s="411">
        <v>30.372</v>
      </c>
      <c r="H3133" s="411">
        <v>30.687999999999999</v>
      </c>
      <c r="I3133" s="411">
        <v>31.006</v>
      </c>
      <c r="J3133" s="21">
        <v>1300</v>
      </c>
      <c r="K3133" s="1">
        <v>2400</v>
      </c>
      <c r="L3133" s="1">
        <v>-0.24299999999999999</v>
      </c>
      <c r="M3133" s="1">
        <v>0</v>
      </c>
      <c r="N3133" s="1">
        <v>0</v>
      </c>
      <c r="O3133" s="1">
        <v>0</v>
      </c>
      <c r="P3133" s="365">
        <v>0</v>
      </c>
      <c r="Q3133" s="1">
        <v>-52.14</v>
      </c>
      <c r="R3133" s="1">
        <v>-135.59700000000001</v>
      </c>
      <c r="S3133" s="1">
        <v>-200.96600000000001</v>
      </c>
      <c r="T3133" s="1">
        <v>-261.47199999999998</v>
      </c>
      <c r="U3133" s="25"/>
      <c r="V3133" s="1">
        <f>IF(V3132=currentSounding212,V3132,CEILING(W3131,inc))</f>
        <v>350</v>
      </c>
      <c r="W3133" s="1">
        <f>Interp2(tank12Heel1,tank12Heel2,tank12Heel3,V3133,V3131)</f>
        <v>0</v>
      </c>
      <c r="X3133" s="1">
        <f>CEILING(X3131,inc)</f>
        <v>350</v>
      </c>
      <c r="Y3133" s="42">
        <f>IF(X3137=X3136,X3136,Interp1(V3136:V3137,X3136:X3137,V3135))</f>
        <v>6.8150000000000004</v>
      </c>
    </row>
    <row r="3134" spans="1:28">
      <c r="A3134" s="1">
        <v>1250</v>
      </c>
      <c r="B3134" s="411">
        <v>30.992999999999999</v>
      </c>
      <c r="C3134" s="411">
        <v>31.309000000000001</v>
      </c>
      <c r="D3134" s="411">
        <v>31.468</v>
      </c>
      <c r="E3134" s="411">
        <v>31.626999999999999</v>
      </c>
      <c r="F3134" s="411">
        <v>31.786000000000001</v>
      </c>
      <c r="G3134" s="411">
        <v>31.946000000000002</v>
      </c>
      <c r="H3134" s="411">
        <v>32.267000000000003</v>
      </c>
      <c r="I3134" s="411">
        <v>32.588999999999999</v>
      </c>
      <c r="J3134" s="21">
        <v>1250</v>
      </c>
      <c r="K3134" s="1">
        <v>2500</v>
      </c>
      <c r="L3134" s="1">
        <v>0</v>
      </c>
      <c r="M3134" s="1">
        <v>0</v>
      </c>
      <c r="N3134" s="1">
        <v>0</v>
      </c>
      <c r="O3134" s="1">
        <v>0</v>
      </c>
      <c r="P3134" s="365">
        <v>0</v>
      </c>
      <c r="Q3134" s="1">
        <v>0</v>
      </c>
      <c r="R3134" s="1">
        <v>-141.85900000000001</v>
      </c>
      <c r="S3134" s="1">
        <v>-218.875</v>
      </c>
      <c r="T3134" s="1">
        <v>-277.79500000000002</v>
      </c>
      <c r="U3134" s="25"/>
      <c r="W3134" s="1">
        <f>IF(W3133=W3132,W3132,Interp1(V3132:V3133,W3132:W3133,W3131))</f>
        <v>0</v>
      </c>
      <c r="Y3134" s="42"/>
    </row>
    <row r="3135" spans="1:28">
      <c r="A3135" s="1">
        <v>1300</v>
      </c>
      <c r="B3135" s="411">
        <v>32.575000000000003</v>
      </c>
      <c r="C3135" s="411">
        <v>32.895000000000003</v>
      </c>
      <c r="D3135" s="411">
        <v>33.055999999999997</v>
      </c>
      <c r="E3135" s="411">
        <v>33.218000000000004</v>
      </c>
      <c r="F3135" s="411">
        <v>33.378999999999998</v>
      </c>
      <c r="G3135" s="411">
        <v>33.540999999999997</v>
      </c>
      <c r="H3135" s="411">
        <v>33.866999999999997</v>
      </c>
      <c r="I3135" s="411">
        <v>34.194000000000003</v>
      </c>
      <c r="J3135" s="21">
        <v>1200</v>
      </c>
      <c r="K3135" s="1">
        <v>5190</v>
      </c>
      <c r="L3135" s="1">
        <v>0</v>
      </c>
      <c r="M3135" s="1">
        <v>0</v>
      </c>
      <c r="N3135" s="1">
        <v>0</v>
      </c>
      <c r="O3135" s="1">
        <v>0</v>
      </c>
      <c r="P3135" s="365">
        <v>0</v>
      </c>
      <c r="Q3135" s="365">
        <v>0</v>
      </c>
      <c r="R3135" s="365">
        <v>0</v>
      </c>
      <c r="S3135" s="365">
        <v>0</v>
      </c>
      <c r="T3135" s="365">
        <v>0</v>
      </c>
      <c r="U3135" s="25"/>
      <c r="V3135" s="1">
        <f>bunkerPlanTrim</f>
        <v>-0.15</v>
      </c>
    </row>
    <row r="3136" spans="1:28">
      <c r="A3136" s="1">
        <v>1350</v>
      </c>
      <c r="B3136" s="411">
        <v>34.177</v>
      </c>
      <c r="C3136" s="411">
        <v>34.502000000000002</v>
      </c>
      <c r="D3136" s="411">
        <v>34.664999999999999</v>
      </c>
      <c r="E3136" s="411">
        <v>34.829000000000001</v>
      </c>
      <c r="F3136" s="411">
        <v>34.993000000000002</v>
      </c>
      <c r="G3136" s="411">
        <v>35.156999999999996</v>
      </c>
      <c r="H3136" s="411">
        <v>35.487000000000002</v>
      </c>
      <c r="I3136" s="411">
        <v>35.819000000000003</v>
      </c>
      <c r="J3136" s="21">
        <v>1150</v>
      </c>
      <c r="K3136" s="1"/>
      <c r="L3136" s="1"/>
      <c r="M3136" s="1"/>
      <c r="N3136" s="1"/>
      <c r="O3136" s="1"/>
      <c r="P3136" s="365"/>
      <c r="Q3136" s="1"/>
      <c r="R3136" s="1"/>
      <c r="S3136" s="1"/>
      <c r="T3136" s="1"/>
      <c r="U3136" s="24"/>
      <c r="V3136" s="1">
        <f>INDEX(tank12Trim2,0,MATCH(V3135,tank12Trim2,1))</f>
        <v>-1</v>
      </c>
      <c r="W3136" s="1">
        <f>Interp2(tank12Trim1,tank12Trim2,tank12Trim3,X3132,V3136)</f>
        <v>5.5709999999999997</v>
      </c>
      <c r="X3136" s="1">
        <f>Interp2(tank12Trim1,tank12Trim2,tank12Trim3,X3133,V3136)</f>
        <v>6.641</v>
      </c>
    </row>
    <row r="3137" spans="1:28">
      <c r="A3137" s="1">
        <v>1400</v>
      </c>
      <c r="B3137" s="411">
        <v>35.798999999999999</v>
      </c>
      <c r="C3137" s="411">
        <v>36.128999999999998</v>
      </c>
      <c r="D3137" s="411">
        <v>36.295000000000002</v>
      </c>
      <c r="E3137" s="411">
        <v>36.460999999999999</v>
      </c>
      <c r="F3137" s="411">
        <v>36.627000000000002</v>
      </c>
      <c r="G3137" s="411">
        <v>36.793999999999997</v>
      </c>
      <c r="H3137" s="411">
        <v>37.128</v>
      </c>
      <c r="I3137" s="411">
        <v>37.463999999999999</v>
      </c>
      <c r="J3137" s="21">
        <v>1100</v>
      </c>
      <c r="K3137" s="1"/>
      <c r="L3137" s="1"/>
      <c r="M3137" s="1"/>
      <c r="N3137" s="1"/>
      <c r="O3137" s="1"/>
      <c r="P3137" s="365"/>
      <c r="Q3137" s="1"/>
      <c r="R3137" s="1"/>
      <c r="S3137" s="1"/>
      <c r="T3137" s="1"/>
      <c r="U3137" s="25"/>
      <c r="V3137" s="1">
        <f>IF(V3136=V3135,V3135,INDEX(tank12Trim2,0,MATCH(V3135,tank12Trim2,1)+1))</f>
        <v>0</v>
      </c>
      <c r="W3137" s="1">
        <f>Interp2(tank12Trim1,tank12Trim2,tank12Trim3,X3132,V3137)</f>
        <v>5.7670000000000003</v>
      </c>
      <c r="X3137" s="1">
        <f>Interp2(tank12Trim1,tank12Trim2,tank12Trim3,X3133,V3137)</f>
        <v>6.8460000000000001</v>
      </c>
    </row>
    <row r="3138" spans="1:28">
      <c r="A3138" s="1">
        <v>1450</v>
      </c>
      <c r="B3138" s="411">
        <v>37.442</v>
      </c>
      <c r="C3138" s="411">
        <v>37.776000000000003</v>
      </c>
      <c r="D3138" s="411">
        <v>37.944000000000003</v>
      </c>
      <c r="E3138" s="411">
        <v>38.112000000000002</v>
      </c>
      <c r="F3138" s="411">
        <v>38.280999999999999</v>
      </c>
      <c r="G3138" s="411">
        <v>38.450000000000003</v>
      </c>
      <c r="H3138" s="411">
        <v>38.789000000000001</v>
      </c>
      <c r="I3138" s="411">
        <v>39.128999999999998</v>
      </c>
      <c r="J3138" s="21">
        <v>1050</v>
      </c>
      <c r="K3138" s="1"/>
      <c r="L3138" s="1"/>
      <c r="M3138" s="1"/>
      <c r="N3138" s="1"/>
      <c r="O3138" s="1"/>
      <c r="P3138" s="365"/>
      <c r="Q3138" s="1"/>
      <c r="R3138" s="1"/>
      <c r="S3138" s="1"/>
      <c r="T3138" s="1"/>
      <c r="U3138" s="24"/>
    </row>
    <row r="3139" spans="1:28">
      <c r="A3139" s="1">
        <v>1500</v>
      </c>
      <c r="B3139" s="411">
        <v>39.104999999999997</v>
      </c>
      <c r="C3139" s="411">
        <v>39.444000000000003</v>
      </c>
      <c r="D3139" s="411">
        <v>39.613999999999997</v>
      </c>
      <c r="E3139" s="411">
        <v>39.783999999999999</v>
      </c>
      <c r="F3139" s="411">
        <v>39.954999999999998</v>
      </c>
      <c r="G3139" s="411">
        <v>40.125999999999998</v>
      </c>
      <c r="H3139" s="411">
        <v>40.469000000000001</v>
      </c>
      <c r="I3139" s="411">
        <v>40.814</v>
      </c>
      <c r="J3139" s="21">
        <v>1000</v>
      </c>
      <c r="K3139" s="1"/>
      <c r="L3139" s="1"/>
      <c r="M3139" s="1"/>
      <c r="N3139" s="1"/>
      <c r="O3139" s="1"/>
      <c r="P3139" s="365"/>
      <c r="Q3139" s="1"/>
      <c r="R3139" s="1"/>
      <c r="S3139" s="1"/>
      <c r="T3139" s="1"/>
      <c r="U3139" s="26"/>
      <c r="V3139" s="914"/>
      <c r="W3139" s="914"/>
      <c r="X3139" s="38"/>
    </row>
    <row r="3140" spans="1:28">
      <c r="A3140" s="1">
        <v>1550</v>
      </c>
      <c r="B3140" s="411">
        <v>40.786999999999999</v>
      </c>
      <c r="C3140" s="411">
        <v>41.13</v>
      </c>
      <c r="D3140" s="411">
        <v>41.302</v>
      </c>
      <c r="E3140" s="411">
        <v>41.475000000000001</v>
      </c>
      <c r="F3140" s="411">
        <v>41.648000000000003</v>
      </c>
      <c r="G3140" s="411">
        <v>41.820999999999998</v>
      </c>
      <c r="H3140" s="411">
        <v>42.168999999999997</v>
      </c>
      <c r="I3140" s="411">
        <v>42.518000000000001</v>
      </c>
      <c r="J3140" s="21">
        <v>950</v>
      </c>
      <c r="K3140" s="1"/>
      <c r="L3140" s="1"/>
      <c r="M3140" s="1"/>
      <c r="N3140" s="1"/>
      <c r="O3140" s="1"/>
      <c r="P3140" s="365"/>
      <c r="Q3140" s="1"/>
      <c r="R3140" s="1"/>
      <c r="S3140" s="1"/>
      <c r="T3140" s="1"/>
      <c r="U3140" s="24"/>
      <c r="V3140" s="916"/>
      <c r="W3140" s="916"/>
      <c r="X3140" s="39"/>
      <c r="Z3140" s="916"/>
      <c r="AA3140" s="916"/>
      <c r="AB3140" s="40"/>
    </row>
    <row r="3141" spans="1:28">
      <c r="A3141" s="1">
        <v>1600</v>
      </c>
      <c r="B3141" s="411">
        <v>42.488999999999997</v>
      </c>
      <c r="C3141" s="411">
        <v>42.837000000000003</v>
      </c>
      <c r="D3141" s="411">
        <v>43.011000000000003</v>
      </c>
      <c r="E3141" s="411">
        <v>43.186</v>
      </c>
      <c r="F3141" s="411">
        <v>43.360999999999997</v>
      </c>
      <c r="G3141" s="411">
        <v>43.536000000000001</v>
      </c>
      <c r="H3141" s="411">
        <v>43.838000000000001</v>
      </c>
      <c r="I3141" s="411">
        <v>44.241999999999997</v>
      </c>
      <c r="J3141" s="21">
        <v>900</v>
      </c>
      <c r="K3141" s="1"/>
      <c r="L3141" s="1"/>
      <c r="M3141" s="1"/>
      <c r="N3141" s="1"/>
      <c r="O3141" s="1"/>
      <c r="P3141" s="365"/>
      <c r="Q3141" s="1"/>
      <c r="R3141" s="1"/>
      <c r="S3141" s="1"/>
      <c r="T3141" s="1"/>
      <c r="U3141" s="24"/>
      <c r="W3141" s="41"/>
      <c r="AA3141" s="30"/>
    </row>
    <row r="3142" spans="1:28">
      <c r="A3142" s="1">
        <v>1650</v>
      </c>
      <c r="B3142" s="411">
        <v>44.21</v>
      </c>
      <c r="C3142" s="411">
        <v>44.561999999999998</v>
      </c>
      <c r="D3142" s="411">
        <v>44.738999999999997</v>
      </c>
      <c r="E3142" s="411">
        <v>44.914999999999999</v>
      </c>
      <c r="F3142" s="411">
        <v>45.093000000000004</v>
      </c>
      <c r="G3142" s="411">
        <v>45.27</v>
      </c>
      <c r="H3142" s="411">
        <v>45.625999999999998</v>
      </c>
      <c r="I3142" s="411">
        <v>45.984000000000002</v>
      </c>
      <c r="J3142" s="21">
        <v>850</v>
      </c>
      <c r="K3142" s="1"/>
      <c r="L3142" s="1"/>
      <c r="M3142" s="1"/>
      <c r="N3142" s="1"/>
      <c r="O3142" s="1"/>
      <c r="P3142" s="365"/>
      <c r="Q3142" s="1"/>
      <c r="R3142" s="1"/>
      <c r="S3142" s="1"/>
      <c r="T3142" s="1"/>
      <c r="U3142" s="25"/>
      <c r="W3142" s="30"/>
      <c r="AA3142" s="30"/>
    </row>
    <row r="3143" spans="1:28">
      <c r="A3143" s="1">
        <v>1700</v>
      </c>
      <c r="B3143" s="411">
        <v>45.95</v>
      </c>
      <c r="C3143" s="411">
        <v>46.307000000000002</v>
      </c>
      <c r="D3143" s="411">
        <v>46.484999999999999</v>
      </c>
      <c r="E3143" s="411">
        <v>46.664000000000001</v>
      </c>
      <c r="F3143" s="411">
        <v>46.843000000000004</v>
      </c>
      <c r="G3143" s="411">
        <v>47.023000000000003</v>
      </c>
      <c r="H3143" s="411">
        <v>47.383000000000003</v>
      </c>
      <c r="I3143" s="411">
        <v>47.744999999999997</v>
      </c>
      <c r="J3143" s="21">
        <v>800</v>
      </c>
      <c r="K3143" s="1"/>
      <c r="L3143" s="1"/>
      <c r="M3143" s="1"/>
      <c r="N3143" s="1"/>
      <c r="O3143" s="1"/>
      <c r="P3143" s="365"/>
      <c r="Q3143" s="1"/>
      <c r="R3143" s="1"/>
      <c r="S3143" s="1"/>
      <c r="T3143" s="1"/>
      <c r="U3143" s="28"/>
      <c r="W3143" s="30"/>
      <c r="X3143" s="42"/>
      <c r="AA3143" s="30"/>
      <c r="AB3143" s="42"/>
    </row>
    <row r="3144" spans="1:28">
      <c r="A3144" s="1">
        <v>1750</v>
      </c>
      <c r="B3144" s="411">
        <v>47.71</v>
      </c>
      <c r="C3144" s="411">
        <v>48.07</v>
      </c>
      <c r="D3144" s="411">
        <v>43.250999999999998</v>
      </c>
      <c r="E3144" s="411">
        <v>48.432000000000002</v>
      </c>
      <c r="F3144" s="411">
        <v>48.613</v>
      </c>
      <c r="G3144" s="411">
        <v>48.795000000000002</v>
      </c>
      <c r="H3144" s="411">
        <v>49.16</v>
      </c>
      <c r="I3144" s="411">
        <v>49.526000000000003</v>
      </c>
      <c r="J3144" s="21">
        <v>750</v>
      </c>
      <c r="K3144" s="1"/>
      <c r="L3144" s="1"/>
      <c r="M3144" s="1"/>
      <c r="N3144" s="1"/>
      <c r="O3144" s="1"/>
      <c r="P3144" s="365"/>
      <c r="Q3144" s="1"/>
      <c r="R3144" s="1"/>
      <c r="S3144" s="1"/>
      <c r="T3144" s="1"/>
      <c r="W3144" s="30"/>
      <c r="X3144" s="42"/>
      <c r="AA3144" s="30"/>
      <c r="AB3144" s="42"/>
    </row>
    <row r="3145" spans="1:28">
      <c r="A3145" s="1">
        <v>1800</v>
      </c>
      <c r="B3145" s="411">
        <v>49.488</v>
      </c>
      <c r="C3145" s="411">
        <v>49.851999999999997</v>
      </c>
      <c r="D3145" s="411">
        <v>50.034999999999997</v>
      </c>
      <c r="E3145" s="411">
        <v>50.218000000000004</v>
      </c>
      <c r="F3145" s="411">
        <v>50.402000000000001</v>
      </c>
      <c r="G3145" s="412">
        <v>50.585999999999999</v>
      </c>
      <c r="H3145" s="411">
        <v>50.954999999999998</v>
      </c>
      <c r="I3145" s="411">
        <v>51.325000000000003</v>
      </c>
      <c r="J3145" s="21">
        <v>700</v>
      </c>
      <c r="K3145" s="1"/>
      <c r="L3145" s="1"/>
      <c r="M3145" s="1"/>
      <c r="N3145" s="1"/>
      <c r="O3145" s="1"/>
      <c r="P3145" s="365"/>
      <c r="Q3145" s="1"/>
      <c r="R3145" s="1"/>
      <c r="S3145" s="1"/>
      <c r="T3145" s="1"/>
      <c r="W3145" s="30"/>
      <c r="X3145" s="42"/>
      <c r="AA3145" s="30"/>
      <c r="AB3145" s="42"/>
    </row>
    <row r="3146" spans="1:28">
      <c r="A3146" s="1">
        <v>1850</v>
      </c>
      <c r="B3146" s="411">
        <v>51.284999999999997</v>
      </c>
      <c r="C3146" s="411">
        <v>51.654000000000003</v>
      </c>
      <c r="D3146" s="411">
        <v>51.838999999999999</v>
      </c>
      <c r="E3146" s="411">
        <v>52.024000000000001</v>
      </c>
      <c r="F3146" s="411">
        <v>52.21</v>
      </c>
      <c r="G3146" s="411">
        <v>52.395000000000003</v>
      </c>
      <c r="H3146" s="411">
        <v>52.768000000000001</v>
      </c>
      <c r="I3146" s="411">
        <v>53.143000000000001</v>
      </c>
      <c r="J3146" s="21">
        <v>650</v>
      </c>
      <c r="K3146" s="1"/>
      <c r="L3146" s="1"/>
      <c r="M3146" s="1"/>
      <c r="N3146" s="1"/>
      <c r="O3146" s="1"/>
      <c r="P3146" s="365"/>
      <c r="Q3146" s="1"/>
      <c r="R3146" s="1"/>
      <c r="S3146" s="1"/>
      <c r="T3146" s="1"/>
      <c r="W3146" s="30"/>
      <c r="AA3146" s="30"/>
    </row>
    <row r="3147" spans="1:28">
      <c r="A3147" s="1">
        <v>1900</v>
      </c>
      <c r="B3147" s="411">
        <v>53.100999999999999</v>
      </c>
      <c r="C3147" s="411">
        <v>53.473999999999997</v>
      </c>
      <c r="D3147" s="411">
        <v>53.661000000000001</v>
      </c>
      <c r="E3147" s="411">
        <v>53.847999999999999</v>
      </c>
      <c r="F3147" s="411">
        <v>54.036000000000001</v>
      </c>
      <c r="G3147" s="411">
        <v>54.223999999999997</v>
      </c>
      <c r="H3147" s="411">
        <v>54.600999999999999</v>
      </c>
      <c r="I3147" s="411">
        <v>54.98</v>
      </c>
      <c r="J3147" s="21">
        <v>600</v>
      </c>
      <c r="K3147" s="1"/>
      <c r="L3147" s="1"/>
      <c r="M3147" s="1"/>
      <c r="N3147" s="1"/>
      <c r="O3147" s="1"/>
      <c r="P3147" s="365"/>
      <c r="Q3147" s="1"/>
      <c r="R3147" s="1"/>
      <c r="S3147" s="1"/>
      <c r="T3147" s="1"/>
      <c r="W3147" s="43"/>
      <c r="X3147" s="42"/>
      <c r="AA3147" s="30"/>
      <c r="AB3147" s="42"/>
    </row>
    <row r="3148" spans="1:28">
      <c r="A3148" s="1">
        <v>1950</v>
      </c>
      <c r="B3148" s="411">
        <v>54.936</v>
      </c>
      <c r="C3148" s="411">
        <v>55.313000000000002</v>
      </c>
      <c r="D3148" s="411">
        <v>55.502000000000002</v>
      </c>
      <c r="E3148" s="411">
        <v>55.692</v>
      </c>
      <c r="F3148" s="411">
        <v>55.881</v>
      </c>
      <c r="G3148" s="411">
        <v>56.072000000000003</v>
      </c>
      <c r="H3148" s="411">
        <v>56.453000000000003</v>
      </c>
      <c r="I3148" s="411">
        <v>56.835999999999999</v>
      </c>
      <c r="J3148" s="21">
        <v>550</v>
      </c>
      <c r="K3148" s="1"/>
      <c r="L3148" s="1"/>
      <c r="M3148" s="1"/>
      <c r="N3148" s="1"/>
      <c r="O3148" s="1"/>
      <c r="P3148" s="365"/>
      <c r="Q3148" s="1"/>
      <c r="R3148" s="1"/>
      <c r="S3148" s="1"/>
      <c r="T3148" s="1"/>
      <c r="W3148" s="43"/>
      <c r="X3148" s="42"/>
      <c r="AA3148" s="30"/>
      <c r="AB3148" s="42"/>
    </row>
    <row r="3149" spans="1:28">
      <c r="A3149" s="1">
        <v>2000</v>
      </c>
      <c r="B3149" s="411">
        <v>56.79</v>
      </c>
      <c r="C3149" s="411">
        <v>57.170999999999999</v>
      </c>
      <c r="D3149" s="411">
        <v>57.362000000000002</v>
      </c>
      <c r="E3149" s="411">
        <v>57.554000000000002</v>
      </c>
      <c r="F3149" s="411">
        <v>57.746000000000002</v>
      </c>
      <c r="G3149" s="411">
        <v>57.938000000000002</v>
      </c>
      <c r="H3149" s="411">
        <v>58.323</v>
      </c>
      <c r="I3149" s="411">
        <v>58.71</v>
      </c>
      <c r="J3149" s="21">
        <v>500</v>
      </c>
      <c r="K3149" s="1"/>
      <c r="L3149" s="1"/>
      <c r="M3149" s="1"/>
      <c r="N3149" s="1"/>
      <c r="O3149" s="1"/>
      <c r="P3149" s="365"/>
      <c r="Q3149" s="1"/>
      <c r="R3149" s="1"/>
      <c r="S3149" s="1"/>
      <c r="T3149" s="1"/>
    </row>
    <row r="3150" spans="1:28">
      <c r="A3150" s="1">
        <v>2050</v>
      </c>
      <c r="B3150" s="411">
        <v>58.662999999999997</v>
      </c>
      <c r="C3150" s="411">
        <v>59.048000000000002</v>
      </c>
      <c r="D3150" s="411">
        <v>59.241</v>
      </c>
      <c r="E3150" s="411">
        <v>59.435000000000002</v>
      </c>
      <c r="F3150" s="411">
        <v>59.628999999999998</v>
      </c>
      <c r="G3150" s="411">
        <v>59.823</v>
      </c>
      <c r="H3150" s="411">
        <v>60.212000000000003</v>
      </c>
      <c r="I3150" s="411">
        <v>60.603000000000002</v>
      </c>
      <c r="J3150" s="21">
        <v>450</v>
      </c>
      <c r="K3150" s="1"/>
      <c r="L3150" s="1"/>
      <c r="M3150" s="1"/>
      <c r="N3150" s="1"/>
      <c r="O3150" s="1"/>
      <c r="P3150" s="365"/>
      <c r="Q3150" s="1"/>
      <c r="R3150" s="1"/>
      <c r="S3150" s="1"/>
      <c r="T3150" s="1"/>
    </row>
    <row r="3151" spans="1:28">
      <c r="A3151" s="1">
        <v>2100</v>
      </c>
      <c r="B3151" s="411">
        <v>60.554000000000002</v>
      </c>
      <c r="C3151" s="411">
        <v>60.944000000000003</v>
      </c>
      <c r="D3151" s="411">
        <v>61.139000000000003</v>
      </c>
      <c r="E3151" s="411">
        <v>61.335000000000001</v>
      </c>
      <c r="F3151" s="411">
        <v>61.53</v>
      </c>
      <c r="G3151" s="411">
        <v>61.726999999999997</v>
      </c>
      <c r="H3151" s="411">
        <v>62.12</v>
      </c>
      <c r="I3151" s="411">
        <v>62.515999999999998</v>
      </c>
      <c r="J3151" s="21">
        <v>400</v>
      </c>
      <c r="K3151" s="1"/>
      <c r="L3151" s="1"/>
      <c r="M3151" s="1"/>
      <c r="N3151" s="1"/>
      <c r="O3151" s="1"/>
      <c r="P3151" s="365"/>
      <c r="Q3151" s="1"/>
      <c r="R3151" s="1"/>
      <c r="S3151" s="1"/>
      <c r="T3151" s="1"/>
      <c r="V3151" s="918"/>
      <c r="W3151" s="918"/>
      <c r="X3151" s="42"/>
      <c r="Z3151" s="918"/>
      <c r="AA3151" s="918"/>
      <c r="AB3151" s="42"/>
    </row>
    <row r="3152" spans="1:28">
      <c r="A3152" s="1">
        <v>2150</v>
      </c>
      <c r="B3152" s="411">
        <v>62.463999999999999</v>
      </c>
      <c r="C3152" s="411">
        <v>62.857999999999997</v>
      </c>
      <c r="D3152" s="411">
        <v>63.055</v>
      </c>
      <c r="E3152" s="411">
        <v>63.253</v>
      </c>
      <c r="F3152" s="411">
        <v>63.451000000000001</v>
      </c>
      <c r="G3152" s="411">
        <v>63.649000000000001</v>
      </c>
      <c r="H3152" s="411">
        <v>64.046999999999997</v>
      </c>
      <c r="I3152" s="411">
        <v>64.445999999999998</v>
      </c>
      <c r="J3152" s="21">
        <v>350</v>
      </c>
      <c r="K3152" s="1"/>
      <c r="L3152" s="1"/>
      <c r="M3152" s="1"/>
      <c r="N3152" s="1"/>
      <c r="O3152" s="1"/>
      <c r="P3152" s="365"/>
      <c r="Q3152" s="1"/>
      <c r="R3152" s="1"/>
      <c r="S3152" s="1"/>
      <c r="T3152" s="1"/>
    </row>
    <row r="3153" spans="1:20">
      <c r="A3153" s="1">
        <v>2200</v>
      </c>
      <c r="B3153" s="411">
        <v>64.370999999999995</v>
      </c>
      <c r="C3153" s="411">
        <v>64.77</v>
      </c>
      <c r="D3153" s="411">
        <v>64.971000000000004</v>
      </c>
      <c r="E3153" s="411">
        <v>65.171000000000006</v>
      </c>
      <c r="F3153" s="411">
        <v>65.372</v>
      </c>
      <c r="G3153" s="411">
        <v>65.572999999999993</v>
      </c>
      <c r="H3153" s="411">
        <v>65.977000000000004</v>
      </c>
      <c r="I3153" s="411">
        <v>66.382000000000005</v>
      </c>
      <c r="J3153" s="21">
        <v>300</v>
      </c>
      <c r="K3153" s="1"/>
      <c r="L3153" s="1"/>
      <c r="M3153" s="1"/>
      <c r="N3153" s="1"/>
      <c r="O3153" s="1"/>
      <c r="P3153" s="365"/>
      <c r="Q3153" s="1"/>
      <c r="R3153" s="1"/>
      <c r="S3153" s="1"/>
      <c r="T3153" s="1"/>
    </row>
    <row r="3154" spans="1:20">
      <c r="A3154" s="1">
        <v>2250</v>
      </c>
      <c r="B3154" s="411">
        <v>66.210999999999999</v>
      </c>
      <c r="C3154" s="411">
        <v>66.616</v>
      </c>
      <c r="D3154" s="411">
        <v>66.819000000000003</v>
      </c>
      <c r="E3154" s="411">
        <v>67.022999999999996</v>
      </c>
      <c r="F3154" s="411">
        <v>67.225999999999999</v>
      </c>
      <c r="G3154" s="411">
        <v>67.430999999999997</v>
      </c>
      <c r="H3154" s="411">
        <v>67.84</v>
      </c>
      <c r="I3154" s="411">
        <v>68.25</v>
      </c>
      <c r="J3154" s="21">
        <v>250</v>
      </c>
      <c r="K3154" s="1"/>
      <c r="L3154" s="1"/>
      <c r="M3154" s="1"/>
      <c r="N3154" s="1"/>
      <c r="O3154" s="1"/>
      <c r="P3154" s="365"/>
      <c r="Q3154" s="1"/>
      <c r="R3154" s="1"/>
      <c r="S3154" s="1"/>
      <c r="T3154" s="1"/>
    </row>
    <row r="3155" spans="1:20">
      <c r="A3155" s="1">
        <v>2300</v>
      </c>
      <c r="B3155" s="411">
        <v>67.983000000000004</v>
      </c>
      <c r="C3155" s="411">
        <v>68.391999999999996</v>
      </c>
      <c r="D3155" s="411">
        <v>68.596999999999994</v>
      </c>
      <c r="E3155" s="411">
        <v>68.802000000000007</v>
      </c>
      <c r="F3155" s="411">
        <v>69.007999999999996</v>
      </c>
      <c r="G3155" s="411">
        <v>69.213999999999999</v>
      </c>
      <c r="H3155" s="411">
        <v>69.569999999999993</v>
      </c>
      <c r="I3155" s="411">
        <v>69.784999999999997</v>
      </c>
      <c r="J3155" s="21">
        <v>200</v>
      </c>
      <c r="K3155" s="1"/>
      <c r="L3155" s="1"/>
      <c r="M3155" s="1"/>
      <c r="N3155" s="1"/>
      <c r="O3155" s="1"/>
      <c r="P3155" s="365"/>
      <c r="Q3155" s="1"/>
      <c r="R3155" s="1"/>
      <c r="S3155" s="1"/>
      <c r="T3155" s="1"/>
    </row>
    <row r="3156" spans="1:20">
      <c r="A3156" s="1">
        <v>2350</v>
      </c>
      <c r="B3156" s="411">
        <v>69.685000000000002</v>
      </c>
      <c r="C3156" s="411">
        <v>70.096000000000004</v>
      </c>
      <c r="D3156" s="411">
        <v>70.305000000000007</v>
      </c>
      <c r="E3156" s="411">
        <v>70.363</v>
      </c>
      <c r="F3156" s="411">
        <v>70.388999999999996</v>
      </c>
      <c r="G3156" s="411">
        <v>70.403999999999996</v>
      </c>
      <c r="H3156" s="411">
        <v>70.418000000000006</v>
      </c>
      <c r="I3156" s="411">
        <v>70.424999999999997</v>
      </c>
      <c r="J3156" s="21">
        <v>150</v>
      </c>
      <c r="K3156" s="1"/>
      <c r="L3156" s="1"/>
      <c r="M3156" s="1"/>
      <c r="N3156" s="1"/>
      <c r="O3156" s="1"/>
      <c r="P3156" s="365"/>
      <c r="Q3156" s="1"/>
      <c r="R3156" s="1"/>
      <c r="S3156" s="1"/>
      <c r="T3156" s="1"/>
    </row>
    <row r="3157" spans="1:20">
      <c r="A3157" s="1">
        <v>2400</v>
      </c>
      <c r="B3157" s="411">
        <v>70.429000000000002</v>
      </c>
      <c r="C3157" s="411">
        <v>70.429000000000002</v>
      </c>
      <c r="D3157" s="411">
        <v>70.429000000000002</v>
      </c>
      <c r="E3157" s="411">
        <v>70.429000000000002</v>
      </c>
      <c r="F3157" s="411">
        <v>70.429000000000002</v>
      </c>
      <c r="G3157" s="411">
        <v>70.429000000000002</v>
      </c>
      <c r="H3157" s="411">
        <v>70.429000000000002</v>
      </c>
      <c r="I3157" s="411">
        <v>70.429000000000002</v>
      </c>
      <c r="J3157" s="21">
        <v>100</v>
      </c>
      <c r="K3157" s="1"/>
      <c r="L3157" s="1"/>
      <c r="M3157" s="1"/>
      <c r="N3157" s="1"/>
      <c r="O3157" s="1"/>
      <c r="P3157" s="365"/>
      <c r="Q3157" s="1"/>
      <c r="R3157" s="1"/>
      <c r="S3157" s="1"/>
      <c r="T3157" s="1"/>
    </row>
    <row r="3158" spans="1:20">
      <c r="A3158" s="1">
        <v>2450</v>
      </c>
      <c r="B3158" s="411">
        <v>70.429000000000002</v>
      </c>
      <c r="C3158" s="411">
        <v>70.429000000000002</v>
      </c>
      <c r="D3158" s="411">
        <v>70.429000000000002</v>
      </c>
      <c r="E3158" s="411">
        <v>70.429000000000002</v>
      </c>
      <c r="F3158" s="411">
        <v>70.429000000000002</v>
      </c>
      <c r="G3158" s="411">
        <v>70.429000000000002</v>
      </c>
      <c r="H3158" s="411">
        <v>70.429000000000002</v>
      </c>
      <c r="I3158" s="411">
        <v>70.429000000000002</v>
      </c>
      <c r="J3158" s="21">
        <v>50</v>
      </c>
      <c r="K3158" s="1"/>
      <c r="L3158" s="1"/>
      <c r="M3158" s="1"/>
      <c r="N3158" s="1"/>
      <c r="O3158" s="1"/>
      <c r="P3158" s="365"/>
      <c r="Q3158" s="1"/>
      <c r="R3158" s="1"/>
      <c r="S3158" s="1"/>
      <c r="T3158" s="1"/>
    </row>
    <row r="3159" spans="1:20">
      <c r="A3159" s="1">
        <v>5190</v>
      </c>
      <c r="B3159" s="411">
        <v>70.429000000000002</v>
      </c>
      <c r="C3159" s="411">
        <v>70.429000000000002</v>
      </c>
      <c r="D3159" s="411">
        <v>70.429000000000002</v>
      </c>
      <c r="E3159" s="411">
        <v>70.429000000000002</v>
      </c>
      <c r="F3159" s="411">
        <v>70.429000000000002</v>
      </c>
      <c r="G3159" s="411">
        <v>70.429000000000002</v>
      </c>
      <c r="H3159" s="411">
        <v>70.429000000000002</v>
      </c>
      <c r="I3159" s="411">
        <v>70.429000000000002</v>
      </c>
      <c r="J3159" s="21">
        <v>0</v>
      </c>
      <c r="K3159" s="1"/>
      <c r="L3159" s="1"/>
      <c r="M3159" s="1"/>
      <c r="N3159" s="1"/>
      <c r="O3159" s="1"/>
      <c r="P3159" s="365"/>
      <c r="Q3159" s="1"/>
      <c r="R3159" s="1"/>
      <c r="S3159" s="1"/>
      <c r="T3159" s="1"/>
    </row>
    <row r="3160" spans="1:20" hidden="1">
      <c r="A3160" s="295"/>
      <c r="B3160" s="296"/>
      <c r="C3160" s="296"/>
      <c r="D3160" s="296"/>
      <c r="E3160" s="296"/>
      <c r="F3160" s="296"/>
      <c r="G3160" s="296"/>
      <c r="H3160" s="296"/>
      <c r="I3160" s="296"/>
      <c r="J3160" s="296"/>
      <c r="K3160" s="295"/>
      <c r="L3160" s="295"/>
      <c r="M3160" s="296"/>
      <c r="N3160" s="296"/>
      <c r="P3160" s="296"/>
      <c r="Q3160" s="296"/>
    </row>
    <row r="3161" spans="1:20" hidden="1">
      <c r="A3161" s="295"/>
      <c r="B3161" s="296"/>
      <c r="C3161" s="296"/>
      <c r="D3161" s="296"/>
      <c r="E3161" s="296"/>
      <c r="F3161" s="296"/>
      <c r="G3161" s="296"/>
      <c r="H3161" s="296"/>
      <c r="I3161" s="296"/>
      <c r="J3161" s="296"/>
      <c r="K3161" s="295"/>
      <c r="L3161" s="295"/>
      <c r="M3161" s="296"/>
      <c r="N3161" s="296"/>
      <c r="P3161" s="296"/>
      <c r="Q3161" s="296"/>
    </row>
    <row r="3162" spans="1:20" hidden="1">
      <c r="A3162" s="295"/>
      <c r="B3162" s="296"/>
      <c r="C3162" s="296"/>
      <c r="D3162" s="296"/>
      <c r="E3162" s="296"/>
      <c r="F3162" s="296"/>
      <c r="G3162" s="296"/>
      <c r="H3162" s="296"/>
      <c r="I3162" s="296"/>
      <c r="J3162" s="296"/>
      <c r="K3162" s="295"/>
      <c r="L3162" s="295"/>
      <c r="M3162" s="296"/>
      <c r="N3162" s="296"/>
      <c r="P3162" s="296"/>
      <c r="Q3162" s="296"/>
    </row>
    <row r="3163" spans="1:20" hidden="1">
      <c r="A3163" s="295"/>
      <c r="B3163" s="296"/>
      <c r="C3163" s="296"/>
      <c r="D3163" s="296"/>
      <c r="E3163" s="296"/>
      <c r="F3163" s="296"/>
      <c r="G3163" s="296"/>
      <c r="H3163" s="296"/>
      <c r="I3163" s="296"/>
      <c r="J3163" s="296"/>
      <c r="K3163" s="295"/>
      <c r="L3163" s="295"/>
      <c r="M3163" s="296"/>
      <c r="N3163" s="296"/>
      <c r="P3163" s="296"/>
      <c r="Q3163" s="296"/>
    </row>
    <row r="3164" spans="1:20" hidden="1">
      <c r="A3164" s="295"/>
      <c r="B3164" s="296"/>
      <c r="C3164" s="296"/>
      <c r="D3164" s="296"/>
      <c r="E3164" s="296"/>
      <c r="F3164" s="296"/>
      <c r="G3164" s="296"/>
      <c r="H3164" s="296"/>
      <c r="I3164" s="296"/>
      <c r="J3164" s="296"/>
      <c r="K3164" s="295"/>
      <c r="L3164" s="295"/>
      <c r="M3164" s="296"/>
      <c r="N3164" s="296"/>
      <c r="P3164" s="296"/>
      <c r="Q3164" s="296"/>
    </row>
    <row r="3165" spans="1:20" hidden="1">
      <c r="A3165" s="295"/>
      <c r="B3165" s="296"/>
      <c r="C3165" s="296"/>
      <c r="D3165" s="296"/>
      <c r="E3165" s="296"/>
      <c r="F3165" s="296"/>
      <c r="G3165" s="296"/>
      <c r="H3165" s="296"/>
      <c r="I3165" s="296"/>
      <c r="J3165" s="296"/>
      <c r="K3165" s="295"/>
      <c r="L3165" s="295"/>
      <c r="M3165" s="296"/>
      <c r="N3165" s="296"/>
      <c r="P3165" s="296"/>
      <c r="Q3165" s="296"/>
    </row>
    <row r="3166" spans="1:20" hidden="1">
      <c r="A3166" s="295"/>
      <c r="B3166" s="296"/>
      <c r="C3166" s="296"/>
      <c r="D3166" s="296"/>
      <c r="E3166" s="296"/>
      <c r="F3166" s="296"/>
      <c r="G3166" s="296"/>
      <c r="H3166" s="296"/>
      <c r="I3166" s="296"/>
      <c r="J3166" s="296"/>
      <c r="K3166" s="295"/>
      <c r="L3166" s="295"/>
      <c r="M3166" s="296"/>
      <c r="N3166" s="296"/>
      <c r="P3166" s="296"/>
      <c r="Q3166" s="296"/>
    </row>
    <row r="3167" spans="1:20" hidden="1">
      <c r="A3167" s="295"/>
      <c r="B3167" s="296"/>
      <c r="C3167" s="296"/>
      <c r="D3167" s="296"/>
      <c r="E3167" s="296"/>
      <c r="F3167" s="296"/>
      <c r="G3167" s="296"/>
      <c r="H3167" s="296"/>
      <c r="I3167" s="296"/>
      <c r="J3167" s="296"/>
      <c r="K3167" s="295"/>
      <c r="L3167" s="295"/>
      <c r="M3167" s="296"/>
      <c r="N3167" s="296"/>
      <c r="P3167" s="296"/>
      <c r="Q3167" s="296"/>
    </row>
    <row r="3168" spans="1:20" hidden="1">
      <c r="A3168" s="295"/>
      <c r="B3168" s="296"/>
      <c r="C3168" s="296"/>
      <c r="D3168" s="296"/>
      <c r="E3168" s="296"/>
      <c r="F3168" s="296"/>
      <c r="G3168" s="296"/>
      <c r="H3168" s="296"/>
      <c r="I3168" s="296"/>
      <c r="J3168" s="296"/>
      <c r="K3168" s="295"/>
      <c r="L3168" s="295"/>
      <c r="M3168" s="296"/>
      <c r="N3168" s="296"/>
      <c r="P3168" s="296"/>
      <c r="Q3168" s="296"/>
    </row>
    <row r="3169" spans="1:17" hidden="1">
      <c r="A3169" s="295"/>
      <c r="B3169" s="296"/>
      <c r="C3169" s="296"/>
      <c r="D3169" s="296"/>
      <c r="E3169" s="296"/>
      <c r="F3169" s="296"/>
      <c r="G3169" s="296"/>
      <c r="H3169" s="296"/>
      <c r="I3169" s="296"/>
      <c r="J3169" s="296"/>
      <c r="K3169" s="295"/>
      <c r="L3169" s="295"/>
      <c r="M3169" s="296"/>
      <c r="N3169" s="296"/>
      <c r="P3169" s="296"/>
      <c r="Q3169" s="296"/>
    </row>
    <row r="3170" spans="1:17" hidden="1">
      <c r="A3170" s="295"/>
      <c r="B3170" s="296"/>
      <c r="C3170" s="296"/>
      <c r="D3170" s="296"/>
      <c r="E3170" s="296"/>
      <c r="F3170" s="296"/>
      <c r="G3170" s="296"/>
      <c r="H3170" s="296"/>
      <c r="I3170" s="296"/>
      <c r="J3170" s="296"/>
      <c r="K3170" s="295"/>
      <c r="L3170" s="295"/>
      <c r="M3170" s="296"/>
      <c r="N3170" s="296"/>
      <c r="P3170" s="296"/>
      <c r="Q3170" s="296"/>
    </row>
    <row r="3171" spans="1:17" hidden="1">
      <c r="A3171" s="295"/>
      <c r="B3171" s="296"/>
      <c r="C3171" s="296"/>
      <c r="D3171" s="296"/>
      <c r="E3171" s="296"/>
      <c r="F3171" s="296"/>
      <c r="G3171" s="296"/>
      <c r="H3171" s="296"/>
      <c r="I3171" s="296"/>
      <c r="J3171" s="296"/>
      <c r="K3171" s="295"/>
      <c r="L3171" s="295"/>
      <c r="M3171" s="296"/>
      <c r="N3171" s="296"/>
      <c r="P3171" s="296"/>
      <c r="Q3171" s="296"/>
    </row>
    <row r="3172" spans="1:17" hidden="1">
      <c r="A3172" s="295"/>
      <c r="B3172" s="296"/>
      <c r="C3172" s="296"/>
      <c r="D3172" s="296"/>
      <c r="E3172" s="296"/>
      <c r="F3172" s="296"/>
      <c r="G3172" s="296"/>
      <c r="H3172" s="296"/>
      <c r="I3172" s="296"/>
      <c r="J3172" s="296"/>
      <c r="K3172" s="295"/>
      <c r="L3172" s="295"/>
      <c r="M3172" s="296"/>
      <c r="N3172" s="296"/>
      <c r="P3172" s="296"/>
      <c r="Q3172" s="296"/>
    </row>
    <row r="3173" spans="1:17" hidden="1">
      <c r="A3173" s="295"/>
      <c r="B3173" s="296"/>
      <c r="C3173" s="296"/>
      <c r="D3173" s="296"/>
      <c r="E3173" s="296"/>
      <c r="F3173" s="296"/>
      <c r="G3173" s="296"/>
      <c r="H3173" s="296"/>
      <c r="I3173" s="296"/>
      <c r="J3173" s="296"/>
      <c r="K3173" s="295"/>
      <c r="L3173" s="295"/>
      <c r="M3173" s="296"/>
      <c r="N3173" s="296"/>
      <c r="P3173" s="296"/>
      <c r="Q3173" s="296"/>
    </row>
    <row r="3174" spans="1:17" hidden="1">
      <c r="A3174" s="295"/>
      <c r="B3174" s="296"/>
      <c r="C3174" s="296"/>
      <c r="D3174" s="296"/>
      <c r="E3174" s="296"/>
      <c r="F3174" s="296"/>
      <c r="G3174" s="296"/>
      <c r="H3174" s="296"/>
      <c r="I3174" s="296"/>
      <c r="J3174" s="296"/>
      <c r="K3174" s="295"/>
      <c r="L3174" s="295"/>
      <c r="M3174" s="296"/>
      <c r="N3174" s="296"/>
      <c r="P3174" s="296"/>
      <c r="Q3174" s="296"/>
    </row>
    <row r="3175" spans="1:17" hidden="1">
      <c r="A3175" s="295"/>
      <c r="B3175" s="296"/>
      <c r="C3175" s="296"/>
      <c r="D3175" s="296"/>
      <c r="E3175" s="296"/>
      <c r="F3175" s="296"/>
      <c r="G3175" s="296"/>
      <c r="H3175" s="296"/>
      <c r="I3175" s="296"/>
      <c r="J3175" s="296"/>
      <c r="K3175" s="295"/>
      <c r="L3175" s="295"/>
      <c r="M3175" s="296"/>
      <c r="N3175" s="296"/>
      <c r="P3175" s="296"/>
      <c r="Q3175" s="296"/>
    </row>
    <row r="3176" spans="1:17" hidden="1">
      <c r="B3176" s="19"/>
      <c r="C3176" s="19"/>
      <c r="D3176" s="19"/>
      <c r="E3176" s="19"/>
      <c r="F3176" s="19"/>
      <c r="G3176" s="19"/>
      <c r="H3176" s="19"/>
      <c r="I3176" s="19"/>
      <c r="J3176" s="19"/>
      <c r="K3176" s="421"/>
      <c r="L3176" s="23"/>
      <c r="M3176" s="19"/>
      <c r="N3176" s="19"/>
      <c r="O3176" s="19"/>
      <c r="P3176" s="19"/>
      <c r="Q3176" s="19"/>
    </row>
    <row r="3177" spans="1:17" hidden="1">
      <c r="B3177" s="19"/>
      <c r="C3177" s="19"/>
      <c r="D3177" s="19"/>
      <c r="E3177" s="19"/>
      <c r="F3177" s="19"/>
      <c r="G3177" s="19"/>
      <c r="H3177" s="19"/>
      <c r="I3177" s="19"/>
      <c r="J3177" s="19"/>
      <c r="K3177" s="421"/>
      <c r="L3177" s="23"/>
      <c r="M3177" s="19"/>
      <c r="N3177" s="19"/>
      <c r="O3177" s="19"/>
      <c r="P3177" s="19"/>
      <c r="Q3177" s="19"/>
    </row>
    <row r="3178" spans="1:17" hidden="1">
      <c r="B3178" s="19"/>
      <c r="C3178" s="19"/>
      <c r="D3178" s="19"/>
      <c r="E3178" s="19"/>
      <c r="F3178" s="19"/>
      <c r="G3178" s="19"/>
      <c r="H3178" s="19"/>
      <c r="I3178" s="19"/>
      <c r="J3178" s="19"/>
      <c r="K3178" s="421"/>
      <c r="L3178" s="23"/>
      <c r="M3178" s="19"/>
      <c r="N3178" s="19"/>
      <c r="O3178" s="19"/>
      <c r="P3178" s="19"/>
      <c r="Q3178" s="19"/>
    </row>
    <row r="3179" spans="1:17" hidden="1">
      <c r="B3179" s="19"/>
      <c r="C3179" s="19"/>
      <c r="D3179" s="19"/>
      <c r="E3179" s="19"/>
      <c r="F3179" s="19"/>
      <c r="G3179" s="19"/>
      <c r="H3179" s="19"/>
      <c r="I3179" s="19"/>
      <c r="J3179" s="19"/>
      <c r="K3179" s="421"/>
      <c r="L3179" s="23"/>
      <c r="M3179" s="19"/>
      <c r="N3179" s="19"/>
      <c r="O3179" s="19"/>
      <c r="P3179" s="19"/>
      <c r="Q3179" s="19"/>
    </row>
    <row r="3180" spans="1:17" hidden="1">
      <c r="B3180" s="19"/>
      <c r="C3180" s="19"/>
      <c r="D3180" s="19"/>
      <c r="E3180" s="19"/>
      <c r="F3180" s="19"/>
      <c r="G3180" s="19"/>
      <c r="H3180" s="19"/>
      <c r="I3180" s="19"/>
      <c r="J3180" s="19"/>
      <c r="K3180" s="421"/>
      <c r="L3180" s="23"/>
      <c r="M3180" s="19"/>
      <c r="N3180" s="19"/>
      <c r="O3180" s="19"/>
      <c r="P3180" s="19"/>
      <c r="Q3180" s="19"/>
    </row>
    <row r="3181" spans="1:17" hidden="1">
      <c r="B3181" s="19"/>
      <c r="C3181" s="19"/>
      <c r="D3181" s="19"/>
      <c r="E3181" s="19"/>
      <c r="F3181" s="19"/>
      <c r="G3181" s="19"/>
      <c r="H3181" s="19"/>
      <c r="I3181" s="19"/>
      <c r="J3181" s="19"/>
      <c r="K3181" s="421"/>
      <c r="L3181" s="23"/>
      <c r="M3181" s="19"/>
      <c r="N3181" s="19"/>
      <c r="O3181" s="19"/>
      <c r="P3181" s="19"/>
      <c r="Q3181" s="19"/>
    </row>
    <row r="3182" spans="1:17" hidden="1">
      <c r="B3182" s="19"/>
      <c r="C3182" s="19"/>
      <c r="D3182" s="19"/>
      <c r="E3182" s="19"/>
      <c r="F3182" s="19"/>
      <c r="G3182" s="19"/>
      <c r="H3182" s="19"/>
      <c r="I3182" s="19"/>
      <c r="J3182" s="19"/>
      <c r="K3182" s="421"/>
      <c r="L3182" s="23"/>
      <c r="M3182" s="19"/>
      <c r="N3182" s="19"/>
      <c r="O3182" s="19"/>
      <c r="P3182" s="19"/>
      <c r="Q3182" s="19"/>
    </row>
    <row r="3183" spans="1:17" hidden="1">
      <c r="B3183" s="19"/>
      <c r="C3183" s="19"/>
      <c r="D3183" s="19"/>
      <c r="E3183" s="19"/>
      <c r="F3183" s="19"/>
      <c r="G3183" s="19"/>
      <c r="H3183" s="19"/>
      <c r="I3183" s="19"/>
      <c r="J3183" s="19"/>
      <c r="K3183" s="421"/>
      <c r="L3183" s="23"/>
      <c r="M3183" s="19"/>
      <c r="N3183" s="19"/>
      <c r="O3183" s="19"/>
      <c r="P3183" s="19"/>
      <c r="Q3183" s="19"/>
    </row>
    <row r="3184" spans="1:17" hidden="1">
      <c r="B3184" s="19"/>
      <c r="C3184" s="19"/>
      <c r="D3184" s="19"/>
      <c r="E3184" s="19"/>
      <c r="F3184" s="19"/>
      <c r="G3184" s="19"/>
      <c r="H3184" s="19"/>
      <c r="I3184" s="19"/>
      <c r="J3184" s="19"/>
      <c r="K3184" s="421"/>
      <c r="L3184" s="23"/>
      <c r="M3184" s="19"/>
      <c r="N3184" s="19"/>
      <c r="O3184" s="19"/>
      <c r="P3184" s="19"/>
      <c r="Q3184" s="19"/>
    </row>
    <row r="3185" spans="2:17" hidden="1">
      <c r="B3185" s="19"/>
      <c r="C3185" s="19"/>
      <c r="D3185" s="19"/>
      <c r="E3185" s="19"/>
      <c r="F3185" s="19"/>
      <c r="G3185" s="19"/>
      <c r="H3185" s="19"/>
      <c r="I3185" s="19"/>
      <c r="J3185" s="19"/>
      <c r="K3185" s="421"/>
      <c r="L3185" s="23"/>
      <c r="M3185" s="19"/>
      <c r="N3185" s="19"/>
      <c r="O3185" s="19"/>
      <c r="P3185" s="19"/>
      <c r="Q3185" s="19"/>
    </row>
    <row r="3186" spans="2:17" hidden="1">
      <c r="B3186" s="19"/>
      <c r="C3186" s="19"/>
      <c r="D3186" s="19"/>
      <c r="E3186" s="19"/>
      <c r="F3186" s="19"/>
      <c r="G3186" s="19"/>
      <c r="H3186" s="19"/>
      <c r="I3186" s="19"/>
      <c r="J3186" s="19"/>
      <c r="K3186" s="421"/>
      <c r="L3186" s="23"/>
      <c r="M3186" s="19"/>
      <c r="N3186" s="19"/>
      <c r="O3186" s="19"/>
      <c r="P3186" s="19"/>
      <c r="Q3186" s="19"/>
    </row>
    <row r="3187" spans="2:17" hidden="1">
      <c r="B3187" s="19"/>
      <c r="C3187" s="19"/>
      <c r="D3187" s="19"/>
      <c r="E3187" s="19"/>
      <c r="F3187" s="19"/>
      <c r="G3187" s="19"/>
      <c r="H3187" s="19"/>
      <c r="I3187" s="19"/>
      <c r="J3187" s="19"/>
      <c r="K3187" s="421"/>
      <c r="L3187" s="23"/>
      <c r="M3187" s="19"/>
      <c r="N3187" s="19"/>
      <c r="O3187" s="19"/>
      <c r="P3187" s="19"/>
      <c r="Q3187" s="19"/>
    </row>
    <row r="3188" spans="2:17" hidden="1">
      <c r="B3188" s="19"/>
      <c r="C3188" s="19"/>
      <c r="D3188" s="19"/>
      <c r="E3188" s="19"/>
      <c r="F3188" s="19"/>
      <c r="G3188" s="19"/>
      <c r="H3188" s="19"/>
      <c r="I3188" s="19"/>
      <c r="J3188" s="19"/>
      <c r="K3188" s="421"/>
      <c r="L3188" s="23"/>
      <c r="M3188" s="19"/>
      <c r="N3188" s="19"/>
      <c r="O3188" s="19"/>
      <c r="P3188" s="19"/>
      <c r="Q3188" s="19"/>
    </row>
    <row r="3189" spans="2:17" hidden="1">
      <c r="B3189" s="19"/>
      <c r="C3189" s="19"/>
      <c r="D3189" s="19"/>
      <c r="E3189" s="19"/>
      <c r="F3189" s="19"/>
      <c r="G3189" s="19"/>
      <c r="H3189" s="19"/>
      <c r="I3189" s="19"/>
      <c r="J3189" s="19"/>
      <c r="K3189" s="421"/>
      <c r="L3189" s="23"/>
      <c r="M3189" s="19"/>
      <c r="N3189" s="19"/>
      <c r="O3189" s="19"/>
      <c r="P3189" s="19"/>
      <c r="Q3189" s="19"/>
    </row>
    <row r="3190" spans="2:17" hidden="1">
      <c r="B3190" s="19"/>
      <c r="C3190" s="19"/>
      <c r="D3190" s="19"/>
      <c r="E3190" s="19"/>
      <c r="F3190" s="19"/>
      <c r="G3190" s="19"/>
      <c r="H3190" s="19"/>
      <c r="I3190" s="19"/>
      <c r="J3190" s="19"/>
      <c r="K3190" s="421"/>
      <c r="L3190" s="23"/>
      <c r="M3190" s="19"/>
      <c r="N3190" s="19"/>
      <c r="O3190" s="19"/>
      <c r="P3190" s="19"/>
      <c r="Q3190" s="19"/>
    </row>
    <row r="3191" spans="2:17" hidden="1">
      <c r="B3191" s="19"/>
      <c r="C3191" s="19"/>
      <c r="D3191" s="19"/>
      <c r="E3191" s="19"/>
      <c r="F3191" s="19"/>
      <c r="G3191" s="19"/>
      <c r="H3191" s="19"/>
      <c r="I3191" s="19"/>
      <c r="J3191" s="19"/>
      <c r="K3191" s="421"/>
      <c r="L3191" s="23"/>
      <c r="M3191" s="19"/>
      <c r="N3191" s="19"/>
      <c r="O3191" s="19"/>
      <c r="P3191" s="19"/>
      <c r="Q3191" s="19"/>
    </row>
    <row r="3192" spans="2:17" hidden="1">
      <c r="B3192" s="19"/>
      <c r="C3192" s="19"/>
      <c r="D3192" s="19"/>
      <c r="E3192" s="19"/>
      <c r="F3192" s="19"/>
      <c r="G3192" s="19"/>
      <c r="H3192" s="19"/>
      <c r="I3192" s="19"/>
      <c r="J3192" s="19"/>
      <c r="K3192" s="421"/>
      <c r="L3192" s="23"/>
      <c r="M3192" s="19"/>
      <c r="N3192" s="19"/>
      <c r="O3192" s="19"/>
      <c r="P3192" s="19"/>
      <c r="Q3192" s="19"/>
    </row>
    <row r="3193" spans="2:17" hidden="1">
      <c r="B3193" s="19"/>
      <c r="C3193" s="19"/>
      <c r="D3193" s="19"/>
      <c r="E3193" s="19"/>
      <c r="F3193" s="19"/>
      <c r="G3193" s="19"/>
      <c r="H3193" s="19"/>
      <c r="I3193" s="19"/>
      <c r="J3193" s="19"/>
      <c r="K3193" s="421"/>
      <c r="L3193" s="23"/>
      <c r="M3193" s="19"/>
      <c r="N3193" s="19"/>
      <c r="O3193" s="19"/>
      <c r="P3193" s="19"/>
      <c r="Q3193" s="19"/>
    </row>
    <row r="3194" spans="2:17" hidden="1">
      <c r="B3194" s="19"/>
      <c r="C3194" s="19"/>
      <c r="D3194" s="19"/>
      <c r="E3194" s="19"/>
      <c r="F3194" s="19"/>
      <c r="G3194" s="19"/>
      <c r="H3194" s="19"/>
      <c r="I3194" s="19"/>
      <c r="J3194" s="19"/>
      <c r="K3194" s="421"/>
      <c r="L3194" s="23"/>
      <c r="M3194" s="19"/>
      <c r="N3194" s="19"/>
      <c r="O3194" s="19"/>
      <c r="P3194" s="19"/>
      <c r="Q3194" s="19"/>
    </row>
    <row r="3195" spans="2:17" hidden="1">
      <c r="B3195" s="19"/>
      <c r="C3195" s="19"/>
      <c r="D3195" s="19"/>
      <c r="E3195" s="19"/>
      <c r="F3195" s="19"/>
      <c r="G3195" s="19"/>
      <c r="H3195" s="19"/>
      <c r="I3195" s="19"/>
      <c r="J3195" s="19"/>
      <c r="K3195" s="421"/>
      <c r="L3195" s="23"/>
      <c r="M3195" s="19"/>
      <c r="N3195" s="19"/>
      <c r="O3195" s="19"/>
      <c r="P3195" s="19"/>
      <c r="Q3195" s="19"/>
    </row>
    <row r="3196" spans="2:17" hidden="1">
      <c r="B3196" s="19"/>
      <c r="C3196" s="19"/>
      <c r="D3196" s="19"/>
      <c r="E3196" s="19"/>
      <c r="F3196" s="19"/>
      <c r="G3196" s="19"/>
      <c r="H3196" s="19"/>
      <c r="I3196" s="19"/>
      <c r="J3196" s="19"/>
      <c r="K3196" s="421"/>
      <c r="L3196" s="23"/>
      <c r="M3196" s="19"/>
      <c r="N3196" s="19"/>
      <c r="O3196" s="19"/>
      <c r="P3196" s="19"/>
      <c r="Q3196" s="19"/>
    </row>
    <row r="3197" spans="2:17" hidden="1">
      <c r="B3197" s="19"/>
      <c r="C3197" s="19"/>
      <c r="D3197" s="19"/>
      <c r="E3197" s="19"/>
      <c r="F3197" s="19"/>
      <c r="G3197" s="19"/>
      <c r="H3197" s="19"/>
      <c r="I3197" s="19"/>
      <c r="J3197" s="19"/>
      <c r="K3197" s="421"/>
      <c r="L3197" s="23"/>
      <c r="M3197" s="19"/>
      <c r="N3197" s="19"/>
      <c r="O3197" s="19"/>
      <c r="P3197" s="19"/>
      <c r="Q3197" s="19"/>
    </row>
    <row r="3198" spans="2:17" hidden="1">
      <c r="B3198" s="19"/>
      <c r="C3198" s="19"/>
      <c r="D3198" s="19"/>
      <c r="E3198" s="19"/>
      <c r="F3198" s="19"/>
      <c r="G3198" s="19"/>
      <c r="H3198" s="19"/>
      <c r="I3198" s="19"/>
      <c r="J3198" s="19"/>
      <c r="K3198" s="421"/>
      <c r="L3198" s="23"/>
      <c r="M3198" s="19"/>
      <c r="N3198" s="19"/>
      <c r="O3198" s="19"/>
      <c r="P3198" s="19"/>
      <c r="Q3198" s="19"/>
    </row>
    <row r="3199" spans="2:17" hidden="1">
      <c r="B3199" s="19"/>
      <c r="C3199" s="19"/>
      <c r="D3199" s="19"/>
      <c r="E3199" s="19"/>
      <c r="F3199" s="19"/>
      <c r="G3199" s="19"/>
      <c r="H3199" s="19"/>
      <c r="I3199" s="19"/>
      <c r="J3199" s="19"/>
      <c r="K3199" s="421"/>
      <c r="L3199" s="23"/>
      <c r="M3199" s="19"/>
      <c r="N3199" s="19"/>
      <c r="O3199" s="19"/>
      <c r="P3199" s="19"/>
      <c r="Q3199" s="19"/>
    </row>
    <row r="3200" spans="2:17" hidden="1">
      <c r="B3200" s="19"/>
      <c r="C3200" s="19"/>
      <c r="D3200" s="19"/>
      <c r="E3200" s="19"/>
      <c r="F3200" s="19"/>
      <c r="G3200" s="19"/>
      <c r="H3200" s="19"/>
      <c r="I3200" s="19"/>
      <c r="J3200" s="19"/>
      <c r="K3200" s="421"/>
      <c r="L3200" s="23"/>
      <c r="M3200" s="19"/>
      <c r="N3200" s="19"/>
      <c r="O3200" s="19"/>
      <c r="P3200" s="19"/>
      <c r="Q3200" s="19"/>
    </row>
    <row r="3201" spans="2:17" hidden="1">
      <c r="B3201" s="19"/>
      <c r="C3201" s="19"/>
      <c r="D3201" s="19"/>
      <c r="E3201" s="19"/>
      <c r="F3201" s="19"/>
      <c r="G3201" s="19"/>
      <c r="H3201" s="19"/>
      <c r="I3201" s="19"/>
      <c r="J3201" s="19"/>
      <c r="K3201" s="421"/>
      <c r="L3201" s="23"/>
      <c r="M3201" s="19"/>
      <c r="N3201" s="19"/>
      <c r="O3201" s="19"/>
      <c r="P3201" s="19"/>
      <c r="Q3201" s="19"/>
    </row>
    <row r="3202" spans="2:17" hidden="1">
      <c r="B3202" s="19"/>
      <c r="C3202" s="19"/>
      <c r="D3202" s="19"/>
      <c r="E3202" s="19"/>
      <c r="F3202" s="19"/>
      <c r="G3202" s="19"/>
      <c r="H3202" s="19"/>
      <c r="I3202" s="19"/>
      <c r="J3202" s="19"/>
      <c r="K3202" s="421"/>
      <c r="L3202" s="23"/>
      <c r="M3202" s="19"/>
      <c r="N3202" s="19"/>
      <c r="O3202" s="19"/>
      <c r="P3202" s="19"/>
      <c r="Q3202" s="19"/>
    </row>
    <row r="3203" spans="2:17" hidden="1">
      <c r="B3203" s="19"/>
      <c r="C3203" s="19"/>
      <c r="D3203" s="19"/>
      <c r="E3203" s="19"/>
      <c r="F3203" s="19"/>
      <c r="G3203" s="19"/>
      <c r="H3203" s="19"/>
      <c r="I3203" s="19"/>
      <c r="J3203" s="19"/>
      <c r="K3203" s="421"/>
      <c r="L3203" s="23"/>
      <c r="M3203" s="19"/>
      <c r="N3203" s="19"/>
      <c r="O3203" s="19"/>
      <c r="P3203" s="19"/>
      <c r="Q3203" s="19"/>
    </row>
    <row r="3204" spans="2:17" hidden="1">
      <c r="B3204" s="19"/>
      <c r="C3204" s="19"/>
      <c r="D3204" s="19"/>
      <c r="E3204" s="19"/>
      <c r="F3204" s="19"/>
      <c r="G3204" s="19"/>
      <c r="H3204" s="19"/>
      <c r="I3204" s="19"/>
      <c r="J3204" s="19"/>
      <c r="K3204" s="421"/>
      <c r="L3204" s="23"/>
      <c r="M3204" s="19"/>
      <c r="N3204" s="19"/>
      <c r="O3204" s="19"/>
      <c r="P3204" s="19"/>
      <c r="Q3204" s="19"/>
    </row>
    <row r="3205" spans="2:17" hidden="1">
      <c r="B3205" s="19"/>
      <c r="C3205" s="19"/>
      <c r="D3205" s="19"/>
      <c r="E3205" s="19"/>
      <c r="F3205" s="19"/>
      <c r="G3205" s="19"/>
      <c r="H3205" s="19"/>
      <c r="I3205" s="19"/>
      <c r="J3205" s="19"/>
      <c r="K3205" s="421"/>
      <c r="L3205" s="23"/>
      <c r="M3205" s="19"/>
      <c r="N3205" s="19"/>
      <c r="O3205" s="19"/>
      <c r="P3205" s="19"/>
      <c r="Q3205" s="19"/>
    </row>
    <row r="3206" spans="2:17" hidden="1">
      <c r="B3206" s="19"/>
      <c r="C3206" s="19"/>
      <c r="D3206" s="19"/>
      <c r="E3206" s="19"/>
      <c r="F3206" s="19"/>
      <c r="G3206" s="19"/>
      <c r="H3206" s="19"/>
      <c r="I3206" s="19"/>
      <c r="J3206" s="19"/>
      <c r="K3206" s="421"/>
      <c r="L3206" s="23"/>
      <c r="M3206" s="19"/>
      <c r="N3206" s="19"/>
      <c r="O3206" s="19"/>
      <c r="P3206" s="19"/>
      <c r="Q3206" s="19"/>
    </row>
    <row r="3207" spans="2:17" hidden="1">
      <c r="B3207" s="19"/>
      <c r="C3207" s="19"/>
      <c r="D3207" s="19"/>
      <c r="E3207" s="19"/>
      <c r="F3207" s="19"/>
      <c r="G3207" s="19"/>
      <c r="H3207" s="19"/>
      <c r="I3207" s="19"/>
      <c r="J3207" s="19"/>
      <c r="K3207" s="421"/>
      <c r="L3207" s="23"/>
      <c r="M3207" s="19"/>
      <c r="N3207" s="19"/>
      <c r="O3207" s="19"/>
      <c r="P3207" s="19"/>
      <c r="Q3207" s="19"/>
    </row>
    <row r="3208" spans="2:17" hidden="1">
      <c r="B3208" s="19"/>
      <c r="C3208" s="19"/>
      <c r="D3208" s="19"/>
      <c r="E3208" s="19"/>
      <c r="F3208" s="19"/>
      <c r="G3208" s="19"/>
      <c r="H3208" s="19"/>
      <c r="I3208" s="19"/>
      <c r="J3208" s="19"/>
      <c r="K3208" s="421"/>
      <c r="L3208" s="23"/>
      <c r="M3208" s="19"/>
      <c r="N3208" s="19"/>
      <c r="O3208" s="19"/>
      <c r="P3208" s="19"/>
      <c r="Q3208" s="19"/>
    </row>
    <row r="3209" spans="2:17" hidden="1">
      <c r="B3209" s="19"/>
      <c r="C3209" s="19"/>
      <c r="D3209" s="19"/>
      <c r="E3209" s="19"/>
      <c r="F3209" s="19"/>
      <c r="G3209" s="19"/>
      <c r="H3209" s="19"/>
      <c r="I3209" s="19"/>
      <c r="J3209" s="19"/>
      <c r="K3209" s="421"/>
      <c r="L3209" s="23"/>
      <c r="M3209" s="19"/>
      <c r="N3209" s="19"/>
      <c r="O3209" s="19"/>
      <c r="P3209" s="19"/>
      <c r="Q3209" s="19"/>
    </row>
    <row r="3210" spans="2:17" hidden="1">
      <c r="B3210" s="19"/>
      <c r="C3210" s="19"/>
      <c r="D3210" s="19"/>
      <c r="E3210" s="19"/>
      <c r="F3210" s="19"/>
      <c r="G3210" s="19"/>
      <c r="H3210" s="19"/>
      <c r="I3210" s="19"/>
      <c r="J3210" s="19"/>
      <c r="K3210" s="421"/>
      <c r="L3210" s="23"/>
      <c r="M3210" s="19"/>
      <c r="N3210" s="19"/>
      <c r="O3210" s="19"/>
      <c r="P3210" s="19"/>
      <c r="Q3210" s="19"/>
    </row>
    <row r="3211" spans="2:17" hidden="1">
      <c r="B3211" s="19"/>
      <c r="C3211" s="19"/>
      <c r="D3211" s="19"/>
      <c r="E3211" s="19"/>
      <c r="F3211" s="19"/>
      <c r="G3211" s="19"/>
      <c r="H3211" s="19"/>
      <c r="I3211" s="19"/>
      <c r="J3211" s="19"/>
      <c r="K3211" s="421"/>
      <c r="L3211" s="23"/>
      <c r="M3211" s="19"/>
      <c r="N3211" s="19"/>
      <c r="O3211" s="19"/>
      <c r="P3211" s="19"/>
      <c r="Q3211" s="19"/>
    </row>
    <row r="3212" spans="2:17" hidden="1">
      <c r="B3212" s="19"/>
      <c r="C3212" s="19"/>
      <c r="D3212" s="19"/>
      <c r="E3212" s="19"/>
      <c r="F3212" s="19"/>
      <c r="G3212" s="19"/>
      <c r="H3212" s="19"/>
      <c r="I3212" s="19"/>
      <c r="J3212" s="19"/>
      <c r="K3212" s="421"/>
      <c r="L3212" s="23"/>
      <c r="M3212" s="19"/>
      <c r="N3212" s="19"/>
      <c r="O3212" s="19"/>
      <c r="P3212" s="19"/>
      <c r="Q3212" s="19"/>
    </row>
    <row r="3213" spans="2:17" hidden="1">
      <c r="B3213" s="19"/>
      <c r="C3213" s="19"/>
      <c r="D3213" s="19"/>
      <c r="E3213" s="19"/>
      <c r="F3213" s="19"/>
      <c r="G3213" s="19"/>
      <c r="H3213" s="19"/>
      <c r="I3213" s="19"/>
      <c r="J3213" s="19"/>
      <c r="K3213" s="421"/>
      <c r="L3213" s="23"/>
      <c r="M3213" s="19"/>
      <c r="N3213" s="19"/>
      <c r="O3213" s="19"/>
      <c r="P3213" s="19"/>
      <c r="Q3213" s="19"/>
    </row>
    <row r="3214" spans="2:17" hidden="1">
      <c r="B3214" s="19"/>
      <c r="C3214" s="19"/>
      <c r="D3214" s="19"/>
      <c r="E3214" s="19"/>
      <c r="F3214" s="19"/>
      <c r="G3214" s="19"/>
      <c r="H3214" s="19"/>
      <c r="I3214" s="19"/>
      <c r="J3214" s="19"/>
      <c r="K3214" s="421"/>
      <c r="L3214" s="23"/>
      <c r="M3214" s="19"/>
      <c r="N3214" s="19"/>
      <c r="O3214" s="19"/>
      <c r="P3214" s="19"/>
      <c r="Q3214" s="19"/>
    </row>
    <row r="3215" spans="2:17" hidden="1">
      <c r="B3215" s="19"/>
      <c r="C3215" s="19"/>
      <c r="D3215" s="19"/>
      <c r="E3215" s="19"/>
      <c r="F3215" s="19"/>
      <c r="G3215" s="19"/>
      <c r="H3215" s="19"/>
      <c r="I3215" s="19"/>
      <c r="J3215" s="19"/>
      <c r="K3215" s="421"/>
      <c r="L3215" s="23"/>
      <c r="M3215" s="19"/>
      <c r="N3215" s="19"/>
      <c r="O3215" s="19"/>
      <c r="P3215" s="19"/>
      <c r="Q3215" s="19"/>
    </row>
    <row r="3216" spans="2:17" hidden="1">
      <c r="B3216" s="19"/>
      <c r="C3216" s="19"/>
      <c r="D3216" s="19"/>
      <c r="E3216" s="19"/>
      <c r="F3216" s="19"/>
      <c r="G3216" s="19"/>
      <c r="H3216" s="19"/>
      <c r="I3216" s="19"/>
      <c r="J3216" s="19"/>
      <c r="K3216" s="421"/>
      <c r="L3216" s="23"/>
      <c r="M3216" s="19"/>
      <c r="N3216" s="19"/>
      <c r="O3216" s="19"/>
      <c r="P3216" s="19"/>
      <c r="Q3216" s="19"/>
    </row>
    <row r="3217" spans="2:17" hidden="1">
      <c r="B3217" s="19"/>
      <c r="C3217" s="19"/>
      <c r="D3217" s="19"/>
      <c r="E3217" s="19"/>
      <c r="F3217" s="19"/>
      <c r="G3217" s="19"/>
      <c r="H3217" s="19"/>
      <c r="I3217" s="19"/>
      <c r="J3217" s="19"/>
      <c r="K3217" s="421"/>
      <c r="L3217" s="23"/>
      <c r="M3217" s="19"/>
      <c r="N3217" s="19"/>
      <c r="O3217" s="19"/>
      <c r="P3217" s="19"/>
      <c r="Q3217" s="19"/>
    </row>
    <row r="3218" spans="2:17" hidden="1">
      <c r="B3218" s="19"/>
      <c r="C3218" s="19"/>
      <c r="D3218" s="19"/>
      <c r="E3218" s="19"/>
      <c r="F3218" s="19"/>
      <c r="G3218" s="19"/>
      <c r="H3218" s="19"/>
      <c r="I3218" s="19"/>
      <c r="J3218" s="19"/>
      <c r="K3218" s="421"/>
      <c r="L3218" s="23"/>
      <c r="M3218" s="19"/>
      <c r="N3218" s="19"/>
      <c r="O3218" s="19"/>
      <c r="P3218" s="19"/>
      <c r="Q3218" s="19"/>
    </row>
    <row r="3219" spans="2:17" hidden="1">
      <c r="B3219" s="19"/>
      <c r="C3219" s="19"/>
      <c r="D3219" s="19"/>
      <c r="E3219" s="19"/>
      <c r="F3219" s="19"/>
      <c r="G3219" s="19"/>
      <c r="H3219" s="19"/>
      <c r="I3219" s="19"/>
      <c r="J3219" s="19"/>
      <c r="K3219" s="421"/>
      <c r="L3219" s="23"/>
      <c r="M3219" s="19"/>
      <c r="N3219" s="19"/>
      <c r="O3219" s="19"/>
      <c r="P3219" s="19"/>
      <c r="Q3219" s="19"/>
    </row>
    <row r="3220" spans="2:17" hidden="1">
      <c r="B3220" s="19"/>
      <c r="C3220" s="19"/>
      <c r="D3220" s="19"/>
      <c r="E3220" s="19"/>
      <c r="F3220" s="19"/>
      <c r="G3220" s="19"/>
      <c r="H3220" s="19"/>
      <c r="I3220" s="19"/>
      <c r="J3220" s="19"/>
      <c r="K3220" s="421"/>
      <c r="L3220" s="23"/>
      <c r="M3220" s="19"/>
      <c r="N3220" s="19"/>
      <c r="O3220" s="19"/>
      <c r="P3220" s="19"/>
      <c r="Q3220" s="19"/>
    </row>
    <row r="3221" spans="2:17" hidden="1">
      <c r="B3221" s="19"/>
      <c r="C3221" s="19"/>
      <c r="D3221" s="19"/>
      <c r="E3221" s="19"/>
      <c r="F3221" s="19"/>
      <c r="G3221" s="19"/>
      <c r="H3221" s="19"/>
      <c r="I3221" s="19"/>
      <c r="J3221" s="19"/>
      <c r="K3221" s="421"/>
      <c r="L3221" s="23"/>
      <c r="M3221" s="19"/>
      <c r="N3221" s="19"/>
      <c r="O3221" s="19"/>
      <c r="P3221" s="19"/>
      <c r="Q3221" s="19"/>
    </row>
    <row r="3222" spans="2:17" hidden="1">
      <c r="B3222" s="19"/>
      <c r="C3222" s="19"/>
      <c r="D3222" s="19"/>
      <c r="E3222" s="19"/>
      <c r="F3222" s="19"/>
      <c r="G3222" s="19"/>
      <c r="H3222" s="19"/>
      <c r="I3222" s="19"/>
      <c r="J3222" s="19"/>
      <c r="K3222" s="421"/>
      <c r="L3222" s="23"/>
      <c r="M3222" s="19"/>
      <c r="N3222" s="19"/>
      <c r="O3222" s="19"/>
      <c r="P3222" s="19"/>
      <c r="Q3222" s="19"/>
    </row>
    <row r="3223" spans="2:17" hidden="1">
      <c r="B3223" s="19"/>
      <c r="C3223" s="19"/>
      <c r="D3223" s="19"/>
      <c r="E3223" s="19"/>
      <c r="F3223" s="19"/>
      <c r="G3223" s="19"/>
      <c r="H3223" s="19"/>
      <c r="I3223" s="19"/>
      <c r="J3223" s="19"/>
      <c r="K3223" s="421"/>
      <c r="L3223" s="23"/>
      <c r="M3223" s="19"/>
      <c r="N3223" s="19"/>
      <c r="O3223" s="19"/>
      <c r="P3223" s="19"/>
      <c r="Q3223" s="19"/>
    </row>
    <row r="3224" spans="2:17" hidden="1">
      <c r="B3224" s="19"/>
      <c r="C3224" s="19"/>
      <c r="D3224" s="19"/>
      <c r="E3224" s="19"/>
      <c r="F3224" s="19"/>
      <c r="G3224" s="19"/>
      <c r="H3224" s="19"/>
      <c r="I3224" s="19"/>
      <c r="J3224" s="19"/>
      <c r="K3224" s="421"/>
      <c r="L3224" s="23"/>
      <c r="M3224" s="19"/>
      <c r="N3224" s="19"/>
      <c r="O3224" s="19"/>
      <c r="P3224" s="19"/>
      <c r="Q3224" s="19"/>
    </row>
    <row r="3225" spans="2:17" hidden="1">
      <c r="B3225" s="19"/>
      <c r="C3225" s="19"/>
      <c r="D3225" s="19"/>
      <c r="E3225" s="19"/>
      <c r="F3225" s="19"/>
      <c r="G3225" s="19"/>
      <c r="H3225" s="19"/>
      <c r="I3225" s="19"/>
      <c r="J3225" s="19"/>
      <c r="K3225" s="421"/>
      <c r="L3225" s="23"/>
      <c r="M3225" s="19"/>
      <c r="N3225" s="19"/>
      <c r="O3225" s="19"/>
      <c r="P3225" s="19"/>
      <c r="Q3225" s="19"/>
    </row>
    <row r="3226" spans="2:17" hidden="1">
      <c r="B3226" s="19"/>
      <c r="C3226" s="19"/>
      <c r="D3226" s="19"/>
      <c r="E3226" s="19"/>
      <c r="F3226" s="19"/>
      <c r="G3226" s="19"/>
      <c r="H3226" s="19"/>
      <c r="I3226" s="19"/>
      <c r="J3226" s="19"/>
      <c r="K3226" s="421"/>
      <c r="L3226" s="23"/>
      <c r="M3226" s="19"/>
      <c r="N3226" s="19"/>
      <c r="O3226" s="19"/>
      <c r="P3226" s="19"/>
      <c r="Q3226" s="19"/>
    </row>
    <row r="3227" spans="2:17" hidden="1">
      <c r="B3227" s="19"/>
      <c r="C3227" s="19"/>
      <c r="D3227" s="19"/>
      <c r="E3227" s="19"/>
      <c r="F3227" s="19"/>
      <c r="G3227" s="19"/>
      <c r="H3227" s="19"/>
      <c r="I3227" s="19"/>
      <c r="J3227" s="19"/>
      <c r="K3227" s="421"/>
      <c r="L3227" s="23"/>
      <c r="M3227" s="19"/>
      <c r="N3227" s="19"/>
      <c r="O3227" s="19"/>
      <c r="P3227" s="19"/>
      <c r="Q3227" s="19"/>
    </row>
    <row r="3228" spans="2:17" hidden="1">
      <c r="B3228" s="19"/>
      <c r="C3228" s="19"/>
      <c r="D3228" s="19"/>
      <c r="E3228" s="19"/>
      <c r="F3228" s="19"/>
      <c r="G3228" s="19"/>
      <c r="H3228" s="19"/>
      <c r="I3228" s="19"/>
      <c r="J3228" s="19"/>
      <c r="K3228" s="421"/>
      <c r="L3228" s="23"/>
      <c r="M3228" s="19"/>
      <c r="N3228" s="19"/>
      <c r="O3228" s="19"/>
      <c r="P3228" s="19"/>
      <c r="Q3228" s="19"/>
    </row>
    <row r="3229" spans="2:17" hidden="1">
      <c r="B3229" s="19"/>
      <c r="C3229" s="19"/>
      <c r="D3229" s="19"/>
      <c r="E3229" s="19"/>
      <c r="F3229" s="19"/>
      <c r="G3229" s="19"/>
      <c r="H3229" s="19"/>
      <c r="I3229" s="19"/>
      <c r="J3229" s="19"/>
      <c r="K3229" s="421"/>
      <c r="L3229" s="23"/>
      <c r="M3229" s="19"/>
      <c r="N3229" s="19"/>
      <c r="O3229" s="19"/>
      <c r="P3229" s="19"/>
      <c r="Q3229" s="19"/>
    </row>
    <row r="3230" spans="2:17" hidden="1">
      <c r="B3230" s="19"/>
      <c r="C3230" s="19"/>
      <c r="D3230" s="19"/>
      <c r="E3230" s="19"/>
      <c r="F3230" s="19"/>
      <c r="G3230" s="19"/>
      <c r="H3230" s="19"/>
      <c r="I3230" s="19"/>
      <c r="J3230" s="19"/>
      <c r="K3230" s="421"/>
      <c r="L3230" s="23"/>
      <c r="M3230" s="19"/>
      <c r="N3230" s="19"/>
      <c r="O3230" s="19"/>
      <c r="P3230" s="19"/>
      <c r="Q3230" s="19"/>
    </row>
    <row r="3231" spans="2:17" hidden="1">
      <c r="B3231" s="19"/>
      <c r="C3231" s="19"/>
      <c r="D3231" s="19"/>
      <c r="E3231" s="19"/>
      <c r="F3231" s="19"/>
      <c r="G3231" s="19"/>
      <c r="H3231" s="19"/>
      <c r="I3231" s="19"/>
      <c r="J3231" s="19"/>
      <c r="K3231" s="421"/>
      <c r="L3231" s="23"/>
      <c r="M3231" s="19"/>
      <c r="N3231" s="19"/>
      <c r="O3231" s="19"/>
      <c r="P3231" s="19"/>
      <c r="Q3231" s="19"/>
    </row>
    <row r="3232" spans="2:17" hidden="1">
      <c r="B3232" s="19"/>
      <c r="C3232" s="19"/>
      <c r="D3232" s="19"/>
      <c r="E3232" s="19"/>
      <c r="F3232" s="19"/>
      <c r="G3232" s="19"/>
      <c r="H3232" s="19"/>
      <c r="I3232" s="19"/>
      <c r="J3232" s="19"/>
      <c r="K3232" s="421"/>
      <c r="L3232" s="23"/>
      <c r="M3232" s="19"/>
      <c r="N3232" s="19"/>
      <c r="O3232" s="19"/>
      <c r="P3232" s="19"/>
      <c r="Q3232" s="19"/>
    </row>
    <row r="3233" spans="2:17" hidden="1">
      <c r="B3233" s="19"/>
      <c r="C3233" s="19"/>
      <c r="D3233" s="19"/>
      <c r="E3233" s="19"/>
      <c r="F3233" s="19"/>
      <c r="G3233" s="19"/>
      <c r="H3233" s="19"/>
      <c r="I3233" s="19"/>
      <c r="J3233" s="19"/>
      <c r="K3233" s="421"/>
      <c r="L3233" s="23"/>
      <c r="M3233" s="19"/>
      <c r="N3233" s="19"/>
      <c r="O3233" s="19"/>
      <c r="P3233" s="19"/>
      <c r="Q3233" s="19"/>
    </row>
    <row r="3234" spans="2:17" hidden="1">
      <c r="B3234" s="19"/>
      <c r="C3234" s="19"/>
      <c r="D3234" s="19"/>
      <c r="E3234" s="19"/>
      <c r="F3234" s="19"/>
      <c r="G3234" s="19"/>
      <c r="H3234" s="19"/>
      <c r="I3234" s="19"/>
      <c r="J3234" s="19"/>
      <c r="K3234" s="421"/>
      <c r="L3234" s="23"/>
      <c r="M3234" s="19"/>
      <c r="N3234" s="19"/>
      <c r="O3234" s="19"/>
      <c r="P3234" s="19"/>
      <c r="Q3234" s="19"/>
    </row>
    <row r="3235" spans="2:17" hidden="1">
      <c r="B3235" s="19"/>
      <c r="C3235" s="19"/>
      <c r="D3235" s="19"/>
      <c r="E3235" s="19"/>
      <c r="F3235" s="19"/>
      <c r="G3235" s="19"/>
      <c r="H3235" s="19"/>
      <c r="I3235" s="19"/>
      <c r="J3235" s="19"/>
      <c r="K3235" s="421"/>
      <c r="L3235" s="23"/>
      <c r="M3235" s="19"/>
      <c r="N3235" s="19"/>
      <c r="O3235" s="19"/>
      <c r="P3235" s="19"/>
      <c r="Q3235" s="19"/>
    </row>
    <row r="3236" spans="2:17" hidden="1">
      <c r="B3236" s="19"/>
      <c r="C3236" s="19"/>
      <c r="D3236" s="19"/>
      <c r="E3236" s="19"/>
      <c r="F3236" s="19"/>
      <c r="G3236" s="19"/>
      <c r="H3236" s="19"/>
      <c r="I3236" s="19"/>
      <c r="J3236" s="19"/>
      <c r="K3236" s="421"/>
      <c r="L3236" s="23"/>
      <c r="M3236" s="19"/>
      <c r="N3236" s="19"/>
      <c r="O3236" s="19"/>
      <c r="P3236" s="19"/>
      <c r="Q3236" s="19"/>
    </row>
    <row r="3237" spans="2:17" hidden="1">
      <c r="B3237" s="19"/>
      <c r="C3237" s="19"/>
      <c r="D3237" s="19"/>
      <c r="E3237" s="19"/>
      <c r="F3237" s="19"/>
      <c r="G3237" s="19"/>
      <c r="H3237" s="19"/>
      <c r="I3237" s="19"/>
      <c r="J3237" s="19"/>
      <c r="K3237" s="421"/>
      <c r="L3237" s="23"/>
      <c r="M3237" s="19"/>
      <c r="N3237" s="19"/>
      <c r="O3237" s="19"/>
      <c r="P3237" s="19"/>
      <c r="Q3237" s="19"/>
    </row>
    <row r="3238" spans="2:17" hidden="1">
      <c r="B3238" s="19"/>
      <c r="C3238" s="19"/>
      <c r="D3238" s="19"/>
      <c r="E3238" s="19"/>
      <c r="F3238" s="19"/>
      <c r="G3238" s="19"/>
      <c r="H3238" s="19"/>
      <c r="I3238" s="19"/>
      <c r="J3238" s="19"/>
      <c r="K3238" s="421"/>
      <c r="L3238" s="23"/>
      <c r="M3238" s="19"/>
      <c r="N3238" s="19"/>
      <c r="O3238" s="19"/>
      <c r="P3238" s="19"/>
      <c r="Q3238" s="19"/>
    </row>
    <row r="3239" spans="2:17" hidden="1">
      <c r="B3239" s="19"/>
      <c r="C3239" s="19"/>
      <c r="D3239" s="19"/>
      <c r="E3239" s="19"/>
      <c r="F3239" s="19"/>
      <c r="G3239" s="19"/>
      <c r="H3239" s="19"/>
      <c r="I3239" s="19"/>
      <c r="J3239" s="19"/>
      <c r="K3239" s="421"/>
      <c r="L3239" s="23"/>
      <c r="M3239" s="19"/>
      <c r="N3239" s="19"/>
      <c r="O3239" s="19"/>
      <c r="P3239" s="19"/>
      <c r="Q3239" s="19"/>
    </row>
    <row r="3240" spans="2:17" hidden="1">
      <c r="B3240" s="19"/>
      <c r="C3240" s="19"/>
      <c r="D3240" s="19"/>
      <c r="E3240" s="19"/>
      <c r="F3240" s="19"/>
      <c r="G3240" s="19"/>
      <c r="H3240" s="19"/>
      <c r="I3240" s="19"/>
      <c r="J3240" s="19"/>
      <c r="K3240" s="421"/>
      <c r="L3240" s="23"/>
      <c r="M3240" s="19"/>
      <c r="N3240" s="19"/>
      <c r="O3240" s="19"/>
      <c r="P3240" s="19"/>
      <c r="Q3240" s="19"/>
    </row>
    <row r="3241" spans="2:17" hidden="1">
      <c r="B3241" s="19"/>
      <c r="C3241" s="19"/>
      <c r="D3241" s="19"/>
      <c r="E3241" s="19"/>
      <c r="F3241" s="19"/>
      <c r="G3241" s="19"/>
      <c r="H3241" s="19"/>
      <c r="I3241" s="19"/>
      <c r="J3241" s="19"/>
      <c r="K3241" s="421"/>
      <c r="L3241" s="23"/>
      <c r="M3241" s="19"/>
      <c r="N3241" s="19"/>
      <c r="O3241" s="19"/>
      <c r="P3241" s="19"/>
      <c r="Q3241" s="19"/>
    </row>
    <row r="3242" spans="2:17" hidden="1">
      <c r="B3242" s="19"/>
      <c r="C3242" s="19"/>
      <c r="D3242" s="19"/>
      <c r="E3242" s="19"/>
      <c r="F3242" s="19"/>
      <c r="G3242" s="19"/>
      <c r="H3242" s="19"/>
      <c r="I3242" s="19"/>
      <c r="J3242" s="19"/>
      <c r="K3242" s="421"/>
      <c r="L3242" s="23"/>
      <c r="M3242" s="19"/>
      <c r="N3242" s="19"/>
      <c r="O3242" s="19"/>
      <c r="P3242" s="19"/>
      <c r="Q3242" s="19"/>
    </row>
    <row r="3243" spans="2:17" hidden="1">
      <c r="B3243" s="19"/>
      <c r="C3243" s="19"/>
      <c r="D3243" s="19"/>
      <c r="E3243" s="19"/>
      <c r="F3243" s="19"/>
      <c r="G3243" s="19"/>
      <c r="H3243" s="19"/>
      <c r="I3243" s="19"/>
      <c r="J3243" s="19"/>
      <c r="K3243" s="421"/>
      <c r="L3243" s="23"/>
      <c r="M3243" s="19"/>
      <c r="N3243" s="19"/>
      <c r="O3243" s="19"/>
      <c r="P3243" s="19"/>
      <c r="Q3243" s="19"/>
    </row>
    <row r="3244" spans="2:17" hidden="1">
      <c r="B3244" s="19"/>
      <c r="C3244" s="19"/>
      <c r="D3244" s="19"/>
      <c r="E3244" s="19"/>
      <c r="F3244" s="19"/>
      <c r="G3244" s="19"/>
      <c r="H3244" s="19"/>
      <c r="I3244" s="19"/>
      <c r="J3244" s="19"/>
      <c r="K3244" s="421"/>
      <c r="L3244" s="23"/>
      <c r="M3244" s="19"/>
      <c r="N3244" s="19"/>
      <c r="O3244" s="19"/>
      <c r="P3244" s="19"/>
      <c r="Q3244" s="19"/>
    </row>
    <row r="3245" spans="2:17" hidden="1">
      <c r="B3245" s="19"/>
      <c r="C3245" s="19"/>
      <c r="D3245" s="19"/>
      <c r="E3245" s="19"/>
      <c r="F3245" s="19"/>
      <c r="G3245" s="19"/>
      <c r="H3245" s="19"/>
      <c r="I3245" s="19"/>
      <c r="J3245" s="19"/>
      <c r="K3245" s="421"/>
      <c r="L3245" s="23"/>
      <c r="M3245" s="19"/>
      <c r="N3245" s="19"/>
      <c r="O3245" s="19"/>
      <c r="P3245" s="19"/>
      <c r="Q3245" s="19"/>
    </row>
    <row r="3246" spans="2:17" hidden="1">
      <c r="B3246" s="19"/>
      <c r="C3246" s="19"/>
      <c r="D3246" s="19"/>
      <c r="E3246" s="19"/>
      <c r="F3246" s="19"/>
      <c r="G3246" s="19"/>
      <c r="H3246" s="19"/>
      <c r="I3246" s="19"/>
      <c r="J3246" s="19"/>
      <c r="K3246" s="421"/>
      <c r="L3246" s="23"/>
      <c r="M3246" s="19"/>
      <c r="N3246" s="19"/>
      <c r="O3246" s="19"/>
      <c r="P3246" s="19"/>
      <c r="Q3246" s="19"/>
    </row>
    <row r="3247" spans="2:17" hidden="1">
      <c r="B3247" s="19"/>
      <c r="C3247" s="19"/>
      <c r="D3247" s="19"/>
      <c r="E3247" s="19"/>
      <c r="F3247" s="19"/>
      <c r="G3247" s="19"/>
      <c r="H3247" s="19"/>
      <c r="I3247" s="19"/>
      <c r="J3247" s="19"/>
      <c r="K3247" s="421"/>
      <c r="L3247" s="23"/>
      <c r="M3247" s="19"/>
      <c r="N3247" s="19"/>
      <c r="O3247" s="19"/>
      <c r="P3247" s="19"/>
      <c r="Q3247" s="19"/>
    </row>
    <row r="3248" spans="2:17" hidden="1">
      <c r="B3248" s="19"/>
      <c r="C3248" s="19"/>
      <c r="D3248" s="19"/>
      <c r="E3248" s="19"/>
      <c r="F3248" s="19"/>
      <c r="G3248" s="19"/>
      <c r="H3248" s="19"/>
      <c r="I3248" s="19"/>
      <c r="J3248" s="19"/>
      <c r="K3248" s="421"/>
      <c r="L3248" s="23"/>
      <c r="M3248" s="19"/>
      <c r="N3248" s="19"/>
      <c r="O3248" s="19"/>
      <c r="P3248" s="19"/>
      <c r="Q3248" s="19"/>
    </row>
    <row r="3249" spans="2:17" hidden="1">
      <c r="B3249" s="19"/>
      <c r="C3249" s="19"/>
      <c r="D3249" s="19"/>
      <c r="E3249" s="19"/>
      <c r="F3249" s="19"/>
      <c r="G3249" s="19"/>
      <c r="H3249" s="19"/>
      <c r="I3249" s="19"/>
      <c r="J3249" s="19"/>
      <c r="K3249" s="421"/>
      <c r="L3249" s="23"/>
      <c r="M3249" s="19"/>
      <c r="N3249" s="19"/>
      <c r="O3249" s="19"/>
      <c r="P3249" s="19"/>
      <c r="Q3249" s="19"/>
    </row>
    <row r="3250" spans="2:17" hidden="1">
      <c r="B3250" s="19"/>
      <c r="C3250" s="19"/>
      <c r="D3250" s="19"/>
      <c r="E3250" s="19"/>
      <c r="F3250" s="19"/>
      <c r="G3250" s="19"/>
      <c r="H3250" s="19"/>
      <c r="I3250" s="19"/>
      <c r="J3250" s="19"/>
      <c r="K3250" s="421"/>
      <c r="L3250" s="23"/>
      <c r="M3250" s="19"/>
      <c r="N3250" s="19"/>
      <c r="O3250" s="19"/>
      <c r="P3250" s="19"/>
      <c r="Q3250" s="19"/>
    </row>
    <row r="3251" spans="2:17" hidden="1">
      <c r="B3251" s="19"/>
      <c r="C3251" s="19"/>
      <c r="D3251" s="19"/>
      <c r="E3251" s="19"/>
      <c r="F3251" s="19"/>
      <c r="G3251" s="19"/>
      <c r="H3251" s="19"/>
      <c r="I3251" s="19"/>
      <c r="J3251" s="19"/>
      <c r="K3251" s="421"/>
      <c r="L3251" s="23"/>
      <c r="M3251" s="19"/>
      <c r="N3251" s="19"/>
      <c r="O3251" s="19"/>
      <c r="P3251" s="19"/>
      <c r="Q3251" s="19"/>
    </row>
    <row r="3252" spans="2:17" hidden="1">
      <c r="B3252" s="19"/>
      <c r="C3252" s="19"/>
      <c r="D3252" s="19"/>
      <c r="E3252" s="19"/>
      <c r="F3252" s="19"/>
      <c r="G3252" s="19"/>
      <c r="H3252" s="19"/>
      <c r="I3252" s="19"/>
      <c r="J3252" s="19"/>
      <c r="K3252" s="421"/>
      <c r="L3252" s="23"/>
      <c r="M3252" s="19"/>
      <c r="N3252" s="19"/>
      <c r="O3252" s="19"/>
      <c r="P3252" s="19"/>
      <c r="Q3252" s="19"/>
    </row>
    <row r="3253" spans="2:17" hidden="1">
      <c r="B3253" s="19"/>
      <c r="C3253" s="19"/>
      <c r="D3253" s="19"/>
      <c r="E3253" s="19"/>
      <c r="F3253" s="19"/>
      <c r="G3253" s="19"/>
      <c r="H3253" s="19"/>
      <c r="I3253" s="19"/>
      <c r="J3253" s="19"/>
      <c r="K3253" s="421"/>
      <c r="L3253" s="23"/>
      <c r="M3253" s="19"/>
      <c r="N3253" s="19"/>
      <c r="O3253" s="19"/>
      <c r="P3253" s="19"/>
      <c r="Q3253" s="19"/>
    </row>
    <row r="3254" spans="2:17" hidden="1">
      <c r="B3254" s="19"/>
      <c r="C3254" s="19"/>
      <c r="D3254" s="19"/>
      <c r="E3254" s="19"/>
      <c r="F3254" s="19"/>
      <c r="G3254" s="19"/>
      <c r="H3254" s="19"/>
      <c r="I3254" s="19"/>
      <c r="J3254" s="19"/>
      <c r="K3254" s="421"/>
      <c r="L3254" s="23"/>
      <c r="M3254" s="19"/>
      <c r="N3254" s="19"/>
      <c r="O3254" s="19"/>
      <c r="P3254" s="19"/>
      <c r="Q3254" s="19"/>
    </row>
    <row r="3255" spans="2:17" hidden="1">
      <c r="B3255" s="19"/>
      <c r="C3255" s="19"/>
      <c r="D3255" s="19"/>
      <c r="E3255" s="19"/>
      <c r="F3255" s="19"/>
      <c r="G3255" s="19"/>
      <c r="H3255" s="19"/>
      <c r="I3255" s="19"/>
      <c r="J3255" s="19"/>
      <c r="K3255" s="421"/>
      <c r="L3255" s="23"/>
      <c r="M3255" s="19"/>
      <c r="N3255" s="19"/>
      <c r="O3255" s="19"/>
      <c r="P3255" s="19"/>
      <c r="Q3255" s="19"/>
    </row>
    <row r="3256" spans="2:17" hidden="1">
      <c r="B3256" s="19"/>
      <c r="C3256" s="19"/>
      <c r="D3256" s="19"/>
      <c r="E3256" s="19"/>
      <c r="F3256" s="19"/>
      <c r="G3256" s="19"/>
      <c r="H3256" s="19"/>
      <c r="I3256" s="19"/>
      <c r="J3256" s="19"/>
      <c r="K3256" s="421"/>
      <c r="L3256" s="23"/>
      <c r="M3256" s="19"/>
      <c r="N3256" s="19"/>
      <c r="O3256" s="19"/>
      <c r="P3256" s="19"/>
      <c r="Q3256" s="19"/>
    </row>
    <row r="3257" spans="2:17" hidden="1">
      <c r="B3257" s="19"/>
      <c r="C3257" s="19"/>
      <c r="D3257" s="19"/>
      <c r="E3257" s="19"/>
      <c r="F3257" s="19"/>
      <c r="G3257" s="19"/>
      <c r="H3257" s="19"/>
      <c r="I3257" s="19"/>
      <c r="J3257" s="19"/>
      <c r="K3257" s="421"/>
      <c r="L3257" s="23"/>
      <c r="M3257" s="19"/>
      <c r="N3257" s="19"/>
      <c r="O3257" s="19"/>
      <c r="P3257" s="19"/>
      <c r="Q3257" s="19"/>
    </row>
    <row r="3258" spans="2:17" hidden="1">
      <c r="B3258" s="19"/>
      <c r="C3258" s="19"/>
      <c r="D3258" s="19"/>
      <c r="E3258" s="19"/>
      <c r="F3258" s="19"/>
      <c r="G3258" s="19"/>
      <c r="H3258" s="19"/>
      <c r="I3258" s="19"/>
      <c r="J3258" s="19"/>
      <c r="K3258" s="421"/>
      <c r="L3258" s="23"/>
      <c r="M3258" s="19"/>
      <c r="N3258" s="19"/>
      <c r="O3258" s="19"/>
      <c r="P3258" s="19"/>
      <c r="Q3258" s="19"/>
    </row>
    <row r="3259" spans="2:17" hidden="1">
      <c r="B3259" s="19"/>
      <c r="C3259" s="19"/>
      <c r="D3259" s="19"/>
      <c r="E3259" s="19"/>
      <c r="F3259" s="19"/>
      <c r="G3259" s="19"/>
      <c r="H3259" s="19"/>
      <c r="I3259" s="19"/>
      <c r="J3259" s="19"/>
      <c r="K3259" s="421"/>
      <c r="L3259" s="23"/>
      <c r="M3259" s="19"/>
      <c r="N3259" s="19"/>
      <c r="O3259" s="19"/>
      <c r="P3259" s="19"/>
      <c r="Q3259" s="19"/>
    </row>
    <row r="3260" spans="2:17" hidden="1">
      <c r="B3260" s="19"/>
      <c r="C3260" s="19"/>
      <c r="D3260" s="19"/>
      <c r="E3260" s="19"/>
      <c r="F3260" s="19"/>
      <c r="G3260" s="19"/>
      <c r="H3260" s="19"/>
      <c r="I3260" s="19"/>
      <c r="J3260" s="19"/>
      <c r="K3260" s="421"/>
      <c r="L3260" s="23"/>
      <c r="M3260" s="19"/>
      <c r="N3260" s="19"/>
      <c r="O3260" s="19"/>
      <c r="P3260" s="19"/>
      <c r="Q3260" s="19"/>
    </row>
    <row r="3261" spans="2:17" hidden="1">
      <c r="B3261" s="19"/>
      <c r="C3261" s="19"/>
      <c r="D3261" s="19"/>
      <c r="E3261" s="19"/>
      <c r="F3261" s="19"/>
      <c r="G3261" s="19"/>
      <c r="H3261" s="19"/>
      <c r="I3261" s="19"/>
      <c r="J3261" s="19"/>
      <c r="K3261" s="421"/>
      <c r="L3261" s="23"/>
      <c r="M3261" s="19"/>
      <c r="N3261" s="19"/>
      <c r="O3261" s="19"/>
      <c r="P3261" s="19"/>
      <c r="Q3261" s="19"/>
    </row>
    <row r="3262" spans="2:17" hidden="1">
      <c r="B3262" s="19"/>
      <c r="C3262" s="19"/>
      <c r="D3262" s="19"/>
      <c r="E3262" s="19"/>
      <c r="F3262" s="19"/>
      <c r="G3262" s="19"/>
      <c r="H3262" s="19"/>
      <c r="I3262" s="19"/>
      <c r="J3262" s="19"/>
      <c r="K3262" s="421"/>
      <c r="L3262" s="23"/>
      <c r="M3262" s="19"/>
      <c r="N3262" s="19"/>
      <c r="O3262" s="19"/>
      <c r="P3262" s="19"/>
      <c r="Q3262" s="19"/>
    </row>
    <row r="3263" spans="2:17" hidden="1">
      <c r="B3263" s="19"/>
      <c r="C3263" s="19"/>
      <c r="D3263" s="19"/>
      <c r="E3263" s="19"/>
      <c r="F3263" s="19"/>
      <c r="G3263" s="19"/>
      <c r="H3263" s="19"/>
      <c r="I3263" s="19"/>
      <c r="J3263" s="19"/>
      <c r="K3263" s="421"/>
      <c r="L3263" s="23"/>
      <c r="M3263" s="19"/>
      <c r="N3263" s="19"/>
      <c r="O3263" s="19"/>
      <c r="P3263" s="19"/>
      <c r="Q3263" s="19"/>
    </row>
    <row r="3264" spans="2:17" hidden="1">
      <c r="B3264" s="19"/>
      <c r="C3264" s="19"/>
      <c r="D3264" s="19"/>
      <c r="E3264" s="19"/>
      <c r="F3264" s="19"/>
      <c r="G3264" s="19"/>
      <c r="H3264" s="19"/>
      <c r="I3264" s="19"/>
      <c r="J3264" s="19"/>
      <c r="K3264" s="421"/>
      <c r="L3264" s="23"/>
      <c r="M3264" s="19"/>
      <c r="N3264" s="19"/>
      <c r="O3264" s="19"/>
      <c r="P3264" s="19"/>
      <c r="Q3264" s="19"/>
    </row>
    <row r="3265" spans="2:17" hidden="1">
      <c r="B3265" s="19"/>
      <c r="C3265" s="19"/>
      <c r="D3265" s="19"/>
      <c r="E3265" s="19"/>
      <c r="F3265" s="19"/>
      <c r="G3265" s="19"/>
      <c r="H3265" s="19"/>
      <c r="I3265" s="19"/>
      <c r="J3265" s="19"/>
      <c r="K3265" s="421"/>
      <c r="L3265" s="23"/>
      <c r="M3265" s="19"/>
      <c r="N3265" s="19"/>
      <c r="O3265" s="19"/>
      <c r="P3265" s="19"/>
      <c r="Q3265" s="19"/>
    </row>
    <row r="3266" spans="2:17" hidden="1">
      <c r="B3266" s="19"/>
      <c r="C3266" s="19"/>
      <c r="D3266" s="19"/>
      <c r="E3266" s="19"/>
      <c r="F3266" s="19"/>
      <c r="G3266" s="19"/>
      <c r="H3266" s="19"/>
      <c r="I3266" s="19"/>
      <c r="J3266" s="19"/>
      <c r="K3266" s="421"/>
      <c r="L3266" s="23"/>
      <c r="M3266" s="19"/>
      <c r="N3266" s="19"/>
      <c r="O3266" s="19"/>
      <c r="P3266" s="19"/>
      <c r="Q3266" s="19"/>
    </row>
    <row r="3267" spans="2:17" hidden="1">
      <c r="B3267" s="19"/>
      <c r="C3267" s="19"/>
      <c r="D3267" s="19"/>
      <c r="E3267" s="19"/>
      <c r="F3267" s="19"/>
      <c r="G3267" s="19"/>
      <c r="H3267" s="19"/>
      <c r="I3267" s="19"/>
      <c r="J3267" s="19"/>
      <c r="K3267" s="421"/>
      <c r="L3267" s="23"/>
      <c r="M3267" s="19"/>
      <c r="N3267" s="19"/>
      <c r="O3267" s="19"/>
      <c r="P3267" s="19"/>
      <c r="Q3267" s="19"/>
    </row>
    <row r="3268" spans="2:17" hidden="1">
      <c r="B3268" s="19"/>
      <c r="C3268" s="19"/>
      <c r="D3268" s="19"/>
      <c r="E3268" s="19"/>
      <c r="F3268" s="19"/>
      <c r="G3268" s="19"/>
      <c r="H3268" s="19"/>
      <c r="I3268" s="19"/>
      <c r="J3268" s="19"/>
      <c r="K3268" s="421"/>
      <c r="L3268" s="23"/>
      <c r="M3268" s="19"/>
      <c r="N3268" s="19"/>
      <c r="O3268" s="19"/>
      <c r="P3268" s="19"/>
      <c r="Q3268" s="19"/>
    </row>
    <row r="3269" spans="2:17" hidden="1">
      <c r="B3269" s="19"/>
      <c r="C3269" s="19"/>
      <c r="D3269" s="19"/>
      <c r="E3269" s="19"/>
      <c r="F3269" s="19"/>
      <c r="G3269" s="19"/>
      <c r="H3269" s="19"/>
      <c r="I3269" s="19"/>
      <c r="J3269" s="19"/>
      <c r="K3269" s="421"/>
      <c r="L3269" s="23"/>
      <c r="M3269" s="19"/>
      <c r="N3269" s="19"/>
      <c r="O3269" s="19"/>
      <c r="P3269" s="19"/>
      <c r="Q3269" s="19"/>
    </row>
    <row r="3270" spans="2:17" hidden="1">
      <c r="B3270" s="19"/>
      <c r="C3270" s="19"/>
      <c r="D3270" s="19"/>
      <c r="E3270" s="19"/>
      <c r="F3270" s="19"/>
      <c r="G3270" s="19"/>
      <c r="H3270" s="19"/>
      <c r="I3270" s="19"/>
      <c r="J3270" s="19"/>
      <c r="K3270" s="421"/>
      <c r="L3270" s="23"/>
      <c r="M3270" s="19"/>
      <c r="N3270" s="19"/>
      <c r="O3270" s="19"/>
      <c r="P3270" s="19"/>
      <c r="Q3270" s="19"/>
    </row>
    <row r="3271" spans="2:17" hidden="1">
      <c r="B3271" s="19"/>
      <c r="C3271" s="19"/>
      <c r="D3271" s="19"/>
      <c r="E3271" s="19"/>
      <c r="F3271" s="19"/>
      <c r="G3271" s="19"/>
      <c r="H3271" s="19"/>
      <c r="I3271" s="19"/>
      <c r="J3271" s="19"/>
      <c r="K3271" s="421"/>
      <c r="L3271" s="23"/>
      <c r="M3271" s="19"/>
      <c r="N3271" s="19"/>
      <c r="O3271" s="19"/>
      <c r="P3271" s="19"/>
      <c r="Q3271" s="19"/>
    </row>
    <row r="3272" spans="2:17" hidden="1">
      <c r="B3272" s="19"/>
      <c r="C3272" s="19"/>
      <c r="D3272" s="19"/>
      <c r="E3272" s="19"/>
      <c r="F3272" s="19"/>
      <c r="G3272" s="19"/>
      <c r="H3272" s="19"/>
      <c r="I3272" s="19"/>
      <c r="J3272" s="19"/>
      <c r="K3272" s="421"/>
      <c r="L3272" s="23"/>
      <c r="M3272" s="19"/>
      <c r="N3272" s="19"/>
      <c r="O3272" s="19"/>
      <c r="P3272" s="19"/>
      <c r="Q3272" s="19"/>
    </row>
    <row r="3273" spans="2:17" hidden="1">
      <c r="B3273" s="19"/>
      <c r="C3273" s="19"/>
      <c r="D3273" s="19"/>
      <c r="E3273" s="19"/>
      <c r="F3273" s="19"/>
      <c r="G3273" s="19"/>
      <c r="H3273" s="19"/>
      <c r="I3273" s="19"/>
      <c r="J3273" s="19"/>
      <c r="K3273" s="421"/>
      <c r="L3273" s="23"/>
      <c r="M3273" s="19"/>
      <c r="N3273" s="19"/>
      <c r="O3273" s="19"/>
      <c r="P3273" s="19"/>
      <c r="Q3273" s="19"/>
    </row>
    <row r="3274" spans="2:17" hidden="1">
      <c r="B3274" s="19"/>
      <c r="C3274" s="19"/>
      <c r="D3274" s="19"/>
      <c r="E3274" s="19"/>
      <c r="F3274" s="19"/>
      <c r="G3274" s="19"/>
      <c r="H3274" s="19"/>
      <c r="I3274" s="19"/>
      <c r="J3274" s="19"/>
      <c r="K3274" s="421"/>
      <c r="L3274" s="23"/>
      <c r="M3274" s="19"/>
      <c r="N3274" s="19"/>
      <c r="O3274" s="19"/>
      <c r="P3274" s="19"/>
      <c r="Q3274" s="19"/>
    </row>
    <row r="3275" spans="2:17" hidden="1">
      <c r="B3275" s="19"/>
      <c r="C3275" s="19"/>
      <c r="D3275" s="19"/>
      <c r="E3275" s="19"/>
      <c r="F3275" s="19"/>
      <c r="G3275" s="19"/>
      <c r="H3275" s="19"/>
      <c r="I3275" s="19"/>
      <c r="J3275" s="19"/>
      <c r="K3275" s="421"/>
      <c r="L3275" s="23"/>
      <c r="M3275" s="19"/>
      <c r="N3275" s="19"/>
      <c r="O3275" s="19"/>
      <c r="P3275" s="19"/>
      <c r="Q3275" s="19"/>
    </row>
    <row r="3276" spans="2:17" hidden="1">
      <c r="B3276" s="19"/>
      <c r="C3276" s="19"/>
      <c r="D3276" s="19"/>
      <c r="E3276" s="19"/>
      <c r="F3276" s="19"/>
      <c r="G3276" s="19"/>
      <c r="H3276" s="19"/>
      <c r="I3276" s="19"/>
      <c r="J3276" s="19"/>
      <c r="K3276" s="421"/>
      <c r="L3276" s="23"/>
      <c r="M3276" s="19"/>
      <c r="N3276" s="19"/>
      <c r="O3276" s="19"/>
      <c r="P3276" s="19"/>
      <c r="Q3276" s="19"/>
    </row>
    <row r="3277" spans="2:17" hidden="1">
      <c r="B3277" s="19"/>
      <c r="C3277" s="19"/>
      <c r="D3277" s="19"/>
      <c r="E3277" s="19"/>
      <c r="F3277" s="19"/>
      <c r="G3277" s="19"/>
      <c r="H3277" s="19"/>
      <c r="I3277" s="19"/>
      <c r="J3277" s="19"/>
      <c r="K3277" s="421"/>
      <c r="L3277" s="23"/>
      <c r="M3277" s="19"/>
      <c r="N3277" s="19"/>
      <c r="O3277" s="19"/>
      <c r="P3277" s="19"/>
      <c r="Q3277" s="19"/>
    </row>
    <row r="3278" spans="2:17" hidden="1">
      <c r="B3278" s="19"/>
      <c r="C3278" s="19"/>
      <c r="D3278" s="19"/>
      <c r="E3278" s="19"/>
      <c r="F3278" s="19"/>
      <c r="G3278" s="19"/>
      <c r="H3278" s="19"/>
      <c r="I3278" s="19"/>
      <c r="J3278" s="19"/>
      <c r="K3278" s="421"/>
      <c r="L3278" s="23"/>
      <c r="M3278" s="19"/>
      <c r="N3278" s="19"/>
      <c r="O3278" s="19"/>
      <c r="P3278" s="19"/>
      <c r="Q3278" s="19"/>
    </row>
    <row r="3279" spans="2:17" hidden="1">
      <c r="B3279" s="19"/>
      <c r="C3279" s="19"/>
      <c r="D3279" s="19"/>
      <c r="E3279" s="19"/>
      <c r="F3279" s="19"/>
      <c r="G3279" s="19"/>
      <c r="H3279" s="19"/>
      <c r="I3279" s="19"/>
      <c r="J3279" s="19"/>
      <c r="K3279" s="421"/>
      <c r="L3279" s="23"/>
      <c r="M3279" s="19"/>
      <c r="N3279" s="19"/>
      <c r="O3279" s="19"/>
      <c r="P3279" s="19"/>
      <c r="Q3279" s="19"/>
    </row>
    <row r="3280" spans="2:17" hidden="1">
      <c r="B3280" s="19"/>
      <c r="C3280" s="19"/>
      <c r="D3280" s="19"/>
      <c r="E3280" s="19"/>
      <c r="F3280" s="19"/>
      <c r="G3280" s="19"/>
      <c r="H3280" s="19"/>
      <c r="I3280" s="19"/>
      <c r="J3280" s="19"/>
      <c r="K3280" s="421"/>
      <c r="L3280" s="23"/>
      <c r="M3280" s="19"/>
      <c r="N3280" s="19"/>
      <c r="O3280" s="19"/>
      <c r="P3280" s="19"/>
      <c r="Q3280" s="19"/>
    </row>
    <row r="3281" spans="2:17" hidden="1">
      <c r="B3281" s="19"/>
      <c r="C3281" s="19"/>
      <c r="D3281" s="19"/>
      <c r="E3281" s="19"/>
      <c r="F3281" s="19"/>
      <c r="G3281" s="19"/>
      <c r="H3281" s="19"/>
      <c r="I3281" s="19"/>
      <c r="J3281" s="19"/>
      <c r="K3281" s="421"/>
      <c r="L3281" s="23"/>
      <c r="M3281" s="19"/>
      <c r="N3281" s="19"/>
      <c r="O3281" s="19"/>
      <c r="P3281" s="19"/>
      <c r="Q3281" s="19"/>
    </row>
    <row r="3282" spans="2:17" hidden="1">
      <c r="B3282" s="19"/>
      <c r="C3282" s="19"/>
      <c r="D3282" s="19"/>
      <c r="E3282" s="19"/>
      <c r="F3282" s="19"/>
      <c r="G3282" s="19"/>
      <c r="H3282" s="19"/>
      <c r="I3282" s="19"/>
      <c r="J3282" s="19"/>
      <c r="K3282" s="421"/>
      <c r="L3282" s="23"/>
      <c r="M3282" s="19"/>
      <c r="N3282" s="19"/>
      <c r="O3282" s="19"/>
      <c r="P3282" s="19"/>
      <c r="Q3282" s="19"/>
    </row>
    <row r="3283" spans="2:17" hidden="1">
      <c r="B3283" s="19"/>
      <c r="C3283" s="19"/>
      <c r="D3283" s="19"/>
      <c r="E3283" s="19"/>
      <c r="F3283" s="19"/>
      <c r="G3283" s="19"/>
      <c r="H3283" s="19"/>
      <c r="I3283" s="19"/>
      <c r="J3283" s="19"/>
      <c r="K3283" s="421"/>
      <c r="L3283" s="23"/>
      <c r="M3283" s="19"/>
      <c r="N3283" s="19"/>
      <c r="O3283" s="19"/>
      <c r="P3283" s="19"/>
      <c r="Q3283" s="19"/>
    </row>
    <row r="3284" spans="2:17" hidden="1">
      <c r="B3284" s="19"/>
      <c r="C3284" s="19"/>
      <c r="D3284" s="19"/>
      <c r="E3284" s="19"/>
      <c r="F3284" s="19"/>
      <c r="G3284" s="19"/>
      <c r="H3284" s="19"/>
      <c r="I3284" s="19"/>
      <c r="J3284" s="19"/>
      <c r="K3284" s="421"/>
      <c r="L3284" s="23"/>
      <c r="M3284" s="19"/>
      <c r="N3284" s="19"/>
      <c r="O3284" s="19"/>
      <c r="P3284" s="19"/>
      <c r="Q3284" s="19"/>
    </row>
    <row r="3285" spans="2:17" hidden="1">
      <c r="B3285" s="19"/>
      <c r="C3285" s="19"/>
      <c r="D3285" s="19"/>
      <c r="E3285" s="19"/>
      <c r="F3285" s="19"/>
      <c r="G3285" s="19"/>
      <c r="H3285" s="19"/>
      <c r="I3285" s="19"/>
      <c r="J3285" s="19"/>
      <c r="K3285" s="421"/>
      <c r="L3285" s="23"/>
      <c r="M3285" s="19"/>
      <c r="N3285" s="19"/>
      <c r="O3285" s="19"/>
      <c r="P3285" s="19"/>
      <c r="Q3285" s="19"/>
    </row>
    <row r="3286" spans="2:17" hidden="1">
      <c r="B3286" s="19"/>
      <c r="C3286" s="19"/>
      <c r="D3286" s="19"/>
      <c r="E3286" s="19"/>
      <c r="F3286" s="19"/>
      <c r="G3286" s="19"/>
      <c r="H3286" s="19"/>
      <c r="I3286" s="19"/>
      <c r="J3286" s="19"/>
      <c r="K3286" s="421"/>
      <c r="L3286" s="23"/>
      <c r="M3286" s="19"/>
      <c r="N3286" s="19"/>
      <c r="O3286" s="19"/>
      <c r="P3286" s="19"/>
      <c r="Q3286" s="19"/>
    </row>
    <row r="3287" spans="2:17" hidden="1">
      <c r="B3287" s="19"/>
      <c r="C3287" s="19"/>
      <c r="D3287" s="19"/>
      <c r="E3287" s="19"/>
      <c r="F3287" s="19"/>
      <c r="G3287" s="19"/>
      <c r="H3287" s="19"/>
      <c r="I3287" s="19"/>
      <c r="J3287" s="19"/>
      <c r="K3287" s="421"/>
      <c r="L3287" s="23"/>
      <c r="M3287" s="19"/>
      <c r="N3287" s="19"/>
      <c r="O3287" s="19"/>
      <c r="P3287" s="19"/>
      <c r="Q3287" s="19"/>
    </row>
    <row r="3288" spans="2:17" hidden="1">
      <c r="B3288" s="19"/>
      <c r="C3288" s="19"/>
      <c r="D3288" s="19"/>
      <c r="E3288" s="19"/>
      <c r="F3288" s="19"/>
      <c r="G3288" s="19"/>
      <c r="H3288" s="19"/>
      <c r="I3288" s="19"/>
      <c r="J3288" s="19"/>
      <c r="K3288" s="421"/>
      <c r="L3288" s="23"/>
      <c r="M3288" s="19"/>
      <c r="N3288" s="19"/>
      <c r="O3288" s="19"/>
      <c r="P3288" s="19"/>
      <c r="Q3288" s="19"/>
    </row>
    <row r="3289" spans="2:17" hidden="1">
      <c r="B3289" s="19"/>
      <c r="C3289" s="19"/>
      <c r="D3289" s="19"/>
      <c r="E3289" s="19"/>
      <c r="F3289" s="19"/>
      <c r="G3289" s="19"/>
      <c r="H3289" s="19"/>
      <c r="I3289" s="19"/>
      <c r="J3289" s="19"/>
      <c r="K3289" s="421"/>
      <c r="L3289" s="23"/>
      <c r="M3289" s="19"/>
      <c r="N3289" s="19"/>
      <c r="O3289" s="19"/>
      <c r="P3289" s="19"/>
      <c r="Q3289" s="19"/>
    </row>
    <row r="3290" spans="2:17" hidden="1">
      <c r="B3290" s="19"/>
      <c r="C3290" s="19"/>
      <c r="D3290" s="19"/>
      <c r="E3290" s="19"/>
      <c r="F3290" s="19"/>
      <c r="G3290" s="19"/>
      <c r="H3290" s="19"/>
      <c r="I3290" s="19"/>
      <c r="J3290" s="19"/>
      <c r="K3290" s="421"/>
      <c r="L3290" s="23"/>
      <c r="M3290" s="19"/>
      <c r="N3290" s="19"/>
      <c r="O3290" s="19"/>
      <c r="P3290" s="19"/>
      <c r="Q3290" s="19"/>
    </row>
    <row r="3291" spans="2:17" hidden="1">
      <c r="B3291" s="19"/>
      <c r="C3291" s="19"/>
      <c r="D3291" s="19"/>
      <c r="E3291" s="19"/>
      <c r="F3291" s="19"/>
      <c r="G3291" s="19"/>
      <c r="H3291" s="19"/>
      <c r="I3291" s="19"/>
      <c r="J3291" s="19"/>
      <c r="K3291" s="421"/>
      <c r="L3291" s="23"/>
      <c r="M3291" s="19"/>
      <c r="N3291" s="19"/>
      <c r="O3291" s="19"/>
      <c r="P3291" s="19"/>
      <c r="Q3291" s="19"/>
    </row>
    <row r="3292" spans="2:17" hidden="1">
      <c r="B3292" s="19"/>
      <c r="C3292" s="19"/>
      <c r="D3292" s="19"/>
      <c r="E3292" s="19"/>
      <c r="F3292" s="19"/>
      <c r="G3292" s="19"/>
      <c r="H3292" s="19"/>
      <c r="I3292" s="19"/>
      <c r="J3292" s="19"/>
      <c r="K3292" s="421"/>
      <c r="L3292" s="23"/>
      <c r="M3292" s="19"/>
      <c r="N3292" s="19"/>
      <c r="O3292" s="19"/>
      <c r="P3292" s="19"/>
      <c r="Q3292" s="19"/>
    </row>
    <row r="3293" spans="2:17" hidden="1">
      <c r="B3293" s="19"/>
      <c r="C3293" s="19"/>
      <c r="D3293" s="19"/>
      <c r="E3293" s="19"/>
      <c r="F3293" s="19"/>
      <c r="G3293" s="19"/>
      <c r="H3293" s="19"/>
      <c r="I3293" s="19"/>
      <c r="J3293" s="19"/>
      <c r="K3293" s="421"/>
      <c r="L3293" s="23"/>
      <c r="M3293" s="19"/>
      <c r="N3293" s="19"/>
      <c r="O3293" s="19"/>
      <c r="P3293" s="19"/>
      <c r="Q3293" s="19"/>
    </row>
    <row r="3294" spans="2:17" hidden="1">
      <c r="B3294" s="19"/>
      <c r="C3294" s="19"/>
      <c r="D3294" s="19"/>
      <c r="E3294" s="19"/>
      <c r="F3294" s="19"/>
      <c r="G3294" s="19"/>
      <c r="H3294" s="19"/>
      <c r="I3294" s="19"/>
      <c r="J3294" s="19"/>
      <c r="K3294" s="421"/>
      <c r="L3294" s="23"/>
      <c r="M3294" s="19"/>
      <c r="N3294" s="19"/>
      <c r="O3294" s="19"/>
      <c r="P3294" s="19"/>
      <c r="Q3294" s="19"/>
    </row>
    <row r="3295" spans="2:17" hidden="1">
      <c r="B3295" s="19"/>
      <c r="C3295" s="19"/>
      <c r="D3295" s="19"/>
      <c r="E3295" s="19"/>
      <c r="F3295" s="19"/>
      <c r="G3295" s="19"/>
      <c r="H3295" s="19"/>
      <c r="I3295" s="19"/>
      <c r="J3295" s="19"/>
      <c r="K3295" s="421"/>
      <c r="L3295" s="23"/>
      <c r="M3295" s="19"/>
      <c r="N3295" s="19"/>
      <c r="O3295" s="19"/>
      <c r="P3295" s="19"/>
      <c r="Q3295" s="19"/>
    </row>
    <row r="3296" spans="2:17" hidden="1">
      <c r="B3296" s="19"/>
      <c r="C3296" s="19"/>
      <c r="D3296" s="19"/>
      <c r="E3296" s="19"/>
      <c r="F3296" s="19"/>
      <c r="G3296" s="19"/>
      <c r="H3296" s="19"/>
      <c r="I3296" s="19"/>
      <c r="J3296" s="19"/>
      <c r="K3296" s="421"/>
      <c r="L3296" s="23"/>
      <c r="M3296" s="19"/>
      <c r="N3296" s="19"/>
      <c r="O3296" s="19"/>
      <c r="P3296" s="19"/>
      <c r="Q3296" s="19"/>
    </row>
    <row r="3297" spans="2:17" hidden="1">
      <c r="B3297" s="19"/>
      <c r="C3297" s="19"/>
      <c r="D3297" s="19"/>
      <c r="E3297" s="19"/>
      <c r="F3297" s="19"/>
      <c r="G3297" s="19"/>
      <c r="H3297" s="19"/>
      <c r="I3297" s="19"/>
      <c r="J3297" s="19"/>
      <c r="K3297" s="421"/>
      <c r="L3297" s="23"/>
      <c r="M3297" s="19"/>
      <c r="N3297" s="19"/>
      <c r="O3297" s="19"/>
      <c r="P3297" s="19"/>
      <c r="Q3297" s="19"/>
    </row>
    <row r="3298" spans="2:17" hidden="1">
      <c r="B3298" s="19"/>
      <c r="C3298" s="19"/>
      <c r="D3298" s="19"/>
      <c r="E3298" s="19"/>
      <c r="F3298" s="19"/>
      <c r="G3298" s="19"/>
      <c r="H3298" s="19"/>
      <c r="I3298" s="19"/>
      <c r="J3298" s="19"/>
      <c r="K3298" s="421"/>
      <c r="L3298" s="23"/>
      <c r="M3298" s="19"/>
      <c r="N3298" s="19"/>
      <c r="O3298" s="19"/>
      <c r="P3298" s="19"/>
      <c r="Q3298" s="19"/>
    </row>
    <row r="3299" spans="2:17" hidden="1">
      <c r="B3299" s="19"/>
      <c r="C3299" s="19"/>
      <c r="D3299" s="19"/>
      <c r="E3299" s="19"/>
      <c r="F3299" s="19"/>
      <c r="G3299" s="19"/>
      <c r="H3299" s="19"/>
      <c r="I3299" s="19"/>
      <c r="J3299" s="19"/>
      <c r="K3299" s="421"/>
      <c r="L3299" s="23"/>
      <c r="M3299" s="19"/>
      <c r="N3299" s="19"/>
      <c r="O3299" s="19"/>
      <c r="P3299" s="19"/>
      <c r="Q3299" s="19"/>
    </row>
    <row r="3300" spans="2:17" hidden="1">
      <c r="B3300" s="19"/>
      <c r="C3300" s="19"/>
      <c r="D3300" s="19"/>
      <c r="E3300" s="19"/>
      <c r="F3300" s="19"/>
      <c r="G3300" s="19"/>
      <c r="H3300" s="19"/>
      <c r="I3300" s="19"/>
      <c r="J3300" s="19"/>
      <c r="K3300" s="421"/>
      <c r="L3300" s="23"/>
      <c r="M3300" s="19"/>
      <c r="N3300" s="19"/>
      <c r="O3300" s="19"/>
      <c r="P3300" s="19"/>
      <c r="Q3300" s="19"/>
    </row>
    <row r="3301" spans="2:17" hidden="1">
      <c r="B3301" s="19"/>
      <c r="C3301" s="19"/>
      <c r="D3301" s="19"/>
      <c r="E3301" s="19"/>
      <c r="F3301" s="19"/>
      <c r="G3301" s="19"/>
      <c r="H3301" s="19"/>
      <c r="I3301" s="19"/>
      <c r="J3301" s="19"/>
      <c r="K3301" s="421"/>
      <c r="L3301" s="23"/>
      <c r="M3301" s="19"/>
      <c r="N3301" s="19"/>
      <c r="O3301" s="19"/>
      <c r="P3301" s="19"/>
      <c r="Q3301" s="19"/>
    </row>
    <row r="3302" spans="2:17" hidden="1">
      <c r="B3302" s="19"/>
      <c r="C3302" s="19"/>
      <c r="D3302" s="19"/>
      <c r="E3302" s="19"/>
      <c r="F3302" s="19"/>
      <c r="G3302" s="19"/>
      <c r="H3302" s="19"/>
      <c r="I3302" s="19"/>
      <c r="J3302" s="19"/>
      <c r="K3302" s="421"/>
      <c r="L3302" s="23"/>
      <c r="M3302" s="19"/>
      <c r="N3302" s="19"/>
      <c r="O3302" s="19"/>
      <c r="P3302" s="19"/>
      <c r="Q3302" s="19"/>
    </row>
    <row r="3303" spans="2:17" hidden="1">
      <c r="B3303" s="19"/>
      <c r="C3303" s="19"/>
      <c r="D3303" s="19"/>
      <c r="E3303" s="19"/>
      <c r="F3303" s="19"/>
      <c r="G3303" s="19"/>
      <c r="H3303" s="19"/>
      <c r="I3303" s="19"/>
      <c r="J3303" s="19"/>
      <c r="K3303" s="421"/>
      <c r="L3303" s="23"/>
      <c r="M3303" s="19"/>
      <c r="N3303" s="19"/>
      <c r="O3303" s="19"/>
      <c r="P3303" s="19"/>
      <c r="Q3303" s="19"/>
    </row>
    <row r="3304" spans="2:17" hidden="1">
      <c r="B3304" s="19"/>
      <c r="C3304" s="19"/>
      <c r="D3304" s="19"/>
      <c r="E3304" s="19"/>
      <c r="F3304" s="19"/>
      <c r="G3304" s="19"/>
      <c r="H3304" s="19"/>
      <c r="I3304" s="19"/>
      <c r="J3304" s="19"/>
      <c r="K3304" s="421"/>
      <c r="L3304" s="23"/>
      <c r="M3304" s="19"/>
      <c r="N3304" s="19"/>
      <c r="O3304" s="19"/>
      <c r="P3304" s="19"/>
      <c r="Q3304" s="19"/>
    </row>
    <row r="3305" spans="2:17" hidden="1">
      <c r="B3305" s="19"/>
      <c r="C3305" s="19"/>
      <c r="D3305" s="19"/>
      <c r="E3305" s="19"/>
      <c r="F3305" s="19"/>
      <c r="G3305" s="19"/>
      <c r="H3305" s="19"/>
      <c r="I3305" s="19"/>
      <c r="J3305" s="19"/>
      <c r="K3305" s="421"/>
      <c r="L3305" s="23"/>
      <c r="M3305" s="19"/>
      <c r="N3305" s="19"/>
      <c r="O3305" s="19"/>
      <c r="P3305" s="19"/>
      <c r="Q3305" s="19"/>
    </row>
    <row r="3306" spans="2:17" hidden="1">
      <c r="B3306" s="19"/>
      <c r="C3306" s="19"/>
      <c r="D3306" s="19"/>
      <c r="E3306" s="19"/>
      <c r="F3306" s="19"/>
      <c r="G3306" s="19"/>
      <c r="H3306" s="19"/>
      <c r="I3306" s="19"/>
      <c r="J3306" s="19"/>
      <c r="K3306" s="421"/>
      <c r="L3306" s="23"/>
      <c r="M3306" s="19"/>
      <c r="N3306" s="19"/>
      <c r="O3306" s="19"/>
      <c r="P3306" s="19"/>
      <c r="Q3306" s="19"/>
    </row>
    <row r="3307" spans="2:17" hidden="1">
      <c r="B3307" s="19"/>
      <c r="C3307" s="19"/>
      <c r="D3307" s="19"/>
      <c r="E3307" s="19"/>
      <c r="F3307" s="19"/>
      <c r="G3307" s="19"/>
      <c r="H3307" s="19"/>
      <c r="I3307" s="19"/>
      <c r="J3307" s="19"/>
      <c r="K3307" s="421"/>
      <c r="L3307" s="23"/>
      <c r="M3307" s="19"/>
      <c r="N3307" s="19"/>
      <c r="O3307" s="19"/>
      <c r="P3307" s="19"/>
      <c r="Q3307" s="19"/>
    </row>
    <row r="3308" spans="2:17" hidden="1">
      <c r="B3308" s="19"/>
      <c r="C3308" s="19"/>
      <c r="D3308" s="19"/>
      <c r="E3308" s="19"/>
      <c r="F3308" s="19"/>
      <c r="G3308" s="19"/>
      <c r="H3308" s="19"/>
      <c r="I3308" s="19"/>
      <c r="J3308" s="19"/>
      <c r="K3308" s="421"/>
      <c r="L3308" s="23"/>
      <c r="M3308" s="19"/>
      <c r="N3308" s="19"/>
      <c r="O3308" s="19"/>
      <c r="P3308" s="19"/>
      <c r="Q3308" s="19"/>
    </row>
    <row r="3309" spans="2:17" hidden="1">
      <c r="B3309" s="19"/>
      <c r="C3309" s="19"/>
      <c r="D3309" s="19"/>
      <c r="E3309" s="19"/>
      <c r="F3309" s="19"/>
      <c r="G3309" s="19"/>
      <c r="H3309" s="19"/>
      <c r="I3309" s="19"/>
      <c r="J3309" s="19"/>
      <c r="K3309" s="421"/>
      <c r="L3309" s="23"/>
      <c r="M3309" s="19"/>
      <c r="N3309" s="19"/>
      <c r="O3309" s="19"/>
      <c r="P3309" s="19"/>
      <c r="Q3309" s="19"/>
    </row>
    <row r="3310" spans="2:17" hidden="1">
      <c r="B3310" s="19"/>
      <c r="C3310" s="19"/>
      <c r="D3310" s="19"/>
      <c r="E3310" s="19"/>
      <c r="F3310" s="19"/>
      <c r="G3310" s="19"/>
      <c r="H3310" s="19"/>
      <c r="I3310" s="19"/>
      <c r="J3310" s="19"/>
      <c r="K3310" s="421"/>
      <c r="L3310" s="23"/>
      <c r="M3310" s="19"/>
      <c r="N3310" s="19"/>
      <c r="O3310" s="19"/>
      <c r="P3310" s="19"/>
      <c r="Q3310" s="19"/>
    </row>
    <row r="3311" spans="2:17" hidden="1">
      <c r="B3311" s="19"/>
      <c r="C3311" s="19"/>
      <c r="D3311" s="19"/>
      <c r="E3311" s="19"/>
      <c r="F3311" s="19"/>
      <c r="G3311" s="19"/>
      <c r="H3311" s="19"/>
      <c r="I3311" s="19"/>
      <c r="J3311" s="19"/>
      <c r="K3311" s="421"/>
      <c r="L3311" s="23"/>
      <c r="M3311" s="19"/>
      <c r="N3311" s="19"/>
      <c r="O3311" s="19"/>
      <c r="P3311" s="19"/>
      <c r="Q3311" s="19"/>
    </row>
    <row r="3312" spans="2:17" hidden="1">
      <c r="B3312" s="19"/>
      <c r="C3312" s="19"/>
      <c r="D3312" s="19"/>
      <c r="E3312" s="19"/>
      <c r="F3312" s="19"/>
      <c r="G3312" s="19"/>
      <c r="H3312" s="19"/>
      <c r="I3312" s="19"/>
      <c r="J3312" s="19"/>
      <c r="K3312" s="421"/>
      <c r="L3312" s="23"/>
      <c r="M3312" s="19"/>
      <c r="N3312" s="19"/>
      <c r="O3312" s="19"/>
      <c r="P3312" s="19"/>
      <c r="Q3312" s="19"/>
    </row>
    <row r="3313" spans="2:17" hidden="1">
      <c r="B3313" s="19"/>
      <c r="C3313" s="19"/>
      <c r="D3313" s="19"/>
      <c r="E3313" s="19"/>
      <c r="F3313" s="19"/>
      <c r="G3313" s="19"/>
      <c r="H3313" s="19"/>
      <c r="I3313" s="19"/>
      <c r="J3313" s="19"/>
      <c r="K3313" s="421"/>
      <c r="L3313" s="23"/>
      <c r="M3313" s="19"/>
      <c r="N3313" s="19"/>
      <c r="O3313" s="19"/>
      <c r="P3313" s="19"/>
      <c r="Q3313" s="19"/>
    </row>
    <row r="3314" spans="2:17" hidden="1">
      <c r="B3314" s="19"/>
      <c r="C3314" s="19"/>
      <c r="D3314" s="19"/>
      <c r="E3314" s="19"/>
      <c r="F3314" s="19"/>
      <c r="G3314" s="19"/>
      <c r="H3314" s="19"/>
      <c r="I3314" s="19"/>
      <c r="J3314" s="19"/>
      <c r="K3314" s="421"/>
      <c r="L3314" s="23"/>
      <c r="M3314" s="19"/>
      <c r="N3314" s="19"/>
      <c r="O3314" s="19"/>
      <c r="P3314" s="19"/>
      <c r="Q3314" s="19"/>
    </row>
    <row r="3315" spans="2:17" hidden="1">
      <c r="B3315" s="19"/>
      <c r="C3315" s="19"/>
      <c r="D3315" s="19"/>
      <c r="E3315" s="19"/>
      <c r="F3315" s="19"/>
      <c r="G3315" s="19"/>
      <c r="H3315" s="19"/>
      <c r="I3315" s="19"/>
      <c r="J3315" s="19"/>
      <c r="K3315" s="421"/>
      <c r="L3315" s="23"/>
      <c r="M3315" s="19"/>
      <c r="N3315" s="19"/>
      <c r="O3315" s="19"/>
      <c r="P3315" s="19"/>
      <c r="Q3315" s="19"/>
    </row>
    <row r="3316" spans="2:17" hidden="1">
      <c r="B3316" s="19"/>
      <c r="C3316" s="19"/>
      <c r="D3316" s="19"/>
      <c r="E3316" s="19"/>
      <c r="F3316" s="19"/>
      <c r="G3316" s="19"/>
      <c r="H3316" s="19"/>
      <c r="I3316" s="19"/>
      <c r="J3316" s="19"/>
      <c r="K3316" s="421"/>
      <c r="L3316" s="23"/>
      <c r="M3316" s="19"/>
      <c r="N3316" s="19"/>
      <c r="O3316" s="19"/>
      <c r="P3316" s="19"/>
      <c r="Q3316" s="19"/>
    </row>
    <row r="3317" spans="2:17" hidden="1">
      <c r="B3317" s="19"/>
      <c r="C3317" s="19"/>
      <c r="D3317" s="19"/>
      <c r="E3317" s="19"/>
      <c r="F3317" s="19"/>
      <c r="G3317" s="19"/>
      <c r="H3317" s="19"/>
      <c r="I3317" s="19"/>
      <c r="J3317" s="19"/>
      <c r="K3317" s="421"/>
      <c r="L3317" s="23"/>
      <c r="M3317" s="19"/>
      <c r="N3317" s="19"/>
      <c r="O3317" s="19"/>
      <c r="P3317" s="19"/>
      <c r="Q3317" s="19"/>
    </row>
    <row r="3318" spans="2:17" hidden="1">
      <c r="B3318" s="19"/>
      <c r="C3318" s="19"/>
      <c r="D3318" s="19"/>
      <c r="E3318" s="19"/>
      <c r="F3318" s="19"/>
      <c r="G3318" s="19"/>
      <c r="H3318" s="19"/>
      <c r="I3318" s="19"/>
      <c r="J3318" s="19"/>
      <c r="K3318" s="421"/>
      <c r="L3318" s="23"/>
      <c r="M3318" s="19"/>
      <c r="N3318" s="19"/>
      <c r="O3318" s="19"/>
      <c r="P3318" s="19"/>
      <c r="Q3318" s="19"/>
    </row>
    <row r="3319" spans="2:17" hidden="1">
      <c r="B3319" s="19"/>
      <c r="C3319" s="19"/>
      <c r="D3319" s="19"/>
      <c r="E3319" s="19"/>
      <c r="F3319" s="19"/>
      <c r="G3319" s="19"/>
      <c r="H3319" s="19"/>
      <c r="I3319" s="19"/>
      <c r="J3319" s="19"/>
      <c r="K3319" s="421"/>
      <c r="L3319" s="23"/>
      <c r="M3319" s="19"/>
      <c r="N3319" s="19"/>
      <c r="O3319" s="19"/>
      <c r="P3319" s="19"/>
      <c r="Q3319" s="19"/>
    </row>
    <row r="3320" spans="2:17" hidden="1">
      <c r="B3320" s="19"/>
      <c r="C3320" s="19"/>
      <c r="D3320" s="19"/>
      <c r="E3320" s="19"/>
      <c r="F3320" s="19"/>
      <c r="G3320" s="19"/>
      <c r="H3320" s="19"/>
      <c r="I3320" s="19"/>
      <c r="J3320" s="19"/>
      <c r="K3320" s="421"/>
      <c r="L3320" s="23"/>
      <c r="M3320" s="19"/>
      <c r="N3320" s="19"/>
      <c r="O3320" s="19"/>
      <c r="P3320" s="19"/>
      <c r="Q3320" s="19"/>
    </row>
    <row r="3321" spans="2:17" hidden="1">
      <c r="B3321" s="19"/>
      <c r="C3321" s="19"/>
      <c r="D3321" s="19"/>
      <c r="E3321" s="19"/>
      <c r="F3321" s="19"/>
      <c r="G3321" s="19"/>
      <c r="H3321" s="19"/>
      <c r="I3321" s="19"/>
      <c r="J3321" s="19"/>
      <c r="K3321" s="421"/>
      <c r="L3321" s="23"/>
      <c r="M3321" s="19"/>
      <c r="N3321" s="19"/>
      <c r="O3321" s="19"/>
      <c r="P3321" s="19"/>
      <c r="Q3321" s="19"/>
    </row>
    <row r="3322" spans="2:17" hidden="1">
      <c r="B3322" s="19"/>
      <c r="C3322" s="19"/>
      <c r="D3322" s="19"/>
      <c r="E3322" s="19"/>
      <c r="F3322" s="19"/>
      <c r="G3322" s="19"/>
      <c r="H3322" s="19"/>
      <c r="I3322" s="19"/>
      <c r="J3322" s="19"/>
      <c r="K3322" s="421"/>
      <c r="L3322" s="23"/>
      <c r="M3322" s="19"/>
      <c r="N3322" s="19"/>
      <c r="O3322" s="19"/>
      <c r="P3322" s="19"/>
      <c r="Q3322" s="19"/>
    </row>
    <row r="3323" spans="2:17" hidden="1">
      <c r="B3323" s="19"/>
      <c r="C3323" s="19"/>
      <c r="D3323" s="19"/>
      <c r="E3323" s="19"/>
      <c r="F3323" s="19"/>
      <c r="G3323" s="19"/>
      <c r="H3323" s="19"/>
      <c r="I3323" s="19"/>
      <c r="J3323" s="19"/>
      <c r="K3323" s="421"/>
      <c r="L3323" s="23"/>
      <c r="M3323" s="19"/>
      <c r="N3323" s="19"/>
      <c r="O3323" s="19"/>
      <c r="P3323" s="19"/>
      <c r="Q3323" s="19"/>
    </row>
    <row r="3324" spans="2:17" hidden="1">
      <c r="B3324" s="19"/>
      <c r="C3324" s="19"/>
      <c r="D3324" s="19"/>
      <c r="E3324" s="19"/>
      <c r="F3324" s="19"/>
      <c r="G3324" s="19"/>
      <c r="H3324" s="19"/>
      <c r="I3324" s="19"/>
      <c r="J3324" s="19"/>
      <c r="K3324" s="421"/>
      <c r="L3324" s="23"/>
      <c r="M3324" s="19"/>
      <c r="N3324" s="19"/>
      <c r="O3324" s="19"/>
      <c r="P3324" s="19"/>
      <c r="Q3324" s="19"/>
    </row>
    <row r="3325" spans="2:17" hidden="1">
      <c r="B3325" s="19"/>
      <c r="C3325" s="19"/>
      <c r="D3325" s="19"/>
      <c r="E3325" s="19"/>
      <c r="F3325" s="19"/>
      <c r="G3325" s="19"/>
      <c r="H3325" s="19"/>
      <c r="I3325" s="19"/>
      <c r="J3325" s="19"/>
      <c r="K3325" s="421"/>
      <c r="L3325" s="23"/>
      <c r="M3325" s="19"/>
      <c r="N3325" s="19"/>
      <c r="O3325" s="19"/>
      <c r="P3325" s="19"/>
      <c r="Q3325" s="19"/>
    </row>
    <row r="3326" spans="2:17" hidden="1">
      <c r="B3326" s="19"/>
      <c r="C3326" s="19"/>
      <c r="D3326" s="19"/>
      <c r="E3326" s="19"/>
      <c r="F3326" s="19"/>
      <c r="G3326" s="19"/>
      <c r="H3326" s="19"/>
      <c r="I3326" s="19"/>
      <c r="J3326" s="19"/>
      <c r="K3326" s="421"/>
      <c r="L3326" s="23"/>
      <c r="M3326" s="19"/>
      <c r="N3326" s="19"/>
      <c r="O3326" s="19"/>
      <c r="P3326" s="19"/>
      <c r="Q3326" s="19"/>
    </row>
    <row r="3327" spans="2:17" hidden="1">
      <c r="B3327" s="19"/>
      <c r="C3327" s="19"/>
      <c r="D3327" s="19"/>
      <c r="E3327" s="19"/>
      <c r="F3327" s="19"/>
      <c r="G3327" s="19"/>
      <c r="H3327" s="19"/>
      <c r="I3327" s="19"/>
      <c r="J3327" s="19"/>
      <c r="K3327" s="421"/>
      <c r="L3327" s="23"/>
      <c r="M3327" s="19"/>
      <c r="N3327" s="19"/>
      <c r="O3327" s="19"/>
      <c r="P3327" s="19"/>
      <c r="Q3327" s="19"/>
    </row>
    <row r="3328" spans="2:17" hidden="1">
      <c r="B3328" s="19"/>
      <c r="C3328" s="19"/>
      <c r="D3328" s="19"/>
      <c r="E3328" s="19"/>
      <c r="F3328" s="19"/>
      <c r="G3328" s="19"/>
      <c r="H3328" s="19"/>
      <c r="I3328" s="19"/>
      <c r="J3328" s="19"/>
      <c r="K3328" s="421"/>
      <c r="L3328" s="23"/>
      <c r="M3328" s="19"/>
      <c r="N3328" s="19"/>
      <c r="O3328" s="19"/>
      <c r="P3328" s="19"/>
      <c r="Q3328" s="19"/>
    </row>
    <row r="3329" spans="2:17" hidden="1">
      <c r="B3329" s="19"/>
      <c r="C3329" s="19"/>
      <c r="D3329" s="19"/>
      <c r="E3329" s="19"/>
      <c r="F3329" s="19"/>
      <c r="G3329" s="19"/>
      <c r="H3329" s="19"/>
      <c r="I3329" s="19"/>
      <c r="J3329" s="19"/>
      <c r="K3329" s="421"/>
      <c r="L3329" s="23"/>
      <c r="M3329" s="19"/>
      <c r="N3329" s="19"/>
      <c r="O3329" s="19"/>
      <c r="P3329" s="19"/>
      <c r="Q3329" s="19"/>
    </row>
    <row r="3330" spans="2:17" hidden="1">
      <c r="B3330" s="19"/>
      <c r="C3330" s="19"/>
      <c r="D3330" s="19"/>
      <c r="E3330" s="19"/>
      <c r="F3330" s="19"/>
      <c r="G3330" s="19"/>
      <c r="H3330" s="19"/>
      <c r="I3330" s="19"/>
      <c r="J3330" s="19"/>
      <c r="K3330" s="421"/>
      <c r="L3330" s="23"/>
      <c r="M3330" s="19"/>
      <c r="N3330" s="19"/>
      <c r="O3330" s="19"/>
      <c r="P3330" s="19"/>
      <c r="Q3330" s="19"/>
    </row>
    <row r="3331" spans="2:17" hidden="1">
      <c r="B3331" s="19"/>
      <c r="C3331" s="19"/>
      <c r="D3331" s="19"/>
      <c r="E3331" s="19"/>
      <c r="F3331" s="19"/>
      <c r="G3331" s="19"/>
      <c r="H3331" s="19"/>
      <c r="I3331" s="19"/>
      <c r="J3331" s="19"/>
      <c r="K3331" s="421"/>
      <c r="L3331" s="23"/>
      <c r="M3331" s="19"/>
      <c r="N3331" s="19"/>
      <c r="O3331" s="19"/>
      <c r="P3331" s="19"/>
      <c r="Q3331" s="19"/>
    </row>
    <row r="3332" spans="2:17" hidden="1">
      <c r="B3332" s="19"/>
      <c r="C3332" s="19"/>
      <c r="D3332" s="19"/>
      <c r="E3332" s="19"/>
      <c r="F3332" s="19"/>
      <c r="G3332" s="19"/>
      <c r="H3332" s="19"/>
      <c r="I3332" s="19"/>
      <c r="J3332" s="19"/>
      <c r="K3332" s="421"/>
      <c r="L3332" s="23"/>
      <c r="M3332" s="19"/>
      <c r="N3332" s="19"/>
      <c r="O3332" s="19"/>
      <c r="P3332" s="19"/>
      <c r="Q3332" s="19"/>
    </row>
    <row r="3333" spans="2:17" hidden="1">
      <c r="B3333" s="19"/>
      <c r="C3333" s="19"/>
      <c r="D3333" s="19"/>
      <c r="E3333" s="19"/>
      <c r="F3333" s="19"/>
      <c r="G3333" s="19"/>
      <c r="H3333" s="19"/>
      <c r="I3333" s="19"/>
      <c r="J3333" s="19"/>
      <c r="K3333" s="421"/>
      <c r="L3333" s="23"/>
      <c r="M3333" s="19"/>
      <c r="N3333" s="19"/>
      <c r="O3333" s="19"/>
      <c r="P3333" s="19"/>
      <c r="Q3333" s="19"/>
    </row>
    <row r="3334" spans="2:17" hidden="1">
      <c r="B3334" s="19"/>
      <c r="C3334" s="19"/>
      <c r="D3334" s="19"/>
      <c r="E3334" s="19"/>
      <c r="F3334" s="19"/>
      <c r="G3334" s="19"/>
      <c r="H3334" s="19"/>
      <c r="I3334" s="19"/>
      <c r="J3334" s="19"/>
      <c r="K3334" s="421"/>
      <c r="L3334" s="23"/>
      <c r="M3334" s="19"/>
      <c r="N3334" s="19"/>
      <c r="O3334" s="19"/>
      <c r="P3334" s="19"/>
      <c r="Q3334" s="19"/>
    </row>
    <row r="3335" spans="2:17" hidden="1">
      <c r="B3335" s="19"/>
      <c r="C3335" s="19"/>
      <c r="D3335" s="19"/>
      <c r="E3335" s="19"/>
      <c r="F3335" s="19"/>
      <c r="G3335" s="19"/>
      <c r="H3335" s="19"/>
      <c r="I3335" s="19"/>
      <c r="J3335" s="19"/>
      <c r="K3335" s="421"/>
      <c r="L3335" s="23"/>
      <c r="M3335" s="19"/>
      <c r="N3335" s="19"/>
      <c r="O3335" s="19"/>
      <c r="P3335" s="19"/>
      <c r="Q3335" s="19"/>
    </row>
    <row r="3336" spans="2:17" hidden="1">
      <c r="B3336" s="19"/>
      <c r="C3336" s="19"/>
      <c r="D3336" s="19"/>
      <c r="E3336" s="19"/>
      <c r="F3336" s="19"/>
      <c r="G3336" s="19"/>
      <c r="H3336" s="19"/>
      <c r="I3336" s="19"/>
      <c r="J3336" s="19"/>
      <c r="K3336" s="421"/>
      <c r="L3336" s="23"/>
      <c r="M3336" s="19"/>
      <c r="N3336" s="19"/>
      <c r="O3336" s="19"/>
      <c r="P3336" s="19"/>
      <c r="Q3336" s="19"/>
    </row>
    <row r="3337" spans="2:17" hidden="1">
      <c r="B3337" s="19"/>
      <c r="C3337" s="19"/>
      <c r="D3337" s="19"/>
      <c r="E3337" s="19"/>
      <c r="F3337" s="19"/>
      <c r="G3337" s="19"/>
      <c r="H3337" s="19"/>
      <c r="I3337" s="19"/>
      <c r="J3337" s="19"/>
      <c r="K3337" s="421"/>
      <c r="L3337" s="23"/>
      <c r="M3337" s="19"/>
      <c r="N3337" s="19"/>
      <c r="O3337" s="19"/>
      <c r="P3337" s="19"/>
      <c r="Q3337" s="19"/>
    </row>
    <row r="3338" spans="2:17" hidden="1">
      <c r="B3338" s="19"/>
      <c r="C3338" s="19"/>
      <c r="D3338" s="19"/>
      <c r="E3338" s="19"/>
      <c r="F3338" s="19"/>
      <c r="G3338" s="19"/>
      <c r="H3338" s="19"/>
      <c r="I3338" s="19"/>
      <c r="J3338" s="19"/>
      <c r="K3338" s="421"/>
      <c r="L3338" s="23"/>
      <c r="M3338" s="19"/>
      <c r="N3338" s="19"/>
      <c r="O3338" s="19"/>
      <c r="P3338" s="19"/>
      <c r="Q3338" s="19"/>
    </row>
    <row r="3339" spans="2:17" hidden="1">
      <c r="B3339" s="19"/>
      <c r="C3339" s="19"/>
      <c r="D3339" s="19"/>
      <c r="E3339" s="19"/>
      <c r="F3339" s="19"/>
      <c r="G3339" s="19"/>
      <c r="H3339" s="19"/>
      <c r="I3339" s="19"/>
      <c r="J3339" s="19"/>
      <c r="K3339" s="421"/>
      <c r="L3339" s="23"/>
      <c r="M3339" s="19"/>
      <c r="N3339" s="19"/>
      <c r="O3339" s="19"/>
      <c r="P3339" s="19"/>
      <c r="Q3339" s="19"/>
    </row>
    <row r="3340" spans="2:17" hidden="1">
      <c r="B3340" s="19"/>
      <c r="C3340" s="19"/>
      <c r="D3340" s="19"/>
      <c r="E3340" s="19"/>
      <c r="F3340" s="19"/>
      <c r="G3340" s="19"/>
      <c r="H3340" s="19"/>
      <c r="I3340" s="19"/>
      <c r="J3340" s="19"/>
      <c r="K3340" s="421"/>
      <c r="L3340" s="23"/>
      <c r="M3340" s="19"/>
      <c r="N3340" s="19"/>
      <c r="O3340" s="19"/>
      <c r="P3340" s="19"/>
      <c r="Q3340" s="19"/>
    </row>
    <row r="3341" spans="2:17" hidden="1">
      <c r="B3341" s="19"/>
      <c r="C3341" s="19"/>
      <c r="D3341" s="19"/>
      <c r="E3341" s="19"/>
      <c r="F3341" s="19"/>
      <c r="G3341" s="19"/>
      <c r="H3341" s="19"/>
      <c r="I3341" s="19"/>
      <c r="J3341" s="19"/>
      <c r="K3341" s="421"/>
      <c r="L3341" s="23"/>
      <c r="M3341" s="19"/>
      <c r="N3341" s="19"/>
      <c r="O3341" s="19"/>
      <c r="P3341" s="19"/>
      <c r="Q3341" s="19"/>
    </row>
    <row r="3342" spans="2:17" hidden="1">
      <c r="B3342" s="19"/>
      <c r="C3342" s="19"/>
      <c r="D3342" s="19"/>
      <c r="E3342" s="19"/>
      <c r="F3342" s="19"/>
      <c r="G3342" s="19"/>
      <c r="H3342" s="19"/>
      <c r="I3342" s="19"/>
      <c r="J3342" s="19"/>
      <c r="K3342" s="421"/>
      <c r="L3342" s="23"/>
      <c r="M3342" s="19"/>
      <c r="N3342" s="19"/>
      <c r="O3342" s="19"/>
      <c r="P3342" s="19"/>
      <c r="Q3342" s="19"/>
    </row>
    <row r="3343" spans="2:17" hidden="1">
      <c r="B3343" s="19"/>
      <c r="C3343" s="19"/>
      <c r="D3343" s="19"/>
      <c r="E3343" s="19"/>
      <c r="F3343" s="19"/>
      <c r="G3343" s="19"/>
      <c r="H3343" s="19"/>
      <c r="I3343" s="19"/>
      <c r="J3343" s="19"/>
      <c r="K3343" s="421"/>
      <c r="L3343" s="23"/>
      <c r="M3343" s="19"/>
      <c r="N3343" s="19"/>
      <c r="O3343" s="19"/>
      <c r="P3343" s="19"/>
      <c r="Q3343" s="19"/>
    </row>
    <row r="3344" spans="2:17" hidden="1">
      <c r="B3344" s="19"/>
      <c r="C3344" s="19"/>
      <c r="D3344" s="19"/>
      <c r="E3344" s="19"/>
      <c r="F3344" s="19"/>
      <c r="G3344" s="19"/>
      <c r="H3344" s="19"/>
      <c r="I3344" s="19"/>
      <c r="J3344" s="19"/>
      <c r="K3344" s="421"/>
      <c r="L3344" s="23"/>
      <c r="M3344" s="19"/>
      <c r="N3344" s="19"/>
      <c r="O3344" s="19"/>
      <c r="P3344" s="19"/>
      <c r="Q3344" s="19"/>
    </row>
    <row r="3345" spans="2:17" hidden="1">
      <c r="B3345" s="19"/>
      <c r="C3345" s="19"/>
      <c r="D3345" s="19"/>
      <c r="E3345" s="19"/>
      <c r="F3345" s="19"/>
      <c r="G3345" s="19"/>
      <c r="H3345" s="19"/>
      <c r="I3345" s="19"/>
      <c r="J3345" s="19"/>
      <c r="K3345" s="421"/>
      <c r="L3345" s="23"/>
      <c r="M3345" s="19"/>
      <c r="N3345" s="19"/>
      <c r="O3345" s="19"/>
      <c r="P3345" s="19"/>
      <c r="Q3345" s="19"/>
    </row>
    <row r="3346" spans="2:17" hidden="1">
      <c r="B3346" s="19"/>
      <c r="C3346" s="19"/>
      <c r="D3346" s="19"/>
      <c r="E3346" s="19"/>
      <c r="F3346" s="19"/>
      <c r="G3346" s="19"/>
      <c r="H3346" s="19"/>
      <c r="I3346" s="19"/>
      <c r="J3346" s="19"/>
      <c r="K3346" s="421"/>
      <c r="L3346" s="23"/>
      <c r="M3346" s="19"/>
      <c r="N3346" s="19"/>
      <c r="O3346" s="19"/>
      <c r="P3346" s="19"/>
      <c r="Q3346" s="19"/>
    </row>
    <row r="3347" spans="2:17" hidden="1">
      <c r="B3347" s="19"/>
      <c r="C3347" s="19"/>
      <c r="D3347" s="19"/>
      <c r="E3347" s="19"/>
      <c r="F3347" s="19"/>
      <c r="G3347" s="19"/>
      <c r="H3347" s="19"/>
      <c r="I3347" s="19"/>
      <c r="J3347" s="19"/>
      <c r="K3347" s="421"/>
      <c r="L3347" s="23"/>
      <c r="M3347" s="19"/>
      <c r="N3347" s="19"/>
      <c r="O3347" s="19"/>
      <c r="P3347" s="19"/>
      <c r="Q3347" s="19"/>
    </row>
    <row r="3348" spans="2:17" hidden="1">
      <c r="B3348" s="19"/>
      <c r="C3348" s="19"/>
      <c r="D3348" s="19"/>
      <c r="E3348" s="19"/>
      <c r="F3348" s="19"/>
      <c r="G3348" s="19"/>
      <c r="H3348" s="19"/>
      <c r="I3348" s="19"/>
      <c r="J3348" s="19"/>
      <c r="K3348" s="421"/>
      <c r="L3348" s="23"/>
      <c r="M3348" s="19"/>
      <c r="N3348" s="19"/>
      <c r="O3348" s="19"/>
      <c r="P3348" s="19"/>
      <c r="Q3348" s="19"/>
    </row>
    <row r="3349" spans="2:17" hidden="1">
      <c r="B3349" s="19"/>
      <c r="C3349" s="19"/>
      <c r="D3349" s="19"/>
      <c r="E3349" s="19"/>
      <c r="F3349" s="19"/>
      <c r="G3349" s="19"/>
      <c r="H3349" s="19"/>
      <c r="I3349" s="19"/>
      <c r="J3349" s="19"/>
      <c r="K3349" s="421"/>
      <c r="L3349" s="23"/>
      <c r="M3349" s="19"/>
      <c r="N3349" s="19"/>
      <c r="O3349" s="19"/>
      <c r="P3349" s="19"/>
      <c r="Q3349" s="19"/>
    </row>
    <row r="3350" spans="2:17" hidden="1">
      <c r="B3350" s="19"/>
      <c r="C3350" s="19"/>
      <c r="D3350" s="19"/>
      <c r="E3350" s="19"/>
      <c r="F3350" s="19"/>
      <c r="G3350" s="19"/>
      <c r="H3350" s="19"/>
      <c r="I3350" s="19"/>
      <c r="J3350" s="19"/>
      <c r="K3350" s="421"/>
      <c r="L3350" s="23"/>
      <c r="M3350" s="19"/>
      <c r="N3350" s="19"/>
      <c r="O3350" s="19"/>
      <c r="P3350" s="19"/>
      <c r="Q3350" s="19"/>
    </row>
    <row r="3351" spans="2:17" hidden="1">
      <c r="B3351" s="19"/>
      <c r="C3351" s="19"/>
      <c r="D3351" s="19"/>
      <c r="E3351" s="19"/>
      <c r="F3351" s="19"/>
      <c r="G3351" s="19"/>
      <c r="H3351" s="19"/>
      <c r="I3351" s="19"/>
      <c r="J3351" s="19"/>
      <c r="K3351" s="421"/>
      <c r="L3351" s="23"/>
      <c r="M3351" s="19"/>
      <c r="N3351" s="19"/>
      <c r="O3351" s="19"/>
      <c r="P3351" s="19"/>
      <c r="Q3351" s="19"/>
    </row>
    <row r="3352" spans="2:17" hidden="1">
      <c r="B3352" s="19"/>
      <c r="C3352" s="19"/>
      <c r="D3352" s="19"/>
      <c r="E3352" s="19"/>
      <c r="F3352" s="19"/>
      <c r="G3352" s="19"/>
      <c r="H3352" s="19"/>
      <c r="I3352" s="19"/>
      <c r="J3352" s="19"/>
      <c r="K3352" s="421"/>
      <c r="L3352" s="23"/>
      <c r="M3352" s="19"/>
      <c r="N3352" s="19"/>
      <c r="O3352" s="19"/>
      <c r="P3352" s="19"/>
      <c r="Q3352" s="19"/>
    </row>
    <row r="3353" spans="2:17" hidden="1">
      <c r="B3353" s="19"/>
      <c r="C3353" s="19"/>
      <c r="D3353" s="19"/>
      <c r="E3353" s="19"/>
      <c r="F3353" s="19"/>
      <c r="G3353" s="19"/>
      <c r="H3353" s="19"/>
      <c r="I3353" s="19"/>
      <c r="J3353" s="19"/>
      <c r="K3353" s="421"/>
      <c r="L3353" s="23"/>
      <c r="M3353" s="19"/>
      <c r="N3353" s="19"/>
      <c r="O3353" s="19"/>
      <c r="P3353" s="19"/>
      <c r="Q3353" s="19"/>
    </row>
    <row r="3354" spans="2:17" hidden="1">
      <c r="B3354" s="19"/>
      <c r="C3354" s="19"/>
      <c r="D3354" s="19"/>
      <c r="E3354" s="19"/>
      <c r="F3354" s="19"/>
      <c r="G3354" s="19"/>
      <c r="H3354" s="19"/>
      <c r="I3354" s="19"/>
      <c r="J3354" s="19"/>
      <c r="K3354" s="421"/>
      <c r="L3354" s="23"/>
      <c r="M3354" s="19"/>
      <c r="N3354" s="19"/>
      <c r="O3354" s="19"/>
      <c r="P3354" s="19"/>
      <c r="Q3354" s="19"/>
    </row>
    <row r="3355" spans="2:17" hidden="1">
      <c r="B3355" s="19"/>
      <c r="C3355" s="19"/>
      <c r="D3355" s="19"/>
      <c r="E3355" s="19"/>
      <c r="F3355" s="19"/>
      <c r="G3355" s="19"/>
      <c r="H3355" s="19"/>
      <c r="I3355" s="19"/>
      <c r="J3355" s="19"/>
      <c r="K3355" s="421"/>
      <c r="L3355" s="23"/>
      <c r="M3355" s="19"/>
      <c r="N3355" s="19"/>
      <c r="O3355" s="19"/>
      <c r="P3355" s="19"/>
      <c r="Q3355" s="19"/>
    </row>
    <row r="3356" spans="2:17" hidden="1">
      <c r="B3356" s="19"/>
      <c r="C3356" s="19"/>
      <c r="D3356" s="19"/>
      <c r="E3356" s="19"/>
      <c r="F3356" s="19"/>
      <c r="G3356" s="19"/>
      <c r="H3356" s="19"/>
      <c r="I3356" s="19"/>
      <c r="J3356" s="19"/>
      <c r="K3356" s="421"/>
      <c r="L3356" s="23"/>
      <c r="M3356" s="19"/>
      <c r="N3356" s="19"/>
      <c r="O3356" s="19"/>
      <c r="P3356" s="19"/>
      <c r="Q3356" s="19"/>
    </row>
    <row r="3357" spans="2:17" hidden="1">
      <c r="B3357" s="19"/>
      <c r="C3357" s="19"/>
      <c r="D3357" s="19"/>
      <c r="E3357" s="19"/>
      <c r="F3357" s="19"/>
      <c r="G3357" s="19"/>
      <c r="H3357" s="19"/>
      <c r="I3357" s="19"/>
      <c r="J3357" s="19"/>
      <c r="K3357" s="421"/>
      <c r="L3357" s="23"/>
      <c r="M3357" s="19"/>
      <c r="N3357" s="19"/>
      <c r="O3357" s="19"/>
      <c r="P3357" s="19"/>
      <c r="Q3357" s="19"/>
    </row>
    <row r="3358" spans="2:17" hidden="1">
      <c r="B3358" s="19"/>
      <c r="C3358" s="19"/>
      <c r="D3358" s="19"/>
      <c r="E3358" s="19"/>
      <c r="F3358" s="19"/>
      <c r="G3358" s="19"/>
      <c r="H3358" s="19"/>
      <c r="I3358" s="19"/>
      <c r="J3358" s="19"/>
      <c r="K3358" s="421"/>
      <c r="L3358" s="23"/>
      <c r="M3358" s="19"/>
      <c r="N3358" s="19"/>
      <c r="O3358" s="19"/>
      <c r="P3358" s="19"/>
      <c r="Q3358" s="19"/>
    </row>
    <row r="3359" spans="2:17" hidden="1">
      <c r="B3359" s="19"/>
      <c r="C3359" s="19"/>
      <c r="D3359" s="19"/>
      <c r="E3359" s="19"/>
      <c r="F3359" s="19"/>
      <c r="G3359" s="19"/>
      <c r="H3359" s="19"/>
      <c r="I3359" s="19"/>
      <c r="J3359" s="19"/>
      <c r="K3359" s="421"/>
      <c r="L3359" s="23"/>
      <c r="M3359" s="19"/>
      <c r="N3359" s="19"/>
      <c r="O3359" s="19"/>
      <c r="P3359" s="19"/>
      <c r="Q3359" s="19"/>
    </row>
    <row r="3360" spans="2:17" hidden="1">
      <c r="B3360" s="19"/>
      <c r="C3360" s="19"/>
      <c r="D3360" s="19"/>
      <c r="E3360" s="19"/>
      <c r="F3360" s="19"/>
      <c r="G3360" s="19"/>
      <c r="H3360" s="19"/>
      <c r="I3360" s="19"/>
      <c r="J3360" s="19"/>
      <c r="K3360" s="421"/>
      <c r="L3360" s="23"/>
      <c r="M3360" s="19"/>
      <c r="N3360" s="19"/>
      <c r="O3360" s="19"/>
      <c r="P3360" s="19"/>
      <c r="Q3360" s="19"/>
    </row>
    <row r="3361" spans="2:17" hidden="1">
      <c r="B3361" s="19"/>
      <c r="C3361" s="19"/>
      <c r="D3361" s="19"/>
      <c r="E3361" s="19"/>
      <c r="F3361" s="19"/>
      <c r="G3361" s="19"/>
      <c r="H3361" s="19"/>
      <c r="I3361" s="19"/>
      <c r="J3361" s="19"/>
      <c r="K3361" s="421"/>
      <c r="L3361" s="23"/>
      <c r="M3361" s="19"/>
      <c r="N3361" s="19"/>
      <c r="O3361" s="19"/>
      <c r="P3361" s="19"/>
      <c r="Q3361" s="19"/>
    </row>
    <row r="3362" spans="2:17" hidden="1">
      <c r="B3362" s="19"/>
      <c r="C3362" s="19"/>
      <c r="D3362" s="19"/>
      <c r="E3362" s="19"/>
      <c r="F3362" s="19"/>
      <c r="G3362" s="19"/>
      <c r="H3362" s="19"/>
      <c r="I3362" s="19"/>
      <c r="J3362" s="19"/>
      <c r="K3362" s="421"/>
      <c r="L3362" s="23"/>
      <c r="M3362" s="19"/>
      <c r="N3362" s="19"/>
      <c r="O3362" s="19"/>
      <c r="P3362" s="19"/>
      <c r="Q3362" s="19"/>
    </row>
    <row r="3363" spans="2:17" hidden="1">
      <c r="B3363" s="19"/>
      <c r="C3363" s="19"/>
      <c r="D3363" s="19"/>
      <c r="E3363" s="19"/>
      <c r="F3363" s="19"/>
      <c r="G3363" s="19"/>
      <c r="H3363" s="19"/>
      <c r="I3363" s="19"/>
      <c r="J3363" s="19"/>
      <c r="K3363" s="421"/>
      <c r="L3363" s="23"/>
      <c r="M3363" s="19"/>
      <c r="N3363" s="19"/>
      <c r="O3363" s="19"/>
      <c r="P3363" s="19"/>
      <c r="Q3363" s="19"/>
    </row>
    <row r="3364" spans="2:17" hidden="1">
      <c r="B3364" s="19"/>
      <c r="C3364" s="19"/>
      <c r="D3364" s="19"/>
      <c r="E3364" s="19"/>
      <c r="F3364" s="19"/>
      <c r="G3364" s="19"/>
      <c r="H3364" s="19"/>
      <c r="I3364" s="19"/>
      <c r="J3364" s="19"/>
      <c r="K3364" s="421"/>
      <c r="L3364" s="23"/>
      <c r="M3364" s="19"/>
      <c r="N3364" s="19"/>
      <c r="O3364" s="19"/>
      <c r="P3364" s="19"/>
      <c r="Q3364" s="19"/>
    </row>
    <row r="3365" spans="2:17" hidden="1">
      <c r="I3365" s="20"/>
      <c r="K3365" s="423"/>
      <c r="L3365" s="44"/>
      <c r="M3365" s="44"/>
      <c r="N3365" s="44"/>
      <c r="O3365" s="19"/>
    </row>
    <row r="3366" spans="2:17" hidden="1">
      <c r="I3366" s="20"/>
    </row>
    <row r="3367" spans="2:17" hidden="1">
      <c r="I3367" s="20"/>
    </row>
    <row r="3368" spans="2:17" hidden="1">
      <c r="I3368" s="20"/>
    </row>
    <row r="3369" spans="2:17" hidden="1">
      <c r="I3369" s="20"/>
    </row>
    <row r="3370" spans="2:17" hidden="1">
      <c r="I3370" s="20"/>
    </row>
    <row r="3371" spans="2:17" hidden="1">
      <c r="I3371" s="20"/>
    </row>
    <row r="3372" spans="2:17" hidden="1">
      <c r="I3372" s="20"/>
    </row>
    <row r="3373" spans="2:17" hidden="1">
      <c r="I3373" s="20"/>
    </row>
    <row r="3374" spans="2:17" hidden="1">
      <c r="I3374" s="20"/>
    </row>
    <row r="3375" spans="2:17" hidden="1">
      <c r="I3375" s="20"/>
    </row>
    <row r="3376" spans="2:17" hidden="1">
      <c r="I3376" s="20"/>
    </row>
    <row r="3377" spans="9:9" hidden="1">
      <c r="I3377" s="20"/>
    </row>
    <row r="3378" spans="9:9" hidden="1">
      <c r="I3378" s="20"/>
    </row>
    <row r="3379" spans="9:9" hidden="1">
      <c r="I3379" s="20"/>
    </row>
    <row r="3380" spans="9:9" hidden="1">
      <c r="I3380" s="20"/>
    </row>
    <row r="3381" spans="9:9" hidden="1">
      <c r="I3381" s="20"/>
    </row>
    <row r="3382" spans="9:9" hidden="1">
      <c r="I3382" s="20"/>
    </row>
    <row r="3383" spans="9:9" hidden="1">
      <c r="I3383" s="20"/>
    </row>
    <row r="3384" spans="9:9" hidden="1">
      <c r="I3384" s="20"/>
    </row>
    <row r="3385" spans="9:9" hidden="1">
      <c r="I3385" s="20"/>
    </row>
    <row r="3386" spans="9:9" hidden="1">
      <c r="I3386" s="20"/>
    </row>
    <row r="3387" spans="9:9" hidden="1">
      <c r="I3387" s="20"/>
    </row>
    <row r="3388" spans="9:9" hidden="1">
      <c r="I3388" s="20"/>
    </row>
    <row r="3389" spans="9:9" hidden="1">
      <c r="I3389" s="20"/>
    </row>
    <row r="3390" spans="9:9" hidden="1">
      <c r="I3390" s="20"/>
    </row>
    <row r="3391" spans="9:9" hidden="1">
      <c r="I3391" s="20"/>
    </row>
    <row r="3392" spans="9:9" hidden="1">
      <c r="I3392" s="20"/>
    </row>
    <row r="3393" spans="9:9" hidden="1">
      <c r="I3393" s="20"/>
    </row>
    <row r="3394" spans="9:9" hidden="1">
      <c r="I3394" s="20"/>
    </row>
    <row r="3395" spans="9:9" hidden="1">
      <c r="I3395" s="20"/>
    </row>
    <row r="3396" spans="9:9" hidden="1">
      <c r="I3396" s="20"/>
    </row>
    <row r="3397" spans="9:9" hidden="1">
      <c r="I3397" s="20"/>
    </row>
    <row r="3398" spans="9:9" hidden="1">
      <c r="I3398" s="20"/>
    </row>
    <row r="3399" spans="9:9" hidden="1">
      <c r="I3399" s="20"/>
    </row>
    <row r="3400" spans="9:9" hidden="1">
      <c r="I3400" s="20"/>
    </row>
    <row r="3401" spans="9:9" hidden="1">
      <c r="I3401" s="20"/>
    </row>
    <row r="3402" spans="9:9" hidden="1">
      <c r="I3402" s="20"/>
    </row>
    <row r="3403" spans="9:9" hidden="1">
      <c r="I3403" s="20"/>
    </row>
    <row r="3404" spans="9:9" hidden="1">
      <c r="I3404" s="20"/>
    </row>
    <row r="3405" spans="9:9" hidden="1">
      <c r="I3405" s="20"/>
    </row>
    <row r="3406" spans="9:9" hidden="1">
      <c r="I3406" s="20"/>
    </row>
    <row r="3407" spans="9:9" hidden="1">
      <c r="I3407" s="20"/>
    </row>
    <row r="3408" spans="9:9" hidden="1">
      <c r="I3408" s="20"/>
    </row>
    <row r="3409" spans="1:16372" hidden="1">
      <c r="I3409" s="20"/>
    </row>
    <row r="3410" spans="1:16372" hidden="1">
      <c r="I3410" s="20"/>
    </row>
    <row r="3411" spans="1:16372" hidden="1">
      <c r="I3411" s="20"/>
    </row>
    <row r="3412" spans="1:16372" hidden="1">
      <c r="I3412" s="20"/>
    </row>
    <row r="3413" spans="1:16372" hidden="1"/>
    <row r="3414" spans="1:16372" hidden="1"/>
    <row r="3415" spans="1:16372" hidden="1"/>
    <row r="3416" spans="1:16372" hidden="1"/>
    <row r="3417" spans="1:16372" hidden="1"/>
    <row r="3418" spans="1:16372" hidden="1"/>
    <row r="3419" spans="1:16372" ht="18.75">
      <c r="A3419" s="410" t="s">
        <v>378</v>
      </c>
      <c r="B3419" s="410"/>
      <c r="C3419" s="410"/>
      <c r="D3419" s="410"/>
      <c r="E3419" s="410"/>
      <c r="F3419" s="410"/>
      <c r="G3419" s="410"/>
      <c r="H3419" s="410"/>
      <c r="I3419" s="410"/>
      <c r="J3419" s="410"/>
      <c r="K3419" s="410"/>
      <c r="L3419" s="410"/>
      <c r="M3419" s="410"/>
      <c r="N3419" s="410"/>
      <c r="O3419" s="410"/>
      <c r="P3419" s="410"/>
      <c r="Q3419" s="410"/>
      <c r="V3419" s="136"/>
      <c r="W3419" s="136"/>
      <c r="X3419" s="38"/>
    </row>
    <row r="3420" spans="1:16372">
      <c r="B3420" s="21">
        <f>COUNT(B3423:B3474)</f>
        <v>52</v>
      </c>
      <c r="C3420" s="21">
        <f t="shared" ref="C3420:I3420" si="48">COUNT(C3423:C3474)</f>
        <v>52</v>
      </c>
      <c r="D3420" s="21">
        <f t="shared" si="48"/>
        <v>52</v>
      </c>
      <c r="E3420" s="21">
        <f t="shared" si="48"/>
        <v>52</v>
      </c>
      <c r="F3420" s="21">
        <f t="shared" si="48"/>
        <v>52</v>
      </c>
      <c r="G3420" s="21">
        <f t="shared" si="48"/>
        <v>52</v>
      </c>
      <c r="H3420" s="21">
        <f t="shared" si="48"/>
        <v>52</v>
      </c>
      <c r="I3420" s="21">
        <f t="shared" si="48"/>
        <v>52</v>
      </c>
      <c r="L3420" s="21">
        <f>COUNT(L3423:L3449)</f>
        <v>27</v>
      </c>
      <c r="M3420" s="21">
        <f t="shared" ref="M3420:T3420" si="49">COUNT(M3423:M3469)</f>
        <v>27</v>
      </c>
      <c r="N3420" s="21">
        <f t="shared" si="49"/>
        <v>27</v>
      </c>
      <c r="O3420" s="21">
        <f t="shared" si="49"/>
        <v>27</v>
      </c>
      <c r="P3420" s="21">
        <f t="shared" si="49"/>
        <v>27</v>
      </c>
      <c r="Q3420" s="21">
        <f t="shared" si="49"/>
        <v>27</v>
      </c>
      <c r="R3420" s="21">
        <f t="shared" si="49"/>
        <v>27</v>
      </c>
      <c r="S3420" s="21">
        <f t="shared" si="49"/>
        <v>27</v>
      </c>
      <c r="T3420" s="21">
        <f t="shared" si="49"/>
        <v>27</v>
      </c>
      <c r="V3420" s="187"/>
      <c r="W3420" s="187"/>
      <c r="X3420" s="39"/>
      <c r="Z3420" s="187"/>
      <c r="AA3420" s="187"/>
      <c r="AB3420" s="40"/>
    </row>
    <row r="3421" spans="1:16372" ht="15" customHeight="1">
      <c r="A3421" s="915" t="s">
        <v>417</v>
      </c>
      <c r="B3421" s="21">
        <f>COUNTA(B3423:B3474)</f>
        <v>52</v>
      </c>
      <c r="C3421" s="21">
        <f t="shared" ref="C3421:I3421" si="50">COUNTA(C3423:C3474)</f>
        <v>52</v>
      </c>
      <c r="D3421" s="21">
        <f t="shared" si="50"/>
        <v>52</v>
      </c>
      <c r="E3421" s="21">
        <f t="shared" si="50"/>
        <v>52</v>
      </c>
      <c r="F3421" s="21">
        <f t="shared" si="50"/>
        <v>52</v>
      </c>
      <c r="G3421" s="21">
        <f t="shared" si="50"/>
        <v>52</v>
      </c>
      <c r="H3421" s="21">
        <f t="shared" si="50"/>
        <v>52</v>
      </c>
      <c r="I3421" s="21">
        <f t="shared" si="50"/>
        <v>52</v>
      </c>
      <c r="J3421" s="905" t="s">
        <v>418</v>
      </c>
      <c r="K3421" s="906" t="s">
        <v>419</v>
      </c>
      <c r="L3421" s="21">
        <f>COUNTA(L3423:L3449)</f>
        <v>27</v>
      </c>
      <c r="M3421" s="21">
        <f t="shared" ref="M3421:T3421" si="51">COUNTA(M3423:M3469)</f>
        <v>27</v>
      </c>
      <c r="N3421" s="21">
        <f t="shared" si="51"/>
        <v>27</v>
      </c>
      <c r="O3421" s="21">
        <f t="shared" si="51"/>
        <v>27</v>
      </c>
      <c r="P3421" s="21">
        <f t="shared" si="51"/>
        <v>27</v>
      </c>
      <c r="Q3421" s="21">
        <f t="shared" si="51"/>
        <v>27</v>
      </c>
      <c r="R3421" s="21">
        <f t="shared" si="51"/>
        <v>27</v>
      </c>
      <c r="S3421" s="21">
        <f t="shared" si="51"/>
        <v>27</v>
      </c>
      <c r="T3421" s="21">
        <f t="shared" si="51"/>
        <v>27</v>
      </c>
      <c r="V3421" s="1">
        <f>heeling</f>
        <v>0</v>
      </c>
      <c r="W3421" s="382">
        <f>sound213</f>
        <v>1540</v>
      </c>
      <c r="X3421" s="186">
        <f>IF((W3421+W3424)&lt;0,W3421,W3421+W3424)</f>
        <v>1540</v>
      </c>
      <c r="Y3421" s="381">
        <f>IF(Y3423=Y3422,Y3422,Interp1(X3422:X3423,Y3422:Y3423,X3421))</f>
        <v>79.924000000000007</v>
      </c>
      <c r="AA3421" s="30"/>
    </row>
    <row r="3422" spans="1:16372" ht="18.75">
      <c r="A3422" s="915"/>
      <c r="B3422" s="36">
        <v>-1</v>
      </c>
      <c r="C3422" s="35">
        <v>0</v>
      </c>
      <c r="D3422" s="35">
        <v>0.5</v>
      </c>
      <c r="E3422" s="35">
        <v>1</v>
      </c>
      <c r="F3422" s="35">
        <v>1.5</v>
      </c>
      <c r="G3422" s="35">
        <v>2</v>
      </c>
      <c r="H3422" s="37">
        <v>3</v>
      </c>
      <c r="I3422" s="21">
        <v>4</v>
      </c>
      <c r="J3422" s="905"/>
      <c r="K3422" s="906"/>
      <c r="L3422" s="21">
        <v>-4</v>
      </c>
      <c r="M3422" s="35">
        <v>-3</v>
      </c>
      <c r="N3422" s="35">
        <v>-2</v>
      </c>
      <c r="O3422" s="35">
        <v>-1</v>
      </c>
      <c r="P3422" s="35">
        <v>0</v>
      </c>
      <c r="Q3422" s="35">
        <v>1</v>
      </c>
      <c r="R3422" s="35">
        <v>2</v>
      </c>
      <c r="S3422" s="35">
        <v>3</v>
      </c>
      <c r="T3422" s="35">
        <v>4</v>
      </c>
      <c r="V3422" s="1">
        <f>IF(tankSound13=soundingPipe13,tankSound13,FLOOR(W3421,incHeel))</f>
        <v>1500</v>
      </c>
      <c r="W3422" s="1">
        <f>Interp2(tank13Heel1,tank13Heel2,tank13Heel3,V3422,V3421)</f>
        <v>0</v>
      </c>
      <c r="X3422" s="1">
        <f>IF(X3421=soundingPipe13,Tank1!X3421,FLOOR(X3421,inc))</f>
        <v>1500</v>
      </c>
      <c r="Y3422" s="42">
        <f>IF(W3427=W3426,W3426,Interp1(V3426:V3427,W3426:W3427,V3425))</f>
        <v>77.355000000000004</v>
      </c>
      <c r="AA3422" s="30"/>
      <c r="AC3422" s="29"/>
      <c r="AD3422" s="29"/>
      <c r="AE3422" s="29"/>
      <c r="AF3422" s="29"/>
      <c r="AG3422" s="29"/>
      <c r="AH3422" s="29"/>
      <c r="AI3422" s="29"/>
      <c r="AJ3422" s="29"/>
      <c r="AK3422" s="29"/>
      <c r="AL3422" s="29"/>
      <c r="AM3422" s="29"/>
      <c r="AN3422" s="29"/>
      <c r="AO3422" s="29"/>
      <c r="AP3422" s="29"/>
      <c r="AQ3422" s="29"/>
      <c r="AR3422" s="29"/>
      <c r="AS3422" s="29"/>
      <c r="AT3422" s="29"/>
      <c r="AU3422" s="29"/>
      <c r="AV3422" s="29"/>
      <c r="AW3422" s="29"/>
      <c r="AX3422" s="29"/>
      <c r="AY3422" s="29"/>
      <c r="AZ3422" s="29"/>
      <c r="BA3422" s="917" t="s">
        <v>78</v>
      </c>
      <c r="BB3422" s="917"/>
      <c r="BC3422" s="917"/>
      <c r="BD3422" s="917"/>
      <c r="BE3422" s="917"/>
      <c r="BF3422" s="917"/>
      <c r="BG3422" s="917"/>
      <c r="BH3422" s="917"/>
      <c r="BI3422" s="917"/>
      <c r="BJ3422" s="917"/>
      <c r="BK3422" s="917"/>
      <c r="BL3422" s="917"/>
      <c r="BM3422" s="917"/>
      <c r="BN3422" s="917"/>
      <c r="BO3422" s="917"/>
      <c r="BP3422" s="917"/>
      <c r="BQ3422" s="917"/>
      <c r="BR3422" s="917"/>
      <c r="BS3422" s="917"/>
      <c r="BT3422" s="917"/>
      <c r="BU3422" s="917"/>
      <c r="BV3422" s="917"/>
      <c r="BW3422" s="917"/>
      <c r="BX3422" s="917"/>
      <c r="BY3422" s="917"/>
      <c r="BZ3422" s="917"/>
      <c r="CA3422" s="917"/>
      <c r="CB3422" s="917"/>
      <c r="CC3422" s="917"/>
      <c r="CD3422" s="917"/>
      <c r="CE3422" s="917"/>
      <c r="CF3422" s="917"/>
      <c r="CG3422" s="917" t="s">
        <v>78</v>
      </c>
      <c r="CH3422" s="917"/>
      <c r="CI3422" s="917"/>
      <c r="CJ3422" s="917"/>
      <c r="CK3422" s="917"/>
      <c r="CL3422" s="917"/>
      <c r="CM3422" s="917"/>
      <c r="CN3422" s="917"/>
      <c r="CO3422" s="917"/>
      <c r="CP3422" s="917"/>
      <c r="CQ3422" s="917"/>
      <c r="CR3422" s="917"/>
      <c r="CS3422" s="917"/>
      <c r="CT3422" s="917"/>
      <c r="CU3422" s="917"/>
      <c r="CV3422" s="917"/>
      <c r="CW3422" s="917"/>
      <c r="CX3422" s="917"/>
      <c r="CY3422" s="917"/>
      <c r="CZ3422" s="917"/>
      <c r="DA3422" s="917"/>
      <c r="DB3422" s="917"/>
      <c r="DC3422" s="917"/>
      <c r="DD3422" s="917"/>
      <c r="DE3422" s="917"/>
      <c r="DF3422" s="917"/>
      <c r="DG3422" s="917"/>
      <c r="DH3422" s="917"/>
      <c r="DI3422" s="917"/>
      <c r="DJ3422" s="917"/>
      <c r="DK3422" s="917"/>
      <c r="DL3422" s="917"/>
      <c r="DM3422" s="917" t="s">
        <v>78</v>
      </c>
      <c r="DN3422" s="917"/>
      <c r="DO3422" s="917"/>
      <c r="DP3422" s="917"/>
      <c r="DQ3422" s="917"/>
      <c r="DR3422" s="917"/>
      <c r="DS3422" s="917"/>
      <c r="DT3422" s="917"/>
      <c r="DU3422" s="917"/>
      <c r="DV3422" s="917"/>
      <c r="DW3422" s="917"/>
      <c r="DX3422" s="917"/>
      <c r="DY3422" s="917"/>
      <c r="DZ3422" s="917"/>
      <c r="EA3422" s="917"/>
      <c r="EB3422" s="917"/>
      <c r="EC3422" s="917"/>
      <c r="ED3422" s="917"/>
      <c r="EE3422" s="917"/>
      <c r="EF3422" s="917"/>
      <c r="EG3422" s="917"/>
      <c r="EH3422" s="917"/>
      <c r="EI3422" s="917"/>
      <c r="EJ3422" s="917"/>
      <c r="EK3422" s="917"/>
      <c r="EL3422" s="917"/>
      <c r="EM3422" s="917"/>
      <c r="EN3422" s="917"/>
      <c r="EO3422" s="917"/>
      <c r="EP3422" s="917"/>
      <c r="EQ3422" s="917"/>
      <c r="ER3422" s="917"/>
      <c r="ES3422" s="917" t="s">
        <v>78</v>
      </c>
      <c r="ET3422" s="917"/>
      <c r="EU3422" s="917"/>
      <c r="EV3422" s="917"/>
      <c r="EW3422" s="917"/>
      <c r="EX3422" s="917"/>
      <c r="EY3422" s="917"/>
      <c r="EZ3422" s="917"/>
      <c r="FA3422" s="917"/>
      <c r="FB3422" s="917"/>
      <c r="FC3422" s="917"/>
      <c r="FD3422" s="917"/>
      <c r="FE3422" s="917"/>
      <c r="FF3422" s="917"/>
      <c r="FG3422" s="917"/>
      <c r="FH3422" s="917"/>
      <c r="FI3422" s="917"/>
      <c r="FJ3422" s="917"/>
      <c r="FK3422" s="917"/>
      <c r="FL3422" s="917"/>
      <c r="FM3422" s="917"/>
      <c r="FN3422" s="917"/>
      <c r="FO3422" s="917"/>
      <c r="FP3422" s="917"/>
      <c r="FQ3422" s="917"/>
      <c r="FR3422" s="917"/>
      <c r="FS3422" s="917"/>
      <c r="FT3422" s="917"/>
      <c r="FU3422" s="917"/>
      <c r="FV3422" s="917"/>
      <c r="FW3422" s="917"/>
      <c r="FX3422" s="917"/>
      <c r="FY3422" s="917" t="s">
        <v>78</v>
      </c>
      <c r="FZ3422" s="917"/>
      <c r="GA3422" s="917"/>
      <c r="GB3422" s="917"/>
      <c r="GC3422" s="917"/>
      <c r="GD3422" s="917"/>
      <c r="GE3422" s="917"/>
      <c r="GF3422" s="917"/>
      <c r="GG3422" s="917"/>
      <c r="GH3422" s="917"/>
      <c r="GI3422" s="917"/>
      <c r="GJ3422" s="917"/>
      <c r="GK3422" s="917"/>
      <c r="GL3422" s="917"/>
      <c r="GM3422" s="917"/>
      <c r="GN3422" s="917"/>
      <c r="GO3422" s="917"/>
      <c r="GP3422" s="917"/>
      <c r="GQ3422" s="917"/>
      <c r="GR3422" s="917"/>
      <c r="GS3422" s="917"/>
      <c r="GT3422" s="917"/>
      <c r="GU3422" s="917"/>
      <c r="GV3422" s="917"/>
      <c r="GW3422" s="917"/>
      <c r="GX3422" s="917"/>
      <c r="GY3422" s="917"/>
      <c r="GZ3422" s="917"/>
      <c r="HA3422" s="917"/>
      <c r="HB3422" s="917"/>
      <c r="HC3422" s="917"/>
      <c r="HD3422" s="917"/>
      <c r="HE3422" s="917" t="s">
        <v>78</v>
      </c>
      <c r="HF3422" s="917"/>
      <c r="HG3422" s="917"/>
      <c r="HH3422" s="917"/>
      <c r="HI3422" s="917"/>
      <c r="HJ3422" s="917"/>
      <c r="HK3422" s="917"/>
      <c r="HL3422" s="917"/>
      <c r="HM3422" s="917"/>
      <c r="HN3422" s="917"/>
      <c r="HO3422" s="917"/>
      <c r="HP3422" s="917"/>
      <c r="HQ3422" s="917"/>
      <c r="HR3422" s="917"/>
      <c r="HS3422" s="917"/>
      <c r="HT3422" s="917"/>
      <c r="HU3422" s="917"/>
      <c r="HV3422" s="917"/>
      <c r="HW3422" s="917"/>
      <c r="HX3422" s="917"/>
      <c r="HY3422" s="917"/>
      <c r="HZ3422" s="917"/>
      <c r="IA3422" s="917"/>
      <c r="IB3422" s="917"/>
      <c r="IC3422" s="917"/>
      <c r="ID3422" s="917"/>
      <c r="IE3422" s="917"/>
      <c r="IF3422" s="917"/>
      <c r="IG3422" s="917"/>
      <c r="IH3422" s="917"/>
      <c r="II3422" s="917"/>
      <c r="IJ3422" s="917"/>
      <c r="IK3422" s="917" t="s">
        <v>78</v>
      </c>
      <c r="IL3422" s="917"/>
      <c r="IM3422" s="917"/>
      <c r="IN3422" s="917"/>
      <c r="IO3422" s="917"/>
      <c r="IP3422" s="917"/>
      <c r="IQ3422" s="917"/>
      <c r="IR3422" s="917"/>
      <c r="IS3422" s="917"/>
      <c r="IT3422" s="917"/>
      <c r="IU3422" s="917"/>
      <c r="IV3422" s="917"/>
      <c r="IW3422" s="917"/>
      <c r="IX3422" s="917"/>
      <c r="IY3422" s="917"/>
      <c r="IZ3422" s="917"/>
      <c r="JA3422" s="917"/>
      <c r="JB3422" s="917"/>
      <c r="JC3422" s="917"/>
      <c r="JD3422" s="917"/>
      <c r="JE3422" s="917"/>
      <c r="JF3422" s="917"/>
      <c r="JG3422" s="917"/>
      <c r="JH3422" s="917"/>
      <c r="JI3422" s="917"/>
      <c r="JJ3422" s="917"/>
      <c r="JK3422" s="917"/>
      <c r="JL3422" s="917"/>
      <c r="JM3422" s="917"/>
      <c r="JN3422" s="917"/>
      <c r="JO3422" s="917"/>
      <c r="JP3422" s="917"/>
      <c r="JQ3422" s="917" t="s">
        <v>78</v>
      </c>
      <c r="JR3422" s="917"/>
      <c r="JS3422" s="917"/>
      <c r="JT3422" s="917"/>
      <c r="JU3422" s="917"/>
      <c r="JV3422" s="917"/>
      <c r="JW3422" s="917"/>
      <c r="JX3422" s="917"/>
      <c r="JY3422" s="917"/>
      <c r="JZ3422" s="917"/>
      <c r="KA3422" s="917"/>
      <c r="KB3422" s="917"/>
      <c r="KC3422" s="917"/>
      <c r="KD3422" s="917"/>
      <c r="KE3422" s="917"/>
      <c r="KF3422" s="917"/>
      <c r="KG3422" s="917"/>
      <c r="KH3422" s="917"/>
      <c r="KI3422" s="917"/>
      <c r="KJ3422" s="917"/>
      <c r="KK3422" s="917"/>
      <c r="KL3422" s="917"/>
      <c r="KM3422" s="917"/>
      <c r="KN3422" s="917"/>
      <c r="KO3422" s="917"/>
      <c r="KP3422" s="917"/>
      <c r="KQ3422" s="917"/>
      <c r="KR3422" s="917"/>
      <c r="KS3422" s="917"/>
      <c r="KT3422" s="917"/>
      <c r="KU3422" s="917"/>
      <c r="KV3422" s="917"/>
      <c r="KW3422" s="917" t="s">
        <v>78</v>
      </c>
      <c r="KX3422" s="917"/>
      <c r="KY3422" s="917"/>
      <c r="KZ3422" s="917"/>
      <c r="LA3422" s="917"/>
      <c r="LB3422" s="917"/>
      <c r="LC3422" s="917"/>
      <c r="LD3422" s="917"/>
      <c r="LE3422" s="917"/>
      <c r="LF3422" s="917"/>
      <c r="LG3422" s="917"/>
      <c r="LH3422" s="917"/>
      <c r="LI3422" s="917"/>
      <c r="LJ3422" s="917"/>
      <c r="LK3422" s="917"/>
      <c r="LL3422" s="917"/>
      <c r="LM3422" s="917"/>
      <c r="LN3422" s="917"/>
      <c r="LO3422" s="917"/>
      <c r="LP3422" s="917"/>
      <c r="LQ3422" s="917"/>
      <c r="LR3422" s="917"/>
      <c r="LS3422" s="917"/>
      <c r="LT3422" s="917"/>
      <c r="LU3422" s="917"/>
      <c r="LV3422" s="917"/>
      <c r="LW3422" s="917"/>
      <c r="LX3422" s="917"/>
      <c r="LY3422" s="917"/>
      <c r="LZ3422" s="917"/>
      <c r="MA3422" s="917"/>
      <c r="MB3422" s="917"/>
      <c r="MC3422" s="917" t="s">
        <v>78</v>
      </c>
      <c r="MD3422" s="917"/>
      <c r="ME3422" s="917"/>
      <c r="MF3422" s="917"/>
      <c r="MG3422" s="917"/>
      <c r="MH3422" s="917"/>
      <c r="MI3422" s="917"/>
      <c r="MJ3422" s="917"/>
      <c r="MK3422" s="917"/>
      <c r="ML3422" s="917"/>
      <c r="MM3422" s="917"/>
      <c r="MN3422" s="917"/>
      <c r="MO3422" s="917"/>
      <c r="MP3422" s="917"/>
      <c r="MQ3422" s="917"/>
      <c r="MR3422" s="917"/>
      <c r="MS3422" s="917"/>
      <c r="MT3422" s="917"/>
      <c r="MU3422" s="917"/>
      <c r="MV3422" s="917"/>
      <c r="MW3422" s="917"/>
      <c r="MX3422" s="917"/>
      <c r="MY3422" s="917"/>
      <c r="MZ3422" s="917"/>
      <c r="NA3422" s="917"/>
      <c r="NB3422" s="917"/>
      <c r="NC3422" s="917"/>
      <c r="ND3422" s="917"/>
      <c r="NE3422" s="917"/>
      <c r="NF3422" s="917"/>
      <c r="NG3422" s="917"/>
      <c r="NH3422" s="917"/>
      <c r="NI3422" s="917" t="s">
        <v>78</v>
      </c>
      <c r="NJ3422" s="917"/>
      <c r="NK3422" s="917"/>
      <c r="NL3422" s="917"/>
      <c r="NM3422" s="917"/>
      <c r="NN3422" s="917"/>
      <c r="NO3422" s="917"/>
      <c r="NP3422" s="917"/>
      <c r="NQ3422" s="917"/>
      <c r="NR3422" s="917"/>
      <c r="NS3422" s="917"/>
      <c r="NT3422" s="917"/>
      <c r="NU3422" s="917"/>
      <c r="NV3422" s="917"/>
      <c r="NW3422" s="917"/>
      <c r="NX3422" s="917"/>
      <c r="NY3422" s="917"/>
      <c r="NZ3422" s="917"/>
      <c r="OA3422" s="917"/>
      <c r="OB3422" s="917"/>
      <c r="OC3422" s="917"/>
      <c r="OD3422" s="917"/>
      <c r="OE3422" s="917"/>
      <c r="OF3422" s="917"/>
      <c r="OG3422" s="917"/>
      <c r="OH3422" s="917"/>
      <c r="OI3422" s="917"/>
      <c r="OJ3422" s="917"/>
      <c r="OK3422" s="917"/>
      <c r="OL3422" s="917"/>
      <c r="OM3422" s="917"/>
      <c r="ON3422" s="917"/>
      <c r="OO3422" s="917" t="s">
        <v>78</v>
      </c>
      <c r="OP3422" s="917"/>
      <c r="OQ3422" s="917"/>
      <c r="OR3422" s="917"/>
      <c r="OS3422" s="917"/>
      <c r="OT3422" s="917"/>
      <c r="OU3422" s="917"/>
      <c r="OV3422" s="917"/>
      <c r="OW3422" s="917"/>
      <c r="OX3422" s="917"/>
      <c r="OY3422" s="917"/>
      <c r="OZ3422" s="917"/>
      <c r="PA3422" s="917"/>
      <c r="PB3422" s="917"/>
      <c r="PC3422" s="917"/>
      <c r="PD3422" s="917"/>
      <c r="PE3422" s="917"/>
      <c r="PF3422" s="917"/>
      <c r="PG3422" s="917"/>
      <c r="PH3422" s="917"/>
      <c r="PI3422" s="917"/>
      <c r="PJ3422" s="917"/>
      <c r="PK3422" s="917"/>
      <c r="PL3422" s="917"/>
      <c r="PM3422" s="917"/>
      <c r="PN3422" s="917"/>
      <c r="PO3422" s="917"/>
      <c r="PP3422" s="917"/>
      <c r="PQ3422" s="917"/>
      <c r="PR3422" s="917"/>
      <c r="PS3422" s="917"/>
      <c r="PT3422" s="917"/>
      <c r="PU3422" s="917" t="s">
        <v>78</v>
      </c>
      <c r="PV3422" s="917"/>
      <c r="PW3422" s="917"/>
      <c r="PX3422" s="917"/>
      <c r="PY3422" s="917"/>
      <c r="PZ3422" s="917"/>
      <c r="QA3422" s="917"/>
      <c r="QB3422" s="917"/>
      <c r="QC3422" s="917"/>
      <c r="QD3422" s="917"/>
      <c r="QE3422" s="917"/>
      <c r="QF3422" s="917"/>
      <c r="QG3422" s="917"/>
      <c r="QH3422" s="917"/>
      <c r="QI3422" s="917"/>
      <c r="QJ3422" s="917"/>
      <c r="QK3422" s="917"/>
      <c r="QL3422" s="917"/>
      <c r="QM3422" s="917"/>
      <c r="QN3422" s="917"/>
      <c r="QO3422" s="917"/>
      <c r="QP3422" s="917"/>
      <c r="QQ3422" s="917"/>
      <c r="QR3422" s="917"/>
      <c r="QS3422" s="917"/>
      <c r="QT3422" s="917"/>
      <c r="QU3422" s="917"/>
      <c r="QV3422" s="917"/>
      <c r="QW3422" s="917"/>
      <c r="QX3422" s="917"/>
      <c r="QY3422" s="917"/>
      <c r="QZ3422" s="917"/>
      <c r="RA3422" s="917" t="s">
        <v>78</v>
      </c>
      <c r="RB3422" s="917"/>
      <c r="RC3422" s="917"/>
      <c r="RD3422" s="917"/>
      <c r="RE3422" s="917"/>
      <c r="RF3422" s="917"/>
      <c r="RG3422" s="917"/>
      <c r="RH3422" s="917"/>
      <c r="RI3422" s="917"/>
      <c r="RJ3422" s="917"/>
      <c r="RK3422" s="917"/>
      <c r="RL3422" s="917"/>
      <c r="RM3422" s="917"/>
      <c r="RN3422" s="917"/>
      <c r="RO3422" s="917"/>
      <c r="RP3422" s="917"/>
      <c r="RQ3422" s="917"/>
      <c r="RR3422" s="917"/>
      <c r="RS3422" s="917"/>
      <c r="RT3422" s="917"/>
      <c r="RU3422" s="917"/>
      <c r="RV3422" s="917"/>
      <c r="RW3422" s="917"/>
      <c r="RX3422" s="917"/>
      <c r="RY3422" s="917"/>
      <c r="RZ3422" s="917"/>
      <c r="SA3422" s="917"/>
      <c r="SB3422" s="917"/>
      <c r="SC3422" s="917"/>
      <c r="SD3422" s="917"/>
      <c r="SE3422" s="917"/>
      <c r="SF3422" s="917"/>
      <c r="SG3422" s="917" t="s">
        <v>78</v>
      </c>
      <c r="SH3422" s="917"/>
      <c r="SI3422" s="917"/>
      <c r="SJ3422" s="917"/>
      <c r="SK3422" s="917"/>
      <c r="SL3422" s="917"/>
      <c r="SM3422" s="917"/>
      <c r="SN3422" s="917"/>
      <c r="SO3422" s="917"/>
      <c r="SP3422" s="917"/>
      <c r="SQ3422" s="917"/>
      <c r="SR3422" s="917"/>
      <c r="SS3422" s="917"/>
      <c r="ST3422" s="917"/>
      <c r="SU3422" s="917"/>
      <c r="SV3422" s="917"/>
      <c r="SW3422" s="917"/>
      <c r="SX3422" s="917"/>
      <c r="SY3422" s="917"/>
      <c r="SZ3422" s="917"/>
      <c r="TA3422" s="917"/>
      <c r="TB3422" s="917"/>
      <c r="TC3422" s="917"/>
      <c r="TD3422" s="917"/>
      <c r="TE3422" s="917"/>
      <c r="TF3422" s="917"/>
      <c r="TG3422" s="917"/>
      <c r="TH3422" s="917"/>
      <c r="TI3422" s="917"/>
      <c r="TJ3422" s="917"/>
      <c r="TK3422" s="917"/>
      <c r="TL3422" s="917"/>
      <c r="TM3422" s="917" t="s">
        <v>78</v>
      </c>
      <c r="TN3422" s="917"/>
      <c r="TO3422" s="917"/>
      <c r="TP3422" s="917"/>
      <c r="TQ3422" s="917"/>
      <c r="TR3422" s="917"/>
      <c r="TS3422" s="917"/>
      <c r="TT3422" s="917"/>
      <c r="TU3422" s="917"/>
      <c r="TV3422" s="917"/>
      <c r="TW3422" s="917"/>
      <c r="TX3422" s="917"/>
      <c r="TY3422" s="917"/>
      <c r="TZ3422" s="917"/>
      <c r="UA3422" s="917"/>
      <c r="UB3422" s="917"/>
      <c r="UC3422" s="917"/>
      <c r="UD3422" s="917"/>
      <c r="UE3422" s="917"/>
      <c r="UF3422" s="917"/>
      <c r="UG3422" s="917"/>
      <c r="UH3422" s="917"/>
      <c r="UI3422" s="917"/>
      <c r="UJ3422" s="917"/>
      <c r="UK3422" s="917"/>
      <c r="UL3422" s="917"/>
      <c r="UM3422" s="917"/>
      <c r="UN3422" s="917"/>
      <c r="UO3422" s="917"/>
      <c r="UP3422" s="917"/>
      <c r="UQ3422" s="917"/>
      <c r="UR3422" s="917"/>
      <c r="US3422" s="917" t="s">
        <v>78</v>
      </c>
      <c r="UT3422" s="917"/>
      <c r="UU3422" s="917"/>
      <c r="UV3422" s="917"/>
      <c r="UW3422" s="917"/>
      <c r="UX3422" s="917"/>
      <c r="UY3422" s="917"/>
      <c r="UZ3422" s="917"/>
      <c r="VA3422" s="917"/>
      <c r="VB3422" s="917"/>
      <c r="VC3422" s="917"/>
      <c r="VD3422" s="917"/>
      <c r="VE3422" s="917"/>
      <c r="VF3422" s="917"/>
      <c r="VG3422" s="917"/>
      <c r="VH3422" s="917"/>
      <c r="VI3422" s="917"/>
      <c r="VJ3422" s="917"/>
      <c r="VK3422" s="917"/>
      <c r="VL3422" s="917"/>
      <c r="VM3422" s="917"/>
      <c r="VN3422" s="917"/>
      <c r="VO3422" s="917"/>
      <c r="VP3422" s="917"/>
      <c r="VQ3422" s="917"/>
      <c r="VR3422" s="917"/>
      <c r="VS3422" s="917"/>
      <c r="VT3422" s="917"/>
      <c r="VU3422" s="917"/>
      <c r="VV3422" s="917"/>
      <c r="VW3422" s="917"/>
      <c r="VX3422" s="917"/>
      <c r="VY3422" s="917" t="s">
        <v>78</v>
      </c>
      <c r="VZ3422" s="917"/>
      <c r="WA3422" s="917"/>
      <c r="WB3422" s="917"/>
      <c r="WC3422" s="917"/>
      <c r="WD3422" s="917"/>
      <c r="WE3422" s="917"/>
      <c r="WF3422" s="917"/>
      <c r="WG3422" s="917"/>
      <c r="WH3422" s="917"/>
      <c r="WI3422" s="917"/>
      <c r="WJ3422" s="917"/>
      <c r="WK3422" s="917"/>
      <c r="WL3422" s="917"/>
      <c r="WM3422" s="917"/>
      <c r="WN3422" s="917"/>
      <c r="WO3422" s="917"/>
      <c r="WP3422" s="917"/>
      <c r="WQ3422" s="917"/>
      <c r="WR3422" s="917"/>
      <c r="WS3422" s="917"/>
      <c r="WT3422" s="917"/>
      <c r="WU3422" s="917"/>
      <c r="WV3422" s="917"/>
      <c r="WW3422" s="917"/>
      <c r="WX3422" s="917"/>
      <c r="WY3422" s="917"/>
      <c r="WZ3422" s="917"/>
      <c r="XA3422" s="917"/>
      <c r="XB3422" s="917"/>
      <c r="XC3422" s="917"/>
      <c r="XD3422" s="917"/>
      <c r="XE3422" s="917" t="s">
        <v>78</v>
      </c>
      <c r="XF3422" s="917"/>
      <c r="XG3422" s="917"/>
      <c r="XH3422" s="917"/>
      <c r="XI3422" s="917"/>
      <c r="XJ3422" s="917"/>
      <c r="XK3422" s="917"/>
      <c r="XL3422" s="917"/>
      <c r="XM3422" s="917"/>
      <c r="XN3422" s="917"/>
      <c r="XO3422" s="917"/>
      <c r="XP3422" s="917"/>
      <c r="XQ3422" s="917"/>
      <c r="XR3422" s="917"/>
      <c r="XS3422" s="917"/>
      <c r="XT3422" s="917"/>
      <c r="XU3422" s="917"/>
      <c r="XV3422" s="917"/>
      <c r="XW3422" s="917"/>
      <c r="XX3422" s="917"/>
      <c r="XY3422" s="917"/>
      <c r="XZ3422" s="917"/>
      <c r="YA3422" s="917"/>
      <c r="YB3422" s="917"/>
      <c r="YC3422" s="917"/>
      <c r="YD3422" s="917"/>
      <c r="YE3422" s="917"/>
      <c r="YF3422" s="917"/>
      <c r="YG3422" s="917"/>
      <c r="YH3422" s="917"/>
      <c r="YI3422" s="917"/>
      <c r="YJ3422" s="917"/>
      <c r="YK3422" s="917" t="s">
        <v>78</v>
      </c>
      <c r="YL3422" s="917"/>
      <c r="YM3422" s="917"/>
      <c r="YN3422" s="917"/>
      <c r="YO3422" s="917"/>
      <c r="YP3422" s="917"/>
      <c r="YQ3422" s="917"/>
      <c r="YR3422" s="917"/>
      <c r="YS3422" s="917"/>
      <c r="YT3422" s="917"/>
      <c r="YU3422" s="917"/>
      <c r="YV3422" s="917"/>
      <c r="YW3422" s="917"/>
      <c r="YX3422" s="917"/>
      <c r="YY3422" s="917"/>
      <c r="YZ3422" s="917"/>
      <c r="ZA3422" s="917"/>
      <c r="ZB3422" s="917"/>
      <c r="ZC3422" s="917"/>
      <c r="ZD3422" s="917"/>
      <c r="ZE3422" s="917"/>
      <c r="ZF3422" s="917"/>
      <c r="ZG3422" s="917"/>
      <c r="ZH3422" s="917"/>
      <c r="ZI3422" s="917"/>
      <c r="ZJ3422" s="917"/>
      <c r="ZK3422" s="917"/>
      <c r="ZL3422" s="917"/>
      <c r="ZM3422" s="917"/>
      <c r="ZN3422" s="917"/>
      <c r="ZO3422" s="917"/>
      <c r="ZP3422" s="917"/>
      <c r="ZQ3422" s="917" t="s">
        <v>78</v>
      </c>
      <c r="ZR3422" s="917"/>
      <c r="ZS3422" s="917"/>
      <c r="ZT3422" s="917"/>
      <c r="ZU3422" s="917"/>
      <c r="ZV3422" s="917"/>
      <c r="ZW3422" s="917"/>
      <c r="ZX3422" s="917"/>
      <c r="ZY3422" s="917"/>
      <c r="ZZ3422" s="917"/>
      <c r="AAA3422" s="917"/>
      <c r="AAB3422" s="917"/>
      <c r="AAC3422" s="917"/>
      <c r="AAD3422" s="917"/>
      <c r="AAE3422" s="917"/>
      <c r="AAF3422" s="917"/>
      <c r="AAG3422" s="917"/>
      <c r="AAH3422" s="917"/>
      <c r="AAI3422" s="917"/>
      <c r="AAJ3422" s="917"/>
      <c r="AAK3422" s="917"/>
      <c r="AAL3422" s="917"/>
      <c r="AAM3422" s="917"/>
      <c r="AAN3422" s="917"/>
      <c r="AAO3422" s="917"/>
      <c r="AAP3422" s="917"/>
      <c r="AAQ3422" s="917"/>
      <c r="AAR3422" s="917"/>
      <c r="AAS3422" s="917"/>
      <c r="AAT3422" s="917"/>
      <c r="AAU3422" s="917"/>
      <c r="AAV3422" s="917"/>
      <c r="AAW3422" s="917" t="s">
        <v>78</v>
      </c>
      <c r="AAX3422" s="917"/>
      <c r="AAY3422" s="917"/>
      <c r="AAZ3422" s="917"/>
      <c r="ABA3422" s="917"/>
      <c r="ABB3422" s="917"/>
      <c r="ABC3422" s="917"/>
      <c r="ABD3422" s="917"/>
      <c r="ABE3422" s="917"/>
      <c r="ABF3422" s="917"/>
      <c r="ABG3422" s="917"/>
      <c r="ABH3422" s="917"/>
      <c r="ABI3422" s="917"/>
      <c r="ABJ3422" s="917"/>
      <c r="ABK3422" s="917"/>
      <c r="ABL3422" s="917"/>
      <c r="ABM3422" s="917"/>
      <c r="ABN3422" s="917"/>
      <c r="ABO3422" s="917"/>
      <c r="ABP3422" s="917"/>
      <c r="ABQ3422" s="917"/>
      <c r="ABR3422" s="917"/>
      <c r="ABS3422" s="917"/>
      <c r="ABT3422" s="917"/>
      <c r="ABU3422" s="917"/>
      <c r="ABV3422" s="917"/>
      <c r="ABW3422" s="917"/>
      <c r="ABX3422" s="917"/>
      <c r="ABY3422" s="917"/>
      <c r="ABZ3422" s="917"/>
      <c r="ACA3422" s="917"/>
      <c r="ACB3422" s="917"/>
      <c r="ACC3422" s="917" t="s">
        <v>78</v>
      </c>
      <c r="ACD3422" s="917"/>
      <c r="ACE3422" s="917"/>
      <c r="ACF3422" s="917"/>
      <c r="ACG3422" s="917"/>
      <c r="ACH3422" s="917"/>
      <c r="ACI3422" s="917"/>
      <c r="ACJ3422" s="917"/>
      <c r="ACK3422" s="917"/>
      <c r="ACL3422" s="917"/>
      <c r="ACM3422" s="917"/>
      <c r="ACN3422" s="917"/>
      <c r="ACO3422" s="917"/>
      <c r="ACP3422" s="917"/>
      <c r="ACQ3422" s="917"/>
      <c r="ACR3422" s="917"/>
      <c r="ACS3422" s="917"/>
      <c r="ACT3422" s="917"/>
      <c r="ACU3422" s="917"/>
      <c r="ACV3422" s="917"/>
      <c r="ACW3422" s="917"/>
      <c r="ACX3422" s="917"/>
      <c r="ACY3422" s="917"/>
      <c r="ACZ3422" s="917"/>
      <c r="ADA3422" s="917"/>
      <c r="ADB3422" s="917"/>
      <c r="ADC3422" s="917"/>
      <c r="ADD3422" s="917"/>
      <c r="ADE3422" s="917"/>
      <c r="ADF3422" s="917"/>
      <c r="ADG3422" s="917"/>
      <c r="ADH3422" s="917"/>
      <c r="ADI3422" s="917" t="s">
        <v>78</v>
      </c>
      <c r="ADJ3422" s="917"/>
      <c r="ADK3422" s="917"/>
      <c r="ADL3422" s="917"/>
      <c r="ADM3422" s="917"/>
      <c r="ADN3422" s="917"/>
      <c r="ADO3422" s="917"/>
      <c r="ADP3422" s="917"/>
      <c r="ADQ3422" s="917"/>
      <c r="ADR3422" s="917"/>
      <c r="ADS3422" s="917"/>
      <c r="ADT3422" s="917"/>
      <c r="ADU3422" s="917"/>
      <c r="ADV3422" s="917"/>
      <c r="ADW3422" s="917"/>
      <c r="ADX3422" s="917"/>
      <c r="ADY3422" s="917"/>
      <c r="ADZ3422" s="917"/>
      <c r="AEA3422" s="917"/>
      <c r="AEB3422" s="917"/>
      <c r="AEC3422" s="917"/>
      <c r="AED3422" s="917"/>
      <c r="AEE3422" s="917"/>
      <c r="AEF3422" s="917"/>
      <c r="AEG3422" s="917"/>
      <c r="AEH3422" s="917"/>
      <c r="AEI3422" s="917"/>
      <c r="AEJ3422" s="917"/>
      <c r="AEK3422" s="917"/>
      <c r="AEL3422" s="917"/>
      <c r="AEM3422" s="917"/>
      <c r="AEN3422" s="917"/>
      <c r="AEO3422" s="917" t="s">
        <v>78</v>
      </c>
      <c r="AEP3422" s="917"/>
      <c r="AEQ3422" s="917"/>
      <c r="AER3422" s="917"/>
      <c r="AES3422" s="917"/>
      <c r="AET3422" s="917"/>
      <c r="AEU3422" s="917"/>
      <c r="AEV3422" s="917"/>
      <c r="AEW3422" s="917"/>
      <c r="AEX3422" s="917"/>
      <c r="AEY3422" s="917"/>
      <c r="AEZ3422" s="917"/>
      <c r="AFA3422" s="917"/>
      <c r="AFB3422" s="917"/>
      <c r="AFC3422" s="917"/>
      <c r="AFD3422" s="917"/>
      <c r="AFE3422" s="917"/>
      <c r="AFF3422" s="917"/>
      <c r="AFG3422" s="917"/>
      <c r="AFH3422" s="917"/>
      <c r="AFI3422" s="917"/>
      <c r="AFJ3422" s="917"/>
      <c r="AFK3422" s="917"/>
      <c r="AFL3422" s="917"/>
      <c r="AFM3422" s="917"/>
      <c r="AFN3422" s="917"/>
      <c r="AFO3422" s="917"/>
      <c r="AFP3422" s="917"/>
      <c r="AFQ3422" s="917"/>
      <c r="AFR3422" s="917"/>
      <c r="AFS3422" s="917"/>
      <c r="AFT3422" s="917"/>
      <c r="AFU3422" s="917" t="s">
        <v>78</v>
      </c>
      <c r="AFV3422" s="917"/>
      <c r="AFW3422" s="917"/>
      <c r="AFX3422" s="917"/>
      <c r="AFY3422" s="917"/>
      <c r="AFZ3422" s="917"/>
      <c r="AGA3422" s="917"/>
      <c r="AGB3422" s="917"/>
      <c r="AGC3422" s="917"/>
      <c r="AGD3422" s="917"/>
      <c r="AGE3422" s="917"/>
      <c r="AGF3422" s="917"/>
      <c r="AGG3422" s="917"/>
      <c r="AGH3422" s="917"/>
      <c r="AGI3422" s="917"/>
      <c r="AGJ3422" s="917"/>
      <c r="AGK3422" s="917"/>
      <c r="AGL3422" s="917"/>
      <c r="AGM3422" s="917"/>
      <c r="AGN3422" s="917"/>
      <c r="AGO3422" s="917"/>
      <c r="AGP3422" s="917"/>
      <c r="AGQ3422" s="917"/>
      <c r="AGR3422" s="917"/>
      <c r="AGS3422" s="917"/>
      <c r="AGT3422" s="917"/>
      <c r="AGU3422" s="917"/>
      <c r="AGV3422" s="917"/>
      <c r="AGW3422" s="917"/>
      <c r="AGX3422" s="917"/>
      <c r="AGY3422" s="917"/>
      <c r="AGZ3422" s="917"/>
      <c r="AHA3422" s="917" t="s">
        <v>78</v>
      </c>
      <c r="AHB3422" s="917"/>
      <c r="AHC3422" s="917"/>
      <c r="AHD3422" s="917"/>
      <c r="AHE3422" s="917"/>
      <c r="AHF3422" s="917"/>
      <c r="AHG3422" s="917"/>
      <c r="AHH3422" s="917"/>
      <c r="AHI3422" s="917"/>
      <c r="AHJ3422" s="917"/>
      <c r="AHK3422" s="917"/>
      <c r="AHL3422" s="917"/>
      <c r="AHM3422" s="917"/>
      <c r="AHN3422" s="917"/>
      <c r="AHO3422" s="917"/>
      <c r="AHP3422" s="917"/>
      <c r="AHQ3422" s="917"/>
      <c r="AHR3422" s="917"/>
      <c r="AHS3422" s="917"/>
      <c r="AHT3422" s="917"/>
      <c r="AHU3422" s="917"/>
      <c r="AHV3422" s="917"/>
      <c r="AHW3422" s="917"/>
      <c r="AHX3422" s="917"/>
      <c r="AHY3422" s="917"/>
      <c r="AHZ3422" s="917"/>
      <c r="AIA3422" s="917"/>
      <c r="AIB3422" s="917"/>
      <c r="AIC3422" s="917"/>
      <c r="AID3422" s="917"/>
      <c r="AIE3422" s="917"/>
      <c r="AIF3422" s="917"/>
      <c r="AIG3422" s="917" t="s">
        <v>78</v>
      </c>
      <c r="AIH3422" s="917"/>
      <c r="AII3422" s="917"/>
      <c r="AIJ3422" s="917"/>
      <c r="AIK3422" s="917"/>
      <c r="AIL3422" s="917"/>
      <c r="AIM3422" s="917"/>
      <c r="AIN3422" s="917"/>
      <c r="AIO3422" s="917"/>
      <c r="AIP3422" s="917"/>
      <c r="AIQ3422" s="917"/>
      <c r="AIR3422" s="917"/>
      <c r="AIS3422" s="917"/>
      <c r="AIT3422" s="917"/>
      <c r="AIU3422" s="917"/>
      <c r="AIV3422" s="917"/>
      <c r="AIW3422" s="917"/>
      <c r="AIX3422" s="917"/>
      <c r="AIY3422" s="917"/>
      <c r="AIZ3422" s="917"/>
      <c r="AJA3422" s="917"/>
      <c r="AJB3422" s="917"/>
      <c r="AJC3422" s="917"/>
      <c r="AJD3422" s="917"/>
      <c r="AJE3422" s="917"/>
      <c r="AJF3422" s="917"/>
      <c r="AJG3422" s="917"/>
      <c r="AJH3422" s="917"/>
      <c r="AJI3422" s="917"/>
      <c r="AJJ3422" s="917"/>
      <c r="AJK3422" s="917"/>
      <c r="AJL3422" s="917"/>
      <c r="AJM3422" s="917" t="s">
        <v>78</v>
      </c>
      <c r="AJN3422" s="917"/>
      <c r="AJO3422" s="917"/>
      <c r="AJP3422" s="917"/>
      <c r="AJQ3422" s="917"/>
      <c r="AJR3422" s="917"/>
      <c r="AJS3422" s="917"/>
      <c r="AJT3422" s="917"/>
      <c r="AJU3422" s="917"/>
      <c r="AJV3422" s="917"/>
      <c r="AJW3422" s="917"/>
      <c r="AJX3422" s="917"/>
      <c r="AJY3422" s="917"/>
      <c r="AJZ3422" s="917"/>
      <c r="AKA3422" s="917"/>
      <c r="AKB3422" s="917"/>
      <c r="AKC3422" s="917"/>
      <c r="AKD3422" s="917"/>
      <c r="AKE3422" s="917"/>
      <c r="AKF3422" s="917"/>
      <c r="AKG3422" s="917"/>
      <c r="AKH3422" s="917"/>
      <c r="AKI3422" s="917"/>
      <c r="AKJ3422" s="917"/>
      <c r="AKK3422" s="917"/>
      <c r="AKL3422" s="917"/>
      <c r="AKM3422" s="917"/>
      <c r="AKN3422" s="917"/>
      <c r="AKO3422" s="917"/>
      <c r="AKP3422" s="917"/>
      <c r="AKQ3422" s="917"/>
      <c r="AKR3422" s="917"/>
      <c r="AKS3422" s="917" t="s">
        <v>78</v>
      </c>
      <c r="AKT3422" s="917"/>
      <c r="AKU3422" s="917"/>
      <c r="AKV3422" s="917"/>
      <c r="AKW3422" s="917"/>
      <c r="AKX3422" s="917"/>
      <c r="AKY3422" s="917"/>
      <c r="AKZ3422" s="917"/>
      <c r="ALA3422" s="917"/>
      <c r="ALB3422" s="917"/>
      <c r="ALC3422" s="917"/>
      <c r="ALD3422" s="917"/>
      <c r="ALE3422" s="917"/>
      <c r="ALF3422" s="917"/>
      <c r="ALG3422" s="917"/>
      <c r="ALH3422" s="917"/>
      <c r="ALI3422" s="917"/>
      <c r="ALJ3422" s="917"/>
      <c r="ALK3422" s="917"/>
      <c r="ALL3422" s="917"/>
      <c r="ALM3422" s="917"/>
      <c r="ALN3422" s="917"/>
      <c r="ALO3422" s="917"/>
      <c r="ALP3422" s="917"/>
      <c r="ALQ3422" s="917"/>
      <c r="ALR3422" s="917"/>
      <c r="ALS3422" s="917"/>
      <c r="ALT3422" s="917"/>
      <c r="ALU3422" s="917"/>
      <c r="ALV3422" s="917"/>
      <c r="ALW3422" s="917"/>
      <c r="ALX3422" s="917"/>
      <c r="ALY3422" s="917" t="s">
        <v>78</v>
      </c>
      <c r="ALZ3422" s="917"/>
      <c r="AMA3422" s="917"/>
      <c r="AMB3422" s="917"/>
      <c r="AMC3422" s="917"/>
      <c r="AMD3422" s="917"/>
      <c r="AME3422" s="917"/>
      <c r="AMF3422" s="917"/>
      <c r="AMG3422" s="917"/>
      <c r="AMH3422" s="917"/>
      <c r="AMI3422" s="917"/>
      <c r="AMJ3422" s="917"/>
      <c r="AMK3422" s="917"/>
      <c r="AML3422" s="917"/>
      <c r="AMM3422" s="917"/>
      <c r="AMN3422" s="917"/>
      <c r="AMO3422" s="917"/>
      <c r="AMP3422" s="917"/>
      <c r="AMQ3422" s="917"/>
      <c r="AMR3422" s="917"/>
      <c r="AMS3422" s="917"/>
      <c r="AMT3422" s="917"/>
      <c r="AMU3422" s="917"/>
      <c r="AMV3422" s="917"/>
      <c r="AMW3422" s="917"/>
      <c r="AMX3422" s="917"/>
      <c r="AMY3422" s="917"/>
      <c r="AMZ3422" s="917"/>
      <c r="ANA3422" s="917"/>
      <c r="ANB3422" s="917"/>
      <c r="ANC3422" s="917"/>
      <c r="AND3422" s="917"/>
      <c r="ANE3422" s="917" t="s">
        <v>78</v>
      </c>
      <c r="ANF3422" s="917"/>
      <c r="ANG3422" s="917"/>
      <c r="ANH3422" s="917"/>
      <c r="ANI3422" s="917"/>
      <c r="ANJ3422" s="917"/>
      <c r="ANK3422" s="917"/>
      <c r="ANL3422" s="917"/>
      <c r="ANM3422" s="917"/>
      <c r="ANN3422" s="917"/>
      <c r="ANO3422" s="917"/>
      <c r="ANP3422" s="917"/>
      <c r="ANQ3422" s="917"/>
      <c r="ANR3422" s="917"/>
      <c r="ANS3422" s="917"/>
      <c r="ANT3422" s="917"/>
      <c r="ANU3422" s="917"/>
      <c r="ANV3422" s="917"/>
      <c r="ANW3422" s="917"/>
      <c r="ANX3422" s="917"/>
      <c r="ANY3422" s="917"/>
      <c r="ANZ3422" s="917"/>
      <c r="AOA3422" s="917"/>
      <c r="AOB3422" s="917"/>
      <c r="AOC3422" s="917"/>
      <c r="AOD3422" s="917"/>
      <c r="AOE3422" s="917"/>
      <c r="AOF3422" s="917"/>
      <c r="AOG3422" s="917"/>
      <c r="AOH3422" s="917"/>
      <c r="AOI3422" s="917"/>
      <c r="AOJ3422" s="917"/>
      <c r="AOK3422" s="917" t="s">
        <v>78</v>
      </c>
      <c r="AOL3422" s="917"/>
      <c r="AOM3422" s="917"/>
      <c r="AON3422" s="917"/>
      <c r="AOO3422" s="917"/>
      <c r="AOP3422" s="917"/>
      <c r="AOQ3422" s="917"/>
      <c r="AOR3422" s="917"/>
      <c r="AOS3422" s="917"/>
      <c r="AOT3422" s="917"/>
      <c r="AOU3422" s="917"/>
      <c r="AOV3422" s="917"/>
      <c r="AOW3422" s="917"/>
      <c r="AOX3422" s="917"/>
      <c r="AOY3422" s="917"/>
      <c r="AOZ3422" s="917"/>
      <c r="APA3422" s="917"/>
      <c r="APB3422" s="917"/>
      <c r="APC3422" s="917"/>
      <c r="APD3422" s="917"/>
      <c r="APE3422" s="917"/>
      <c r="APF3422" s="917"/>
      <c r="APG3422" s="917"/>
      <c r="APH3422" s="917"/>
      <c r="API3422" s="917"/>
      <c r="APJ3422" s="917"/>
      <c r="APK3422" s="917"/>
      <c r="APL3422" s="917"/>
      <c r="APM3422" s="917"/>
      <c r="APN3422" s="917"/>
      <c r="APO3422" s="917"/>
      <c r="APP3422" s="917"/>
      <c r="APQ3422" s="917" t="s">
        <v>78</v>
      </c>
      <c r="APR3422" s="917"/>
      <c r="APS3422" s="917"/>
      <c r="APT3422" s="917"/>
      <c r="APU3422" s="917"/>
      <c r="APV3422" s="917"/>
      <c r="APW3422" s="917"/>
      <c r="APX3422" s="917"/>
      <c r="APY3422" s="917"/>
      <c r="APZ3422" s="917"/>
      <c r="AQA3422" s="917"/>
      <c r="AQB3422" s="917"/>
      <c r="AQC3422" s="917"/>
      <c r="AQD3422" s="917"/>
      <c r="AQE3422" s="917"/>
      <c r="AQF3422" s="917"/>
      <c r="AQG3422" s="917"/>
      <c r="AQH3422" s="917"/>
      <c r="AQI3422" s="917"/>
      <c r="AQJ3422" s="917"/>
      <c r="AQK3422" s="917"/>
      <c r="AQL3422" s="917"/>
      <c r="AQM3422" s="917"/>
      <c r="AQN3422" s="917"/>
      <c r="AQO3422" s="917"/>
      <c r="AQP3422" s="917"/>
      <c r="AQQ3422" s="917"/>
      <c r="AQR3422" s="917"/>
      <c r="AQS3422" s="917"/>
      <c r="AQT3422" s="917"/>
      <c r="AQU3422" s="917"/>
      <c r="AQV3422" s="917"/>
      <c r="AQW3422" s="917" t="s">
        <v>78</v>
      </c>
      <c r="AQX3422" s="917"/>
      <c r="AQY3422" s="917"/>
      <c r="AQZ3422" s="917"/>
      <c r="ARA3422" s="917"/>
      <c r="ARB3422" s="917"/>
      <c r="ARC3422" s="917"/>
      <c r="ARD3422" s="917"/>
      <c r="ARE3422" s="917"/>
      <c r="ARF3422" s="917"/>
      <c r="ARG3422" s="917"/>
      <c r="ARH3422" s="917"/>
      <c r="ARI3422" s="917"/>
      <c r="ARJ3422" s="917"/>
      <c r="ARK3422" s="917"/>
      <c r="ARL3422" s="917"/>
      <c r="ARM3422" s="917"/>
      <c r="ARN3422" s="917"/>
      <c r="ARO3422" s="917"/>
      <c r="ARP3422" s="917"/>
      <c r="ARQ3422" s="917"/>
      <c r="ARR3422" s="917"/>
      <c r="ARS3422" s="917"/>
      <c r="ART3422" s="917"/>
      <c r="ARU3422" s="917"/>
      <c r="ARV3422" s="917"/>
      <c r="ARW3422" s="917"/>
      <c r="ARX3422" s="917"/>
      <c r="ARY3422" s="917"/>
      <c r="ARZ3422" s="917"/>
      <c r="ASA3422" s="917"/>
      <c r="ASB3422" s="917"/>
      <c r="ASC3422" s="917" t="s">
        <v>78</v>
      </c>
      <c r="ASD3422" s="917"/>
      <c r="ASE3422" s="917"/>
      <c r="ASF3422" s="917"/>
      <c r="ASG3422" s="917"/>
      <c r="ASH3422" s="917"/>
      <c r="ASI3422" s="917"/>
      <c r="ASJ3422" s="917"/>
      <c r="ASK3422" s="917"/>
      <c r="ASL3422" s="917"/>
      <c r="ASM3422" s="917"/>
      <c r="ASN3422" s="917"/>
      <c r="ASO3422" s="917"/>
      <c r="ASP3422" s="917"/>
      <c r="ASQ3422" s="917"/>
      <c r="ASR3422" s="917"/>
      <c r="ASS3422" s="917"/>
      <c r="AST3422" s="917"/>
      <c r="ASU3422" s="917"/>
      <c r="ASV3422" s="917"/>
      <c r="ASW3422" s="917"/>
      <c r="ASX3422" s="917"/>
      <c r="ASY3422" s="917"/>
      <c r="ASZ3422" s="917"/>
      <c r="ATA3422" s="917"/>
      <c r="ATB3422" s="917"/>
      <c r="ATC3422" s="917"/>
      <c r="ATD3422" s="917"/>
      <c r="ATE3422" s="917"/>
      <c r="ATF3422" s="917"/>
      <c r="ATG3422" s="917"/>
      <c r="ATH3422" s="917"/>
      <c r="ATI3422" s="917" t="s">
        <v>78</v>
      </c>
      <c r="ATJ3422" s="917"/>
      <c r="ATK3422" s="917"/>
      <c r="ATL3422" s="917"/>
      <c r="ATM3422" s="917"/>
      <c r="ATN3422" s="917"/>
      <c r="ATO3422" s="917"/>
      <c r="ATP3422" s="917"/>
      <c r="ATQ3422" s="917"/>
      <c r="ATR3422" s="917"/>
      <c r="ATS3422" s="917"/>
      <c r="ATT3422" s="917"/>
      <c r="ATU3422" s="917"/>
      <c r="ATV3422" s="917"/>
      <c r="ATW3422" s="917"/>
      <c r="ATX3422" s="917"/>
      <c r="ATY3422" s="917"/>
      <c r="ATZ3422" s="917"/>
      <c r="AUA3422" s="917"/>
      <c r="AUB3422" s="917"/>
      <c r="AUC3422" s="917"/>
      <c r="AUD3422" s="917"/>
      <c r="AUE3422" s="917"/>
      <c r="AUF3422" s="917"/>
      <c r="AUG3422" s="917"/>
      <c r="AUH3422" s="917"/>
      <c r="AUI3422" s="917"/>
      <c r="AUJ3422" s="917"/>
      <c r="AUK3422" s="917"/>
      <c r="AUL3422" s="917"/>
      <c r="AUM3422" s="917"/>
      <c r="AUN3422" s="917"/>
      <c r="AUO3422" s="917" t="s">
        <v>78</v>
      </c>
      <c r="AUP3422" s="917"/>
      <c r="AUQ3422" s="917"/>
      <c r="AUR3422" s="917"/>
      <c r="AUS3422" s="917"/>
      <c r="AUT3422" s="917"/>
      <c r="AUU3422" s="917"/>
      <c r="AUV3422" s="917"/>
      <c r="AUW3422" s="917"/>
      <c r="AUX3422" s="917"/>
      <c r="AUY3422" s="917"/>
      <c r="AUZ3422" s="917"/>
      <c r="AVA3422" s="917"/>
      <c r="AVB3422" s="917"/>
      <c r="AVC3422" s="917"/>
      <c r="AVD3422" s="917"/>
      <c r="AVE3422" s="917"/>
      <c r="AVF3422" s="917"/>
      <c r="AVG3422" s="917"/>
      <c r="AVH3422" s="917"/>
      <c r="AVI3422" s="917"/>
      <c r="AVJ3422" s="917"/>
      <c r="AVK3422" s="917"/>
      <c r="AVL3422" s="917"/>
      <c r="AVM3422" s="917"/>
      <c r="AVN3422" s="917"/>
      <c r="AVO3422" s="917"/>
      <c r="AVP3422" s="917"/>
      <c r="AVQ3422" s="917"/>
      <c r="AVR3422" s="917"/>
      <c r="AVS3422" s="917"/>
      <c r="AVT3422" s="917"/>
      <c r="AVU3422" s="917" t="s">
        <v>78</v>
      </c>
      <c r="AVV3422" s="917"/>
      <c r="AVW3422" s="917"/>
      <c r="AVX3422" s="917"/>
      <c r="AVY3422" s="917"/>
      <c r="AVZ3422" s="917"/>
      <c r="AWA3422" s="917"/>
      <c r="AWB3422" s="917"/>
      <c r="AWC3422" s="917"/>
      <c r="AWD3422" s="917"/>
      <c r="AWE3422" s="917"/>
      <c r="AWF3422" s="917"/>
      <c r="AWG3422" s="917"/>
      <c r="AWH3422" s="917"/>
      <c r="AWI3422" s="917"/>
      <c r="AWJ3422" s="917"/>
      <c r="AWK3422" s="917"/>
      <c r="AWL3422" s="917"/>
      <c r="AWM3422" s="917"/>
      <c r="AWN3422" s="917"/>
      <c r="AWO3422" s="917"/>
      <c r="AWP3422" s="917"/>
      <c r="AWQ3422" s="917"/>
      <c r="AWR3422" s="917"/>
      <c r="AWS3422" s="917"/>
      <c r="AWT3422" s="917"/>
      <c r="AWU3422" s="917"/>
      <c r="AWV3422" s="917"/>
      <c r="AWW3422" s="917"/>
      <c r="AWX3422" s="917"/>
      <c r="AWY3422" s="917"/>
      <c r="AWZ3422" s="917"/>
      <c r="AXA3422" s="917" t="s">
        <v>78</v>
      </c>
      <c r="AXB3422" s="917"/>
      <c r="AXC3422" s="917"/>
      <c r="AXD3422" s="917"/>
      <c r="AXE3422" s="917"/>
      <c r="AXF3422" s="917"/>
      <c r="AXG3422" s="917"/>
      <c r="AXH3422" s="917"/>
      <c r="AXI3422" s="917"/>
      <c r="AXJ3422" s="917"/>
      <c r="AXK3422" s="917"/>
      <c r="AXL3422" s="917"/>
      <c r="AXM3422" s="917"/>
      <c r="AXN3422" s="917"/>
      <c r="AXO3422" s="917"/>
      <c r="AXP3422" s="917"/>
      <c r="AXQ3422" s="917"/>
      <c r="AXR3422" s="917"/>
      <c r="AXS3422" s="917"/>
      <c r="AXT3422" s="917"/>
      <c r="AXU3422" s="917"/>
      <c r="AXV3422" s="917"/>
      <c r="AXW3422" s="917"/>
      <c r="AXX3422" s="917"/>
      <c r="AXY3422" s="917"/>
      <c r="AXZ3422" s="917"/>
      <c r="AYA3422" s="917"/>
      <c r="AYB3422" s="917"/>
      <c r="AYC3422" s="917"/>
      <c r="AYD3422" s="917"/>
      <c r="AYE3422" s="917"/>
      <c r="AYF3422" s="917"/>
      <c r="AYG3422" s="917" t="s">
        <v>78</v>
      </c>
      <c r="AYH3422" s="917"/>
      <c r="AYI3422" s="917"/>
      <c r="AYJ3422" s="917"/>
      <c r="AYK3422" s="917"/>
      <c r="AYL3422" s="917"/>
      <c r="AYM3422" s="917"/>
      <c r="AYN3422" s="917"/>
      <c r="AYO3422" s="917"/>
      <c r="AYP3422" s="917"/>
      <c r="AYQ3422" s="917"/>
      <c r="AYR3422" s="917"/>
      <c r="AYS3422" s="917"/>
      <c r="AYT3422" s="917"/>
      <c r="AYU3422" s="917"/>
      <c r="AYV3422" s="917"/>
      <c r="AYW3422" s="917"/>
      <c r="AYX3422" s="917"/>
      <c r="AYY3422" s="917"/>
      <c r="AYZ3422" s="917"/>
      <c r="AZA3422" s="917"/>
      <c r="AZB3422" s="917"/>
      <c r="AZC3422" s="917"/>
      <c r="AZD3422" s="917"/>
      <c r="AZE3422" s="917"/>
      <c r="AZF3422" s="917"/>
      <c r="AZG3422" s="917"/>
      <c r="AZH3422" s="917"/>
      <c r="AZI3422" s="917"/>
      <c r="AZJ3422" s="917"/>
      <c r="AZK3422" s="917"/>
      <c r="AZL3422" s="917"/>
      <c r="AZM3422" s="917" t="s">
        <v>78</v>
      </c>
      <c r="AZN3422" s="917"/>
      <c r="AZO3422" s="917"/>
      <c r="AZP3422" s="917"/>
      <c r="AZQ3422" s="917"/>
      <c r="AZR3422" s="917"/>
      <c r="AZS3422" s="917"/>
      <c r="AZT3422" s="917"/>
      <c r="AZU3422" s="917"/>
      <c r="AZV3422" s="917"/>
      <c r="AZW3422" s="917"/>
      <c r="AZX3422" s="917"/>
      <c r="AZY3422" s="917"/>
      <c r="AZZ3422" s="917"/>
      <c r="BAA3422" s="917"/>
      <c r="BAB3422" s="917"/>
      <c r="BAC3422" s="917"/>
      <c r="BAD3422" s="917"/>
      <c r="BAE3422" s="917"/>
      <c r="BAF3422" s="917"/>
      <c r="BAG3422" s="917"/>
      <c r="BAH3422" s="917"/>
      <c r="BAI3422" s="917"/>
      <c r="BAJ3422" s="917"/>
      <c r="BAK3422" s="917"/>
      <c r="BAL3422" s="917"/>
      <c r="BAM3422" s="917"/>
      <c r="BAN3422" s="917"/>
      <c r="BAO3422" s="917"/>
      <c r="BAP3422" s="917"/>
      <c r="BAQ3422" s="917"/>
      <c r="BAR3422" s="917"/>
      <c r="BAS3422" s="917" t="s">
        <v>78</v>
      </c>
      <c r="BAT3422" s="917"/>
      <c r="BAU3422" s="917"/>
      <c r="BAV3422" s="917"/>
      <c r="BAW3422" s="917"/>
      <c r="BAX3422" s="917"/>
      <c r="BAY3422" s="917"/>
      <c r="BAZ3422" s="917"/>
      <c r="BBA3422" s="917"/>
      <c r="BBB3422" s="917"/>
      <c r="BBC3422" s="917"/>
      <c r="BBD3422" s="917"/>
      <c r="BBE3422" s="917"/>
      <c r="BBF3422" s="917"/>
      <c r="BBG3422" s="917"/>
      <c r="BBH3422" s="917"/>
      <c r="BBI3422" s="917"/>
      <c r="BBJ3422" s="917"/>
      <c r="BBK3422" s="917"/>
      <c r="BBL3422" s="917"/>
      <c r="BBM3422" s="917"/>
      <c r="BBN3422" s="917"/>
      <c r="BBO3422" s="917"/>
      <c r="BBP3422" s="917"/>
      <c r="BBQ3422" s="917"/>
      <c r="BBR3422" s="917"/>
      <c r="BBS3422" s="917"/>
      <c r="BBT3422" s="917"/>
      <c r="BBU3422" s="917"/>
      <c r="BBV3422" s="917"/>
      <c r="BBW3422" s="917"/>
      <c r="BBX3422" s="917"/>
      <c r="BBY3422" s="917" t="s">
        <v>78</v>
      </c>
      <c r="BBZ3422" s="917"/>
      <c r="BCA3422" s="917"/>
      <c r="BCB3422" s="917"/>
      <c r="BCC3422" s="917"/>
      <c r="BCD3422" s="917"/>
      <c r="BCE3422" s="917"/>
      <c r="BCF3422" s="917"/>
      <c r="BCG3422" s="917"/>
      <c r="BCH3422" s="917"/>
      <c r="BCI3422" s="917"/>
      <c r="BCJ3422" s="917"/>
      <c r="BCK3422" s="917"/>
      <c r="BCL3422" s="917"/>
      <c r="BCM3422" s="917"/>
      <c r="BCN3422" s="917"/>
      <c r="BCO3422" s="917"/>
      <c r="BCP3422" s="917"/>
      <c r="BCQ3422" s="917"/>
      <c r="BCR3422" s="917"/>
      <c r="BCS3422" s="917"/>
      <c r="BCT3422" s="917"/>
      <c r="BCU3422" s="917"/>
      <c r="BCV3422" s="917"/>
      <c r="BCW3422" s="917"/>
      <c r="BCX3422" s="917"/>
      <c r="BCY3422" s="917"/>
      <c r="BCZ3422" s="917"/>
      <c r="BDA3422" s="917"/>
      <c r="BDB3422" s="917"/>
      <c r="BDC3422" s="917"/>
      <c r="BDD3422" s="917"/>
      <c r="BDE3422" s="917" t="s">
        <v>78</v>
      </c>
      <c r="BDF3422" s="917"/>
      <c r="BDG3422" s="917"/>
      <c r="BDH3422" s="917"/>
      <c r="BDI3422" s="917"/>
      <c r="BDJ3422" s="917"/>
      <c r="BDK3422" s="917"/>
      <c r="BDL3422" s="917"/>
      <c r="BDM3422" s="917"/>
      <c r="BDN3422" s="917"/>
      <c r="BDO3422" s="917"/>
      <c r="BDP3422" s="917"/>
      <c r="BDQ3422" s="917"/>
      <c r="BDR3422" s="917"/>
      <c r="BDS3422" s="917"/>
      <c r="BDT3422" s="917"/>
      <c r="BDU3422" s="917"/>
      <c r="BDV3422" s="917"/>
      <c r="BDW3422" s="917"/>
      <c r="BDX3422" s="917"/>
      <c r="BDY3422" s="917"/>
      <c r="BDZ3422" s="917"/>
      <c r="BEA3422" s="917"/>
      <c r="BEB3422" s="917"/>
      <c r="BEC3422" s="917"/>
      <c r="BED3422" s="917"/>
      <c r="BEE3422" s="917"/>
      <c r="BEF3422" s="917"/>
      <c r="BEG3422" s="917"/>
      <c r="BEH3422" s="917"/>
      <c r="BEI3422" s="917"/>
      <c r="BEJ3422" s="917"/>
      <c r="BEK3422" s="917" t="s">
        <v>78</v>
      </c>
      <c r="BEL3422" s="917"/>
      <c r="BEM3422" s="917"/>
      <c r="BEN3422" s="917"/>
      <c r="BEO3422" s="917"/>
      <c r="BEP3422" s="917"/>
      <c r="BEQ3422" s="917"/>
      <c r="BER3422" s="917"/>
      <c r="BES3422" s="917"/>
      <c r="BET3422" s="917"/>
      <c r="BEU3422" s="917"/>
      <c r="BEV3422" s="917"/>
      <c r="BEW3422" s="917"/>
      <c r="BEX3422" s="917"/>
      <c r="BEY3422" s="917"/>
      <c r="BEZ3422" s="917"/>
      <c r="BFA3422" s="917"/>
      <c r="BFB3422" s="917"/>
      <c r="BFC3422" s="917"/>
      <c r="BFD3422" s="917"/>
      <c r="BFE3422" s="917"/>
      <c r="BFF3422" s="917"/>
      <c r="BFG3422" s="917"/>
      <c r="BFH3422" s="917"/>
      <c r="BFI3422" s="917"/>
      <c r="BFJ3422" s="917"/>
      <c r="BFK3422" s="917"/>
      <c r="BFL3422" s="917"/>
      <c r="BFM3422" s="917"/>
      <c r="BFN3422" s="917"/>
      <c r="BFO3422" s="917"/>
      <c r="BFP3422" s="917"/>
      <c r="BFQ3422" s="917" t="s">
        <v>78</v>
      </c>
      <c r="BFR3422" s="917"/>
      <c r="BFS3422" s="917"/>
      <c r="BFT3422" s="917"/>
      <c r="BFU3422" s="917"/>
      <c r="BFV3422" s="917"/>
      <c r="BFW3422" s="917"/>
      <c r="BFX3422" s="917"/>
      <c r="BFY3422" s="917"/>
      <c r="BFZ3422" s="917"/>
      <c r="BGA3422" s="917"/>
      <c r="BGB3422" s="917"/>
      <c r="BGC3422" s="917"/>
      <c r="BGD3422" s="917"/>
      <c r="BGE3422" s="917"/>
      <c r="BGF3422" s="917"/>
      <c r="BGG3422" s="917"/>
      <c r="BGH3422" s="917"/>
      <c r="BGI3422" s="917"/>
      <c r="BGJ3422" s="917"/>
      <c r="BGK3422" s="917"/>
      <c r="BGL3422" s="917"/>
      <c r="BGM3422" s="917"/>
      <c r="BGN3422" s="917"/>
      <c r="BGO3422" s="917"/>
      <c r="BGP3422" s="917"/>
      <c r="BGQ3422" s="917"/>
      <c r="BGR3422" s="917"/>
      <c r="BGS3422" s="917"/>
      <c r="BGT3422" s="917"/>
      <c r="BGU3422" s="917"/>
      <c r="BGV3422" s="917"/>
      <c r="BGW3422" s="917" t="s">
        <v>78</v>
      </c>
      <c r="BGX3422" s="917"/>
      <c r="BGY3422" s="917"/>
      <c r="BGZ3422" s="917"/>
      <c r="BHA3422" s="917"/>
      <c r="BHB3422" s="917"/>
      <c r="BHC3422" s="917"/>
      <c r="BHD3422" s="917"/>
      <c r="BHE3422" s="917"/>
      <c r="BHF3422" s="917"/>
      <c r="BHG3422" s="917"/>
      <c r="BHH3422" s="917"/>
      <c r="BHI3422" s="917"/>
      <c r="BHJ3422" s="917"/>
      <c r="BHK3422" s="917"/>
      <c r="BHL3422" s="917"/>
      <c r="BHM3422" s="917"/>
      <c r="BHN3422" s="917"/>
      <c r="BHO3422" s="917"/>
      <c r="BHP3422" s="917"/>
      <c r="BHQ3422" s="917"/>
      <c r="BHR3422" s="917"/>
      <c r="BHS3422" s="917"/>
      <c r="BHT3422" s="917"/>
      <c r="BHU3422" s="917"/>
      <c r="BHV3422" s="917"/>
      <c r="BHW3422" s="917"/>
      <c r="BHX3422" s="917"/>
      <c r="BHY3422" s="917"/>
      <c r="BHZ3422" s="917"/>
      <c r="BIA3422" s="917"/>
      <c r="BIB3422" s="917"/>
      <c r="BIC3422" s="917" t="s">
        <v>78</v>
      </c>
      <c r="BID3422" s="917"/>
      <c r="BIE3422" s="917"/>
      <c r="BIF3422" s="917"/>
      <c r="BIG3422" s="917"/>
      <c r="BIH3422" s="917"/>
      <c r="BII3422" s="917"/>
      <c r="BIJ3422" s="917"/>
      <c r="BIK3422" s="917"/>
      <c r="BIL3422" s="917"/>
      <c r="BIM3422" s="917"/>
      <c r="BIN3422" s="917"/>
      <c r="BIO3422" s="917"/>
      <c r="BIP3422" s="917"/>
      <c r="BIQ3422" s="917"/>
      <c r="BIR3422" s="917"/>
      <c r="BIS3422" s="917"/>
      <c r="BIT3422" s="917"/>
      <c r="BIU3422" s="917"/>
      <c r="BIV3422" s="917"/>
      <c r="BIW3422" s="917"/>
      <c r="BIX3422" s="917"/>
      <c r="BIY3422" s="917"/>
      <c r="BIZ3422" s="917"/>
      <c r="BJA3422" s="917"/>
      <c r="BJB3422" s="917"/>
      <c r="BJC3422" s="917"/>
      <c r="BJD3422" s="917"/>
      <c r="BJE3422" s="917"/>
      <c r="BJF3422" s="917"/>
      <c r="BJG3422" s="917"/>
      <c r="BJH3422" s="917"/>
      <c r="BJI3422" s="917" t="s">
        <v>78</v>
      </c>
      <c r="BJJ3422" s="917"/>
      <c r="BJK3422" s="917"/>
      <c r="BJL3422" s="917"/>
      <c r="BJM3422" s="917"/>
      <c r="BJN3422" s="917"/>
      <c r="BJO3422" s="917"/>
      <c r="BJP3422" s="917"/>
      <c r="BJQ3422" s="917"/>
      <c r="BJR3422" s="917"/>
      <c r="BJS3422" s="917"/>
      <c r="BJT3422" s="917"/>
      <c r="BJU3422" s="917"/>
      <c r="BJV3422" s="917"/>
      <c r="BJW3422" s="917"/>
      <c r="BJX3422" s="917"/>
      <c r="BJY3422" s="917"/>
      <c r="BJZ3422" s="917"/>
      <c r="BKA3422" s="917"/>
      <c r="BKB3422" s="917"/>
      <c r="BKC3422" s="917"/>
      <c r="BKD3422" s="917"/>
      <c r="BKE3422" s="917"/>
      <c r="BKF3422" s="917"/>
      <c r="BKG3422" s="917"/>
      <c r="BKH3422" s="917"/>
      <c r="BKI3422" s="917"/>
      <c r="BKJ3422" s="917"/>
      <c r="BKK3422" s="917"/>
      <c r="BKL3422" s="917"/>
      <c r="BKM3422" s="917"/>
      <c r="BKN3422" s="917"/>
      <c r="BKO3422" s="917" t="s">
        <v>78</v>
      </c>
      <c r="BKP3422" s="917"/>
      <c r="BKQ3422" s="917"/>
      <c r="BKR3422" s="917"/>
      <c r="BKS3422" s="917"/>
      <c r="BKT3422" s="917"/>
      <c r="BKU3422" s="917"/>
      <c r="BKV3422" s="917"/>
      <c r="BKW3422" s="917"/>
      <c r="BKX3422" s="917"/>
      <c r="BKY3422" s="917"/>
      <c r="BKZ3422" s="917"/>
      <c r="BLA3422" s="917"/>
      <c r="BLB3422" s="917"/>
      <c r="BLC3422" s="917"/>
      <c r="BLD3422" s="917"/>
      <c r="BLE3422" s="917"/>
      <c r="BLF3422" s="917"/>
      <c r="BLG3422" s="917"/>
      <c r="BLH3422" s="917"/>
      <c r="BLI3422" s="917"/>
      <c r="BLJ3422" s="917"/>
      <c r="BLK3422" s="917"/>
      <c r="BLL3422" s="917"/>
      <c r="BLM3422" s="917"/>
      <c r="BLN3422" s="917"/>
      <c r="BLO3422" s="917"/>
      <c r="BLP3422" s="917"/>
      <c r="BLQ3422" s="917"/>
      <c r="BLR3422" s="917"/>
      <c r="BLS3422" s="917"/>
      <c r="BLT3422" s="917"/>
      <c r="BLU3422" s="917" t="s">
        <v>78</v>
      </c>
      <c r="BLV3422" s="917"/>
      <c r="BLW3422" s="917"/>
      <c r="BLX3422" s="917"/>
      <c r="BLY3422" s="917"/>
      <c r="BLZ3422" s="917"/>
      <c r="BMA3422" s="917"/>
      <c r="BMB3422" s="917"/>
      <c r="BMC3422" s="917"/>
      <c r="BMD3422" s="917"/>
      <c r="BME3422" s="917"/>
      <c r="BMF3422" s="917"/>
      <c r="BMG3422" s="917"/>
      <c r="BMH3422" s="917"/>
      <c r="BMI3422" s="917"/>
      <c r="BMJ3422" s="917"/>
      <c r="BMK3422" s="917"/>
      <c r="BML3422" s="917"/>
      <c r="BMM3422" s="917"/>
      <c r="BMN3422" s="917"/>
      <c r="BMO3422" s="917"/>
      <c r="BMP3422" s="917"/>
      <c r="BMQ3422" s="917"/>
      <c r="BMR3422" s="917"/>
      <c r="BMS3422" s="917"/>
      <c r="BMT3422" s="917"/>
      <c r="BMU3422" s="917"/>
      <c r="BMV3422" s="917"/>
      <c r="BMW3422" s="917"/>
      <c r="BMX3422" s="917"/>
      <c r="BMY3422" s="917"/>
      <c r="BMZ3422" s="917"/>
      <c r="BNA3422" s="917" t="s">
        <v>78</v>
      </c>
      <c r="BNB3422" s="917"/>
      <c r="BNC3422" s="917"/>
      <c r="BND3422" s="917"/>
      <c r="BNE3422" s="917"/>
      <c r="BNF3422" s="917"/>
      <c r="BNG3422" s="917"/>
      <c r="BNH3422" s="917"/>
      <c r="BNI3422" s="917"/>
      <c r="BNJ3422" s="917"/>
      <c r="BNK3422" s="917"/>
      <c r="BNL3422" s="917"/>
      <c r="BNM3422" s="917"/>
      <c r="BNN3422" s="917"/>
      <c r="BNO3422" s="917"/>
      <c r="BNP3422" s="917"/>
      <c r="BNQ3422" s="917"/>
      <c r="BNR3422" s="917"/>
      <c r="BNS3422" s="917"/>
      <c r="BNT3422" s="917"/>
      <c r="BNU3422" s="917"/>
      <c r="BNV3422" s="917"/>
      <c r="BNW3422" s="917"/>
      <c r="BNX3422" s="917"/>
      <c r="BNY3422" s="917"/>
      <c r="BNZ3422" s="917"/>
      <c r="BOA3422" s="917"/>
      <c r="BOB3422" s="917"/>
      <c r="BOC3422" s="917"/>
      <c r="BOD3422" s="917"/>
      <c r="BOE3422" s="917"/>
      <c r="BOF3422" s="917"/>
      <c r="BOG3422" s="917" t="s">
        <v>78</v>
      </c>
      <c r="BOH3422" s="917"/>
      <c r="BOI3422" s="917"/>
      <c r="BOJ3422" s="917"/>
      <c r="BOK3422" s="917"/>
      <c r="BOL3422" s="917"/>
      <c r="BOM3422" s="917"/>
      <c r="BON3422" s="917"/>
      <c r="BOO3422" s="917"/>
      <c r="BOP3422" s="917"/>
      <c r="BOQ3422" s="917"/>
      <c r="BOR3422" s="917"/>
      <c r="BOS3422" s="917"/>
      <c r="BOT3422" s="917"/>
      <c r="BOU3422" s="917"/>
      <c r="BOV3422" s="917"/>
      <c r="BOW3422" s="917"/>
      <c r="BOX3422" s="917"/>
      <c r="BOY3422" s="917"/>
      <c r="BOZ3422" s="917"/>
      <c r="BPA3422" s="917"/>
      <c r="BPB3422" s="917"/>
      <c r="BPC3422" s="917"/>
      <c r="BPD3422" s="917"/>
      <c r="BPE3422" s="917"/>
      <c r="BPF3422" s="917"/>
      <c r="BPG3422" s="917"/>
      <c r="BPH3422" s="917"/>
      <c r="BPI3422" s="917"/>
      <c r="BPJ3422" s="917"/>
      <c r="BPK3422" s="917"/>
      <c r="BPL3422" s="917"/>
      <c r="BPM3422" s="917" t="s">
        <v>78</v>
      </c>
      <c r="BPN3422" s="917"/>
      <c r="BPO3422" s="917"/>
      <c r="BPP3422" s="917"/>
      <c r="BPQ3422" s="917"/>
      <c r="BPR3422" s="917"/>
      <c r="BPS3422" s="917"/>
      <c r="BPT3422" s="917"/>
      <c r="BPU3422" s="917"/>
      <c r="BPV3422" s="917"/>
      <c r="BPW3422" s="917"/>
      <c r="BPX3422" s="917"/>
      <c r="BPY3422" s="917"/>
      <c r="BPZ3422" s="917"/>
      <c r="BQA3422" s="917"/>
      <c r="BQB3422" s="917"/>
      <c r="BQC3422" s="917"/>
      <c r="BQD3422" s="917"/>
      <c r="BQE3422" s="917"/>
      <c r="BQF3422" s="917"/>
      <c r="BQG3422" s="917"/>
      <c r="BQH3422" s="917"/>
      <c r="BQI3422" s="917"/>
      <c r="BQJ3422" s="917"/>
      <c r="BQK3422" s="917"/>
      <c r="BQL3422" s="917"/>
      <c r="BQM3422" s="917"/>
      <c r="BQN3422" s="917"/>
      <c r="BQO3422" s="917"/>
      <c r="BQP3422" s="917"/>
      <c r="BQQ3422" s="917"/>
      <c r="BQR3422" s="917"/>
      <c r="BQS3422" s="917" t="s">
        <v>78</v>
      </c>
      <c r="BQT3422" s="917"/>
      <c r="BQU3422" s="917"/>
      <c r="BQV3422" s="917"/>
      <c r="BQW3422" s="917"/>
      <c r="BQX3422" s="917"/>
      <c r="BQY3422" s="917"/>
      <c r="BQZ3422" s="917"/>
      <c r="BRA3422" s="917"/>
      <c r="BRB3422" s="917"/>
      <c r="BRC3422" s="917"/>
      <c r="BRD3422" s="917"/>
      <c r="BRE3422" s="917"/>
      <c r="BRF3422" s="917"/>
      <c r="BRG3422" s="917"/>
      <c r="BRH3422" s="917"/>
      <c r="BRI3422" s="917"/>
      <c r="BRJ3422" s="917"/>
      <c r="BRK3422" s="917"/>
      <c r="BRL3422" s="917"/>
      <c r="BRM3422" s="917"/>
      <c r="BRN3422" s="917"/>
      <c r="BRO3422" s="917"/>
      <c r="BRP3422" s="917"/>
      <c r="BRQ3422" s="917"/>
      <c r="BRR3422" s="917"/>
      <c r="BRS3422" s="917"/>
      <c r="BRT3422" s="917"/>
      <c r="BRU3422" s="917"/>
      <c r="BRV3422" s="917"/>
      <c r="BRW3422" s="917"/>
      <c r="BRX3422" s="917"/>
      <c r="BRY3422" s="917" t="s">
        <v>78</v>
      </c>
      <c r="BRZ3422" s="917"/>
      <c r="BSA3422" s="917"/>
      <c r="BSB3422" s="917"/>
      <c r="BSC3422" s="917"/>
      <c r="BSD3422" s="917"/>
      <c r="BSE3422" s="917"/>
      <c r="BSF3422" s="917"/>
      <c r="BSG3422" s="917"/>
      <c r="BSH3422" s="917"/>
      <c r="BSI3422" s="917"/>
      <c r="BSJ3422" s="917"/>
      <c r="BSK3422" s="917"/>
      <c r="BSL3422" s="917"/>
      <c r="BSM3422" s="917"/>
      <c r="BSN3422" s="917"/>
      <c r="BSO3422" s="917"/>
      <c r="BSP3422" s="917"/>
      <c r="BSQ3422" s="917"/>
      <c r="BSR3422" s="917"/>
      <c r="BSS3422" s="917"/>
      <c r="BST3422" s="917"/>
      <c r="BSU3422" s="917"/>
      <c r="BSV3422" s="917"/>
      <c r="BSW3422" s="917"/>
      <c r="BSX3422" s="917"/>
      <c r="BSY3422" s="917"/>
      <c r="BSZ3422" s="917"/>
      <c r="BTA3422" s="917"/>
      <c r="BTB3422" s="917"/>
      <c r="BTC3422" s="917"/>
      <c r="BTD3422" s="917"/>
      <c r="BTE3422" s="917" t="s">
        <v>78</v>
      </c>
      <c r="BTF3422" s="917"/>
      <c r="BTG3422" s="917"/>
      <c r="BTH3422" s="917"/>
      <c r="BTI3422" s="917"/>
      <c r="BTJ3422" s="917"/>
      <c r="BTK3422" s="917"/>
      <c r="BTL3422" s="917"/>
      <c r="BTM3422" s="917"/>
      <c r="BTN3422" s="917"/>
      <c r="BTO3422" s="917"/>
      <c r="BTP3422" s="917"/>
      <c r="BTQ3422" s="917"/>
      <c r="BTR3422" s="917"/>
      <c r="BTS3422" s="917"/>
      <c r="BTT3422" s="917"/>
      <c r="BTU3422" s="917"/>
      <c r="BTV3422" s="917"/>
      <c r="BTW3422" s="917"/>
      <c r="BTX3422" s="917"/>
      <c r="BTY3422" s="917"/>
      <c r="BTZ3422" s="917"/>
      <c r="BUA3422" s="917"/>
      <c r="BUB3422" s="917"/>
      <c r="BUC3422" s="917"/>
      <c r="BUD3422" s="917"/>
      <c r="BUE3422" s="917"/>
      <c r="BUF3422" s="917"/>
      <c r="BUG3422" s="917"/>
      <c r="BUH3422" s="917"/>
      <c r="BUI3422" s="917"/>
      <c r="BUJ3422" s="917"/>
      <c r="BUK3422" s="917" t="s">
        <v>78</v>
      </c>
      <c r="BUL3422" s="917"/>
      <c r="BUM3422" s="917"/>
      <c r="BUN3422" s="917"/>
      <c r="BUO3422" s="917"/>
      <c r="BUP3422" s="917"/>
      <c r="BUQ3422" s="917"/>
      <c r="BUR3422" s="917"/>
      <c r="BUS3422" s="917"/>
      <c r="BUT3422" s="917"/>
      <c r="BUU3422" s="917"/>
      <c r="BUV3422" s="917"/>
      <c r="BUW3422" s="917"/>
      <c r="BUX3422" s="917"/>
      <c r="BUY3422" s="917"/>
      <c r="BUZ3422" s="917"/>
      <c r="BVA3422" s="917"/>
      <c r="BVB3422" s="917"/>
      <c r="BVC3422" s="917"/>
      <c r="BVD3422" s="917"/>
      <c r="BVE3422" s="917"/>
      <c r="BVF3422" s="917"/>
      <c r="BVG3422" s="917"/>
      <c r="BVH3422" s="917"/>
      <c r="BVI3422" s="917"/>
      <c r="BVJ3422" s="917"/>
      <c r="BVK3422" s="917"/>
      <c r="BVL3422" s="917"/>
      <c r="BVM3422" s="917"/>
      <c r="BVN3422" s="917"/>
      <c r="BVO3422" s="917"/>
      <c r="BVP3422" s="917"/>
      <c r="BVQ3422" s="917" t="s">
        <v>78</v>
      </c>
      <c r="BVR3422" s="917"/>
      <c r="BVS3422" s="917"/>
      <c r="BVT3422" s="917"/>
      <c r="BVU3422" s="917"/>
      <c r="BVV3422" s="917"/>
      <c r="BVW3422" s="917"/>
      <c r="BVX3422" s="917"/>
      <c r="BVY3422" s="917"/>
      <c r="BVZ3422" s="917"/>
      <c r="BWA3422" s="917"/>
      <c r="BWB3422" s="917"/>
      <c r="BWC3422" s="917"/>
      <c r="BWD3422" s="917"/>
      <c r="BWE3422" s="917"/>
      <c r="BWF3422" s="917"/>
      <c r="BWG3422" s="917"/>
      <c r="BWH3422" s="917"/>
      <c r="BWI3422" s="917"/>
      <c r="BWJ3422" s="917"/>
      <c r="BWK3422" s="917"/>
      <c r="BWL3422" s="917"/>
      <c r="BWM3422" s="917"/>
      <c r="BWN3422" s="917"/>
      <c r="BWO3422" s="917"/>
      <c r="BWP3422" s="917"/>
      <c r="BWQ3422" s="917"/>
      <c r="BWR3422" s="917"/>
      <c r="BWS3422" s="917"/>
      <c r="BWT3422" s="917"/>
      <c r="BWU3422" s="917"/>
      <c r="BWV3422" s="917"/>
      <c r="BWW3422" s="917" t="s">
        <v>78</v>
      </c>
      <c r="BWX3422" s="917"/>
      <c r="BWY3422" s="917"/>
      <c r="BWZ3422" s="917"/>
      <c r="BXA3422" s="917"/>
      <c r="BXB3422" s="917"/>
      <c r="BXC3422" s="917"/>
      <c r="BXD3422" s="917"/>
      <c r="BXE3422" s="917"/>
      <c r="BXF3422" s="917"/>
      <c r="BXG3422" s="917"/>
      <c r="BXH3422" s="917"/>
      <c r="BXI3422" s="917"/>
      <c r="BXJ3422" s="917"/>
      <c r="BXK3422" s="917"/>
      <c r="BXL3422" s="917"/>
      <c r="BXM3422" s="917"/>
      <c r="BXN3422" s="917"/>
      <c r="BXO3422" s="917"/>
      <c r="BXP3422" s="917"/>
      <c r="BXQ3422" s="917"/>
      <c r="BXR3422" s="917"/>
      <c r="BXS3422" s="917"/>
      <c r="BXT3422" s="917"/>
      <c r="BXU3422" s="917"/>
      <c r="BXV3422" s="917"/>
      <c r="BXW3422" s="917"/>
      <c r="BXX3422" s="917"/>
      <c r="BXY3422" s="917"/>
      <c r="BXZ3422" s="917"/>
      <c r="BYA3422" s="917"/>
      <c r="BYB3422" s="917"/>
      <c r="BYC3422" s="917" t="s">
        <v>78</v>
      </c>
      <c r="BYD3422" s="917"/>
      <c r="BYE3422" s="917"/>
      <c r="BYF3422" s="917"/>
      <c r="BYG3422" s="917"/>
      <c r="BYH3422" s="917"/>
      <c r="BYI3422" s="917"/>
      <c r="BYJ3422" s="917"/>
      <c r="BYK3422" s="917"/>
      <c r="BYL3422" s="917"/>
      <c r="BYM3422" s="917"/>
      <c r="BYN3422" s="917"/>
      <c r="BYO3422" s="917"/>
      <c r="BYP3422" s="917"/>
      <c r="BYQ3422" s="917"/>
      <c r="BYR3422" s="917"/>
      <c r="BYS3422" s="917"/>
      <c r="BYT3422" s="917"/>
      <c r="BYU3422" s="917"/>
      <c r="BYV3422" s="917"/>
      <c r="BYW3422" s="917"/>
      <c r="BYX3422" s="917"/>
      <c r="BYY3422" s="917"/>
      <c r="BYZ3422" s="917"/>
      <c r="BZA3422" s="917"/>
      <c r="BZB3422" s="917"/>
      <c r="BZC3422" s="917"/>
      <c r="BZD3422" s="917"/>
      <c r="BZE3422" s="917"/>
      <c r="BZF3422" s="917"/>
      <c r="BZG3422" s="917"/>
      <c r="BZH3422" s="917"/>
      <c r="BZI3422" s="917" t="s">
        <v>78</v>
      </c>
      <c r="BZJ3422" s="917"/>
      <c r="BZK3422" s="917"/>
      <c r="BZL3422" s="917"/>
      <c r="BZM3422" s="917"/>
      <c r="BZN3422" s="917"/>
      <c r="BZO3422" s="917"/>
      <c r="BZP3422" s="917"/>
      <c r="BZQ3422" s="917"/>
      <c r="BZR3422" s="917"/>
      <c r="BZS3422" s="917"/>
      <c r="BZT3422" s="917"/>
      <c r="BZU3422" s="917"/>
      <c r="BZV3422" s="917"/>
      <c r="BZW3422" s="917"/>
      <c r="BZX3422" s="917"/>
      <c r="BZY3422" s="917"/>
      <c r="BZZ3422" s="917"/>
      <c r="CAA3422" s="917"/>
      <c r="CAB3422" s="917"/>
      <c r="CAC3422" s="917"/>
      <c r="CAD3422" s="917"/>
      <c r="CAE3422" s="917"/>
      <c r="CAF3422" s="917"/>
      <c r="CAG3422" s="917"/>
      <c r="CAH3422" s="917"/>
      <c r="CAI3422" s="917"/>
      <c r="CAJ3422" s="917"/>
      <c r="CAK3422" s="917"/>
      <c r="CAL3422" s="917"/>
      <c r="CAM3422" s="917"/>
      <c r="CAN3422" s="917"/>
      <c r="CAO3422" s="917" t="s">
        <v>78</v>
      </c>
      <c r="CAP3422" s="917"/>
      <c r="CAQ3422" s="917"/>
      <c r="CAR3422" s="917"/>
      <c r="CAS3422" s="917"/>
      <c r="CAT3422" s="917"/>
      <c r="CAU3422" s="917"/>
      <c r="CAV3422" s="917"/>
      <c r="CAW3422" s="917"/>
      <c r="CAX3422" s="917"/>
      <c r="CAY3422" s="917"/>
      <c r="CAZ3422" s="917"/>
      <c r="CBA3422" s="917"/>
      <c r="CBB3422" s="917"/>
      <c r="CBC3422" s="917"/>
      <c r="CBD3422" s="917"/>
      <c r="CBE3422" s="917"/>
      <c r="CBF3422" s="917"/>
      <c r="CBG3422" s="917"/>
      <c r="CBH3422" s="917"/>
      <c r="CBI3422" s="917"/>
      <c r="CBJ3422" s="917"/>
      <c r="CBK3422" s="917"/>
      <c r="CBL3422" s="917"/>
      <c r="CBM3422" s="917"/>
      <c r="CBN3422" s="917"/>
      <c r="CBO3422" s="917"/>
      <c r="CBP3422" s="917"/>
      <c r="CBQ3422" s="917"/>
      <c r="CBR3422" s="917"/>
      <c r="CBS3422" s="917"/>
      <c r="CBT3422" s="917"/>
      <c r="CBU3422" s="917" t="s">
        <v>78</v>
      </c>
      <c r="CBV3422" s="917"/>
      <c r="CBW3422" s="917"/>
      <c r="CBX3422" s="917"/>
      <c r="CBY3422" s="917"/>
      <c r="CBZ3422" s="917"/>
      <c r="CCA3422" s="917"/>
      <c r="CCB3422" s="917"/>
      <c r="CCC3422" s="917"/>
      <c r="CCD3422" s="917"/>
      <c r="CCE3422" s="917"/>
      <c r="CCF3422" s="917"/>
      <c r="CCG3422" s="917"/>
      <c r="CCH3422" s="917"/>
      <c r="CCI3422" s="917"/>
      <c r="CCJ3422" s="917"/>
      <c r="CCK3422" s="917"/>
      <c r="CCL3422" s="917"/>
      <c r="CCM3422" s="917"/>
      <c r="CCN3422" s="917"/>
      <c r="CCO3422" s="917"/>
      <c r="CCP3422" s="917"/>
      <c r="CCQ3422" s="917"/>
      <c r="CCR3422" s="917"/>
      <c r="CCS3422" s="917"/>
      <c r="CCT3422" s="917"/>
      <c r="CCU3422" s="917"/>
      <c r="CCV3422" s="917"/>
      <c r="CCW3422" s="917"/>
      <c r="CCX3422" s="917"/>
      <c r="CCY3422" s="917"/>
      <c r="CCZ3422" s="917"/>
      <c r="CDA3422" s="917" t="s">
        <v>78</v>
      </c>
      <c r="CDB3422" s="917"/>
      <c r="CDC3422" s="917"/>
      <c r="CDD3422" s="917"/>
      <c r="CDE3422" s="917"/>
      <c r="CDF3422" s="917"/>
      <c r="CDG3422" s="917"/>
      <c r="CDH3422" s="917"/>
      <c r="CDI3422" s="917"/>
      <c r="CDJ3422" s="917"/>
      <c r="CDK3422" s="917"/>
      <c r="CDL3422" s="917"/>
      <c r="CDM3422" s="917"/>
      <c r="CDN3422" s="917"/>
      <c r="CDO3422" s="917"/>
      <c r="CDP3422" s="917"/>
      <c r="CDQ3422" s="917"/>
      <c r="CDR3422" s="917"/>
      <c r="CDS3422" s="917"/>
      <c r="CDT3422" s="917"/>
      <c r="CDU3422" s="917"/>
      <c r="CDV3422" s="917"/>
      <c r="CDW3422" s="917"/>
      <c r="CDX3422" s="917"/>
      <c r="CDY3422" s="917"/>
      <c r="CDZ3422" s="917"/>
      <c r="CEA3422" s="917"/>
      <c r="CEB3422" s="917"/>
      <c r="CEC3422" s="917"/>
      <c r="CED3422" s="917"/>
      <c r="CEE3422" s="917"/>
      <c r="CEF3422" s="917"/>
      <c r="CEG3422" s="917" t="s">
        <v>78</v>
      </c>
      <c r="CEH3422" s="917"/>
      <c r="CEI3422" s="917"/>
      <c r="CEJ3422" s="917"/>
      <c r="CEK3422" s="917"/>
      <c r="CEL3422" s="917"/>
      <c r="CEM3422" s="917"/>
      <c r="CEN3422" s="917"/>
      <c r="CEO3422" s="917"/>
      <c r="CEP3422" s="917"/>
      <c r="CEQ3422" s="917"/>
      <c r="CER3422" s="917"/>
      <c r="CES3422" s="917"/>
      <c r="CET3422" s="917"/>
      <c r="CEU3422" s="917"/>
      <c r="CEV3422" s="917"/>
      <c r="CEW3422" s="917"/>
      <c r="CEX3422" s="917"/>
      <c r="CEY3422" s="917"/>
      <c r="CEZ3422" s="917"/>
      <c r="CFA3422" s="917"/>
      <c r="CFB3422" s="917"/>
      <c r="CFC3422" s="917"/>
      <c r="CFD3422" s="917"/>
      <c r="CFE3422" s="917"/>
      <c r="CFF3422" s="917"/>
      <c r="CFG3422" s="917"/>
      <c r="CFH3422" s="917"/>
      <c r="CFI3422" s="917"/>
      <c r="CFJ3422" s="917"/>
      <c r="CFK3422" s="917"/>
      <c r="CFL3422" s="917"/>
      <c r="CFM3422" s="917" t="s">
        <v>78</v>
      </c>
      <c r="CFN3422" s="917"/>
      <c r="CFO3422" s="917"/>
      <c r="CFP3422" s="917"/>
      <c r="CFQ3422" s="917"/>
      <c r="CFR3422" s="917"/>
      <c r="CFS3422" s="917"/>
      <c r="CFT3422" s="917"/>
      <c r="CFU3422" s="917"/>
      <c r="CFV3422" s="917"/>
      <c r="CFW3422" s="917"/>
      <c r="CFX3422" s="917"/>
      <c r="CFY3422" s="917"/>
      <c r="CFZ3422" s="917"/>
      <c r="CGA3422" s="917"/>
      <c r="CGB3422" s="917"/>
      <c r="CGC3422" s="917"/>
      <c r="CGD3422" s="917"/>
      <c r="CGE3422" s="917"/>
      <c r="CGF3422" s="917"/>
      <c r="CGG3422" s="917"/>
      <c r="CGH3422" s="917"/>
      <c r="CGI3422" s="917"/>
      <c r="CGJ3422" s="917"/>
      <c r="CGK3422" s="917"/>
      <c r="CGL3422" s="917"/>
      <c r="CGM3422" s="917"/>
      <c r="CGN3422" s="917"/>
      <c r="CGO3422" s="917"/>
      <c r="CGP3422" s="917"/>
      <c r="CGQ3422" s="917"/>
      <c r="CGR3422" s="917"/>
      <c r="CGS3422" s="917" t="s">
        <v>78</v>
      </c>
      <c r="CGT3422" s="917"/>
      <c r="CGU3422" s="917"/>
      <c r="CGV3422" s="917"/>
      <c r="CGW3422" s="917"/>
      <c r="CGX3422" s="917"/>
      <c r="CGY3422" s="917"/>
      <c r="CGZ3422" s="917"/>
      <c r="CHA3422" s="917"/>
      <c r="CHB3422" s="917"/>
      <c r="CHC3422" s="917"/>
      <c r="CHD3422" s="917"/>
      <c r="CHE3422" s="917"/>
      <c r="CHF3422" s="917"/>
      <c r="CHG3422" s="917"/>
      <c r="CHH3422" s="917"/>
      <c r="CHI3422" s="917"/>
      <c r="CHJ3422" s="917"/>
      <c r="CHK3422" s="917"/>
      <c r="CHL3422" s="917"/>
      <c r="CHM3422" s="917"/>
      <c r="CHN3422" s="917"/>
      <c r="CHO3422" s="917"/>
      <c r="CHP3422" s="917"/>
      <c r="CHQ3422" s="917"/>
      <c r="CHR3422" s="917"/>
      <c r="CHS3422" s="917"/>
      <c r="CHT3422" s="917"/>
      <c r="CHU3422" s="917"/>
      <c r="CHV3422" s="917"/>
      <c r="CHW3422" s="917"/>
      <c r="CHX3422" s="917"/>
      <c r="CHY3422" s="917" t="s">
        <v>78</v>
      </c>
      <c r="CHZ3422" s="917"/>
      <c r="CIA3422" s="917"/>
      <c r="CIB3422" s="917"/>
      <c r="CIC3422" s="917"/>
      <c r="CID3422" s="917"/>
      <c r="CIE3422" s="917"/>
      <c r="CIF3422" s="917"/>
      <c r="CIG3422" s="917"/>
      <c r="CIH3422" s="917"/>
      <c r="CII3422" s="917"/>
      <c r="CIJ3422" s="917"/>
      <c r="CIK3422" s="917"/>
      <c r="CIL3422" s="917"/>
      <c r="CIM3422" s="917"/>
      <c r="CIN3422" s="917"/>
      <c r="CIO3422" s="917"/>
      <c r="CIP3422" s="917"/>
      <c r="CIQ3422" s="917"/>
      <c r="CIR3422" s="917"/>
      <c r="CIS3422" s="917"/>
      <c r="CIT3422" s="917"/>
      <c r="CIU3422" s="917"/>
      <c r="CIV3422" s="917"/>
      <c r="CIW3422" s="917"/>
      <c r="CIX3422" s="917"/>
      <c r="CIY3422" s="917"/>
      <c r="CIZ3422" s="917"/>
      <c r="CJA3422" s="917"/>
      <c r="CJB3422" s="917"/>
      <c r="CJC3422" s="917"/>
      <c r="CJD3422" s="917"/>
      <c r="CJE3422" s="917" t="s">
        <v>78</v>
      </c>
      <c r="CJF3422" s="917"/>
      <c r="CJG3422" s="917"/>
      <c r="CJH3422" s="917"/>
      <c r="CJI3422" s="917"/>
      <c r="CJJ3422" s="917"/>
      <c r="CJK3422" s="917"/>
      <c r="CJL3422" s="917"/>
      <c r="CJM3422" s="917"/>
      <c r="CJN3422" s="917"/>
      <c r="CJO3422" s="917"/>
      <c r="CJP3422" s="917"/>
      <c r="CJQ3422" s="917"/>
      <c r="CJR3422" s="917"/>
      <c r="CJS3422" s="917"/>
      <c r="CJT3422" s="917"/>
      <c r="CJU3422" s="917"/>
      <c r="CJV3422" s="917"/>
      <c r="CJW3422" s="917"/>
      <c r="CJX3422" s="917"/>
      <c r="CJY3422" s="917"/>
      <c r="CJZ3422" s="917"/>
      <c r="CKA3422" s="917"/>
      <c r="CKB3422" s="917"/>
      <c r="CKC3422" s="917"/>
      <c r="CKD3422" s="917"/>
      <c r="CKE3422" s="917"/>
      <c r="CKF3422" s="917"/>
      <c r="CKG3422" s="917"/>
      <c r="CKH3422" s="917"/>
      <c r="CKI3422" s="917"/>
      <c r="CKJ3422" s="917"/>
      <c r="CKK3422" s="917" t="s">
        <v>78</v>
      </c>
      <c r="CKL3422" s="917"/>
      <c r="CKM3422" s="917"/>
      <c r="CKN3422" s="917"/>
      <c r="CKO3422" s="917"/>
      <c r="CKP3422" s="917"/>
      <c r="CKQ3422" s="917"/>
      <c r="CKR3422" s="917"/>
      <c r="CKS3422" s="917"/>
      <c r="CKT3422" s="917"/>
      <c r="CKU3422" s="917"/>
      <c r="CKV3422" s="917"/>
      <c r="CKW3422" s="917"/>
      <c r="CKX3422" s="917"/>
      <c r="CKY3422" s="917"/>
      <c r="CKZ3422" s="917"/>
      <c r="CLA3422" s="917"/>
      <c r="CLB3422" s="917"/>
      <c r="CLC3422" s="917"/>
      <c r="CLD3422" s="917"/>
      <c r="CLE3422" s="917"/>
      <c r="CLF3422" s="917"/>
      <c r="CLG3422" s="917"/>
      <c r="CLH3422" s="917"/>
      <c r="CLI3422" s="917"/>
      <c r="CLJ3422" s="917"/>
      <c r="CLK3422" s="917"/>
      <c r="CLL3422" s="917"/>
      <c r="CLM3422" s="917"/>
      <c r="CLN3422" s="917"/>
      <c r="CLO3422" s="917"/>
      <c r="CLP3422" s="917"/>
      <c r="CLQ3422" s="917" t="s">
        <v>78</v>
      </c>
      <c r="CLR3422" s="917"/>
      <c r="CLS3422" s="917"/>
      <c r="CLT3422" s="917"/>
      <c r="CLU3422" s="917"/>
      <c r="CLV3422" s="917"/>
      <c r="CLW3422" s="917"/>
      <c r="CLX3422" s="917"/>
      <c r="CLY3422" s="917"/>
      <c r="CLZ3422" s="917"/>
      <c r="CMA3422" s="917"/>
      <c r="CMB3422" s="917"/>
      <c r="CMC3422" s="917"/>
      <c r="CMD3422" s="917"/>
      <c r="CME3422" s="917"/>
      <c r="CMF3422" s="917"/>
      <c r="CMG3422" s="917"/>
      <c r="CMH3422" s="917"/>
      <c r="CMI3422" s="917"/>
      <c r="CMJ3422" s="917"/>
      <c r="CMK3422" s="917"/>
      <c r="CML3422" s="917"/>
      <c r="CMM3422" s="917"/>
      <c r="CMN3422" s="917"/>
      <c r="CMO3422" s="917"/>
      <c r="CMP3422" s="917"/>
      <c r="CMQ3422" s="917"/>
      <c r="CMR3422" s="917"/>
      <c r="CMS3422" s="917"/>
      <c r="CMT3422" s="917"/>
      <c r="CMU3422" s="917"/>
      <c r="CMV3422" s="917"/>
      <c r="CMW3422" s="917" t="s">
        <v>78</v>
      </c>
      <c r="CMX3422" s="917"/>
      <c r="CMY3422" s="917"/>
      <c r="CMZ3422" s="917"/>
      <c r="CNA3422" s="917"/>
      <c r="CNB3422" s="917"/>
      <c r="CNC3422" s="917"/>
      <c r="CND3422" s="917"/>
      <c r="CNE3422" s="917"/>
      <c r="CNF3422" s="917"/>
      <c r="CNG3422" s="917"/>
      <c r="CNH3422" s="917"/>
      <c r="CNI3422" s="917"/>
      <c r="CNJ3422" s="917"/>
      <c r="CNK3422" s="917"/>
      <c r="CNL3422" s="917"/>
      <c r="CNM3422" s="917"/>
      <c r="CNN3422" s="917"/>
      <c r="CNO3422" s="917"/>
      <c r="CNP3422" s="917"/>
      <c r="CNQ3422" s="917"/>
      <c r="CNR3422" s="917"/>
      <c r="CNS3422" s="917"/>
      <c r="CNT3422" s="917"/>
      <c r="CNU3422" s="917"/>
      <c r="CNV3422" s="917"/>
      <c r="CNW3422" s="917"/>
      <c r="CNX3422" s="917"/>
      <c r="CNY3422" s="917"/>
      <c r="CNZ3422" s="917"/>
      <c r="COA3422" s="917"/>
      <c r="COB3422" s="917"/>
      <c r="COC3422" s="917" t="s">
        <v>78</v>
      </c>
      <c r="COD3422" s="917"/>
      <c r="COE3422" s="917"/>
      <c r="COF3422" s="917"/>
      <c r="COG3422" s="917"/>
      <c r="COH3422" s="917"/>
      <c r="COI3422" s="917"/>
      <c r="COJ3422" s="917"/>
      <c r="COK3422" s="917"/>
      <c r="COL3422" s="917"/>
      <c r="COM3422" s="917"/>
      <c r="CON3422" s="917"/>
      <c r="COO3422" s="917"/>
      <c r="COP3422" s="917"/>
      <c r="COQ3422" s="917"/>
      <c r="COR3422" s="917"/>
      <c r="COS3422" s="917"/>
      <c r="COT3422" s="917"/>
      <c r="COU3422" s="917"/>
      <c r="COV3422" s="917"/>
      <c r="COW3422" s="917"/>
      <c r="COX3422" s="917"/>
      <c r="COY3422" s="917"/>
      <c r="COZ3422" s="917"/>
      <c r="CPA3422" s="917"/>
      <c r="CPB3422" s="917"/>
      <c r="CPC3422" s="917"/>
      <c r="CPD3422" s="917"/>
      <c r="CPE3422" s="917"/>
      <c r="CPF3422" s="917"/>
      <c r="CPG3422" s="917"/>
      <c r="CPH3422" s="917"/>
      <c r="CPI3422" s="917" t="s">
        <v>78</v>
      </c>
      <c r="CPJ3422" s="917"/>
      <c r="CPK3422" s="917"/>
      <c r="CPL3422" s="917"/>
      <c r="CPM3422" s="917"/>
      <c r="CPN3422" s="917"/>
      <c r="CPO3422" s="917"/>
      <c r="CPP3422" s="917"/>
      <c r="CPQ3422" s="917"/>
      <c r="CPR3422" s="917"/>
      <c r="CPS3422" s="917"/>
      <c r="CPT3422" s="917"/>
      <c r="CPU3422" s="917"/>
      <c r="CPV3422" s="917"/>
      <c r="CPW3422" s="917"/>
      <c r="CPX3422" s="917"/>
      <c r="CPY3422" s="917"/>
      <c r="CPZ3422" s="917"/>
      <c r="CQA3422" s="917"/>
      <c r="CQB3422" s="917"/>
      <c r="CQC3422" s="917"/>
      <c r="CQD3422" s="917"/>
      <c r="CQE3422" s="917"/>
      <c r="CQF3422" s="917"/>
      <c r="CQG3422" s="917"/>
      <c r="CQH3422" s="917"/>
      <c r="CQI3422" s="917"/>
      <c r="CQJ3422" s="917"/>
      <c r="CQK3422" s="917"/>
      <c r="CQL3422" s="917"/>
      <c r="CQM3422" s="917"/>
      <c r="CQN3422" s="917"/>
      <c r="CQO3422" s="917" t="s">
        <v>78</v>
      </c>
      <c r="CQP3422" s="917"/>
      <c r="CQQ3422" s="917"/>
      <c r="CQR3422" s="917"/>
      <c r="CQS3422" s="917"/>
      <c r="CQT3422" s="917"/>
      <c r="CQU3422" s="917"/>
      <c r="CQV3422" s="917"/>
      <c r="CQW3422" s="917"/>
      <c r="CQX3422" s="917"/>
      <c r="CQY3422" s="917"/>
      <c r="CQZ3422" s="917"/>
      <c r="CRA3422" s="917"/>
      <c r="CRB3422" s="917"/>
      <c r="CRC3422" s="917"/>
      <c r="CRD3422" s="917"/>
      <c r="CRE3422" s="917"/>
      <c r="CRF3422" s="917"/>
      <c r="CRG3422" s="917"/>
      <c r="CRH3422" s="917"/>
      <c r="CRI3422" s="917"/>
      <c r="CRJ3422" s="917"/>
      <c r="CRK3422" s="917"/>
      <c r="CRL3422" s="917"/>
      <c r="CRM3422" s="917"/>
      <c r="CRN3422" s="917"/>
      <c r="CRO3422" s="917"/>
      <c r="CRP3422" s="917"/>
      <c r="CRQ3422" s="917"/>
      <c r="CRR3422" s="917"/>
      <c r="CRS3422" s="917"/>
      <c r="CRT3422" s="917"/>
      <c r="CRU3422" s="917" t="s">
        <v>78</v>
      </c>
      <c r="CRV3422" s="917"/>
      <c r="CRW3422" s="917"/>
      <c r="CRX3422" s="917"/>
      <c r="CRY3422" s="917"/>
      <c r="CRZ3422" s="917"/>
      <c r="CSA3422" s="917"/>
      <c r="CSB3422" s="917"/>
      <c r="CSC3422" s="917"/>
      <c r="CSD3422" s="917"/>
      <c r="CSE3422" s="917"/>
      <c r="CSF3422" s="917"/>
      <c r="CSG3422" s="917"/>
      <c r="CSH3422" s="917"/>
      <c r="CSI3422" s="917"/>
      <c r="CSJ3422" s="917"/>
      <c r="CSK3422" s="917"/>
      <c r="CSL3422" s="917"/>
      <c r="CSM3422" s="917"/>
      <c r="CSN3422" s="917"/>
      <c r="CSO3422" s="917"/>
      <c r="CSP3422" s="917"/>
      <c r="CSQ3422" s="917"/>
      <c r="CSR3422" s="917"/>
      <c r="CSS3422" s="917"/>
      <c r="CST3422" s="917"/>
      <c r="CSU3422" s="917"/>
      <c r="CSV3422" s="917"/>
      <c r="CSW3422" s="917"/>
      <c r="CSX3422" s="917"/>
      <c r="CSY3422" s="917"/>
      <c r="CSZ3422" s="917"/>
      <c r="CTA3422" s="917" t="s">
        <v>78</v>
      </c>
      <c r="CTB3422" s="917"/>
      <c r="CTC3422" s="917"/>
      <c r="CTD3422" s="917"/>
      <c r="CTE3422" s="917"/>
      <c r="CTF3422" s="917"/>
      <c r="CTG3422" s="917"/>
      <c r="CTH3422" s="917"/>
      <c r="CTI3422" s="917"/>
      <c r="CTJ3422" s="917"/>
      <c r="CTK3422" s="917"/>
      <c r="CTL3422" s="917"/>
      <c r="CTM3422" s="917"/>
      <c r="CTN3422" s="917"/>
      <c r="CTO3422" s="917"/>
      <c r="CTP3422" s="917"/>
      <c r="CTQ3422" s="917"/>
      <c r="CTR3422" s="917"/>
      <c r="CTS3422" s="917"/>
      <c r="CTT3422" s="917"/>
      <c r="CTU3422" s="917"/>
      <c r="CTV3422" s="917"/>
      <c r="CTW3422" s="917"/>
      <c r="CTX3422" s="917"/>
      <c r="CTY3422" s="917"/>
      <c r="CTZ3422" s="917"/>
      <c r="CUA3422" s="917"/>
      <c r="CUB3422" s="917"/>
      <c r="CUC3422" s="917"/>
      <c r="CUD3422" s="917"/>
      <c r="CUE3422" s="917"/>
      <c r="CUF3422" s="917"/>
      <c r="CUG3422" s="917" t="s">
        <v>78</v>
      </c>
      <c r="CUH3422" s="917"/>
      <c r="CUI3422" s="917"/>
      <c r="CUJ3422" s="917"/>
      <c r="CUK3422" s="917"/>
      <c r="CUL3422" s="917"/>
      <c r="CUM3422" s="917"/>
      <c r="CUN3422" s="917"/>
      <c r="CUO3422" s="917"/>
      <c r="CUP3422" s="917"/>
      <c r="CUQ3422" s="917"/>
      <c r="CUR3422" s="917"/>
      <c r="CUS3422" s="917"/>
      <c r="CUT3422" s="917"/>
      <c r="CUU3422" s="917"/>
      <c r="CUV3422" s="917"/>
      <c r="CUW3422" s="917"/>
      <c r="CUX3422" s="917"/>
      <c r="CUY3422" s="917"/>
      <c r="CUZ3422" s="917"/>
      <c r="CVA3422" s="917"/>
      <c r="CVB3422" s="917"/>
      <c r="CVC3422" s="917"/>
      <c r="CVD3422" s="917"/>
      <c r="CVE3422" s="917"/>
      <c r="CVF3422" s="917"/>
      <c r="CVG3422" s="917"/>
      <c r="CVH3422" s="917"/>
      <c r="CVI3422" s="917"/>
      <c r="CVJ3422" s="917"/>
      <c r="CVK3422" s="917"/>
      <c r="CVL3422" s="917"/>
      <c r="CVM3422" s="917" t="s">
        <v>78</v>
      </c>
      <c r="CVN3422" s="917"/>
      <c r="CVO3422" s="917"/>
      <c r="CVP3422" s="917"/>
      <c r="CVQ3422" s="917"/>
      <c r="CVR3422" s="917"/>
      <c r="CVS3422" s="917"/>
      <c r="CVT3422" s="917"/>
      <c r="CVU3422" s="917"/>
      <c r="CVV3422" s="917"/>
      <c r="CVW3422" s="917"/>
      <c r="CVX3422" s="917"/>
      <c r="CVY3422" s="917"/>
      <c r="CVZ3422" s="917"/>
      <c r="CWA3422" s="917"/>
      <c r="CWB3422" s="917"/>
      <c r="CWC3422" s="917"/>
      <c r="CWD3422" s="917"/>
      <c r="CWE3422" s="917"/>
      <c r="CWF3422" s="917"/>
      <c r="CWG3422" s="917"/>
      <c r="CWH3422" s="917"/>
      <c r="CWI3422" s="917"/>
      <c r="CWJ3422" s="917"/>
      <c r="CWK3422" s="917"/>
      <c r="CWL3422" s="917"/>
      <c r="CWM3422" s="917"/>
      <c r="CWN3422" s="917"/>
      <c r="CWO3422" s="917"/>
      <c r="CWP3422" s="917"/>
      <c r="CWQ3422" s="917"/>
      <c r="CWR3422" s="917"/>
      <c r="CWS3422" s="917" t="s">
        <v>78</v>
      </c>
      <c r="CWT3422" s="917"/>
      <c r="CWU3422" s="917"/>
      <c r="CWV3422" s="917"/>
      <c r="CWW3422" s="917"/>
      <c r="CWX3422" s="917"/>
      <c r="CWY3422" s="917"/>
      <c r="CWZ3422" s="917"/>
      <c r="CXA3422" s="917"/>
      <c r="CXB3422" s="917"/>
      <c r="CXC3422" s="917"/>
      <c r="CXD3422" s="917"/>
      <c r="CXE3422" s="917"/>
      <c r="CXF3422" s="917"/>
      <c r="CXG3422" s="917"/>
      <c r="CXH3422" s="917"/>
      <c r="CXI3422" s="917"/>
      <c r="CXJ3422" s="917"/>
      <c r="CXK3422" s="917"/>
      <c r="CXL3422" s="917"/>
      <c r="CXM3422" s="917"/>
      <c r="CXN3422" s="917"/>
      <c r="CXO3422" s="917"/>
      <c r="CXP3422" s="917"/>
      <c r="CXQ3422" s="917"/>
      <c r="CXR3422" s="917"/>
      <c r="CXS3422" s="917"/>
      <c r="CXT3422" s="917"/>
      <c r="CXU3422" s="917"/>
      <c r="CXV3422" s="917"/>
      <c r="CXW3422" s="917"/>
      <c r="CXX3422" s="917"/>
      <c r="CXY3422" s="917" t="s">
        <v>78</v>
      </c>
      <c r="CXZ3422" s="917"/>
      <c r="CYA3422" s="917"/>
      <c r="CYB3422" s="917"/>
      <c r="CYC3422" s="917"/>
      <c r="CYD3422" s="917"/>
      <c r="CYE3422" s="917"/>
      <c r="CYF3422" s="917"/>
      <c r="CYG3422" s="917"/>
      <c r="CYH3422" s="917"/>
      <c r="CYI3422" s="917"/>
      <c r="CYJ3422" s="917"/>
      <c r="CYK3422" s="917"/>
      <c r="CYL3422" s="917"/>
      <c r="CYM3422" s="917"/>
      <c r="CYN3422" s="917"/>
      <c r="CYO3422" s="917"/>
      <c r="CYP3422" s="917"/>
      <c r="CYQ3422" s="917"/>
      <c r="CYR3422" s="917"/>
      <c r="CYS3422" s="917"/>
      <c r="CYT3422" s="917"/>
      <c r="CYU3422" s="917"/>
      <c r="CYV3422" s="917"/>
      <c r="CYW3422" s="917"/>
      <c r="CYX3422" s="917"/>
      <c r="CYY3422" s="917"/>
      <c r="CYZ3422" s="917"/>
      <c r="CZA3422" s="917"/>
      <c r="CZB3422" s="917"/>
      <c r="CZC3422" s="917"/>
      <c r="CZD3422" s="917"/>
      <c r="CZE3422" s="917" t="s">
        <v>78</v>
      </c>
      <c r="CZF3422" s="917"/>
      <c r="CZG3422" s="917"/>
      <c r="CZH3422" s="917"/>
      <c r="CZI3422" s="917"/>
      <c r="CZJ3422" s="917"/>
      <c r="CZK3422" s="917"/>
      <c r="CZL3422" s="917"/>
      <c r="CZM3422" s="917"/>
      <c r="CZN3422" s="917"/>
      <c r="CZO3422" s="917"/>
      <c r="CZP3422" s="917"/>
      <c r="CZQ3422" s="917"/>
      <c r="CZR3422" s="917"/>
      <c r="CZS3422" s="917"/>
      <c r="CZT3422" s="917"/>
      <c r="CZU3422" s="917"/>
      <c r="CZV3422" s="917"/>
      <c r="CZW3422" s="917"/>
      <c r="CZX3422" s="917"/>
      <c r="CZY3422" s="917"/>
      <c r="CZZ3422" s="917"/>
      <c r="DAA3422" s="917"/>
      <c r="DAB3422" s="917"/>
      <c r="DAC3422" s="917"/>
      <c r="DAD3422" s="917"/>
      <c r="DAE3422" s="917"/>
      <c r="DAF3422" s="917"/>
      <c r="DAG3422" s="917"/>
      <c r="DAH3422" s="917"/>
      <c r="DAI3422" s="917"/>
      <c r="DAJ3422" s="917"/>
      <c r="DAK3422" s="917" t="s">
        <v>78</v>
      </c>
      <c r="DAL3422" s="917"/>
      <c r="DAM3422" s="917"/>
      <c r="DAN3422" s="917"/>
      <c r="DAO3422" s="917"/>
      <c r="DAP3422" s="917"/>
      <c r="DAQ3422" s="917"/>
      <c r="DAR3422" s="917"/>
      <c r="DAS3422" s="917"/>
      <c r="DAT3422" s="917"/>
      <c r="DAU3422" s="917"/>
      <c r="DAV3422" s="917"/>
      <c r="DAW3422" s="917"/>
      <c r="DAX3422" s="917"/>
      <c r="DAY3422" s="917"/>
      <c r="DAZ3422" s="917"/>
      <c r="DBA3422" s="917"/>
      <c r="DBB3422" s="917"/>
      <c r="DBC3422" s="917"/>
      <c r="DBD3422" s="917"/>
      <c r="DBE3422" s="917"/>
      <c r="DBF3422" s="917"/>
      <c r="DBG3422" s="917"/>
      <c r="DBH3422" s="917"/>
      <c r="DBI3422" s="917"/>
      <c r="DBJ3422" s="917"/>
      <c r="DBK3422" s="917"/>
      <c r="DBL3422" s="917"/>
      <c r="DBM3422" s="917"/>
      <c r="DBN3422" s="917"/>
      <c r="DBO3422" s="917"/>
      <c r="DBP3422" s="917"/>
      <c r="DBQ3422" s="917" t="s">
        <v>78</v>
      </c>
      <c r="DBR3422" s="917"/>
      <c r="DBS3422" s="917"/>
      <c r="DBT3422" s="917"/>
      <c r="DBU3422" s="917"/>
      <c r="DBV3422" s="917"/>
      <c r="DBW3422" s="917"/>
      <c r="DBX3422" s="917"/>
      <c r="DBY3422" s="917"/>
      <c r="DBZ3422" s="917"/>
      <c r="DCA3422" s="917"/>
      <c r="DCB3422" s="917"/>
      <c r="DCC3422" s="917"/>
      <c r="DCD3422" s="917"/>
      <c r="DCE3422" s="917"/>
      <c r="DCF3422" s="917"/>
      <c r="DCG3422" s="917"/>
      <c r="DCH3422" s="917"/>
      <c r="DCI3422" s="917"/>
      <c r="DCJ3422" s="917"/>
      <c r="DCK3422" s="917"/>
      <c r="DCL3422" s="917"/>
      <c r="DCM3422" s="917"/>
      <c r="DCN3422" s="917"/>
      <c r="DCO3422" s="917"/>
      <c r="DCP3422" s="917"/>
      <c r="DCQ3422" s="917"/>
      <c r="DCR3422" s="917"/>
      <c r="DCS3422" s="917"/>
      <c r="DCT3422" s="917"/>
      <c r="DCU3422" s="917"/>
      <c r="DCV3422" s="917"/>
      <c r="DCW3422" s="917" t="s">
        <v>78</v>
      </c>
      <c r="DCX3422" s="917"/>
      <c r="DCY3422" s="917"/>
      <c r="DCZ3422" s="917"/>
      <c r="DDA3422" s="917"/>
      <c r="DDB3422" s="917"/>
      <c r="DDC3422" s="917"/>
      <c r="DDD3422" s="917"/>
      <c r="DDE3422" s="917"/>
      <c r="DDF3422" s="917"/>
      <c r="DDG3422" s="917"/>
      <c r="DDH3422" s="917"/>
      <c r="DDI3422" s="917"/>
      <c r="DDJ3422" s="917"/>
      <c r="DDK3422" s="917"/>
      <c r="DDL3422" s="917"/>
      <c r="DDM3422" s="917"/>
      <c r="DDN3422" s="917"/>
      <c r="DDO3422" s="917"/>
      <c r="DDP3422" s="917"/>
      <c r="DDQ3422" s="917"/>
      <c r="DDR3422" s="917"/>
      <c r="DDS3422" s="917"/>
      <c r="DDT3422" s="917"/>
      <c r="DDU3422" s="917"/>
      <c r="DDV3422" s="917"/>
      <c r="DDW3422" s="917"/>
      <c r="DDX3422" s="917"/>
      <c r="DDY3422" s="917"/>
      <c r="DDZ3422" s="917"/>
      <c r="DEA3422" s="917"/>
      <c r="DEB3422" s="917"/>
      <c r="DEC3422" s="917" t="s">
        <v>78</v>
      </c>
      <c r="DED3422" s="917"/>
      <c r="DEE3422" s="917"/>
      <c r="DEF3422" s="917"/>
      <c r="DEG3422" s="917"/>
      <c r="DEH3422" s="917"/>
      <c r="DEI3422" s="917"/>
      <c r="DEJ3422" s="917"/>
      <c r="DEK3422" s="917"/>
      <c r="DEL3422" s="917"/>
      <c r="DEM3422" s="917"/>
      <c r="DEN3422" s="917"/>
      <c r="DEO3422" s="917"/>
      <c r="DEP3422" s="917"/>
      <c r="DEQ3422" s="917"/>
      <c r="DER3422" s="917"/>
      <c r="DES3422" s="917"/>
      <c r="DET3422" s="917"/>
      <c r="DEU3422" s="917"/>
      <c r="DEV3422" s="917"/>
      <c r="DEW3422" s="917"/>
      <c r="DEX3422" s="917"/>
      <c r="DEY3422" s="917"/>
      <c r="DEZ3422" s="917"/>
      <c r="DFA3422" s="917"/>
      <c r="DFB3422" s="917"/>
      <c r="DFC3422" s="917"/>
      <c r="DFD3422" s="917"/>
      <c r="DFE3422" s="917"/>
      <c r="DFF3422" s="917"/>
      <c r="DFG3422" s="917"/>
      <c r="DFH3422" s="917"/>
      <c r="DFI3422" s="917" t="s">
        <v>78</v>
      </c>
      <c r="DFJ3422" s="917"/>
      <c r="DFK3422" s="917"/>
      <c r="DFL3422" s="917"/>
      <c r="DFM3422" s="917"/>
      <c r="DFN3422" s="917"/>
      <c r="DFO3422" s="917"/>
      <c r="DFP3422" s="917"/>
      <c r="DFQ3422" s="917"/>
      <c r="DFR3422" s="917"/>
      <c r="DFS3422" s="917"/>
      <c r="DFT3422" s="917"/>
      <c r="DFU3422" s="917"/>
      <c r="DFV3422" s="917"/>
      <c r="DFW3422" s="917"/>
      <c r="DFX3422" s="917"/>
      <c r="DFY3422" s="917"/>
      <c r="DFZ3422" s="917"/>
      <c r="DGA3422" s="917"/>
      <c r="DGB3422" s="917"/>
      <c r="DGC3422" s="917"/>
      <c r="DGD3422" s="917"/>
      <c r="DGE3422" s="917"/>
      <c r="DGF3422" s="917"/>
      <c r="DGG3422" s="917"/>
      <c r="DGH3422" s="917"/>
      <c r="DGI3422" s="917"/>
      <c r="DGJ3422" s="917"/>
      <c r="DGK3422" s="917"/>
      <c r="DGL3422" s="917"/>
      <c r="DGM3422" s="917"/>
      <c r="DGN3422" s="917"/>
      <c r="DGO3422" s="917" t="s">
        <v>78</v>
      </c>
      <c r="DGP3422" s="917"/>
      <c r="DGQ3422" s="917"/>
      <c r="DGR3422" s="917"/>
      <c r="DGS3422" s="917"/>
      <c r="DGT3422" s="917"/>
      <c r="DGU3422" s="917"/>
      <c r="DGV3422" s="917"/>
      <c r="DGW3422" s="917"/>
      <c r="DGX3422" s="917"/>
      <c r="DGY3422" s="917"/>
      <c r="DGZ3422" s="917"/>
      <c r="DHA3422" s="917"/>
      <c r="DHB3422" s="917"/>
      <c r="DHC3422" s="917"/>
      <c r="DHD3422" s="917"/>
      <c r="DHE3422" s="917"/>
      <c r="DHF3422" s="917"/>
      <c r="DHG3422" s="917"/>
      <c r="DHH3422" s="917"/>
      <c r="DHI3422" s="917"/>
      <c r="DHJ3422" s="917"/>
      <c r="DHK3422" s="917"/>
      <c r="DHL3422" s="917"/>
      <c r="DHM3422" s="917"/>
      <c r="DHN3422" s="917"/>
      <c r="DHO3422" s="917"/>
      <c r="DHP3422" s="917"/>
      <c r="DHQ3422" s="917"/>
      <c r="DHR3422" s="917"/>
      <c r="DHS3422" s="917"/>
      <c r="DHT3422" s="917"/>
      <c r="DHU3422" s="917" t="s">
        <v>78</v>
      </c>
      <c r="DHV3422" s="917"/>
      <c r="DHW3422" s="917"/>
      <c r="DHX3422" s="917"/>
      <c r="DHY3422" s="917"/>
      <c r="DHZ3422" s="917"/>
      <c r="DIA3422" s="917"/>
      <c r="DIB3422" s="917"/>
      <c r="DIC3422" s="917"/>
      <c r="DID3422" s="917"/>
      <c r="DIE3422" s="917"/>
      <c r="DIF3422" s="917"/>
      <c r="DIG3422" s="917"/>
      <c r="DIH3422" s="917"/>
      <c r="DII3422" s="917"/>
      <c r="DIJ3422" s="917"/>
      <c r="DIK3422" s="917"/>
      <c r="DIL3422" s="917"/>
      <c r="DIM3422" s="917"/>
      <c r="DIN3422" s="917"/>
      <c r="DIO3422" s="917"/>
      <c r="DIP3422" s="917"/>
      <c r="DIQ3422" s="917"/>
      <c r="DIR3422" s="917"/>
      <c r="DIS3422" s="917"/>
      <c r="DIT3422" s="917"/>
      <c r="DIU3422" s="917"/>
      <c r="DIV3422" s="917"/>
      <c r="DIW3422" s="917"/>
      <c r="DIX3422" s="917"/>
      <c r="DIY3422" s="917"/>
      <c r="DIZ3422" s="917"/>
      <c r="DJA3422" s="917" t="s">
        <v>78</v>
      </c>
      <c r="DJB3422" s="917"/>
      <c r="DJC3422" s="917"/>
      <c r="DJD3422" s="917"/>
      <c r="DJE3422" s="917"/>
      <c r="DJF3422" s="917"/>
      <c r="DJG3422" s="917"/>
      <c r="DJH3422" s="917"/>
      <c r="DJI3422" s="917"/>
      <c r="DJJ3422" s="917"/>
      <c r="DJK3422" s="917"/>
      <c r="DJL3422" s="917"/>
      <c r="DJM3422" s="917"/>
      <c r="DJN3422" s="917"/>
      <c r="DJO3422" s="917"/>
      <c r="DJP3422" s="917"/>
      <c r="DJQ3422" s="917"/>
      <c r="DJR3422" s="917"/>
      <c r="DJS3422" s="917"/>
      <c r="DJT3422" s="917"/>
      <c r="DJU3422" s="917"/>
      <c r="DJV3422" s="917"/>
      <c r="DJW3422" s="917"/>
      <c r="DJX3422" s="917"/>
      <c r="DJY3422" s="917"/>
      <c r="DJZ3422" s="917"/>
      <c r="DKA3422" s="917"/>
      <c r="DKB3422" s="917"/>
      <c r="DKC3422" s="917"/>
      <c r="DKD3422" s="917"/>
      <c r="DKE3422" s="917"/>
      <c r="DKF3422" s="917"/>
      <c r="DKG3422" s="917" t="s">
        <v>78</v>
      </c>
      <c r="DKH3422" s="917"/>
      <c r="DKI3422" s="917"/>
      <c r="DKJ3422" s="917"/>
      <c r="DKK3422" s="917"/>
      <c r="DKL3422" s="917"/>
      <c r="DKM3422" s="917"/>
      <c r="DKN3422" s="917"/>
      <c r="DKO3422" s="917"/>
      <c r="DKP3422" s="917"/>
      <c r="DKQ3422" s="917"/>
      <c r="DKR3422" s="917"/>
      <c r="DKS3422" s="917"/>
      <c r="DKT3422" s="917"/>
      <c r="DKU3422" s="917"/>
      <c r="DKV3422" s="917"/>
      <c r="DKW3422" s="917"/>
      <c r="DKX3422" s="917"/>
      <c r="DKY3422" s="917"/>
      <c r="DKZ3422" s="917"/>
      <c r="DLA3422" s="917"/>
      <c r="DLB3422" s="917"/>
      <c r="DLC3422" s="917"/>
      <c r="DLD3422" s="917"/>
      <c r="DLE3422" s="917"/>
      <c r="DLF3422" s="917"/>
      <c r="DLG3422" s="917"/>
      <c r="DLH3422" s="917"/>
      <c r="DLI3422" s="917"/>
      <c r="DLJ3422" s="917"/>
      <c r="DLK3422" s="917"/>
      <c r="DLL3422" s="917"/>
      <c r="DLM3422" s="917" t="s">
        <v>78</v>
      </c>
      <c r="DLN3422" s="917"/>
      <c r="DLO3422" s="917"/>
      <c r="DLP3422" s="917"/>
      <c r="DLQ3422" s="917"/>
      <c r="DLR3422" s="917"/>
      <c r="DLS3422" s="917"/>
      <c r="DLT3422" s="917"/>
      <c r="DLU3422" s="917"/>
      <c r="DLV3422" s="917"/>
      <c r="DLW3422" s="917"/>
      <c r="DLX3422" s="917"/>
      <c r="DLY3422" s="917"/>
      <c r="DLZ3422" s="917"/>
      <c r="DMA3422" s="917"/>
      <c r="DMB3422" s="917"/>
      <c r="DMC3422" s="917"/>
      <c r="DMD3422" s="917"/>
      <c r="DME3422" s="917"/>
      <c r="DMF3422" s="917"/>
      <c r="DMG3422" s="917"/>
      <c r="DMH3422" s="917"/>
      <c r="DMI3422" s="917"/>
      <c r="DMJ3422" s="917"/>
      <c r="DMK3422" s="917"/>
      <c r="DML3422" s="917"/>
      <c r="DMM3422" s="917"/>
      <c r="DMN3422" s="917"/>
      <c r="DMO3422" s="917"/>
      <c r="DMP3422" s="917"/>
      <c r="DMQ3422" s="917"/>
      <c r="DMR3422" s="917"/>
      <c r="DMS3422" s="917" t="s">
        <v>78</v>
      </c>
      <c r="DMT3422" s="917"/>
      <c r="DMU3422" s="917"/>
      <c r="DMV3422" s="917"/>
      <c r="DMW3422" s="917"/>
      <c r="DMX3422" s="917"/>
      <c r="DMY3422" s="917"/>
      <c r="DMZ3422" s="917"/>
      <c r="DNA3422" s="917"/>
      <c r="DNB3422" s="917"/>
      <c r="DNC3422" s="917"/>
      <c r="DND3422" s="917"/>
      <c r="DNE3422" s="917"/>
      <c r="DNF3422" s="917"/>
      <c r="DNG3422" s="917"/>
      <c r="DNH3422" s="917"/>
      <c r="DNI3422" s="917"/>
      <c r="DNJ3422" s="917"/>
      <c r="DNK3422" s="917"/>
      <c r="DNL3422" s="917"/>
      <c r="DNM3422" s="917"/>
      <c r="DNN3422" s="917"/>
      <c r="DNO3422" s="917"/>
      <c r="DNP3422" s="917"/>
      <c r="DNQ3422" s="917"/>
      <c r="DNR3422" s="917"/>
      <c r="DNS3422" s="917"/>
      <c r="DNT3422" s="917"/>
      <c r="DNU3422" s="917"/>
      <c r="DNV3422" s="917"/>
      <c r="DNW3422" s="917"/>
      <c r="DNX3422" s="917"/>
      <c r="DNY3422" s="917" t="s">
        <v>78</v>
      </c>
      <c r="DNZ3422" s="917"/>
      <c r="DOA3422" s="917"/>
      <c r="DOB3422" s="917"/>
      <c r="DOC3422" s="917"/>
      <c r="DOD3422" s="917"/>
      <c r="DOE3422" s="917"/>
      <c r="DOF3422" s="917"/>
      <c r="DOG3422" s="917"/>
      <c r="DOH3422" s="917"/>
      <c r="DOI3422" s="917"/>
      <c r="DOJ3422" s="917"/>
      <c r="DOK3422" s="917"/>
      <c r="DOL3422" s="917"/>
      <c r="DOM3422" s="917"/>
      <c r="DON3422" s="917"/>
      <c r="DOO3422" s="917"/>
      <c r="DOP3422" s="917"/>
      <c r="DOQ3422" s="917"/>
      <c r="DOR3422" s="917"/>
      <c r="DOS3422" s="917"/>
      <c r="DOT3422" s="917"/>
      <c r="DOU3422" s="917"/>
      <c r="DOV3422" s="917"/>
      <c r="DOW3422" s="917"/>
      <c r="DOX3422" s="917"/>
      <c r="DOY3422" s="917"/>
      <c r="DOZ3422" s="917"/>
      <c r="DPA3422" s="917"/>
      <c r="DPB3422" s="917"/>
      <c r="DPC3422" s="917"/>
      <c r="DPD3422" s="917"/>
      <c r="DPE3422" s="917" t="s">
        <v>78</v>
      </c>
      <c r="DPF3422" s="917"/>
      <c r="DPG3422" s="917"/>
      <c r="DPH3422" s="917"/>
      <c r="DPI3422" s="917"/>
      <c r="DPJ3422" s="917"/>
      <c r="DPK3422" s="917"/>
      <c r="DPL3422" s="917"/>
      <c r="DPM3422" s="917"/>
      <c r="DPN3422" s="917"/>
      <c r="DPO3422" s="917"/>
      <c r="DPP3422" s="917"/>
      <c r="DPQ3422" s="917"/>
      <c r="DPR3422" s="917"/>
      <c r="DPS3422" s="917"/>
      <c r="DPT3422" s="917"/>
      <c r="DPU3422" s="917"/>
      <c r="DPV3422" s="917"/>
      <c r="DPW3422" s="917"/>
      <c r="DPX3422" s="917"/>
      <c r="DPY3422" s="917"/>
      <c r="DPZ3422" s="917"/>
      <c r="DQA3422" s="917"/>
      <c r="DQB3422" s="917"/>
      <c r="DQC3422" s="917"/>
      <c r="DQD3422" s="917"/>
      <c r="DQE3422" s="917"/>
      <c r="DQF3422" s="917"/>
      <c r="DQG3422" s="917"/>
      <c r="DQH3422" s="917"/>
      <c r="DQI3422" s="917"/>
      <c r="DQJ3422" s="917"/>
      <c r="DQK3422" s="917" t="s">
        <v>78</v>
      </c>
      <c r="DQL3422" s="917"/>
      <c r="DQM3422" s="917"/>
      <c r="DQN3422" s="917"/>
      <c r="DQO3422" s="917"/>
      <c r="DQP3422" s="917"/>
      <c r="DQQ3422" s="917"/>
      <c r="DQR3422" s="917"/>
      <c r="DQS3422" s="917"/>
      <c r="DQT3422" s="917"/>
      <c r="DQU3422" s="917"/>
      <c r="DQV3422" s="917"/>
      <c r="DQW3422" s="917"/>
      <c r="DQX3422" s="917"/>
      <c r="DQY3422" s="917"/>
      <c r="DQZ3422" s="917"/>
      <c r="DRA3422" s="917"/>
      <c r="DRB3422" s="917"/>
      <c r="DRC3422" s="917"/>
      <c r="DRD3422" s="917"/>
      <c r="DRE3422" s="917"/>
      <c r="DRF3422" s="917"/>
      <c r="DRG3422" s="917"/>
      <c r="DRH3422" s="917"/>
      <c r="DRI3422" s="917"/>
      <c r="DRJ3422" s="917"/>
      <c r="DRK3422" s="917"/>
      <c r="DRL3422" s="917"/>
      <c r="DRM3422" s="917"/>
      <c r="DRN3422" s="917"/>
      <c r="DRO3422" s="917"/>
      <c r="DRP3422" s="917"/>
      <c r="DRQ3422" s="917" t="s">
        <v>78</v>
      </c>
      <c r="DRR3422" s="917"/>
      <c r="DRS3422" s="917"/>
      <c r="DRT3422" s="917"/>
      <c r="DRU3422" s="917"/>
      <c r="DRV3422" s="917"/>
      <c r="DRW3422" s="917"/>
      <c r="DRX3422" s="917"/>
      <c r="DRY3422" s="917"/>
      <c r="DRZ3422" s="917"/>
      <c r="DSA3422" s="917"/>
      <c r="DSB3422" s="917"/>
      <c r="DSC3422" s="917"/>
      <c r="DSD3422" s="917"/>
      <c r="DSE3422" s="917"/>
      <c r="DSF3422" s="917"/>
      <c r="DSG3422" s="917"/>
      <c r="DSH3422" s="917"/>
      <c r="DSI3422" s="917"/>
      <c r="DSJ3422" s="917"/>
      <c r="DSK3422" s="917"/>
      <c r="DSL3422" s="917"/>
      <c r="DSM3422" s="917"/>
      <c r="DSN3422" s="917"/>
      <c r="DSO3422" s="917"/>
      <c r="DSP3422" s="917"/>
      <c r="DSQ3422" s="917"/>
      <c r="DSR3422" s="917"/>
      <c r="DSS3422" s="917"/>
      <c r="DST3422" s="917"/>
      <c r="DSU3422" s="917"/>
      <c r="DSV3422" s="917"/>
      <c r="DSW3422" s="917" t="s">
        <v>78</v>
      </c>
      <c r="DSX3422" s="917"/>
      <c r="DSY3422" s="917"/>
      <c r="DSZ3422" s="917"/>
      <c r="DTA3422" s="917"/>
      <c r="DTB3422" s="917"/>
      <c r="DTC3422" s="917"/>
      <c r="DTD3422" s="917"/>
      <c r="DTE3422" s="917"/>
      <c r="DTF3422" s="917"/>
      <c r="DTG3422" s="917"/>
      <c r="DTH3422" s="917"/>
      <c r="DTI3422" s="917"/>
      <c r="DTJ3422" s="917"/>
      <c r="DTK3422" s="917"/>
      <c r="DTL3422" s="917"/>
      <c r="DTM3422" s="917"/>
      <c r="DTN3422" s="917"/>
      <c r="DTO3422" s="917"/>
      <c r="DTP3422" s="917"/>
      <c r="DTQ3422" s="917"/>
      <c r="DTR3422" s="917"/>
      <c r="DTS3422" s="917"/>
      <c r="DTT3422" s="917"/>
      <c r="DTU3422" s="917"/>
      <c r="DTV3422" s="917"/>
      <c r="DTW3422" s="917"/>
      <c r="DTX3422" s="917"/>
      <c r="DTY3422" s="917"/>
      <c r="DTZ3422" s="917"/>
      <c r="DUA3422" s="917"/>
      <c r="DUB3422" s="917"/>
      <c r="DUC3422" s="917" t="s">
        <v>78</v>
      </c>
      <c r="DUD3422" s="917"/>
      <c r="DUE3422" s="917"/>
      <c r="DUF3422" s="917"/>
      <c r="DUG3422" s="917"/>
      <c r="DUH3422" s="917"/>
      <c r="DUI3422" s="917"/>
      <c r="DUJ3422" s="917"/>
      <c r="DUK3422" s="917"/>
      <c r="DUL3422" s="917"/>
      <c r="DUM3422" s="917"/>
      <c r="DUN3422" s="917"/>
      <c r="DUO3422" s="917"/>
      <c r="DUP3422" s="917"/>
      <c r="DUQ3422" s="917"/>
      <c r="DUR3422" s="917"/>
      <c r="DUS3422" s="917"/>
      <c r="DUT3422" s="917"/>
      <c r="DUU3422" s="917"/>
      <c r="DUV3422" s="917"/>
      <c r="DUW3422" s="917"/>
      <c r="DUX3422" s="917"/>
      <c r="DUY3422" s="917"/>
      <c r="DUZ3422" s="917"/>
      <c r="DVA3422" s="917"/>
      <c r="DVB3422" s="917"/>
      <c r="DVC3422" s="917"/>
      <c r="DVD3422" s="917"/>
      <c r="DVE3422" s="917"/>
      <c r="DVF3422" s="917"/>
      <c r="DVG3422" s="917"/>
      <c r="DVH3422" s="917"/>
      <c r="DVI3422" s="917" t="s">
        <v>78</v>
      </c>
      <c r="DVJ3422" s="917"/>
      <c r="DVK3422" s="917"/>
      <c r="DVL3422" s="917"/>
      <c r="DVM3422" s="917"/>
      <c r="DVN3422" s="917"/>
      <c r="DVO3422" s="917"/>
      <c r="DVP3422" s="917"/>
      <c r="DVQ3422" s="917"/>
      <c r="DVR3422" s="917"/>
      <c r="DVS3422" s="917"/>
      <c r="DVT3422" s="917"/>
      <c r="DVU3422" s="917"/>
      <c r="DVV3422" s="917"/>
      <c r="DVW3422" s="917"/>
      <c r="DVX3422" s="917"/>
      <c r="DVY3422" s="917"/>
      <c r="DVZ3422" s="917"/>
      <c r="DWA3422" s="917"/>
      <c r="DWB3422" s="917"/>
      <c r="DWC3422" s="917"/>
      <c r="DWD3422" s="917"/>
      <c r="DWE3422" s="917"/>
      <c r="DWF3422" s="917"/>
      <c r="DWG3422" s="917"/>
      <c r="DWH3422" s="917"/>
      <c r="DWI3422" s="917"/>
      <c r="DWJ3422" s="917"/>
      <c r="DWK3422" s="917"/>
      <c r="DWL3422" s="917"/>
      <c r="DWM3422" s="917"/>
      <c r="DWN3422" s="917"/>
      <c r="DWO3422" s="917" t="s">
        <v>78</v>
      </c>
      <c r="DWP3422" s="917"/>
      <c r="DWQ3422" s="917"/>
      <c r="DWR3422" s="917"/>
      <c r="DWS3422" s="917"/>
      <c r="DWT3422" s="917"/>
      <c r="DWU3422" s="917"/>
      <c r="DWV3422" s="917"/>
      <c r="DWW3422" s="917"/>
      <c r="DWX3422" s="917"/>
      <c r="DWY3422" s="917"/>
      <c r="DWZ3422" s="917"/>
      <c r="DXA3422" s="917"/>
      <c r="DXB3422" s="917"/>
      <c r="DXC3422" s="917"/>
      <c r="DXD3422" s="917"/>
      <c r="DXE3422" s="917"/>
      <c r="DXF3422" s="917"/>
      <c r="DXG3422" s="917"/>
      <c r="DXH3422" s="917"/>
      <c r="DXI3422" s="917"/>
      <c r="DXJ3422" s="917"/>
      <c r="DXK3422" s="917"/>
      <c r="DXL3422" s="917"/>
      <c r="DXM3422" s="917"/>
      <c r="DXN3422" s="917"/>
      <c r="DXO3422" s="917"/>
      <c r="DXP3422" s="917"/>
      <c r="DXQ3422" s="917"/>
      <c r="DXR3422" s="917"/>
      <c r="DXS3422" s="917"/>
      <c r="DXT3422" s="917"/>
      <c r="DXU3422" s="917" t="s">
        <v>78</v>
      </c>
      <c r="DXV3422" s="917"/>
      <c r="DXW3422" s="917"/>
      <c r="DXX3422" s="917"/>
      <c r="DXY3422" s="917"/>
      <c r="DXZ3422" s="917"/>
      <c r="DYA3422" s="917"/>
      <c r="DYB3422" s="917"/>
      <c r="DYC3422" s="917"/>
      <c r="DYD3422" s="917"/>
      <c r="DYE3422" s="917"/>
      <c r="DYF3422" s="917"/>
      <c r="DYG3422" s="917"/>
      <c r="DYH3422" s="917"/>
      <c r="DYI3422" s="917"/>
      <c r="DYJ3422" s="917"/>
      <c r="DYK3422" s="917"/>
      <c r="DYL3422" s="917"/>
      <c r="DYM3422" s="917"/>
      <c r="DYN3422" s="917"/>
      <c r="DYO3422" s="917"/>
      <c r="DYP3422" s="917"/>
      <c r="DYQ3422" s="917"/>
      <c r="DYR3422" s="917"/>
      <c r="DYS3422" s="917"/>
      <c r="DYT3422" s="917"/>
      <c r="DYU3422" s="917"/>
      <c r="DYV3422" s="917"/>
      <c r="DYW3422" s="917"/>
      <c r="DYX3422" s="917"/>
      <c r="DYY3422" s="917"/>
      <c r="DYZ3422" s="917"/>
      <c r="DZA3422" s="917" t="s">
        <v>78</v>
      </c>
      <c r="DZB3422" s="917"/>
      <c r="DZC3422" s="917"/>
      <c r="DZD3422" s="917"/>
      <c r="DZE3422" s="917"/>
      <c r="DZF3422" s="917"/>
      <c r="DZG3422" s="917"/>
      <c r="DZH3422" s="917"/>
      <c r="DZI3422" s="917"/>
      <c r="DZJ3422" s="917"/>
      <c r="DZK3422" s="917"/>
      <c r="DZL3422" s="917"/>
      <c r="DZM3422" s="917"/>
      <c r="DZN3422" s="917"/>
      <c r="DZO3422" s="917"/>
      <c r="DZP3422" s="917"/>
      <c r="DZQ3422" s="917"/>
      <c r="DZR3422" s="917"/>
      <c r="DZS3422" s="917"/>
      <c r="DZT3422" s="917"/>
      <c r="DZU3422" s="917"/>
      <c r="DZV3422" s="917"/>
      <c r="DZW3422" s="917"/>
      <c r="DZX3422" s="917"/>
      <c r="DZY3422" s="917"/>
      <c r="DZZ3422" s="917"/>
      <c r="EAA3422" s="917"/>
      <c r="EAB3422" s="917"/>
      <c r="EAC3422" s="917"/>
      <c r="EAD3422" s="917"/>
      <c r="EAE3422" s="917"/>
      <c r="EAF3422" s="917"/>
      <c r="EAG3422" s="917" t="s">
        <v>78</v>
      </c>
      <c r="EAH3422" s="917"/>
      <c r="EAI3422" s="917"/>
      <c r="EAJ3422" s="917"/>
      <c r="EAK3422" s="917"/>
      <c r="EAL3422" s="917"/>
      <c r="EAM3422" s="917"/>
      <c r="EAN3422" s="917"/>
      <c r="EAO3422" s="917"/>
      <c r="EAP3422" s="917"/>
      <c r="EAQ3422" s="917"/>
      <c r="EAR3422" s="917"/>
      <c r="EAS3422" s="917"/>
      <c r="EAT3422" s="917"/>
      <c r="EAU3422" s="917"/>
      <c r="EAV3422" s="917"/>
      <c r="EAW3422" s="917"/>
      <c r="EAX3422" s="917"/>
      <c r="EAY3422" s="917"/>
      <c r="EAZ3422" s="917"/>
      <c r="EBA3422" s="917"/>
      <c r="EBB3422" s="917"/>
      <c r="EBC3422" s="917"/>
      <c r="EBD3422" s="917"/>
      <c r="EBE3422" s="917"/>
      <c r="EBF3422" s="917"/>
      <c r="EBG3422" s="917"/>
      <c r="EBH3422" s="917"/>
      <c r="EBI3422" s="917"/>
      <c r="EBJ3422" s="917"/>
      <c r="EBK3422" s="917"/>
      <c r="EBL3422" s="917"/>
      <c r="EBM3422" s="917" t="s">
        <v>78</v>
      </c>
      <c r="EBN3422" s="917"/>
      <c r="EBO3422" s="917"/>
      <c r="EBP3422" s="917"/>
      <c r="EBQ3422" s="917"/>
      <c r="EBR3422" s="917"/>
      <c r="EBS3422" s="917"/>
      <c r="EBT3422" s="917"/>
      <c r="EBU3422" s="917"/>
      <c r="EBV3422" s="917"/>
      <c r="EBW3422" s="917"/>
      <c r="EBX3422" s="917"/>
      <c r="EBY3422" s="917"/>
      <c r="EBZ3422" s="917"/>
      <c r="ECA3422" s="917"/>
      <c r="ECB3422" s="917"/>
      <c r="ECC3422" s="917"/>
      <c r="ECD3422" s="917"/>
      <c r="ECE3422" s="917"/>
      <c r="ECF3422" s="917"/>
      <c r="ECG3422" s="917"/>
      <c r="ECH3422" s="917"/>
      <c r="ECI3422" s="917"/>
      <c r="ECJ3422" s="917"/>
      <c r="ECK3422" s="917"/>
      <c r="ECL3422" s="917"/>
      <c r="ECM3422" s="917"/>
      <c r="ECN3422" s="917"/>
      <c r="ECO3422" s="917"/>
      <c r="ECP3422" s="917"/>
      <c r="ECQ3422" s="917"/>
      <c r="ECR3422" s="917"/>
      <c r="ECS3422" s="917" t="s">
        <v>78</v>
      </c>
      <c r="ECT3422" s="917"/>
      <c r="ECU3422" s="917"/>
      <c r="ECV3422" s="917"/>
      <c r="ECW3422" s="917"/>
      <c r="ECX3422" s="917"/>
      <c r="ECY3422" s="917"/>
      <c r="ECZ3422" s="917"/>
      <c r="EDA3422" s="917"/>
      <c r="EDB3422" s="917"/>
      <c r="EDC3422" s="917"/>
      <c r="EDD3422" s="917"/>
      <c r="EDE3422" s="917"/>
      <c r="EDF3422" s="917"/>
      <c r="EDG3422" s="917"/>
      <c r="EDH3422" s="917"/>
      <c r="EDI3422" s="917"/>
      <c r="EDJ3422" s="917"/>
      <c r="EDK3422" s="917"/>
      <c r="EDL3422" s="917"/>
      <c r="EDM3422" s="917"/>
      <c r="EDN3422" s="917"/>
      <c r="EDO3422" s="917"/>
      <c r="EDP3422" s="917"/>
      <c r="EDQ3422" s="917"/>
      <c r="EDR3422" s="917"/>
      <c r="EDS3422" s="917"/>
      <c r="EDT3422" s="917"/>
      <c r="EDU3422" s="917"/>
      <c r="EDV3422" s="917"/>
      <c r="EDW3422" s="917"/>
      <c r="EDX3422" s="917"/>
      <c r="EDY3422" s="917" t="s">
        <v>78</v>
      </c>
      <c r="EDZ3422" s="917"/>
      <c r="EEA3422" s="917"/>
      <c r="EEB3422" s="917"/>
      <c r="EEC3422" s="917"/>
      <c r="EED3422" s="917"/>
      <c r="EEE3422" s="917"/>
      <c r="EEF3422" s="917"/>
      <c r="EEG3422" s="917"/>
      <c r="EEH3422" s="917"/>
      <c r="EEI3422" s="917"/>
      <c r="EEJ3422" s="917"/>
      <c r="EEK3422" s="917"/>
      <c r="EEL3422" s="917"/>
      <c r="EEM3422" s="917"/>
      <c r="EEN3422" s="917"/>
      <c r="EEO3422" s="917"/>
      <c r="EEP3422" s="917"/>
      <c r="EEQ3422" s="917"/>
      <c r="EER3422" s="917"/>
      <c r="EES3422" s="917"/>
      <c r="EET3422" s="917"/>
      <c r="EEU3422" s="917"/>
      <c r="EEV3422" s="917"/>
      <c r="EEW3422" s="917"/>
      <c r="EEX3422" s="917"/>
      <c r="EEY3422" s="917"/>
      <c r="EEZ3422" s="917"/>
      <c r="EFA3422" s="917"/>
      <c r="EFB3422" s="917"/>
      <c r="EFC3422" s="917"/>
      <c r="EFD3422" s="917"/>
      <c r="EFE3422" s="917" t="s">
        <v>78</v>
      </c>
      <c r="EFF3422" s="917"/>
      <c r="EFG3422" s="917"/>
      <c r="EFH3422" s="917"/>
      <c r="EFI3422" s="917"/>
      <c r="EFJ3422" s="917"/>
      <c r="EFK3422" s="917"/>
      <c r="EFL3422" s="917"/>
      <c r="EFM3422" s="917"/>
      <c r="EFN3422" s="917"/>
      <c r="EFO3422" s="917"/>
      <c r="EFP3422" s="917"/>
      <c r="EFQ3422" s="917"/>
      <c r="EFR3422" s="917"/>
      <c r="EFS3422" s="917"/>
      <c r="EFT3422" s="917"/>
      <c r="EFU3422" s="917"/>
      <c r="EFV3422" s="917"/>
      <c r="EFW3422" s="917"/>
      <c r="EFX3422" s="917"/>
      <c r="EFY3422" s="917"/>
      <c r="EFZ3422" s="917"/>
      <c r="EGA3422" s="917"/>
      <c r="EGB3422" s="917"/>
      <c r="EGC3422" s="917"/>
      <c r="EGD3422" s="917"/>
      <c r="EGE3422" s="917"/>
      <c r="EGF3422" s="917"/>
      <c r="EGG3422" s="917"/>
      <c r="EGH3422" s="917"/>
      <c r="EGI3422" s="917"/>
      <c r="EGJ3422" s="917"/>
      <c r="EGK3422" s="917" t="s">
        <v>78</v>
      </c>
      <c r="EGL3422" s="917"/>
      <c r="EGM3422" s="917"/>
      <c r="EGN3422" s="917"/>
      <c r="EGO3422" s="917"/>
      <c r="EGP3422" s="917"/>
      <c r="EGQ3422" s="917"/>
      <c r="EGR3422" s="917"/>
      <c r="EGS3422" s="917"/>
      <c r="EGT3422" s="917"/>
      <c r="EGU3422" s="917"/>
      <c r="EGV3422" s="917"/>
      <c r="EGW3422" s="917"/>
      <c r="EGX3422" s="917"/>
      <c r="EGY3422" s="917"/>
      <c r="EGZ3422" s="917"/>
      <c r="EHA3422" s="917"/>
      <c r="EHB3422" s="917"/>
      <c r="EHC3422" s="917"/>
      <c r="EHD3422" s="917"/>
      <c r="EHE3422" s="917"/>
      <c r="EHF3422" s="917"/>
      <c r="EHG3422" s="917"/>
      <c r="EHH3422" s="917"/>
      <c r="EHI3422" s="917"/>
      <c r="EHJ3422" s="917"/>
      <c r="EHK3422" s="917"/>
      <c r="EHL3422" s="917"/>
      <c r="EHM3422" s="917"/>
      <c r="EHN3422" s="917"/>
      <c r="EHO3422" s="917"/>
      <c r="EHP3422" s="917"/>
      <c r="EHQ3422" s="917" t="s">
        <v>78</v>
      </c>
      <c r="EHR3422" s="917"/>
      <c r="EHS3422" s="917"/>
      <c r="EHT3422" s="917"/>
      <c r="EHU3422" s="917"/>
      <c r="EHV3422" s="917"/>
      <c r="EHW3422" s="917"/>
      <c r="EHX3422" s="917"/>
      <c r="EHY3422" s="917"/>
      <c r="EHZ3422" s="917"/>
      <c r="EIA3422" s="917"/>
      <c r="EIB3422" s="917"/>
      <c r="EIC3422" s="917"/>
      <c r="EID3422" s="917"/>
      <c r="EIE3422" s="917"/>
      <c r="EIF3422" s="917"/>
      <c r="EIG3422" s="917"/>
      <c r="EIH3422" s="917"/>
      <c r="EII3422" s="917"/>
      <c r="EIJ3422" s="917"/>
      <c r="EIK3422" s="917"/>
      <c r="EIL3422" s="917"/>
      <c r="EIM3422" s="917"/>
      <c r="EIN3422" s="917"/>
      <c r="EIO3422" s="917"/>
      <c r="EIP3422" s="917"/>
      <c r="EIQ3422" s="917"/>
      <c r="EIR3422" s="917"/>
      <c r="EIS3422" s="917"/>
      <c r="EIT3422" s="917"/>
      <c r="EIU3422" s="917"/>
      <c r="EIV3422" s="917"/>
      <c r="EIW3422" s="917" t="s">
        <v>78</v>
      </c>
      <c r="EIX3422" s="917"/>
      <c r="EIY3422" s="917"/>
      <c r="EIZ3422" s="917"/>
      <c r="EJA3422" s="917"/>
      <c r="EJB3422" s="917"/>
      <c r="EJC3422" s="917"/>
      <c r="EJD3422" s="917"/>
      <c r="EJE3422" s="917"/>
      <c r="EJF3422" s="917"/>
      <c r="EJG3422" s="917"/>
      <c r="EJH3422" s="917"/>
      <c r="EJI3422" s="917"/>
      <c r="EJJ3422" s="917"/>
      <c r="EJK3422" s="917"/>
      <c r="EJL3422" s="917"/>
      <c r="EJM3422" s="917"/>
      <c r="EJN3422" s="917"/>
      <c r="EJO3422" s="917"/>
      <c r="EJP3422" s="917"/>
      <c r="EJQ3422" s="917"/>
      <c r="EJR3422" s="917"/>
      <c r="EJS3422" s="917"/>
      <c r="EJT3422" s="917"/>
      <c r="EJU3422" s="917"/>
      <c r="EJV3422" s="917"/>
      <c r="EJW3422" s="917"/>
      <c r="EJX3422" s="917"/>
      <c r="EJY3422" s="917"/>
      <c r="EJZ3422" s="917"/>
      <c r="EKA3422" s="917"/>
      <c r="EKB3422" s="917"/>
      <c r="EKC3422" s="917" t="s">
        <v>78</v>
      </c>
      <c r="EKD3422" s="917"/>
      <c r="EKE3422" s="917"/>
      <c r="EKF3422" s="917"/>
      <c r="EKG3422" s="917"/>
      <c r="EKH3422" s="917"/>
      <c r="EKI3422" s="917"/>
      <c r="EKJ3422" s="917"/>
      <c r="EKK3422" s="917"/>
      <c r="EKL3422" s="917"/>
      <c r="EKM3422" s="917"/>
      <c r="EKN3422" s="917"/>
      <c r="EKO3422" s="917"/>
      <c r="EKP3422" s="917"/>
      <c r="EKQ3422" s="917"/>
      <c r="EKR3422" s="917"/>
      <c r="EKS3422" s="917"/>
      <c r="EKT3422" s="917"/>
      <c r="EKU3422" s="917"/>
      <c r="EKV3422" s="917"/>
      <c r="EKW3422" s="917"/>
      <c r="EKX3422" s="917"/>
      <c r="EKY3422" s="917"/>
      <c r="EKZ3422" s="917"/>
      <c r="ELA3422" s="917"/>
      <c r="ELB3422" s="917"/>
      <c r="ELC3422" s="917"/>
      <c r="ELD3422" s="917"/>
      <c r="ELE3422" s="917"/>
      <c r="ELF3422" s="917"/>
      <c r="ELG3422" s="917"/>
      <c r="ELH3422" s="917"/>
      <c r="ELI3422" s="917" t="s">
        <v>78</v>
      </c>
      <c r="ELJ3422" s="917"/>
      <c r="ELK3422" s="917"/>
      <c r="ELL3422" s="917"/>
      <c r="ELM3422" s="917"/>
      <c r="ELN3422" s="917"/>
      <c r="ELO3422" s="917"/>
      <c r="ELP3422" s="917"/>
      <c r="ELQ3422" s="917"/>
      <c r="ELR3422" s="917"/>
      <c r="ELS3422" s="917"/>
      <c r="ELT3422" s="917"/>
      <c r="ELU3422" s="917"/>
      <c r="ELV3422" s="917"/>
      <c r="ELW3422" s="917"/>
      <c r="ELX3422" s="917"/>
      <c r="ELY3422" s="917"/>
      <c r="ELZ3422" s="917"/>
      <c r="EMA3422" s="917"/>
      <c r="EMB3422" s="917"/>
      <c r="EMC3422" s="917"/>
      <c r="EMD3422" s="917"/>
      <c r="EME3422" s="917"/>
      <c r="EMF3422" s="917"/>
      <c r="EMG3422" s="917"/>
      <c r="EMH3422" s="917"/>
      <c r="EMI3422" s="917"/>
      <c r="EMJ3422" s="917"/>
      <c r="EMK3422" s="917"/>
      <c r="EML3422" s="917"/>
      <c r="EMM3422" s="917"/>
      <c r="EMN3422" s="917"/>
      <c r="EMO3422" s="917" t="s">
        <v>78</v>
      </c>
      <c r="EMP3422" s="917"/>
      <c r="EMQ3422" s="917"/>
      <c r="EMR3422" s="917"/>
      <c r="EMS3422" s="917"/>
      <c r="EMT3422" s="917"/>
      <c r="EMU3422" s="917"/>
      <c r="EMV3422" s="917"/>
      <c r="EMW3422" s="917"/>
      <c r="EMX3422" s="917"/>
      <c r="EMY3422" s="917"/>
      <c r="EMZ3422" s="917"/>
      <c r="ENA3422" s="917"/>
      <c r="ENB3422" s="917"/>
      <c r="ENC3422" s="917"/>
      <c r="END3422" s="917"/>
      <c r="ENE3422" s="917"/>
      <c r="ENF3422" s="917"/>
      <c r="ENG3422" s="917"/>
      <c r="ENH3422" s="917"/>
      <c r="ENI3422" s="917"/>
      <c r="ENJ3422" s="917"/>
      <c r="ENK3422" s="917"/>
      <c r="ENL3422" s="917"/>
      <c r="ENM3422" s="917"/>
      <c r="ENN3422" s="917"/>
      <c r="ENO3422" s="917"/>
      <c r="ENP3422" s="917"/>
      <c r="ENQ3422" s="917"/>
      <c r="ENR3422" s="917"/>
      <c r="ENS3422" s="917"/>
      <c r="ENT3422" s="917"/>
      <c r="ENU3422" s="917" t="s">
        <v>78</v>
      </c>
      <c r="ENV3422" s="917"/>
      <c r="ENW3422" s="917"/>
      <c r="ENX3422" s="917"/>
      <c r="ENY3422" s="917"/>
      <c r="ENZ3422" s="917"/>
      <c r="EOA3422" s="917"/>
      <c r="EOB3422" s="917"/>
      <c r="EOC3422" s="917"/>
      <c r="EOD3422" s="917"/>
      <c r="EOE3422" s="917"/>
      <c r="EOF3422" s="917"/>
      <c r="EOG3422" s="917"/>
      <c r="EOH3422" s="917"/>
      <c r="EOI3422" s="917"/>
      <c r="EOJ3422" s="917"/>
      <c r="EOK3422" s="917"/>
      <c r="EOL3422" s="917"/>
      <c r="EOM3422" s="917"/>
      <c r="EON3422" s="917"/>
      <c r="EOO3422" s="917"/>
      <c r="EOP3422" s="917"/>
      <c r="EOQ3422" s="917"/>
      <c r="EOR3422" s="917"/>
      <c r="EOS3422" s="917"/>
      <c r="EOT3422" s="917"/>
      <c r="EOU3422" s="917"/>
      <c r="EOV3422" s="917"/>
      <c r="EOW3422" s="917"/>
      <c r="EOX3422" s="917"/>
      <c r="EOY3422" s="917"/>
      <c r="EOZ3422" s="917"/>
      <c r="EPA3422" s="917" t="s">
        <v>78</v>
      </c>
      <c r="EPB3422" s="917"/>
      <c r="EPC3422" s="917"/>
      <c r="EPD3422" s="917"/>
      <c r="EPE3422" s="917"/>
      <c r="EPF3422" s="917"/>
      <c r="EPG3422" s="917"/>
      <c r="EPH3422" s="917"/>
      <c r="EPI3422" s="917"/>
      <c r="EPJ3422" s="917"/>
      <c r="EPK3422" s="917"/>
      <c r="EPL3422" s="917"/>
      <c r="EPM3422" s="917"/>
      <c r="EPN3422" s="917"/>
      <c r="EPO3422" s="917"/>
      <c r="EPP3422" s="917"/>
      <c r="EPQ3422" s="917"/>
      <c r="EPR3422" s="917"/>
      <c r="EPS3422" s="917"/>
      <c r="EPT3422" s="917"/>
      <c r="EPU3422" s="917"/>
      <c r="EPV3422" s="917"/>
      <c r="EPW3422" s="917"/>
      <c r="EPX3422" s="917"/>
      <c r="EPY3422" s="917"/>
      <c r="EPZ3422" s="917"/>
      <c r="EQA3422" s="917"/>
      <c r="EQB3422" s="917"/>
      <c r="EQC3422" s="917"/>
      <c r="EQD3422" s="917"/>
      <c r="EQE3422" s="917"/>
      <c r="EQF3422" s="917"/>
      <c r="EQG3422" s="917" t="s">
        <v>78</v>
      </c>
      <c r="EQH3422" s="917"/>
      <c r="EQI3422" s="917"/>
      <c r="EQJ3422" s="917"/>
      <c r="EQK3422" s="917"/>
      <c r="EQL3422" s="917"/>
      <c r="EQM3422" s="917"/>
      <c r="EQN3422" s="917"/>
      <c r="EQO3422" s="917"/>
      <c r="EQP3422" s="917"/>
      <c r="EQQ3422" s="917"/>
      <c r="EQR3422" s="917"/>
      <c r="EQS3422" s="917"/>
      <c r="EQT3422" s="917"/>
      <c r="EQU3422" s="917"/>
      <c r="EQV3422" s="917"/>
      <c r="EQW3422" s="917"/>
      <c r="EQX3422" s="917"/>
      <c r="EQY3422" s="917"/>
      <c r="EQZ3422" s="917"/>
      <c r="ERA3422" s="917"/>
      <c r="ERB3422" s="917"/>
      <c r="ERC3422" s="917"/>
      <c r="ERD3422" s="917"/>
      <c r="ERE3422" s="917"/>
      <c r="ERF3422" s="917"/>
      <c r="ERG3422" s="917"/>
      <c r="ERH3422" s="917"/>
      <c r="ERI3422" s="917"/>
      <c r="ERJ3422" s="917"/>
      <c r="ERK3422" s="917"/>
      <c r="ERL3422" s="917"/>
      <c r="ERM3422" s="917" t="s">
        <v>78</v>
      </c>
      <c r="ERN3422" s="917"/>
      <c r="ERO3422" s="917"/>
      <c r="ERP3422" s="917"/>
      <c r="ERQ3422" s="917"/>
      <c r="ERR3422" s="917"/>
      <c r="ERS3422" s="917"/>
      <c r="ERT3422" s="917"/>
      <c r="ERU3422" s="917"/>
      <c r="ERV3422" s="917"/>
      <c r="ERW3422" s="917"/>
      <c r="ERX3422" s="917"/>
      <c r="ERY3422" s="917"/>
      <c r="ERZ3422" s="917"/>
      <c r="ESA3422" s="917"/>
      <c r="ESB3422" s="917"/>
      <c r="ESC3422" s="917"/>
      <c r="ESD3422" s="917"/>
      <c r="ESE3422" s="917"/>
      <c r="ESF3422" s="917"/>
      <c r="ESG3422" s="917"/>
      <c r="ESH3422" s="917"/>
      <c r="ESI3422" s="917"/>
      <c r="ESJ3422" s="917"/>
      <c r="ESK3422" s="917"/>
      <c r="ESL3422" s="917"/>
      <c r="ESM3422" s="917"/>
      <c r="ESN3422" s="917"/>
      <c r="ESO3422" s="917"/>
      <c r="ESP3422" s="917"/>
      <c r="ESQ3422" s="917"/>
      <c r="ESR3422" s="917"/>
      <c r="ESS3422" s="917" t="s">
        <v>78</v>
      </c>
      <c r="EST3422" s="917"/>
      <c r="ESU3422" s="917"/>
      <c r="ESV3422" s="917"/>
      <c r="ESW3422" s="917"/>
      <c r="ESX3422" s="917"/>
      <c r="ESY3422" s="917"/>
      <c r="ESZ3422" s="917"/>
      <c r="ETA3422" s="917"/>
      <c r="ETB3422" s="917"/>
      <c r="ETC3422" s="917"/>
      <c r="ETD3422" s="917"/>
      <c r="ETE3422" s="917"/>
      <c r="ETF3422" s="917"/>
      <c r="ETG3422" s="917"/>
      <c r="ETH3422" s="917"/>
      <c r="ETI3422" s="917"/>
      <c r="ETJ3422" s="917"/>
      <c r="ETK3422" s="917"/>
      <c r="ETL3422" s="917"/>
      <c r="ETM3422" s="917"/>
      <c r="ETN3422" s="917"/>
      <c r="ETO3422" s="917"/>
      <c r="ETP3422" s="917"/>
      <c r="ETQ3422" s="917"/>
      <c r="ETR3422" s="917"/>
      <c r="ETS3422" s="917"/>
      <c r="ETT3422" s="917"/>
      <c r="ETU3422" s="917"/>
      <c r="ETV3422" s="917"/>
      <c r="ETW3422" s="917"/>
      <c r="ETX3422" s="917"/>
      <c r="ETY3422" s="917" t="s">
        <v>78</v>
      </c>
      <c r="ETZ3422" s="917"/>
      <c r="EUA3422" s="917"/>
      <c r="EUB3422" s="917"/>
      <c r="EUC3422" s="917"/>
      <c r="EUD3422" s="917"/>
      <c r="EUE3422" s="917"/>
      <c r="EUF3422" s="917"/>
      <c r="EUG3422" s="917"/>
      <c r="EUH3422" s="917"/>
      <c r="EUI3422" s="917"/>
      <c r="EUJ3422" s="917"/>
      <c r="EUK3422" s="917"/>
      <c r="EUL3422" s="917"/>
      <c r="EUM3422" s="917"/>
      <c r="EUN3422" s="917"/>
      <c r="EUO3422" s="917"/>
      <c r="EUP3422" s="917"/>
      <c r="EUQ3422" s="917"/>
      <c r="EUR3422" s="917"/>
      <c r="EUS3422" s="917"/>
      <c r="EUT3422" s="917"/>
      <c r="EUU3422" s="917"/>
      <c r="EUV3422" s="917"/>
      <c r="EUW3422" s="917"/>
      <c r="EUX3422" s="917"/>
      <c r="EUY3422" s="917"/>
      <c r="EUZ3422" s="917"/>
      <c r="EVA3422" s="917"/>
      <c r="EVB3422" s="917"/>
      <c r="EVC3422" s="917"/>
      <c r="EVD3422" s="917"/>
      <c r="EVE3422" s="917" t="s">
        <v>78</v>
      </c>
      <c r="EVF3422" s="917"/>
      <c r="EVG3422" s="917"/>
      <c r="EVH3422" s="917"/>
      <c r="EVI3422" s="917"/>
      <c r="EVJ3422" s="917"/>
      <c r="EVK3422" s="917"/>
      <c r="EVL3422" s="917"/>
      <c r="EVM3422" s="917"/>
      <c r="EVN3422" s="917"/>
      <c r="EVO3422" s="917"/>
      <c r="EVP3422" s="917"/>
      <c r="EVQ3422" s="917"/>
      <c r="EVR3422" s="917"/>
      <c r="EVS3422" s="917"/>
      <c r="EVT3422" s="917"/>
      <c r="EVU3422" s="917"/>
      <c r="EVV3422" s="917"/>
      <c r="EVW3422" s="917"/>
      <c r="EVX3422" s="917"/>
      <c r="EVY3422" s="917"/>
      <c r="EVZ3422" s="917"/>
      <c r="EWA3422" s="917"/>
      <c r="EWB3422" s="917"/>
      <c r="EWC3422" s="917"/>
      <c r="EWD3422" s="917"/>
      <c r="EWE3422" s="917"/>
      <c r="EWF3422" s="917"/>
      <c r="EWG3422" s="917"/>
      <c r="EWH3422" s="917"/>
      <c r="EWI3422" s="917"/>
      <c r="EWJ3422" s="917"/>
      <c r="EWK3422" s="917" t="s">
        <v>78</v>
      </c>
      <c r="EWL3422" s="917"/>
      <c r="EWM3422" s="917"/>
      <c r="EWN3422" s="917"/>
      <c r="EWO3422" s="917"/>
      <c r="EWP3422" s="917"/>
      <c r="EWQ3422" s="917"/>
      <c r="EWR3422" s="917"/>
      <c r="EWS3422" s="917"/>
      <c r="EWT3422" s="917"/>
      <c r="EWU3422" s="917"/>
      <c r="EWV3422" s="917"/>
      <c r="EWW3422" s="917"/>
      <c r="EWX3422" s="917"/>
      <c r="EWY3422" s="917"/>
      <c r="EWZ3422" s="917"/>
      <c r="EXA3422" s="917"/>
      <c r="EXB3422" s="917"/>
      <c r="EXC3422" s="917"/>
      <c r="EXD3422" s="917"/>
      <c r="EXE3422" s="917"/>
      <c r="EXF3422" s="917"/>
      <c r="EXG3422" s="917"/>
      <c r="EXH3422" s="917"/>
      <c r="EXI3422" s="917"/>
      <c r="EXJ3422" s="917"/>
      <c r="EXK3422" s="917"/>
      <c r="EXL3422" s="917"/>
      <c r="EXM3422" s="917"/>
      <c r="EXN3422" s="917"/>
      <c r="EXO3422" s="917"/>
      <c r="EXP3422" s="917"/>
      <c r="EXQ3422" s="917" t="s">
        <v>78</v>
      </c>
      <c r="EXR3422" s="917"/>
      <c r="EXS3422" s="917"/>
      <c r="EXT3422" s="917"/>
      <c r="EXU3422" s="917"/>
      <c r="EXV3422" s="917"/>
      <c r="EXW3422" s="917"/>
      <c r="EXX3422" s="917"/>
      <c r="EXY3422" s="917"/>
      <c r="EXZ3422" s="917"/>
      <c r="EYA3422" s="917"/>
      <c r="EYB3422" s="917"/>
      <c r="EYC3422" s="917"/>
      <c r="EYD3422" s="917"/>
      <c r="EYE3422" s="917"/>
      <c r="EYF3422" s="917"/>
      <c r="EYG3422" s="917"/>
      <c r="EYH3422" s="917"/>
      <c r="EYI3422" s="917"/>
      <c r="EYJ3422" s="917"/>
      <c r="EYK3422" s="917"/>
      <c r="EYL3422" s="917"/>
      <c r="EYM3422" s="917"/>
      <c r="EYN3422" s="917"/>
      <c r="EYO3422" s="917"/>
      <c r="EYP3422" s="917"/>
      <c r="EYQ3422" s="917"/>
      <c r="EYR3422" s="917"/>
      <c r="EYS3422" s="917"/>
      <c r="EYT3422" s="917"/>
      <c r="EYU3422" s="917"/>
      <c r="EYV3422" s="917"/>
      <c r="EYW3422" s="917" t="s">
        <v>78</v>
      </c>
      <c r="EYX3422" s="917"/>
      <c r="EYY3422" s="917"/>
      <c r="EYZ3422" s="917"/>
      <c r="EZA3422" s="917"/>
      <c r="EZB3422" s="917"/>
      <c r="EZC3422" s="917"/>
      <c r="EZD3422" s="917"/>
      <c r="EZE3422" s="917"/>
      <c r="EZF3422" s="917"/>
      <c r="EZG3422" s="917"/>
      <c r="EZH3422" s="917"/>
      <c r="EZI3422" s="917"/>
      <c r="EZJ3422" s="917"/>
      <c r="EZK3422" s="917"/>
      <c r="EZL3422" s="917"/>
      <c r="EZM3422" s="917"/>
      <c r="EZN3422" s="917"/>
      <c r="EZO3422" s="917"/>
      <c r="EZP3422" s="917"/>
      <c r="EZQ3422" s="917"/>
      <c r="EZR3422" s="917"/>
      <c r="EZS3422" s="917"/>
      <c r="EZT3422" s="917"/>
      <c r="EZU3422" s="917"/>
      <c r="EZV3422" s="917"/>
      <c r="EZW3422" s="917"/>
      <c r="EZX3422" s="917"/>
      <c r="EZY3422" s="917"/>
      <c r="EZZ3422" s="917"/>
      <c r="FAA3422" s="917"/>
      <c r="FAB3422" s="917"/>
      <c r="FAC3422" s="917" t="s">
        <v>78</v>
      </c>
      <c r="FAD3422" s="917"/>
      <c r="FAE3422" s="917"/>
      <c r="FAF3422" s="917"/>
      <c r="FAG3422" s="917"/>
      <c r="FAH3422" s="917"/>
      <c r="FAI3422" s="917"/>
      <c r="FAJ3422" s="917"/>
      <c r="FAK3422" s="917"/>
      <c r="FAL3422" s="917"/>
      <c r="FAM3422" s="917"/>
      <c r="FAN3422" s="917"/>
      <c r="FAO3422" s="917"/>
      <c r="FAP3422" s="917"/>
      <c r="FAQ3422" s="917"/>
      <c r="FAR3422" s="917"/>
      <c r="FAS3422" s="917"/>
      <c r="FAT3422" s="917"/>
      <c r="FAU3422" s="917"/>
      <c r="FAV3422" s="917"/>
      <c r="FAW3422" s="917"/>
      <c r="FAX3422" s="917"/>
      <c r="FAY3422" s="917"/>
      <c r="FAZ3422" s="917"/>
      <c r="FBA3422" s="917"/>
      <c r="FBB3422" s="917"/>
      <c r="FBC3422" s="917"/>
      <c r="FBD3422" s="917"/>
      <c r="FBE3422" s="917"/>
      <c r="FBF3422" s="917"/>
      <c r="FBG3422" s="917"/>
      <c r="FBH3422" s="917"/>
      <c r="FBI3422" s="917" t="s">
        <v>78</v>
      </c>
      <c r="FBJ3422" s="917"/>
      <c r="FBK3422" s="917"/>
      <c r="FBL3422" s="917"/>
      <c r="FBM3422" s="917"/>
      <c r="FBN3422" s="917"/>
      <c r="FBO3422" s="917"/>
      <c r="FBP3422" s="917"/>
      <c r="FBQ3422" s="917"/>
      <c r="FBR3422" s="917"/>
      <c r="FBS3422" s="917"/>
      <c r="FBT3422" s="917"/>
      <c r="FBU3422" s="917"/>
      <c r="FBV3422" s="917"/>
      <c r="FBW3422" s="917"/>
      <c r="FBX3422" s="917"/>
      <c r="FBY3422" s="917"/>
      <c r="FBZ3422" s="917"/>
      <c r="FCA3422" s="917"/>
      <c r="FCB3422" s="917"/>
      <c r="FCC3422" s="917"/>
      <c r="FCD3422" s="917"/>
      <c r="FCE3422" s="917"/>
      <c r="FCF3422" s="917"/>
      <c r="FCG3422" s="917"/>
      <c r="FCH3422" s="917"/>
      <c r="FCI3422" s="917"/>
      <c r="FCJ3422" s="917"/>
      <c r="FCK3422" s="917"/>
      <c r="FCL3422" s="917"/>
      <c r="FCM3422" s="917"/>
      <c r="FCN3422" s="917"/>
      <c r="FCO3422" s="917" t="s">
        <v>78</v>
      </c>
      <c r="FCP3422" s="917"/>
      <c r="FCQ3422" s="917"/>
      <c r="FCR3422" s="917"/>
      <c r="FCS3422" s="917"/>
      <c r="FCT3422" s="917"/>
      <c r="FCU3422" s="917"/>
      <c r="FCV3422" s="917"/>
      <c r="FCW3422" s="917"/>
      <c r="FCX3422" s="917"/>
      <c r="FCY3422" s="917"/>
      <c r="FCZ3422" s="917"/>
      <c r="FDA3422" s="917"/>
      <c r="FDB3422" s="917"/>
      <c r="FDC3422" s="917"/>
      <c r="FDD3422" s="917"/>
      <c r="FDE3422" s="917"/>
      <c r="FDF3422" s="917"/>
      <c r="FDG3422" s="917"/>
      <c r="FDH3422" s="917"/>
      <c r="FDI3422" s="917"/>
      <c r="FDJ3422" s="917"/>
      <c r="FDK3422" s="917"/>
      <c r="FDL3422" s="917"/>
      <c r="FDM3422" s="917"/>
      <c r="FDN3422" s="917"/>
      <c r="FDO3422" s="917"/>
      <c r="FDP3422" s="917"/>
      <c r="FDQ3422" s="917"/>
      <c r="FDR3422" s="917"/>
      <c r="FDS3422" s="917"/>
      <c r="FDT3422" s="917"/>
      <c r="FDU3422" s="917" t="s">
        <v>78</v>
      </c>
      <c r="FDV3422" s="917"/>
      <c r="FDW3422" s="917"/>
      <c r="FDX3422" s="917"/>
      <c r="FDY3422" s="917"/>
      <c r="FDZ3422" s="917"/>
      <c r="FEA3422" s="917"/>
      <c r="FEB3422" s="917"/>
      <c r="FEC3422" s="917"/>
      <c r="FED3422" s="917"/>
      <c r="FEE3422" s="917"/>
      <c r="FEF3422" s="917"/>
      <c r="FEG3422" s="917"/>
      <c r="FEH3422" s="917"/>
      <c r="FEI3422" s="917"/>
      <c r="FEJ3422" s="917"/>
      <c r="FEK3422" s="917"/>
      <c r="FEL3422" s="917"/>
      <c r="FEM3422" s="917"/>
      <c r="FEN3422" s="917"/>
      <c r="FEO3422" s="917"/>
      <c r="FEP3422" s="917"/>
      <c r="FEQ3422" s="917"/>
      <c r="FER3422" s="917"/>
      <c r="FES3422" s="917"/>
      <c r="FET3422" s="917"/>
      <c r="FEU3422" s="917"/>
      <c r="FEV3422" s="917"/>
      <c r="FEW3422" s="917"/>
      <c r="FEX3422" s="917"/>
      <c r="FEY3422" s="917"/>
      <c r="FEZ3422" s="917"/>
      <c r="FFA3422" s="917" t="s">
        <v>78</v>
      </c>
      <c r="FFB3422" s="917"/>
      <c r="FFC3422" s="917"/>
      <c r="FFD3422" s="917"/>
      <c r="FFE3422" s="917"/>
      <c r="FFF3422" s="917"/>
      <c r="FFG3422" s="917"/>
      <c r="FFH3422" s="917"/>
      <c r="FFI3422" s="917"/>
      <c r="FFJ3422" s="917"/>
      <c r="FFK3422" s="917"/>
      <c r="FFL3422" s="917"/>
      <c r="FFM3422" s="917"/>
      <c r="FFN3422" s="917"/>
      <c r="FFO3422" s="917"/>
      <c r="FFP3422" s="917"/>
      <c r="FFQ3422" s="917"/>
      <c r="FFR3422" s="917"/>
      <c r="FFS3422" s="917"/>
      <c r="FFT3422" s="917"/>
      <c r="FFU3422" s="917"/>
      <c r="FFV3422" s="917"/>
      <c r="FFW3422" s="917"/>
      <c r="FFX3422" s="917"/>
      <c r="FFY3422" s="917"/>
      <c r="FFZ3422" s="917"/>
      <c r="FGA3422" s="917"/>
      <c r="FGB3422" s="917"/>
      <c r="FGC3422" s="917"/>
      <c r="FGD3422" s="917"/>
      <c r="FGE3422" s="917"/>
      <c r="FGF3422" s="917"/>
      <c r="FGG3422" s="917" t="s">
        <v>78</v>
      </c>
      <c r="FGH3422" s="917"/>
      <c r="FGI3422" s="917"/>
      <c r="FGJ3422" s="917"/>
      <c r="FGK3422" s="917"/>
      <c r="FGL3422" s="917"/>
      <c r="FGM3422" s="917"/>
      <c r="FGN3422" s="917"/>
      <c r="FGO3422" s="917"/>
      <c r="FGP3422" s="917"/>
      <c r="FGQ3422" s="917"/>
      <c r="FGR3422" s="917"/>
      <c r="FGS3422" s="917"/>
      <c r="FGT3422" s="917"/>
      <c r="FGU3422" s="917"/>
      <c r="FGV3422" s="917"/>
      <c r="FGW3422" s="917"/>
      <c r="FGX3422" s="917"/>
      <c r="FGY3422" s="917"/>
      <c r="FGZ3422" s="917"/>
      <c r="FHA3422" s="917"/>
      <c r="FHB3422" s="917"/>
      <c r="FHC3422" s="917"/>
      <c r="FHD3422" s="917"/>
      <c r="FHE3422" s="917"/>
      <c r="FHF3422" s="917"/>
      <c r="FHG3422" s="917"/>
      <c r="FHH3422" s="917"/>
      <c r="FHI3422" s="917"/>
      <c r="FHJ3422" s="917"/>
      <c r="FHK3422" s="917"/>
      <c r="FHL3422" s="917"/>
      <c r="FHM3422" s="917" t="s">
        <v>78</v>
      </c>
      <c r="FHN3422" s="917"/>
      <c r="FHO3422" s="917"/>
      <c r="FHP3422" s="917"/>
      <c r="FHQ3422" s="917"/>
      <c r="FHR3422" s="917"/>
      <c r="FHS3422" s="917"/>
      <c r="FHT3422" s="917"/>
      <c r="FHU3422" s="917"/>
      <c r="FHV3422" s="917"/>
      <c r="FHW3422" s="917"/>
      <c r="FHX3422" s="917"/>
      <c r="FHY3422" s="917"/>
      <c r="FHZ3422" s="917"/>
      <c r="FIA3422" s="917"/>
      <c r="FIB3422" s="917"/>
      <c r="FIC3422" s="917"/>
      <c r="FID3422" s="917"/>
      <c r="FIE3422" s="917"/>
      <c r="FIF3422" s="917"/>
      <c r="FIG3422" s="917"/>
      <c r="FIH3422" s="917"/>
      <c r="FII3422" s="917"/>
      <c r="FIJ3422" s="917"/>
      <c r="FIK3422" s="917"/>
      <c r="FIL3422" s="917"/>
      <c r="FIM3422" s="917"/>
      <c r="FIN3422" s="917"/>
      <c r="FIO3422" s="917"/>
      <c r="FIP3422" s="917"/>
      <c r="FIQ3422" s="917"/>
      <c r="FIR3422" s="917"/>
      <c r="FIS3422" s="917" t="s">
        <v>78</v>
      </c>
      <c r="FIT3422" s="917"/>
      <c r="FIU3422" s="917"/>
      <c r="FIV3422" s="917"/>
      <c r="FIW3422" s="917"/>
      <c r="FIX3422" s="917"/>
      <c r="FIY3422" s="917"/>
      <c r="FIZ3422" s="917"/>
      <c r="FJA3422" s="917"/>
      <c r="FJB3422" s="917"/>
      <c r="FJC3422" s="917"/>
      <c r="FJD3422" s="917"/>
      <c r="FJE3422" s="917"/>
      <c r="FJF3422" s="917"/>
      <c r="FJG3422" s="917"/>
      <c r="FJH3422" s="917"/>
      <c r="FJI3422" s="917"/>
      <c r="FJJ3422" s="917"/>
      <c r="FJK3422" s="917"/>
      <c r="FJL3422" s="917"/>
      <c r="FJM3422" s="917"/>
      <c r="FJN3422" s="917"/>
      <c r="FJO3422" s="917"/>
      <c r="FJP3422" s="917"/>
      <c r="FJQ3422" s="917"/>
      <c r="FJR3422" s="917"/>
      <c r="FJS3422" s="917"/>
      <c r="FJT3422" s="917"/>
      <c r="FJU3422" s="917"/>
      <c r="FJV3422" s="917"/>
      <c r="FJW3422" s="917"/>
      <c r="FJX3422" s="917"/>
      <c r="FJY3422" s="917" t="s">
        <v>78</v>
      </c>
      <c r="FJZ3422" s="917"/>
      <c r="FKA3422" s="917"/>
      <c r="FKB3422" s="917"/>
      <c r="FKC3422" s="917"/>
      <c r="FKD3422" s="917"/>
      <c r="FKE3422" s="917"/>
      <c r="FKF3422" s="917"/>
      <c r="FKG3422" s="917"/>
      <c r="FKH3422" s="917"/>
      <c r="FKI3422" s="917"/>
      <c r="FKJ3422" s="917"/>
      <c r="FKK3422" s="917"/>
      <c r="FKL3422" s="917"/>
      <c r="FKM3422" s="917"/>
      <c r="FKN3422" s="917"/>
      <c r="FKO3422" s="917"/>
      <c r="FKP3422" s="917"/>
      <c r="FKQ3422" s="917"/>
      <c r="FKR3422" s="917"/>
      <c r="FKS3422" s="917"/>
      <c r="FKT3422" s="917"/>
      <c r="FKU3422" s="917"/>
      <c r="FKV3422" s="917"/>
      <c r="FKW3422" s="917"/>
      <c r="FKX3422" s="917"/>
      <c r="FKY3422" s="917"/>
      <c r="FKZ3422" s="917"/>
      <c r="FLA3422" s="917"/>
      <c r="FLB3422" s="917"/>
      <c r="FLC3422" s="917"/>
      <c r="FLD3422" s="917"/>
      <c r="FLE3422" s="917" t="s">
        <v>78</v>
      </c>
      <c r="FLF3422" s="917"/>
      <c r="FLG3422" s="917"/>
      <c r="FLH3422" s="917"/>
      <c r="FLI3422" s="917"/>
      <c r="FLJ3422" s="917"/>
      <c r="FLK3422" s="917"/>
      <c r="FLL3422" s="917"/>
      <c r="FLM3422" s="917"/>
      <c r="FLN3422" s="917"/>
      <c r="FLO3422" s="917"/>
      <c r="FLP3422" s="917"/>
      <c r="FLQ3422" s="917"/>
      <c r="FLR3422" s="917"/>
      <c r="FLS3422" s="917"/>
      <c r="FLT3422" s="917"/>
      <c r="FLU3422" s="917"/>
      <c r="FLV3422" s="917"/>
      <c r="FLW3422" s="917"/>
      <c r="FLX3422" s="917"/>
      <c r="FLY3422" s="917"/>
      <c r="FLZ3422" s="917"/>
      <c r="FMA3422" s="917"/>
      <c r="FMB3422" s="917"/>
      <c r="FMC3422" s="917"/>
      <c r="FMD3422" s="917"/>
      <c r="FME3422" s="917"/>
      <c r="FMF3422" s="917"/>
      <c r="FMG3422" s="917"/>
      <c r="FMH3422" s="917"/>
      <c r="FMI3422" s="917"/>
      <c r="FMJ3422" s="917"/>
      <c r="FMK3422" s="917" t="s">
        <v>78</v>
      </c>
      <c r="FML3422" s="917"/>
      <c r="FMM3422" s="917"/>
      <c r="FMN3422" s="917"/>
      <c r="FMO3422" s="917"/>
      <c r="FMP3422" s="917"/>
      <c r="FMQ3422" s="917"/>
      <c r="FMR3422" s="917"/>
      <c r="FMS3422" s="917"/>
      <c r="FMT3422" s="917"/>
      <c r="FMU3422" s="917"/>
      <c r="FMV3422" s="917"/>
      <c r="FMW3422" s="917"/>
      <c r="FMX3422" s="917"/>
      <c r="FMY3422" s="917"/>
      <c r="FMZ3422" s="917"/>
      <c r="FNA3422" s="917"/>
      <c r="FNB3422" s="917"/>
      <c r="FNC3422" s="917"/>
      <c r="FND3422" s="917"/>
      <c r="FNE3422" s="917"/>
      <c r="FNF3422" s="917"/>
      <c r="FNG3422" s="917"/>
      <c r="FNH3422" s="917"/>
      <c r="FNI3422" s="917"/>
      <c r="FNJ3422" s="917"/>
      <c r="FNK3422" s="917"/>
      <c r="FNL3422" s="917"/>
      <c r="FNM3422" s="917"/>
      <c r="FNN3422" s="917"/>
      <c r="FNO3422" s="917"/>
      <c r="FNP3422" s="917"/>
      <c r="FNQ3422" s="917" t="s">
        <v>78</v>
      </c>
      <c r="FNR3422" s="917"/>
      <c r="FNS3422" s="917"/>
      <c r="FNT3422" s="917"/>
      <c r="FNU3422" s="917"/>
      <c r="FNV3422" s="917"/>
      <c r="FNW3422" s="917"/>
      <c r="FNX3422" s="917"/>
      <c r="FNY3422" s="917"/>
      <c r="FNZ3422" s="917"/>
      <c r="FOA3422" s="917"/>
      <c r="FOB3422" s="917"/>
      <c r="FOC3422" s="917"/>
      <c r="FOD3422" s="917"/>
      <c r="FOE3422" s="917"/>
      <c r="FOF3422" s="917"/>
      <c r="FOG3422" s="917"/>
      <c r="FOH3422" s="917"/>
      <c r="FOI3422" s="917"/>
      <c r="FOJ3422" s="917"/>
      <c r="FOK3422" s="917"/>
      <c r="FOL3422" s="917"/>
      <c r="FOM3422" s="917"/>
      <c r="FON3422" s="917"/>
      <c r="FOO3422" s="917"/>
      <c r="FOP3422" s="917"/>
      <c r="FOQ3422" s="917"/>
      <c r="FOR3422" s="917"/>
      <c r="FOS3422" s="917"/>
      <c r="FOT3422" s="917"/>
      <c r="FOU3422" s="917"/>
      <c r="FOV3422" s="917"/>
      <c r="FOW3422" s="917" t="s">
        <v>78</v>
      </c>
      <c r="FOX3422" s="917"/>
      <c r="FOY3422" s="917"/>
      <c r="FOZ3422" s="917"/>
      <c r="FPA3422" s="917"/>
      <c r="FPB3422" s="917"/>
      <c r="FPC3422" s="917"/>
      <c r="FPD3422" s="917"/>
      <c r="FPE3422" s="917"/>
      <c r="FPF3422" s="917"/>
      <c r="FPG3422" s="917"/>
      <c r="FPH3422" s="917"/>
      <c r="FPI3422" s="917"/>
      <c r="FPJ3422" s="917"/>
      <c r="FPK3422" s="917"/>
      <c r="FPL3422" s="917"/>
      <c r="FPM3422" s="917"/>
      <c r="FPN3422" s="917"/>
      <c r="FPO3422" s="917"/>
      <c r="FPP3422" s="917"/>
      <c r="FPQ3422" s="917"/>
      <c r="FPR3422" s="917"/>
      <c r="FPS3422" s="917"/>
      <c r="FPT3422" s="917"/>
      <c r="FPU3422" s="917"/>
      <c r="FPV3422" s="917"/>
      <c r="FPW3422" s="917"/>
      <c r="FPX3422" s="917"/>
      <c r="FPY3422" s="917"/>
      <c r="FPZ3422" s="917"/>
      <c r="FQA3422" s="917"/>
      <c r="FQB3422" s="917"/>
      <c r="FQC3422" s="917" t="s">
        <v>78</v>
      </c>
      <c r="FQD3422" s="917"/>
      <c r="FQE3422" s="917"/>
      <c r="FQF3422" s="917"/>
      <c r="FQG3422" s="917"/>
      <c r="FQH3422" s="917"/>
      <c r="FQI3422" s="917"/>
      <c r="FQJ3422" s="917"/>
      <c r="FQK3422" s="917"/>
      <c r="FQL3422" s="917"/>
      <c r="FQM3422" s="917"/>
      <c r="FQN3422" s="917"/>
      <c r="FQO3422" s="917"/>
      <c r="FQP3422" s="917"/>
      <c r="FQQ3422" s="917"/>
      <c r="FQR3422" s="917"/>
      <c r="FQS3422" s="917"/>
      <c r="FQT3422" s="917"/>
      <c r="FQU3422" s="917"/>
      <c r="FQV3422" s="917"/>
      <c r="FQW3422" s="917"/>
      <c r="FQX3422" s="917"/>
      <c r="FQY3422" s="917"/>
      <c r="FQZ3422" s="917"/>
      <c r="FRA3422" s="917"/>
      <c r="FRB3422" s="917"/>
      <c r="FRC3422" s="917"/>
      <c r="FRD3422" s="917"/>
      <c r="FRE3422" s="917"/>
      <c r="FRF3422" s="917"/>
      <c r="FRG3422" s="917"/>
      <c r="FRH3422" s="917"/>
      <c r="FRI3422" s="917" t="s">
        <v>78</v>
      </c>
      <c r="FRJ3422" s="917"/>
      <c r="FRK3422" s="917"/>
      <c r="FRL3422" s="917"/>
      <c r="FRM3422" s="917"/>
      <c r="FRN3422" s="917"/>
      <c r="FRO3422" s="917"/>
      <c r="FRP3422" s="917"/>
      <c r="FRQ3422" s="917"/>
      <c r="FRR3422" s="917"/>
      <c r="FRS3422" s="917"/>
      <c r="FRT3422" s="917"/>
      <c r="FRU3422" s="917"/>
      <c r="FRV3422" s="917"/>
      <c r="FRW3422" s="917"/>
      <c r="FRX3422" s="917"/>
      <c r="FRY3422" s="917"/>
      <c r="FRZ3422" s="917"/>
      <c r="FSA3422" s="917"/>
      <c r="FSB3422" s="917"/>
      <c r="FSC3422" s="917"/>
      <c r="FSD3422" s="917"/>
      <c r="FSE3422" s="917"/>
      <c r="FSF3422" s="917"/>
      <c r="FSG3422" s="917"/>
      <c r="FSH3422" s="917"/>
      <c r="FSI3422" s="917"/>
      <c r="FSJ3422" s="917"/>
      <c r="FSK3422" s="917"/>
      <c r="FSL3422" s="917"/>
      <c r="FSM3422" s="917"/>
      <c r="FSN3422" s="917"/>
      <c r="FSO3422" s="917" t="s">
        <v>78</v>
      </c>
      <c r="FSP3422" s="917"/>
      <c r="FSQ3422" s="917"/>
      <c r="FSR3422" s="917"/>
      <c r="FSS3422" s="917"/>
      <c r="FST3422" s="917"/>
      <c r="FSU3422" s="917"/>
      <c r="FSV3422" s="917"/>
      <c r="FSW3422" s="917"/>
      <c r="FSX3422" s="917"/>
      <c r="FSY3422" s="917"/>
      <c r="FSZ3422" s="917"/>
      <c r="FTA3422" s="917"/>
      <c r="FTB3422" s="917"/>
      <c r="FTC3422" s="917"/>
      <c r="FTD3422" s="917"/>
      <c r="FTE3422" s="917"/>
      <c r="FTF3422" s="917"/>
      <c r="FTG3422" s="917"/>
      <c r="FTH3422" s="917"/>
      <c r="FTI3422" s="917"/>
      <c r="FTJ3422" s="917"/>
      <c r="FTK3422" s="917"/>
      <c r="FTL3422" s="917"/>
      <c r="FTM3422" s="917"/>
      <c r="FTN3422" s="917"/>
      <c r="FTO3422" s="917"/>
      <c r="FTP3422" s="917"/>
      <c r="FTQ3422" s="917"/>
      <c r="FTR3422" s="917"/>
      <c r="FTS3422" s="917"/>
      <c r="FTT3422" s="917"/>
      <c r="FTU3422" s="917" t="s">
        <v>78</v>
      </c>
      <c r="FTV3422" s="917"/>
      <c r="FTW3422" s="917"/>
      <c r="FTX3422" s="917"/>
      <c r="FTY3422" s="917"/>
      <c r="FTZ3422" s="917"/>
      <c r="FUA3422" s="917"/>
      <c r="FUB3422" s="917"/>
      <c r="FUC3422" s="917"/>
      <c r="FUD3422" s="917"/>
      <c r="FUE3422" s="917"/>
      <c r="FUF3422" s="917"/>
      <c r="FUG3422" s="917"/>
      <c r="FUH3422" s="917"/>
      <c r="FUI3422" s="917"/>
      <c r="FUJ3422" s="917"/>
      <c r="FUK3422" s="917"/>
      <c r="FUL3422" s="917"/>
      <c r="FUM3422" s="917"/>
      <c r="FUN3422" s="917"/>
      <c r="FUO3422" s="917"/>
      <c r="FUP3422" s="917"/>
      <c r="FUQ3422" s="917"/>
      <c r="FUR3422" s="917"/>
      <c r="FUS3422" s="917"/>
      <c r="FUT3422" s="917"/>
      <c r="FUU3422" s="917"/>
      <c r="FUV3422" s="917"/>
      <c r="FUW3422" s="917"/>
      <c r="FUX3422" s="917"/>
      <c r="FUY3422" s="917"/>
      <c r="FUZ3422" s="917"/>
      <c r="FVA3422" s="917" t="s">
        <v>78</v>
      </c>
      <c r="FVB3422" s="917"/>
      <c r="FVC3422" s="917"/>
      <c r="FVD3422" s="917"/>
      <c r="FVE3422" s="917"/>
      <c r="FVF3422" s="917"/>
      <c r="FVG3422" s="917"/>
      <c r="FVH3422" s="917"/>
      <c r="FVI3422" s="917"/>
      <c r="FVJ3422" s="917"/>
      <c r="FVK3422" s="917"/>
      <c r="FVL3422" s="917"/>
      <c r="FVM3422" s="917"/>
      <c r="FVN3422" s="917"/>
      <c r="FVO3422" s="917"/>
      <c r="FVP3422" s="917"/>
      <c r="FVQ3422" s="917"/>
      <c r="FVR3422" s="917"/>
      <c r="FVS3422" s="917"/>
      <c r="FVT3422" s="917"/>
      <c r="FVU3422" s="917"/>
      <c r="FVV3422" s="917"/>
      <c r="FVW3422" s="917"/>
      <c r="FVX3422" s="917"/>
      <c r="FVY3422" s="917"/>
      <c r="FVZ3422" s="917"/>
      <c r="FWA3422" s="917"/>
      <c r="FWB3422" s="917"/>
      <c r="FWC3422" s="917"/>
      <c r="FWD3422" s="917"/>
      <c r="FWE3422" s="917"/>
      <c r="FWF3422" s="917"/>
      <c r="FWG3422" s="917" t="s">
        <v>78</v>
      </c>
      <c r="FWH3422" s="917"/>
      <c r="FWI3422" s="917"/>
      <c r="FWJ3422" s="917"/>
      <c r="FWK3422" s="917"/>
      <c r="FWL3422" s="917"/>
      <c r="FWM3422" s="917"/>
      <c r="FWN3422" s="917"/>
      <c r="FWO3422" s="917"/>
      <c r="FWP3422" s="917"/>
      <c r="FWQ3422" s="917"/>
      <c r="FWR3422" s="917"/>
      <c r="FWS3422" s="917"/>
      <c r="FWT3422" s="917"/>
      <c r="FWU3422" s="917"/>
      <c r="FWV3422" s="917"/>
      <c r="FWW3422" s="917"/>
      <c r="FWX3422" s="917"/>
      <c r="FWY3422" s="917"/>
      <c r="FWZ3422" s="917"/>
      <c r="FXA3422" s="917"/>
      <c r="FXB3422" s="917"/>
      <c r="FXC3422" s="917"/>
      <c r="FXD3422" s="917"/>
      <c r="FXE3422" s="917"/>
      <c r="FXF3422" s="917"/>
      <c r="FXG3422" s="917"/>
      <c r="FXH3422" s="917"/>
      <c r="FXI3422" s="917"/>
      <c r="FXJ3422" s="917"/>
      <c r="FXK3422" s="917"/>
      <c r="FXL3422" s="917"/>
      <c r="FXM3422" s="917" t="s">
        <v>78</v>
      </c>
      <c r="FXN3422" s="917"/>
      <c r="FXO3422" s="917"/>
      <c r="FXP3422" s="917"/>
      <c r="FXQ3422" s="917"/>
      <c r="FXR3422" s="917"/>
      <c r="FXS3422" s="917"/>
      <c r="FXT3422" s="917"/>
      <c r="FXU3422" s="917"/>
      <c r="FXV3422" s="917"/>
      <c r="FXW3422" s="917"/>
      <c r="FXX3422" s="917"/>
      <c r="FXY3422" s="917"/>
      <c r="FXZ3422" s="917"/>
      <c r="FYA3422" s="917"/>
      <c r="FYB3422" s="917"/>
      <c r="FYC3422" s="917"/>
      <c r="FYD3422" s="917"/>
      <c r="FYE3422" s="917"/>
      <c r="FYF3422" s="917"/>
      <c r="FYG3422" s="917"/>
      <c r="FYH3422" s="917"/>
      <c r="FYI3422" s="917"/>
      <c r="FYJ3422" s="917"/>
      <c r="FYK3422" s="917"/>
      <c r="FYL3422" s="917"/>
      <c r="FYM3422" s="917"/>
      <c r="FYN3422" s="917"/>
      <c r="FYO3422" s="917"/>
      <c r="FYP3422" s="917"/>
      <c r="FYQ3422" s="917"/>
      <c r="FYR3422" s="917"/>
      <c r="FYS3422" s="917" t="s">
        <v>78</v>
      </c>
      <c r="FYT3422" s="917"/>
      <c r="FYU3422" s="917"/>
      <c r="FYV3422" s="917"/>
      <c r="FYW3422" s="917"/>
      <c r="FYX3422" s="917"/>
      <c r="FYY3422" s="917"/>
      <c r="FYZ3422" s="917"/>
      <c r="FZA3422" s="917"/>
      <c r="FZB3422" s="917"/>
      <c r="FZC3422" s="917"/>
      <c r="FZD3422" s="917"/>
      <c r="FZE3422" s="917"/>
      <c r="FZF3422" s="917"/>
      <c r="FZG3422" s="917"/>
      <c r="FZH3422" s="917"/>
      <c r="FZI3422" s="917"/>
      <c r="FZJ3422" s="917"/>
      <c r="FZK3422" s="917"/>
      <c r="FZL3422" s="917"/>
      <c r="FZM3422" s="917"/>
      <c r="FZN3422" s="917"/>
      <c r="FZO3422" s="917"/>
      <c r="FZP3422" s="917"/>
      <c r="FZQ3422" s="917"/>
      <c r="FZR3422" s="917"/>
      <c r="FZS3422" s="917"/>
      <c r="FZT3422" s="917"/>
      <c r="FZU3422" s="917"/>
      <c r="FZV3422" s="917"/>
      <c r="FZW3422" s="917"/>
      <c r="FZX3422" s="917"/>
      <c r="FZY3422" s="917" t="s">
        <v>78</v>
      </c>
      <c r="FZZ3422" s="917"/>
      <c r="GAA3422" s="917"/>
      <c r="GAB3422" s="917"/>
      <c r="GAC3422" s="917"/>
      <c r="GAD3422" s="917"/>
      <c r="GAE3422" s="917"/>
      <c r="GAF3422" s="917"/>
      <c r="GAG3422" s="917"/>
      <c r="GAH3422" s="917"/>
      <c r="GAI3422" s="917"/>
      <c r="GAJ3422" s="917"/>
      <c r="GAK3422" s="917"/>
      <c r="GAL3422" s="917"/>
      <c r="GAM3422" s="917"/>
      <c r="GAN3422" s="917"/>
      <c r="GAO3422" s="917"/>
      <c r="GAP3422" s="917"/>
      <c r="GAQ3422" s="917"/>
      <c r="GAR3422" s="917"/>
      <c r="GAS3422" s="917"/>
      <c r="GAT3422" s="917"/>
      <c r="GAU3422" s="917"/>
      <c r="GAV3422" s="917"/>
      <c r="GAW3422" s="917"/>
      <c r="GAX3422" s="917"/>
      <c r="GAY3422" s="917"/>
      <c r="GAZ3422" s="917"/>
      <c r="GBA3422" s="917"/>
      <c r="GBB3422" s="917"/>
      <c r="GBC3422" s="917"/>
      <c r="GBD3422" s="917"/>
      <c r="GBE3422" s="917" t="s">
        <v>78</v>
      </c>
      <c r="GBF3422" s="917"/>
      <c r="GBG3422" s="917"/>
      <c r="GBH3422" s="917"/>
      <c r="GBI3422" s="917"/>
      <c r="GBJ3422" s="917"/>
      <c r="GBK3422" s="917"/>
      <c r="GBL3422" s="917"/>
      <c r="GBM3422" s="917"/>
      <c r="GBN3422" s="917"/>
      <c r="GBO3422" s="917"/>
      <c r="GBP3422" s="917"/>
      <c r="GBQ3422" s="917"/>
      <c r="GBR3422" s="917"/>
      <c r="GBS3422" s="917"/>
      <c r="GBT3422" s="917"/>
      <c r="GBU3422" s="917"/>
      <c r="GBV3422" s="917"/>
      <c r="GBW3422" s="917"/>
      <c r="GBX3422" s="917"/>
      <c r="GBY3422" s="917"/>
      <c r="GBZ3422" s="917"/>
      <c r="GCA3422" s="917"/>
      <c r="GCB3422" s="917"/>
      <c r="GCC3422" s="917"/>
      <c r="GCD3422" s="917"/>
      <c r="GCE3422" s="917"/>
      <c r="GCF3422" s="917"/>
      <c r="GCG3422" s="917"/>
      <c r="GCH3422" s="917"/>
      <c r="GCI3422" s="917"/>
      <c r="GCJ3422" s="917"/>
      <c r="GCK3422" s="917" t="s">
        <v>78</v>
      </c>
      <c r="GCL3422" s="917"/>
      <c r="GCM3422" s="917"/>
      <c r="GCN3422" s="917"/>
      <c r="GCO3422" s="917"/>
      <c r="GCP3422" s="917"/>
      <c r="GCQ3422" s="917"/>
      <c r="GCR3422" s="917"/>
      <c r="GCS3422" s="917"/>
      <c r="GCT3422" s="917"/>
      <c r="GCU3422" s="917"/>
      <c r="GCV3422" s="917"/>
      <c r="GCW3422" s="917"/>
      <c r="GCX3422" s="917"/>
      <c r="GCY3422" s="917"/>
      <c r="GCZ3422" s="917"/>
      <c r="GDA3422" s="917"/>
      <c r="GDB3422" s="917"/>
      <c r="GDC3422" s="917"/>
      <c r="GDD3422" s="917"/>
      <c r="GDE3422" s="917"/>
      <c r="GDF3422" s="917"/>
      <c r="GDG3422" s="917"/>
      <c r="GDH3422" s="917"/>
      <c r="GDI3422" s="917"/>
      <c r="GDJ3422" s="917"/>
      <c r="GDK3422" s="917"/>
      <c r="GDL3422" s="917"/>
      <c r="GDM3422" s="917"/>
      <c r="GDN3422" s="917"/>
      <c r="GDO3422" s="917"/>
      <c r="GDP3422" s="917"/>
      <c r="GDQ3422" s="917" t="s">
        <v>78</v>
      </c>
      <c r="GDR3422" s="917"/>
      <c r="GDS3422" s="917"/>
      <c r="GDT3422" s="917"/>
      <c r="GDU3422" s="917"/>
      <c r="GDV3422" s="917"/>
      <c r="GDW3422" s="917"/>
      <c r="GDX3422" s="917"/>
      <c r="GDY3422" s="917"/>
      <c r="GDZ3422" s="917"/>
      <c r="GEA3422" s="917"/>
      <c r="GEB3422" s="917"/>
      <c r="GEC3422" s="917"/>
      <c r="GED3422" s="917"/>
      <c r="GEE3422" s="917"/>
      <c r="GEF3422" s="917"/>
      <c r="GEG3422" s="917"/>
      <c r="GEH3422" s="917"/>
      <c r="GEI3422" s="917"/>
      <c r="GEJ3422" s="917"/>
      <c r="GEK3422" s="917"/>
      <c r="GEL3422" s="917"/>
      <c r="GEM3422" s="917"/>
      <c r="GEN3422" s="917"/>
      <c r="GEO3422" s="917"/>
      <c r="GEP3422" s="917"/>
      <c r="GEQ3422" s="917"/>
      <c r="GER3422" s="917"/>
      <c r="GES3422" s="917"/>
      <c r="GET3422" s="917"/>
      <c r="GEU3422" s="917"/>
      <c r="GEV3422" s="917"/>
      <c r="GEW3422" s="917" t="s">
        <v>78</v>
      </c>
      <c r="GEX3422" s="917"/>
      <c r="GEY3422" s="917"/>
      <c r="GEZ3422" s="917"/>
      <c r="GFA3422" s="917"/>
      <c r="GFB3422" s="917"/>
      <c r="GFC3422" s="917"/>
      <c r="GFD3422" s="917"/>
      <c r="GFE3422" s="917"/>
      <c r="GFF3422" s="917"/>
      <c r="GFG3422" s="917"/>
      <c r="GFH3422" s="917"/>
      <c r="GFI3422" s="917"/>
      <c r="GFJ3422" s="917"/>
      <c r="GFK3422" s="917"/>
      <c r="GFL3422" s="917"/>
      <c r="GFM3422" s="917"/>
      <c r="GFN3422" s="917"/>
      <c r="GFO3422" s="917"/>
      <c r="GFP3422" s="917"/>
      <c r="GFQ3422" s="917"/>
      <c r="GFR3422" s="917"/>
      <c r="GFS3422" s="917"/>
      <c r="GFT3422" s="917"/>
      <c r="GFU3422" s="917"/>
      <c r="GFV3422" s="917"/>
      <c r="GFW3422" s="917"/>
      <c r="GFX3422" s="917"/>
      <c r="GFY3422" s="917"/>
      <c r="GFZ3422" s="917"/>
      <c r="GGA3422" s="917"/>
      <c r="GGB3422" s="917"/>
      <c r="GGC3422" s="917" t="s">
        <v>78</v>
      </c>
      <c r="GGD3422" s="917"/>
      <c r="GGE3422" s="917"/>
      <c r="GGF3422" s="917"/>
      <c r="GGG3422" s="917"/>
      <c r="GGH3422" s="917"/>
      <c r="GGI3422" s="917"/>
      <c r="GGJ3422" s="917"/>
      <c r="GGK3422" s="917"/>
      <c r="GGL3422" s="917"/>
      <c r="GGM3422" s="917"/>
      <c r="GGN3422" s="917"/>
      <c r="GGO3422" s="917"/>
      <c r="GGP3422" s="917"/>
      <c r="GGQ3422" s="917"/>
      <c r="GGR3422" s="917"/>
      <c r="GGS3422" s="917"/>
      <c r="GGT3422" s="917"/>
      <c r="GGU3422" s="917"/>
      <c r="GGV3422" s="917"/>
      <c r="GGW3422" s="917"/>
      <c r="GGX3422" s="917"/>
      <c r="GGY3422" s="917"/>
      <c r="GGZ3422" s="917"/>
      <c r="GHA3422" s="917"/>
      <c r="GHB3422" s="917"/>
      <c r="GHC3422" s="917"/>
      <c r="GHD3422" s="917"/>
      <c r="GHE3422" s="917"/>
      <c r="GHF3422" s="917"/>
      <c r="GHG3422" s="917"/>
      <c r="GHH3422" s="917"/>
      <c r="GHI3422" s="917" t="s">
        <v>78</v>
      </c>
      <c r="GHJ3422" s="917"/>
      <c r="GHK3422" s="917"/>
      <c r="GHL3422" s="917"/>
      <c r="GHM3422" s="917"/>
      <c r="GHN3422" s="917"/>
      <c r="GHO3422" s="917"/>
      <c r="GHP3422" s="917"/>
      <c r="GHQ3422" s="917"/>
      <c r="GHR3422" s="917"/>
      <c r="GHS3422" s="917"/>
      <c r="GHT3422" s="917"/>
      <c r="GHU3422" s="917"/>
      <c r="GHV3422" s="917"/>
      <c r="GHW3422" s="917"/>
      <c r="GHX3422" s="917"/>
      <c r="GHY3422" s="917"/>
      <c r="GHZ3422" s="917"/>
      <c r="GIA3422" s="917"/>
      <c r="GIB3422" s="917"/>
      <c r="GIC3422" s="917"/>
      <c r="GID3422" s="917"/>
      <c r="GIE3422" s="917"/>
      <c r="GIF3422" s="917"/>
      <c r="GIG3422" s="917"/>
      <c r="GIH3422" s="917"/>
      <c r="GII3422" s="917"/>
      <c r="GIJ3422" s="917"/>
      <c r="GIK3422" s="917"/>
      <c r="GIL3422" s="917"/>
      <c r="GIM3422" s="917"/>
      <c r="GIN3422" s="917"/>
      <c r="GIO3422" s="917" t="s">
        <v>78</v>
      </c>
      <c r="GIP3422" s="917"/>
      <c r="GIQ3422" s="917"/>
      <c r="GIR3422" s="917"/>
      <c r="GIS3422" s="917"/>
      <c r="GIT3422" s="917"/>
      <c r="GIU3422" s="917"/>
      <c r="GIV3422" s="917"/>
      <c r="GIW3422" s="917"/>
      <c r="GIX3422" s="917"/>
      <c r="GIY3422" s="917"/>
      <c r="GIZ3422" s="917"/>
      <c r="GJA3422" s="917"/>
      <c r="GJB3422" s="917"/>
      <c r="GJC3422" s="917"/>
      <c r="GJD3422" s="917"/>
      <c r="GJE3422" s="917"/>
      <c r="GJF3422" s="917"/>
      <c r="GJG3422" s="917"/>
      <c r="GJH3422" s="917"/>
      <c r="GJI3422" s="917"/>
      <c r="GJJ3422" s="917"/>
      <c r="GJK3422" s="917"/>
      <c r="GJL3422" s="917"/>
      <c r="GJM3422" s="917"/>
      <c r="GJN3422" s="917"/>
      <c r="GJO3422" s="917"/>
      <c r="GJP3422" s="917"/>
      <c r="GJQ3422" s="917"/>
      <c r="GJR3422" s="917"/>
      <c r="GJS3422" s="917"/>
      <c r="GJT3422" s="917"/>
      <c r="GJU3422" s="917" t="s">
        <v>78</v>
      </c>
      <c r="GJV3422" s="917"/>
      <c r="GJW3422" s="917"/>
      <c r="GJX3422" s="917"/>
      <c r="GJY3422" s="917"/>
      <c r="GJZ3422" s="917"/>
      <c r="GKA3422" s="917"/>
      <c r="GKB3422" s="917"/>
      <c r="GKC3422" s="917"/>
      <c r="GKD3422" s="917"/>
      <c r="GKE3422" s="917"/>
      <c r="GKF3422" s="917"/>
      <c r="GKG3422" s="917"/>
      <c r="GKH3422" s="917"/>
      <c r="GKI3422" s="917"/>
      <c r="GKJ3422" s="917"/>
      <c r="GKK3422" s="917"/>
      <c r="GKL3422" s="917"/>
      <c r="GKM3422" s="917"/>
      <c r="GKN3422" s="917"/>
      <c r="GKO3422" s="917"/>
      <c r="GKP3422" s="917"/>
      <c r="GKQ3422" s="917"/>
      <c r="GKR3422" s="917"/>
      <c r="GKS3422" s="917"/>
      <c r="GKT3422" s="917"/>
      <c r="GKU3422" s="917"/>
      <c r="GKV3422" s="917"/>
      <c r="GKW3422" s="917"/>
      <c r="GKX3422" s="917"/>
      <c r="GKY3422" s="917"/>
      <c r="GKZ3422" s="917"/>
      <c r="GLA3422" s="917" t="s">
        <v>78</v>
      </c>
      <c r="GLB3422" s="917"/>
      <c r="GLC3422" s="917"/>
      <c r="GLD3422" s="917"/>
      <c r="GLE3422" s="917"/>
      <c r="GLF3422" s="917"/>
      <c r="GLG3422" s="917"/>
      <c r="GLH3422" s="917"/>
      <c r="GLI3422" s="917"/>
      <c r="GLJ3422" s="917"/>
      <c r="GLK3422" s="917"/>
      <c r="GLL3422" s="917"/>
      <c r="GLM3422" s="917"/>
      <c r="GLN3422" s="917"/>
      <c r="GLO3422" s="917"/>
      <c r="GLP3422" s="917"/>
      <c r="GLQ3422" s="917"/>
      <c r="GLR3422" s="917"/>
      <c r="GLS3422" s="917"/>
      <c r="GLT3422" s="917"/>
      <c r="GLU3422" s="917"/>
      <c r="GLV3422" s="917"/>
      <c r="GLW3422" s="917"/>
      <c r="GLX3422" s="917"/>
      <c r="GLY3422" s="917"/>
      <c r="GLZ3422" s="917"/>
      <c r="GMA3422" s="917"/>
      <c r="GMB3422" s="917"/>
      <c r="GMC3422" s="917"/>
      <c r="GMD3422" s="917"/>
      <c r="GME3422" s="917"/>
      <c r="GMF3422" s="917"/>
      <c r="GMG3422" s="917" t="s">
        <v>78</v>
      </c>
      <c r="GMH3422" s="917"/>
      <c r="GMI3422" s="917"/>
      <c r="GMJ3422" s="917"/>
      <c r="GMK3422" s="917"/>
      <c r="GML3422" s="917"/>
      <c r="GMM3422" s="917"/>
      <c r="GMN3422" s="917"/>
      <c r="GMO3422" s="917"/>
      <c r="GMP3422" s="917"/>
      <c r="GMQ3422" s="917"/>
      <c r="GMR3422" s="917"/>
      <c r="GMS3422" s="917"/>
      <c r="GMT3422" s="917"/>
      <c r="GMU3422" s="917"/>
      <c r="GMV3422" s="917"/>
      <c r="GMW3422" s="917"/>
      <c r="GMX3422" s="917"/>
      <c r="GMY3422" s="917"/>
      <c r="GMZ3422" s="917"/>
      <c r="GNA3422" s="917"/>
      <c r="GNB3422" s="917"/>
      <c r="GNC3422" s="917"/>
      <c r="GND3422" s="917"/>
      <c r="GNE3422" s="917"/>
      <c r="GNF3422" s="917"/>
      <c r="GNG3422" s="917"/>
      <c r="GNH3422" s="917"/>
      <c r="GNI3422" s="917"/>
      <c r="GNJ3422" s="917"/>
      <c r="GNK3422" s="917"/>
      <c r="GNL3422" s="917"/>
      <c r="GNM3422" s="917" t="s">
        <v>78</v>
      </c>
      <c r="GNN3422" s="917"/>
      <c r="GNO3422" s="917"/>
      <c r="GNP3422" s="917"/>
      <c r="GNQ3422" s="917"/>
      <c r="GNR3422" s="917"/>
      <c r="GNS3422" s="917"/>
      <c r="GNT3422" s="917"/>
      <c r="GNU3422" s="917"/>
      <c r="GNV3422" s="917"/>
      <c r="GNW3422" s="917"/>
      <c r="GNX3422" s="917"/>
      <c r="GNY3422" s="917"/>
      <c r="GNZ3422" s="917"/>
      <c r="GOA3422" s="917"/>
      <c r="GOB3422" s="917"/>
      <c r="GOC3422" s="917"/>
      <c r="GOD3422" s="917"/>
      <c r="GOE3422" s="917"/>
      <c r="GOF3422" s="917"/>
      <c r="GOG3422" s="917"/>
      <c r="GOH3422" s="917"/>
      <c r="GOI3422" s="917"/>
      <c r="GOJ3422" s="917"/>
      <c r="GOK3422" s="917"/>
      <c r="GOL3422" s="917"/>
      <c r="GOM3422" s="917"/>
      <c r="GON3422" s="917"/>
      <c r="GOO3422" s="917"/>
      <c r="GOP3422" s="917"/>
      <c r="GOQ3422" s="917"/>
      <c r="GOR3422" s="917"/>
      <c r="GOS3422" s="917" t="s">
        <v>78</v>
      </c>
      <c r="GOT3422" s="917"/>
      <c r="GOU3422" s="917"/>
      <c r="GOV3422" s="917"/>
      <c r="GOW3422" s="917"/>
      <c r="GOX3422" s="917"/>
      <c r="GOY3422" s="917"/>
      <c r="GOZ3422" s="917"/>
      <c r="GPA3422" s="917"/>
      <c r="GPB3422" s="917"/>
      <c r="GPC3422" s="917"/>
      <c r="GPD3422" s="917"/>
      <c r="GPE3422" s="917"/>
      <c r="GPF3422" s="917"/>
      <c r="GPG3422" s="917"/>
      <c r="GPH3422" s="917"/>
      <c r="GPI3422" s="917"/>
      <c r="GPJ3422" s="917"/>
      <c r="GPK3422" s="917"/>
      <c r="GPL3422" s="917"/>
      <c r="GPM3422" s="917"/>
      <c r="GPN3422" s="917"/>
      <c r="GPO3422" s="917"/>
      <c r="GPP3422" s="917"/>
      <c r="GPQ3422" s="917"/>
      <c r="GPR3422" s="917"/>
      <c r="GPS3422" s="917"/>
      <c r="GPT3422" s="917"/>
      <c r="GPU3422" s="917"/>
      <c r="GPV3422" s="917"/>
      <c r="GPW3422" s="917"/>
      <c r="GPX3422" s="917"/>
      <c r="GPY3422" s="917" t="s">
        <v>78</v>
      </c>
      <c r="GPZ3422" s="917"/>
      <c r="GQA3422" s="917"/>
      <c r="GQB3422" s="917"/>
      <c r="GQC3422" s="917"/>
      <c r="GQD3422" s="917"/>
      <c r="GQE3422" s="917"/>
      <c r="GQF3422" s="917"/>
      <c r="GQG3422" s="917"/>
      <c r="GQH3422" s="917"/>
      <c r="GQI3422" s="917"/>
      <c r="GQJ3422" s="917"/>
      <c r="GQK3422" s="917"/>
      <c r="GQL3422" s="917"/>
      <c r="GQM3422" s="917"/>
      <c r="GQN3422" s="917"/>
      <c r="GQO3422" s="917"/>
      <c r="GQP3422" s="917"/>
      <c r="GQQ3422" s="917"/>
      <c r="GQR3422" s="917"/>
      <c r="GQS3422" s="917"/>
      <c r="GQT3422" s="917"/>
      <c r="GQU3422" s="917"/>
      <c r="GQV3422" s="917"/>
      <c r="GQW3422" s="917"/>
      <c r="GQX3422" s="917"/>
      <c r="GQY3422" s="917"/>
      <c r="GQZ3422" s="917"/>
      <c r="GRA3422" s="917"/>
      <c r="GRB3422" s="917"/>
      <c r="GRC3422" s="917"/>
      <c r="GRD3422" s="917"/>
      <c r="GRE3422" s="917" t="s">
        <v>78</v>
      </c>
      <c r="GRF3422" s="917"/>
      <c r="GRG3422" s="917"/>
      <c r="GRH3422" s="917"/>
      <c r="GRI3422" s="917"/>
      <c r="GRJ3422" s="917"/>
      <c r="GRK3422" s="917"/>
      <c r="GRL3422" s="917"/>
      <c r="GRM3422" s="917"/>
      <c r="GRN3422" s="917"/>
      <c r="GRO3422" s="917"/>
      <c r="GRP3422" s="917"/>
      <c r="GRQ3422" s="917"/>
      <c r="GRR3422" s="917"/>
      <c r="GRS3422" s="917"/>
      <c r="GRT3422" s="917"/>
      <c r="GRU3422" s="917"/>
      <c r="GRV3422" s="917"/>
      <c r="GRW3422" s="917"/>
      <c r="GRX3422" s="917"/>
      <c r="GRY3422" s="917"/>
      <c r="GRZ3422" s="917"/>
      <c r="GSA3422" s="917"/>
      <c r="GSB3422" s="917"/>
      <c r="GSC3422" s="917"/>
      <c r="GSD3422" s="917"/>
      <c r="GSE3422" s="917"/>
      <c r="GSF3422" s="917"/>
      <c r="GSG3422" s="917"/>
      <c r="GSH3422" s="917"/>
      <c r="GSI3422" s="917"/>
      <c r="GSJ3422" s="917"/>
      <c r="GSK3422" s="917" t="s">
        <v>78</v>
      </c>
      <c r="GSL3422" s="917"/>
      <c r="GSM3422" s="917"/>
      <c r="GSN3422" s="917"/>
      <c r="GSO3422" s="917"/>
      <c r="GSP3422" s="917"/>
      <c r="GSQ3422" s="917"/>
      <c r="GSR3422" s="917"/>
      <c r="GSS3422" s="917"/>
      <c r="GST3422" s="917"/>
      <c r="GSU3422" s="917"/>
      <c r="GSV3422" s="917"/>
      <c r="GSW3422" s="917"/>
      <c r="GSX3422" s="917"/>
      <c r="GSY3422" s="917"/>
      <c r="GSZ3422" s="917"/>
      <c r="GTA3422" s="917"/>
      <c r="GTB3422" s="917"/>
      <c r="GTC3422" s="917"/>
      <c r="GTD3422" s="917"/>
      <c r="GTE3422" s="917"/>
      <c r="GTF3422" s="917"/>
      <c r="GTG3422" s="917"/>
      <c r="GTH3422" s="917"/>
      <c r="GTI3422" s="917"/>
      <c r="GTJ3422" s="917"/>
      <c r="GTK3422" s="917"/>
      <c r="GTL3422" s="917"/>
      <c r="GTM3422" s="917"/>
      <c r="GTN3422" s="917"/>
      <c r="GTO3422" s="917"/>
      <c r="GTP3422" s="917"/>
      <c r="GTQ3422" s="917" t="s">
        <v>78</v>
      </c>
      <c r="GTR3422" s="917"/>
      <c r="GTS3422" s="917"/>
      <c r="GTT3422" s="917"/>
      <c r="GTU3422" s="917"/>
      <c r="GTV3422" s="917"/>
      <c r="GTW3422" s="917"/>
      <c r="GTX3422" s="917"/>
      <c r="GTY3422" s="917"/>
      <c r="GTZ3422" s="917"/>
      <c r="GUA3422" s="917"/>
      <c r="GUB3422" s="917"/>
      <c r="GUC3422" s="917"/>
      <c r="GUD3422" s="917"/>
      <c r="GUE3422" s="917"/>
      <c r="GUF3422" s="917"/>
      <c r="GUG3422" s="917"/>
      <c r="GUH3422" s="917"/>
      <c r="GUI3422" s="917"/>
      <c r="GUJ3422" s="917"/>
      <c r="GUK3422" s="917"/>
      <c r="GUL3422" s="917"/>
      <c r="GUM3422" s="917"/>
      <c r="GUN3422" s="917"/>
      <c r="GUO3422" s="917"/>
      <c r="GUP3422" s="917"/>
      <c r="GUQ3422" s="917"/>
      <c r="GUR3422" s="917"/>
      <c r="GUS3422" s="917"/>
      <c r="GUT3422" s="917"/>
      <c r="GUU3422" s="917"/>
      <c r="GUV3422" s="917"/>
      <c r="GUW3422" s="917" t="s">
        <v>78</v>
      </c>
      <c r="GUX3422" s="917"/>
      <c r="GUY3422" s="917"/>
      <c r="GUZ3422" s="917"/>
      <c r="GVA3422" s="917"/>
      <c r="GVB3422" s="917"/>
      <c r="GVC3422" s="917"/>
      <c r="GVD3422" s="917"/>
      <c r="GVE3422" s="917"/>
      <c r="GVF3422" s="917"/>
      <c r="GVG3422" s="917"/>
      <c r="GVH3422" s="917"/>
      <c r="GVI3422" s="917"/>
      <c r="GVJ3422" s="917"/>
      <c r="GVK3422" s="917"/>
      <c r="GVL3422" s="917"/>
      <c r="GVM3422" s="917"/>
      <c r="GVN3422" s="917"/>
      <c r="GVO3422" s="917"/>
      <c r="GVP3422" s="917"/>
      <c r="GVQ3422" s="917"/>
      <c r="GVR3422" s="917"/>
      <c r="GVS3422" s="917"/>
      <c r="GVT3422" s="917"/>
      <c r="GVU3422" s="917"/>
      <c r="GVV3422" s="917"/>
      <c r="GVW3422" s="917"/>
      <c r="GVX3422" s="917"/>
      <c r="GVY3422" s="917"/>
      <c r="GVZ3422" s="917"/>
      <c r="GWA3422" s="917"/>
      <c r="GWB3422" s="917"/>
      <c r="GWC3422" s="917" t="s">
        <v>78</v>
      </c>
      <c r="GWD3422" s="917"/>
      <c r="GWE3422" s="917"/>
      <c r="GWF3422" s="917"/>
      <c r="GWG3422" s="917"/>
      <c r="GWH3422" s="917"/>
      <c r="GWI3422" s="917"/>
      <c r="GWJ3422" s="917"/>
      <c r="GWK3422" s="917"/>
      <c r="GWL3422" s="917"/>
      <c r="GWM3422" s="917"/>
      <c r="GWN3422" s="917"/>
      <c r="GWO3422" s="917"/>
      <c r="GWP3422" s="917"/>
      <c r="GWQ3422" s="917"/>
      <c r="GWR3422" s="917"/>
      <c r="GWS3422" s="917"/>
      <c r="GWT3422" s="917"/>
      <c r="GWU3422" s="917"/>
      <c r="GWV3422" s="917"/>
      <c r="GWW3422" s="917"/>
      <c r="GWX3422" s="917"/>
      <c r="GWY3422" s="917"/>
      <c r="GWZ3422" s="917"/>
      <c r="GXA3422" s="917"/>
      <c r="GXB3422" s="917"/>
      <c r="GXC3422" s="917"/>
      <c r="GXD3422" s="917"/>
      <c r="GXE3422" s="917"/>
      <c r="GXF3422" s="917"/>
      <c r="GXG3422" s="917"/>
      <c r="GXH3422" s="917"/>
      <c r="GXI3422" s="917" t="s">
        <v>78</v>
      </c>
      <c r="GXJ3422" s="917"/>
      <c r="GXK3422" s="917"/>
      <c r="GXL3422" s="917"/>
      <c r="GXM3422" s="917"/>
      <c r="GXN3422" s="917"/>
      <c r="GXO3422" s="917"/>
      <c r="GXP3422" s="917"/>
      <c r="GXQ3422" s="917"/>
      <c r="GXR3422" s="917"/>
      <c r="GXS3422" s="917"/>
      <c r="GXT3422" s="917"/>
      <c r="GXU3422" s="917"/>
      <c r="GXV3422" s="917"/>
      <c r="GXW3422" s="917"/>
      <c r="GXX3422" s="917"/>
      <c r="GXY3422" s="917"/>
      <c r="GXZ3422" s="917"/>
      <c r="GYA3422" s="917"/>
      <c r="GYB3422" s="917"/>
      <c r="GYC3422" s="917"/>
      <c r="GYD3422" s="917"/>
      <c r="GYE3422" s="917"/>
      <c r="GYF3422" s="917"/>
      <c r="GYG3422" s="917"/>
      <c r="GYH3422" s="917"/>
      <c r="GYI3422" s="917"/>
      <c r="GYJ3422" s="917"/>
      <c r="GYK3422" s="917"/>
      <c r="GYL3422" s="917"/>
      <c r="GYM3422" s="917"/>
      <c r="GYN3422" s="917"/>
      <c r="GYO3422" s="917" t="s">
        <v>78</v>
      </c>
      <c r="GYP3422" s="917"/>
      <c r="GYQ3422" s="917"/>
      <c r="GYR3422" s="917"/>
      <c r="GYS3422" s="917"/>
      <c r="GYT3422" s="917"/>
      <c r="GYU3422" s="917"/>
      <c r="GYV3422" s="917"/>
      <c r="GYW3422" s="917"/>
      <c r="GYX3422" s="917"/>
      <c r="GYY3422" s="917"/>
      <c r="GYZ3422" s="917"/>
      <c r="GZA3422" s="917"/>
      <c r="GZB3422" s="917"/>
      <c r="GZC3422" s="917"/>
      <c r="GZD3422" s="917"/>
      <c r="GZE3422" s="917"/>
      <c r="GZF3422" s="917"/>
      <c r="GZG3422" s="917"/>
      <c r="GZH3422" s="917"/>
      <c r="GZI3422" s="917"/>
      <c r="GZJ3422" s="917"/>
      <c r="GZK3422" s="917"/>
      <c r="GZL3422" s="917"/>
      <c r="GZM3422" s="917"/>
      <c r="GZN3422" s="917"/>
      <c r="GZO3422" s="917"/>
      <c r="GZP3422" s="917"/>
      <c r="GZQ3422" s="917"/>
      <c r="GZR3422" s="917"/>
      <c r="GZS3422" s="917"/>
      <c r="GZT3422" s="917"/>
      <c r="GZU3422" s="917" t="s">
        <v>78</v>
      </c>
      <c r="GZV3422" s="917"/>
      <c r="GZW3422" s="917"/>
      <c r="GZX3422" s="917"/>
      <c r="GZY3422" s="917"/>
      <c r="GZZ3422" s="917"/>
      <c r="HAA3422" s="917"/>
      <c r="HAB3422" s="917"/>
      <c r="HAC3422" s="917"/>
      <c r="HAD3422" s="917"/>
      <c r="HAE3422" s="917"/>
      <c r="HAF3422" s="917"/>
      <c r="HAG3422" s="917"/>
      <c r="HAH3422" s="917"/>
      <c r="HAI3422" s="917"/>
      <c r="HAJ3422" s="917"/>
      <c r="HAK3422" s="917"/>
      <c r="HAL3422" s="917"/>
      <c r="HAM3422" s="917"/>
      <c r="HAN3422" s="917"/>
      <c r="HAO3422" s="917"/>
      <c r="HAP3422" s="917"/>
      <c r="HAQ3422" s="917"/>
      <c r="HAR3422" s="917"/>
      <c r="HAS3422" s="917"/>
      <c r="HAT3422" s="917"/>
      <c r="HAU3422" s="917"/>
      <c r="HAV3422" s="917"/>
      <c r="HAW3422" s="917"/>
      <c r="HAX3422" s="917"/>
      <c r="HAY3422" s="917"/>
      <c r="HAZ3422" s="917"/>
      <c r="HBA3422" s="917" t="s">
        <v>78</v>
      </c>
      <c r="HBB3422" s="917"/>
      <c r="HBC3422" s="917"/>
      <c r="HBD3422" s="917"/>
      <c r="HBE3422" s="917"/>
      <c r="HBF3422" s="917"/>
      <c r="HBG3422" s="917"/>
      <c r="HBH3422" s="917"/>
      <c r="HBI3422" s="917"/>
      <c r="HBJ3422" s="917"/>
      <c r="HBK3422" s="917"/>
      <c r="HBL3422" s="917"/>
      <c r="HBM3422" s="917"/>
      <c r="HBN3422" s="917"/>
      <c r="HBO3422" s="917"/>
      <c r="HBP3422" s="917"/>
      <c r="HBQ3422" s="917"/>
      <c r="HBR3422" s="917"/>
      <c r="HBS3422" s="917"/>
      <c r="HBT3422" s="917"/>
      <c r="HBU3422" s="917"/>
      <c r="HBV3422" s="917"/>
      <c r="HBW3422" s="917"/>
      <c r="HBX3422" s="917"/>
      <c r="HBY3422" s="917"/>
      <c r="HBZ3422" s="917"/>
      <c r="HCA3422" s="917"/>
      <c r="HCB3422" s="917"/>
      <c r="HCC3422" s="917"/>
      <c r="HCD3422" s="917"/>
      <c r="HCE3422" s="917"/>
      <c r="HCF3422" s="917"/>
      <c r="HCG3422" s="917" t="s">
        <v>78</v>
      </c>
      <c r="HCH3422" s="917"/>
      <c r="HCI3422" s="917"/>
      <c r="HCJ3422" s="917"/>
      <c r="HCK3422" s="917"/>
      <c r="HCL3422" s="917"/>
      <c r="HCM3422" s="917"/>
      <c r="HCN3422" s="917"/>
      <c r="HCO3422" s="917"/>
      <c r="HCP3422" s="917"/>
      <c r="HCQ3422" s="917"/>
      <c r="HCR3422" s="917"/>
      <c r="HCS3422" s="917"/>
      <c r="HCT3422" s="917"/>
      <c r="HCU3422" s="917"/>
      <c r="HCV3422" s="917"/>
      <c r="HCW3422" s="917"/>
      <c r="HCX3422" s="917"/>
      <c r="HCY3422" s="917"/>
      <c r="HCZ3422" s="917"/>
      <c r="HDA3422" s="917"/>
      <c r="HDB3422" s="917"/>
      <c r="HDC3422" s="917"/>
      <c r="HDD3422" s="917"/>
      <c r="HDE3422" s="917"/>
      <c r="HDF3422" s="917"/>
      <c r="HDG3422" s="917"/>
      <c r="HDH3422" s="917"/>
      <c r="HDI3422" s="917"/>
      <c r="HDJ3422" s="917"/>
      <c r="HDK3422" s="917"/>
      <c r="HDL3422" s="917"/>
      <c r="HDM3422" s="917" t="s">
        <v>78</v>
      </c>
      <c r="HDN3422" s="917"/>
      <c r="HDO3422" s="917"/>
      <c r="HDP3422" s="917"/>
      <c r="HDQ3422" s="917"/>
      <c r="HDR3422" s="917"/>
      <c r="HDS3422" s="917"/>
      <c r="HDT3422" s="917"/>
      <c r="HDU3422" s="917"/>
      <c r="HDV3422" s="917"/>
      <c r="HDW3422" s="917"/>
      <c r="HDX3422" s="917"/>
      <c r="HDY3422" s="917"/>
      <c r="HDZ3422" s="917"/>
      <c r="HEA3422" s="917"/>
      <c r="HEB3422" s="917"/>
      <c r="HEC3422" s="917"/>
      <c r="HED3422" s="917"/>
      <c r="HEE3422" s="917"/>
      <c r="HEF3422" s="917"/>
      <c r="HEG3422" s="917"/>
      <c r="HEH3422" s="917"/>
      <c r="HEI3422" s="917"/>
      <c r="HEJ3422" s="917"/>
      <c r="HEK3422" s="917"/>
      <c r="HEL3422" s="917"/>
      <c r="HEM3422" s="917"/>
      <c r="HEN3422" s="917"/>
      <c r="HEO3422" s="917"/>
      <c r="HEP3422" s="917"/>
      <c r="HEQ3422" s="917"/>
      <c r="HER3422" s="917"/>
      <c r="HES3422" s="917" t="s">
        <v>78</v>
      </c>
      <c r="HET3422" s="917"/>
      <c r="HEU3422" s="917"/>
      <c r="HEV3422" s="917"/>
      <c r="HEW3422" s="917"/>
      <c r="HEX3422" s="917"/>
      <c r="HEY3422" s="917"/>
      <c r="HEZ3422" s="917"/>
      <c r="HFA3422" s="917"/>
      <c r="HFB3422" s="917"/>
      <c r="HFC3422" s="917"/>
      <c r="HFD3422" s="917"/>
      <c r="HFE3422" s="917"/>
      <c r="HFF3422" s="917"/>
      <c r="HFG3422" s="917"/>
      <c r="HFH3422" s="917"/>
      <c r="HFI3422" s="917"/>
      <c r="HFJ3422" s="917"/>
      <c r="HFK3422" s="917"/>
      <c r="HFL3422" s="917"/>
      <c r="HFM3422" s="917"/>
      <c r="HFN3422" s="917"/>
      <c r="HFO3422" s="917"/>
      <c r="HFP3422" s="917"/>
      <c r="HFQ3422" s="917"/>
      <c r="HFR3422" s="917"/>
      <c r="HFS3422" s="917"/>
      <c r="HFT3422" s="917"/>
      <c r="HFU3422" s="917"/>
      <c r="HFV3422" s="917"/>
      <c r="HFW3422" s="917"/>
      <c r="HFX3422" s="917"/>
      <c r="HFY3422" s="917" t="s">
        <v>78</v>
      </c>
      <c r="HFZ3422" s="917"/>
      <c r="HGA3422" s="917"/>
      <c r="HGB3422" s="917"/>
      <c r="HGC3422" s="917"/>
      <c r="HGD3422" s="917"/>
      <c r="HGE3422" s="917"/>
      <c r="HGF3422" s="917"/>
      <c r="HGG3422" s="917"/>
      <c r="HGH3422" s="917"/>
      <c r="HGI3422" s="917"/>
      <c r="HGJ3422" s="917"/>
      <c r="HGK3422" s="917"/>
      <c r="HGL3422" s="917"/>
      <c r="HGM3422" s="917"/>
      <c r="HGN3422" s="917"/>
      <c r="HGO3422" s="917"/>
      <c r="HGP3422" s="917"/>
      <c r="HGQ3422" s="917"/>
      <c r="HGR3422" s="917"/>
      <c r="HGS3422" s="917"/>
      <c r="HGT3422" s="917"/>
      <c r="HGU3422" s="917"/>
      <c r="HGV3422" s="917"/>
      <c r="HGW3422" s="917"/>
      <c r="HGX3422" s="917"/>
      <c r="HGY3422" s="917"/>
      <c r="HGZ3422" s="917"/>
      <c r="HHA3422" s="917"/>
      <c r="HHB3422" s="917"/>
      <c r="HHC3422" s="917"/>
      <c r="HHD3422" s="917"/>
      <c r="HHE3422" s="917" t="s">
        <v>78</v>
      </c>
      <c r="HHF3422" s="917"/>
      <c r="HHG3422" s="917"/>
      <c r="HHH3422" s="917"/>
      <c r="HHI3422" s="917"/>
      <c r="HHJ3422" s="917"/>
      <c r="HHK3422" s="917"/>
      <c r="HHL3422" s="917"/>
      <c r="HHM3422" s="917"/>
      <c r="HHN3422" s="917"/>
      <c r="HHO3422" s="917"/>
      <c r="HHP3422" s="917"/>
      <c r="HHQ3422" s="917"/>
      <c r="HHR3422" s="917"/>
      <c r="HHS3422" s="917"/>
      <c r="HHT3422" s="917"/>
      <c r="HHU3422" s="917"/>
      <c r="HHV3422" s="917"/>
      <c r="HHW3422" s="917"/>
      <c r="HHX3422" s="917"/>
      <c r="HHY3422" s="917"/>
      <c r="HHZ3422" s="917"/>
      <c r="HIA3422" s="917"/>
      <c r="HIB3422" s="917"/>
      <c r="HIC3422" s="917"/>
      <c r="HID3422" s="917"/>
      <c r="HIE3422" s="917"/>
      <c r="HIF3422" s="917"/>
      <c r="HIG3422" s="917"/>
      <c r="HIH3422" s="917"/>
      <c r="HII3422" s="917"/>
      <c r="HIJ3422" s="917"/>
      <c r="HIK3422" s="917" t="s">
        <v>78</v>
      </c>
      <c r="HIL3422" s="917"/>
      <c r="HIM3422" s="917"/>
      <c r="HIN3422" s="917"/>
      <c r="HIO3422" s="917"/>
      <c r="HIP3422" s="917"/>
      <c r="HIQ3422" s="917"/>
      <c r="HIR3422" s="917"/>
      <c r="HIS3422" s="917"/>
      <c r="HIT3422" s="917"/>
      <c r="HIU3422" s="917"/>
      <c r="HIV3422" s="917"/>
      <c r="HIW3422" s="917"/>
      <c r="HIX3422" s="917"/>
      <c r="HIY3422" s="917"/>
      <c r="HIZ3422" s="917"/>
      <c r="HJA3422" s="917"/>
      <c r="HJB3422" s="917"/>
      <c r="HJC3422" s="917"/>
      <c r="HJD3422" s="917"/>
      <c r="HJE3422" s="917"/>
      <c r="HJF3422" s="917"/>
      <c r="HJG3422" s="917"/>
      <c r="HJH3422" s="917"/>
      <c r="HJI3422" s="917"/>
      <c r="HJJ3422" s="917"/>
      <c r="HJK3422" s="917"/>
      <c r="HJL3422" s="917"/>
      <c r="HJM3422" s="917"/>
      <c r="HJN3422" s="917"/>
      <c r="HJO3422" s="917"/>
      <c r="HJP3422" s="917"/>
      <c r="HJQ3422" s="917" t="s">
        <v>78</v>
      </c>
      <c r="HJR3422" s="917"/>
      <c r="HJS3422" s="917"/>
      <c r="HJT3422" s="917"/>
      <c r="HJU3422" s="917"/>
      <c r="HJV3422" s="917"/>
      <c r="HJW3422" s="917"/>
      <c r="HJX3422" s="917"/>
      <c r="HJY3422" s="917"/>
      <c r="HJZ3422" s="917"/>
      <c r="HKA3422" s="917"/>
      <c r="HKB3422" s="917"/>
      <c r="HKC3422" s="917"/>
      <c r="HKD3422" s="917"/>
      <c r="HKE3422" s="917"/>
      <c r="HKF3422" s="917"/>
      <c r="HKG3422" s="917"/>
      <c r="HKH3422" s="917"/>
      <c r="HKI3422" s="917"/>
      <c r="HKJ3422" s="917"/>
      <c r="HKK3422" s="917"/>
      <c r="HKL3422" s="917"/>
      <c r="HKM3422" s="917"/>
      <c r="HKN3422" s="917"/>
      <c r="HKO3422" s="917"/>
      <c r="HKP3422" s="917"/>
      <c r="HKQ3422" s="917"/>
      <c r="HKR3422" s="917"/>
      <c r="HKS3422" s="917"/>
      <c r="HKT3422" s="917"/>
      <c r="HKU3422" s="917"/>
      <c r="HKV3422" s="917"/>
      <c r="HKW3422" s="917" t="s">
        <v>78</v>
      </c>
      <c r="HKX3422" s="917"/>
      <c r="HKY3422" s="917"/>
      <c r="HKZ3422" s="917"/>
      <c r="HLA3422" s="917"/>
      <c r="HLB3422" s="917"/>
      <c r="HLC3422" s="917"/>
      <c r="HLD3422" s="917"/>
      <c r="HLE3422" s="917"/>
      <c r="HLF3422" s="917"/>
      <c r="HLG3422" s="917"/>
      <c r="HLH3422" s="917"/>
      <c r="HLI3422" s="917"/>
      <c r="HLJ3422" s="917"/>
      <c r="HLK3422" s="917"/>
      <c r="HLL3422" s="917"/>
      <c r="HLM3422" s="917"/>
      <c r="HLN3422" s="917"/>
      <c r="HLO3422" s="917"/>
      <c r="HLP3422" s="917"/>
      <c r="HLQ3422" s="917"/>
      <c r="HLR3422" s="917"/>
      <c r="HLS3422" s="917"/>
      <c r="HLT3422" s="917"/>
      <c r="HLU3422" s="917"/>
      <c r="HLV3422" s="917"/>
      <c r="HLW3422" s="917"/>
      <c r="HLX3422" s="917"/>
      <c r="HLY3422" s="917"/>
      <c r="HLZ3422" s="917"/>
      <c r="HMA3422" s="917"/>
      <c r="HMB3422" s="917"/>
      <c r="HMC3422" s="917" t="s">
        <v>78</v>
      </c>
      <c r="HMD3422" s="917"/>
      <c r="HME3422" s="917"/>
      <c r="HMF3422" s="917"/>
      <c r="HMG3422" s="917"/>
      <c r="HMH3422" s="917"/>
      <c r="HMI3422" s="917"/>
      <c r="HMJ3422" s="917"/>
      <c r="HMK3422" s="917"/>
      <c r="HML3422" s="917"/>
      <c r="HMM3422" s="917"/>
      <c r="HMN3422" s="917"/>
      <c r="HMO3422" s="917"/>
      <c r="HMP3422" s="917"/>
      <c r="HMQ3422" s="917"/>
      <c r="HMR3422" s="917"/>
      <c r="HMS3422" s="917"/>
      <c r="HMT3422" s="917"/>
      <c r="HMU3422" s="917"/>
      <c r="HMV3422" s="917"/>
      <c r="HMW3422" s="917"/>
      <c r="HMX3422" s="917"/>
      <c r="HMY3422" s="917"/>
      <c r="HMZ3422" s="917"/>
      <c r="HNA3422" s="917"/>
      <c r="HNB3422" s="917"/>
      <c r="HNC3422" s="917"/>
      <c r="HND3422" s="917"/>
      <c r="HNE3422" s="917"/>
      <c r="HNF3422" s="917"/>
      <c r="HNG3422" s="917"/>
      <c r="HNH3422" s="917"/>
      <c r="HNI3422" s="917" t="s">
        <v>78</v>
      </c>
      <c r="HNJ3422" s="917"/>
      <c r="HNK3422" s="917"/>
      <c r="HNL3422" s="917"/>
      <c r="HNM3422" s="917"/>
      <c r="HNN3422" s="917"/>
      <c r="HNO3422" s="917"/>
      <c r="HNP3422" s="917"/>
      <c r="HNQ3422" s="917"/>
      <c r="HNR3422" s="917"/>
      <c r="HNS3422" s="917"/>
      <c r="HNT3422" s="917"/>
      <c r="HNU3422" s="917"/>
      <c r="HNV3422" s="917"/>
      <c r="HNW3422" s="917"/>
      <c r="HNX3422" s="917"/>
      <c r="HNY3422" s="917"/>
      <c r="HNZ3422" s="917"/>
      <c r="HOA3422" s="917"/>
      <c r="HOB3422" s="917"/>
      <c r="HOC3422" s="917"/>
      <c r="HOD3422" s="917"/>
      <c r="HOE3422" s="917"/>
      <c r="HOF3422" s="917"/>
      <c r="HOG3422" s="917"/>
      <c r="HOH3422" s="917"/>
      <c r="HOI3422" s="917"/>
      <c r="HOJ3422" s="917"/>
      <c r="HOK3422" s="917"/>
      <c r="HOL3422" s="917"/>
      <c r="HOM3422" s="917"/>
      <c r="HON3422" s="917"/>
      <c r="HOO3422" s="917" t="s">
        <v>78</v>
      </c>
      <c r="HOP3422" s="917"/>
      <c r="HOQ3422" s="917"/>
      <c r="HOR3422" s="917"/>
      <c r="HOS3422" s="917"/>
      <c r="HOT3422" s="917"/>
      <c r="HOU3422" s="917"/>
      <c r="HOV3422" s="917"/>
      <c r="HOW3422" s="917"/>
      <c r="HOX3422" s="917"/>
      <c r="HOY3422" s="917"/>
      <c r="HOZ3422" s="917"/>
      <c r="HPA3422" s="917"/>
      <c r="HPB3422" s="917"/>
      <c r="HPC3422" s="917"/>
      <c r="HPD3422" s="917"/>
      <c r="HPE3422" s="917"/>
      <c r="HPF3422" s="917"/>
      <c r="HPG3422" s="917"/>
      <c r="HPH3422" s="917"/>
      <c r="HPI3422" s="917"/>
      <c r="HPJ3422" s="917"/>
      <c r="HPK3422" s="917"/>
      <c r="HPL3422" s="917"/>
      <c r="HPM3422" s="917"/>
      <c r="HPN3422" s="917"/>
      <c r="HPO3422" s="917"/>
      <c r="HPP3422" s="917"/>
      <c r="HPQ3422" s="917"/>
      <c r="HPR3422" s="917"/>
      <c r="HPS3422" s="917"/>
      <c r="HPT3422" s="917"/>
      <c r="HPU3422" s="917" t="s">
        <v>78</v>
      </c>
      <c r="HPV3422" s="917"/>
      <c r="HPW3422" s="917"/>
      <c r="HPX3422" s="917"/>
      <c r="HPY3422" s="917"/>
      <c r="HPZ3422" s="917"/>
      <c r="HQA3422" s="917"/>
      <c r="HQB3422" s="917"/>
      <c r="HQC3422" s="917"/>
      <c r="HQD3422" s="917"/>
      <c r="HQE3422" s="917"/>
      <c r="HQF3422" s="917"/>
      <c r="HQG3422" s="917"/>
      <c r="HQH3422" s="917"/>
      <c r="HQI3422" s="917"/>
      <c r="HQJ3422" s="917"/>
      <c r="HQK3422" s="917"/>
      <c r="HQL3422" s="917"/>
      <c r="HQM3422" s="917"/>
      <c r="HQN3422" s="917"/>
      <c r="HQO3422" s="917"/>
      <c r="HQP3422" s="917"/>
      <c r="HQQ3422" s="917"/>
      <c r="HQR3422" s="917"/>
      <c r="HQS3422" s="917"/>
      <c r="HQT3422" s="917"/>
      <c r="HQU3422" s="917"/>
      <c r="HQV3422" s="917"/>
      <c r="HQW3422" s="917"/>
      <c r="HQX3422" s="917"/>
      <c r="HQY3422" s="917"/>
      <c r="HQZ3422" s="917"/>
      <c r="HRA3422" s="917" t="s">
        <v>78</v>
      </c>
      <c r="HRB3422" s="917"/>
      <c r="HRC3422" s="917"/>
      <c r="HRD3422" s="917"/>
      <c r="HRE3422" s="917"/>
      <c r="HRF3422" s="917"/>
      <c r="HRG3422" s="917"/>
      <c r="HRH3422" s="917"/>
      <c r="HRI3422" s="917"/>
      <c r="HRJ3422" s="917"/>
      <c r="HRK3422" s="917"/>
      <c r="HRL3422" s="917"/>
      <c r="HRM3422" s="917"/>
      <c r="HRN3422" s="917"/>
      <c r="HRO3422" s="917"/>
      <c r="HRP3422" s="917"/>
      <c r="HRQ3422" s="917"/>
      <c r="HRR3422" s="917"/>
      <c r="HRS3422" s="917"/>
      <c r="HRT3422" s="917"/>
      <c r="HRU3422" s="917"/>
      <c r="HRV3422" s="917"/>
      <c r="HRW3422" s="917"/>
      <c r="HRX3422" s="917"/>
      <c r="HRY3422" s="917"/>
      <c r="HRZ3422" s="917"/>
      <c r="HSA3422" s="917"/>
      <c r="HSB3422" s="917"/>
      <c r="HSC3422" s="917"/>
      <c r="HSD3422" s="917"/>
      <c r="HSE3422" s="917"/>
      <c r="HSF3422" s="917"/>
      <c r="HSG3422" s="917" t="s">
        <v>78</v>
      </c>
      <c r="HSH3422" s="917"/>
      <c r="HSI3422" s="917"/>
      <c r="HSJ3422" s="917"/>
      <c r="HSK3422" s="917"/>
      <c r="HSL3422" s="917"/>
      <c r="HSM3422" s="917"/>
      <c r="HSN3422" s="917"/>
      <c r="HSO3422" s="917"/>
      <c r="HSP3422" s="917"/>
      <c r="HSQ3422" s="917"/>
      <c r="HSR3422" s="917"/>
      <c r="HSS3422" s="917"/>
      <c r="HST3422" s="917"/>
      <c r="HSU3422" s="917"/>
      <c r="HSV3422" s="917"/>
      <c r="HSW3422" s="917"/>
      <c r="HSX3422" s="917"/>
      <c r="HSY3422" s="917"/>
      <c r="HSZ3422" s="917"/>
      <c r="HTA3422" s="917"/>
      <c r="HTB3422" s="917"/>
      <c r="HTC3422" s="917"/>
      <c r="HTD3422" s="917"/>
      <c r="HTE3422" s="917"/>
      <c r="HTF3422" s="917"/>
      <c r="HTG3422" s="917"/>
      <c r="HTH3422" s="917"/>
      <c r="HTI3422" s="917"/>
      <c r="HTJ3422" s="917"/>
      <c r="HTK3422" s="917"/>
      <c r="HTL3422" s="917"/>
      <c r="HTM3422" s="917" t="s">
        <v>78</v>
      </c>
      <c r="HTN3422" s="917"/>
      <c r="HTO3422" s="917"/>
      <c r="HTP3422" s="917"/>
      <c r="HTQ3422" s="917"/>
      <c r="HTR3422" s="917"/>
      <c r="HTS3422" s="917"/>
      <c r="HTT3422" s="917"/>
      <c r="HTU3422" s="917"/>
      <c r="HTV3422" s="917"/>
      <c r="HTW3422" s="917"/>
      <c r="HTX3422" s="917"/>
      <c r="HTY3422" s="917"/>
      <c r="HTZ3422" s="917"/>
      <c r="HUA3422" s="917"/>
      <c r="HUB3422" s="917"/>
      <c r="HUC3422" s="917"/>
      <c r="HUD3422" s="917"/>
      <c r="HUE3422" s="917"/>
      <c r="HUF3422" s="917"/>
      <c r="HUG3422" s="917"/>
      <c r="HUH3422" s="917"/>
      <c r="HUI3422" s="917"/>
      <c r="HUJ3422" s="917"/>
      <c r="HUK3422" s="917"/>
      <c r="HUL3422" s="917"/>
      <c r="HUM3422" s="917"/>
      <c r="HUN3422" s="917"/>
      <c r="HUO3422" s="917"/>
      <c r="HUP3422" s="917"/>
      <c r="HUQ3422" s="917"/>
      <c r="HUR3422" s="917"/>
      <c r="HUS3422" s="917" t="s">
        <v>78</v>
      </c>
      <c r="HUT3422" s="917"/>
      <c r="HUU3422" s="917"/>
      <c r="HUV3422" s="917"/>
      <c r="HUW3422" s="917"/>
      <c r="HUX3422" s="917"/>
      <c r="HUY3422" s="917"/>
      <c r="HUZ3422" s="917"/>
      <c r="HVA3422" s="917"/>
      <c r="HVB3422" s="917"/>
      <c r="HVC3422" s="917"/>
      <c r="HVD3422" s="917"/>
      <c r="HVE3422" s="917"/>
      <c r="HVF3422" s="917"/>
      <c r="HVG3422" s="917"/>
      <c r="HVH3422" s="917"/>
      <c r="HVI3422" s="917"/>
      <c r="HVJ3422" s="917"/>
      <c r="HVK3422" s="917"/>
      <c r="HVL3422" s="917"/>
      <c r="HVM3422" s="917"/>
      <c r="HVN3422" s="917"/>
      <c r="HVO3422" s="917"/>
      <c r="HVP3422" s="917"/>
      <c r="HVQ3422" s="917"/>
      <c r="HVR3422" s="917"/>
      <c r="HVS3422" s="917"/>
      <c r="HVT3422" s="917"/>
      <c r="HVU3422" s="917"/>
      <c r="HVV3422" s="917"/>
      <c r="HVW3422" s="917"/>
      <c r="HVX3422" s="917"/>
      <c r="HVY3422" s="917" t="s">
        <v>78</v>
      </c>
      <c r="HVZ3422" s="917"/>
      <c r="HWA3422" s="917"/>
      <c r="HWB3422" s="917"/>
      <c r="HWC3422" s="917"/>
      <c r="HWD3422" s="917"/>
      <c r="HWE3422" s="917"/>
      <c r="HWF3422" s="917"/>
      <c r="HWG3422" s="917"/>
      <c r="HWH3422" s="917"/>
      <c r="HWI3422" s="917"/>
      <c r="HWJ3422" s="917"/>
      <c r="HWK3422" s="917"/>
      <c r="HWL3422" s="917"/>
      <c r="HWM3422" s="917"/>
      <c r="HWN3422" s="917"/>
      <c r="HWO3422" s="917"/>
      <c r="HWP3422" s="917"/>
      <c r="HWQ3422" s="917"/>
      <c r="HWR3422" s="917"/>
      <c r="HWS3422" s="917"/>
      <c r="HWT3422" s="917"/>
      <c r="HWU3422" s="917"/>
      <c r="HWV3422" s="917"/>
      <c r="HWW3422" s="917"/>
      <c r="HWX3422" s="917"/>
      <c r="HWY3422" s="917"/>
      <c r="HWZ3422" s="917"/>
      <c r="HXA3422" s="917"/>
      <c r="HXB3422" s="917"/>
      <c r="HXC3422" s="917"/>
      <c r="HXD3422" s="917"/>
      <c r="HXE3422" s="917" t="s">
        <v>78</v>
      </c>
      <c r="HXF3422" s="917"/>
      <c r="HXG3422" s="917"/>
      <c r="HXH3422" s="917"/>
      <c r="HXI3422" s="917"/>
      <c r="HXJ3422" s="917"/>
      <c r="HXK3422" s="917"/>
      <c r="HXL3422" s="917"/>
      <c r="HXM3422" s="917"/>
      <c r="HXN3422" s="917"/>
      <c r="HXO3422" s="917"/>
      <c r="HXP3422" s="917"/>
      <c r="HXQ3422" s="917"/>
      <c r="HXR3422" s="917"/>
      <c r="HXS3422" s="917"/>
      <c r="HXT3422" s="917"/>
      <c r="HXU3422" s="917"/>
      <c r="HXV3422" s="917"/>
      <c r="HXW3422" s="917"/>
      <c r="HXX3422" s="917"/>
      <c r="HXY3422" s="917"/>
      <c r="HXZ3422" s="917"/>
      <c r="HYA3422" s="917"/>
      <c r="HYB3422" s="917"/>
      <c r="HYC3422" s="917"/>
      <c r="HYD3422" s="917"/>
      <c r="HYE3422" s="917"/>
      <c r="HYF3422" s="917"/>
      <c r="HYG3422" s="917"/>
      <c r="HYH3422" s="917"/>
      <c r="HYI3422" s="917"/>
      <c r="HYJ3422" s="917"/>
      <c r="HYK3422" s="917" t="s">
        <v>78</v>
      </c>
      <c r="HYL3422" s="917"/>
      <c r="HYM3422" s="917"/>
      <c r="HYN3422" s="917"/>
      <c r="HYO3422" s="917"/>
      <c r="HYP3422" s="917"/>
      <c r="HYQ3422" s="917"/>
      <c r="HYR3422" s="917"/>
      <c r="HYS3422" s="917"/>
      <c r="HYT3422" s="917"/>
      <c r="HYU3422" s="917"/>
      <c r="HYV3422" s="917"/>
      <c r="HYW3422" s="917"/>
      <c r="HYX3422" s="917"/>
      <c r="HYY3422" s="917"/>
      <c r="HYZ3422" s="917"/>
      <c r="HZA3422" s="917"/>
      <c r="HZB3422" s="917"/>
      <c r="HZC3422" s="917"/>
      <c r="HZD3422" s="917"/>
      <c r="HZE3422" s="917"/>
      <c r="HZF3422" s="917"/>
      <c r="HZG3422" s="917"/>
      <c r="HZH3422" s="917"/>
      <c r="HZI3422" s="917"/>
      <c r="HZJ3422" s="917"/>
      <c r="HZK3422" s="917"/>
      <c r="HZL3422" s="917"/>
      <c r="HZM3422" s="917"/>
      <c r="HZN3422" s="917"/>
      <c r="HZO3422" s="917"/>
      <c r="HZP3422" s="917"/>
      <c r="HZQ3422" s="917" t="s">
        <v>78</v>
      </c>
      <c r="HZR3422" s="917"/>
      <c r="HZS3422" s="917"/>
      <c r="HZT3422" s="917"/>
      <c r="HZU3422" s="917"/>
      <c r="HZV3422" s="917"/>
      <c r="HZW3422" s="917"/>
      <c r="HZX3422" s="917"/>
      <c r="HZY3422" s="917"/>
      <c r="HZZ3422" s="917"/>
      <c r="IAA3422" s="917"/>
      <c r="IAB3422" s="917"/>
      <c r="IAC3422" s="917"/>
      <c r="IAD3422" s="917"/>
      <c r="IAE3422" s="917"/>
      <c r="IAF3422" s="917"/>
      <c r="IAG3422" s="917"/>
      <c r="IAH3422" s="917"/>
      <c r="IAI3422" s="917"/>
      <c r="IAJ3422" s="917"/>
      <c r="IAK3422" s="917"/>
      <c r="IAL3422" s="917"/>
      <c r="IAM3422" s="917"/>
      <c r="IAN3422" s="917"/>
      <c r="IAO3422" s="917"/>
      <c r="IAP3422" s="917"/>
      <c r="IAQ3422" s="917"/>
      <c r="IAR3422" s="917"/>
      <c r="IAS3422" s="917"/>
      <c r="IAT3422" s="917"/>
      <c r="IAU3422" s="917"/>
      <c r="IAV3422" s="917"/>
      <c r="IAW3422" s="917" t="s">
        <v>78</v>
      </c>
      <c r="IAX3422" s="917"/>
      <c r="IAY3422" s="917"/>
      <c r="IAZ3422" s="917"/>
      <c r="IBA3422" s="917"/>
      <c r="IBB3422" s="917"/>
      <c r="IBC3422" s="917"/>
      <c r="IBD3422" s="917"/>
      <c r="IBE3422" s="917"/>
      <c r="IBF3422" s="917"/>
      <c r="IBG3422" s="917"/>
      <c r="IBH3422" s="917"/>
      <c r="IBI3422" s="917"/>
      <c r="IBJ3422" s="917"/>
      <c r="IBK3422" s="917"/>
      <c r="IBL3422" s="917"/>
      <c r="IBM3422" s="917"/>
      <c r="IBN3422" s="917"/>
      <c r="IBO3422" s="917"/>
      <c r="IBP3422" s="917"/>
      <c r="IBQ3422" s="917"/>
      <c r="IBR3422" s="917"/>
      <c r="IBS3422" s="917"/>
      <c r="IBT3422" s="917"/>
      <c r="IBU3422" s="917"/>
      <c r="IBV3422" s="917"/>
      <c r="IBW3422" s="917"/>
      <c r="IBX3422" s="917"/>
      <c r="IBY3422" s="917"/>
      <c r="IBZ3422" s="917"/>
      <c r="ICA3422" s="917"/>
      <c r="ICB3422" s="917"/>
      <c r="ICC3422" s="917" t="s">
        <v>78</v>
      </c>
      <c r="ICD3422" s="917"/>
      <c r="ICE3422" s="917"/>
      <c r="ICF3422" s="917"/>
      <c r="ICG3422" s="917"/>
      <c r="ICH3422" s="917"/>
      <c r="ICI3422" s="917"/>
      <c r="ICJ3422" s="917"/>
      <c r="ICK3422" s="917"/>
      <c r="ICL3422" s="917"/>
      <c r="ICM3422" s="917"/>
      <c r="ICN3422" s="917"/>
      <c r="ICO3422" s="917"/>
      <c r="ICP3422" s="917"/>
      <c r="ICQ3422" s="917"/>
      <c r="ICR3422" s="917"/>
      <c r="ICS3422" s="917"/>
      <c r="ICT3422" s="917"/>
      <c r="ICU3422" s="917"/>
      <c r="ICV3422" s="917"/>
      <c r="ICW3422" s="917"/>
      <c r="ICX3422" s="917"/>
      <c r="ICY3422" s="917"/>
      <c r="ICZ3422" s="917"/>
      <c r="IDA3422" s="917"/>
      <c r="IDB3422" s="917"/>
      <c r="IDC3422" s="917"/>
      <c r="IDD3422" s="917"/>
      <c r="IDE3422" s="917"/>
      <c r="IDF3422" s="917"/>
      <c r="IDG3422" s="917"/>
      <c r="IDH3422" s="917"/>
      <c r="IDI3422" s="917" t="s">
        <v>78</v>
      </c>
      <c r="IDJ3422" s="917"/>
      <c r="IDK3422" s="917"/>
      <c r="IDL3422" s="917"/>
      <c r="IDM3422" s="917"/>
      <c r="IDN3422" s="917"/>
      <c r="IDO3422" s="917"/>
      <c r="IDP3422" s="917"/>
      <c r="IDQ3422" s="917"/>
      <c r="IDR3422" s="917"/>
      <c r="IDS3422" s="917"/>
      <c r="IDT3422" s="917"/>
      <c r="IDU3422" s="917"/>
      <c r="IDV3422" s="917"/>
      <c r="IDW3422" s="917"/>
      <c r="IDX3422" s="917"/>
      <c r="IDY3422" s="917"/>
      <c r="IDZ3422" s="917"/>
      <c r="IEA3422" s="917"/>
      <c r="IEB3422" s="917"/>
      <c r="IEC3422" s="917"/>
      <c r="IED3422" s="917"/>
      <c r="IEE3422" s="917"/>
      <c r="IEF3422" s="917"/>
      <c r="IEG3422" s="917"/>
      <c r="IEH3422" s="917"/>
      <c r="IEI3422" s="917"/>
      <c r="IEJ3422" s="917"/>
      <c r="IEK3422" s="917"/>
      <c r="IEL3422" s="917"/>
      <c r="IEM3422" s="917"/>
      <c r="IEN3422" s="917"/>
      <c r="IEO3422" s="917" t="s">
        <v>78</v>
      </c>
      <c r="IEP3422" s="917"/>
      <c r="IEQ3422" s="917"/>
      <c r="IER3422" s="917"/>
      <c r="IES3422" s="917"/>
      <c r="IET3422" s="917"/>
      <c r="IEU3422" s="917"/>
      <c r="IEV3422" s="917"/>
      <c r="IEW3422" s="917"/>
      <c r="IEX3422" s="917"/>
      <c r="IEY3422" s="917"/>
      <c r="IEZ3422" s="917"/>
      <c r="IFA3422" s="917"/>
      <c r="IFB3422" s="917"/>
      <c r="IFC3422" s="917"/>
      <c r="IFD3422" s="917"/>
      <c r="IFE3422" s="917"/>
      <c r="IFF3422" s="917"/>
      <c r="IFG3422" s="917"/>
      <c r="IFH3422" s="917"/>
      <c r="IFI3422" s="917"/>
      <c r="IFJ3422" s="917"/>
      <c r="IFK3422" s="917"/>
      <c r="IFL3422" s="917"/>
      <c r="IFM3422" s="917"/>
      <c r="IFN3422" s="917"/>
      <c r="IFO3422" s="917"/>
      <c r="IFP3422" s="917"/>
      <c r="IFQ3422" s="917"/>
      <c r="IFR3422" s="917"/>
      <c r="IFS3422" s="917"/>
      <c r="IFT3422" s="917"/>
      <c r="IFU3422" s="917" t="s">
        <v>78</v>
      </c>
      <c r="IFV3422" s="917"/>
      <c r="IFW3422" s="917"/>
      <c r="IFX3422" s="917"/>
      <c r="IFY3422" s="917"/>
      <c r="IFZ3422" s="917"/>
      <c r="IGA3422" s="917"/>
      <c r="IGB3422" s="917"/>
      <c r="IGC3422" s="917"/>
      <c r="IGD3422" s="917"/>
      <c r="IGE3422" s="917"/>
      <c r="IGF3422" s="917"/>
      <c r="IGG3422" s="917"/>
      <c r="IGH3422" s="917"/>
      <c r="IGI3422" s="917"/>
      <c r="IGJ3422" s="917"/>
      <c r="IGK3422" s="917"/>
      <c r="IGL3422" s="917"/>
      <c r="IGM3422" s="917"/>
      <c r="IGN3422" s="917"/>
      <c r="IGO3422" s="917"/>
      <c r="IGP3422" s="917"/>
      <c r="IGQ3422" s="917"/>
      <c r="IGR3422" s="917"/>
      <c r="IGS3422" s="917"/>
      <c r="IGT3422" s="917"/>
      <c r="IGU3422" s="917"/>
      <c r="IGV3422" s="917"/>
      <c r="IGW3422" s="917"/>
      <c r="IGX3422" s="917"/>
      <c r="IGY3422" s="917"/>
      <c r="IGZ3422" s="917"/>
      <c r="IHA3422" s="917" t="s">
        <v>78</v>
      </c>
      <c r="IHB3422" s="917"/>
      <c r="IHC3422" s="917"/>
      <c r="IHD3422" s="917"/>
      <c r="IHE3422" s="917"/>
      <c r="IHF3422" s="917"/>
      <c r="IHG3422" s="917"/>
      <c r="IHH3422" s="917"/>
      <c r="IHI3422" s="917"/>
      <c r="IHJ3422" s="917"/>
      <c r="IHK3422" s="917"/>
      <c r="IHL3422" s="917"/>
      <c r="IHM3422" s="917"/>
      <c r="IHN3422" s="917"/>
      <c r="IHO3422" s="917"/>
      <c r="IHP3422" s="917"/>
      <c r="IHQ3422" s="917"/>
      <c r="IHR3422" s="917"/>
      <c r="IHS3422" s="917"/>
      <c r="IHT3422" s="917"/>
      <c r="IHU3422" s="917"/>
      <c r="IHV3422" s="917"/>
      <c r="IHW3422" s="917"/>
      <c r="IHX3422" s="917"/>
      <c r="IHY3422" s="917"/>
      <c r="IHZ3422" s="917"/>
      <c r="IIA3422" s="917"/>
      <c r="IIB3422" s="917"/>
      <c r="IIC3422" s="917"/>
      <c r="IID3422" s="917"/>
      <c r="IIE3422" s="917"/>
      <c r="IIF3422" s="917"/>
      <c r="IIG3422" s="917" t="s">
        <v>78</v>
      </c>
      <c r="IIH3422" s="917"/>
      <c r="III3422" s="917"/>
      <c r="IIJ3422" s="917"/>
      <c r="IIK3422" s="917"/>
      <c r="IIL3422" s="917"/>
      <c r="IIM3422" s="917"/>
      <c r="IIN3422" s="917"/>
      <c r="IIO3422" s="917"/>
      <c r="IIP3422" s="917"/>
      <c r="IIQ3422" s="917"/>
      <c r="IIR3422" s="917"/>
      <c r="IIS3422" s="917"/>
      <c r="IIT3422" s="917"/>
      <c r="IIU3422" s="917"/>
      <c r="IIV3422" s="917"/>
      <c r="IIW3422" s="917"/>
      <c r="IIX3422" s="917"/>
      <c r="IIY3422" s="917"/>
      <c r="IIZ3422" s="917"/>
      <c r="IJA3422" s="917"/>
      <c r="IJB3422" s="917"/>
      <c r="IJC3422" s="917"/>
      <c r="IJD3422" s="917"/>
      <c r="IJE3422" s="917"/>
      <c r="IJF3422" s="917"/>
      <c r="IJG3422" s="917"/>
      <c r="IJH3422" s="917"/>
      <c r="IJI3422" s="917"/>
      <c r="IJJ3422" s="917"/>
      <c r="IJK3422" s="917"/>
      <c r="IJL3422" s="917"/>
      <c r="IJM3422" s="917" t="s">
        <v>78</v>
      </c>
      <c r="IJN3422" s="917"/>
      <c r="IJO3422" s="917"/>
      <c r="IJP3422" s="917"/>
      <c r="IJQ3422" s="917"/>
      <c r="IJR3422" s="917"/>
      <c r="IJS3422" s="917"/>
      <c r="IJT3422" s="917"/>
      <c r="IJU3422" s="917"/>
      <c r="IJV3422" s="917"/>
      <c r="IJW3422" s="917"/>
      <c r="IJX3422" s="917"/>
      <c r="IJY3422" s="917"/>
      <c r="IJZ3422" s="917"/>
      <c r="IKA3422" s="917"/>
      <c r="IKB3422" s="917"/>
      <c r="IKC3422" s="917"/>
      <c r="IKD3422" s="917"/>
      <c r="IKE3422" s="917"/>
      <c r="IKF3422" s="917"/>
      <c r="IKG3422" s="917"/>
      <c r="IKH3422" s="917"/>
      <c r="IKI3422" s="917"/>
      <c r="IKJ3422" s="917"/>
      <c r="IKK3422" s="917"/>
      <c r="IKL3422" s="917"/>
      <c r="IKM3422" s="917"/>
      <c r="IKN3422" s="917"/>
      <c r="IKO3422" s="917"/>
      <c r="IKP3422" s="917"/>
      <c r="IKQ3422" s="917"/>
      <c r="IKR3422" s="917"/>
      <c r="IKS3422" s="917" t="s">
        <v>78</v>
      </c>
      <c r="IKT3422" s="917"/>
      <c r="IKU3422" s="917"/>
      <c r="IKV3422" s="917"/>
      <c r="IKW3422" s="917"/>
      <c r="IKX3422" s="917"/>
      <c r="IKY3422" s="917"/>
      <c r="IKZ3422" s="917"/>
      <c r="ILA3422" s="917"/>
      <c r="ILB3422" s="917"/>
      <c r="ILC3422" s="917"/>
      <c r="ILD3422" s="917"/>
      <c r="ILE3422" s="917"/>
      <c r="ILF3422" s="917"/>
      <c r="ILG3422" s="917"/>
      <c r="ILH3422" s="917"/>
      <c r="ILI3422" s="917"/>
      <c r="ILJ3422" s="917"/>
      <c r="ILK3422" s="917"/>
      <c r="ILL3422" s="917"/>
      <c r="ILM3422" s="917"/>
      <c r="ILN3422" s="917"/>
      <c r="ILO3422" s="917"/>
      <c r="ILP3422" s="917"/>
      <c r="ILQ3422" s="917"/>
      <c r="ILR3422" s="917"/>
      <c r="ILS3422" s="917"/>
      <c r="ILT3422" s="917"/>
      <c r="ILU3422" s="917"/>
      <c r="ILV3422" s="917"/>
      <c r="ILW3422" s="917"/>
      <c r="ILX3422" s="917"/>
      <c r="ILY3422" s="917" t="s">
        <v>78</v>
      </c>
      <c r="ILZ3422" s="917"/>
      <c r="IMA3422" s="917"/>
      <c r="IMB3422" s="917"/>
      <c r="IMC3422" s="917"/>
      <c r="IMD3422" s="917"/>
      <c r="IME3422" s="917"/>
      <c r="IMF3422" s="917"/>
      <c r="IMG3422" s="917"/>
      <c r="IMH3422" s="917"/>
      <c r="IMI3422" s="917"/>
      <c r="IMJ3422" s="917"/>
      <c r="IMK3422" s="917"/>
      <c r="IML3422" s="917"/>
      <c r="IMM3422" s="917"/>
      <c r="IMN3422" s="917"/>
      <c r="IMO3422" s="917"/>
      <c r="IMP3422" s="917"/>
      <c r="IMQ3422" s="917"/>
      <c r="IMR3422" s="917"/>
      <c r="IMS3422" s="917"/>
      <c r="IMT3422" s="917"/>
      <c r="IMU3422" s="917"/>
      <c r="IMV3422" s="917"/>
      <c r="IMW3422" s="917"/>
      <c r="IMX3422" s="917"/>
      <c r="IMY3422" s="917"/>
      <c r="IMZ3422" s="917"/>
      <c r="INA3422" s="917"/>
      <c r="INB3422" s="917"/>
      <c r="INC3422" s="917"/>
      <c r="IND3422" s="917"/>
      <c r="INE3422" s="917" t="s">
        <v>78</v>
      </c>
      <c r="INF3422" s="917"/>
      <c r="ING3422" s="917"/>
      <c r="INH3422" s="917"/>
      <c r="INI3422" s="917"/>
      <c r="INJ3422" s="917"/>
      <c r="INK3422" s="917"/>
      <c r="INL3422" s="917"/>
      <c r="INM3422" s="917"/>
      <c r="INN3422" s="917"/>
      <c r="INO3422" s="917"/>
      <c r="INP3422" s="917"/>
      <c r="INQ3422" s="917"/>
      <c r="INR3422" s="917"/>
      <c r="INS3422" s="917"/>
      <c r="INT3422" s="917"/>
      <c r="INU3422" s="917"/>
      <c r="INV3422" s="917"/>
      <c r="INW3422" s="917"/>
      <c r="INX3422" s="917"/>
      <c r="INY3422" s="917"/>
      <c r="INZ3422" s="917"/>
      <c r="IOA3422" s="917"/>
      <c r="IOB3422" s="917"/>
      <c r="IOC3422" s="917"/>
      <c r="IOD3422" s="917"/>
      <c r="IOE3422" s="917"/>
      <c r="IOF3422" s="917"/>
      <c r="IOG3422" s="917"/>
      <c r="IOH3422" s="917"/>
      <c r="IOI3422" s="917"/>
      <c r="IOJ3422" s="917"/>
      <c r="IOK3422" s="917" t="s">
        <v>78</v>
      </c>
      <c r="IOL3422" s="917"/>
      <c r="IOM3422" s="917"/>
      <c r="ION3422" s="917"/>
      <c r="IOO3422" s="917"/>
      <c r="IOP3422" s="917"/>
      <c r="IOQ3422" s="917"/>
      <c r="IOR3422" s="917"/>
      <c r="IOS3422" s="917"/>
      <c r="IOT3422" s="917"/>
      <c r="IOU3422" s="917"/>
      <c r="IOV3422" s="917"/>
      <c r="IOW3422" s="917"/>
      <c r="IOX3422" s="917"/>
      <c r="IOY3422" s="917"/>
      <c r="IOZ3422" s="917"/>
      <c r="IPA3422" s="917"/>
      <c r="IPB3422" s="917"/>
      <c r="IPC3422" s="917"/>
      <c r="IPD3422" s="917"/>
      <c r="IPE3422" s="917"/>
      <c r="IPF3422" s="917"/>
      <c r="IPG3422" s="917"/>
      <c r="IPH3422" s="917"/>
      <c r="IPI3422" s="917"/>
      <c r="IPJ3422" s="917"/>
      <c r="IPK3422" s="917"/>
      <c r="IPL3422" s="917"/>
      <c r="IPM3422" s="917"/>
      <c r="IPN3422" s="917"/>
      <c r="IPO3422" s="917"/>
      <c r="IPP3422" s="917"/>
      <c r="IPQ3422" s="917" t="s">
        <v>78</v>
      </c>
      <c r="IPR3422" s="917"/>
      <c r="IPS3422" s="917"/>
      <c r="IPT3422" s="917"/>
      <c r="IPU3422" s="917"/>
      <c r="IPV3422" s="917"/>
      <c r="IPW3422" s="917"/>
      <c r="IPX3422" s="917"/>
      <c r="IPY3422" s="917"/>
      <c r="IPZ3422" s="917"/>
      <c r="IQA3422" s="917"/>
      <c r="IQB3422" s="917"/>
      <c r="IQC3422" s="917"/>
      <c r="IQD3422" s="917"/>
      <c r="IQE3422" s="917"/>
      <c r="IQF3422" s="917"/>
      <c r="IQG3422" s="917"/>
      <c r="IQH3422" s="917"/>
      <c r="IQI3422" s="917"/>
      <c r="IQJ3422" s="917"/>
      <c r="IQK3422" s="917"/>
      <c r="IQL3422" s="917"/>
      <c r="IQM3422" s="917"/>
      <c r="IQN3422" s="917"/>
      <c r="IQO3422" s="917"/>
      <c r="IQP3422" s="917"/>
      <c r="IQQ3422" s="917"/>
      <c r="IQR3422" s="917"/>
      <c r="IQS3422" s="917"/>
      <c r="IQT3422" s="917"/>
      <c r="IQU3422" s="917"/>
      <c r="IQV3422" s="917"/>
      <c r="IQW3422" s="917" t="s">
        <v>78</v>
      </c>
      <c r="IQX3422" s="917"/>
      <c r="IQY3422" s="917"/>
      <c r="IQZ3422" s="917"/>
      <c r="IRA3422" s="917"/>
      <c r="IRB3422" s="917"/>
      <c r="IRC3422" s="917"/>
      <c r="IRD3422" s="917"/>
      <c r="IRE3422" s="917"/>
      <c r="IRF3422" s="917"/>
      <c r="IRG3422" s="917"/>
      <c r="IRH3422" s="917"/>
      <c r="IRI3422" s="917"/>
      <c r="IRJ3422" s="917"/>
      <c r="IRK3422" s="917"/>
      <c r="IRL3422" s="917"/>
      <c r="IRM3422" s="917"/>
      <c r="IRN3422" s="917"/>
      <c r="IRO3422" s="917"/>
      <c r="IRP3422" s="917"/>
      <c r="IRQ3422" s="917"/>
      <c r="IRR3422" s="917"/>
      <c r="IRS3422" s="917"/>
      <c r="IRT3422" s="917"/>
      <c r="IRU3422" s="917"/>
      <c r="IRV3422" s="917"/>
      <c r="IRW3422" s="917"/>
      <c r="IRX3422" s="917"/>
      <c r="IRY3422" s="917"/>
      <c r="IRZ3422" s="917"/>
      <c r="ISA3422" s="917"/>
      <c r="ISB3422" s="917"/>
      <c r="ISC3422" s="917" t="s">
        <v>78</v>
      </c>
      <c r="ISD3422" s="917"/>
      <c r="ISE3422" s="917"/>
      <c r="ISF3422" s="917"/>
      <c r="ISG3422" s="917"/>
      <c r="ISH3422" s="917"/>
      <c r="ISI3422" s="917"/>
      <c r="ISJ3422" s="917"/>
      <c r="ISK3422" s="917"/>
      <c r="ISL3422" s="917"/>
      <c r="ISM3422" s="917"/>
      <c r="ISN3422" s="917"/>
      <c r="ISO3422" s="917"/>
      <c r="ISP3422" s="917"/>
      <c r="ISQ3422" s="917"/>
      <c r="ISR3422" s="917"/>
      <c r="ISS3422" s="917"/>
      <c r="IST3422" s="917"/>
      <c r="ISU3422" s="917"/>
      <c r="ISV3422" s="917"/>
      <c r="ISW3422" s="917"/>
      <c r="ISX3422" s="917"/>
      <c r="ISY3422" s="917"/>
      <c r="ISZ3422" s="917"/>
      <c r="ITA3422" s="917"/>
      <c r="ITB3422" s="917"/>
      <c r="ITC3422" s="917"/>
      <c r="ITD3422" s="917"/>
      <c r="ITE3422" s="917"/>
      <c r="ITF3422" s="917"/>
      <c r="ITG3422" s="917"/>
      <c r="ITH3422" s="917"/>
      <c r="ITI3422" s="917" t="s">
        <v>78</v>
      </c>
      <c r="ITJ3422" s="917"/>
      <c r="ITK3422" s="917"/>
      <c r="ITL3422" s="917"/>
      <c r="ITM3422" s="917"/>
      <c r="ITN3422" s="917"/>
      <c r="ITO3422" s="917"/>
      <c r="ITP3422" s="917"/>
      <c r="ITQ3422" s="917"/>
      <c r="ITR3422" s="917"/>
      <c r="ITS3422" s="917"/>
      <c r="ITT3422" s="917"/>
      <c r="ITU3422" s="917"/>
      <c r="ITV3422" s="917"/>
      <c r="ITW3422" s="917"/>
      <c r="ITX3422" s="917"/>
      <c r="ITY3422" s="917"/>
      <c r="ITZ3422" s="917"/>
      <c r="IUA3422" s="917"/>
      <c r="IUB3422" s="917"/>
      <c r="IUC3422" s="917"/>
      <c r="IUD3422" s="917"/>
      <c r="IUE3422" s="917"/>
      <c r="IUF3422" s="917"/>
      <c r="IUG3422" s="917"/>
      <c r="IUH3422" s="917"/>
      <c r="IUI3422" s="917"/>
      <c r="IUJ3422" s="917"/>
      <c r="IUK3422" s="917"/>
      <c r="IUL3422" s="917"/>
      <c r="IUM3422" s="917"/>
      <c r="IUN3422" s="917"/>
      <c r="IUO3422" s="917" t="s">
        <v>78</v>
      </c>
      <c r="IUP3422" s="917"/>
      <c r="IUQ3422" s="917"/>
      <c r="IUR3422" s="917"/>
      <c r="IUS3422" s="917"/>
      <c r="IUT3422" s="917"/>
      <c r="IUU3422" s="917"/>
      <c r="IUV3422" s="917"/>
      <c r="IUW3422" s="917"/>
      <c r="IUX3422" s="917"/>
      <c r="IUY3422" s="917"/>
      <c r="IUZ3422" s="917"/>
      <c r="IVA3422" s="917"/>
      <c r="IVB3422" s="917"/>
      <c r="IVC3422" s="917"/>
      <c r="IVD3422" s="917"/>
      <c r="IVE3422" s="917"/>
      <c r="IVF3422" s="917"/>
      <c r="IVG3422" s="917"/>
      <c r="IVH3422" s="917"/>
      <c r="IVI3422" s="917"/>
      <c r="IVJ3422" s="917"/>
      <c r="IVK3422" s="917"/>
      <c r="IVL3422" s="917"/>
      <c r="IVM3422" s="917"/>
      <c r="IVN3422" s="917"/>
      <c r="IVO3422" s="917"/>
      <c r="IVP3422" s="917"/>
      <c r="IVQ3422" s="917"/>
      <c r="IVR3422" s="917"/>
      <c r="IVS3422" s="917"/>
      <c r="IVT3422" s="917"/>
      <c r="IVU3422" s="917" t="s">
        <v>78</v>
      </c>
      <c r="IVV3422" s="917"/>
      <c r="IVW3422" s="917"/>
      <c r="IVX3422" s="917"/>
      <c r="IVY3422" s="917"/>
      <c r="IVZ3422" s="917"/>
      <c r="IWA3422" s="917"/>
      <c r="IWB3422" s="917"/>
      <c r="IWC3422" s="917"/>
      <c r="IWD3422" s="917"/>
      <c r="IWE3422" s="917"/>
      <c r="IWF3422" s="917"/>
      <c r="IWG3422" s="917"/>
      <c r="IWH3422" s="917"/>
      <c r="IWI3422" s="917"/>
      <c r="IWJ3422" s="917"/>
      <c r="IWK3422" s="917"/>
      <c r="IWL3422" s="917"/>
      <c r="IWM3422" s="917"/>
      <c r="IWN3422" s="917"/>
      <c r="IWO3422" s="917"/>
      <c r="IWP3422" s="917"/>
      <c r="IWQ3422" s="917"/>
      <c r="IWR3422" s="917"/>
      <c r="IWS3422" s="917"/>
      <c r="IWT3422" s="917"/>
      <c r="IWU3422" s="917"/>
      <c r="IWV3422" s="917"/>
      <c r="IWW3422" s="917"/>
      <c r="IWX3422" s="917"/>
      <c r="IWY3422" s="917"/>
      <c r="IWZ3422" s="917"/>
      <c r="IXA3422" s="917" t="s">
        <v>78</v>
      </c>
      <c r="IXB3422" s="917"/>
      <c r="IXC3422" s="917"/>
      <c r="IXD3422" s="917"/>
      <c r="IXE3422" s="917"/>
      <c r="IXF3422" s="917"/>
      <c r="IXG3422" s="917"/>
      <c r="IXH3422" s="917"/>
      <c r="IXI3422" s="917"/>
      <c r="IXJ3422" s="917"/>
      <c r="IXK3422" s="917"/>
      <c r="IXL3422" s="917"/>
      <c r="IXM3422" s="917"/>
      <c r="IXN3422" s="917"/>
      <c r="IXO3422" s="917"/>
      <c r="IXP3422" s="917"/>
      <c r="IXQ3422" s="917"/>
      <c r="IXR3422" s="917"/>
      <c r="IXS3422" s="917"/>
      <c r="IXT3422" s="917"/>
      <c r="IXU3422" s="917"/>
      <c r="IXV3422" s="917"/>
      <c r="IXW3422" s="917"/>
      <c r="IXX3422" s="917"/>
      <c r="IXY3422" s="917"/>
      <c r="IXZ3422" s="917"/>
      <c r="IYA3422" s="917"/>
      <c r="IYB3422" s="917"/>
      <c r="IYC3422" s="917"/>
      <c r="IYD3422" s="917"/>
      <c r="IYE3422" s="917"/>
      <c r="IYF3422" s="917"/>
      <c r="IYG3422" s="917" t="s">
        <v>78</v>
      </c>
      <c r="IYH3422" s="917"/>
      <c r="IYI3422" s="917"/>
      <c r="IYJ3422" s="917"/>
      <c r="IYK3422" s="917"/>
      <c r="IYL3422" s="917"/>
      <c r="IYM3422" s="917"/>
      <c r="IYN3422" s="917"/>
      <c r="IYO3422" s="917"/>
      <c r="IYP3422" s="917"/>
      <c r="IYQ3422" s="917"/>
      <c r="IYR3422" s="917"/>
      <c r="IYS3422" s="917"/>
      <c r="IYT3422" s="917"/>
      <c r="IYU3422" s="917"/>
      <c r="IYV3422" s="917"/>
      <c r="IYW3422" s="917"/>
      <c r="IYX3422" s="917"/>
      <c r="IYY3422" s="917"/>
      <c r="IYZ3422" s="917"/>
      <c r="IZA3422" s="917"/>
      <c r="IZB3422" s="917"/>
      <c r="IZC3422" s="917"/>
      <c r="IZD3422" s="917"/>
      <c r="IZE3422" s="917"/>
      <c r="IZF3422" s="917"/>
      <c r="IZG3422" s="917"/>
      <c r="IZH3422" s="917"/>
      <c r="IZI3422" s="917"/>
      <c r="IZJ3422" s="917"/>
      <c r="IZK3422" s="917"/>
      <c r="IZL3422" s="917"/>
      <c r="IZM3422" s="917" t="s">
        <v>78</v>
      </c>
      <c r="IZN3422" s="917"/>
      <c r="IZO3422" s="917"/>
      <c r="IZP3422" s="917"/>
      <c r="IZQ3422" s="917"/>
      <c r="IZR3422" s="917"/>
      <c r="IZS3422" s="917"/>
      <c r="IZT3422" s="917"/>
      <c r="IZU3422" s="917"/>
      <c r="IZV3422" s="917"/>
      <c r="IZW3422" s="917"/>
      <c r="IZX3422" s="917"/>
      <c r="IZY3422" s="917"/>
      <c r="IZZ3422" s="917"/>
      <c r="JAA3422" s="917"/>
      <c r="JAB3422" s="917"/>
      <c r="JAC3422" s="917"/>
      <c r="JAD3422" s="917"/>
      <c r="JAE3422" s="917"/>
      <c r="JAF3422" s="917"/>
      <c r="JAG3422" s="917"/>
      <c r="JAH3422" s="917"/>
      <c r="JAI3422" s="917"/>
      <c r="JAJ3422" s="917"/>
      <c r="JAK3422" s="917"/>
      <c r="JAL3422" s="917"/>
      <c r="JAM3422" s="917"/>
      <c r="JAN3422" s="917"/>
      <c r="JAO3422" s="917"/>
      <c r="JAP3422" s="917"/>
      <c r="JAQ3422" s="917"/>
      <c r="JAR3422" s="917"/>
      <c r="JAS3422" s="917" t="s">
        <v>78</v>
      </c>
      <c r="JAT3422" s="917"/>
      <c r="JAU3422" s="917"/>
      <c r="JAV3422" s="917"/>
      <c r="JAW3422" s="917"/>
      <c r="JAX3422" s="917"/>
      <c r="JAY3422" s="917"/>
      <c r="JAZ3422" s="917"/>
      <c r="JBA3422" s="917"/>
      <c r="JBB3422" s="917"/>
      <c r="JBC3422" s="917"/>
      <c r="JBD3422" s="917"/>
      <c r="JBE3422" s="917"/>
      <c r="JBF3422" s="917"/>
      <c r="JBG3422" s="917"/>
      <c r="JBH3422" s="917"/>
      <c r="JBI3422" s="917"/>
      <c r="JBJ3422" s="917"/>
      <c r="JBK3422" s="917"/>
      <c r="JBL3422" s="917"/>
      <c r="JBM3422" s="917"/>
      <c r="JBN3422" s="917"/>
      <c r="JBO3422" s="917"/>
      <c r="JBP3422" s="917"/>
      <c r="JBQ3422" s="917"/>
      <c r="JBR3422" s="917"/>
      <c r="JBS3422" s="917"/>
      <c r="JBT3422" s="917"/>
      <c r="JBU3422" s="917"/>
      <c r="JBV3422" s="917"/>
      <c r="JBW3422" s="917"/>
      <c r="JBX3422" s="917"/>
      <c r="JBY3422" s="917" t="s">
        <v>78</v>
      </c>
      <c r="JBZ3422" s="917"/>
      <c r="JCA3422" s="917"/>
      <c r="JCB3422" s="917"/>
      <c r="JCC3422" s="917"/>
      <c r="JCD3422" s="917"/>
      <c r="JCE3422" s="917"/>
      <c r="JCF3422" s="917"/>
      <c r="JCG3422" s="917"/>
      <c r="JCH3422" s="917"/>
      <c r="JCI3422" s="917"/>
      <c r="JCJ3422" s="917"/>
      <c r="JCK3422" s="917"/>
      <c r="JCL3422" s="917"/>
      <c r="JCM3422" s="917"/>
      <c r="JCN3422" s="917"/>
      <c r="JCO3422" s="917"/>
      <c r="JCP3422" s="917"/>
      <c r="JCQ3422" s="917"/>
      <c r="JCR3422" s="917"/>
      <c r="JCS3422" s="917"/>
      <c r="JCT3422" s="917"/>
      <c r="JCU3422" s="917"/>
      <c r="JCV3422" s="917"/>
      <c r="JCW3422" s="917"/>
      <c r="JCX3422" s="917"/>
      <c r="JCY3422" s="917"/>
      <c r="JCZ3422" s="917"/>
      <c r="JDA3422" s="917"/>
      <c r="JDB3422" s="917"/>
      <c r="JDC3422" s="917"/>
      <c r="JDD3422" s="917"/>
      <c r="JDE3422" s="917" t="s">
        <v>78</v>
      </c>
      <c r="JDF3422" s="917"/>
      <c r="JDG3422" s="917"/>
      <c r="JDH3422" s="917"/>
      <c r="JDI3422" s="917"/>
      <c r="JDJ3422" s="917"/>
      <c r="JDK3422" s="917"/>
      <c r="JDL3422" s="917"/>
      <c r="JDM3422" s="917"/>
      <c r="JDN3422" s="917"/>
      <c r="JDO3422" s="917"/>
      <c r="JDP3422" s="917"/>
      <c r="JDQ3422" s="917"/>
      <c r="JDR3422" s="917"/>
      <c r="JDS3422" s="917"/>
      <c r="JDT3422" s="917"/>
      <c r="JDU3422" s="917"/>
      <c r="JDV3422" s="917"/>
      <c r="JDW3422" s="917"/>
      <c r="JDX3422" s="917"/>
      <c r="JDY3422" s="917"/>
      <c r="JDZ3422" s="917"/>
      <c r="JEA3422" s="917"/>
      <c r="JEB3422" s="917"/>
      <c r="JEC3422" s="917"/>
      <c r="JED3422" s="917"/>
      <c r="JEE3422" s="917"/>
      <c r="JEF3422" s="917"/>
      <c r="JEG3422" s="917"/>
      <c r="JEH3422" s="917"/>
      <c r="JEI3422" s="917"/>
      <c r="JEJ3422" s="917"/>
      <c r="JEK3422" s="917" t="s">
        <v>78</v>
      </c>
      <c r="JEL3422" s="917"/>
      <c r="JEM3422" s="917"/>
      <c r="JEN3422" s="917"/>
      <c r="JEO3422" s="917"/>
      <c r="JEP3422" s="917"/>
      <c r="JEQ3422" s="917"/>
      <c r="JER3422" s="917"/>
      <c r="JES3422" s="917"/>
      <c r="JET3422" s="917"/>
      <c r="JEU3422" s="917"/>
      <c r="JEV3422" s="917"/>
      <c r="JEW3422" s="917"/>
      <c r="JEX3422" s="917"/>
      <c r="JEY3422" s="917"/>
      <c r="JEZ3422" s="917"/>
      <c r="JFA3422" s="917"/>
      <c r="JFB3422" s="917"/>
      <c r="JFC3422" s="917"/>
      <c r="JFD3422" s="917"/>
      <c r="JFE3422" s="917"/>
      <c r="JFF3422" s="917"/>
      <c r="JFG3422" s="917"/>
      <c r="JFH3422" s="917"/>
      <c r="JFI3422" s="917"/>
      <c r="JFJ3422" s="917"/>
      <c r="JFK3422" s="917"/>
      <c r="JFL3422" s="917"/>
      <c r="JFM3422" s="917"/>
      <c r="JFN3422" s="917"/>
      <c r="JFO3422" s="917"/>
      <c r="JFP3422" s="917"/>
      <c r="JFQ3422" s="917" t="s">
        <v>78</v>
      </c>
      <c r="JFR3422" s="917"/>
      <c r="JFS3422" s="917"/>
      <c r="JFT3422" s="917"/>
      <c r="JFU3422" s="917"/>
      <c r="JFV3422" s="917"/>
      <c r="JFW3422" s="917"/>
      <c r="JFX3422" s="917"/>
      <c r="JFY3422" s="917"/>
      <c r="JFZ3422" s="917"/>
      <c r="JGA3422" s="917"/>
      <c r="JGB3422" s="917"/>
      <c r="JGC3422" s="917"/>
      <c r="JGD3422" s="917"/>
      <c r="JGE3422" s="917"/>
      <c r="JGF3422" s="917"/>
      <c r="JGG3422" s="917"/>
      <c r="JGH3422" s="917"/>
      <c r="JGI3422" s="917"/>
      <c r="JGJ3422" s="917"/>
      <c r="JGK3422" s="917"/>
      <c r="JGL3422" s="917"/>
      <c r="JGM3422" s="917"/>
      <c r="JGN3422" s="917"/>
      <c r="JGO3422" s="917"/>
      <c r="JGP3422" s="917"/>
      <c r="JGQ3422" s="917"/>
      <c r="JGR3422" s="917"/>
      <c r="JGS3422" s="917"/>
      <c r="JGT3422" s="917"/>
      <c r="JGU3422" s="917"/>
      <c r="JGV3422" s="917"/>
      <c r="JGW3422" s="917" t="s">
        <v>78</v>
      </c>
      <c r="JGX3422" s="917"/>
      <c r="JGY3422" s="917"/>
      <c r="JGZ3422" s="917"/>
      <c r="JHA3422" s="917"/>
      <c r="JHB3422" s="917"/>
      <c r="JHC3422" s="917"/>
      <c r="JHD3422" s="917"/>
      <c r="JHE3422" s="917"/>
      <c r="JHF3422" s="917"/>
      <c r="JHG3422" s="917"/>
      <c r="JHH3422" s="917"/>
      <c r="JHI3422" s="917"/>
      <c r="JHJ3422" s="917"/>
      <c r="JHK3422" s="917"/>
      <c r="JHL3422" s="917"/>
      <c r="JHM3422" s="917"/>
      <c r="JHN3422" s="917"/>
      <c r="JHO3422" s="917"/>
      <c r="JHP3422" s="917"/>
      <c r="JHQ3422" s="917"/>
      <c r="JHR3422" s="917"/>
      <c r="JHS3422" s="917"/>
      <c r="JHT3422" s="917"/>
      <c r="JHU3422" s="917"/>
      <c r="JHV3422" s="917"/>
      <c r="JHW3422" s="917"/>
      <c r="JHX3422" s="917"/>
      <c r="JHY3422" s="917"/>
      <c r="JHZ3422" s="917"/>
      <c r="JIA3422" s="917"/>
      <c r="JIB3422" s="917"/>
      <c r="JIC3422" s="917" t="s">
        <v>78</v>
      </c>
      <c r="JID3422" s="917"/>
      <c r="JIE3422" s="917"/>
      <c r="JIF3422" s="917"/>
      <c r="JIG3422" s="917"/>
      <c r="JIH3422" s="917"/>
      <c r="JII3422" s="917"/>
      <c r="JIJ3422" s="917"/>
      <c r="JIK3422" s="917"/>
      <c r="JIL3422" s="917"/>
      <c r="JIM3422" s="917"/>
      <c r="JIN3422" s="917"/>
      <c r="JIO3422" s="917"/>
      <c r="JIP3422" s="917"/>
      <c r="JIQ3422" s="917"/>
      <c r="JIR3422" s="917"/>
      <c r="JIS3422" s="917"/>
      <c r="JIT3422" s="917"/>
      <c r="JIU3422" s="917"/>
      <c r="JIV3422" s="917"/>
      <c r="JIW3422" s="917"/>
      <c r="JIX3422" s="917"/>
      <c r="JIY3422" s="917"/>
      <c r="JIZ3422" s="917"/>
      <c r="JJA3422" s="917"/>
      <c r="JJB3422" s="917"/>
      <c r="JJC3422" s="917"/>
      <c r="JJD3422" s="917"/>
      <c r="JJE3422" s="917"/>
      <c r="JJF3422" s="917"/>
      <c r="JJG3422" s="917"/>
      <c r="JJH3422" s="917"/>
      <c r="JJI3422" s="917" t="s">
        <v>78</v>
      </c>
      <c r="JJJ3422" s="917"/>
      <c r="JJK3422" s="917"/>
      <c r="JJL3422" s="917"/>
      <c r="JJM3422" s="917"/>
      <c r="JJN3422" s="917"/>
      <c r="JJO3422" s="917"/>
      <c r="JJP3422" s="917"/>
      <c r="JJQ3422" s="917"/>
      <c r="JJR3422" s="917"/>
      <c r="JJS3422" s="917"/>
      <c r="JJT3422" s="917"/>
      <c r="JJU3422" s="917"/>
      <c r="JJV3422" s="917"/>
      <c r="JJW3422" s="917"/>
      <c r="JJX3422" s="917"/>
      <c r="JJY3422" s="917"/>
      <c r="JJZ3422" s="917"/>
      <c r="JKA3422" s="917"/>
      <c r="JKB3422" s="917"/>
      <c r="JKC3422" s="917"/>
      <c r="JKD3422" s="917"/>
      <c r="JKE3422" s="917"/>
      <c r="JKF3422" s="917"/>
      <c r="JKG3422" s="917"/>
      <c r="JKH3422" s="917"/>
      <c r="JKI3422" s="917"/>
      <c r="JKJ3422" s="917"/>
      <c r="JKK3422" s="917"/>
      <c r="JKL3422" s="917"/>
      <c r="JKM3422" s="917"/>
      <c r="JKN3422" s="917"/>
      <c r="JKO3422" s="917" t="s">
        <v>78</v>
      </c>
      <c r="JKP3422" s="917"/>
      <c r="JKQ3422" s="917"/>
      <c r="JKR3422" s="917"/>
      <c r="JKS3422" s="917"/>
      <c r="JKT3422" s="917"/>
      <c r="JKU3422" s="917"/>
      <c r="JKV3422" s="917"/>
      <c r="JKW3422" s="917"/>
      <c r="JKX3422" s="917"/>
      <c r="JKY3422" s="917"/>
      <c r="JKZ3422" s="917"/>
      <c r="JLA3422" s="917"/>
      <c r="JLB3422" s="917"/>
      <c r="JLC3422" s="917"/>
      <c r="JLD3422" s="917"/>
      <c r="JLE3422" s="917"/>
      <c r="JLF3422" s="917"/>
      <c r="JLG3422" s="917"/>
      <c r="JLH3422" s="917"/>
      <c r="JLI3422" s="917"/>
      <c r="JLJ3422" s="917"/>
      <c r="JLK3422" s="917"/>
      <c r="JLL3422" s="917"/>
      <c r="JLM3422" s="917"/>
      <c r="JLN3422" s="917"/>
      <c r="JLO3422" s="917"/>
      <c r="JLP3422" s="917"/>
      <c r="JLQ3422" s="917"/>
      <c r="JLR3422" s="917"/>
      <c r="JLS3422" s="917"/>
      <c r="JLT3422" s="917"/>
      <c r="JLU3422" s="917" t="s">
        <v>78</v>
      </c>
      <c r="JLV3422" s="917"/>
      <c r="JLW3422" s="917"/>
      <c r="JLX3422" s="917"/>
      <c r="JLY3422" s="917"/>
      <c r="JLZ3422" s="917"/>
      <c r="JMA3422" s="917"/>
      <c r="JMB3422" s="917"/>
      <c r="JMC3422" s="917"/>
      <c r="JMD3422" s="917"/>
      <c r="JME3422" s="917"/>
      <c r="JMF3422" s="917"/>
      <c r="JMG3422" s="917"/>
      <c r="JMH3422" s="917"/>
      <c r="JMI3422" s="917"/>
      <c r="JMJ3422" s="917"/>
      <c r="JMK3422" s="917"/>
      <c r="JML3422" s="917"/>
      <c r="JMM3422" s="917"/>
      <c r="JMN3422" s="917"/>
      <c r="JMO3422" s="917"/>
      <c r="JMP3422" s="917"/>
      <c r="JMQ3422" s="917"/>
      <c r="JMR3422" s="917"/>
      <c r="JMS3422" s="917"/>
      <c r="JMT3422" s="917"/>
      <c r="JMU3422" s="917"/>
      <c r="JMV3422" s="917"/>
      <c r="JMW3422" s="917"/>
      <c r="JMX3422" s="917"/>
      <c r="JMY3422" s="917"/>
      <c r="JMZ3422" s="917"/>
      <c r="JNA3422" s="917" t="s">
        <v>78</v>
      </c>
      <c r="JNB3422" s="917"/>
      <c r="JNC3422" s="917"/>
      <c r="JND3422" s="917"/>
      <c r="JNE3422" s="917"/>
      <c r="JNF3422" s="917"/>
      <c r="JNG3422" s="917"/>
      <c r="JNH3422" s="917"/>
      <c r="JNI3422" s="917"/>
      <c r="JNJ3422" s="917"/>
      <c r="JNK3422" s="917"/>
      <c r="JNL3422" s="917"/>
      <c r="JNM3422" s="917"/>
      <c r="JNN3422" s="917"/>
      <c r="JNO3422" s="917"/>
      <c r="JNP3422" s="917"/>
      <c r="JNQ3422" s="917"/>
      <c r="JNR3422" s="917"/>
      <c r="JNS3422" s="917"/>
      <c r="JNT3422" s="917"/>
      <c r="JNU3422" s="917"/>
      <c r="JNV3422" s="917"/>
      <c r="JNW3422" s="917"/>
      <c r="JNX3422" s="917"/>
      <c r="JNY3422" s="917"/>
      <c r="JNZ3422" s="917"/>
      <c r="JOA3422" s="917"/>
      <c r="JOB3422" s="917"/>
      <c r="JOC3422" s="917"/>
      <c r="JOD3422" s="917"/>
      <c r="JOE3422" s="917"/>
      <c r="JOF3422" s="917"/>
      <c r="JOG3422" s="917" t="s">
        <v>78</v>
      </c>
      <c r="JOH3422" s="917"/>
      <c r="JOI3422" s="917"/>
      <c r="JOJ3422" s="917"/>
      <c r="JOK3422" s="917"/>
      <c r="JOL3422" s="917"/>
      <c r="JOM3422" s="917"/>
      <c r="JON3422" s="917"/>
      <c r="JOO3422" s="917"/>
      <c r="JOP3422" s="917"/>
      <c r="JOQ3422" s="917"/>
      <c r="JOR3422" s="917"/>
      <c r="JOS3422" s="917"/>
      <c r="JOT3422" s="917"/>
      <c r="JOU3422" s="917"/>
      <c r="JOV3422" s="917"/>
      <c r="JOW3422" s="917"/>
      <c r="JOX3422" s="917"/>
      <c r="JOY3422" s="917"/>
      <c r="JOZ3422" s="917"/>
      <c r="JPA3422" s="917"/>
      <c r="JPB3422" s="917"/>
      <c r="JPC3422" s="917"/>
      <c r="JPD3422" s="917"/>
      <c r="JPE3422" s="917"/>
      <c r="JPF3422" s="917"/>
      <c r="JPG3422" s="917"/>
      <c r="JPH3422" s="917"/>
      <c r="JPI3422" s="917"/>
      <c r="JPJ3422" s="917"/>
      <c r="JPK3422" s="917"/>
      <c r="JPL3422" s="917"/>
      <c r="JPM3422" s="917" t="s">
        <v>78</v>
      </c>
      <c r="JPN3422" s="917"/>
      <c r="JPO3422" s="917"/>
      <c r="JPP3422" s="917"/>
      <c r="JPQ3422" s="917"/>
      <c r="JPR3422" s="917"/>
      <c r="JPS3422" s="917"/>
      <c r="JPT3422" s="917"/>
      <c r="JPU3422" s="917"/>
      <c r="JPV3422" s="917"/>
      <c r="JPW3422" s="917"/>
      <c r="JPX3422" s="917"/>
      <c r="JPY3422" s="917"/>
      <c r="JPZ3422" s="917"/>
      <c r="JQA3422" s="917"/>
      <c r="JQB3422" s="917"/>
      <c r="JQC3422" s="917"/>
      <c r="JQD3422" s="917"/>
      <c r="JQE3422" s="917"/>
      <c r="JQF3422" s="917"/>
      <c r="JQG3422" s="917"/>
      <c r="JQH3422" s="917"/>
      <c r="JQI3422" s="917"/>
      <c r="JQJ3422" s="917"/>
      <c r="JQK3422" s="917"/>
      <c r="JQL3422" s="917"/>
      <c r="JQM3422" s="917"/>
      <c r="JQN3422" s="917"/>
      <c r="JQO3422" s="917"/>
      <c r="JQP3422" s="917"/>
      <c r="JQQ3422" s="917"/>
      <c r="JQR3422" s="917"/>
      <c r="JQS3422" s="917" t="s">
        <v>78</v>
      </c>
      <c r="JQT3422" s="917"/>
      <c r="JQU3422" s="917"/>
      <c r="JQV3422" s="917"/>
      <c r="JQW3422" s="917"/>
      <c r="JQX3422" s="917"/>
      <c r="JQY3422" s="917"/>
      <c r="JQZ3422" s="917"/>
      <c r="JRA3422" s="917"/>
      <c r="JRB3422" s="917"/>
      <c r="JRC3422" s="917"/>
      <c r="JRD3422" s="917"/>
      <c r="JRE3422" s="917"/>
      <c r="JRF3422" s="917"/>
      <c r="JRG3422" s="917"/>
      <c r="JRH3422" s="917"/>
      <c r="JRI3422" s="917"/>
      <c r="JRJ3422" s="917"/>
      <c r="JRK3422" s="917"/>
      <c r="JRL3422" s="917"/>
      <c r="JRM3422" s="917"/>
      <c r="JRN3422" s="917"/>
      <c r="JRO3422" s="917"/>
      <c r="JRP3422" s="917"/>
      <c r="JRQ3422" s="917"/>
      <c r="JRR3422" s="917"/>
      <c r="JRS3422" s="917"/>
      <c r="JRT3422" s="917"/>
      <c r="JRU3422" s="917"/>
      <c r="JRV3422" s="917"/>
      <c r="JRW3422" s="917"/>
      <c r="JRX3422" s="917"/>
      <c r="JRY3422" s="917" t="s">
        <v>78</v>
      </c>
      <c r="JRZ3422" s="917"/>
      <c r="JSA3422" s="917"/>
      <c r="JSB3422" s="917"/>
      <c r="JSC3422" s="917"/>
      <c r="JSD3422" s="917"/>
      <c r="JSE3422" s="917"/>
      <c r="JSF3422" s="917"/>
      <c r="JSG3422" s="917"/>
      <c r="JSH3422" s="917"/>
      <c r="JSI3422" s="917"/>
      <c r="JSJ3422" s="917"/>
      <c r="JSK3422" s="917"/>
      <c r="JSL3422" s="917"/>
      <c r="JSM3422" s="917"/>
      <c r="JSN3422" s="917"/>
      <c r="JSO3422" s="917"/>
      <c r="JSP3422" s="917"/>
      <c r="JSQ3422" s="917"/>
      <c r="JSR3422" s="917"/>
      <c r="JSS3422" s="917"/>
      <c r="JST3422" s="917"/>
      <c r="JSU3422" s="917"/>
      <c r="JSV3422" s="917"/>
      <c r="JSW3422" s="917"/>
      <c r="JSX3422" s="917"/>
      <c r="JSY3422" s="917"/>
      <c r="JSZ3422" s="917"/>
      <c r="JTA3422" s="917"/>
      <c r="JTB3422" s="917"/>
      <c r="JTC3422" s="917"/>
      <c r="JTD3422" s="917"/>
      <c r="JTE3422" s="917" t="s">
        <v>78</v>
      </c>
      <c r="JTF3422" s="917"/>
      <c r="JTG3422" s="917"/>
      <c r="JTH3422" s="917"/>
      <c r="JTI3422" s="917"/>
      <c r="JTJ3422" s="917"/>
      <c r="JTK3422" s="917"/>
      <c r="JTL3422" s="917"/>
      <c r="JTM3422" s="917"/>
      <c r="JTN3422" s="917"/>
      <c r="JTO3422" s="917"/>
      <c r="JTP3422" s="917"/>
      <c r="JTQ3422" s="917"/>
      <c r="JTR3422" s="917"/>
      <c r="JTS3422" s="917"/>
      <c r="JTT3422" s="917"/>
      <c r="JTU3422" s="917"/>
      <c r="JTV3422" s="917"/>
      <c r="JTW3422" s="917"/>
      <c r="JTX3422" s="917"/>
      <c r="JTY3422" s="917"/>
      <c r="JTZ3422" s="917"/>
      <c r="JUA3422" s="917"/>
      <c r="JUB3422" s="917"/>
      <c r="JUC3422" s="917"/>
      <c r="JUD3422" s="917"/>
      <c r="JUE3422" s="917"/>
      <c r="JUF3422" s="917"/>
      <c r="JUG3422" s="917"/>
      <c r="JUH3422" s="917"/>
      <c r="JUI3422" s="917"/>
      <c r="JUJ3422" s="917"/>
      <c r="JUK3422" s="917" t="s">
        <v>78</v>
      </c>
      <c r="JUL3422" s="917"/>
      <c r="JUM3422" s="917"/>
      <c r="JUN3422" s="917"/>
      <c r="JUO3422" s="917"/>
      <c r="JUP3422" s="917"/>
      <c r="JUQ3422" s="917"/>
      <c r="JUR3422" s="917"/>
      <c r="JUS3422" s="917"/>
      <c r="JUT3422" s="917"/>
      <c r="JUU3422" s="917"/>
      <c r="JUV3422" s="917"/>
      <c r="JUW3422" s="917"/>
      <c r="JUX3422" s="917"/>
      <c r="JUY3422" s="917"/>
      <c r="JUZ3422" s="917"/>
      <c r="JVA3422" s="917"/>
      <c r="JVB3422" s="917"/>
      <c r="JVC3422" s="917"/>
      <c r="JVD3422" s="917"/>
      <c r="JVE3422" s="917"/>
      <c r="JVF3422" s="917"/>
      <c r="JVG3422" s="917"/>
      <c r="JVH3422" s="917"/>
      <c r="JVI3422" s="917"/>
      <c r="JVJ3422" s="917"/>
      <c r="JVK3422" s="917"/>
      <c r="JVL3422" s="917"/>
      <c r="JVM3422" s="917"/>
      <c r="JVN3422" s="917"/>
      <c r="JVO3422" s="917"/>
      <c r="JVP3422" s="917"/>
      <c r="JVQ3422" s="917" t="s">
        <v>78</v>
      </c>
      <c r="JVR3422" s="917"/>
      <c r="JVS3422" s="917"/>
      <c r="JVT3422" s="917"/>
      <c r="JVU3422" s="917"/>
      <c r="JVV3422" s="917"/>
      <c r="JVW3422" s="917"/>
      <c r="JVX3422" s="917"/>
      <c r="JVY3422" s="917"/>
      <c r="JVZ3422" s="917"/>
      <c r="JWA3422" s="917"/>
      <c r="JWB3422" s="917"/>
      <c r="JWC3422" s="917"/>
      <c r="JWD3422" s="917"/>
      <c r="JWE3422" s="917"/>
      <c r="JWF3422" s="917"/>
      <c r="JWG3422" s="917"/>
      <c r="JWH3422" s="917"/>
      <c r="JWI3422" s="917"/>
      <c r="JWJ3422" s="917"/>
      <c r="JWK3422" s="917"/>
      <c r="JWL3422" s="917"/>
      <c r="JWM3422" s="917"/>
      <c r="JWN3422" s="917"/>
      <c r="JWO3422" s="917"/>
      <c r="JWP3422" s="917"/>
      <c r="JWQ3422" s="917"/>
      <c r="JWR3422" s="917"/>
      <c r="JWS3422" s="917"/>
      <c r="JWT3422" s="917"/>
      <c r="JWU3422" s="917"/>
      <c r="JWV3422" s="917"/>
      <c r="JWW3422" s="917" t="s">
        <v>78</v>
      </c>
      <c r="JWX3422" s="917"/>
      <c r="JWY3422" s="917"/>
      <c r="JWZ3422" s="917"/>
      <c r="JXA3422" s="917"/>
      <c r="JXB3422" s="917"/>
      <c r="JXC3422" s="917"/>
      <c r="JXD3422" s="917"/>
      <c r="JXE3422" s="917"/>
      <c r="JXF3422" s="917"/>
      <c r="JXG3422" s="917"/>
      <c r="JXH3422" s="917"/>
      <c r="JXI3422" s="917"/>
      <c r="JXJ3422" s="917"/>
      <c r="JXK3422" s="917"/>
      <c r="JXL3422" s="917"/>
      <c r="JXM3422" s="917"/>
      <c r="JXN3422" s="917"/>
      <c r="JXO3422" s="917"/>
      <c r="JXP3422" s="917"/>
      <c r="JXQ3422" s="917"/>
      <c r="JXR3422" s="917"/>
      <c r="JXS3422" s="917"/>
      <c r="JXT3422" s="917"/>
      <c r="JXU3422" s="917"/>
      <c r="JXV3422" s="917"/>
      <c r="JXW3422" s="917"/>
      <c r="JXX3422" s="917"/>
      <c r="JXY3422" s="917"/>
      <c r="JXZ3422" s="917"/>
      <c r="JYA3422" s="917"/>
      <c r="JYB3422" s="917"/>
      <c r="JYC3422" s="917" t="s">
        <v>78</v>
      </c>
      <c r="JYD3422" s="917"/>
      <c r="JYE3422" s="917"/>
      <c r="JYF3422" s="917"/>
      <c r="JYG3422" s="917"/>
      <c r="JYH3422" s="917"/>
      <c r="JYI3422" s="917"/>
      <c r="JYJ3422" s="917"/>
      <c r="JYK3422" s="917"/>
      <c r="JYL3422" s="917"/>
      <c r="JYM3422" s="917"/>
      <c r="JYN3422" s="917"/>
      <c r="JYO3422" s="917"/>
      <c r="JYP3422" s="917"/>
      <c r="JYQ3422" s="917"/>
      <c r="JYR3422" s="917"/>
      <c r="JYS3422" s="917"/>
      <c r="JYT3422" s="917"/>
      <c r="JYU3422" s="917"/>
      <c r="JYV3422" s="917"/>
      <c r="JYW3422" s="917"/>
      <c r="JYX3422" s="917"/>
      <c r="JYY3422" s="917"/>
      <c r="JYZ3422" s="917"/>
      <c r="JZA3422" s="917"/>
      <c r="JZB3422" s="917"/>
      <c r="JZC3422" s="917"/>
      <c r="JZD3422" s="917"/>
      <c r="JZE3422" s="917"/>
      <c r="JZF3422" s="917"/>
      <c r="JZG3422" s="917"/>
      <c r="JZH3422" s="917"/>
      <c r="JZI3422" s="917" t="s">
        <v>78</v>
      </c>
      <c r="JZJ3422" s="917"/>
      <c r="JZK3422" s="917"/>
      <c r="JZL3422" s="917"/>
      <c r="JZM3422" s="917"/>
      <c r="JZN3422" s="917"/>
      <c r="JZO3422" s="917"/>
      <c r="JZP3422" s="917"/>
      <c r="JZQ3422" s="917"/>
      <c r="JZR3422" s="917"/>
      <c r="JZS3422" s="917"/>
      <c r="JZT3422" s="917"/>
      <c r="JZU3422" s="917"/>
      <c r="JZV3422" s="917"/>
      <c r="JZW3422" s="917"/>
      <c r="JZX3422" s="917"/>
      <c r="JZY3422" s="917"/>
      <c r="JZZ3422" s="917"/>
      <c r="KAA3422" s="917"/>
      <c r="KAB3422" s="917"/>
      <c r="KAC3422" s="917"/>
      <c r="KAD3422" s="917"/>
      <c r="KAE3422" s="917"/>
      <c r="KAF3422" s="917"/>
      <c r="KAG3422" s="917"/>
      <c r="KAH3422" s="917"/>
      <c r="KAI3422" s="917"/>
      <c r="KAJ3422" s="917"/>
      <c r="KAK3422" s="917"/>
      <c r="KAL3422" s="917"/>
      <c r="KAM3422" s="917"/>
      <c r="KAN3422" s="917"/>
      <c r="KAO3422" s="917" t="s">
        <v>78</v>
      </c>
      <c r="KAP3422" s="917"/>
      <c r="KAQ3422" s="917"/>
      <c r="KAR3422" s="917"/>
      <c r="KAS3422" s="917"/>
      <c r="KAT3422" s="917"/>
      <c r="KAU3422" s="917"/>
      <c r="KAV3422" s="917"/>
      <c r="KAW3422" s="917"/>
      <c r="KAX3422" s="917"/>
      <c r="KAY3422" s="917"/>
      <c r="KAZ3422" s="917"/>
      <c r="KBA3422" s="917"/>
      <c r="KBB3422" s="917"/>
      <c r="KBC3422" s="917"/>
      <c r="KBD3422" s="917"/>
      <c r="KBE3422" s="917"/>
      <c r="KBF3422" s="917"/>
      <c r="KBG3422" s="917"/>
      <c r="KBH3422" s="917"/>
      <c r="KBI3422" s="917"/>
      <c r="KBJ3422" s="917"/>
      <c r="KBK3422" s="917"/>
      <c r="KBL3422" s="917"/>
      <c r="KBM3422" s="917"/>
      <c r="KBN3422" s="917"/>
      <c r="KBO3422" s="917"/>
      <c r="KBP3422" s="917"/>
      <c r="KBQ3422" s="917"/>
      <c r="KBR3422" s="917"/>
      <c r="KBS3422" s="917"/>
      <c r="KBT3422" s="917"/>
      <c r="KBU3422" s="917" t="s">
        <v>78</v>
      </c>
      <c r="KBV3422" s="917"/>
      <c r="KBW3422" s="917"/>
      <c r="KBX3422" s="917"/>
      <c r="KBY3422" s="917"/>
      <c r="KBZ3422" s="917"/>
      <c r="KCA3422" s="917"/>
      <c r="KCB3422" s="917"/>
      <c r="KCC3422" s="917"/>
      <c r="KCD3422" s="917"/>
      <c r="KCE3422" s="917"/>
      <c r="KCF3422" s="917"/>
      <c r="KCG3422" s="917"/>
      <c r="KCH3422" s="917"/>
      <c r="KCI3422" s="917"/>
      <c r="KCJ3422" s="917"/>
      <c r="KCK3422" s="917"/>
      <c r="KCL3422" s="917"/>
      <c r="KCM3422" s="917"/>
      <c r="KCN3422" s="917"/>
      <c r="KCO3422" s="917"/>
      <c r="KCP3422" s="917"/>
      <c r="KCQ3422" s="917"/>
      <c r="KCR3422" s="917"/>
      <c r="KCS3422" s="917"/>
      <c r="KCT3422" s="917"/>
      <c r="KCU3422" s="917"/>
      <c r="KCV3422" s="917"/>
      <c r="KCW3422" s="917"/>
      <c r="KCX3422" s="917"/>
      <c r="KCY3422" s="917"/>
      <c r="KCZ3422" s="917"/>
      <c r="KDA3422" s="917" t="s">
        <v>78</v>
      </c>
      <c r="KDB3422" s="917"/>
      <c r="KDC3422" s="917"/>
      <c r="KDD3422" s="917"/>
      <c r="KDE3422" s="917"/>
      <c r="KDF3422" s="917"/>
      <c r="KDG3422" s="917"/>
      <c r="KDH3422" s="917"/>
      <c r="KDI3422" s="917"/>
      <c r="KDJ3422" s="917"/>
      <c r="KDK3422" s="917"/>
      <c r="KDL3422" s="917"/>
      <c r="KDM3422" s="917"/>
      <c r="KDN3422" s="917"/>
      <c r="KDO3422" s="917"/>
      <c r="KDP3422" s="917"/>
      <c r="KDQ3422" s="917"/>
      <c r="KDR3422" s="917"/>
      <c r="KDS3422" s="917"/>
      <c r="KDT3422" s="917"/>
      <c r="KDU3422" s="917"/>
      <c r="KDV3422" s="917"/>
      <c r="KDW3422" s="917"/>
      <c r="KDX3422" s="917"/>
      <c r="KDY3422" s="917"/>
      <c r="KDZ3422" s="917"/>
      <c r="KEA3422" s="917"/>
      <c r="KEB3422" s="917"/>
      <c r="KEC3422" s="917"/>
      <c r="KED3422" s="917"/>
      <c r="KEE3422" s="917"/>
      <c r="KEF3422" s="917"/>
      <c r="KEG3422" s="917" t="s">
        <v>78</v>
      </c>
      <c r="KEH3422" s="917"/>
      <c r="KEI3422" s="917"/>
      <c r="KEJ3422" s="917"/>
      <c r="KEK3422" s="917"/>
      <c r="KEL3422" s="917"/>
      <c r="KEM3422" s="917"/>
      <c r="KEN3422" s="917"/>
      <c r="KEO3422" s="917"/>
      <c r="KEP3422" s="917"/>
      <c r="KEQ3422" s="917"/>
      <c r="KER3422" s="917"/>
      <c r="KES3422" s="917"/>
      <c r="KET3422" s="917"/>
      <c r="KEU3422" s="917"/>
      <c r="KEV3422" s="917"/>
      <c r="KEW3422" s="917"/>
      <c r="KEX3422" s="917"/>
      <c r="KEY3422" s="917"/>
      <c r="KEZ3422" s="917"/>
      <c r="KFA3422" s="917"/>
      <c r="KFB3422" s="917"/>
      <c r="KFC3422" s="917"/>
      <c r="KFD3422" s="917"/>
      <c r="KFE3422" s="917"/>
      <c r="KFF3422" s="917"/>
      <c r="KFG3422" s="917"/>
      <c r="KFH3422" s="917"/>
      <c r="KFI3422" s="917"/>
      <c r="KFJ3422" s="917"/>
      <c r="KFK3422" s="917"/>
      <c r="KFL3422" s="917"/>
      <c r="KFM3422" s="917" t="s">
        <v>78</v>
      </c>
      <c r="KFN3422" s="917"/>
      <c r="KFO3422" s="917"/>
      <c r="KFP3422" s="917"/>
      <c r="KFQ3422" s="917"/>
      <c r="KFR3422" s="917"/>
      <c r="KFS3422" s="917"/>
      <c r="KFT3422" s="917"/>
      <c r="KFU3422" s="917"/>
      <c r="KFV3422" s="917"/>
      <c r="KFW3422" s="917"/>
      <c r="KFX3422" s="917"/>
      <c r="KFY3422" s="917"/>
      <c r="KFZ3422" s="917"/>
      <c r="KGA3422" s="917"/>
      <c r="KGB3422" s="917"/>
      <c r="KGC3422" s="917"/>
      <c r="KGD3422" s="917"/>
      <c r="KGE3422" s="917"/>
      <c r="KGF3422" s="917"/>
      <c r="KGG3422" s="917"/>
      <c r="KGH3422" s="917"/>
      <c r="KGI3422" s="917"/>
      <c r="KGJ3422" s="917"/>
      <c r="KGK3422" s="917"/>
      <c r="KGL3422" s="917"/>
      <c r="KGM3422" s="917"/>
      <c r="KGN3422" s="917"/>
      <c r="KGO3422" s="917"/>
      <c r="KGP3422" s="917"/>
      <c r="KGQ3422" s="917"/>
      <c r="KGR3422" s="917"/>
      <c r="KGS3422" s="917" t="s">
        <v>78</v>
      </c>
      <c r="KGT3422" s="917"/>
      <c r="KGU3422" s="917"/>
      <c r="KGV3422" s="917"/>
      <c r="KGW3422" s="917"/>
      <c r="KGX3422" s="917"/>
      <c r="KGY3422" s="917"/>
      <c r="KGZ3422" s="917"/>
      <c r="KHA3422" s="917"/>
      <c r="KHB3422" s="917"/>
      <c r="KHC3422" s="917"/>
      <c r="KHD3422" s="917"/>
      <c r="KHE3422" s="917"/>
      <c r="KHF3422" s="917"/>
      <c r="KHG3422" s="917"/>
      <c r="KHH3422" s="917"/>
      <c r="KHI3422" s="917"/>
      <c r="KHJ3422" s="917"/>
      <c r="KHK3422" s="917"/>
      <c r="KHL3422" s="917"/>
      <c r="KHM3422" s="917"/>
      <c r="KHN3422" s="917"/>
      <c r="KHO3422" s="917"/>
      <c r="KHP3422" s="917"/>
      <c r="KHQ3422" s="917"/>
      <c r="KHR3422" s="917"/>
      <c r="KHS3422" s="917"/>
      <c r="KHT3422" s="917"/>
      <c r="KHU3422" s="917"/>
      <c r="KHV3422" s="917"/>
      <c r="KHW3422" s="917"/>
      <c r="KHX3422" s="917"/>
      <c r="KHY3422" s="917" t="s">
        <v>78</v>
      </c>
      <c r="KHZ3422" s="917"/>
      <c r="KIA3422" s="917"/>
      <c r="KIB3422" s="917"/>
      <c r="KIC3422" s="917"/>
      <c r="KID3422" s="917"/>
      <c r="KIE3422" s="917"/>
      <c r="KIF3422" s="917"/>
      <c r="KIG3422" s="917"/>
      <c r="KIH3422" s="917"/>
      <c r="KII3422" s="917"/>
      <c r="KIJ3422" s="917"/>
      <c r="KIK3422" s="917"/>
      <c r="KIL3422" s="917"/>
      <c r="KIM3422" s="917"/>
      <c r="KIN3422" s="917"/>
      <c r="KIO3422" s="917"/>
      <c r="KIP3422" s="917"/>
      <c r="KIQ3422" s="917"/>
      <c r="KIR3422" s="917"/>
      <c r="KIS3422" s="917"/>
      <c r="KIT3422" s="917"/>
      <c r="KIU3422" s="917"/>
      <c r="KIV3422" s="917"/>
      <c r="KIW3422" s="917"/>
      <c r="KIX3422" s="917"/>
      <c r="KIY3422" s="917"/>
      <c r="KIZ3422" s="917"/>
      <c r="KJA3422" s="917"/>
      <c r="KJB3422" s="917"/>
      <c r="KJC3422" s="917"/>
      <c r="KJD3422" s="917"/>
      <c r="KJE3422" s="917" t="s">
        <v>78</v>
      </c>
      <c r="KJF3422" s="917"/>
      <c r="KJG3422" s="917"/>
      <c r="KJH3422" s="917"/>
      <c r="KJI3422" s="917"/>
      <c r="KJJ3422" s="917"/>
      <c r="KJK3422" s="917"/>
      <c r="KJL3422" s="917"/>
      <c r="KJM3422" s="917"/>
      <c r="KJN3422" s="917"/>
      <c r="KJO3422" s="917"/>
      <c r="KJP3422" s="917"/>
      <c r="KJQ3422" s="917"/>
      <c r="KJR3422" s="917"/>
      <c r="KJS3422" s="917"/>
      <c r="KJT3422" s="917"/>
      <c r="KJU3422" s="917"/>
      <c r="KJV3422" s="917"/>
      <c r="KJW3422" s="917"/>
      <c r="KJX3422" s="917"/>
      <c r="KJY3422" s="917"/>
      <c r="KJZ3422" s="917"/>
      <c r="KKA3422" s="917"/>
      <c r="KKB3422" s="917"/>
      <c r="KKC3422" s="917"/>
      <c r="KKD3422" s="917"/>
      <c r="KKE3422" s="917"/>
      <c r="KKF3422" s="917"/>
      <c r="KKG3422" s="917"/>
      <c r="KKH3422" s="917"/>
      <c r="KKI3422" s="917"/>
      <c r="KKJ3422" s="917"/>
      <c r="KKK3422" s="917" t="s">
        <v>78</v>
      </c>
      <c r="KKL3422" s="917"/>
      <c r="KKM3422" s="917"/>
      <c r="KKN3422" s="917"/>
      <c r="KKO3422" s="917"/>
      <c r="KKP3422" s="917"/>
      <c r="KKQ3422" s="917"/>
      <c r="KKR3422" s="917"/>
      <c r="KKS3422" s="917"/>
      <c r="KKT3422" s="917"/>
      <c r="KKU3422" s="917"/>
      <c r="KKV3422" s="917"/>
      <c r="KKW3422" s="917"/>
      <c r="KKX3422" s="917"/>
      <c r="KKY3422" s="917"/>
      <c r="KKZ3422" s="917"/>
      <c r="KLA3422" s="917"/>
      <c r="KLB3422" s="917"/>
      <c r="KLC3422" s="917"/>
      <c r="KLD3422" s="917"/>
      <c r="KLE3422" s="917"/>
      <c r="KLF3422" s="917"/>
      <c r="KLG3422" s="917"/>
      <c r="KLH3422" s="917"/>
      <c r="KLI3422" s="917"/>
      <c r="KLJ3422" s="917"/>
      <c r="KLK3422" s="917"/>
      <c r="KLL3422" s="917"/>
      <c r="KLM3422" s="917"/>
      <c r="KLN3422" s="917"/>
      <c r="KLO3422" s="917"/>
      <c r="KLP3422" s="917"/>
      <c r="KLQ3422" s="917" t="s">
        <v>78</v>
      </c>
      <c r="KLR3422" s="917"/>
      <c r="KLS3422" s="917"/>
      <c r="KLT3422" s="917"/>
      <c r="KLU3422" s="917"/>
      <c r="KLV3422" s="917"/>
      <c r="KLW3422" s="917"/>
      <c r="KLX3422" s="917"/>
      <c r="KLY3422" s="917"/>
      <c r="KLZ3422" s="917"/>
      <c r="KMA3422" s="917"/>
      <c r="KMB3422" s="917"/>
      <c r="KMC3422" s="917"/>
      <c r="KMD3422" s="917"/>
      <c r="KME3422" s="917"/>
      <c r="KMF3422" s="917"/>
      <c r="KMG3422" s="917"/>
      <c r="KMH3422" s="917"/>
      <c r="KMI3422" s="917"/>
      <c r="KMJ3422" s="917"/>
      <c r="KMK3422" s="917"/>
      <c r="KML3422" s="917"/>
      <c r="KMM3422" s="917"/>
      <c r="KMN3422" s="917"/>
      <c r="KMO3422" s="917"/>
      <c r="KMP3422" s="917"/>
      <c r="KMQ3422" s="917"/>
      <c r="KMR3422" s="917"/>
      <c r="KMS3422" s="917"/>
      <c r="KMT3422" s="917"/>
      <c r="KMU3422" s="917"/>
      <c r="KMV3422" s="917"/>
      <c r="KMW3422" s="917" t="s">
        <v>78</v>
      </c>
      <c r="KMX3422" s="917"/>
      <c r="KMY3422" s="917"/>
      <c r="KMZ3422" s="917"/>
      <c r="KNA3422" s="917"/>
      <c r="KNB3422" s="917"/>
      <c r="KNC3422" s="917"/>
      <c r="KND3422" s="917"/>
      <c r="KNE3422" s="917"/>
      <c r="KNF3422" s="917"/>
      <c r="KNG3422" s="917"/>
      <c r="KNH3422" s="917"/>
      <c r="KNI3422" s="917"/>
      <c r="KNJ3422" s="917"/>
      <c r="KNK3422" s="917"/>
      <c r="KNL3422" s="917"/>
      <c r="KNM3422" s="917"/>
      <c r="KNN3422" s="917"/>
      <c r="KNO3422" s="917"/>
      <c r="KNP3422" s="917"/>
      <c r="KNQ3422" s="917"/>
      <c r="KNR3422" s="917"/>
      <c r="KNS3422" s="917"/>
      <c r="KNT3422" s="917"/>
      <c r="KNU3422" s="917"/>
      <c r="KNV3422" s="917"/>
      <c r="KNW3422" s="917"/>
      <c r="KNX3422" s="917"/>
      <c r="KNY3422" s="917"/>
      <c r="KNZ3422" s="917"/>
      <c r="KOA3422" s="917"/>
      <c r="KOB3422" s="917"/>
      <c r="KOC3422" s="917" t="s">
        <v>78</v>
      </c>
      <c r="KOD3422" s="917"/>
      <c r="KOE3422" s="917"/>
      <c r="KOF3422" s="917"/>
      <c r="KOG3422" s="917"/>
      <c r="KOH3422" s="917"/>
      <c r="KOI3422" s="917"/>
      <c r="KOJ3422" s="917"/>
      <c r="KOK3422" s="917"/>
      <c r="KOL3422" s="917"/>
      <c r="KOM3422" s="917"/>
      <c r="KON3422" s="917"/>
      <c r="KOO3422" s="917"/>
      <c r="KOP3422" s="917"/>
      <c r="KOQ3422" s="917"/>
      <c r="KOR3422" s="917"/>
      <c r="KOS3422" s="917"/>
      <c r="KOT3422" s="917"/>
      <c r="KOU3422" s="917"/>
      <c r="KOV3422" s="917"/>
      <c r="KOW3422" s="917"/>
      <c r="KOX3422" s="917"/>
      <c r="KOY3422" s="917"/>
      <c r="KOZ3422" s="917"/>
      <c r="KPA3422" s="917"/>
      <c r="KPB3422" s="917"/>
      <c r="KPC3422" s="917"/>
      <c r="KPD3422" s="917"/>
      <c r="KPE3422" s="917"/>
      <c r="KPF3422" s="917"/>
      <c r="KPG3422" s="917"/>
      <c r="KPH3422" s="917"/>
      <c r="KPI3422" s="917" t="s">
        <v>78</v>
      </c>
      <c r="KPJ3422" s="917"/>
      <c r="KPK3422" s="917"/>
      <c r="KPL3422" s="917"/>
      <c r="KPM3422" s="917"/>
      <c r="KPN3422" s="917"/>
      <c r="KPO3422" s="917"/>
      <c r="KPP3422" s="917"/>
      <c r="KPQ3422" s="917"/>
      <c r="KPR3422" s="917"/>
      <c r="KPS3422" s="917"/>
      <c r="KPT3422" s="917"/>
      <c r="KPU3422" s="917"/>
      <c r="KPV3422" s="917"/>
      <c r="KPW3422" s="917"/>
      <c r="KPX3422" s="917"/>
      <c r="KPY3422" s="917"/>
      <c r="KPZ3422" s="917"/>
      <c r="KQA3422" s="917"/>
      <c r="KQB3422" s="917"/>
      <c r="KQC3422" s="917"/>
      <c r="KQD3422" s="917"/>
      <c r="KQE3422" s="917"/>
      <c r="KQF3422" s="917"/>
      <c r="KQG3422" s="917"/>
      <c r="KQH3422" s="917"/>
      <c r="KQI3422" s="917"/>
      <c r="KQJ3422" s="917"/>
      <c r="KQK3422" s="917"/>
      <c r="KQL3422" s="917"/>
      <c r="KQM3422" s="917"/>
      <c r="KQN3422" s="917"/>
      <c r="KQO3422" s="917" t="s">
        <v>78</v>
      </c>
      <c r="KQP3422" s="917"/>
      <c r="KQQ3422" s="917"/>
      <c r="KQR3422" s="917"/>
      <c r="KQS3422" s="917"/>
      <c r="KQT3422" s="917"/>
      <c r="KQU3422" s="917"/>
      <c r="KQV3422" s="917"/>
      <c r="KQW3422" s="917"/>
      <c r="KQX3422" s="917"/>
      <c r="KQY3422" s="917"/>
      <c r="KQZ3422" s="917"/>
      <c r="KRA3422" s="917"/>
      <c r="KRB3422" s="917"/>
      <c r="KRC3422" s="917"/>
      <c r="KRD3422" s="917"/>
      <c r="KRE3422" s="917"/>
      <c r="KRF3422" s="917"/>
      <c r="KRG3422" s="917"/>
      <c r="KRH3422" s="917"/>
      <c r="KRI3422" s="917"/>
      <c r="KRJ3422" s="917"/>
      <c r="KRK3422" s="917"/>
      <c r="KRL3422" s="917"/>
      <c r="KRM3422" s="917"/>
      <c r="KRN3422" s="917"/>
      <c r="KRO3422" s="917"/>
      <c r="KRP3422" s="917"/>
      <c r="KRQ3422" s="917"/>
      <c r="KRR3422" s="917"/>
      <c r="KRS3422" s="917"/>
      <c r="KRT3422" s="917"/>
      <c r="KRU3422" s="917" t="s">
        <v>78</v>
      </c>
      <c r="KRV3422" s="917"/>
      <c r="KRW3422" s="917"/>
      <c r="KRX3422" s="917"/>
      <c r="KRY3422" s="917"/>
      <c r="KRZ3422" s="917"/>
      <c r="KSA3422" s="917"/>
      <c r="KSB3422" s="917"/>
      <c r="KSC3422" s="917"/>
      <c r="KSD3422" s="917"/>
      <c r="KSE3422" s="917"/>
      <c r="KSF3422" s="917"/>
      <c r="KSG3422" s="917"/>
      <c r="KSH3422" s="917"/>
      <c r="KSI3422" s="917"/>
      <c r="KSJ3422" s="917"/>
      <c r="KSK3422" s="917"/>
      <c r="KSL3422" s="917"/>
      <c r="KSM3422" s="917"/>
      <c r="KSN3422" s="917"/>
      <c r="KSO3422" s="917"/>
      <c r="KSP3422" s="917"/>
      <c r="KSQ3422" s="917"/>
      <c r="KSR3422" s="917"/>
      <c r="KSS3422" s="917"/>
      <c r="KST3422" s="917"/>
      <c r="KSU3422" s="917"/>
      <c r="KSV3422" s="917"/>
      <c r="KSW3422" s="917"/>
      <c r="KSX3422" s="917"/>
      <c r="KSY3422" s="917"/>
      <c r="KSZ3422" s="917"/>
      <c r="KTA3422" s="917" t="s">
        <v>78</v>
      </c>
      <c r="KTB3422" s="917"/>
      <c r="KTC3422" s="917"/>
      <c r="KTD3422" s="917"/>
      <c r="KTE3422" s="917"/>
      <c r="KTF3422" s="917"/>
      <c r="KTG3422" s="917"/>
      <c r="KTH3422" s="917"/>
      <c r="KTI3422" s="917"/>
      <c r="KTJ3422" s="917"/>
      <c r="KTK3422" s="917"/>
      <c r="KTL3422" s="917"/>
      <c r="KTM3422" s="917"/>
      <c r="KTN3422" s="917"/>
      <c r="KTO3422" s="917"/>
      <c r="KTP3422" s="917"/>
      <c r="KTQ3422" s="917"/>
      <c r="KTR3422" s="917"/>
      <c r="KTS3422" s="917"/>
      <c r="KTT3422" s="917"/>
      <c r="KTU3422" s="917"/>
      <c r="KTV3422" s="917"/>
      <c r="KTW3422" s="917"/>
      <c r="KTX3422" s="917"/>
      <c r="KTY3422" s="917"/>
      <c r="KTZ3422" s="917"/>
      <c r="KUA3422" s="917"/>
      <c r="KUB3422" s="917"/>
      <c r="KUC3422" s="917"/>
      <c r="KUD3422" s="917"/>
      <c r="KUE3422" s="917"/>
      <c r="KUF3422" s="917"/>
      <c r="KUG3422" s="917" t="s">
        <v>78</v>
      </c>
      <c r="KUH3422" s="917"/>
      <c r="KUI3422" s="917"/>
      <c r="KUJ3422" s="917"/>
      <c r="KUK3422" s="917"/>
      <c r="KUL3422" s="917"/>
      <c r="KUM3422" s="917"/>
      <c r="KUN3422" s="917"/>
      <c r="KUO3422" s="917"/>
      <c r="KUP3422" s="917"/>
      <c r="KUQ3422" s="917"/>
      <c r="KUR3422" s="917"/>
      <c r="KUS3422" s="917"/>
      <c r="KUT3422" s="917"/>
      <c r="KUU3422" s="917"/>
      <c r="KUV3422" s="917"/>
      <c r="KUW3422" s="917"/>
      <c r="KUX3422" s="917"/>
      <c r="KUY3422" s="917"/>
      <c r="KUZ3422" s="917"/>
      <c r="KVA3422" s="917"/>
      <c r="KVB3422" s="917"/>
      <c r="KVC3422" s="917"/>
      <c r="KVD3422" s="917"/>
      <c r="KVE3422" s="917"/>
      <c r="KVF3422" s="917"/>
      <c r="KVG3422" s="917"/>
      <c r="KVH3422" s="917"/>
      <c r="KVI3422" s="917"/>
      <c r="KVJ3422" s="917"/>
      <c r="KVK3422" s="917"/>
      <c r="KVL3422" s="917"/>
      <c r="KVM3422" s="917" t="s">
        <v>78</v>
      </c>
      <c r="KVN3422" s="917"/>
      <c r="KVO3422" s="917"/>
      <c r="KVP3422" s="917"/>
      <c r="KVQ3422" s="917"/>
      <c r="KVR3422" s="917"/>
      <c r="KVS3422" s="917"/>
      <c r="KVT3422" s="917"/>
      <c r="KVU3422" s="917"/>
      <c r="KVV3422" s="917"/>
      <c r="KVW3422" s="917"/>
      <c r="KVX3422" s="917"/>
      <c r="KVY3422" s="917"/>
      <c r="KVZ3422" s="917"/>
      <c r="KWA3422" s="917"/>
      <c r="KWB3422" s="917"/>
      <c r="KWC3422" s="917"/>
      <c r="KWD3422" s="917"/>
      <c r="KWE3422" s="917"/>
      <c r="KWF3422" s="917"/>
      <c r="KWG3422" s="917"/>
      <c r="KWH3422" s="917"/>
      <c r="KWI3422" s="917"/>
      <c r="KWJ3422" s="917"/>
      <c r="KWK3422" s="917"/>
      <c r="KWL3422" s="917"/>
      <c r="KWM3422" s="917"/>
      <c r="KWN3422" s="917"/>
      <c r="KWO3422" s="917"/>
      <c r="KWP3422" s="917"/>
      <c r="KWQ3422" s="917"/>
      <c r="KWR3422" s="917"/>
      <c r="KWS3422" s="917" t="s">
        <v>78</v>
      </c>
      <c r="KWT3422" s="917"/>
      <c r="KWU3422" s="917"/>
      <c r="KWV3422" s="917"/>
      <c r="KWW3422" s="917"/>
      <c r="KWX3422" s="917"/>
      <c r="KWY3422" s="917"/>
      <c r="KWZ3422" s="917"/>
      <c r="KXA3422" s="917"/>
      <c r="KXB3422" s="917"/>
      <c r="KXC3422" s="917"/>
      <c r="KXD3422" s="917"/>
      <c r="KXE3422" s="917"/>
      <c r="KXF3422" s="917"/>
      <c r="KXG3422" s="917"/>
      <c r="KXH3422" s="917"/>
      <c r="KXI3422" s="917"/>
      <c r="KXJ3422" s="917"/>
      <c r="KXK3422" s="917"/>
      <c r="KXL3422" s="917"/>
      <c r="KXM3422" s="917"/>
      <c r="KXN3422" s="917"/>
      <c r="KXO3422" s="917"/>
      <c r="KXP3422" s="917"/>
      <c r="KXQ3422" s="917"/>
      <c r="KXR3422" s="917"/>
      <c r="KXS3422" s="917"/>
      <c r="KXT3422" s="917"/>
      <c r="KXU3422" s="917"/>
      <c r="KXV3422" s="917"/>
      <c r="KXW3422" s="917"/>
      <c r="KXX3422" s="917"/>
      <c r="KXY3422" s="917" t="s">
        <v>78</v>
      </c>
      <c r="KXZ3422" s="917"/>
      <c r="KYA3422" s="917"/>
      <c r="KYB3422" s="917"/>
      <c r="KYC3422" s="917"/>
      <c r="KYD3422" s="917"/>
      <c r="KYE3422" s="917"/>
      <c r="KYF3422" s="917"/>
      <c r="KYG3422" s="917"/>
      <c r="KYH3422" s="917"/>
      <c r="KYI3422" s="917"/>
      <c r="KYJ3422" s="917"/>
      <c r="KYK3422" s="917"/>
      <c r="KYL3422" s="917"/>
      <c r="KYM3422" s="917"/>
      <c r="KYN3422" s="917"/>
      <c r="KYO3422" s="917"/>
      <c r="KYP3422" s="917"/>
      <c r="KYQ3422" s="917"/>
      <c r="KYR3422" s="917"/>
      <c r="KYS3422" s="917"/>
      <c r="KYT3422" s="917"/>
      <c r="KYU3422" s="917"/>
      <c r="KYV3422" s="917"/>
      <c r="KYW3422" s="917"/>
      <c r="KYX3422" s="917"/>
      <c r="KYY3422" s="917"/>
      <c r="KYZ3422" s="917"/>
      <c r="KZA3422" s="917"/>
      <c r="KZB3422" s="917"/>
      <c r="KZC3422" s="917"/>
      <c r="KZD3422" s="917"/>
      <c r="KZE3422" s="917" t="s">
        <v>78</v>
      </c>
      <c r="KZF3422" s="917"/>
      <c r="KZG3422" s="917"/>
      <c r="KZH3422" s="917"/>
      <c r="KZI3422" s="917"/>
      <c r="KZJ3422" s="917"/>
      <c r="KZK3422" s="917"/>
      <c r="KZL3422" s="917"/>
      <c r="KZM3422" s="917"/>
      <c r="KZN3422" s="917"/>
      <c r="KZO3422" s="917"/>
      <c r="KZP3422" s="917"/>
      <c r="KZQ3422" s="917"/>
      <c r="KZR3422" s="917"/>
      <c r="KZS3422" s="917"/>
      <c r="KZT3422" s="917"/>
      <c r="KZU3422" s="917"/>
      <c r="KZV3422" s="917"/>
      <c r="KZW3422" s="917"/>
      <c r="KZX3422" s="917"/>
      <c r="KZY3422" s="917"/>
      <c r="KZZ3422" s="917"/>
      <c r="LAA3422" s="917"/>
      <c r="LAB3422" s="917"/>
      <c r="LAC3422" s="917"/>
      <c r="LAD3422" s="917"/>
      <c r="LAE3422" s="917"/>
      <c r="LAF3422" s="917"/>
      <c r="LAG3422" s="917"/>
      <c r="LAH3422" s="917"/>
      <c r="LAI3422" s="917"/>
      <c r="LAJ3422" s="917"/>
      <c r="LAK3422" s="917" t="s">
        <v>78</v>
      </c>
      <c r="LAL3422" s="917"/>
      <c r="LAM3422" s="917"/>
      <c r="LAN3422" s="917"/>
      <c r="LAO3422" s="917"/>
      <c r="LAP3422" s="917"/>
      <c r="LAQ3422" s="917"/>
      <c r="LAR3422" s="917"/>
      <c r="LAS3422" s="917"/>
      <c r="LAT3422" s="917"/>
      <c r="LAU3422" s="917"/>
      <c r="LAV3422" s="917"/>
      <c r="LAW3422" s="917"/>
      <c r="LAX3422" s="917"/>
      <c r="LAY3422" s="917"/>
      <c r="LAZ3422" s="917"/>
      <c r="LBA3422" s="917"/>
      <c r="LBB3422" s="917"/>
      <c r="LBC3422" s="917"/>
      <c r="LBD3422" s="917"/>
      <c r="LBE3422" s="917"/>
      <c r="LBF3422" s="917"/>
      <c r="LBG3422" s="917"/>
      <c r="LBH3422" s="917"/>
      <c r="LBI3422" s="917"/>
      <c r="LBJ3422" s="917"/>
      <c r="LBK3422" s="917"/>
      <c r="LBL3422" s="917"/>
      <c r="LBM3422" s="917"/>
      <c r="LBN3422" s="917"/>
      <c r="LBO3422" s="917"/>
      <c r="LBP3422" s="917"/>
      <c r="LBQ3422" s="917" t="s">
        <v>78</v>
      </c>
      <c r="LBR3422" s="917"/>
      <c r="LBS3422" s="917"/>
      <c r="LBT3422" s="917"/>
      <c r="LBU3422" s="917"/>
      <c r="LBV3422" s="917"/>
      <c r="LBW3422" s="917"/>
      <c r="LBX3422" s="917"/>
      <c r="LBY3422" s="917"/>
      <c r="LBZ3422" s="917"/>
      <c r="LCA3422" s="917"/>
      <c r="LCB3422" s="917"/>
      <c r="LCC3422" s="917"/>
      <c r="LCD3422" s="917"/>
      <c r="LCE3422" s="917"/>
      <c r="LCF3422" s="917"/>
      <c r="LCG3422" s="917"/>
      <c r="LCH3422" s="917"/>
      <c r="LCI3422" s="917"/>
      <c r="LCJ3422" s="917"/>
      <c r="LCK3422" s="917"/>
      <c r="LCL3422" s="917"/>
      <c r="LCM3422" s="917"/>
      <c r="LCN3422" s="917"/>
      <c r="LCO3422" s="917"/>
      <c r="LCP3422" s="917"/>
      <c r="LCQ3422" s="917"/>
      <c r="LCR3422" s="917"/>
      <c r="LCS3422" s="917"/>
      <c r="LCT3422" s="917"/>
      <c r="LCU3422" s="917"/>
      <c r="LCV3422" s="917"/>
      <c r="LCW3422" s="917" t="s">
        <v>78</v>
      </c>
      <c r="LCX3422" s="917"/>
      <c r="LCY3422" s="917"/>
      <c r="LCZ3422" s="917"/>
      <c r="LDA3422" s="917"/>
      <c r="LDB3422" s="917"/>
      <c r="LDC3422" s="917"/>
      <c r="LDD3422" s="917"/>
      <c r="LDE3422" s="917"/>
      <c r="LDF3422" s="917"/>
      <c r="LDG3422" s="917"/>
      <c r="LDH3422" s="917"/>
      <c r="LDI3422" s="917"/>
      <c r="LDJ3422" s="917"/>
      <c r="LDK3422" s="917"/>
      <c r="LDL3422" s="917"/>
      <c r="LDM3422" s="917"/>
      <c r="LDN3422" s="917"/>
      <c r="LDO3422" s="917"/>
      <c r="LDP3422" s="917"/>
      <c r="LDQ3422" s="917"/>
      <c r="LDR3422" s="917"/>
      <c r="LDS3422" s="917"/>
      <c r="LDT3422" s="917"/>
      <c r="LDU3422" s="917"/>
      <c r="LDV3422" s="917"/>
      <c r="LDW3422" s="917"/>
      <c r="LDX3422" s="917"/>
      <c r="LDY3422" s="917"/>
      <c r="LDZ3422" s="917"/>
      <c r="LEA3422" s="917"/>
      <c r="LEB3422" s="917"/>
      <c r="LEC3422" s="917" t="s">
        <v>78</v>
      </c>
      <c r="LED3422" s="917"/>
      <c r="LEE3422" s="917"/>
      <c r="LEF3422" s="917"/>
      <c r="LEG3422" s="917"/>
      <c r="LEH3422" s="917"/>
      <c r="LEI3422" s="917"/>
      <c r="LEJ3422" s="917"/>
      <c r="LEK3422" s="917"/>
      <c r="LEL3422" s="917"/>
      <c r="LEM3422" s="917"/>
      <c r="LEN3422" s="917"/>
      <c r="LEO3422" s="917"/>
      <c r="LEP3422" s="917"/>
      <c r="LEQ3422" s="917"/>
      <c r="LER3422" s="917"/>
      <c r="LES3422" s="917"/>
      <c r="LET3422" s="917"/>
      <c r="LEU3422" s="917"/>
      <c r="LEV3422" s="917"/>
      <c r="LEW3422" s="917"/>
      <c r="LEX3422" s="917"/>
      <c r="LEY3422" s="917"/>
      <c r="LEZ3422" s="917"/>
      <c r="LFA3422" s="917"/>
      <c r="LFB3422" s="917"/>
      <c r="LFC3422" s="917"/>
      <c r="LFD3422" s="917"/>
      <c r="LFE3422" s="917"/>
      <c r="LFF3422" s="917"/>
      <c r="LFG3422" s="917"/>
      <c r="LFH3422" s="917"/>
      <c r="LFI3422" s="917" t="s">
        <v>78</v>
      </c>
      <c r="LFJ3422" s="917"/>
      <c r="LFK3422" s="917"/>
      <c r="LFL3422" s="917"/>
      <c r="LFM3422" s="917"/>
      <c r="LFN3422" s="917"/>
      <c r="LFO3422" s="917"/>
      <c r="LFP3422" s="917"/>
      <c r="LFQ3422" s="917"/>
      <c r="LFR3422" s="917"/>
      <c r="LFS3422" s="917"/>
      <c r="LFT3422" s="917"/>
      <c r="LFU3422" s="917"/>
      <c r="LFV3422" s="917"/>
      <c r="LFW3422" s="917"/>
      <c r="LFX3422" s="917"/>
      <c r="LFY3422" s="917"/>
      <c r="LFZ3422" s="917"/>
      <c r="LGA3422" s="917"/>
      <c r="LGB3422" s="917"/>
      <c r="LGC3422" s="917"/>
      <c r="LGD3422" s="917"/>
      <c r="LGE3422" s="917"/>
      <c r="LGF3422" s="917"/>
      <c r="LGG3422" s="917"/>
      <c r="LGH3422" s="917"/>
      <c r="LGI3422" s="917"/>
      <c r="LGJ3422" s="917"/>
      <c r="LGK3422" s="917"/>
      <c r="LGL3422" s="917"/>
      <c r="LGM3422" s="917"/>
      <c r="LGN3422" s="917"/>
      <c r="LGO3422" s="917" t="s">
        <v>78</v>
      </c>
      <c r="LGP3422" s="917"/>
      <c r="LGQ3422" s="917"/>
      <c r="LGR3422" s="917"/>
      <c r="LGS3422" s="917"/>
      <c r="LGT3422" s="917"/>
      <c r="LGU3422" s="917"/>
      <c r="LGV3422" s="917"/>
      <c r="LGW3422" s="917"/>
      <c r="LGX3422" s="917"/>
      <c r="LGY3422" s="917"/>
      <c r="LGZ3422" s="917"/>
      <c r="LHA3422" s="917"/>
      <c r="LHB3422" s="917"/>
      <c r="LHC3422" s="917"/>
      <c r="LHD3422" s="917"/>
      <c r="LHE3422" s="917"/>
      <c r="LHF3422" s="917"/>
      <c r="LHG3422" s="917"/>
      <c r="LHH3422" s="917"/>
      <c r="LHI3422" s="917"/>
      <c r="LHJ3422" s="917"/>
      <c r="LHK3422" s="917"/>
      <c r="LHL3422" s="917"/>
      <c r="LHM3422" s="917"/>
      <c r="LHN3422" s="917"/>
      <c r="LHO3422" s="917"/>
      <c r="LHP3422" s="917"/>
      <c r="LHQ3422" s="917"/>
      <c r="LHR3422" s="917"/>
      <c r="LHS3422" s="917"/>
      <c r="LHT3422" s="917"/>
      <c r="LHU3422" s="917" t="s">
        <v>78</v>
      </c>
      <c r="LHV3422" s="917"/>
      <c r="LHW3422" s="917"/>
      <c r="LHX3422" s="917"/>
      <c r="LHY3422" s="917"/>
      <c r="LHZ3422" s="917"/>
      <c r="LIA3422" s="917"/>
      <c r="LIB3422" s="917"/>
      <c r="LIC3422" s="917"/>
      <c r="LID3422" s="917"/>
      <c r="LIE3422" s="917"/>
      <c r="LIF3422" s="917"/>
      <c r="LIG3422" s="917"/>
      <c r="LIH3422" s="917"/>
      <c r="LII3422" s="917"/>
      <c r="LIJ3422" s="917"/>
      <c r="LIK3422" s="917"/>
      <c r="LIL3422" s="917"/>
      <c r="LIM3422" s="917"/>
      <c r="LIN3422" s="917"/>
      <c r="LIO3422" s="917"/>
      <c r="LIP3422" s="917"/>
      <c r="LIQ3422" s="917"/>
      <c r="LIR3422" s="917"/>
      <c r="LIS3422" s="917"/>
      <c r="LIT3422" s="917"/>
      <c r="LIU3422" s="917"/>
      <c r="LIV3422" s="917"/>
      <c r="LIW3422" s="917"/>
      <c r="LIX3422" s="917"/>
      <c r="LIY3422" s="917"/>
      <c r="LIZ3422" s="917"/>
      <c r="LJA3422" s="917" t="s">
        <v>78</v>
      </c>
      <c r="LJB3422" s="917"/>
      <c r="LJC3422" s="917"/>
      <c r="LJD3422" s="917"/>
      <c r="LJE3422" s="917"/>
      <c r="LJF3422" s="917"/>
      <c r="LJG3422" s="917"/>
      <c r="LJH3422" s="917"/>
      <c r="LJI3422" s="917"/>
      <c r="LJJ3422" s="917"/>
      <c r="LJK3422" s="917"/>
      <c r="LJL3422" s="917"/>
      <c r="LJM3422" s="917"/>
      <c r="LJN3422" s="917"/>
      <c r="LJO3422" s="917"/>
      <c r="LJP3422" s="917"/>
      <c r="LJQ3422" s="917"/>
      <c r="LJR3422" s="917"/>
      <c r="LJS3422" s="917"/>
      <c r="LJT3422" s="917"/>
      <c r="LJU3422" s="917"/>
      <c r="LJV3422" s="917"/>
      <c r="LJW3422" s="917"/>
      <c r="LJX3422" s="917"/>
      <c r="LJY3422" s="917"/>
      <c r="LJZ3422" s="917"/>
      <c r="LKA3422" s="917"/>
      <c r="LKB3422" s="917"/>
      <c r="LKC3422" s="917"/>
      <c r="LKD3422" s="917"/>
      <c r="LKE3422" s="917"/>
      <c r="LKF3422" s="917"/>
      <c r="LKG3422" s="917" t="s">
        <v>78</v>
      </c>
      <c r="LKH3422" s="917"/>
      <c r="LKI3422" s="917"/>
      <c r="LKJ3422" s="917"/>
      <c r="LKK3422" s="917"/>
      <c r="LKL3422" s="917"/>
      <c r="LKM3422" s="917"/>
      <c r="LKN3422" s="917"/>
      <c r="LKO3422" s="917"/>
      <c r="LKP3422" s="917"/>
      <c r="LKQ3422" s="917"/>
      <c r="LKR3422" s="917"/>
      <c r="LKS3422" s="917"/>
      <c r="LKT3422" s="917"/>
      <c r="LKU3422" s="917"/>
      <c r="LKV3422" s="917"/>
      <c r="LKW3422" s="917"/>
      <c r="LKX3422" s="917"/>
      <c r="LKY3422" s="917"/>
      <c r="LKZ3422" s="917"/>
      <c r="LLA3422" s="917"/>
      <c r="LLB3422" s="917"/>
      <c r="LLC3422" s="917"/>
      <c r="LLD3422" s="917"/>
      <c r="LLE3422" s="917"/>
      <c r="LLF3422" s="917"/>
      <c r="LLG3422" s="917"/>
      <c r="LLH3422" s="917"/>
      <c r="LLI3422" s="917"/>
      <c r="LLJ3422" s="917"/>
      <c r="LLK3422" s="917"/>
      <c r="LLL3422" s="917"/>
      <c r="LLM3422" s="917" t="s">
        <v>78</v>
      </c>
      <c r="LLN3422" s="917"/>
      <c r="LLO3422" s="917"/>
      <c r="LLP3422" s="917"/>
      <c r="LLQ3422" s="917"/>
      <c r="LLR3422" s="917"/>
      <c r="LLS3422" s="917"/>
      <c r="LLT3422" s="917"/>
      <c r="LLU3422" s="917"/>
      <c r="LLV3422" s="917"/>
      <c r="LLW3422" s="917"/>
      <c r="LLX3422" s="917"/>
      <c r="LLY3422" s="917"/>
      <c r="LLZ3422" s="917"/>
      <c r="LMA3422" s="917"/>
      <c r="LMB3422" s="917"/>
      <c r="LMC3422" s="917"/>
      <c r="LMD3422" s="917"/>
      <c r="LME3422" s="917"/>
      <c r="LMF3422" s="917"/>
      <c r="LMG3422" s="917"/>
      <c r="LMH3422" s="917"/>
      <c r="LMI3422" s="917"/>
      <c r="LMJ3422" s="917"/>
      <c r="LMK3422" s="917"/>
      <c r="LML3422" s="917"/>
      <c r="LMM3422" s="917"/>
      <c r="LMN3422" s="917"/>
      <c r="LMO3422" s="917"/>
      <c r="LMP3422" s="917"/>
      <c r="LMQ3422" s="917"/>
      <c r="LMR3422" s="917"/>
      <c r="LMS3422" s="917" t="s">
        <v>78</v>
      </c>
      <c r="LMT3422" s="917"/>
      <c r="LMU3422" s="917"/>
      <c r="LMV3422" s="917"/>
      <c r="LMW3422" s="917"/>
      <c r="LMX3422" s="917"/>
      <c r="LMY3422" s="917"/>
      <c r="LMZ3422" s="917"/>
      <c r="LNA3422" s="917"/>
      <c r="LNB3422" s="917"/>
      <c r="LNC3422" s="917"/>
      <c r="LND3422" s="917"/>
      <c r="LNE3422" s="917"/>
      <c r="LNF3422" s="917"/>
      <c r="LNG3422" s="917"/>
      <c r="LNH3422" s="917"/>
      <c r="LNI3422" s="917"/>
      <c r="LNJ3422" s="917"/>
      <c r="LNK3422" s="917"/>
      <c r="LNL3422" s="917"/>
      <c r="LNM3422" s="917"/>
      <c r="LNN3422" s="917"/>
      <c r="LNO3422" s="917"/>
      <c r="LNP3422" s="917"/>
      <c r="LNQ3422" s="917"/>
      <c r="LNR3422" s="917"/>
      <c r="LNS3422" s="917"/>
      <c r="LNT3422" s="917"/>
      <c r="LNU3422" s="917"/>
      <c r="LNV3422" s="917"/>
      <c r="LNW3422" s="917"/>
      <c r="LNX3422" s="917"/>
      <c r="LNY3422" s="917" t="s">
        <v>78</v>
      </c>
      <c r="LNZ3422" s="917"/>
      <c r="LOA3422" s="917"/>
      <c r="LOB3422" s="917"/>
      <c r="LOC3422" s="917"/>
      <c r="LOD3422" s="917"/>
      <c r="LOE3422" s="917"/>
      <c r="LOF3422" s="917"/>
      <c r="LOG3422" s="917"/>
      <c r="LOH3422" s="917"/>
      <c r="LOI3422" s="917"/>
      <c r="LOJ3422" s="917"/>
      <c r="LOK3422" s="917"/>
      <c r="LOL3422" s="917"/>
      <c r="LOM3422" s="917"/>
      <c r="LON3422" s="917"/>
      <c r="LOO3422" s="917"/>
      <c r="LOP3422" s="917"/>
      <c r="LOQ3422" s="917"/>
      <c r="LOR3422" s="917"/>
      <c r="LOS3422" s="917"/>
      <c r="LOT3422" s="917"/>
      <c r="LOU3422" s="917"/>
      <c r="LOV3422" s="917"/>
      <c r="LOW3422" s="917"/>
      <c r="LOX3422" s="917"/>
      <c r="LOY3422" s="917"/>
      <c r="LOZ3422" s="917"/>
      <c r="LPA3422" s="917"/>
      <c r="LPB3422" s="917"/>
      <c r="LPC3422" s="917"/>
      <c r="LPD3422" s="917"/>
      <c r="LPE3422" s="917" t="s">
        <v>78</v>
      </c>
      <c r="LPF3422" s="917"/>
      <c r="LPG3422" s="917"/>
      <c r="LPH3422" s="917"/>
      <c r="LPI3422" s="917"/>
      <c r="LPJ3422" s="917"/>
      <c r="LPK3422" s="917"/>
      <c r="LPL3422" s="917"/>
      <c r="LPM3422" s="917"/>
      <c r="LPN3422" s="917"/>
      <c r="LPO3422" s="917"/>
      <c r="LPP3422" s="917"/>
      <c r="LPQ3422" s="917"/>
      <c r="LPR3422" s="917"/>
      <c r="LPS3422" s="917"/>
      <c r="LPT3422" s="917"/>
      <c r="LPU3422" s="917"/>
      <c r="LPV3422" s="917"/>
      <c r="LPW3422" s="917"/>
      <c r="LPX3422" s="917"/>
      <c r="LPY3422" s="917"/>
      <c r="LPZ3422" s="917"/>
      <c r="LQA3422" s="917"/>
      <c r="LQB3422" s="917"/>
      <c r="LQC3422" s="917"/>
      <c r="LQD3422" s="917"/>
      <c r="LQE3422" s="917"/>
      <c r="LQF3422" s="917"/>
      <c r="LQG3422" s="917"/>
      <c r="LQH3422" s="917"/>
      <c r="LQI3422" s="917"/>
      <c r="LQJ3422" s="917"/>
      <c r="LQK3422" s="917" t="s">
        <v>78</v>
      </c>
      <c r="LQL3422" s="917"/>
      <c r="LQM3422" s="917"/>
      <c r="LQN3422" s="917"/>
      <c r="LQO3422" s="917"/>
      <c r="LQP3422" s="917"/>
      <c r="LQQ3422" s="917"/>
      <c r="LQR3422" s="917"/>
      <c r="LQS3422" s="917"/>
      <c r="LQT3422" s="917"/>
      <c r="LQU3422" s="917"/>
      <c r="LQV3422" s="917"/>
      <c r="LQW3422" s="917"/>
      <c r="LQX3422" s="917"/>
      <c r="LQY3422" s="917"/>
      <c r="LQZ3422" s="917"/>
      <c r="LRA3422" s="917"/>
      <c r="LRB3422" s="917"/>
      <c r="LRC3422" s="917"/>
      <c r="LRD3422" s="917"/>
      <c r="LRE3422" s="917"/>
      <c r="LRF3422" s="917"/>
      <c r="LRG3422" s="917"/>
      <c r="LRH3422" s="917"/>
      <c r="LRI3422" s="917"/>
      <c r="LRJ3422" s="917"/>
      <c r="LRK3422" s="917"/>
      <c r="LRL3422" s="917"/>
      <c r="LRM3422" s="917"/>
      <c r="LRN3422" s="917"/>
      <c r="LRO3422" s="917"/>
      <c r="LRP3422" s="917"/>
      <c r="LRQ3422" s="917" t="s">
        <v>78</v>
      </c>
      <c r="LRR3422" s="917"/>
      <c r="LRS3422" s="917"/>
      <c r="LRT3422" s="917"/>
      <c r="LRU3422" s="917"/>
      <c r="LRV3422" s="917"/>
      <c r="LRW3422" s="917"/>
      <c r="LRX3422" s="917"/>
      <c r="LRY3422" s="917"/>
      <c r="LRZ3422" s="917"/>
      <c r="LSA3422" s="917"/>
      <c r="LSB3422" s="917"/>
      <c r="LSC3422" s="917"/>
      <c r="LSD3422" s="917"/>
      <c r="LSE3422" s="917"/>
      <c r="LSF3422" s="917"/>
      <c r="LSG3422" s="917"/>
      <c r="LSH3422" s="917"/>
      <c r="LSI3422" s="917"/>
      <c r="LSJ3422" s="917"/>
      <c r="LSK3422" s="917"/>
      <c r="LSL3422" s="917"/>
      <c r="LSM3422" s="917"/>
      <c r="LSN3422" s="917"/>
      <c r="LSO3422" s="917"/>
      <c r="LSP3422" s="917"/>
      <c r="LSQ3422" s="917"/>
      <c r="LSR3422" s="917"/>
      <c r="LSS3422" s="917"/>
      <c r="LST3422" s="917"/>
      <c r="LSU3422" s="917"/>
      <c r="LSV3422" s="917"/>
      <c r="LSW3422" s="917" t="s">
        <v>78</v>
      </c>
      <c r="LSX3422" s="917"/>
      <c r="LSY3422" s="917"/>
      <c r="LSZ3422" s="917"/>
      <c r="LTA3422" s="917"/>
      <c r="LTB3422" s="917"/>
      <c r="LTC3422" s="917"/>
      <c r="LTD3422" s="917"/>
      <c r="LTE3422" s="917"/>
      <c r="LTF3422" s="917"/>
      <c r="LTG3422" s="917"/>
      <c r="LTH3422" s="917"/>
      <c r="LTI3422" s="917"/>
      <c r="LTJ3422" s="917"/>
      <c r="LTK3422" s="917"/>
      <c r="LTL3422" s="917"/>
      <c r="LTM3422" s="917"/>
      <c r="LTN3422" s="917"/>
      <c r="LTO3422" s="917"/>
      <c r="LTP3422" s="917"/>
      <c r="LTQ3422" s="917"/>
      <c r="LTR3422" s="917"/>
      <c r="LTS3422" s="917"/>
      <c r="LTT3422" s="917"/>
      <c r="LTU3422" s="917"/>
      <c r="LTV3422" s="917"/>
      <c r="LTW3422" s="917"/>
      <c r="LTX3422" s="917"/>
      <c r="LTY3422" s="917"/>
      <c r="LTZ3422" s="917"/>
      <c r="LUA3422" s="917"/>
      <c r="LUB3422" s="917"/>
      <c r="LUC3422" s="917" t="s">
        <v>78</v>
      </c>
      <c r="LUD3422" s="917"/>
      <c r="LUE3422" s="917"/>
      <c r="LUF3422" s="917"/>
      <c r="LUG3422" s="917"/>
      <c r="LUH3422" s="917"/>
      <c r="LUI3422" s="917"/>
      <c r="LUJ3422" s="917"/>
      <c r="LUK3422" s="917"/>
      <c r="LUL3422" s="917"/>
      <c r="LUM3422" s="917"/>
      <c r="LUN3422" s="917"/>
      <c r="LUO3422" s="917"/>
      <c r="LUP3422" s="917"/>
      <c r="LUQ3422" s="917"/>
      <c r="LUR3422" s="917"/>
      <c r="LUS3422" s="917"/>
      <c r="LUT3422" s="917"/>
      <c r="LUU3422" s="917"/>
      <c r="LUV3422" s="917"/>
      <c r="LUW3422" s="917"/>
      <c r="LUX3422" s="917"/>
      <c r="LUY3422" s="917"/>
      <c r="LUZ3422" s="917"/>
      <c r="LVA3422" s="917"/>
      <c r="LVB3422" s="917"/>
      <c r="LVC3422" s="917"/>
      <c r="LVD3422" s="917"/>
      <c r="LVE3422" s="917"/>
      <c r="LVF3422" s="917"/>
      <c r="LVG3422" s="917"/>
      <c r="LVH3422" s="917"/>
      <c r="LVI3422" s="917" t="s">
        <v>78</v>
      </c>
      <c r="LVJ3422" s="917"/>
      <c r="LVK3422" s="917"/>
      <c r="LVL3422" s="917"/>
      <c r="LVM3422" s="917"/>
      <c r="LVN3422" s="917"/>
      <c r="LVO3422" s="917"/>
      <c r="LVP3422" s="917"/>
      <c r="LVQ3422" s="917"/>
      <c r="LVR3422" s="917"/>
      <c r="LVS3422" s="917"/>
      <c r="LVT3422" s="917"/>
      <c r="LVU3422" s="917"/>
      <c r="LVV3422" s="917"/>
      <c r="LVW3422" s="917"/>
      <c r="LVX3422" s="917"/>
      <c r="LVY3422" s="917"/>
      <c r="LVZ3422" s="917"/>
      <c r="LWA3422" s="917"/>
      <c r="LWB3422" s="917"/>
      <c r="LWC3422" s="917"/>
      <c r="LWD3422" s="917"/>
      <c r="LWE3422" s="917"/>
      <c r="LWF3422" s="917"/>
      <c r="LWG3422" s="917"/>
      <c r="LWH3422" s="917"/>
      <c r="LWI3422" s="917"/>
      <c r="LWJ3422" s="917"/>
      <c r="LWK3422" s="917"/>
      <c r="LWL3422" s="917"/>
      <c r="LWM3422" s="917"/>
      <c r="LWN3422" s="917"/>
      <c r="LWO3422" s="917" t="s">
        <v>78</v>
      </c>
      <c r="LWP3422" s="917"/>
      <c r="LWQ3422" s="917"/>
      <c r="LWR3422" s="917"/>
      <c r="LWS3422" s="917"/>
      <c r="LWT3422" s="917"/>
      <c r="LWU3422" s="917"/>
      <c r="LWV3422" s="917"/>
      <c r="LWW3422" s="917"/>
      <c r="LWX3422" s="917"/>
      <c r="LWY3422" s="917"/>
      <c r="LWZ3422" s="917"/>
      <c r="LXA3422" s="917"/>
      <c r="LXB3422" s="917"/>
      <c r="LXC3422" s="917"/>
      <c r="LXD3422" s="917"/>
      <c r="LXE3422" s="917"/>
      <c r="LXF3422" s="917"/>
      <c r="LXG3422" s="917"/>
      <c r="LXH3422" s="917"/>
      <c r="LXI3422" s="917"/>
      <c r="LXJ3422" s="917"/>
      <c r="LXK3422" s="917"/>
      <c r="LXL3422" s="917"/>
      <c r="LXM3422" s="917"/>
      <c r="LXN3422" s="917"/>
      <c r="LXO3422" s="917"/>
      <c r="LXP3422" s="917"/>
      <c r="LXQ3422" s="917"/>
      <c r="LXR3422" s="917"/>
      <c r="LXS3422" s="917"/>
      <c r="LXT3422" s="917"/>
      <c r="LXU3422" s="917" t="s">
        <v>78</v>
      </c>
      <c r="LXV3422" s="917"/>
      <c r="LXW3422" s="917"/>
      <c r="LXX3422" s="917"/>
      <c r="LXY3422" s="917"/>
      <c r="LXZ3422" s="917"/>
      <c r="LYA3422" s="917"/>
      <c r="LYB3422" s="917"/>
      <c r="LYC3422" s="917"/>
      <c r="LYD3422" s="917"/>
      <c r="LYE3422" s="917"/>
      <c r="LYF3422" s="917"/>
      <c r="LYG3422" s="917"/>
      <c r="LYH3422" s="917"/>
      <c r="LYI3422" s="917"/>
      <c r="LYJ3422" s="917"/>
      <c r="LYK3422" s="917"/>
      <c r="LYL3422" s="917"/>
      <c r="LYM3422" s="917"/>
      <c r="LYN3422" s="917"/>
      <c r="LYO3422" s="917"/>
      <c r="LYP3422" s="917"/>
      <c r="LYQ3422" s="917"/>
      <c r="LYR3422" s="917"/>
      <c r="LYS3422" s="917"/>
      <c r="LYT3422" s="917"/>
      <c r="LYU3422" s="917"/>
      <c r="LYV3422" s="917"/>
      <c r="LYW3422" s="917"/>
      <c r="LYX3422" s="917"/>
      <c r="LYY3422" s="917"/>
      <c r="LYZ3422" s="917"/>
      <c r="LZA3422" s="917" t="s">
        <v>78</v>
      </c>
      <c r="LZB3422" s="917"/>
      <c r="LZC3422" s="917"/>
      <c r="LZD3422" s="917"/>
      <c r="LZE3422" s="917"/>
      <c r="LZF3422" s="917"/>
      <c r="LZG3422" s="917"/>
      <c r="LZH3422" s="917"/>
      <c r="LZI3422" s="917"/>
      <c r="LZJ3422" s="917"/>
      <c r="LZK3422" s="917"/>
      <c r="LZL3422" s="917"/>
      <c r="LZM3422" s="917"/>
      <c r="LZN3422" s="917"/>
      <c r="LZO3422" s="917"/>
      <c r="LZP3422" s="917"/>
      <c r="LZQ3422" s="917"/>
      <c r="LZR3422" s="917"/>
      <c r="LZS3422" s="917"/>
      <c r="LZT3422" s="917"/>
      <c r="LZU3422" s="917"/>
      <c r="LZV3422" s="917"/>
      <c r="LZW3422" s="917"/>
      <c r="LZX3422" s="917"/>
      <c r="LZY3422" s="917"/>
      <c r="LZZ3422" s="917"/>
      <c r="MAA3422" s="917"/>
      <c r="MAB3422" s="917"/>
      <c r="MAC3422" s="917"/>
      <c r="MAD3422" s="917"/>
      <c r="MAE3422" s="917"/>
      <c r="MAF3422" s="917"/>
      <c r="MAG3422" s="917" t="s">
        <v>78</v>
      </c>
      <c r="MAH3422" s="917"/>
      <c r="MAI3422" s="917"/>
      <c r="MAJ3422" s="917"/>
      <c r="MAK3422" s="917"/>
      <c r="MAL3422" s="917"/>
      <c r="MAM3422" s="917"/>
      <c r="MAN3422" s="917"/>
      <c r="MAO3422" s="917"/>
      <c r="MAP3422" s="917"/>
      <c r="MAQ3422" s="917"/>
      <c r="MAR3422" s="917"/>
      <c r="MAS3422" s="917"/>
      <c r="MAT3422" s="917"/>
      <c r="MAU3422" s="917"/>
      <c r="MAV3422" s="917"/>
      <c r="MAW3422" s="917"/>
      <c r="MAX3422" s="917"/>
      <c r="MAY3422" s="917"/>
      <c r="MAZ3422" s="917"/>
      <c r="MBA3422" s="917"/>
      <c r="MBB3422" s="917"/>
      <c r="MBC3422" s="917"/>
      <c r="MBD3422" s="917"/>
      <c r="MBE3422" s="917"/>
      <c r="MBF3422" s="917"/>
      <c r="MBG3422" s="917"/>
      <c r="MBH3422" s="917"/>
      <c r="MBI3422" s="917"/>
      <c r="MBJ3422" s="917"/>
      <c r="MBK3422" s="917"/>
      <c r="MBL3422" s="917"/>
      <c r="MBM3422" s="917" t="s">
        <v>78</v>
      </c>
      <c r="MBN3422" s="917"/>
      <c r="MBO3422" s="917"/>
      <c r="MBP3422" s="917"/>
      <c r="MBQ3422" s="917"/>
      <c r="MBR3422" s="917"/>
      <c r="MBS3422" s="917"/>
      <c r="MBT3422" s="917"/>
      <c r="MBU3422" s="917"/>
      <c r="MBV3422" s="917"/>
      <c r="MBW3422" s="917"/>
      <c r="MBX3422" s="917"/>
      <c r="MBY3422" s="917"/>
      <c r="MBZ3422" s="917"/>
      <c r="MCA3422" s="917"/>
      <c r="MCB3422" s="917"/>
      <c r="MCC3422" s="917"/>
      <c r="MCD3422" s="917"/>
      <c r="MCE3422" s="917"/>
      <c r="MCF3422" s="917"/>
      <c r="MCG3422" s="917"/>
      <c r="MCH3422" s="917"/>
      <c r="MCI3422" s="917"/>
      <c r="MCJ3422" s="917"/>
      <c r="MCK3422" s="917"/>
      <c r="MCL3422" s="917"/>
      <c r="MCM3422" s="917"/>
      <c r="MCN3422" s="917"/>
      <c r="MCO3422" s="917"/>
      <c r="MCP3422" s="917"/>
      <c r="MCQ3422" s="917"/>
      <c r="MCR3422" s="917"/>
      <c r="MCS3422" s="917" t="s">
        <v>78</v>
      </c>
      <c r="MCT3422" s="917"/>
      <c r="MCU3422" s="917"/>
      <c r="MCV3422" s="917"/>
      <c r="MCW3422" s="917"/>
      <c r="MCX3422" s="917"/>
      <c r="MCY3422" s="917"/>
      <c r="MCZ3422" s="917"/>
      <c r="MDA3422" s="917"/>
      <c r="MDB3422" s="917"/>
      <c r="MDC3422" s="917"/>
      <c r="MDD3422" s="917"/>
      <c r="MDE3422" s="917"/>
      <c r="MDF3422" s="917"/>
      <c r="MDG3422" s="917"/>
      <c r="MDH3422" s="917"/>
      <c r="MDI3422" s="917"/>
      <c r="MDJ3422" s="917"/>
      <c r="MDK3422" s="917"/>
      <c r="MDL3422" s="917"/>
      <c r="MDM3422" s="917"/>
      <c r="MDN3422" s="917"/>
      <c r="MDO3422" s="917"/>
      <c r="MDP3422" s="917"/>
      <c r="MDQ3422" s="917"/>
      <c r="MDR3422" s="917"/>
      <c r="MDS3422" s="917"/>
      <c r="MDT3422" s="917"/>
      <c r="MDU3422" s="917"/>
      <c r="MDV3422" s="917"/>
      <c r="MDW3422" s="917"/>
      <c r="MDX3422" s="917"/>
      <c r="MDY3422" s="917" t="s">
        <v>78</v>
      </c>
      <c r="MDZ3422" s="917"/>
      <c r="MEA3422" s="917"/>
      <c r="MEB3422" s="917"/>
      <c r="MEC3422" s="917"/>
      <c r="MED3422" s="917"/>
      <c r="MEE3422" s="917"/>
      <c r="MEF3422" s="917"/>
      <c r="MEG3422" s="917"/>
      <c r="MEH3422" s="917"/>
      <c r="MEI3422" s="917"/>
      <c r="MEJ3422" s="917"/>
      <c r="MEK3422" s="917"/>
      <c r="MEL3422" s="917"/>
      <c r="MEM3422" s="917"/>
      <c r="MEN3422" s="917"/>
      <c r="MEO3422" s="917"/>
      <c r="MEP3422" s="917"/>
      <c r="MEQ3422" s="917"/>
      <c r="MER3422" s="917"/>
      <c r="MES3422" s="917"/>
      <c r="MET3422" s="917"/>
      <c r="MEU3422" s="917"/>
      <c r="MEV3422" s="917"/>
      <c r="MEW3422" s="917"/>
      <c r="MEX3422" s="917"/>
      <c r="MEY3422" s="917"/>
      <c r="MEZ3422" s="917"/>
      <c r="MFA3422" s="917"/>
      <c r="MFB3422" s="917"/>
      <c r="MFC3422" s="917"/>
      <c r="MFD3422" s="917"/>
      <c r="MFE3422" s="917" t="s">
        <v>78</v>
      </c>
      <c r="MFF3422" s="917"/>
      <c r="MFG3422" s="917"/>
      <c r="MFH3422" s="917"/>
      <c r="MFI3422" s="917"/>
      <c r="MFJ3422" s="917"/>
      <c r="MFK3422" s="917"/>
      <c r="MFL3422" s="917"/>
      <c r="MFM3422" s="917"/>
      <c r="MFN3422" s="917"/>
      <c r="MFO3422" s="917"/>
      <c r="MFP3422" s="917"/>
      <c r="MFQ3422" s="917"/>
      <c r="MFR3422" s="917"/>
      <c r="MFS3422" s="917"/>
      <c r="MFT3422" s="917"/>
      <c r="MFU3422" s="917"/>
      <c r="MFV3422" s="917"/>
      <c r="MFW3422" s="917"/>
      <c r="MFX3422" s="917"/>
      <c r="MFY3422" s="917"/>
      <c r="MFZ3422" s="917"/>
      <c r="MGA3422" s="917"/>
      <c r="MGB3422" s="917"/>
      <c r="MGC3422" s="917"/>
      <c r="MGD3422" s="917"/>
      <c r="MGE3422" s="917"/>
      <c r="MGF3422" s="917"/>
      <c r="MGG3422" s="917"/>
      <c r="MGH3422" s="917"/>
      <c r="MGI3422" s="917"/>
      <c r="MGJ3422" s="917"/>
      <c r="MGK3422" s="917" t="s">
        <v>78</v>
      </c>
      <c r="MGL3422" s="917"/>
      <c r="MGM3422" s="917"/>
      <c r="MGN3422" s="917"/>
      <c r="MGO3422" s="917"/>
      <c r="MGP3422" s="917"/>
      <c r="MGQ3422" s="917"/>
      <c r="MGR3422" s="917"/>
      <c r="MGS3422" s="917"/>
      <c r="MGT3422" s="917"/>
      <c r="MGU3422" s="917"/>
      <c r="MGV3422" s="917"/>
      <c r="MGW3422" s="917"/>
      <c r="MGX3422" s="917"/>
      <c r="MGY3422" s="917"/>
      <c r="MGZ3422" s="917"/>
      <c r="MHA3422" s="917"/>
      <c r="MHB3422" s="917"/>
      <c r="MHC3422" s="917"/>
      <c r="MHD3422" s="917"/>
      <c r="MHE3422" s="917"/>
      <c r="MHF3422" s="917"/>
      <c r="MHG3422" s="917"/>
      <c r="MHH3422" s="917"/>
      <c r="MHI3422" s="917"/>
      <c r="MHJ3422" s="917"/>
      <c r="MHK3422" s="917"/>
      <c r="MHL3422" s="917"/>
      <c r="MHM3422" s="917"/>
      <c r="MHN3422" s="917"/>
      <c r="MHO3422" s="917"/>
      <c r="MHP3422" s="917"/>
      <c r="MHQ3422" s="917" t="s">
        <v>78</v>
      </c>
      <c r="MHR3422" s="917"/>
      <c r="MHS3422" s="917"/>
      <c r="MHT3422" s="917"/>
      <c r="MHU3422" s="917"/>
      <c r="MHV3422" s="917"/>
      <c r="MHW3422" s="917"/>
      <c r="MHX3422" s="917"/>
      <c r="MHY3422" s="917"/>
      <c r="MHZ3422" s="917"/>
      <c r="MIA3422" s="917"/>
      <c r="MIB3422" s="917"/>
      <c r="MIC3422" s="917"/>
      <c r="MID3422" s="917"/>
      <c r="MIE3422" s="917"/>
      <c r="MIF3422" s="917"/>
      <c r="MIG3422" s="917"/>
      <c r="MIH3422" s="917"/>
      <c r="MII3422" s="917"/>
      <c r="MIJ3422" s="917"/>
      <c r="MIK3422" s="917"/>
      <c r="MIL3422" s="917"/>
      <c r="MIM3422" s="917"/>
      <c r="MIN3422" s="917"/>
      <c r="MIO3422" s="917"/>
      <c r="MIP3422" s="917"/>
      <c r="MIQ3422" s="917"/>
      <c r="MIR3422" s="917"/>
      <c r="MIS3422" s="917"/>
      <c r="MIT3422" s="917"/>
      <c r="MIU3422" s="917"/>
      <c r="MIV3422" s="917"/>
      <c r="MIW3422" s="917" t="s">
        <v>78</v>
      </c>
      <c r="MIX3422" s="917"/>
      <c r="MIY3422" s="917"/>
      <c r="MIZ3422" s="917"/>
      <c r="MJA3422" s="917"/>
      <c r="MJB3422" s="917"/>
      <c r="MJC3422" s="917"/>
      <c r="MJD3422" s="917"/>
      <c r="MJE3422" s="917"/>
      <c r="MJF3422" s="917"/>
      <c r="MJG3422" s="917"/>
      <c r="MJH3422" s="917"/>
      <c r="MJI3422" s="917"/>
      <c r="MJJ3422" s="917"/>
      <c r="MJK3422" s="917"/>
      <c r="MJL3422" s="917"/>
      <c r="MJM3422" s="917"/>
      <c r="MJN3422" s="917"/>
      <c r="MJO3422" s="917"/>
      <c r="MJP3422" s="917"/>
      <c r="MJQ3422" s="917"/>
      <c r="MJR3422" s="917"/>
      <c r="MJS3422" s="917"/>
      <c r="MJT3422" s="917"/>
      <c r="MJU3422" s="917"/>
      <c r="MJV3422" s="917"/>
      <c r="MJW3422" s="917"/>
      <c r="MJX3422" s="917"/>
      <c r="MJY3422" s="917"/>
      <c r="MJZ3422" s="917"/>
      <c r="MKA3422" s="917"/>
      <c r="MKB3422" s="917"/>
      <c r="MKC3422" s="917" t="s">
        <v>78</v>
      </c>
      <c r="MKD3422" s="917"/>
      <c r="MKE3422" s="917"/>
      <c r="MKF3422" s="917"/>
      <c r="MKG3422" s="917"/>
      <c r="MKH3422" s="917"/>
      <c r="MKI3422" s="917"/>
      <c r="MKJ3422" s="917"/>
      <c r="MKK3422" s="917"/>
      <c r="MKL3422" s="917"/>
      <c r="MKM3422" s="917"/>
      <c r="MKN3422" s="917"/>
      <c r="MKO3422" s="917"/>
      <c r="MKP3422" s="917"/>
      <c r="MKQ3422" s="917"/>
      <c r="MKR3422" s="917"/>
      <c r="MKS3422" s="917"/>
      <c r="MKT3422" s="917"/>
      <c r="MKU3422" s="917"/>
      <c r="MKV3422" s="917"/>
      <c r="MKW3422" s="917"/>
      <c r="MKX3422" s="917"/>
      <c r="MKY3422" s="917"/>
      <c r="MKZ3422" s="917"/>
      <c r="MLA3422" s="917"/>
      <c r="MLB3422" s="917"/>
      <c r="MLC3422" s="917"/>
      <c r="MLD3422" s="917"/>
      <c r="MLE3422" s="917"/>
      <c r="MLF3422" s="917"/>
      <c r="MLG3422" s="917"/>
      <c r="MLH3422" s="917"/>
      <c r="MLI3422" s="917" t="s">
        <v>78</v>
      </c>
      <c r="MLJ3422" s="917"/>
      <c r="MLK3422" s="917"/>
      <c r="MLL3422" s="917"/>
      <c r="MLM3422" s="917"/>
      <c r="MLN3422" s="917"/>
      <c r="MLO3422" s="917"/>
      <c r="MLP3422" s="917"/>
      <c r="MLQ3422" s="917"/>
      <c r="MLR3422" s="917"/>
      <c r="MLS3422" s="917"/>
      <c r="MLT3422" s="917"/>
      <c r="MLU3422" s="917"/>
      <c r="MLV3422" s="917"/>
      <c r="MLW3422" s="917"/>
      <c r="MLX3422" s="917"/>
      <c r="MLY3422" s="917"/>
      <c r="MLZ3422" s="917"/>
      <c r="MMA3422" s="917"/>
      <c r="MMB3422" s="917"/>
      <c r="MMC3422" s="917"/>
      <c r="MMD3422" s="917"/>
      <c r="MME3422" s="917"/>
      <c r="MMF3422" s="917"/>
      <c r="MMG3422" s="917"/>
      <c r="MMH3422" s="917"/>
      <c r="MMI3422" s="917"/>
      <c r="MMJ3422" s="917"/>
      <c r="MMK3422" s="917"/>
      <c r="MML3422" s="917"/>
      <c r="MMM3422" s="917"/>
      <c r="MMN3422" s="917"/>
      <c r="MMO3422" s="917" t="s">
        <v>78</v>
      </c>
      <c r="MMP3422" s="917"/>
      <c r="MMQ3422" s="917"/>
      <c r="MMR3422" s="917"/>
      <c r="MMS3422" s="917"/>
      <c r="MMT3422" s="917"/>
      <c r="MMU3422" s="917"/>
      <c r="MMV3422" s="917"/>
      <c r="MMW3422" s="917"/>
      <c r="MMX3422" s="917"/>
      <c r="MMY3422" s="917"/>
      <c r="MMZ3422" s="917"/>
      <c r="MNA3422" s="917"/>
      <c r="MNB3422" s="917"/>
      <c r="MNC3422" s="917"/>
      <c r="MND3422" s="917"/>
      <c r="MNE3422" s="917"/>
      <c r="MNF3422" s="917"/>
      <c r="MNG3422" s="917"/>
      <c r="MNH3422" s="917"/>
      <c r="MNI3422" s="917"/>
      <c r="MNJ3422" s="917"/>
      <c r="MNK3422" s="917"/>
      <c r="MNL3422" s="917"/>
      <c r="MNM3422" s="917"/>
      <c r="MNN3422" s="917"/>
      <c r="MNO3422" s="917"/>
      <c r="MNP3422" s="917"/>
      <c r="MNQ3422" s="917"/>
      <c r="MNR3422" s="917"/>
      <c r="MNS3422" s="917"/>
      <c r="MNT3422" s="917"/>
      <c r="MNU3422" s="917" t="s">
        <v>78</v>
      </c>
      <c r="MNV3422" s="917"/>
      <c r="MNW3422" s="917"/>
      <c r="MNX3422" s="917"/>
      <c r="MNY3422" s="917"/>
      <c r="MNZ3422" s="917"/>
      <c r="MOA3422" s="917"/>
      <c r="MOB3422" s="917"/>
      <c r="MOC3422" s="917"/>
      <c r="MOD3422" s="917"/>
      <c r="MOE3422" s="917"/>
      <c r="MOF3422" s="917"/>
      <c r="MOG3422" s="917"/>
      <c r="MOH3422" s="917"/>
      <c r="MOI3422" s="917"/>
      <c r="MOJ3422" s="917"/>
      <c r="MOK3422" s="917"/>
      <c r="MOL3422" s="917"/>
      <c r="MOM3422" s="917"/>
      <c r="MON3422" s="917"/>
      <c r="MOO3422" s="917"/>
      <c r="MOP3422" s="917"/>
      <c r="MOQ3422" s="917"/>
      <c r="MOR3422" s="917"/>
      <c r="MOS3422" s="917"/>
      <c r="MOT3422" s="917"/>
      <c r="MOU3422" s="917"/>
      <c r="MOV3422" s="917"/>
      <c r="MOW3422" s="917"/>
      <c r="MOX3422" s="917"/>
      <c r="MOY3422" s="917"/>
      <c r="MOZ3422" s="917"/>
      <c r="MPA3422" s="917" t="s">
        <v>78</v>
      </c>
      <c r="MPB3422" s="917"/>
      <c r="MPC3422" s="917"/>
      <c r="MPD3422" s="917"/>
      <c r="MPE3422" s="917"/>
      <c r="MPF3422" s="917"/>
      <c r="MPG3422" s="917"/>
      <c r="MPH3422" s="917"/>
      <c r="MPI3422" s="917"/>
      <c r="MPJ3422" s="917"/>
      <c r="MPK3422" s="917"/>
      <c r="MPL3422" s="917"/>
      <c r="MPM3422" s="917"/>
      <c r="MPN3422" s="917"/>
      <c r="MPO3422" s="917"/>
      <c r="MPP3422" s="917"/>
      <c r="MPQ3422" s="917"/>
      <c r="MPR3422" s="917"/>
      <c r="MPS3422" s="917"/>
      <c r="MPT3422" s="917"/>
      <c r="MPU3422" s="917"/>
      <c r="MPV3422" s="917"/>
      <c r="MPW3422" s="917"/>
      <c r="MPX3422" s="917"/>
      <c r="MPY3422" s="917"/>
      <c r="MPZ3422" s="917"/>
      <c r="MQA3422" s="917"/>
      <c r="MQB3422" s="917"/>
      <c r="MQC3422" s="917"/>
      <c r="MQD3422" s="917"/>
      <c r="MQE3422" s="917"/>
      <c r="MQF3422" s="917"/>
      <c r="MQG3422" s="917" t="s">
        <v>78</v>
      </c>
      <c r="MQH3422" s="917"/>
      <c r="MQI3422" s="917"/>
      <c r="MQJ3422" s="917"/>
      <c r="MQK3422" s="917"/>
      <c r="MQL3422" s="917"/>
      <c r="MQM3422" s="917"/>
      <c r="MQN3422" s="917"/>
      <c r="MQO3422" s="917"/>
      <c r="MQP3422" s="917"/>
      <c r="MQQ3422" s="917"/>
      <c r="MQR3422" s="917"/>
      <c r="MQS3422" s="917"/>
      <c r="MQT3422" s="917"/>
      <c r="MQU3422" s="917"/>
      <c r="MQV3422" s="917"/>
      <c r="MQW3422" s="917"/>
      <c r="MQX3422" s="917"/>
      <c r="MQY3422" s="917"/>
      <c r="MQZ3422" s="917"/>
      <c r="MRA3422" s="917"/>
      <c r="MRB3422" s="917"/>
      <c r="MRC3422" s="917"/>
      <c r="MRD3422" s="917"/>
      <c r="MRE3422" s="917"/>
      <c r="MRF3422" s="917"/>
      <c r="MRG3422" s="917"/>
      <c r="MRH3422" s="917"/>
      <c r="MRI3422" s="917"/>
      <c r="MRJ3422" s="917"/>
      <c r="MRK3422" s="917"/>
      <c r="MRL3422" s="917"/>
      <c r="MRM3422" s="917" t="s">
        <v>78</v>
      </c>
      <c r="MRN3422" s="917"/>
      <c r="MRO3422" s="917"/>
      <c r="MRP3422" s="917"/>
      <c r="MRQ3422" s="917"/>
      <c r="MRR3422" s="917"/>
      <c r="MRS3422" s="917"/>
      <c r="MRT3422" s="917"/>
      <c r="MRU3422" s="917"/>
      <c r="MRV3422" s="917"/>
      <c r="MRW3422" s="917"/>
      <c r="MRX3422" s="917"/>
      <c r="MRY3422" s="917"/>
      <c r="MRZ3422" s="917"/>
      <c r="MSA3422" s="917"/>
      <c r="MSB3422" s="917"/>
      <c r="MSC3422" s="917"/>
      <c r="MSD3422" s="917"/>
      <c r="MSE3422" s="917"/>
      <c r="MSF3422" s="917"/>
      <c r="MSG3422" s="917"/>
      <c r="MSH3422" s="917"/>
      <c r="MSI3422" s="917"/>
      <c r="MSJ3422" s="917"/>
      <c r="MSK3422" s="917"/>
      <c r="MSL3422" s="917"/>
      <c r="MSM3422" s="917"/>
      <c r="MSN3422" s="917"/>
      <c r="MSO3422" s="917"/>
      <c r="MSP3422" s="917"/>
      <c r="MSQ3422" s="917"/>
      <c r="MSR3422" s="917"/>
      <c r="MSS3422" s="917" t="s">
        <v>78</v>
      </c>
      <c r="MST3422" s="917"/>
      <c r="MSU3422" s="917"/>
      <c r="MSV3422" s="917"/>
      <c r="MSW3422" s="917"/>
      <c r="MSX3422" s="917"/>
      <c r="MSY3422" s="917"/>
      <c r="MSZ3422" s="917"/>
      <c r="MTA3422" s="917"/>
      <c r="MTB3422" s="917"/>
      <c r="MTC3422" s="917"/>
      <c r="MTD3422" s="917"/>
      <c r="MTE3422" s="917"/>
      <c r="MTF3422" s="917"/>
      <c r="MTG3422" s="917"/>
      <c r="MTH3422" s="917"/>
      <c r="MTI3422" s="917"/>
      <c r="MTJ3422" s="917"/>
      <c r="MTK3422" s="917"/>
      <c r="MTL3422" s="917"/>
      <c r="MTM3422" s="917"/>
      <c r="MTN3422" s="917"/>
      <c r="MTO3422" s="917"/>
      <c r="MTP3422" s="917"/>
      <c r="MTQ3422" s="917"/>
      <c r="MTR3422" s="917"/>
      <c r="MTS3422" s="917"/>
      <c r="MTT3422" s="917"/>
      <c r="MTU3422" s="917"/>
      <c r="MTV3422" s="917"/>
      <c r="MTW3422" s="917"/>
      <c r="MTX3422" s="917"/>
      <c r="MTY3422" s="917" t="s">
        <v>78</v>
      </c>
      <c r="MTZ3422" s="917"/>
      <c r="MUA3422" s="917"/>
      <c r="MUB3422" s="917"/>
      <c r="MUC3422" s="917"/>
      <c r="MUD3422" s="917"/>
      <c r="MUE3422" s="917"/>
      <c r="MUF3422" s="917"/>
      <c r="MUG3422" s="917"/>
      <c r="MUH3422" s="917"/>
      <c r="MUI3422" s="917"/>
      <c r="MUJ3422" s="917"/>
      <c r="MUK3422" s="917"/>
      <c r="MUL3422" s="917"/>
      <c r="MUM3422" s="917"/>
      <c r="MUN3422" s="917"/>
      <c r="MUO3422" s="917"/>
      <c r="MUP3422" s="917"/>
      <c r="MUQ3422" s="917"/>
      <c r="MUR3422" s="917"/>
      <c r="MUS3422" s="917"/>
      <c r="MUT3422" s="917"/>
      <c r="MUU3422" s="917"/>
      <c r="MUV3422" s="917"/>
      <c r="MUW3422" s="917"/>
      <c r="MUX3422" s="917"/>
      <c r="MUY3422" s="917"/>
      <c r="MUZ3422" s="917"/>
      <c r="MVA3422" s="917"/>
      <c r="MVB3422" s="917"/>
      <c r="MVC3422" s="917"/>
      <c r="MVD3422" s="917"/>
      <c r="MVE3422" s="917" t="s">
        <v>78</v>
      </c>
      <c r="MVF3422" s="917"/>
      <c r="MVG3422" s="917"/>
      <c r="MVH3422" s="917"/>
      <c r="MVI3422" s="917"/>
      <c r="MVJ3422" s="917"/>
      <c r="MVK3422" s="917"/>
      <c r="MVL3422" s="917"/>
      <c r="MVM3422" s="917"/>
      <c r="MVN3422" s="917"/>
      <c r="MVO3422" s="917"/>
      <c r="MVP3422" s="917"/>
      <c r="MVQ3422" s="917"/>
      <c r="MVR3422" s="917"/>
      <c r="MVS3422" s="917"/>
      <c r="MVT3422" s="917"/>
      <c r="MVU3422" s="917"/>
      <c r="MVV3422" s="917"/>
      <c r="MVW3422" s="917"/>
      <c r="MVX3422" s="917"/>
      <c r="MVY3422" s="917"/>
      <c r="MVZ3422" s="917"/>
      <c r="MWA3422" s="917"/>
      <c r="MWB3422" s="917"/>
      <c r="MWC3422" s="917"/>
      <c r="MWD3422" s="917"/>
      <c r="MWE3422" s="917"/>
      <c r="MWF3422" s="917"/>
      <c r="MWG3422" s="917"/>
      <c r="MWH3422" s="917"/>
      <c r="MWI3422" s="917"/>
      <c r="MWJ3422" s="917"/>
      <c r="MWK3422" s="917" t="s">
        <v>78</v>
      </c>
      <c r="MWL3422" s="917"/>
      <c r="MWM3422" s="917"/>
      <c r="MWN3422" s="917"/>
      <c r="MWO3422" s="917"/>
      <c r="MWP3422" s="917"/>
      <c r="MWQ3422" s="917"/>
      <c r="MWR3422" s="917"/>
      <c r="MWS3422" s="917"/>
      <c r="MWT3422" s="917"/>
      <c r="MWU3422" s="917"/>
      <c r="MWV3422" s="917"/>
      <c r="MWW3422" s="917"/>
      <c r="MWX3422" s="917"/>
      <c r="MWY3422" s="917"/>
      <c r="MWZ3422" s="917"/>
      <c r="MXA3422" s="917"/>
      <c r="MXB3422" s="917"/>
      <c r="MXC3422" s="917"/>
      <c r="MXD3422" s="917"/>
      <c r="MXE3422" s="917"/>
      <c r="MXF3422" s="917"/>
      <c r="MXG3422" s="917"/>
      <c r="MXH3422" s="917"/>
      <c r="MXI3422" s="917"/>
      <c r="MXJ3422" s="917"/>
      <c r="MXK3422" s="917"/>
      <c r="MXL3422" s="917"/>
      <c r="MXM3422" s="917"/>
      <c r="MXN3422" s="917"/>
      <c r="MXO3422" s="917"/>
      <c r="MXP3422" s="917"/>
      <c r="MXQ3422" s="917" t="s">
        <v>78</v>
      </c>
      <c r="MXR3422" s="917"/>
      <c r="MXS3422" s="917"/>
      <c r="MXT3422" s="917"/>
      <c r="MXU3422" s="917"/>
      <c r="MXV3422" s="917"/>
      <c r="MXW3422" s="917"/>
      <c r="MXX3422" s="917"/>
      <c r="MXY3422" s="917"/>
      <c r="MXZ3422" s="917"/>
      <c r="MYA3422" s="917"/>
      <c r="MYB3422" s="917"/>
      <c r="MYC3422" s="917"/>
      <c r="MYD3422" s="917"/>
      <c r="MYE3422" s="917"/>
      <c r="MYF3422" s="917"/>
      <c r="MYG3422" s="917"/>
      <c r="MYH3422" s="917"/>
      <c r="MYI3422" s="917"/>
      <c r="MYJ3422" s="917"/>
      <c r="MYK3422" s="917"/>
      <c r="MYL3422" s="917"/>
      <c r="MYM3422" s="917"/>
      <c r="MYN3422" s="917"/>
      <c r="MYO3422" s="917"/>
      <c r="MYP3422" s="917"/>
      <c r="MYQ3422" s="917"/>
      <c r="MYR3422" s="917"/>
      <c r="MYS3422" s="917"/>
      <c r="MYT3422" s="917"/>
      <c r="MYU3422" s="917"/>
      <c r="MYV3422" s="917"/>
      <c r="MYW3422" s="917" t="s">
        <v>78</v>
      </c>
      <c r="MYX3422" s="917"/>
      <c r="MYY3422" s="917"/>
      <c r="MYZ3422" s="917"/>
      <c r="MZA3422" s="917"/>
      <c r="MZB3422" s="917"/>
      <c r="MZC3422" s="917"/>
      <c r="MZD3422" s="917"/>
      <c r="MZE3422" s="917"/>
      <c r="MZF3422" s="917"/>
      <c r="MZG3422" s="917"/>
      <c r="MZH3422" s="917"/>
      <c r="MZI3422" s="917"/>
      <c r="MZJ3422" s="917"/>
      <c r="MZK3422" s="917"/>
      <c r="MZL3422" s="917"/>
      <c r="MZM3422" s="917"/>
      <c r="MZN3422" s="917"/>
      <c r="MZO3422" s="917"/>
      <c r="MZP3422" s="917"/>
      <c r="MZQ3422" s="917"/>
      <c r="MZR3422" s="917"/>
      <c r="MZS3422" s="917"/>
      <c r="MZT3422" s="917"/>
      <c r="MZU3422" s="917"/>
      <c r="MZV3422" s="917"/>
      <c r="MZW3422" s="917"/>
      <c r="MZX3422" s="917"/>
      <c r="MZY3422" s="917"/>
      <c r="MZZ3422" s="917"/>
      <c r="NAA3422" s="917"/>
      <c r="NAB3422" s="917"/>
      <c r="NAC3422" s="917" t="s">
        <v>78</v>
      </c>
      <c r="NAD3422" s="917"/>
      <c r="NAE3422" s="917"/>
      <c r="NAF3422" s="917"/>
      <c r="NAG3422" s="917"/>
      <c r="NAH3422" s="917"/>
      <c r="NAI3422" s="917"/>
      <c r="NAJ3422" s="917"/>
      <c r="NAK3422" s="917"/>
      <c r="NAL3422" s="917"/>
      <c r="NAM3422" s="917"/>
      <c r="NAN3422" s="917"/>
      <c r="NAO3422" s="917"/>
      <c r="NAP3422" s="917"/>
      <c r="NAQ3422" s="917"/>
      <c r="NAR3422" s="917"/>
      <c r="NAS3422" s="917"/>
      <c r="NAT3422" s="917"/>
      <c r="NAU3422" s="917"/>
      <c r="NAV3422" s="917"/>
      <c r="NAW3422" s="917"/>
      <c r="NAX3422" s="917"/>
      <c r="NAY3422" s="917"/>
      <c r="NAZ3422" s="917"/>
      <c r="NBA3422" s="917"/>
      <c r="NBB3422" s="917"/>
      <c r="NBC3422" s="917"/>
      <c r="NBD3422" s="917"/>
      <c r="NBE3422" s="917"/>
      <c r="NBF3422" s="917"/>
      <c r="NBG3422" s="917"/>
      <c r="NBH3422" s="917"/>
      <c r="NBI3422" s="917" t="s">
        <v>78</v>
      </c>
      <c r="NBJ3422" s="917"/>
      <c r="NBK3422" s="917"/>
      <c r="NBL3422" s="917"/>
      <c r="NBM3422" s="917"/>
      <c r="NBN3422" s="917"/>
      <c r="NBO3422" s="917"/>
      <c r="NBP3422" s="917"/>
      <c r="NBQ3422" s="917"/>
      <c r="NBR3422" s="917"/>
      <c r="NBS3422" s="917"/>
      <c r="NBT3422" s="917"/>
      <c r="NBU3422" s="917"/>
      <c r="NBV3422" s="917"/>
      <c r="NBW3422" s="917"/>
      <c r="NBX3422" s="917"/>
      <c r="NBY3422" s="917"/>
      <c r="NBZ3422" s="917"/>
      <c r="NCA3422" s="917"/>
      <c r="NCB3422" s="917"/>
      <c r="NCC3422" s="917"/>
      <c r="NCD3422" s="917"/>
      <c r="NCE3422" s="917"/>
      <c r="NCF3422" s="917"/>
      <c r="NCG3422" s="917"/>
      <c r="NCH3422" s="917"/>
      <c r="NCI3422" s="917"/>
      <c r="NCJ3422" s="917"/>
      <c r="NCK3422" s="917"/>
      <c r="NCL3422" s="917"/>
      <c r="NCM3422" s="917"/>
      <c r="NCN3422" s="917"/>
      <c r="NCO3422" s="917" t="s">
        <v>78</v>
      </c>
      <c r="NCP3422" s="917"/>
      <c r="NCQ3422" s="917"/>
      <c r="NCR3422" s="917"/>
      <c r="NCS3422" s="917"/>
      <c r="NCT3422" s="917"/>
      <c r="NCU3422" s="917"/>
      <c r="NCV3422" s="917"/>
      <c r="NCW3422" s="917"/>
      <c r="NCX3422" s="917"/>
      <c r="NCY3422" s="917"/>
      <c r="NCZ3422" s="917"/>
      <c r="NDA3422" s="917"/>
      <c r="NDB3422" s="917"/>
      <c r="NDC3422" s="917"/>
      <c r="NDD3422" s="917"/>
      <c r="NDE3422" s="917"/>
      <c r="NDF3422" s="917"/>
      <c r="NDG3422" s="917"/>
      <c r="NDH3422" s="917"/>
      <c r="NDI3422" s="917"/>
      <c r="NDJ3422" s="917"/>
      <c r="NDK3422" s="917"/>
      <c r="NDL3422" s="917"/>
      <c r="NDM3422" s="917"/>
      <c r="NDN3422" s="917"/>
      <c r="NDO3422" s="917"/>
      <c r="NDP3422" s="917"/>
      <c r="NDQ3422" s="917"/>
      <c r="NDR3422" s="917"/>
      <c r="NDS3422" s="917"/>
      <c r="NDT3422" s="917"/>
      <c r="NDU3422" s="917" t="s">
        <v>78</v>
      </c>
      <c r="NDV3422" s="917"/>
      <c r="NDW3422" s="917"/>
      <c r="NDX3422" s="917"/>
      <c r="NDY3422" s="917"/>
      <c r="NDZ3422" s="917"/>
      <c r="NEA3422" s="917"/>
      <c r="NEB3422" s="917"/>
      <c r="NEC3422" s="917"/>
      <c r="NED3422" s="917"/>
      <c r="NEE3422" s="917"/>
      <c r="NEF3422" s="917"/>
      <c r="NEG3422" s="917"/>
      <c r="NEH3422" s="917"/>
      <c r="NEI3422" s="917"/>
      <c r="NEJ3422" s="917"/>
      <c r="NEK3422" s="917"/>
      <c r="NEL3422" s="917"/>
      <c r="NEM3422" s="917"/>
      <c r="NEN3422" s="917"/>
      <c r="NEO3422" s="917"/>
      <c r="NEP3422" s="917"/>
      <c r="NEQ3422" s="917"/>
      <c r="NER3422" s="917"/>
      <c r="NES3422" s="917"/>
      <c r="NET3422" s="917"/>
      <c r="NEU3422" s="917"/>
      <c r="NEV3422" s="917"/>
      <c r="NEW3422" s="917"/>
      <c r="NEX3422" s="917"/>
      <c r="NEY3422" s="917"/>
      <c r="NEZ3422" s="917"/>
      <c r="NFA3422" s="917" t="s">
        <v>78</v>
      </c>
      <c r="NFB3422" s="917"/>
      <c r="NFC3422" s="917"/>
      <c r="NFD3422" s="917"/>
      <c r="NFE3422" s="917"/>
      <c r="NFF3422" s="917"/>
      <c r="NFG3422" s="917"/>
      <c r="NFH3422" s="917"/>
      <c r="NFI3422" s="917"/>
      <c r="NFJ3422" s="917"/>
      <c r="NFK3422" s="917"/>
      <c r="NFL3422" s="917"/>
      <c r="NFM3422" s="917"/>
      <c r="NFN3422" s="917"/>
      <c r="NFO3422" s="917"/>
      <c r="NFP3422" s="917"/>
      <c r="NFQ3422" s="917"/>
      <c r="NFR3422" s="917"/>
      <c r="NFS3422" s="917"/>
      <c r="NFT3422" s="917"/>
      <c r="NFU3422" s="917"/>
      <c r="NFV3422" s="917"/>
      <c r="NFW3422" s="917"/>
      <c r="NFX3422" s="917"/>
      <c r="NFY3422" s="917"/>
      <c r="NFZ3422" s="917"/>
      <c r="NGA3422" s="917"/>
      <c r="NGB3422" s="917"/>
      <c r="NGC3422" s="917"/>
      <c r="NGD3422" s="917"/>
      <c r="NGE3422" s="917"/>
      <c r="NGF3422" s="917"/>
      <c r="NGG3422" s="917" t="s">
        <v>78</v>
      </c>
      <c r="NGH3422" s="917"/>
      <c r="NGI3422" s="917"/>
      <c r="NGJ3422" s="917"/>
      <c r="NGK3422" s="917"/>
      <c r="NGL3422" s="917"/>
      <c r="NGM3422" s="917"/>
      <c r="NGN3422" s="917"/>
      <c r="NGO3422" s="917"/>
      <c r="NGP3422" s="917"/>
      <c r="NGQ3422" s="917"/>
      <c r="NGR3422" s="917"/>
      <c r="NGS3422" s="917"/>
      <c r="NGT3422" s="917"/>
      <c r="NGU3422" s="917"/>
      <c r="NGV3422" s="917"/>
      <c r="NGW3422" s="917"/>
      <c r="NGX3422" s="917"/>
      <c r="NGY3422" s="917"/>
      <c r="NGZ3422" s="917"/>
      <c r="NHA3422" s="917"/>
      <c r="NHB3422" s="917"/>
      <c r="NHC3422" s="917"/>
      <c r="NHD3422" s="917"/>
      <c r="NHE3422" s="917"/>
      <c r="NHF3422" s="917"/>
      <c r="NHG3422" s="917"/>
      <c r="NHH3422" s="917"/>
      <c r="NHI3422" s="917"/>
      <c r="NHJ3422" s="917"/>
      <c r="NHK3422" s="917"/>
      <c r="NHL3422" s="917"/>
      <c r="NHM3422" s="917" t="s">
        <v>78</v>
      </c>
      <c r="NHN3422" s="917"/>
      <c r="NHO3422" s="917"/>
      <c r="NHP3422" s="917"/>
      <c r="NHQ3422" s="917"/>
      <c r="NHR3422" s="917"/>
      <c r="NHS3422" s="917"/>
      <c r="NHT3422" s="917"/>
      <c r="NHU3422" s="917"/>
      <c r="NHV3422" s="917"/>
      <c r="NHW3422" s="917"/>
      <c r="NHX3422" s="917"/>
      <c r="NHY3422" s="917"/>
      <c r="NHZ3422" s="917"/>
      <c r="NIA3422" s="917"/>
      <c r="NIB3422" s="917"/>
      <c r="NIC3422" s="917"/>
      <c r="NID3422" s="917"/>
      <c r="NIE3422" s="917"/>
      <c r="NIF3422" s="917"/>
      <c r="NIG3422" s="917"/>
      <c r="NIH3422" s="917"/>
      <c r="NII3422" s="917"/>
      <c r="NIJ3422" s="917"/>
      <c r="NIK3422" s="917"/>
      <c r="NIL3422" s="917"/>
      <c r="NIM3422" s="917"/>
      <c r="NIN3422" s="917"/>
      <c r="NIO3422" s="917"/>
      <c r="NIP3422" s="917"/>
      <c r="NIQ3422" s="917"/>
      <c r="NIR3422" s="917"/>
      <c r="NIS3422" s="917" t="s">
        <v>78</v>
      </c>
      <c r="NIT3422" s="917"/>
      <c r="NIU3422" s="917"/>
      <c r="NIV3422" s="917"/>
      <c r="NIW3422" s="917"/>
      <c r="NIX3422" s="917"/>
      <c r="NIY3422" s="917"/>
      <c r="NIZ3422" s="917"/>
      <c r="NJA3422" s="917"/>
      <c r="NJB3422" s="917"/>
      <c r="NJC3422" s="917"/>
      <c r="NJD3422" s="917"/>
      <c r="NJE3422" s="917"/>
      <c r="NJF3422" s="917"/>
      <c r="NJG3422" s="917"/>
      <c r="NJH3422" s="917"/>
      <c r="NJI3422" s="917"/>
      <c r="NJJ3422" s="917"/>
      <c r="NJK3422" s="917"/>
      <c r="NJL3422" s="917"/>
      <c r="NJM3422" s="917"/>
      <c r="NJN3422" s="917"/>
      <c r="NJO3422" s="917"/>
      <c r="NJP3422" s="917"/>
      <c r="NJQ3422" s="917"/>
      <c r="NJR3422" s="917"/>
      <c r="NJS3422" s="917"/>
      <c r="NJT3422" s="917"/>
      <c r="NJU3422" s="917"/>
      <c r="NJV3422" s="917"/>
      <c r="NJW3422" s="917"/>
      <c r="NJX3422" s="917"/>
      <c r="NJY3422" s="917" t="s">
        <v>78</v>
      </c>
      <c r="NJZ3422" s="917"/>
      <c r="NKA3422" s="917"/>
      <c r="NKB3422" s="917"/>
      <c r="NKC3422" s="917"/>
      <c r="NKD3422" s="917"/>
      <c r="NKE3422" s="917"/>
      <c r="NKF3422" s="917"/>
      <c r="NKG3422" s="917"/>
      <c r="NKH3422" s="917"/>
      <c r="NKI3422" s="917"/>
      <c r="NKJ3422" s="917"/>
      <c r="NKK3422" s="917"/>
      <c r="NKL3422" s="917"/>
      <c r="NKM3422" s="917"/>
      <c r="NKN3422" s="917"/>
      <c r="NKO3422" s="917"/>
      <c r="NKP3422" s="917"/>
      <c r="NKQ3422" s="917"/>
      <c r="NKR3422" s="917"/>
      <c r="NKS3422" s="917"/>
      <c r="NKT3422" s="917"/>
      <c r="NKU3422" s="917"/>
      <c r="NKV3422" s="917"/>
      <c r="NKW3422" s="917"/>
      <c r="NKX3422" s="917"/>
      <c r="NKY3422" s="917"/>
      <c r="NKZ3422" s="917"/>
      <c r="NLA3422" s="917"/>
      <c r="NLB3422" s="917"/>
      <c r="NLC3422" s="917"/>
      <c r="NLD3422" s="917"/>
      <c r="NLE3422" s="917" t="s">
        <v>78</v>
      </c>
      <c r="NLF3422" s="917"/>
      <c r="NLG3422" s="917"/>
      <c r="NLH3422" s="917"/>
      <c r="NLI3422" s="917"/>
      <c r="NLJ3422" s="917"/>
      <c r="NLK3422" s="917"/>
      <c r="NLL3422" s="917"/>
      <c r="NLM3422" s="917"/>
      <c r="NLN3422" s="917"/>
      <c r="NLO3422" s="917"/>
      <c r="NLP3422" s="917"/>
      <c r="NLQ3422" s="917"/>
      <c r="NLR3422" s="917"/>
      <c r="NLS3422" s="917"/>
      <c r="NLT3422" s="917"/>
      <c r="NLU3422" s="917"/>
      <c r="NLV3422" s="917"/>
      <c r="NLW3422" s="917"/>
      <c r="NLX3422" s="917"/>
      <c r="NLY3422" s="917"/>
      <c r="NLZ3422" s="917"/>
      <c r="NMA3422" s="917"/>
      <c r="NMB3422" s="917"/>
      <c r="NMC3422" s="917"/>
      <c r="NMD3422" s="917"/>
      <c r="NME3422" s="917"/>
      <c r="NMF3422" s="917"/>
      <c r="NMG3422" s="917"/>
      <c r="NMH3422" s="917"/>
      <c r="NMI3422" s="917"/>
      <c r="NMJ3422" s="917"/>
      <c r="NMK3422" s="917" t="s">
        <v>78</v>
      </c>
      <c r="NML3422" s="917"/>
      <c r="NMM3422" s="917"/>
      <c r="NMN3422" s="917"/>
      <c r="NMO3422" s="917"/>
      <c r="NMP3422" s="917"/>
      <c r="NMQ3422" s="917"/>
      <c r="NMR3422" s="917"/>
      <c r="NMS3422" s="917"/>
      <c r="NMT3422" s="917"/>
      <c r="NMU3422" s="917"/>
      <c r="NMV3422" s="917"/>
      <c r="NMW3422" s="917"/>
      <c r="NMX3422" s="917"/>
      <c r="NMY3422" s="917"/>
      <c r="NMZ3422" s="917"/>
      <c r="NNA3422" s="917"/>
      <c r="NNB3422" s="917"/>
      <c r="NNC3422" s="917"/>
      <c r="NND3422" s="917"/>
      <c r="NNE3422" s="917"/>
      <c r="NNF3422" s="917"/>
      <c r="NNG3422" s="917"/>
      <c r="NNH3422" s="917"/>
      <c r="NNI3422" s="917"/>
      <c r="NNJ3422" s="917"/>
      <c r="NNK3422" s="917"/>
      <c r="NNL3422" s="917"/>
      <c r="NNM3422" s="917"/>
      <c r="NNN3422" s="917"/>
      <c r="NNO3422" s="917"/>
      <c r="NNP3422" s="917"/>
      <c r="NNQ3422" s="917" t="s">
        <v>78</v>
      </c>
      <c r="NNR3422" s="917"/>
      <c r="NNS3422" s="917"/>
      <c r="NNT3422" s="917"/>
      <c r="NNU3422" s="917"/>
      <c r="NNV3422" s="917"/>
      <c r="NNW3422" s="917"/>
      <c r="NNX3422" s="917"/>
      <c r="NNY3422" s="917"/>
      <c r="NNZ3422" s="917"/>
      <c r="NOA3422" s="917"/>
      <c r="NOB3422" s="917"/>
      <c r="NOC3422" s="917"/>
      <c r="NOD3422" s="917"/>
      <c r="NOE3422" s="917"/>
      <c r="NOF3422" s="917"/>
      <c r="NOG3422" s="917"/>
      <c r="NOH3422" s="917"/>
      <c r="NOI3422" s="917"/>
      <c r="NOJ3422" s="917"/>
      <c r="NOK3422" s="917"/>
      <c r="NOL3422" s="917"/>
      <c r="NOM3422" s="917"/>
      <c r="NON3422" s="917"/>
      <c r="NOO3422" s="917"/>
      <c r="NOP3422" s="917"/>
      <c r="NOQ3422" s="917"/>
      <c r="NOR3422" s="917"/>
      <c r="NOS3422" s="917"/>
      <c r="NOT3422" s="917"/>
      <c r="NOU3422" s="917"/>
      <c r="NOV3422" s="917"/>
      <c r="NOW3422" s="917" t="s">
        <v>78</v>
      </c>
      <c r="NOX3422" s="917"/>
      <c r="NOY3422" s="917"/>
      <c r="NOZ3422" s="917"/>
      <c r="NPA3422" s="917"/>
      <c r="NPB3422" s="917"/>
      <c r="NPC3422" s="917"/>
      <c r="NPD3422" s="917"/>
      <c r="NPE3422" s="917"/>
      <c r="NPF3422" s="917"/>
      <c r="NPG3422" s="917"/>
      <c r="NPH3422" s="917"/>
      <c r="NPI3422" s="917"/>
      <c r="NPJ3422" s="917"/>
      <c r="NPK3422" s="917"/>
      <c r="NPL3422" s="917"/>
      <c r="NPM3422" s="917"/>
      <c r="NPN3422" s="917"/>
      <c r="NPO3422" s="917"/>
      <c r="NPP3422" s="917"/>
      <c r="NPQ3422" s="917"/>
      <c r="NPR3422" s="917"/>
      <c r="NPS3422" s="917"/>
      <c r="NPT3422" s="917"/>
      <c r="NPU3422" s="917"/>
      <c r="NPV3422" s="917"/>
      <c r="NPW3422" s="917"/>
      <c r="NPX3422" s="917"/>
      <c r="NPY3422" s="917"/>
      <c r="NPZ3422" s="917"/>
      <c r="NQA3422" s="917"/>
      <c r="NQB3422" s="917"/>
      <c r="NQC3422" s="917" t="s">
        <v>78</v>
      </c>
      <c r="NQD3422" s="917"/>
      <c r="NQE3422" s="917"/>
      <c r="NQF3422" s="917"/>
      <c r="NQG3422" s="917"/>
      <c r="NQH3422" s="917"/>
      <c r="NQI3422" s="917"/>
      <c r="NQJ3422" s="917"/>
      <c r="NQK3422" s="917"/>
      <c r="NQL3422" s="917"/>
      <c r="NQM3422" s="917"/>
      <c r="NQN3422" s="917"/>
      <c r="NQO3422" s="917"/>
      <c r="NQP3422" s="917"/>
      <c r="NQQ3422" s="917"/>
      <c r="NQR3422" s="917"/>
      <c r="NQS3422" s="917"/>
      <c r="NQT3422" s="917"/>
      <c r="NQU3422" s="917"/>
      <c r="NQV3422" s="917"/>
      <c r="NQW3422" s="917"/>
      <c r="NQX3422" s="917"/>
      <c r="NQY3422" s="917"/>
      <c r="NQZ3422" s="917"/>
      <c r="NRA3422" s="917"/>
      <c r="NRB3422" s="917"/>
      <c r="NRC3422" s="917"/>
      <c r="NRD3422" s="917"/>
      <c r="NRE3422" s="917"/>
      <c r="NRF3422" s="917"/>
      <c r="NRG3422" s="917"/>
      <c r="NRH3422" s="917"/>
      <c r="NRI3422" s="917" t="s">
        <v>78</v>
      </c>
      <c r="NRJ3422" s="917"/>
      <c r="NRK3422" s="917"/>
      <c r="NRL3422" s="917"/>
      <c r="NRM3422" s="917"/>
      <c r="NRN3422" s="917"/>
      <c r="NRO3422" s="917"/>
      <c r="NRP3422" s="917"/>
      <c r="NRQ3422" s="917"/>
      <c r="NRR3422" s="917"/>
      <c r="NRS3422" s="917"/>
      <c r="NRT3422" s="917"/>
      <c r="NRU3422" s="917"/>
      <c r="NRV3422" s="917"/>
      <c r="NRW3422" s="917"/>
      <c r="NRX3422" s="917"/>
      <c r="NRY3422" s="917"/>
      <c r="NRZ3422" s="917"/>
      <c r="NSA3422" s="917"/>
      <c r="NSB3422" s="917"/>
      <c r="NSC3422" s="917"/>
      <c r="NSD3422" s="917"/>
      <c r="NSE3422" s="917"/>
      <c r="NSF3422" s="917"/>
      <c r="NSG3422" s="917"/>
      <c r="NSH3422" s="917"/>
      <c r="NSI3422" s="917"/>
      <c r="NSJ3422" s="917"/>
      <c r="NSK3422" s="917"/>
      <c r="NSL3422" s="917"/>
      <c r="NSM3422" s="917"/>
      <c r="NSN3422" s="917"/>
      <c r="NSO3422" s="917" t="s">
        <v>78</v>
      </c>
      <c r="NSP3422" s="917"/>
      <c r="NSQ3422" s="917"/>
      <c r="NSR3422" s="917"/>
      <c r="NSS3422" s="917"/>
      <c r="NST3422" s="917"/>
      <c r="NSU3422" s="917"/>
      <c r="NSV3422" s="917"/>
      <c r="NSW3422" s="917"/>
      <c r="NSX3422" s="917"/>
      <c r="NSY3422" s="917"/>
      <c r="NSZ3422" s="917"/>
      <c r="NTA3422" s="917"/>
      <c r="NTB3422" s="917"/>
      <c r="NTC3422" s="917"/>
      <c r="NTD3422" s="917"/>
      <c r="NTE3422" s="917"/>
      <c r="NTF3422" s="917"/>
      <c r="NTG3422" s="917"/>
      <c r="NTH3422" s="917"/>
      <c r="NTI3422" s="917"/>
      <c r="NTJ3422" s="917"/>
      <c r="NTK3422" s="917"/>
      <c r="NTL3422" s="917"/>
      <c r="NTM3422" s="917"/>
      <c r="NTN3422" s="917"/>
      <c r="NTO3422" s="917"/>
      <c r="NTP3422" s="917"/>
      <c r="NTQ3422" s="917"/>
      <c r="NTR3422" s="917"/>
      <c r="NTS3422" s="917"/>
      <c r="NTT3422" s="917"/>
      <c r="NTU3422" s="917" t="s">
        <v>78</v>
      </c>
      <c r="NTV3422" s="917"/>
      <c r="NTW3422" s="917"/>
      <c r="NTX3422" s="917"/>
      <c r="NTY3422" s="917"/>
      <c r="NTZ3422" s="917"/>
      <c r="NUA3422" s="917"/>
      <c r="NUB3422" s="917"/>
      <c r="NUC3422" s="917"/>
      <c r="NUD3422" s="917"/>
      <c r="NUE3422" s="917"/>
      <c r="NUF3422" s="917"/>
      <c r="NUG3422" s="917"/>
      <c r="NUH3422" s="917"/>
      <c r="NUI3422" s="917"/>
      <c r="NUJ3422" s="917"/>
      <c r="NUK3422" s="917"/>
      <c r="NUL3422" s="917"/>
      <c r="NUM3422" s="917"/>
      <c r="NUN3422" s="917"/>
      <c r="NUO3422" s="917"/>
      <c r="NUP3422" s="917"/>
      <c r="NUQ3422" s="917"/>
      <c r="NUR3422" s="917"/>
      <c r="NUS3422" s="917"/>
      <c r="NUT3422" s="917"/>
      <c r="NUU3422" s="917"/>
      <c r="NUV3422" s="917"/>
      <c r="NUW3422" s="917"/>
      <c r="NUX3422" s="917"/>
      <c r="NUY3422" s="917"/>
      <c r="NUZ3422" s="917"/>
      <c r="NVA3422" s="917" t="s">
        <v>78</v>
      </c>
      <c r="NVB3422" s="917"/>
      <c r="NVC3422" s="917"/>
      <c r="NVD3422" s="917"/>
      <c r="NVE3422" s="917"/>
      <c r="NVF3422" s="917"/>
      <c r="NVG3422" s="917"/>
      <c r="NVH3422" s="917"/>
      <c r="NVI3422" s="917"/>
      <c r="NVJ3422" s="917"/>
      <c r="NVK3422" s="917"/>
      <c r="NVL3422" s="917"/>
      <c r="NVM3422" s="917"/>
      <c r="NVN3422" s="917"/>
      <c r="NVO3422" s="917"/>
      <c r="NVP3422" s="917"/>
      <c r="NVQ3422" s="917"/>
      <c r="NVR3422" s="917"/>
      <c r="NVS3422" s="917"/>
      <c r="NVT3422" s="917"/>
      <c r="NVU3422" s="917"/>
      <c r="NVV3422" s="917"/>
      <c r="NVW3422" s="917"/>
      <c r="NVX3422" s="917"/>
      <c r="NVY3422" s="917"/>
      <c r="NVZ3422" s="917"/>
      <c r="NWA3422" s="917"/>
      <c r="NWB3422" s="917"/>
      <c r="NWC3422" s="917"/>
      <c r="NWD3422" s="917"/>
      <c r="NWE3422" s="917"/>
      <c r="NWF3422" s="917"/>
      <c r="NWG3422" s="917" t="s">
        <v>78</v>
      </c>
      <c r="NWH3422" s="917"/>
      <c r="NWI3422" s="917"/>
      <c r="NWJ3422" s="917"/>
      <c r="NWK3422" s="917"/>
      <c r="NWL3422" s="917"/>
      <c r="NWM3422" s="917"/>
      <c r="NWN3422" s="917"/>
      <c r="NWO3422" s="917"/>
      <c r="NWP3422" s="917"/>
      <c r="NWQ3422" s="917"/>
      <c r="NWR3422" s="917"/>
      <c r="NWS3422" s="917"/>
      <c r="NWT3422" s="917"/>
      <c r="NWU3422" s="917"/>
      <c r="NWV3422" s="917"/>
      <c r="NWW3422" s="917"/>
      <c r="NWX3422" s="917"/>
      <c r="NWY3422" s="917"/>
      <c r="NWZ3422" s="917"/>
      <c r="NXA3422" s="917"/>
      <c r="NXB3422" s="917"/>
      <c r="NXC3422" s="917"/>
      <c r="NXD3422" s="917"/>
      <c r="NXE3422" s="917"/>
      <c r="NXF3422" s="917"/>
      <c r="NXG3422" s="917"/>
      <c r="NXH3422" s="917"/>
      <c r="NXI3422" s="917"/>
      <c r="NXJ3422" s="917"/>
      <c r="NXK3422" s="917"/>
      <c r="NXL3422" s="917"/>
      <c r="NXM3422" s="917" t="s">
        <v>78</v>
      </c>
      <c r="NXN3422" s="917"/>
      <c r="NXO3422" s="917"/>
      <c r="NXP3422" s="917"/>
      <c r="NXQ3422" s="917"/>
      <c r="NXR3422" s="917"/>
      <c r="NXS3422" s="917"/>
      <c r="NXT3422" s="917"/>
      <c r="NXU3422" s="917"/>
      <c r="NXV3422" s="917"/>
      <c r="NXW3422" s="917"/>
      <c r="NXX3422" s="917"/>
      <c r="NXY3422" s="917"/>
      <c r="NXZ3422" s="917"/>
      <c r="NYA3422" s="917"/>
      <c r="NYB3422" s="917"/>
      <c r="NYC3422" s="917"/>
      <c r="NYD3422" s="917"/>
      <c r="NYE3422" s="917"/>
      <c r="NYF3422" s="917"/>
      <c r="NYG3422" s="917"/>
      <c r="NYH3422" s="917"/>
      <c r="NYI3422" s="917"/>
      <c r="NYJ3422" s="917"/>
      <c r="NYK3422" s="917"/>
      <c r="NYL3422" s="917"/>
      <c r="NYM3422" s="917"/>
      <c r="NYN3422" s="917"/>
      <c r="NYO3422" s="917"/>
      <c r="NYP3422" s="917"/>
      <c r="NYQ3422" s="917"/>
      <c r="NYR3422" s="917"/>
      <c r="NYS3422" s="917" t="s">
        <v>78</v>
      </c>
      <c r="NYT3422" s="917"/>
      <c r="NYU3422" s="917"/>
      <c r="NYV3422" s="917"/>
      <c r="NYW3422" s="917"/>
      <c r="NYX3422" s="917"/>
      <c r="NYY3422" s="917"/>
      <c r="NYZ3422" s="917"/>
      <c r="NZA3422" s="917"/>
      <c r="NZB3422" s="917"/>
      <c r="NZC3422" s="917"/>
      <c r="NZD3422" s="917"/>
      <c r="NZE3422" s="917"/>
      <c r="NZF3422" s="917"/>
      <c r="NZG3422" s="917"/>
      <c r="NZH3422" s="917"/>
      <c r="NZI3422" s="917"/>
      <c r="NZJ3422" s="917"/>
      <c r="NZK3422" s="917"/>
      <c r="NZL3422" s="917"/>
      <c r="NZM3422" s="917"/>
      <c r="NZN3422" s="917"/>
      <c r="NZO3422" s="917"/>
      <c r="NZP3422" s="917"/>
      <c r="NZQ3422" s="917"/>
      <c r="NZR3422" s="917"/>
      <c r="NZS3422" s="917"/>
      <c r="NZT3422" s="917"/>
      <c r="NZU3422" s="917"/>
      <c r="NZV3422" s="917"/>
      <c r="NZW3422" s="917"/>
      <c r="NZX3422" s="917"/>
      <c r="NZY3422" s="917" t="s">
        <v>78</v>
      </c>
      <c r="NZZ3422" s="917"/>
      <c r="OAA3422" s="917"/>
      <c r="OAB3422" s="917"/>
      <c r="OAC3422" s="917"/>
      <c r="OAD3422" s="917"/>
      <c r="OAE3422" s="917"/>
      <c r="OAF3422" s="917"/>
      <c r="OAG3422" s="917"/>
      <c r="OAH3422" s="917"/>
      <c r="OAI3422" s="917"/>
      <c r="OAJ3422" s="917"/>
      <c r="OAK3422" s="917"/>
      <c r="OAL3422" s="917"/>
      <c r="OAM3422" s="917"/>
      <c r="OAN3422" s="917"/>
      <c r="OAO3422" s="917"/>
      <c r="OAP3422" s="917"/>
      <c r="OAQ3422" s="917"/>
      <c r="OAR3422" s="917"/>
      <c r="OAS3422" s="917"/>
      <c r="OAT3422" s="917"/>
      <c r="OAU3422" s="917"/>
      <c r="OAV3422" s="917"/>
      <c r="OAW3422" s="917"/>
      <c r="OAX3422" s="917"/>
      <c r="OAY3422" s="917"/>
      <c r="OAZ3422" s="917"/>
      <c r="OBA3422" s="917"/>
      <c r="OBB3422" s="917"/>
      <c r="OBC3422" s="917"/>
      <c r="OBD3422" s="917"/>
      <c r="OBE3422" s="917" t="s">
        <v>78</v>
      </c>
      <c r="OBF3422" s="917"/>
      <c r="OBG3422" s="917"/>
      <c r="OBH3422" s="917"/>
      <c r="OBI3422" s="917"/>
      <c r="OBJ3422" s="917"/>
      <c r="OBK3422" s="917"/>
      <c r="OBL3422" s="917"/>
      <c r="OBM3422" s="917"/>
      <c r="OBN3422" s="917"/>
      <c r="OBO3422" s="917"/>
      <c r="OBP3422" s="917"/>
      <c r="OBQ3422" s="917"/>
      <c r="OBR3422" s="917"/>
      <c r="OBS3422" s="917"/>
      <c r="OBT3422" s="917"/>
      <c r="OBU3422" s="917"/>
      <c r="OBV3422" s="917"/>
      <c r="OBW3422" s="917"/>
      <c r="OBX3422" s="917"/>
      <c r="OBY3422" s="917"/>
      <c r="OBZ3422" s="917"/>
      <c r="OCA3422" s="917"/>
      <c r="OCB3422" s="917"/>
      <c r="OCC3422" s="917"/>
      <c r="OCD3422" s="917"/>
      <c r="OCE3422" s="917"/>
      <c r="OCF3422" s="917"/>
      <c r="OCG3422" s="917"/>
      <c r="OCH3422" s="917"/>
      <c r="OCI3422" s="917"/>
      <c r="OCJ3422" s="917"/>
      <c r="OCK3422" s="917" t="s">
        <v>78</v>
      </c>
      <c r="OCL3422" s="917"/>
      <c r="OCM3422" s="917"/>
      <c r="OCN3422" s="917"/>
      <c r="OCO3422" s="917"/>
      <c r="OCP3422" s="917"/>
      <c r="OCQ3422" s="917"/>
      <c r="OCR3422" s="917"/>
      <c r="OCS3422" s="917"/>
      <c r="OCT3422" s="917"/>
      <c r="OCU3422" s="917"/>
      <c r="OCV3422" s="917"/>
      <c r="OCW3422" s="917"/>
      <c r="OCX3422" s="917"/>
      <c r="OCY3422" s="917"/>
      <c r="OCZ3422" s="917"/>
      <c r="ODA3422" s="917"/>
      <c r="ODB3422" s="917"/>
      <c r="ODC3422" s="917"/>
      <c r="ODD3422" s="917"/>
      <c r="ODE3422" s="917"/>
      <c r="ODF3422" s="917"/>
      <c r="ODG3422" s="917"/>
      <c r="ODH3422" s="917"/>
      <c r="ODI3422" s="917"/>
      <c r="ODJ3422" s="917"/>
      <c r="ODK3422" s="917"/>
      <c r="ODL3422" s="917"/>
      <c r="ODM3422" s="917"/>
      <c r="ODN3422" s="917"/>
      <c r="ODO3422" s="917"/>
      <c r="ODP3422" s="917"/>
      <c r="ODQ3422" s="917" t="s">
        <v>78</v>
      </c>
      <c r="ODR3422" s="917"/>
      <c r="ODS3422" s="917"/>
      <c r="ODT3422" s="917"/>
      <c r="ODU3422" s="917"/>
      <c r="ODV3422" s="917"/>
      <c r="ODW3422" s="917"/>
      <c r="ODX3422" s="917"/>
      <c r="ODY3422" s="917"/>
      <c r="ODZ3422" s="917"/>
      <c r="OEA3422" s="917"/>
      <c r="OEB3422" s="917"/>
      <c r="OEC3422" s="917"/>
      <c r="OED3422" s="917"/>
      <c r="OEE3422" s="917"/>
      <c r="OEF3422" s="917"/>
      <c r="OEG3422" s="917"/>
      <c r="OEH3422" s="917"/>
      <c r="OEI3422" s="917"/>
      <c r="OEJ3422" s="917"/>
      <c r="OEK3422" s="917"/>
      <c r="OEL3422" s="917"/>
      <c r="OEM3422" s="917"/>
      <c r="OEN3422" s="917"/>
      <c r="OEO3422" s="917"/>
      <c r="OEP3422" s="917"/>
      <c r="OEQ3422" s="917"/>
      <c r="OER3422" s="917"/>
      <c r="OES3422" s="917"/>
      <c r="OET3422" s="917"/>
      <c r="OEU3422" s="917"/>
      <c r="OEV3422" s="917"/>
      <c r="OEW3422" s="917" t="s">
        <v>78</v>
      </c>
      <c r="OEX3422" s="917"/>
      <c r="OEY3422" s="917"/>
      <c r="OEZ3422" s="917"/>
      <c r="OFA3422" s="917"/>
      <c r="OFB3422" s="917"/>
      <c r="OFC3422" s="917"/>
      <c r="OFD3422" s="917"/>
      <c r="OFE3422" s="917"/>
      <c r="OFF3422" s="917"/>
      <c r="OFG3422" s="917"/>
      <c r="OFH3422" s="917"/>
      <c r="OFI3422" s="917"/>
      <c r="OFJ3422" s="917"/>
      <c r="OFK3422" s="917"/>
      <c r="OFL3422" s="917"/>
      <c r="OFM3422" s="917"/>
      <c r="OFN3422" s="917"/>
      <c r="OFO3422" s="917"/>
      <c r="OFP3422" s="917"/>
      <c r="OFQ3422" s="917"/>
      <c r="OFR3422" s="917"/>
      <c r="OFS3422" s="917"/>
      <c r="OFT3422" s="917"/>
      <c r="OFU3422" s="917"/>
      <c r="OFV3422" s="917"/>
      <c r="OFW3422" s="917"/>
      <c r="OFX3422" s="917"/>
      <c r="OFY3422" s="917"/>
      <c r="OFZ3422" s="917"/>
      <c r="OGA3422" s="917"/>
      <c r="OGB3422" s="917"/>
      <c r="OGC3422" s="917" t="s">
        <v>78</v>
      </c>
      <c r="OGD3422" s="917"/>
      <c r="OGE3422" s="917"/>
      <c r="OGF3422" s="917"/>
      <c r="OGG3422" s="917"/>
      <c r="OGH3422" s="917"/>
      <c r="OGI3422" s="917"/>
      <c r="OGJ3422" s="917"/>
      <c r="OGK3422" s="917"/>
      <c r="OGL3422" s="917"/>
      <c r="OGM3422" s="917"/>
      <c r="OGN3422" s="917"/>
      <c r="OGO3422" s="917"/>
      <c r="OGP3422" s="917"/>
      <c r="OGQ3422" s="917"/>
      <c r="OGR3422" s="917"/>
      <c r="OGS3422" s="917"/>
      <c r="OGT3422" s="917"/>
      <c r="OGU3422" s="917"/>
      <c r="OGV3422" s="917"/>
      <c r="OGW3422" s="917"/>
      <c r="OGX3422" s="917"/>
      <c r="OGY3422" s="917"/>
      <c r="OGZ3422" s="917"/>
      <c r="OHA3422" s="917"/>
      <c r="OHB3422" s="917"/>
      <c r="OHC3422" s="917"/>
      <c r="OHD3422" s="917"/>
      <c r="OHE3422" s="917"/>
      <c r="OHF3422" s="917"/>
      <c r="OHG3422" s="917"/>
      <c r="OHH3422" s="917"/>
      <c r="OHI3422" s="917" t="s">
        <v>78</v>
      </c>
      <c r="OHJ3422" s="917"/>
      <c r="OHK3422" s="917"/>
      <c r="OHL3422" s="917"/>
      <c r="OHM3422" s="917"/>
      <c r="OHN3422" s="917"/>
      <c r="OHO3422" s="917"/>
      <c r="OHP3422" s="917"/>
      <c r="OHQ3422" s="917"/>
      <c r="OHR3422" s="917"/>
      <c r="OHS3422" s="917"/>
      <c r="OHT3422" s="917"/>
      <c r="OHU3422" s="917"/>
      <c r="OHV3422" s="917"/>
      <c r="OHW3422" s="917"/>
      <c r="OHX3422" s="917"/>
      <c r="OHY3422" s="917"/>
      <c r="OHZ3422" s="917"/>
      <c r="OIA3422" s="917"/>
      <c r="OIB3422" s="917"/>
      <c r="OIC3422" s="917"/>
      <c r="OID3422" s="917"/>
      <c r="OIE3422" s="917"/>
      <c r="OIF3422" s="917"/>
      <c r="OIG3422" s="917"/>
      <c r="OIH3422" s="917"/>
      <c r="OII3422" s="917"/>
      <c r="OIJ3422" s="917"/>
      <c r="OIK3422" s="917"/>
      <c r="OIL3422" s="917"/>
      <c r="OIM3422" s="917"/>
      <c r="OIN3422" s="917"/>
      <c r="OIO3422" s="917" t="s">
        <v>78</v>
      </c>
      <c r="OIP3422" s="917"/>
      <c r="OIQ3422" s="917"/>
      <c r="OIR3422" s="917"/>
      <c r="OIS3422" s="917"/>
      <c r="OIT3422" s="917"/>
      <c r="OIU3422" s="917"/>
      <c r="OIV3422" s="917"/>
      <c r="OIW3422" s="917"/>
      <c r="OIX3422" s="917"/>
      <c r="OIY3422" s="917"/>
      <c r="OIZ3422" s="917"/>
      <c r="OJA3422" s="917"/>
      <c r="OJB3422" s="917"/>
      <c r="OJC3422" s="917"/>
      <c r="OJD3422" s="917"/>
      <c r="OJE3422" s="917"/>
      <c r="OJF3422" s="917"/>
      <c r="OJG3422" s="917"/>
      <c r="OJH3422" s="917"/>
      <c r="OJI3422" s="917"/>
      <c r="OJJ3422" s="917"/>
      <c r="OJK3422" s="917"/>
      <c r="OJL3422" s="917"/>
      <c r="OJM3422" s="917"/>
      <c r="OJN3422" s="917"/>
      <c r="OJO3422" s="917"/>
      <c r="OJP3422" s="917"/>
      <c r="OJQ3422" s="917"/>
      <c r="OJR3422" s="917"/>
      <c r="OJS3422" s="917"/>
      <c r="OJT3422" s="917"/>
      <c r="OJU3422" s="917" t="s">
        <v>78</v>
      </c>
      <c r="OJV3422" s="917"/>
      <c r="OJW3422" s="917"/>
      <c r="OJX3422" s="917"/>
      <c r="OJY3422" s="917"/>
      <c r="OJZ3422" s="917"/>
      <c r="OKA3422" s="917"/>
      <c r="OKB3422" s="917"/>
      <c r="OKC3422" s="917"/>
      <c r="OKD3422" s="917"/>
      <c r="OKE3422" s="917"/>
      <c r="OKF3422" s="917"/>
      <c r="OKG3422" s="917"/>
      <c r="OKH3422" s="917"/>
      <c r="OKI3422" s="917"/>
      <c r="OKJ3422" s="917"/>
      <c r="OKK3422" s="917"/>
      <c r="OKL3422" s="917"/>
      <c r="OKM3422" s="917"/>
      <c r="OKN3422" s="917"/>
      <c r="OKO3422" s="917"/>
      <c r="OKP3422" s="917"/>
      <c r="OKQ3422" s="917"/>
      <c r="OKR3422" s="917"/>
      <c r="OKS3422" s="917"/>
      <c r="OKT3422" s="917"/>
      <c r="OKU3422" s="917"/>
      <c r="OKV3422" s="917"/>
      <c r="OKW3422" s="917"/>
      <c r="OKX3422" s="917"/>
      <c r="OKY3422" s="917"/>
      <c r="OKZ3422" s="917"/>
      <c r="OLA3422" s="917" t="s">
        <v>78</v>
      </c>
      <c r="OLB3422" s="917"/>
      <c r="OLC3422" s="917"/>
      <c r="OLD3422" s="917"/>
      <c r="OLE3422" s="917"/>
      <c r="OLF3422" s="917"/>
      <c r="OLG3422" s="917"/>
      <c r="OLH3422" s="917"/>
      <c r="OLI3422" s="917"/>
      <c r="OLJ3422" s="917"/>
      <c r="OLK3422" s="917"/>
      <c r="OLL3422" s="917"/>
      <c r="OLM3422" s="917"/>
      <c r="OLN3422" s="917"/>
      <c r="OLO3422" s="917"/>
      <c r="OLP3422" s="917"/>
      <c r="OLQ3422" s="917"/>
      <c r="OLR3422" s="917"/>
      <c r="OLS3422" s="917"/>
      <c r="OLT3422" s="917"/>
      <c r="OLU3422" s="917"/>
      <c r="OLV3422" s="917"/>
      <c r="OLW3422" s="917"/>
      <c r="OLX3422" s="917"/>
      <c r="OLY3422" s="917"/>
      <c r="OLZ3422" s="917"/>
      <c r="OMA3422" s="917"/>
      <c r="OMB3422" s="917"/>
      <c r="OMC3422" s="917"/>
      <c r="OMD3422" s="917"/>
      <c r="OME3422" s="917"/>
      <c r="OMF3422" s="917"/>
      <c r="OMG3422" s="917" t="s">
        <v>78</v>
      </c>
      <c r="OMH3422" s="917"/>
      <c r="OMI3422" s="917"/>
      <c r="OMJ3422" s="917"/>
      <c r="OMK3422" s="917"/>
      <c r="OML3422" s="917"/>
      <c r="OMM3422" s="917"/>
      <c r="OMN3422" s="917"/>
      <c r="OMO3422" s="917"/>
      <c r="OMP3422" s="917"/>
      <c r="OMQ3422" s="917"/>
      <c r="OMR3422" s="917"/>
      <c r="OMS3422" s="917"/>
      <c r="OMT3422" s="917"/>
      <c r="OMU3422" s="917"/>
      <c r="OMV3422" s="917"/>
      <c r="OMW3422" s="917"/>
      <c r="OMX3422" s="917"/>
      <c r="OMY3422" s="917"/>
      <c r="OMZ3422" s="917"/>
      <c r="ONA3422" s="917"/>
      <c r="ONB3422" s="917"/>
      <c r="ONC3422" s="917"/>
      <c r="OND3422" s="917"/>
      <c r="ONE3422" s="917"/>
      <c r="ONF3422" s="917"/>
      <c r="ONG3422" s="917"/>
      <c r="ONH3422" s="917"/>
      <c r="ONI3422" s="917"/>
      <c r="ONJ3422" s="917"/>
      <c r="ONK3422" s="917"/>
      <c r="ONL3422" s="917"/>
      <c r="ONM3422" s="917" t="s">
        <v>78</v>
      </c>
      <c r="ONN3422" s="917"/>
      <c r="ONO3422" s="917"/>
      <c r="ONP3422" s="917"/>
      <c r="ONQ3422" s="917"/>
      <c r="ONR3422" s="917"/>
      <c r="ONS3422" s="917"/>
      <c r="ONT3422" s="917"/>
      <c r="ONU3422" s="917"/>
      <c r="ONV3422" s="917"/>
      <c r="ONW3422" s="917"/>
      <c r="ONX3422" s="917"/>
      <c r="ONY3422" s="917"/>
      <c r="ONZ3422" s="917"/>
      <c r="OOA3422" s="917"/>
      <c r="OOB3422" s="917"/>
      <c r="OOC3422" s="917"/>
      <c r="OOD3422" s="917"/>
      <c r="OOE3422" s="917"/>
      <c r="OOF3422" s="917"/>
      <c r="OOG3422" s="917"/>
      <c r="OOH3422" s="917"/>
      <c r="OOI3422" s="917"/>
      <c r="OOJ3422" s="917"/>
      <c r="OOK3422" s="917"/>
      <c r="OOL3422" s="917"/>
      <c r="OOM3422" s="917"/>
      <c r="OON3422" s="917"/>
      <c r="OOO3422" s="917"/>
      <c r="OOP3422" s="917"/>
      <c r="OOQ3422" s="917"/>
      <c r="OOR3422" s="917"/>
      <c r="OOS3422" s="917" t="s">
        <v>78</v>
      </c>
      <c r="OOT3422" s="917"/>
      <c r="OOU3422" s="917"/>
      <c r="OOV3422" s="917"/>
      <c r="OOW3422" s="917"/>
      <c r="OOX3422" s="917"/>
      <c r="OOY3422" s="917"/>
      <c r="OOZ3422" s="917"/>
      <c r="OPA3422" s="917"/>
      <c r="OPB3422" s="917"/>
      <c r="OPC3422" s="917"/>
      <c r="OPD3422" s="917"/>
      <c r="OPE3422" s="917"/>
      <c r="OPF3422" s="917"/>
      <c r="OPG3422" s="917"/>
      <c r="OPH3422" s="917"/>
      <c r="OPI3422" s="917"/>
      <c r="OPJ3422" s="917"/>
      <c r="OPK3422" s="917"/>
      <c r="OPL3422" s="917"/>
      <c r="OPM3422" s="917"/>
      <c r="OPN3422" s="917"/>
      <c r="OPO3422" s="917"/>
      <c r="OPP3422" s="917"/>
      <c r="OPQ3422" s="917"/>
      <c r="OPR3422" s="917"/>
      <c r="OPS3422" s="917"/>
      <c r="OPT3422" s="917"/>
      <c r="OPU3422" s="917"/>
      <c r="OPV3422" s="917"/>
      <c r="OPW3422" s="917"/>
      <c r="OPX3422" s="917"/>
      <c r="OPY3422" s="917" t="s">
        <v>78</v>
      </c>
      <c r="OPZ3422" s="917"/>
      <c r="OQA3422" s="917"/>
      <c r="OQB3422" s="917"/>
      <c r="OQC3422" s="917"/>
      <c r="OQD3422" s="917"/>
      <c r="OQE3422" s="917"/>
      <c r="OQF3422" s="917"/>
      <c r="OQG3422" s="917"/>
      <c r="OQH3422" s="917"/>
      <c r="OQI3422" s="917"/>
      <c r="OQJ3422" s="917"/>
      <c r="OQK3422" s="917"/>
      <c r="OQL3422" s="917"/>
      <c r="OQM3422" s="917"/>
      <c r="OQN3422" s="917"/>
      <c r="OQO3422" s="917"/>
      <c r="OQP3422" s="917"/>
      <c r="OQQ3422" s="917"/>
      <c r="OQR3422" s="917"/>
      <c r="OQS3422" s="917"/>
      <c r="OQT3422" s="917"/>
      <c r="OQU3422" s="917"/>
      <c r="OQV3422" s="917"/>
      <c r="OQW3422" s="917"/>
      <c r="OQX3422" s="917"/>
      <c r="OQY3422" s="917"/>
      <c r="OQZ3422" s="917"/>
      <c r="ORA3422" s="917"/>
      <c r="ORB3422" s="917"/>
      <c r="ORC3422" s="917"/>
      <c r="ORD3422" s="917"/>
      <c r="ORE3422" s="917" t="s">
        <v>78</v>
      </c>
      <c r="ORF3422" s="917"/>
      <c r="ORG3422" s="917"/>
      <c r="ORH3422" s="917"/>
      <c r="ORI3422" s="917"/>
      <c r="ORJ3422" s="917"/>
      <c r="ORK3422" s="917"/>
      <c r="ORL3422" s="917"/>
      <c r="ORM3422" s="917"/>
      <c r="ORN3422" s="917"/>
      <c r="ORO3422" s="917"/>
      <c r="ORP3422" s="917"/>
      <c r="ORQ3422" s="917"/>
      <c r="ORR3422" s="917"/>
      <c r="ORS3422" s="917"/>
      <c r="ORT3422" s="917"/>
      <c r="ORU3422" s="917"/>
      <c r="ORV3422" s="917"/>
      <c r="ORW3422" s="917"/>
      <c r="ORX3422" s="917"/>
      <c r="ORY3422" s="917"/>
      <c r="ORZ3422" s="917"/>
      <c r="OSA3422" s="917"/>
      <c r="OSB3422" s="917"/>
      <c r="OSC3422" s="917"/>
      <c r="OSD3422" s="917"/>
      <c r="OSE3422" s="917"/>
      <c r="OSF3422" s="917"/>
      <c r="OSG3422" s="917"/>
      <c r="OSH3422" s="917"/>
      <c r="OSI3422" s="917"/>
      <c r="OSJ3422" s="917"/>
      <c r="OSK3422" s="917" t="s">
        <v>78</v>
      </c>
      <c r="OSL3422" s="917"/>
      <c r="OSM3422" s="917"/>
      <c r="OSN3422" s="917"/>
      <c r="OSO3422" s="917"/>
      <c r="OSP3422" s="917"/>
      <c r="OSQ3422" s="917"/>
      <c r="OSR3422" s="917"/>
      <c r="OSS3422" s="917"/>
      <c r="OST3422" s="917"/>
      <c r="OSU3422" s="917"/>
      <c r="OSV3422" s="917"/>
      <c r="OSW3422" s="917"/>
      <c r="OSX3422" s="917"/>
      <c r="OSY3422" s="917"/>
      <c r="OSZ3422" s="917"/>
      <c r="OTA3422" s="917"/>
      <c r="OTB3422" s="917"/>
      <c r="OTC3422" s="917"/>
      <c r="OTD3422" s="917"/>
      <c r="OTE3422" s="917"/>
      <c r="OTF3422" s="917"/>
      <c r="OTG3422" s="917"/>
      <c r="OTH3422" s="917"/>
      <c r="OTI3422" s="917"/>
      <c r="OTJ3422" s="917"/>
      <c r="OTK3422" s="917"/>
      <c r="OTL3422" s="917"/>
      <c r="OTM3422" s="917"/>
      <c r="OTN3422" s="917"/>
      <c r="OTO3422" s="917"/>
      <c r="OTP3422" s="917"/>
      <c r="OTQ3422" s="917" t="s">
        <v>78</v>
      </c>
      <c r="OTR3422" s="917"/>
      <c r="OTS3422" s="917"/>
      <c r="OTT3422" s="917"/>
      <c r="OTU3422" s="917"/>
      <c r="OTV3422" s="917"/>
      <c r="OTW3422" s="917"/>
      <c r="OTX3422" s="917"/>
      <c r="OTY3422" s="917"/>
      <c r="OTZ3422" s="917"/>
      <c r="OUA3422" s="917"/>
      <c r="OUB3422" s="917"/>
      <c r="OUC3422" s="917"/>
      <c r="OUD3422" s="917"/>
      <c r="OUE3422" s="917"/>
      <c r="OUF3422" s="917"/>
      <c r="OUG3422" s="917"/>
      <c r="OUH3422" s="917"/>
      <c r="OUI3422" s="917"/>
      <c r="OUJ3422" s="917"/>
      <c r="OUK3422" s="917"/>
      <c r="OUL3422" s="917"/>
      <c r="OUM3422" s="917"/>
      <c r="OUN3422" s="917"/>
      <c r="OUO3422" s="917"/>
      <c r="OUP3422" s="917"/>
      <c r="OUQ3422" s="917"/>
      <c r="OUR3422" s="917"/>
      <c r="OUS3422" s="917"/>
      <c r="OUT3422" s="917"/>
      <c r="OUU3422" s="917"/>
      <c r="OUV3422" s="917"/>
      <c r="OUW3422" s="917" t="s">
        <v>78</v>
      </c>
      <c r="OUX3422" s="917"/>
      <c r="OUY3422" s="917"/>
      <c r="OUZ3422" s="917"/>
      <c r="OVA3422" s="917"/>
      <c r="OVB3422" s="917"/>
      <c r="OVC3422" s="917"/>
      <c r="OVD3422" s="917"/>
      <c r="OVE3422" s="917"/>
      <c r="OVF3422" s="917"/>
      <c r="OVG3422" s="917"/>
      <c r="OVH3422" s="917"/>
      <c r="OVI3422" s="917"/>
      <c r="OVJ3422" s="917"/>
      <c r="OVK3422" s="917"/>
      <c r="OVL3422" s="917"/>
      <c r="OVM3422" s="917"/>
      <c r="OVN3422" s="917"/>
      <c r="OVO3422" s="917"/>
      <c r="OVP3422" s="917"/>
      <c r="OVQ3422" s="917"/>
      <c r="OVR3422" s="917"/>
      <c r="OVS3422" s="917"/>
      <c r="OVT3422" s="917"/>
      <c r="OVU3422" s="917"/>
      <c r="OVV3422" s="917"/>
      <c r="OVW3422" s="917"/>
      <c r="OVX3422" s="917"/>
      <c r="OVY3422" s="917"/>
      <c r="OVZ3422" s="917"/>
      <c r="OWA3422" s="917"/>
      <c r="OWB3422" s="917"/>
      <c r="OWC3422" s="917" t="s">
        <v>78</v>
      </c>
      <c r="OWD3422" s="917"/>
      <c r="OWE3422" s="917"/>
      <c r="OWF3422" s="917"/>
      <c r="OWG3422" s="917"/>
      <c r="OWH3422" s="917"/>
      <c r="OWI3422" s="917"/>
      <c r="OWJ3422" s="917"/>
      <c r="OWK3422" s="917"/>
      <c r="OWL3422" s="917"/>
      <c r="OWM3422" s="917"/>
      <c r="OWN3422" s="917"/>
      <c r="OWO3422" s="917"/>
      <c r="OWP3422" s="917"/>
      <c r="OWQ3422" s="917"/>
      <c r="OWR3422" s="917"/>
      <c r="OWS3422" s="917"/>
      <c r="OWT3422" s="917"/>
      <c r="OWU3422" s="917"/>
      <c r="OWV3422" s="917"/>
      <c r="OWW3422" s="917"/>
      <c r="OWX3422" s="917"/>
      <c r="OWY3422" s="917"/>
      <c r="OWZ3422" s="917"/>
      <c r="OXA3422" s="917"/>
      <c r="OXB3422" s="917"/>
      <c r="OXC3422" s="917"/>
      <c r="OXD3422" s="917"/>
      <c r="OXE3422" s="917"/>
      <c r="OXF3422" s="917"/>
      <c r="OXG3422" s="917"/>
      <c r="OXH3422" s="917"/>
      <c r="OXI3422" s="917" t="s">
        <v>78</v>
      </c>
      <c r="OXJ3422" s="917"/>
      <c r="OXK3422" s="917"/>
      <c r="OXL3422" s="917"/>
      <c r="OXM3422" s="917"/>
      <c r="OXN3422" s="917"/>
      <c r="OXO3422" s="917"/>
      <c r="OXP3422" s="917"/>
      <c r="OXQ3422" s="917"/>
      <c r="OXR3422" s="917"/>
      <c r="OXS3422" s="917"/>
      <c r="OXT3422" s="917"/>
      <c r="OXU3422" s="917"/>
      <c r="OXV3422" s="917"/>
      <c r="OXW3422" s="917"/>
      <c r="OXX3422" s="917"/>
      <c r="OXY3422" s="917"/>
      <c r="OXZ3422" s="917"/>
      <c r="OYA3422" s="917"/>
      <c r="OYB3422" s="917"/>
      <c r="OYC3422" s="917"/>
      <c r="OYD3422" s="917"/>
      <c r="OYE3422" s="917"/>
      <c r="OYF3422" s="917"/>
      <c r="OYG3422" s="917"/>
      <c r="OYH3422" s="917"/>
      <c r="OYI3422" s="917"/>
      <c r="OYJ3422" s="917"/>
      <c r="OYK3422" s="917"/>
      <c r="OYL3422" s="917"/>
      <c r="OYM3422" s="917"/>
      <c r="OYN3422" s="917"/>
      <c r="OYO3422" s="917" t="s">
        <v>78</v>
      </c>
      <c r="OYP3422" s="917"/>
      <c r="OYQ3422" s="917"/>
      <c r="OYR3422" s="917"/>
      <c r="OYS3422" s="917"/>
      <c r="OYT3422" s="917"/>
      <c r="OYU3422" s="917"/>
      <c r="OYV3422" s="917"/>
      <c r="OYW3422" s="917"/>
      <c r="OYX3422" s="917"/>
      <c r="OYY3422" s="917"/>
      <c r="OYZ3422" s="917"/>
      <c r="OZA3422" s="917"/>
      <c r="OZB3422" s="917"/>
      <c r="OZC3422" s="917"/>
      <c r="OZD3422" s="917"/>
      <c r="OZE3422" s="917"/>
      <c r="OZF3422" s="917"/>
      <c r="OZG3422" s="917"/>
      <c r="OZH3422" s="917"/>
      <c r="OZI3422" s="917"/>
      <c r="OZJ3422" s="917"/>
      <c r="OZK3422" s="917"/>
      <c r="OZL3422" s="917"/>
      <c r="OZM3422" s="917"/>
      <c r="OZN3422" s="917"/>
      <c r="OZO3422" s="917"/>
      <c r="OZP3422" s="917"/>
      <c r="OZQ3422" s="917"/>
      <c r="OZR3422" s="917"/>
      <c r="OZS3422" s="917"/>
      <c r="OZT3422" s="917"/>
      <c r="OZU3422" s="917" t="s">
        <v>78</v>
      </c>
      <c r="OZV3422" s="917"/>
      <c r="OZW3422" s="917"/>
      <c r="OZX3422" s="917"/>
      <c r="OZY3422" s="917"/>
      <c r="OZZ3422" s="917"/>
      <c r="PAA3422" s="917"/>
      <c r="PAB3422" s="917"/>
      <c r="PAC3422" s="917"/>
      <c r="PAD3422" s="917"/>
      <c r="PAE3422" s="917"/>
      <c r="PAF3422" s="917"/>
      <c r="PAG3422" s="917"/>
      <c r="PAH3422" s="917"/>
      <c r="PAI3422" s="917"/>
      <c r="PAJ3422" s="917"/>
      <c r="PAK3422" s="917"/>
      <c r="PAL3422" s="917"/>
      <c r="PAM3422" s="917"/>
      <c r="PAN3422" s="917"/>
      <c r="PAO3422" s="917"/>
      <c r="PAP3422" s="917"/>
      <c r="PAQ3422" s="917"/>
      <c r="PAR3422" s="917"/>
      <c r="PAS3422" s="917"/>
      <c r="PAT3422" s="917"/>
      <c r="PAU3422" s="917"/>
      <c r="PAV3422" s="917"/>
      <c r="PAW3422" s="917"/>
      <c r="PAX3422" s="917"/>
      <c r="PAY3422" s="917"/>
      <c r="PAZ3422" s="917"/>
      <c r="PBA3422" s="917" t="s">
        <v>78</v>
      </c>
      <c r="PBB3422" s="917"/>
      <c r="PBC3422" s="917"/>
      <c r="PBD3422" s="917"/>
      <c r="PBE3422" s="917"/>
      <c r="PBF3422" s="917"/>
      <c r="PBG3422" s="917"/>
      <c r="PBH3422" s="917"/>
      <c r="PBI3422" s="917"/>
      <c r="PBJ3422" s="917"/>
      <c r="PBK3422" s="917"/>
      <c r="PBL3422" s="917"/>
      <c r="PBM3422" s="917"/>
      <c r="PBN3422" s="917"/>
      <c r="PBO3422" s="917"/>
      <c r="PBP3422" s="917"/>
      <c r="PBQ3422" s="917"/>
      <c r="PBR3422" s="917"/>
      <c r="PBS3422" s="917"/>
      <c r="PBT3422" s="917"/>
      <c r="PBU3422" s="917"/>
      <c r="PBV3422" s="917"/>
      <c r="PBW3422" s="917"/>
      <c r="PBX3422" s="917"/>
      <c r="PBY3422" s="917"/>
      <c r="PBZ3422" s="917"/>
      <c r="PCA3422" s="917"/>
      <c r="PCB3422" s="917"/>
      <c r="PCC3422" s="917"/>
      <c r="PCD3422" s="917"/>
      <c r="PCE3422" s="917"/>
      <c r="PCF3422" s="917"/>
      <c r="PCG3422" s="917" t="s">
        <v>78</v>
      </c>
      <c r="PCH3422" s="917"/>
      <c r="PCI3422" s="917"/>
      <c r="PCJ3422" s="917"/>
      <c r="PCK3422" s="917"/>
      <c r="PCL3422" s="917"/>
      <c r="PCM3422" s="917"/>
      <c r="PCN3422" s="917"/>
      <c r="PCO3422" s="917"/>
      <c r="PCP3422" s="917"/>
      <c r="PCQ3422" s="917"/>
      <c r="PCR3422" s="917"/>
      <c r="PCS3422" s="917"/>
      <c r="PCT3422" s="917"/>
      <c r="PCU3422" s="917"/>
      <c r="PCV3422" s="917"/>
      <c r="PCW3422" s="917"/>
      <c r="PCX3422" s="917"/>
      <c r="PCY3422" s="917"/>
      <c r="PCZ3422" s="917"/>
      <c r="PDA3422" s="917"/>
      <c r="PDB3422" s="917"/>
      <c r="PDC3422" s="917"/>
      <c r="PDD3422" s="917"/>
      <c r="PDE3422" s="917"/>
      <c r="PDF3422" s="917"/>
      <c r="PDG3422" s="917"/>
      <c r="PDH3422" s="917"/>
      <c r="PDI3422" s="917"/>
      <c r="PDJ3422" s="917"/>
      <c r="PDK3422" s="917"/>
      <c r="PDL3422" s="917"/>
      <c r="PDM3422" s="917" t="s">
        <v>78</v>
      </c>
      <c r="PDN3422" s="917"/>
      <c r="PDO3422" s="917"/>
      <c r="PDP3422" s="917"/>
      <c r="PDQ3422" s="917"/>
      <c r="PDR3422" s="917"/>
      <c r="PDS3422" s="917"/>
      <c r="PDT3422" s="917"/>
      <c r="PDU3422" s="917"/>
      <c r="PDV3422" s="917"/>
      <c r="PDW3422" s="917"/>
      <c r="PDX3422" s="917"/>
      <c r="PDY3422" s="917"/>
      <c r="PDZ3422" s="917"/>
      <c r="PEA3422" s="917"/>
      <c r="PEB3422" s="917"/>
      <c r="PEC3422" s="917"/>
      <c r="PED3422" s="917"/>
      <c r="PEE3422" s="917"/>
      <c r="PEF3422" s="917"/>
      <c r="PEG3422" s="917"/>
      <c r="PEH3422" s="917"/>
      <c r="PEI3422" s="917"/>
      <c r="PEJ3422" s="917"/>
      <c r="PEK3422" s="917"/>
      <c r="PEL3422" s="917"/>
      <c r="PEM3422" s="917"/>
      <c r="PEN3422" s="917"/>
      <c r="PEO3422" s="917"/>
      <c r="PEP3422" s="917"/>
      <c r="PEQ3422" s="917"/>
      <c r="PER3422" s="917"/>
      <c r="PES3422" s="917" t="s">
        <v>78</v>
      </c>
      <c r="PET3422" s="917"/>
      <c r="PEU3422" s="917"/>
      <c r="PEV3422" s="917"/>
      <c r="PEW3422" s="917"/>
      <c r="PEX3422" s="917"/>
      <c r="PEY3422" s="917"/>
      <c r="PEZ3422" s="917"/>
      <c r="PFA3422" s="917"/>
      <c r="PFB3422" s="917"/>
      <c r="PFC3422" s="917"/>
      <c r="PFD3422" s="917"/>
      <c r="PFE3422" s="917"/>
      <c r="PFF3422" s="917"/>
      <c r="PFG3422" s="917"/>
      <c r="PFH3422" s="917"/>
      <c r="PFI3422" s="917"/>
      <c r="PFJ3422" s="917"/>
      <c r="PFK3422" s="917"/>
      <c r="PFL3422" s="917"/>
      <c r="PFM3422" s="917"/>
      <c r="PFN3422" s="917"/>
      <c r="PFO3422" s="917"/>
      <c r="PFP3422" s="917"/>
      <c r="PFQ3422" s="917"/>
      <c r="PFR3422" s="917"/>
      <c r="PFS3422" s="917"/>
      <c r="PFT3422" s="917"/>
      <c r="PFU3422" s="917"/>
      <c r="PFV3422" s="917"/>
      <c r="PFW3422" s="917"/>
      <c r="PFX3422" s="917"/>
      <c r="PFY3422" s="917" t="s">
        <v>78</v>
      </c>
      <c r="PFZ3422" s="917"/>
      <c r="PGA3422" s="917"/>
      <c r="PGB3422" s="917"/>
      <c r="PGC3422" s="917"/>
      <c r="PGD3422" s="917"/>
      <c r="PGE3422" s="917"/>
      <c r="PGF3422" s="917"/>
      <c r="PGG3422" s="917"/>
      <c r="PGH3422" s="917"/>
      <c r="PGI3422" s="917"/>
      <c r="PGJ3422" s="917"/>
      <c r="PGK3422" s="917"/>
      <c r="PGL3422" s="917"/>
      <c r="PGM3422" s="917"/>
      <c r="PGN3422" s="917"/>
      <c r="PGO3422" s="917"/>
      <c r="PGP3422" s="917"/>
      <c r="PGQ3422" s="917"/>
      <c r="PGR3422" s="917"/>
      <c r="PGS3422" s="917"/>
      <c r="PGT3422" s="917"/>
      <c r="PGU3422" s="917"/>
      <c r="PGV3422" s="917"/>
      <c r="PGW3422" s="917"/>
      <c r="PGX3422" s="917"/>
      <c r="PGY3422" s="917"/>
      <c r="PGZ3422" s="917"/>
      <c r="PHA3422" s="917"/>
      <c r="PHB3422" s="917"/>
      <c r="PHC3422" s="917"/>
      <c r="PHD3422" s="917"/>
      <c r="PHE3422" s="917" t="s">
        <v>78</v>
      </c>
      <c r="PHF3422" s="917"/>
      <c r="PHG3422" s="917"/>
      <c r="PHH3422" s="917"/>
      <c r="PHI3422" s="917"/>
      <c r="PHJ3422" s="917"/>
      <c r="PHK3422" s="917"/>
      <c r="PHL3422" s="917"/>
      <c r="PHM3422" s="917"/>
      <c r="PHN3422" s="917"/>
      <c r="PHO3422" s="917"/>
      <c r="PHP3422" s="917"/>
      <c r="PHQ3422" s="917"/>
      <c r="PHR3422" s="917"/>
      <c r="PHS3422" s="917"/>
      <c r="PHT3422" s="917"/>
      <c r="PHU3422" s="917"/>
      <c r="PHV3422" s="917"/>
      <c r="PHW3422" s="917"/>
      <c r="PHX3422" s="917"/>
      <c r="PHY3422" s="917"/>
      <c r="PHZ3422" s="917"/>
      <c r="PIA3422" s="917"/>
      <c r="PIB3422" s="917"/>
      <c r="PIC3422" s="917"/>
      <c r="PID3422" s="917"/>
      <c r="PIE3422" s="917"/>
      <c r="PIF3422" s="917"/>
      <c r="PIG3422" s="917"/>
      <c r="PIH3422" s="917"/>
      <c r="PII3422" s="917"/>
      <c r="PIJ3422" s="917"/>
      <c r="PIK3422" s="917" t="s">
        <v>78</v>
      </c>
      <c r="PIL3422" s="917"/>
      <c r="PIM3422" s="917"/>
      <c r="PIN3422" s="917"/>
      <c r="PIO3422" s="917"/>
      <c r="PIP3422" s="917"/>
      <c r="PIQ3422" s="917"/>
      <c r="PIR3422" s="917"/>
      <c r="PIS3422" s="917"/>
      <c r="PIT3422" s="917"/>
      <c r="PIU3422" s="917"/>
      <c r="PIV3422" s="917"/>
      <c r="PIW3422" s="917"/>
      <c r="PIX3422" s="917"/>
      <c r="PIY3422" s="917"/>
      <c r="PIZ3422" s="917"/>
      <c r="PJA3422" s="917"/>
      <c r="PJB3422" s="917"/>
      <c r="PJC3422" s="917"/>
      <c r="PJD3422" s="917"/>
      <c r="PJE3422" s="917"/>
      <c r="PJF3422" s="917"/>
      <c r="PJG3422" s="917"/>
      <c r="PJH3422" s="917"/>
      <c r="PJI3422" s="917"/>
      <c r="PJJ3422" s="917"/>
      <c r="PJK3422" s="917"/>
      <c r="PJL3422" s="917"/>
      <c r="PJM3422" s="917"/>
      <c r="PJN3422" s="917"/>
      <c r="PJO3422" s="917"/>
      <c r="PJP3422" s="917"/>
      <c r="PJQ3422" s="917" t="s">
        <v>78</v>
      </c>
      <c r="PJR3422" s="917"/>
      <c r="PJS3422" s="917"/>
      <c r="PJT3422" s="917"/>
      <c r="PJU3422" s="917"/>
      <c r="PJV3422" s="917"/>
      <c r="PJW3422" s="917"/>
      <c r="PJX3422" s="917"/>
      <c r="PJY3422" s="917"/>
      <c r="PJZ3422" s="917"/>
      <c r="PKA3422" s="917"/>
      <c r="PKB3422" s="917"/>
      <c r="PKC3422" s="917"/>
      <c r="PKD3422" s="917"/>
      <c r="PKE3422" s="917"/>
      <c r="PKF3422" s="917"/>
      <c r="PKG3422" s="917"/>
      <c r="PKH3422" s="917"/>
      <c r="PKI3422" s="917"/>
      <c r="PKJ3422" s="917"/>
      <c r="PKK3422" s="917"/>
      <c r="PKL3422" s="917"/>
      <c r="PKM3422" s="917"/>
      <c r="PKN3422" s="917"/>
      <c r="PKO3422" s="917"/>
      <c r="PKP3422" s="917"/>
      <c r="PKQ3422" s="917"/>
      <c r="PKR3422" s="917"/>
      <c r="PKS3422" s="917"/>
      <c r="PKT3422" s="917"/>
      <c r="PKU3422" s="917"/>
      <c r="PKV3422" s="917"/>
      <c r="PKW3422" s="917" t="s">
        <v>78</v>
      </c>
      <c r="PKX3422" s="917"/>
      <c r="PKY3422" s="917"/>
      <c r="PKZ3422" s="917"/>
      <c r="PLA3422" s="917"/>
      <c r="PLB3422" s="917"/>
      <c r="PLC3422" s="917"/>
      <c r="PLD3422" s="917"/>
      <c r="PLE3422" s="917"/>
      <c r="PLF3422" s="917"/>
      <c r="PLG3422" s="917"/>
      <c r="PLH3422" s="917"/>
      <c r="PLI3422" s="917"/>
      <c r="PLJ3422" s="917"/>
      <c r="PLK3422" s="917"/>
      <c r="PLL3422" s="917"/>
      <c r="PLM3422" s="917"/>
      <c r="PLN3422" s="917"/>
      <c r="PLO3422" s="917"/>
      <c r="PLP3422" s="917"/>
      <c r="PLQ3422" s="917"/>
      <c r="PLR3422" s="917"/>
      <c r="PLS3422" s="917"/>
      <c r="PLT3422" s="917"/>
      <c r="PLU3422" s="917"/>
      <c r="PLV3422" s="917"/>
      <c r="PLW3422" s="917"/>
      <c r="PLX3422" s="917"/>
      <c r="PLY3422" s="917"/>
      <c r="PLZ3422" s="917"/>
      <c r="PMA3422" s="917"/>
      <c r="PMB3422" s="917"/>
      <c r="PMC3422" s="917" t="s">
        <v>78</v>
      </c>
      <c r="PMD3422" s="917"/>
      <c r="PME3422" s="917"/>
      <c r="PMF3422" s="917"/>
      <c r="PMG3422" s="917"/>
      <c r="PMH3422" s="917"/>
      <c r="PMI3422" s="917"/>
      <c r="PMJ3422" s="917"/>
      <c r="PMK3422" s="917"/>
      <c r="PML3422" s="917"/>
      <c r="PMM3422" s="917"/>
      <c r="PMN3422" s="917"/>
      <c r="PMO3422" s="917"/>
      <c r="PMP3422" s="917"/>
      <c r="PMQ3422" s="917"/>
      <c r="PMR3422" s="917"/>
      <c r="PMS3422" s="917"/>
      <c r="PMT3422" s="917"/>
      <c r="PMU3422" s="917"/>
      <c r="PMV3422" s="917"/>
      <c r="PMW3422" s="917"/>
      <c r="PMX3422" s="917"/>
      <c r="PMY3422" s="917"/>
      <c r="PMZ3422" s="917"/>
      <c r="PNA3422" s="917"/>
      <c r="PNB3422" s="917"/>
      <c r="PNC3422" s="917"/>
      <c r="PND3422" s="917"/>
      <c r="PNE3422" s="917"/>
      <c r="PNF3422" s="917"/>
      <c r="PNG3422" s="917"/>
      <c r="PNH3422" s="917"/>
      <c r="PNI3422" s="917" t="s">
        <v>78</v>
      </c>
      <c r="PNJ3422" s="917"/>
      <c r="PNK3422" s="917"/>
      <c r="PNL3422" s="917"/>
      <c r="PNM3422" s="917"/>
      <c r="PNN3422" s="917"/>
      <c r="PNO3422" s="917"/>
      <c r="PNP3422" s="917"/>
      <c r="PNQ3422" s="917"/>
      <c r="PNR3422" s="917"/>
      <c r="PNS3422" s="917"/>
      <c r="PNT3422" s="917"/>
      <c r="PNU3422" s="917"/>
      <c r="PNV3422" s="917"/>
      <c r="PNW3422" s="917"/>
      <c r="PNX3422" s="917"/>
      <c r="PNY3422" s="917"/>
      <c r="PNZ3422" s="917"/>
      <c r="POA3422" s="917"/>
      <c r="POB3422" s="917"/>
      <c r="POC3422" s="917"/>
      <c r="POD3422" s="917"/>
      <c r="POE3422" s="917"/>
      <c r="POF3422" s="917"/>
      <c r="POG3422" s="917"/>
      <c r="POH3422" s="917"/>
      <c r="POI3422" s="917"/>
      <c r="POJ3422" s="917"/>
      <c r="POK3422" s="917"/>
      <c r="POL3422" s="917"/>
      <c r="POM3422" s="917"/>
      <c r="PON3422" s="917"/>
      <c r="POO3422" s="917" t="s">
        <v>78</v>
      </c>
      <c r="POP3422" s="917"/>
      <c r="POQ3422" s="917"/>
      <c r="POR3422" s="917"/>
      <c r="POS3422" s="917"/>
      <c r="POT3422" s="917"/>
      <c r="POU3422" s="917"/>
      <c r="POV3422" s="917"/>
      <c r="POW3422" s="917"/>
      <c r="POX3422" s="917"/>
      <c r="POY3422" s="917"/>
      <c r="POZ3422" s="917"/>
      <c r="PPA3422" s="917"/>
      <c r="PPB3422" s="917"/>
      <c r="PPC3422" s="917"/>
      <c r="PPD3422" s="917"/>
      <c r="PPE3422" s="917"/>
      <c r="PPF3422" s="917"/>
      <c r="PPG3422" s="917"/>
      <c r="PPH3422" s="917"/>
      <c r="PPI3422" s="917"/>
      <c r="PPJ3422" s="917"/>
      <c r="PPK3422" s="917"/>
      <c r="PPL3422" s="917"/>
      <c r="PPM3422" s="917"/>
      <c r="PPN3422" s="917"/>
      <c r="PPO3422" s="917"/>
      <c r="PPP3422" s="917"/>
      <c r="PPQ3422" s="917"/>
      <c r="PPR3422" s="917"/>
      <c r="PPS3422" s="917"/>
      <c r="PPT3422" s="917"/>
      <c r="PPU3422" s="917" t="s">
        <v>78</v>
      </c>
      <c r="PPV3422" s="917"/>
      <c r="PPW3422" s="917"/>
      <c r="PPX3422" s="917"/>
      <c r="PPY3422" s="917"/>
      <c r="PPZ3422" s="917"/>
      <c r="PQA3422" s="917"/>
      <c r="PQB3422" s="917"/>
      <c r="PQC3422" s="917"/>
      <c r="PQD3422" s="917"/>
      <c r="PQE3422" s="917"/>
      <c r="PQF3422" s="917"/>
      <c r="PQG3422" s="917"/>
      <c r="PQH3422" s="917"/>
      <c r="PQI3422" s="917"/>
      <c r="PQJ3422" s="917"/>
      <c r="PQK3422" s="917"/>
      <c r="PQL3422" s="917"/>
      <c r="PQM3422" s="917"/>
      <c r="PQN3422" s="917"/>
      <c r="PQO3422" s="917"/>
      <c r="PQP3422" s="917"/>
      <c r="PQQ3422" s="917"/>
      <c r="PQR3422" s="917"/>
      <c r="PQS3422" s="917"/>
      <c r="PQT3422" s="917"/>
      <c r="PQU3422" s="917"/>
      <c r="PQV3422" s="917"/>
      <c r="PQW3422" s="917"/>
      <c r="PQX3422" s="917"/>
      <c r="PQY3422" s="917"/>
      <c r="PQZ3422" s="917"/>
      <c r="PRA3422" s="917" t="s">
        <v>78</v>
      </c>
      <c r="PRB3422" s="917"/>
      <c r="PRC3422" s="917"/>
      <c r="PRD3422" s="917"/>
      <c r="PRE3422" s="917"/>
      <c r="PRF3422" s="917"/>
      <c r="PRG3422" s="917"/>
      <c r="PRH3422" s="917"/>
      <c r="PRI3422" s="917"/>
      <c r="PRJ3422" s="917"/>
      <c r="PRK3422" s="917"/>
      <c r="PRL3422" s="917"/>
      <c r="PRM3422" s="917"/>
      <c r="PRN3422" s="917"/>
      <c r="PRO3422" s="917"/>
      <c r="PRP3422" s="917"/>
      <c r="PRQ3422" s="917"/>
      <c r="PRR3422" s="917"/>
      <c r="PRS3422" s="917"/>
      <c r="PRT3422" s="917"/>
      <c r="PRU3422" s="917"/>
      <c r="PRV3422" s="917"/>
      <c r="PRW3422" s="917"/>
      <c r="PRX3422" s="917"/>
      <c r="PRY3422" s="917"/>
      <c r="PRZ3422" s="917"/>
      <c r="PSA3422" s="917"/>
      <c r="PSB3422" s="917"/>
      <c r="PSC3422" s="917"/>
      <c r="PSD3422" s="917"/>
      <c r="PSE3422" s="917"/>
      <c r="PSF3422" s="917"/>
      <c r="PSG3422" s="917" t="s">
        <v>78</v>
      </c>
      <c r="PSH3422" s="917"/>
      <c r="PSI3422" s="917"/>
      <c r="PSJ3422" s="917"/>
      <c r="PSK3422" s="917"/>
      <c r="PSL3422" s="917"/>
      <c r="PSM3422" s="917"/>
      <c r="PSN3422" s="917"/>
      <c r="PSO3422" s="917"/>
      <c r="PSP3422" s="917"/>
      <c r="PSQ3422" s="917"/>
      <c r="PSR3422" s="917"/>
      <c r="PSS3422" s="917"/>
      <c r="PST3422" s="917"/>
      <c r="PSU3422" s="917"/>
      <c r="PSV3422" s="917"/>
      <c r="PSW3422" s="917"/>
      <c r="PSX3422" s="917"/>
      <c r="PSY3422" s="917"/>
      <c r="PSZ3422" s="917"/>
      <c r="PTA3422" s="917"/>
      <c r="PTB3422" s="917"/>
      <c r="PTC3422" s="917"/>
      <c r="PTD3422" s="917"/>
      <c r="PTE3422" s="917"/>
      <c r="PTF3422" s="917"/>
      <c r="PTG3422" s="917"/>
      <c r="PTH3422" s="917"/>
      <c r="PTI3422" s="917"/>
      <c r="PTJ3422" s="917"/>
      <c r="PTK3422" s="917"/>
      <c r="PTL3422" s="917"/>
      <c r="PTM3422" s="917" t="s">
        <v>78</v>
      </c>
      <c r="PTN3422" s="917"/>
      <c r="PTO3422" s="917"/>
      <c r="PTP3422" s="917"/>
      <c r="PTQ3422" s="917"/>
      <c r="PTR3422" s="917"/>
      <c r="PTS3422" s="917"/>
      <c r="PTT3422" s="917"/>
      <c r="PTU3422" s="917"/>
      <c r="PTV3422" s="917"/>
      <c r="PTW3422" s="917"/>
      <c r="PTX3422" s="917"/>
      <c r="PTY3422" s="917"/>
      <c r="PTZ3422" s="917"/>
      <c r="PUA3422" s="917"/>
      <c r="PUB3422" s="917"/>
      <c r="PUC3422" s="917"/>
      <c r="PUD3422" s="917"/>
      <c r="PUE3422" s="917"/>
      <c r="PUF3422" s="917"/>
      <c r="PUG3422" s="917"/>
      <c r="PUH3422" s="917"/>
      <c r="PUI3422" s="917"/>
      <c r="PUJ3422" s="917"/>
      <c r="PUK3422" s="917"/>
      <c r="PUL3422" s="917"/>
      <c r="PUM3422" s="917"/>
      <c r="PUN3422" s="917"/>
      <c r="PUO3422" s="917"/>
      <c r="PUP3422" s="917"/>
      <c r="PUQ3422" s="917"/>
      <c r="PUR3422" s="917"/>
      <c r="PUS3422" s="917" t="s">
        <v>78</v>
      </c>
      <c r="PUT3422" s="917"/>
      <c r="PUU3422" s="917"/>
      <c r="PUV3422" s="917"/>
      <c r="PUW3422" s="917"/>
      <c r="PUX3422" s="917"/>
      <c r="PUY3422" s="917"/>
      <c r="PUZ3422" s="917"/>
      <c r="PVA3422" s="917"/>
      <c r="PVB3422" s="917"/>
      <c r="PVC3422" s="917"/>
      <c r="PVD3422" s="917"/>
      <c r="PVE3422" s="917"/>
      <c r="PVF3422" s="917"/>
      <c r="PVG3422" s="917"/>
      <c r="PVH3422" s="917"/>
      <c r="PVI3422" s="917"/>
      <c r="PVJ3422" s="917"/>
      <c r="PVK3422" s="917"/>
      <c r="PVL3422" s="917"/>
      <c r="PVM3422" s="917"/>
      <c r="PVN3422" s="917"/>
      <c r="PVO3422" s="917"/>
      <c r="PVP3422" s="917"/>
      <c r="PVQ3422" s="917"/>
      <c r="PVR3422" s="917"/>
      <c r="PVS3422" s="917"/>
      <c r="PVT3422" s="917"/>
      <c r="PVU3422" s="917"/>
      <c r="PVV3422" s="917"/>
      <c r="PVW3422" s="917"/>
      <c r="PVX3422" s="917"/>
      <c r="PVY3422" s="917" t="s">
        <v>78</v>
      </c>
      <c r="PVZ3422" s="917"/>
      <c r="PWA3422" s="917"/>
      <c r="PWB3422" s="917"/>
      <c r="PWC3422" s="917"/>
      <c r="PWD3422" s="917"/>
      <c r="PWE3422" s="917"/>
      <c r="PWF3422" s="917"/>
      <c r="PWG3422" s="917"/>
      <c r="PWH3422" s="917"/>
      <c r="PWI3422" s="917"/>
      <c r="PWJ3422" s="917"/>
      <c r="PWK3422" s="917"/>
      <c r="PWL3422" s="917"/>
      <c r="PWM3422" s="917"/>
      <c r="PWN3422" s="917"/>
      <c r="PWO3422" s="917"/>
      <c r="PWP3422" s="917"/>
      <c r="PWQ3422" s="917"/>
      <c r="PWR3422" s="917"/>
      <c r="PWS3422" s="917"/>
      <c r="PWT3422" s="917"/>
      <c r="PWU3422" s="917"/>
      <c r="PWV3422" s="917"/>
      <c r="PWW3422" s="917"/>
      <c r="PWX3422" s="917"/>
      <c r="PWY3422" s="917"/>
      <c r="PWZ3422" s="917"/>
      <c r="PXA3422" s="917"/>
      <c r="PXB3422" s="917"/>
      <c r="PXC3422" s="917"/>
      <c r="PXD3422" s="917"/>
      <c r="PXE3422" s="917" t="s">
        <v>78</v>
      </c>
      <c r="PXF3422" s="917"/>
      <c r="PXG3422" s="917"/>
      <c r="PXH3422" s="917"/>
      <c r="PXI3422" s="917"/>
      <c r="PXJ3422" s="917"/>
      <c r="PXK3422" s="917"/>
      <c r="PXL3422" s="917"/>
      <c r="PXM3422" s="917"/>
      <c r="PXN3422" s="917"/>
      <c r="PXO3422" s="917"/>
      <c r="PXP3422" s="917"/>
      <c r="PXQ3422" s="917"/>
      <c r="PXR3422" s="917"/>
      <c r="PXS3422" s="917"/>
      <c r="PXT3422" s="917"/>
      <c r="PXU3422" s="917"/>
      <c r="PXV3422" s="917"/>
      <c r="PXW3422" s="917"/>
      <c r="PXX3422" s="917"/>
      <c r="PXY3422" s="917"/>
      <c r="PXZ3422" s="917"/>
      <c r="PYA3422" s="917"/>
      <c r="PYB3422" s="917"/>
      <c r="PYC3422" s="917"/>
      <c r="PYD3422" s="917"/>
      <c r="PYE3422" s="917"/>
      <c r="PYF3422" s="917"/>
      <c r="PYG3422" s="917"/>
      <c r="PYH3422" s="917"/>
      <c r="PYI3422" s="917"/>
      <c r="PYJ3422" s="917"/>
      <c r="PYK3422" s="917" t="s">
        <v>78</v>
      </c>
      <c r="PYL3422" s="917"/>
      <c r="PYM3422" s="917"/>
      <c r="PYN3422" s="917"/>
      <c r="PYO3422" s="917"/>
      <c r="PYP3422" s="917"/>
      <c r="PYQ3422" s="917"/>
      <c r="PYR3422" s="917"/>
      <c r="PYS3422" s="917"/>
      <c r="PYT3422" s="917"/>
      <c r="PYU3422" s="917"/>
      <c r="PYV3422" s="917"/>
      <c r="PYW3422" s="917"/>
      <c r="PYX3422" s="917"/>
      <c r="PYY3422" s="917"/>
      <c r="PYZ3422" s="917"/>
      <c r="PZA3422" s="917"/>
      <c r="PZB3422" s="917"/>
      <c r="PZC3422" s="917"/>
      <c r="PZD3422" s="917"/>
      <c r="PZE3422" s="917"/>
      <c r="PZF3422" s="917"/>
      <c r="PZG3422" s="917"/>
      <c r="PZH3422" s="917"/>
      <c r="PZI3422" s="917"/>
      <c r="PZJ3422" s="917"/>
      <c r="PZK3422" s="917"/>
      <c r="PZL3422" s="917"/>
      <c r="PZM3422" s="917"/>
      <c r="PZN3422" s="917"/>
      <c r="PZO3422" s="917"/>
      <c r="PZP3422" s="917"/>
      <c r="PZQ3422" s="917" t="s">
        <v>78</v>
      </c>
      <c r="PZR3422" s="917"/>
      <c r="PZS3422" s="917"/>
      <c r="PZT3422" s="917"/>
      <c r="PZU3422" s="917"/>
      <c r="PZV3422" s="917"/>
      <c r="PZW3422" s="917"/>
      <c r="PZX3422" s="917"/>
      <c r="PZY3422" s="917"/>
      <c r="PZZ3422" s="917"/>
      <c r="QAA3422" s="917"/>
      <c r="QAB3422" s="917"/>
      <c r="QAC3422" s="917"/>
      <c r="QAD3422" s="917"/>
      <c r="QAE3422" s="917"/>
      <c r="QAF3422" s="917"/>
      <c r="QAG3422" s="917"/>
      <c r="QAH3422" s="917"/>
      <c r="QAI3422" s="917"/>
      <c r="QAJ3422" s="917"/>
      <c r="QAK3422" s="917"/>
      <c r="QAL3422" s="917"/>
      <c r="QAM3422" s="917"/>
      <c r="QAN3422" s="917"/>
      <c r="QAO3422" s="917"/>
      <c r="QAP3422" s="917"/>
      <c r="QAQ3422" s="917"/>
      <c r="QAR3422" s="917"/>
      <c r="QAS3422" s="917"/>
      <c r="QAT3422" s="917"/>
      <c r="QAU3422" s="917"/>
      <c r="QAV3422" s="917"/>
      <c r="QAW3422" s="917" t="s">
        <v>78</v>
      </c>
      <c r="QAX3422" s="917"/>
      <c r="QAY3422" s="917"/>
      <c r="QAZ3422" s="917"/>
      <c r="QBA3422" s="917"/>
      <c r="QBB3422" s="917"/>
      <c r="QBC3422" s="917"/>
      <c r="QBD3422" s="917"/>
      <c r="QBE3422" s="917"/>
      <c r="QBF3422" s="917"/>
      <c r="QBG3422" s="917"/>
      <c r="QBH3422" s="917"/>
      <c r="QBI3422" s="917"/>
      <c r="QBJ3422" s="917"/>
      <c r="QBK3422" s="917"/>
      <c r="QBL3422" s="917"/>
      <c r="QBM3422" s="917"/>
      <c r="QBN3422" s="917"/>
      <c r="QBO3422" s="917"/>
      <c r="QBP3422" s="917"/>
      <c r="QBQ3422" s="917"/>
      <c r="QBR3422" s="917"/>
      <c r="QBS3422" s="917"/>
      <c r="QBT3422" s="917"/>
      <c r="QBU3422" s="917"/>
      <c r="QBV3422" s="917"/>
      <c r="QBW3422" s="917"/>
      <c r="QBX3422" s="917"/>
      <c r="QBY3422" s="917"/>
      <c r="QBZ3422" s="917"/>
      <c r="QCA3422" s="917"/>
      <c r="QCB3422" s="917"/>
      <c r="QCC3422" s="917" t="s">
        <v>78</v>
      </c>
      <c r="QCD3422" s="917"/>
      <c r="QCE3422" s="917"/>
      <c r="QCF3422" s="917"/>
      <c r="QCG3422" s="917"/>
      <c r="QCH3422" s="917"/>
      <c r="QCI3422" s="917"/>
      <c r="QCJ3422" s="917"/>
      <c r="QCK3422" s="917"/>
      <c r="QCL3422" s="917"/>
      <c r="QCM3422" s="917"/>
      <c r="QCN3422" s="917"/>
      <c r="QCO3422" s="917"/>
      <c r="QCP3422" s="917"/>
      <c r="QCQ3422" s="917"/>
      <c r="QCR3422" s="917"/>
      <c r="QCS3422" s="917"/>
      <c r="QCT3422" s="917"/>
      <c r="QCU3422" s="917"/>
      <c r="QCV3422" s="917"/>
      <c r="QCW3422" s="917"/>
      <c r="QCX3422" s="917"/>
      <c r="QCY3422" s="917"/>
      <c r="QCZ3422" s="917"/>
      <c r="QDA3422" s="917"/>
      <c r="QDB3422" s="917"/>
      <c r="QDC3422" s="917"/>
      <c r="QDD3422" s="917"/>
      <c r="QDE3422" s="917"/>
      <c r="QDF3422" s="917"/>
      <c r="QDG3422" s="917"/>
      <c r="QDH3422" s="917"/>
      <c r="QDI3422" s="917" t="s">
        <v>78</v>
      </c>
      <c r="QDJ3422" s="917"/>
      <c r="QDK3422" s="917"/>
      <c r="QDL3422" s="917"/>
      <c r="QDM3422" s="917"/>
      <c r="QDN3422" s="917"/>
      <c r="QDO3422" s="917"/>
      <c r="QDP3422" s="917"/>
      <c r="QDQ3422" s="917"/>
      <c r="QDR3422" s="917"/>
      <c r="QDS3422" s="917"/>
      <c r="QDT3422" s="917"/>
      <c r="QDU3422" s="917"/>
      <c r="QDV3422" s="917"/>
      <c r="QDW3422" s="917"/>
      <c r="QDX3422" s="917"/>
      <c r="QDY3422" s="917"/>
      <c r="QDZ3422" s="917"/>
      <c r="QEA3422" s="917"/>
      <c r="QEB3422" s="917"/>
      <c r="QEC3422" s="917"/>
      <c r="QED3422" s="917"/>
      <c r="QEE3422" s="917"/>
      <c r="QEF3422" s="917"/>
      <c r="QEG3422" s="917"/>
      <c r="QEH3422" s="917"/>
      <c r="QEI3422" s="917"/>
      <c r="QEJ3422" s="917"/>
      <c r="QEK3422" s="917"/>
      <c r="QEL3422" s="917"/>
      <c r="QEM3422" s="917"/>
      <c r="QEN3422" s="917"/>
      <c r="QEO3422" s="917" t="s">
        <v>78</v>
      </c>
      <c r="QEP3422" s="917"/>
      <c r="QEQ3422" s="917"/>
      <c r="QER3422" s="917"/>
      <c r="QES3422" s="917"/>
      <c r="QET3422" s="917"/>
      <c r="QEU3422" s="917"/>
      <c r="QEV3422" s="917"/>
      <c r="QEW3422" s="917"/>
      <c r="QEX3422" s="917"/>
      <c r="QEY3422" s="917"/>
      <c r="QEZ3422" s="917"/>
      <c r="QFA3422" s="917"/>
      <c r="QFB3422" s="917"/>
      <c r="QFC3422" s="917"/>
      <c r="QFD3422" s="917"/>
      <c r="QFE3422" s="917"/>
      <c r="QFF3422" s="917"/>
      <c r="QFG3422" s="917"/>
      <c r="QFH3422" s="917"/>
      <c r="QFI3422" s="917"/>
      <c r="QFJ3422" s="917"/>
      <c r="QFK3422" s="917"/>
      <c r="QFL3422" s="917"/>
      <c r="QFM3422" s="917"/>
      <c r="QFN3422" s="917"/>
      <c r="QFO3422" s="917"/>
      <c r="QFP3422" s="917"/>
      <c r="QFQ3422" s="917"/>
      <c r="QFR3422" s="917"/>
      <c r="QFS3422" s="917"/>
      <c r="QFT3422" s="917"/>
      <c r="QFU3422" s="917" t="s">
        <v>78</v>
      </c>
      <c r="QFV3422" s="917"/>
      <c r="QFW3422" s="917"/>
      <c r="QFX3422" s="917"/>
      <c r="QFY3422" s="917"/>
      <c r="QFZ3422" s="917"/>
      <c r="QGA3422" s="917"/>
      <c r="QGB3422" s="917"/>
      <c r="QGC3422" s="917"/>
      <c r="QGD3422" s="917"/>
      <c r="QGE3422" s="917"/>
      <c r="QGF3422" s="917"/>
      <c r="QGG3422" s="917"/>
      <c r="QGH3422" s="917"/>
      <c r="QGI3422" s="917"/>
      <c r="QGJ3422" s="917"/>
      <c r="QGK3422" s="917"/>
      <c r="QGL3422" s="917"/>
      <c r="QGM3422" s="917"/>
      <c r="QGN3422" s="917"/>
      <c r="QGO3422" s="917"/>
      <c r="QGP3422" s="917"/>
      <c r="QGQ3422" s="917"/>
      <c r="QGR3422" s="917"/>
      <c r="QGS3422" s="917"/>
      <c r="QGT3422" s="917"/>
      <c r="QGU3422" s="917"/>
      <c r="QGV3422" s="917"/>
      <c r="QGW3422" s="917"/>
      <c r="QGX3422" s="917"/>
      <c r="QGY3422" s="917"/>
      <c r="QGZ3422" s="917"/>
      <c r="QHA3422" s="917" t="s">
        <v>78</v>
      </c>
      <c r="QHB3422" s="917"/>
      <c r="QHC3422" s="917"/>
      <c r="QHD3422" s="917"/>
      <c r="QHE3422" s="917"/>
      <c r="QHF3422" s="917"/>
      <c r="QHG3422" s="917"/>
      <c r="QHH3422" s="917"/>
      <c r="QHI3422" s="917"/>
      <c r="QHJ3422" s="917"/>
      <c r="QHK3422" s="917"/>
      <c r="QHL3422" s="917"/>
      <c r="QHM3422" s="917"/>
      <c r="QHN3422" s="917"/>
      <c r="QHO3422" s="917"/>
      <c r="QHP3422" s="917"/>
      <c r="QHQ3422" s="917"/>
      <c r="QHR3422" s="917"/>
      <c r="QHS3422" s="917"/>
      <c r="QHT3422" s="917"/>
      <c r="QHU3422" s="917"/>
      <c r="QHV3422" s="917"/>
      <c r="QHW3422" s="917"/>
      <c r="QHX3422" s="917"/>
      <c r="QHY3422" s="917"/>
      <c r="QHZ3422" s="917"/>
      <c r="QIA3422" s="917"/>
      <c r="QIB3422" s="917"/>
      <c r="QIC3422" s="917"/>
      <c r="QID3422" s="917"/>
      <c r="QIE3422" s="917"/>
      <c r="QIF3422" s="917"/>
      <c r="QIG3422" s="917" t="s">
        <v>78</v>
      </c>
      <c r="QIH3422" s="917"/>
      <c r="QII3422" s="917"/>
      <c r="QIJ3422" s="917"/>
      <c r="QIK3422" s="917"/>
      <c r="QIL3422" s="917"/>
      <c r="QIM3422" s="917"/>
      <c r="QIN3422" s="917"/>
      <c r="QIO3422" s="917"/>
      <c r="QIP3422" s="917"/>
      <c r="QIQ3422" s="917"/>
      <c r="QIR3422" s="917"/>
      <c r="QIS3422" s="917"/>
      <c r="QIT3422" s="917"/>
      <c r="QIU3422" s="917"/>
      <c r="QIV3422" s="917"/>
      <c r="QIW3422" s="917"/>
      <c r="QIX3422" s="917"/>
      <c r="QIY3422" s="917"/>
      <c r="QIZ3422" s="917"/>
      <c r="QJA3422" s="917"/>
      <c r="QJB3422" s="917"/>
      <c r="QJC3422" s="917"/>
      <c r="QJD3422" s="917"/>
      <c r="QJE3422" s="917"/>
      <c r="QJF3422" s="917"/>
      <c r="QJG3422" s="917"/>
      <c r="QJH3422" s="917"/>
      <c r="QJI3422" s="917"/>
      <c r="QJJ3422" s="917"/>
      <c r="QJK3422" s="917"/>
      <c r="QJL3422" s="917"/>
      <c r="QJM3422" s="917" t="s">
        <v>78</v>
      </c>
      <c r="QJN3422" s="917"/>
      <c r="QJO3422" s="917"/>
      <c r="QJP3422" s="917"/>
      <c r="QJQ3422" s="917"/>
      <c r="QJR3422" s="917"/>
      <c r="QJS3422" s="917"/>
      <c r="QJT3422" s="917"/>
      <c r="QJU3422" s="917"/>
      <c r="QJV3422" s="917"/>
      <c r="QJW3422" s="917"/>
      <c r="QJX3422" s="917"/>
      <c r="QJY3422" s="917"/>
      <c r="QJZ3422" s="917"/>
      <c r="QKA3422" s="917"/>
      <c r="QKB3422" s="917"/>
      <c r="QKC3422" s="917"/>
      <c r="QKD3422" s="917"/>
      <c r="QKE3422" s="917"/>
      <c r="QKF3422" s="917"/>
      <c r="QKG3422" s="917"/>
      <c r="QKH3422" s="917"/>
      <c r="QKI3422" s="917"/>
      <c r="QKJ3422" s="917"/>
      <c r="QKK3422" s="917"/>
      <c r="QKL3422" s="917"/>
      <c r="QKM3422" s="917"/>
      <c r="QKN3422" s="917"/>
      <c r="QKO3422" s="917"/>
      <c r="QKP3422" s="917"/>
      <c r="QKQ3422" s="917"/>
      <c r="QKR3422" s="917"/>
      <c r="QKS3422" s="917" t="s">
        <v>78</v>
      </c>
      <c r="QKT3422" s="917"/>
      <c r="QKU3422" s="917"/>
      <c r="QKV3422" s="917"/>
      <c r="QKW3422" s="917"/>
      <c r="QKX3422" s="917"/>
      <c r="QKY3422" s="917"/>
      <c r="QKZ3422" s="917"/>
      <c r="QLA3422" s="917"/>
      <c r="QLB3422" s="917"/>
      <c r="QLC3422" s="917"/>
      <c r="QLD3422" s="917"/>
      <c r="QLE3422" s="917"/>
      <c r="QLF3422" s="917"/>
      <c r="QLG3422" s="917"/>
      <c r="QLH3422" s="917"/>
      <c r="QLI3422" s="917"/>
      <c r="QLJ3422" s="917"/>
      <c r="QLK3422" s="917"/>
      <c r="QLL3422" s="917"/>
      <c r="QLM3422" s="917"/>
      <c r="QLN3422" s="917"/>
      <c r="QLO3422" s="917"/>
      <c r="QLP3422" s="917"/>
      <c r="QLQ3422" s="917"/>
      <c r="QLR3422" s="917"/>
      <c r="QLS3422" s="917"/>
      <c r="QLT3422" s="917"/>
      <c r="QLU3422" s="917"/>
      <c r="QLV3422" s="917"/>
      <c r="QLW3422" s="917"/>
      <c r="QLX3422" s="917"/>
      <c r="QLY3422" s="917" t="s">
        <v>78</v>
      </c>
      <c r="QLZ3422" s="917"/>
      <c r="QMA3422" s="917"/>
      <c r="QMB3422" s="917"/>
      <c r="QMC3422" s="917"/>
      <c r="QMD3422" s="917"/>
      <c r="QME3422" s="917"/>
      <c r="QMF3422" s="917"/>
      <c r="QMG3422" s="917"/>
      <c r="QMH3422" s="917"/>
      <c r="QMI3422" s="917"/>
      <c r="QMJ3422" s="917"/>
      <c r="QMK3422" s="917"/>
      <c r="QML3422" s="917"/>
      <c r="QMM3422" s="917"/>
      <c r="QMN3422" s="917"/>
      <c r="QMO3422" s="917"/>
      <c r="QMP3422" s="917"/>
      <c r="QMQ3422" s="917"/>
      <c r="QMR3422" s="917"/>
      <c r="QMS3422" s="917"/>
      <c r="QMT3422" s="917"/>
      <c r="QMU3422" s="917"/>
      <c r="QMV3422" s="917"/>
      <c r="QMW3422" s="917"/>
      <c r="QMX3422" s="917"/>
      <c r="QMY3422" s="917"/>
      <c r="QMZ3422" s="917"/>
      <c r="QNA3422" s="917"/>
      <c r="QNB3422" s="917"/>
      <c r="QNC3422" s="917"/>
      <c r="QND3422" s="917"/>
      <c r="QNE3422" s="917" t="s">
        <v>78</v>
      </c>
      <c r="QNF3422" s="917"/>
      <c r="QNG3422" s="917"/>
      <c r="QNH3422" s="917"/>
      <c r="QNI3422" s="917"/>
      <c r="QNJ3422" s="917"/>
      <c r="QNK3422" s="917"/>
      <c r="QNL3422" s="917"/>
      <c r="QNM3422" s="917"/>
      <c r="QNN3422" s="917"/>
      <c r="QNO3422" s="917"/>
      <c r="QNP3422" s="917"/>
      <c r="QNQ3422" s="917"/>
      <c r="QNR3422" s="917"/>
      <c r="QNS3422" s="917"/>
      <c r="QNT3422" s="917"/>
      <c r="QNU3422" s="917"/>
      <c r="QNV3422" s="917"/>
      <c r="QNW3422" s="917"/>
      <c r="QNX3422" s="917"/>
      <c r="QNY3422" s="917"/>
      <c r="QNZ3422" s="917"/>
      <c r="QOA3422" s="917"/>
      <c r="QOB3422" s="917"/>
      <c r="QOC3422" s="917"/>
      <c r="QOD3422" s="917"/>
      <c r="QOE3422" s="917"/>
      <c r="QOF3422" s="917"/>
      <c r="QOG3422" s="917"/>
      <c r="QOH3422" s="917"/>
      <c r="QOI3422" s="917"/>
      <c r="QOJ3422" s="917"/>
      <c r="QOK3422" s="917" t="s">
        <v>78</v>
      </c>
      <c r="QOL3422" s="917"/>
      <c r="QOM3422" s="917"/>
      <c r="QON3422" s="917"/>
      <c r="QOO3422" s="917"/>
      <c r="QOP3422" s="917"/>
      <c r="QOQ3422" s="917"/>
      <c r="QOR3422" s="917"/>
      <c r="QOS3422" s="917"/>
      <c r="QOT3422" s="917"/>
      <c r="QOU3422" s="917"/>
      <c r="QOV3422" s="917"/>
      <c r="QOW3422" s="917"/>
      <c r="QOX3422" s="917"/>
      <c r="QOY3422" s="917"/>
      <c r="QOZ3422" s="917"/>
      <c r="QPA3422" s="917"/>
      <c r="QPB3422" s="917"/>
      <c r="QPC3422" s="917"/>
      <c r="QPD3422" s="917"/>
      <c r="QPE3422" s="917"/>
      <c r="QPF3422" s="917"/>
      <c r="QPG3422" s="917"/>
      <c r="QPH3422" s="917"/>
      <c r="QPI3422" s="917"/>
      <c r="QPJ3422" s="917"/>
      <c r="QPK3422" s="917"/>
      <c r="QPL3422" s="917"/>
      <c r="QPM3422" s="917"/>
      <c r="QPN3422" s="917"/>
      <c r="QPO3422" s="917"/>
      <c r="QPP3422" s="917"/>
      <c r="QPQ3422" s="917" t="s">
        <v>78</v>
      </c>
      <c r="QPR3422" s="917"/>
      <c r="QPS3422" s="917"/>
      <c r="QPT3422" s="917"/>
      <c r="QPU3422" s="917"/>
      <c r="QPV3422" s="917"/>
      <c r="QPW3422" s="917"/>
      <c r="QPX3422" s="917"/>
      <c r="QPY3422" s="917"/>
      <c r="QPZ3422" s="917"/>
      <c r="QQA3422" s="917"/>
      <c r="QQB3422" s="917"/>
      <c r="QQC3422" s="917"/>
      <c r="QQD3422" s="917"/>
      <c r="QQE3422" s="917"/>
      <c r="QQF3422" s="917"/>
      <c r="QQG3422" s="917"/>
      <c r="QQH3422" s="917"/>
      <c r="QQI3422" s="917"/>
      <c r="QQJ3422" s="917"/>
      <c r="QQK3422" s="917"/>
      <c r="QQL3422" s="917"/>
      <c r="QQM3422" s="917"/>
      <c r="QQN3422" s="917"/>
      <c r="QQO3422" s="917"/>
      <c r="QQP3422" s="917"/>
      <c r="QQQ3422" s="917"/>
      <c r="QQR3422" s="917"/>
      <c r="QQS3422" s="917"/>
      <c r="QQT3422" s="917"/>
      <c r="QQU3422" s="917"/>
      <c r="QQV3422" s="917"/>
      <c r="QQW3422" s="917" t="s">
        <v>78</v>
      </c>
      <c r="QQX3422" s="917"/>
      <c r="QQY3422" s="917"/>
      <c r="QQZ3422" s="917"/>
      <c r="QRA3422" s="917"/>
      <c r="QRB3422" s="917"/>
      <c r="QRC3422" s="917"/>
      <c r="QRD3422" s="917"/>
      <c r="QRE3422" s="917"/>
      <c r="QRF3422" s="917"/>
      <c r="QRG3422" s="917"/>
      <c r="QRH3422" s="917"/>
      <c r="QRI3422" s="917"/>
      <c r="QRJ3422" s="917"/>
      <c r="QRK3422" s="917"/>
      <c r="QRL3422" s="917"/>
      <c r="QRM3422" s="917"/>
      <c r="QRN3422" s="917"/>
      <c r="QRO3422" s="917"/>
      <c r="QRP3422" s="917"/>
      <c r="QRQ3422" s="917"/>
      <c r="QRR3422" s="917"/>
      <c r="QRS3422" s="917"/>
      <c r="QRT3422" s="917"/>
      <c r="QRU3422" s="917"/>
      <c r="QRV3422" s="917"/>
      <c r="QRW3422" s="917"/>
      <c r="QRX3422" s="917"/>
      <c r="QRY3422" s="917"/>
      <c r="QRZ3422" s="917"/>
      <c r="QSA3422" s="917"/>
      <c r="QSB3422" s="917"/>
      <c r="QSC3422" s="917" t="s">
        <v>78</v>
      </c>
      <c r="QSD3422" s="917"/>
      <c r="QSE3422" s="917"/>
      <c r="QSF3422" s="917"/>
      <c r="QSG3422" s="917"/>
      <c r="QSH3422" s="917"/>
      <c r="QSI3422" s="917"/>
      <c r="QSJ3422" s="917"/>
      <c r="QSK3422" s="917"/>
      <c r="QSL3422" s="917"/>
      <c r="QSM3422" s="917"/>
      <c r="QSN3422" s="917"/>
      <c r="QSO3422" s="917"/>
      <c r="QSP3422" s="917"/>
      <c r="QSQ3422" s="917"/>
      <c r="QSR3422" s="917"/>
      <c r="QSS3422" s="917"/>
      <c r="QST3422" s="917"/>
      <c r="QSU3422" s="917"/>
      <c r="QSV3422" s="917"/>
      <c r="QSW3422" s="917"/>
      <c r="QSX3422" s="917"/>
      <c r="QSY3422" s="917"/>
      <c r="QSZ3422" s="917"/>
      <c r="QTA3422" s="917"/>
      <c r="QTB3422" s="917"/>
      <c r="QTC3422" s="917"/>
      <c r="QTD3422" s="917"/>
      <c r="QTE3422" s="917"/>
      <c r="QTF3422" s="917"/>
      <c r="QTG3422" s="917"/>
      <c r="QTH3422" s="917"/>
      <c r="QTI3422" s="917" t="s">
        <v>78</v>
      </c>
      <c r="QTJ3422" s="917"/>
      <c r="QTK3422" s="917"/>
      <c r="QTL3422" s="917"/>
      <c r="QTM3422" s="917"/>
      <c r="QTN3422" s="917"/>
      <c r="QTO3422" s="917"/>
      <c r="QTP3422" s="917"/>
      <c r="QTQ3422" s="917"/>
      <c r="QTR3422" s="917"/>
      <c r="QTS3422" s="917"/>
      <c r="QTT3422" s="917"/>
      <c r="QTU3422" s="917"/>
      <c r="QTV3422" s="917"/>
      <c r="QTW3422" s="917"/>
      <c r="QTX3422" s="917"/>
      <c r="QTY3422" s="917"/>
      <c r="QTZ3422" s="917"/>
      <c r="QUA3422" s="917"/>
      <c r="QUB3422" s="917"/>
      <c r="QUC3422" s="917"/>
      <c r="QUD3422" s="917"/>
      <c r="QUE3422" s="917"/>
      <c r="QUF3422" s="917"/>
      <c r="QUG3422" s="917"/>
      <c r="QUH3422" s="917"/>
      <c r="QUI3422" s="917"/>
      <c r="QUJ3422" s="917"/>
      <c r="QUK3422" s="917"/>
      <c r="QUL3422" s="917"/>
      <c r="QUM3422" s="917"/>
      <c r="QUN3422" s="917"/>
      <c r="QUO3422" s="917" t="s">
        <v>78</v>
      </c>
      <c r="QUP3422" s="917"/>
      <c r="QUQ3422" s="917"/>
      <c r="QUR3422" s="917"/>
      <c r="QUS3422" s="917"/>
      <c r="QUT3422" s="917"/>
      <c r="QUU3422" s="917"/>
      <c r="QUV3422" s="917"/>
      <c r="QUW3422" s="917"/>
      <c r="QUX3422" s="917"/>
      <c r="QUY3422" s="917"/>
      <c r="QUZ3422" s="917"/>
      <c r="QVA3422" s="917"/>
      <c r="QVB3422" s="917"/>
      <c r="QVC3422" s="917"/>
      <c r="QVD3422" s="917"/>
      <c r="QVE3422" s="917"/>
      <c r="QVF3422" s="917"/>
      <c r="QVG3422" s="917"/>
      <c r="QVH3422" s="917"/>
      <c r="QVI3422" s="917"/>
      <c r="QVJ3422" s="917"/>
      <c r="QVK3422" s="917"/>
      <c r="QVL3422" s="917"/>
      <c r="QVM3422" s="917"/>
      <c r="QVN3422" s="917"/>
      <c r="QVO3422" s="917"/>
      <c r="QVP3422" s="917"/>
      <c r="QVQ3422" s="917"/>
      <c r="QVR3422" s="917"/>
      <c r="QVS3422" s="917"/>
      <c r="QVT3422" s="917"/>
      <c r="QVU3422" s="917" t="s">
        <v>78</v>
      </c>
      <c r="QVV3422" s="917"/>
      <c r="QVW3422" s="917"/>
      <c r="QVX3422" s="917"/>
      <c r="QVY3422" s="917"/>
      <c r="QVZ3422" s="917"/>
      <c r="QWA3422" s="917"/>
      <c r="QWB3422" s="917"/>
      <c r="QWC3422" s="917"/>
      <c r="QWD3422" s="917"/>
      <c r="QWE3422" s="917"/>
      <c r="QWF3422" s="917"/>
      <c r="QWG3422" s="917"/>
      <c r="QWH3422" s="917"/>
      <c r="QWI3422" s="917"/>
      <c r="QWJ3422" s="917"/>
      <c r="QWK3422" s="917"/>
      <c r="QWL3422" s="917"/>
      <c r="QWM3422" s="917"/>
      <c r="QWN3422" s="917"/>
      <c r="QWO3422" s="917"/>
      <c r="QWP3422" s="917"/>
      <c r="QWQ3422" s="917"/>
      <c r="QWR3422" s="917"/>
      <c r="QWS3422" s="917"/>
      <c r="QWT3422" s="917"/>
      <c r="QWU3422" s="917"/>
      <c r="QWV3422" s="917"/>
      <c r="QWW3422" s="917"/>
      <c r="QWX3422" s="917"/>
      <c r="QWY3422" s="917"/>
      <c r="QWZ3422" s="917"/>
      <c r="QXA3422" s="917" t="s">
        <v>78</v>
      </c>
      <c r="QXB3422" s="917"/>
      <c r="QXC3422" s="917"/>
      <c r="QXD3422" s="917"/>
      <c r="QXE3422" s="917"/>
      <c r="QXF3422" s="917"/>
      <c r="QXG3422" s="917"/>
      <c r="QXH3422" s="917"/>
      <c r="QXI3422" s="917"/>
      <c r="QXJ3422" s="917"/>
      <c r="QXK3422" s="917"/>
      <c r="QXL3422" s="917"/>
      <c r="QXM3422" s="917"/>
      <c r="QXN3422" s="917"/>
      <c r="QXO3422" s="917"/>
      <c r="QXP3422" s="917"/>
      <c r="QXQ3422" s="917"/>
      <c r="QXR3422" s="917"/>
      <c r="QXS3422" s="917"/>
      <c r="QXT3422" s="917"/>
      <c r="QXU3422" s="917"/>
      <c r="QXV3422" s="917"/>
      <c r="QXW3422" s="917"/>
      <c r="QXX3422" s="917"/>
      <c r="QXY3422" s="917"/>
      <c r="QXZ3422" s="917"/>
      <c r="QYA3422" s="917"/>
      <c r="QYB3422" s="917"/>
      <c r="QYC3422" s="917"/>
      <c r="QYD3422" s="917"/>
      <c r="QYE3422" s="917"/>
      <c r="QYF3422" s="917"/>
      <c r="QYG3422" s="917" t="s">
        <v>78</v>
      </c>
      <c r="QYH3422" s="917"/>
      <c r="QYI3422" s="917"/>
      <c r="QYJ3422" s="917"/>
      <c r="QYK3422" s="917"/>
      <c r="QYL3422" s="917"/>
      <c r="QYM3422" s="917"/>
      <c r="QYN3422" s="917"/>
      <c r="QYO3422" s="917"/>
      <c r="QYP3422" s="917"/>
      <c r="QYQ3422" s="917"/>
      <c r="QYR3422" s="917"/>
      <c r="QYS3422" s="917"/>
      <c r="QYT3422" s="917"/>
      <c r="QYU3422" s="917"/>
      <c r="QYV3422" s="917"/>
      <c r="QYW3422" s="917"/>
      <c r="QYX3422" s="917"/>
      <c r="QYY3422" s="917"/>
      <c r="QYZ3422" s="917"/>
      <c r="QZA3422" s="917"/>
      <c r="QZB3422" s="917"/>
      <c r="QZC3422" s="917"/>
      <c r="QZD3422" s="917"/>
      <c r="QZE3422" s="917"/>
      <c r="QZF3422" s="917"/>
      <c r="QZG3422" s="917"/>
      <c r="QZH3422" s="917"/>
      <c r="QZI3422" s="917"/>
      <c r="QZJ3422" s="917"/>
      <c r="QZK3422" s="917"/>
      <c r="QZL3422" s="917"/>
      <c r="QZM3422" s="917" t="s">
        <v>78</v>
      </c>
      <c r="QZN3422" s="917"/>
      <c r="QZO3422" s="917"/>
      <c r="QZP3422" s="917"/>
      <c r="QZQ3422" s="917"/>
      <c r="QZR3422" s="917"/>
      <c r="QZS3422" s="917"/>
      <c r="QZT3422" s="917"/>
      <c r="QZU3422" s="917"/>
      <c r="QZV3422" s="917"/>
      <c r="QZW3422" s="917"/>
      <c r="QZX3422" s="917"/>
      <c r="QZY3422" s="917"/>
      <c r="QZZ3422" s="917"/>
      <c r="RAA3422" s="917"/>
      <c r="RAB3422" s="917"/>
      <c r="RAC3422" s="917"/>
      <c r="RAD3422" s="917"/>
      <c r="RAE3422" s="917"/>
      <c r="RAF3422" s="917"/>
      <c r="RAG3422" s="917"/>
      <c r="RAH3422" s="917"/>
      <c r="RAI3422" s="917"/>
      <c r="RAJ3422" s="917"/>
      <c r="RAK3422" s="917"/>
      <c r="RAL3422" s="917"/>
      <c r="RAM3422" s="917"/>
      <c r="RAN3422" s="917"/>
      <c r="RAO3422" s="917"/>
      <c r="RAP3422" s="917"/>
      <c r="RAQ3422" s="917"/>
      <c r="RAR3422" s="917"/>
      <c r="RAS3422" s="917" t="s">
        <v>78</v>
      </c>
      <c r="RAT3422" s="917"/>
      <c r="RAU3422" s="917"/>
      <c r="RAV3422" s="917"/>
      <c r="RAW3422" s="917"/>
      <c r="RAX3422" s="917"/>
      <c r="RAY3422" s="917"/>
      <c r="RAZ3422" s="917"/>
      <c r="RBA3422" s="917"/>
      <c r="RBB3422" s="917"/>
      <c r="RBC3422" s="917"/>
      <c r="RBD3422" s="917"/>
      <c r="RBE3422" s="917"/>
      <c r="RBF3422" s="917"/>
      <c r="RBG3422" s="917"/>
      <c r="RBH3422" s="917"/>
      <c r="RBI3422" s="917"/>
      <c r="RBJ3422" s="917"/>
      <c r="RBK3422" s="917"/>
      <c r="RBL3422" s="917"/>
      <c r="RBM3422" s="917"/>
      <c r="RBN3422" s="917"/>
      <c r="RBO3422" s="917"/>
      <c r="RBP3422" s="917"/>
      <c r="RBQ3422" s="917"/>
      <c r="RBR3422" s="917"/>
      <c r="RBS3422" s="917"/>
      <c r="RBT3422" s="917"/>
      <c r="RBU3422" s="917"/>
      <c r="RBV3422" s="917"/>
      <c r="RBW3422" s="917"/>
      <c r="RBX3422" s="917"/>
      <c r="RBY3422" s="917" t="s">
        <v>78</v>
      </c>
      <c r="RBZ3422" s="917"/>
      <c r="RCA3422" s="917"/>
      <c r="RCB3422" s="917"/>
      <c r="RCC3422" s="917"/>
      <c r="RCD3422" s="917"/>
      <c r="RCE3422" s="917"/>
      <c r="RCF3422" s="917"/>
      <c r="RCG3422" s="917"/>
      <c r="RCH3422" s="917"/>
      <c r="RCI3422" s="917"/>
      <c r="RCJ3422" s="917"/>
      <c r="RCK3422" s="917"/>
      <c r="RCL3422" s="917"/>
      <c r="RCM3422" s="917"/>
      <c r="RCN3422" s="917"/>
      <c r="RCO3422" s="917"/>
      <c r="RCP3422" s="917"/>
      <c r="RCQ3422" s="917"/>
      <c r="RCR3422" s="917"/>
      <c r="RCS3422" s="917"/>
      <c r="RCT3422" s="917"/>
      <c r="RCU3422" s="917"/>
      <c r="RCV3422" s="917"/>
      <c r="RCW3422" s="917"/>
      <c r="RCX3422" s="917"/>
      <c r="RCY3422" s="917"/>
      <c r="RCZ3422" s="917"/>
      <c r="RDA3422" s="917"/>
      <c r="RDB3422" s="917"/>
      <c r="RDC3422" s="917"/>
      <c r="RDD3422" s="917"/>
      <c r="RDE3422" s="917" t="s">
        <v>78</v>
      </c>
      <c r="RDF3422" s="917"/>
      <c r="RDG3422" s="917"/>
      <c r="RDH3422" s="917"/>
      <c r="RDI3422" s="917"/>
      <c r="RDJ3422" s="917"/>
      <c r="RDK3422" s="917"/>
      <c r="RDL3422" s="917"/>
      <c r="RDM3422" s="917"/>
      <c r="RDN3422" s="917"/>
      <c r="RDO3422" s="917"/>
      <c r="RDP3422" s="917"/>
      <c r="RDQ3422" s="917"/>
      <c r="RDR3422" s="917"/>
      <c r="RDS3422" s="917"/>
      <c r="RDT3422" s="917"/>
      <c r="RDU3422" s="917"/>
      <c r="RDV3422" s="917"/>
      <c r="RDW3422" s="917"/>
      <c r="RDX3422" s="917"/>
      <c r="RDY3422" s="917"/>
      <c r="RDZ3422" s="917"/>
      <c r="REA3422" s="917"/>
      <c r="REB3422" s="917"/>
      <c r="REC3422" s="917"/>
      <c r="RED3422" s="917"/>
      <c r="REE3422" s="917"/>
      <c r="REF3422" s="917"/>
      <c r="REG3422" s="917"/>
      <c r="REH3422" s="917"/>
      <c r="REI3422" s="917"/>
      <c r="REJ3422" s="917"/>
      <c r="REK3422" s="917" t="s">
        <v>78</v>
      </c>
      <c r="REL3422" s="917"/>
      <c r="REM3422" s="917"/>
      <c r="REN3422" s="917"/>
      <c r="REO3422" s="917"/>
      <c r="REP3422" s="917"/>
      <c r="REQ3422" s="917"/>
      <c r="RER3422" s="917"/>
      <c r="RES3422" s="917"/>
      <c r="RET3422" s="917"/>
      <c r="REU3422" s="917"/>
      <c r="REV3422" s="917"/>
      <c r="REW3422" s="917"/>
      <c r="REX3422" s="917"/>
      <c r="REY3422" s="917"/>
      <c r="REZ3422" s="917"/>
      <c r="RFA3422" s="917"/>
      <c r="RFB3422" s="917"/>
      <c r="RFC3422" s="917"/>
      <c r="RFD3422" s="917"/>
      <c r="RFE3422" s="917"/>
      <c r="RFF3422" s="917"/>
      <c r="RFG3422" s="917"/>
      <c r="RFH3422" s="917"/>
      <c r="RFI3422" s="917"/>
      <c r="RFJ3422" s="917"/>
      <c r="RFK3422" s="917"/>
      <c r="RFL3422" s="917"/>
      <c r="RFM3422" s="917"/>
      <c r="RFN3422" s="917"/>
      <c r="RFO3422" s="917"/>
      <c r="RFP3422" s="917"/>
      <c r="RFQ3422" s="917" t="s">
        <v>78</v>
      </c>
      <c r="RFR3422" s="917"/>
      <c r="RFS3422" s="917"/>
      <c r="RFT3422" s="917"/>
      <c r="RFU3422" s="917"/>
      <c r="RFV3422" s="917"/>
      <c r="RFW3422" s="917"/>
      <c r="RFX3422" s="917"/>
      <c r="RFY3422" s="917"/>
      <c r="RFZ3422" s="917"/>
      <c r="RGA3422" s="917"/>
      <c r="RGB3422" s="917"/>
      <c r="RGC3422" s="917"/>
      <c r="RGD3422" s="917"/>
      <c r="RGE3422" s="917"/>
      <c r="RGF3422" s="917"/>
      <c r="RGG3422" s="917"/>
      <c r="RGH3422" s="917"/>
      <c r="RGI3422" s="917"/>
      <c r="RGJ3422" s="917"/>
      <c r="RGK3422" s="917"/>
      <c r="RGL3422" s="917"/>
      <c r="RGM3422" s="917"/>
      <c r="RGN3422" s="917"/>
      <c r="RGO3422" s="917"/>
      <c r="RGP3422" s="917"/>
      <c r="RGQ3422" s="917"/>
      <c r="RGR3422" s="917"/>
      <c r="RGS3422" s="917"/>
      <c r="RGT3422" s="917"/>
      <c r="RGU3422" s="917"/>
      <c r="RGV3422" s="917"/>
      <c r="RGW3422" s="917" t="s">
        <v>78</v>
      </c>
      <c r="RGX3422" s="917"/>
      <c r="RGY3422" s="917"/>
      <c r="RGZ3422" s="917"/>
      <c r="RHA3422" s="917"/>
      <c r="RHB3422" s="917"/>
      <c r="RHC3422" s="917"/>
      <c r="RHD3422" s="917"/>
      <c r="RHE3422" s="917"/>
      <c r="RHF3422" s="917"/>
      <c r="RHG3422" s="917"/>
      <c r="RHH3422" s="917"/>
      <c r="RHI3422" s="917"/>
      <c r="RHJ3422" s="917"/>
      <c r="RHK3422" s="917"/>
      <c r="RHL3422" s="917"/>
      <c r="RHM3422" s="917"/>
      <c r="RHN3422" s="917"/>
      <c r="RHO3422" s="917"/>
      <c r="RHP3422" s="917"/>
      <c r="RHQ3422" s="917"/>
      <c r="RHR3422" s="917"/>
      <c r="RHS3422" s="917"/>
      <c r="RHT3422" s="917"/>
      <c r="RHU3422" s="917"/>
      <c r="RHV3422" s="917"/>
      <c r="RHW3422" s="917"/>
      <c r="RHX3422" s="917"/>
      <c r="RHY3422" s="917"/>
      <c r="RHZ3422" s="917"/>
      <c r="RIA3422" s="917"/>
      <c r="RIB3422" s="917"/>
      <c r="RIC3422" s="917" t="s">
        <v>78</v>
      </c>
      <c r="RID3422" s="917"/>
      <c r="RIE3422" s="917"/>
      <c r="RIF3422" s="917"/>
      <c r="RIG3422" s="917"/>
      <c r="RIH3422" s="917"/>
      <c r="RII3422" s="917"/>
      <c r="RIJ3422" s="917"/>
      <c r="RIK3422" s="917"/>
      <c r="RIL3422" s="917"/>
      <c r="RIM3422" s="917"/>
      <c r="RIN3422" s="917"/>
      <c r="RIO3422" s="917"/>
      <c r="RIP3422" s="917"/>
      <c r="RIQ3422" s="917"/>
      <c r="RIR3422" s="917"/>
      <c r="RIS3422" s="917"/>
      <c r="RIT3422" s="917"/>
      <c r="RIU3422" s="917"/>
      <c r="RIV3422" s="917"/>
      <c r="RIW3422" s="917"/>
      <c r="RIX3422" s="917"/>
      <c r="RIY3422" s="917"/>
      <c r="RIZ3422" s="917"/>
      <c r="RJA3422" s="917"/>
      <c r="RJB3422" s="917"/>
      <c r="RJC3422" s="917"/>
      <c r="RJD3422" s="917"/>
      <c r="RJE3422" s="917"/>
      <c r="RJF3422" s="917"/>
      <c r="RJG3422" s="917"/>
      <c r="RJH3422" s="917"/>
      <c r="RJI3422" s="917" t="s">
        <v>78</v>
      </c>
      <c r="RJJ3422" s="917"/>
      <c r="RJK3422" s="917"/>
      <c r="RJL3422" s="917"/>
      <c r="RJM3422" s="917"/>
      <c r="RJN3422" s="917"/>
      <c r="RJO3422" s="917"/>
      <c r="RJP3422" s="917"/>
      <c r="RJQ3422" s="917"/>
      <c r="RJR3422" s="917"/>
      <c r="RJS3422" s="917"/>
      <c r="RJT3422" s="917"/>
      <c r="RJU3422" s="917"/>
      <c r="RJV3422" s="917"/>
      <c r="RJW3422" s="917"/>
      <c r="RJX3422" s="917"/>
      <c r="RJY3422" s="917"/>
      <c r="RJZ3422" s="917"/>
      <c r="RKA3422" s="917"/>
      <c r="RKB3422" s="917"/>
      <c r="RKC3422" s="917"/>
      <c r="RKD3422" s="917"/>
      <c r="RKE3422" s="917"/>
      <c r="RKF3422" s="917"/>
      <c r="RKG3422" s="917"/>
      <c r="RKH3422" s="917"/>
      <c r="RKI3422" s="917"/>
      <c r="RKJ3422" s="917"/>
      <c r="RKK3422" s="917"/>
      <c r="RKL3422" s="917"/>
      <c r="RKM3422" s="917"/>
      <c r="RKN3422" s="917"/>
      <c r="RKO3422" s="917" t="s">
        <v>78</v>
      </c>
      <c r="RKP3422" s="917"/>
      <c r="RKQ3422" s="917"/>
      <c r="RKR3422" s="917"/>
      <c r="RKS3422" s="917"/>
      <c r="RKT3422" s="917"/>
      <c r="RKU3422" s="917"/>
      <c r="RKV3422" s="917"/>
      <c r="RKW3422" s="917"/>
      <c r="RKX3422" s="917"/>
      <c r="RKY3422" s="917"/>
      <c r="RKZ3422" s="917"/>
      <c r="RLA3422" s="917"/>
      <c r="RLB3422" s="917"/>
      <c r="RLC3422" s="917"/>
      <c r="RLD3422" s="917"/>
      <c r="RLE3422" s="917"/>
      <c r="RLF3422" s="917"/>
      <c r="RLG3422" s="917"/>
      <c r="RLH3422" s="917"/>
      <c r="RLI3422" s="917"/>
      <c r="RLJ3422" s="917"/>
      <c r="RLK3422" s="917"/>
      <c r="RLL3422" s="917"/>
      <c r="RLM3422" s="917"/>
      <c r="RLN3422" s="917"/>
      <c r="RLO3422" s="917"/>
      <c r="RLP3422" s="917"/>
      <c r="RLQ3422" s="917"/>
      <c r="RLR3422" s="917"/>
      <c r="RLS3422" s="917"/>
      <c r="RLT3422" s="917"/>
      <c r="RLU3422" s="917" t="s">
        <v>78</v>
      </c>
      <c r="RLV3422" s="917"/>
      <c r="RLW3422" s="917"/>
      <c r="RLX3422" s="917"/>
      <c r="RLY3422" s="917"/>
      <c r="RLZ3422" s="917"/>
      <c r="RMA3422" s="917"/>
      <c r="RMB3422" s="917"/>
      <c r="RMC3422" s="917"/>
      <c r="RMD3422" s="917"/>
      <c r="RME3422" s="917"/>
      <c r="RMF3422" s="917"/>
      <c r="RMG3422" s="917"/>
      <c r="RMH3422" s="917"/>
      <c r="RMI3422" s="917"/>
      <c r="RMJ3422" s="917"/>
      <c r="RMK3422" s="917"/>
      <c r="RML3422" s="917"/>
      <c r="RMM3422" s="917"/>
      <c r="RMN3422" s="917"/>
      <c r="RMO3422" s="917"/>
      <c r="RMP3422" s="917"/>
      <c r="RMQ3422" s="917"/>
      <c r="RMR3422" s="917"/>
      <c r="RMS3422" s="917"/>
      <c r="RMT3422" s="917"/>
      <c r="RMU3422" s="917"/>
      <c r="RMV3422" s="917"/>
      <c r="RMW3422" s="917"/>
      <c r="RMX3422" s="917"/>
      <c r="RMY3422" s="917"/>
      <c r="RMZ3422" s="917"/>
      <c r="RNA3422" s="917" t="s">
        <v>78</v>
      </c>
      <c r="RNB3422" s="917"/>
      <c r="RNC3422" s="917"/>
      <c r="RND3422" s="917"/>
      <c r="RNE3422" s="917"/>
      <c r="RNF3422" s="917"/>
      <c r="RNG3422" s="917"/>
      <c r="RNH3422" s="917"/>
      <c r="RNI3422" s="917"/>
      <c r="RNJ3422" s="917"/>
      <c r="RNK3422" s="917"/>
      <c r="RNL3422" s="917"/>
      <c r="RNM3422" s="917"/>
      <c r="RNN3422" s="917"/>
      <c r="RNO3422" s="917"/>
      <c r="RNP3422" s="917"/>
      <c r="RNQ3422" s="917"/>
      <c r="RNR3422" s="917"/>
      <c r="RNS3422" s="917"/>
      <c r="RNT3422" s="917"/>
      <c r="RNU3422" s="917"/>
      <c r="RNV3422" s="917"/>
      <c r="RNW3422" s="917"/>
      <c r="RNX3422" s="917"/>
      <c r="RNY3422" s="917"/>
      <c r="RNZ3422" s="917"/>
      <c r="ROA3422" s="917"/>
      <c r="ROB3422" s="917"/>
      <c r="ROC3422" s="917"/>
      <c r="ROD3422" s="917"/>
      <c r="ROE3422" s="917"/>
      <c r="ROF3422" s="917"/>
      <c r="ROG3422" s="917" t="s">
        <v>78</v>
      </c>
      <c r="ROH3422" s="917"/>
      <c r="ROI3422" s="917"/>
      <c r="ROJ3422" s="917"/>
      <c r="ROK3422" s="917"/>
      <c r="ROL3422" s="917"/>
      <c r="ROM3422" s="917"/>
      <c r="RON3422" s="917"/>
      <c r="ROO3422" s="917"/>
      <c r="ROP3422" s="917"/>
      <c r="ROQ3422" s="917"/>
      <c r="ROR3422" s="917"/>
      <c r="ROS3422" s="917"/>
      <c r="ROT3422" s="917"/>
      <c r="ROU3422" s="917"/>
      <c r="ROV3422" s="917"/>
      <c r="ROW3422" s="917"/>
      <c r="ROX3422" s="917"/>
      <c r="ROY3422" s="917"/>
      <c r="ROZ3422" s="917"/>
      <c r="RPA3422" s="917"/>
      <c r="RPB3422" s="917"/>
      <c r="RPC3422" s="917"/>
      <c r="RPD3422" s="917"/>
      <c r="RPE3422" s="917"/>
      <c r="RPF3422" s="917"/>
      <c r="RPG3422" s="917"/>
      <c r="RPH3422" s="917"/>
      <c r="RPI3422" s="917"/>
      <c r="RPJ3422" s="917"/>
      <c r="RPK3422" s="917"/>
      <c r="RPL3422" s="917"/>
      <c r="RPM3422" s="917" t="s">
        <v>78</v>
      </c>
      <c r="RPN3422" s="917"/>
      <c r="RPO3422" s="917"/>
      <c r="RPP3422" s="917"/>
      <c r="RPQ3422" s="917"/>
      <c r="RPR3422" s="917"/>
      <c r="RPS3422" s="917"/>
      <c r="RPT3422" s="917"/>
      <c r="RPU3422" s="917"/>
      <c r="RPV3422" s="917"/>
      <c r="RPW3422" s="917"/>
      <c r="RPX3422" s="917"/>
      <c r="RPY3422" s="917"/>
      <c r="RPZ3422" s="917"/>
      <c r="RQA3422" s="917"/>
      <c r="RQB3422" s="917"/>
      <c r="RQC3422" s="917"/>
      <c r="RQD3422" s="917"/>
      <c r="RQE3422" s="917"/>
      <c r="RQF3422" s="917"/>
      <c r="RQG3422" s="917"/>
      <c r="RQH3422" s="917"/>
      <c r="RQI3422" s="917"/>
      <c r="RQJ3422" s="917"/>
      <c r="RQK3422" s="917"/>
      <c r="RQL3422" s="917"/>
      <c r="RQM3422" s="917"/>
      <c r="RQN3422" s="917"/>
      <c r="RQO3422" s="917"/>
      <c r="RQP3422" s="917"/>
      <c r="RQQ3422" s="917"/>
      <c r="RQR3422" s="917"/>
      <c r="RQS3422" s="917" t="s">
        <v>78</v>
      </c>
      <c r="RQT3422" s="917"/>
      <c r="RQU3422" s="917"/>
      <c r="RQV3422" s="917"/>
      <c r="RQW3422" s="917"/>
      <c r="RQX3422" s="917"/>
      <c r="RQY3422" s="917"/>
      <c r="RQZ3422" s="917"/>
      <c r="RRA3422" s="917"/>
      <c r="RRB3422" s="917"/>
      <c r="RRC3422" s="917"/>
      <c r="RRD3422" s="917"/>
      <c r="RRE3422" s="917"/>
      <c r="RRF3422" s="917"/>
      <c r="RRG3422" s="917"/>
      <c r="RRH3422" s="917"/>
      <c r="RRI3422" s="917"/>
      <c r="RRJ3422" s="917"/>
      <c r="RRK3422" s="917"/>
      <c r="RRL3422" s="917"/>
      <c r="RRM3422" s="917"/>
      <c r="RRN3422" s="917"/>
      <c r="RRO3422" s="917"/>
      <c r="RRP3422" s="917"/>
      <c r="RRQ3422" s="917"/>
      <c r="RRR3422" s="917"/>
      <c r="RRS3422" s="917"/>
      <c r="RRT3422" s="917"/>
      <c r="RRU3422" s="917"/>
      <c r="RRV3422" s="917"/>
      <c r="RRW3422" s="917"/>
      <c r="RRX3422" s="917"/>
      <c r="RRY3422" s="917" t="s">
        <v>78</v>
      </c>
      <c r="RRZ3422" s="917"/>
      <c r="RSA3422" s="917"/>
      <c r="RSB3422" s="917"/>
      <c r="RSC3422" s="917"/>
      <c r="RSD3422" s="917"/>
      <c r="RSE3422" s="917"/>
      <c r="RSF3422" s="917"/>
      <c r="RSG3422" s="917"/>
      <c r="RSH3422" s="917"/>
      <c r="RSI3422" s="917"/>
      <c r="RSJ3422" s="917"/>
      <c r="RSK3422" s="917"/>
      <c r="RSL3422" s="917"/>
      <c r="RSM3422" s="917"/>
      <c r="RSN3422" s="917"/>
      <c r="RSO3422" s="917"/>
      <c r="RSP3422" s="917"/>
      <c r="RSQ3422" s="917"/>
      <c r="RSR3422" s="917"/>
      <c r="RSS3422" s="917"/>
      <c r="RST3422" s="917"/>
      <c r="RSU3422" s="917"/>
      <c r="RSV3422" s="917"/>
      <c r="RSW3422" s="917"/>
      <c r="RSX3422" s="917"/>
      <c r="RSY3422" s="917"/>
      <c r="RSZ3422" s="917"/>
      <c r="RTA3422" s="917"/>
      <c r="RTB3422" s="917"/>
      <c r="RTC3422" s="917"/>
      <c r="RTD3422" s="917"/>
      <c r="RTE3422" s="917" t="s">
        <v>78</v>
      </c>
      <c r="RTF3422" s="917"/>
      <c r="RTG3422" s="917"/>
      <c r="RTH3422" s="917"/>
      <c r="RTI3422" s="917"/>
      <c r="RTJ3422" s="917"/>
      <c r="RTK3422" s="917"/>
      <c r="RTL3422" s="917"/>
      <c r="RTM3422" s="917"/>
      <c r="RTN3422" s="917"/>
      <c r="RTO3422" s="917"/>
      <c r="RTP3422" s="917"/>
      <c r="RTQ3422" s="917"/>
      <c r="RTR3422" s="917"/>
      <c r="RTS3422" s="917"/>
      <c r="RTT3422" s="917"/>
      <c r="RTU3422" s="917"/>
      <c r="RTV3422" s="917"/>
      <c r="RTW3422" s="917"/>
      <c r="RTX3422" s="917"/>
      <c r="RTY3422" s="917"/>
      <c r="RTZ3422" s="917"/>
      <c r="RUA3422" s="917"/>
      <c r="RUB3422" s="917"/>
      <c r="RUC3422" s="917"/>
      <c r="RUD3422" s="917"/>
      <c r="RUE3422" s="917"/>
      <c r="RUF3422" s="917"/>
      <c r="RUG3422" s="917"/>
      <c r="RUH3422" s="917"/>
      <c r="RUI3422" s="917"/>
      <c r="RUJ3422" s="917"/>
      <c r="RUK3422" s="917" t="s">
        <v>78</v>
      </c>
      <c r="RUL3422" s="917"/>
      <c r="RUM3422" s="917"/>
      <c r="RUN3422" s="917"/>
      <c r="RUO3422" s="917"/>
      <c r="RUP3422" s="917"/>
      <c r="RUQ3422" s="917"/>
      <c r="RUR3422" s="917"/>
      <c r="RUS3422" s="917"/>
      <c r="RUT3422" s="917"/>
      <c r="RUU3422" s="917"/>
      <c r="RUV3422" s="917"/>
      <c r="RUW3422" s="917"/>
      <c r="RUX3422" s="917"/>
      <c r="RUY3422" s="917"/>
      <c r="RUZ3422" s="917"/>
      <c r="RVA3422" s="917"/>
      <c r="RVB3422" s="917"/>
      <c r="RVC3422" s="917"/>
      <c r="RVD3422" s="917"/>
      <c r="RVE3422" s="917"/>
      <c r="RVF3422" s="917"/>
      <c r="RVG3422" s="917"/>
      <c r="RVH3422" s="917"/>
      <c r="RVI3422" s="917"/>
      <c r="RVJ3422" s="917"/>
      <c r="RVK3422" s="917"/>
      <c r="RVL3422" s="917"/>
      <c r="RVM3422" s="917"/>
      <c r="RVN3422" s="917"/>
      <c r="RVO3422" s="917"/>
      <c r="RVP3422" s="917"/>
      <c r="RVQ3422" s="917" t="s">
        <v>78</v>
      </c>
      <c r="RVR3422" s="917"/>
      <c r="RVS3422" s="917"/>
      <c r="RVT3422" s="917"/>
      <c r="RVU3422" s="917"/>
      <c r="RVV3422" s="917"/>
      <c r="RVW3422" s="917"/>
      <c r="RVX3422" s="917"/>
      <c r="RVY3422" s="917"/>
      <c r="RVZ3422" s="917"/>
      <c r="RWA3422" s="917"/>
      <c r="RWB3422" s="917"/>
      <c r="RWC3422" s="917"/>
      <c r="RWD3422" s="917"/>
      <c r="RWE3422" s="917"/>
      <c r="RWF3422" s="917"/>
      <c r="RWG3422" s="917"/>
      <c r="RWH3422" s="917"/>
      <c r="RWI3422" s="917"/>
      <c r="RWJ3422" s="917"/>
      <c r="RWK3422" s="917"/>
      <c r="RWL3422" s="917"/>
      <c r="RWM3422" s="917"/>
      <c r="RWN3422" s="917"/>
      <c r="RWO3422" s="917"/>
      <c r="RWP3422" s="917"/>
      <c r="RWQ3422" s="917"/>
      <c r="RWR3422" s="917"/>
      <c r="RWS3422" s="917"/>
      <c r="RWT3422" s="917"/>
      <c r="RWU3422" s="917"/>
      <c r="RWV3422" s="917"/>
      <c r="RWW3422" s="917" t="s">
        <v>78</v>
      </c>
      <c r="RWX3422" s="917"/>
      <c r="RWY3422" s="917"/>
      <c r="RWZ3422" s="917"/>
      <c r="RXA3422" s="917"/>
      <c r="RXB3422" s="917"/>
      <c r="RXC3422" s="917"/>
      <c r="RXD3422" s="917"/>
      <c r="RXE3422" s="917"/>
      <c r="RXF3422" s="917"/>
      <c r="RXG3422" s="917"/>
      <c r="RXH3422" s="917"/>
      <c r="RXI3422" s="917"/>
      <c r="RXJ3422" s="917"/>
      <c r="RXK3422" s="917"/>
      <c r="RXL3422" s="917"/>
      <c r="RXM3422" s="917"/>
      <c r="RXN3422" s="917"/>
      <c r="RXO3422" s="917"/>
      <c r="RXP3422" s="917"/>
      <c r="RXQ3422" s="917"/>
      <c r="RXR3422" s="917"/>
      <c r="RXS3422" s="917"/>
      <c r="RXT3422" s="917"/>
      <c r="RXU3422" s="917"/>
      <c r="RXV3422" s="917"/>
      <c r="RXW3422" s="917"/>
      <c r="RXX3422" s="917"/>
      <c r="RXY3422" s="917"/>
      <c r="RXZ3422" s="917"/>
      <c r="RYA3422" s="917"/>
      <c r="RYB3422" s="917"/>
      <c r="RYC3422" s="917" t="s">
        <v>78</v>
      </c>
      <c r="RYD3422" s="917"/>
      <c r="RYE3422" s="917"/>
      <c r="RYF3422" s="917"/>
      <c r="RYG3422" s="917"/>
      <c r="RYH3422" s="917"/>
      <c r="RYI3422" s="917"/>
      <c r="RYJ3422" s="917"/>
      <c r="RYK3422" s="917"/>
      <c r="RYL3422" s="917"/>
      <c r="RYM3422" s="917"/>
      <c r="RYN3422" s="917"/>
      <c r="RYO3422" s="917"/>
      <c r="RYP3422" s="917"/>
      <c r="RYQ3422" s="917"/>
      <c r="RYR3422" s="917"/>
      <c r="RYS3422" s="917"/>
      <c r="RYT3422" s="917"/>
      <c r="RYU3422" s="917"/>
      <c r="RYV3422" s="917"/>
      <c r="RYW3422" s="917"/>
      <c r="RYX3422" s="917"/>
      <c r="RYY3422" s="917"/>
      <c r="RYZ3422" s="917"/>
      <c r="RZA3422" s="917"/>
      <c r="RZB3422" s="917"/>
      <c r="RZC3422" s="917"/>
      <c r="RZD3422" s="917"/>
      <c r="RZE3422" s="917"/>
      <c r="RZF3422" s="917"/>
      <c r="RZG3422" s="917"/>
      <c r="RZH3422" s="917"/>
      <c r="RZI3422" s="917" t="s">
        <v>78</v>
      </c>
      <c r="RZJ3422" s="917"/>
      <c r="RZK3422" s="917"/>
      <c r="RZL3422" s="917"/>
      <c r="RZM3422" s="917"/>
      <c r="RZN3422" s="917"/>
      <c r="RZO3422" s="917"/>
      <c r="RZP3422" s="917"/>
      <c r="RZQ3422" s="917"/>
      <c r="RZR3422" s="917"/>
      <c r="RZS3422" s="917"/>
      <c r="RZT3422" s="917"/>
      <c r="RZU3422" s="917"/>
      <c r="RZV3422" s="917"/>
      <c r="RZW3422" s="917"/>
      <c r="RZX3422" s="917"/>
      <c r="RZY3422" s="917"/>
      <c r="RZZ3422" s="917"/>
      <c r="SAA3422" s="917"/>
      <c r="SAB3422" s="917"/>
      <c r="SAC3422" s="917"/>
      <c r="SAD3422" s="917"/>
      <c r="SAE3422" s="917"/>
      <c r="SAF3422" s="917"/>
      <c r="SAG3422" s="917"/>
      <c r="SAH3422" s="917"/>
      <c r="SAI3422" s="917"/>
      <c r="SAJ3422" s="917"/>
      <c r="SAK3422" s="917"/>
      <c r="SAL3422" s="917"/>
      <c r="SAM3422" s="917"/>
      <c r="SAN3422" s="917"/>
      <c r="SAO3422" s="917" t="s">
        <v>78</v>
      </c>
      <c r="SAP3422" s="917"/>
      <c r="SAQ3422" s="917"/>
      <c r="SAR3422" s="917"/>
      <c r="SAS3422" s="917"/>
      <c r="SAT3422" s="917"/>
      <c r="SAU3422" s="917"/>
      <c r="SAV3422" s="917"/>
      <c r="SAW3422" s="917"/>
      <c r="SAX3422" s="917"/>
      <c r="SAY3422" s="917"/>
      <c r="SAZ3422" s="917"/>
      <c r="SBA3422" s="917"/>
      <c r="SBB3422" s="917"/>
      <c r="SBC3422" s="917"/>
      <c r="SBD3422" s="917"/>
      <c r="SBE3422" s="917"/>
      <c r="SBF3422" s="917"/>
      <c r="SBG3422" s="917"/>
      <c r="SBH3422" s="917"/>
      <c r="SBI3422" s="917"/>
      <c r="SBJ3422" s="917"/>
      <c r="SBK3422" s="917"/>
      <c r="SBL3422" s="917"/>
      <c r="SBM3422" s="917"/>
      <c r="SBN3422" s="917"/>
      <c r="SBO3422" s="917"/>
      <c r="SBP3422" s="917"/>
      <c r="SBQ3422" s="917"/>
      <c r="SBR3422" s="917"/>
      <c r="SBS3422" s="917"/>
      <c r="SBT3422" s="917"/>
      <c r="SBU3422" s="917" t="s">
        <v>78</v>
      </c>
      <c r="SBV3422" s="917"/>
      <c r="SBW3422" s="917"/>
      <c r="SBX3422" s="917"/>
      <c r="SBY3422" s="917"/>
      <c r="SBZ3422" s="917"/>
      <c r="SCA3422" s="917"/>
      <c r="SCB3422" s="917"/>
      <c r="SCC3422" s="917"/>
      <c r="SCD3422" s="917"/>
      <c r="SCE3422" s="917"/>
      <c r="SCF3422" s="917"/>
      <c r="SCG3422" s="917"/>
      <c r="SCH3422" s="917"/>
      <c r="SCI3422" s="917"/>
      <c r="SCJ3422" s="917"/>
      <c r="SCK3422" s="917"/>
      <c r="SCL3422" s="917"/>
      <c r="SCM3422" s="917"/>
      <c r="SCN3422" s="917"/>
      <c r="SCO3422" s="917"/>
      <c r="SCP3422" s="917"/>
      <c r="SCQ3422" s="917"/>
      <c r="SCR3422" s="917"/>
      <c r="SCS3422" s="917"/>
      <c r="SCT3422" s="917"/>
      <c r="SCU3422" s="917"/>
      <c r="SCV3422" s="917"/>
      <c r="SCW3422" s="917"/>
      <c r="SCX3422" s="917"/>
      <c r="SCY3422" s="917"/>
      <c r="SCZ3422" s="917"/>
      <c r="SDA3422" s="917" t="s">
        <v>78</v>
      </c>
      <c r="SDB3422" s="917"/>
      <c r="SDC3422" s="917"/>
      <c r="SDD3422" s="917"/>
      <c r="SDE3422" s="917"/>
      <c r="SDF3422" s="917"/>
      <c r="SDG3422" s="917"/>
      <c r="SDH3422" s="917"/>
      <c r="SDI3422" s="917"/>
      <c r="SDJ3422" s="917"/>
      <c r="SDK3422" s="917"/>
      <c r="SDL3422" s="917"/>
      <c r="SDM3422" s="917"/>
      <c r="SDN3422" s="917"/>
      <c r="SDO3422" s="917"/>
      <c r="SDP3422" s="917"/>
      <c r="SDQ3422" s="917"/>
      <c r="SDR3422" s="917"/>
      <c r="SDS3422" s="917"/>
      <c r="SDT3422" s="917"/>
      <c r="SDU3422" s="917"/>
      <c r="SDV3422" s="917"/>
      <c r="SDW3422" s="917"/>
      <c r="SDX3422" s="917"/>
      <c r="SDY3422" s="917"/>
      <c r="SDZ3422" s="917"/>
      <c r="SEA3422" s="917"/>
      <c r="SEB3422" s="917"/>
      <c r="SEC3422" s="917"/>
      <c r="SED3422" s="917"/>
      <c r="SEE3422" s="917"/>
      <c r="SEF3422" s="917"/>
      <c r="SEG3422" s="917" t="s">
        <v>78</v>
      </c>
      <c r="SEH3422" s="917"/>
      <c r="SEI3422" s="917"/>
      <c r="SEJ3422" s="917"/>
      <c r="SEK3422" s="917"/>
      <c r="SEL3422" s="917"/>
      <c r="SEM3422" s="917"/>
      <c r="SEN3422" s="917"/>
      <c r="SEO3422" s="917"/>
      <c r="SEP3422" s="917"/>
      <c r="SEQ3422" s="917"/>
      <c r="SER3422" s="917"/>
      <c r="SES3422" s="917"/>
      <c r="SET3422" s="917"/>
      <c r="SEU3422" s="917"/>
      <c r="SEV3422" s="917"/>
      <c r="SEW3422" s="917"/>
      <c r="SEX3422" s="917"/>
      <c r="SEY3422" s="917"/>
      <c r="SEZ3422" s="917"/>
      <c r="SFA3422" s="917"/>
      <c r="SFB3422" s="917"/>
      <c r="SFC3422" s="917"/>
      <c r="SFD3422" s="917"/>
      <c r="SFE3422" s="917"/>
      <c r="SFF3422" s="917"/>
      <c r="SFG3422" s="917"/>
      <c r="SFH3422" s="917"/>
      <c r="SFI3422" s="917"/>
      <c r="SFJ3422" s="917"/>
      <c r="SFK3422" s="917"/>
      <c r="SFL3422" s="917"/>
      <c r="SFM3422" s="917" t="s">
        <v>78</v>
      </c>
      <c r="SFN3422" s="917"/>
      <c r="SFO3422" s="917"/>
      <c r="SFP3422" s="917"/>
      <c r="SFQ3422" s="917"/>
      <c r="SFR3422" s="917"/>
      <c r="SFS3422" s="917"/>
      <c r="SFT3422" s="917"/>
      <c r="SFU3422" s="917"/>
      <c r="SFV3422" s="917"/>
      <c r="SFW3422" s="917"/>
      <c r="SFX3422" s="917"/>
      <c r="SFY3422" s="917"/>
      <c r="SFZ3422" s="917"/>
      <c r="SGA3422" s="917"/>
      <c r="SGB3422" s="917"/>
      <c r="SGC3422" s="917"/>
      <c r="SGD3422" s="917"/>
      <c r="SGE3422" s="917"/>
      <c r="SGF3422" s="917"/>
      <c r="SGG3422" s="917"/>
      <c r="SGH3422" s="917"/>
      <c r="SGI3422" s="917"/>
      <c r="SGJ3422" s="917"/>
      <c r="SGK3422" s="917"/>
      <c r="SGL3422" s="917"/>
      <c r="SGM3422" s="917"/>
      <c r="SGN3422" s="917"/>
      <c r="SGO3422" s="917"/>
      <c r="SGP3422" s="917"/>
      <c r="SGQ3422" s="917"/>
      <c r="SGR3422" s="917"/>
      <c r="SGS3422" s="917" t="s">
        <v>78</v>
      </c>
      <c r="SGT3422" s="917"/>
      <c r="SGU3422" s="917"/>
      <c r="SGV3422" s="917"/>
      <c r="SGW3422" s="917"/>
      <c r="SGX3422" s="917"/>
      <c r="SGY3422" s="917"/>
      <c r="SGZ3422" s="917"/>
      <c r="SHA3422" s="917"/>
      <c r="SHB3422" s="917"/>
      <c r="SHC3422" s="917"/>
      <c r="SHD3422" s="917"/>
      <c r="SHE3422" s="917"/>
      <c r="SHF3422" s="917"/>
      <c r="SHG3422" s="917"/>
      <c r="SHH3422" s="917"/>
      <c r="SHI3422" s="917"/>
      <c r="SHJ3422" s="917"/>
      <c r="SHK3422" s="917"/>
      <c r="SHL3422" s="917"/>
      <c r="SHM3422" s="917"/>
      <c r="SHN3422" s="917"/>
      <c r="SHO3422" s="917"/>
      <c r="SHP3422" s="917"/>
      <c r="SHQ3422" s="917"/>
      <c r="SHR3422" s="917"/>
      <c r="SHS3422" s="917"/>
      <c r="SHT3422" s="917"/>
      <c r="SHU3422" s="917"/>
      <c r="SHV3422" s="917"/>
      <c r="SHW3422" s="917"/>
      <c r="SHX3422" s="917"/>
      <c r="SHY3422" s="917" t="s">
        <v>78</v>
      </c>
      <c r="SHZ3422" s="917"/>
      <c r="SIA3422" s="917"/>
      <c r="SIB3422" s="917"/>
      <c r="SIC3422" s="917"/>
      <c r="SID3422" s="917"/>
      <c r="SIE3422" s="917"/>
      <c r="SIF3422" s="917"/>
      <c r="SIG3422" s="917"/>
      <c r="SIH3422" s="917"/>
      <c r="SII3422" s="917"/>
      <c r="SIJ3422" s="917"/>
      <c r="SIK3422" s="917"/>
      <c r="SIL3422" s="917"/>
      <c r="SIM3422" s="917"/>
      <c r="SIN3422" s="917"/>
      <c r="SIO3422" s="917"/>
      <c r="SIP3422" s="917"/>
      <c r="SIQ3422" s="917"/>
      <c r="SIR3422" s="917"/>
      <c r="SIS3422" s="917"/>
      <c r="SIT3422" s="917"/>
      <c r="SIU3422" s="917"/>
      <c r="SIV3422" s="917"/>
      <c r="SIW3422" s="917"/>
      <c r="SIX3422" s="917"/>
      <c r="SIY3422" s="917"/>
      <c r="SIZ3422" s="917"/>
      <c r="SJA3422" s="917"/>
      <c r="SJB3422" s="917"/>
      <c r="SJC3422" s="917"/>
      <c r="SJD3422" s="917"/>
      <c r="SJE3422" s="917" t="s">
        <v>78</v>
      </c>
      <c r="SJF3422" s="917"/>
      <c r="SJG3422" s="917"/>
      <c r="SJH3422" s="917"/>
      <c r="SJI3422" s="917"/>
      <c r="SJJ3422" s="917"/>
      <c r="SJK3422" s="917"/>
      <c r="SJL3422" s="917"/>
      <c r="SJM3422" s="917"/>
      <c r="SJN3422" s="917"/>
      <c r="SJO3422" s="917"/>
      <c r="SJP3422" s="917"/>
      <c r="SJQ3422" s="917"/>
      <c r="SJR3422" s="917"/>
      <c r="SJS3422" s="917"/>
      <c r="SJT3422" s="917"/>
      <c r="SJU3422" s="917"/>
      <c r="SJV3422" s="917"/>
      <c r="SJW3422" s="917"/>
      <c r="SJX3422" s="917"/>
      <c r="SJY3422" s="917"/>
      <c r="SJZ3422" s="917"/>
      <c r="SKA3422" s="917"/>
      <c r="SKB3422" s="917"/>
      <c r="SKC3422" s="917"/>
      <c r="SKD3422" s="917"/>
      <c r="SKE3422" s="917"/>
      <c r="SKF3422" s="917"/>
      <c r="SKG3422" s="917"/>
      <c r="SKH3422" s="917"/>
      <c r="SKI3422" s="917"/>
      <c r="SKJ3422" s="917"/>
      <c r="SKK3422" s="917" t="s">
        <v>78</v>
      </c>
      <c r="SKL3422" s="917"/>
      <c r="SKM3422" s="917"/>
      <c r="SKN3422" s="917"/>
      <c r="SKO3422" s="917"/>
      <c r="SKP3422" s="917"/>
      <c r="SKQ3422" s="917"/>
      <c r="SKR3422" s="917"/>
      <c r="SKS3422" s="917"/>
      <c r="SKT3422" s="917"/>
      <c r="SKU3422" s="917"/>
      <c r="SKV3422" s="917"/>
      <c r="SKW3422" s="917"/>
      <c r="SKX3422" s="917"/>
      <c r="SKY3422" s="917"/>
      <c r="SKZ3422" s="917"/>
      <c r="SLA3422" s="917"/>
      <c r="SLB3422" s="917"/>
      <c r="SLC3422" s="917"/>
      <c r="SLD3422" s="917"/>
      <c r="SLE3422" s="917"/>
      <c r="SLF3422" s="917"/>
      <c r="SLG3422" s="917"/>
      <c r="SLH3422" s="917"/>
      <c r="SLI3422" s="917"/>
      <c r="SLJ3422" s="917"/>
      <c r="SLK3422" s="917"/>
      <c r="SLL3422" s="917"/>
      <c r="SLM3422" s="917"/>
      <c r="SLN3422" s="917"/>
      <c r="SLO3422" s="917"/>
      <c r="SLP3422" s="917"/>
      <c r="SLQ3422" s="917" t="s">
        <v>78</v>
      </c>
      <c r="SLR3422" s="917"/>
      <c r="SLS3422" s="917"/>
      <c r="SLT3422" s="917"/>
      <c r="SLU3422" s="917"/>
      <c r="SLV3422" s="917"/>
      <c r="SLW3422" s="917"/>
      <c r="SLX3422" s="917"/>
      <c r="SLY3422" s="917"/>
      <c r="SLZ3422" s="917"/>
      <c r="SMA3422" s="917"/>
      <c r="SMB3422" s="917"/>
      <c r="SMC3422" s="917"/>
      <c r="SMD3422" s="917"/>
      <c r="SME3422" s="917"/>
      <c r="SMF3422" s="917"/>
      <c r="SMG3422" s="917"/>
      <c r="SMH3422" s="917"/>
      <c r="SMI3422" s="917"/>
      <c r="SMJ3422" s="917"/>
      <c r="SMK3422" s="917"/>
      <c r="SML3422" s="917"/>
      <c r="SMM3422" s="917"/>
      <c r="SMN3422" s="917"/>
      <c r="SMO3422" s="917"/>
      <c r="SMP3422" s="917"/>
      <c r="SMQ3422" s="917"/>
      <c r="SMR3422" s="917"/>
      <c r="SMS3422" s="917"/>
      <c r="SMT3422" s="917"/>
      <c r="SMU3422" s="917"/>
      <c r="SMV3422" s="917"/>
      <c r="SMW3422" s="917" t="s">
        <v>78</v>
      </c>
      <c r="SMX3422" s="917"/>
      <c r="SMY3422" s="917"/>
      <c r="SMZ3422" s="917"/>
      <c r="SNA3422" s="917"/>
      <c r="SNB3422" s="917"/>
      <c r="SNC3422" s="917"/>
      <c r="SND3422" s="917"/>
      <c r="SNE3422" s="917"/>
      <c r="SNF3422" s="917"/>
      <c r="SNG3422" s="917"/>
      <c r="SNH3422" s="917"/>
      <c r="SNI3422" s="917"/>
      <c r="SNJ3422" s="917"/>
      <c r="SNK3422" s="917"/>
      <c r="SNL3422" s="917"/>
      <c r="SNM3422" s="917"/>
      <c r="SNN3422" s="917"/>
      <c r="SNO3422" s="917"/>
      <c r="SNP3422" s="917"/>
      <c r="SNQ3422" s="917"/>
      <c r="SNR3422" s="917"/>
      <c r="SNS3422" s="917"/>
      <c r="SNT3422" s="917"/>
      <c r="SNU3422" s="917"/>
      <c r="SNV3422" s="917"/>
      <c r="SNW3422" s="917"/>
      <c r="SNX3422" s="917"/>
      <c r="SNY3422" s="917"/>
      <c r="SNZ3422" s="917"/>
      <c r="SOA3422" s="917"/>
      <c r="SOB3422" s="917"/>
      <c r="SOC3422" s="917" t="s">
        <v>78</v>
      </c>
      <c r="SOD3422" s="917"/>
      <c r="SOE3422" s="917"/>
      <c r="SOF3422" s="917"/>
      <c r="SOG3422" s="917"/>
      <c r="SOH3422" s="917"/>
      <c r="SOI3422" s="917"/>
      <c r="SOJ3422" s="917"/>
      <c r="SOK3422" s="917"/>
      <c r="SOL3422" s="917"/>
      <c r="SOM3422" s="917"/>
      <c r="SON3422" s="917"/>
      <c r="SOO3422" s="917"/>
      <c r="SOP3422" s="917"/>
      <c r="SOQ3422" s="917"/>
      <c r="SOR3422" s="917"/>
      <c r="SOS3422" s="917"/>
      <c r="SOT3422" s="917"/>
      <c r="SOU3422" s="917"/>
      <c r="SOV3422" s="917"/>
      <c r="SOW3422" s="917"/>
      <c r="SOX3422" s="917"/>
      <c r="SOY3422" s="917"/>
      <c r="SOZ3422" s="917"/>
      <c r="SPA3422" s="917"/>
      <c r="SPB3422" s="917"/>
      <c r="SPC3422" s="917"/>
      <c r="SPD3422" s="917"/>
      <c r="SPE3422" s="917"/>
      <c r="SPF3422" s="917"/>
      <c r="SPG3422" s="917"/>
      <c r="SPH3422" s="917"/>
      <c r="SPI3422" s="917" t="s">
        <v>78</v>
      </c>
      <c r="SPJ3422" s="917"/>
      <c r="SPK3422" s="917"/>
      <c r="SPL3422" s="917"/>
      <c r="SPM3422" s="917"/>
      <c r="SPN3422" s="917"/>
      <c r="SPO3422" s="917"/>
      <c r="SPP3422" s="917"/>
      <c r="SPQ3422" s="917"/>
      <c r="SPR3422" s="917"/>
      <c r="SPS3422" s="917"/>
      <c r="SPT3422" s="917"/>
      <c r="SPU3422" s="917"/>
      <c r="SPV3422" s="917"/>
      <c r="SPW3422" s="917"/>
      <c r="SPX3422" s="917"/>
      <c r="SPY3422" s="917"/>
      <c r="SPZ3422" s="917"/>
      <c r="SQA3422" s="917"/>
      <c r="SQB3422" s="917"/>
      <c r="SQC3422" s="917"/>
      <c r="SQD3422" s="917"/>
      <c r="SQE3422" s="917"/>
      <c r="SQF3422" s="917"/>
      <c r="SQG3422" s="917"/>
      <c r="SQH3422" s="917"/>
      <c r="SQI3422" s="917"/>
      <c r="SQJ3422" s="917"/>
      <c r="SQK3422" s="917"/>
      <c r="SQL3422" s="917"/>
      <c r="SQM3422" s="917"/>
      <c r="SQN3422" s="917"/>
      <c r="SQO3422" s="917" t="s">
        <v>78</v>
      </c>
      <c r="SQP3422" s="917"/>
      <c r="SQQ3422" s="917"/>
      <c r="SQR3422" s="917"/>
      <c r="SQS3422" s="917"/>
      <c r="SQT3422" s="917"/>
      <c r="SQU3422" s="917"/>
      <c r="SQV3422" s="917"/>
      <c r="SQW3422" s="917"/>
      <c r="SQX3422" s="917"/>
      <c r="SQY3422" s="917"/>
      <c r="SQZ3422" s="917"/>
      <c r="SRA3422" s="917"/>
      <c r="SRB3422" s="917"/>
      <c r="SRC3422" s="917"/>
      <c r="SRD3422" s="917"/>
      <c r="SRE3422" s="917"/>
      <c r="SRF3422" s="917"/>
      <c r="SRG3422" s="917"/>
      <c r="SRH3422" s="917"/>
      <c r="SRI3422" s="917"/>
      <c r="SRJ3422" s="917"/>
      <c r="SRK3422" s="917"/>
      <c r="SRL3422" s="917"/>
      <c r="SRM3422" s="917"/>
      <c r="SRN3422" s="917"/>
      <c r="SRO3422" s="917"/>
      <c r="SRP3422" s="917"/>
      <c r="SRQ3422" s="917"/>
      <c r="SRR3422" s="917"/>
      <c r="SRS3422" s="917"/>
      <c r="SRT3422" s="917"/>
      <c r="SRU3422" s="917" t="s">
        <v>78</v>
      </c>
      <c r="SRV3422" s="917"/>
      <c r="SRW3422" s="917"/>
      <c r="SRX3422" s="917"/>
      <c r="SRY3422" s="917"/>
      <c r="SRZ3422" s="917"/>
      <c r="SSA3422" s="917"/>
      <c r="SSB3422" s="917"/>
      <c r="SSC3422" s="917"/>
      <c r="SSD3422" s="917"/>
      <c r="SSE3422" s="917"/>
      <c r="SSF3422" s="917"/>
      <c r="SSG3422" s="917"/>
      <c r="SSH3422" s="917"/>
      <c r="SSI3422" s="917"/>
      <c r="SSJ3422" s="917"/>
      <c r="SSK3422" s="917"/>
      <c r="SSL3422" s="917"/>
      <c r="SSM3422" s="917"/>
      <c r="SSN3422" s="917"/>
      <c r="SSO3422" s="917"/>
      <c r="SSP3422" s="917"/>
      <c r="SSQ3422" s="917"/>
      <c r="SSR3422" s="917"/>
      <c r="SSS3422" s="917"/>
      <c r="SST3422" s="917"/>
      <c r="SSU3422" s="917"/>
      <c r="SSV3422" s="917"/>
      <c r="SSW3422" s="917"/>
      <c r="SSX3422" s="917"/>
      <c r="SSY3422" s="917"/>
      <c r="SSZ3422" s="917"/>
      <c r="STA3422" s="917" t="s">
        <v>78</v>
      </c>
      <c r="STB3422" s="917"/>
      <c r="STC3422" s="917"/>
      <c r="STD3422" s="917"/>
      <c r="STE3422" s="917"/>
      <c r="STF3422" s="917"/>
      <c r="STG3422" s="917"/>
      <c r="STH3422" s="917"/>
      <c r="STI3422" s="917"/>
      <c r="STJ3422" s="917"/>
      <c r="STK3422" s="917"/>
      <c r="STL3422" s="917"/>
      <c r="STM3422" s="917"/>
      <c r="STN3422" s="917"/>
      <c r="STO3422" s="917"/>
      <c r="STP3422" s="917"/>
      <c r="STQ3422" s="917"/>
      <c r="STR3422" s="917"/>
      <c r="STS3422" s="917"/>
      <c r="STT3422" s="917"/>
      <c r="STU3422" s="917"/>
      <c r="STV3422" s="917"/>
      <c r="STW3422" s="917"/>
      <c r="STX3422" s="917"/>
      <c r="STY3422" s="917"/>
      <c r="STZ3422" s="917"/>
      <c r="SUA3422" s="917"/>
      <c r="SUB3422" s="917"/>
      <c r="SUC3422" s="917"/>
      <c r="SUD3422" s="917"/>
      <c r="SUE3422" s="917"/>
      <c r="SUF3422" s="917"/>
      <c r="SUG3422" s="917" t="s">
        <v>78</v>
      </c>
      <c r="SUH3422" s="917"/>
      <c r="SUI3422" s="917"/>
      <c r="SUJ3422" s="917"/>
      <c r="SUK3422" s="917"/>
      <c r="SUL3422" s="917"/>
      <c r="SUM3422" s="917"/>
      <c r="SUN3422" s="917"/>
      <c r="SUO3422" s="917"/>
      <c r="SUP3422" s="917"/>
      <c r="SUQ3422" s="917"/>
      <c r="SUR3422" s="917"/>
      <c r="SUS3422" s="917"/>
      <c r="SUT3422" s="917"/>
      <c r="SUU3422" s="917"/>
      <c r="SUV3422" s="917"/>
      <c r="SUW3422" s="917"/>
      <c r="SUX3422" s="917"/>
      <c r="SUY3422" s="917"/>
      <c r="SUZ3422" s="917"/>
      <c r="SVA3422" s="917"/>
      <c r="SVB3422" s="917"/>
      <c r="SVC3422" s="917"/>
      <c r="SVD3422" s="917"/>
      <c r="SVE3422" s="917"/>
      <c r="SVF3422" s="917"/>
      <c r="SVG3422" s="917"/>
      <c r="SVH3422" s="917"/>
      <c r="SVI3422" s="917"/>
      <c r="SVJ3422" s="917"/>
      <c r="SVK3422" s="917"/>
      <c r="SVL3422" s="917"/>
      <c r="SVM3422" s="917" t="s">
        <v>78</v>
      </c>
      <c r="SVN3422" s="917"/>
      <c r="SVO3422" s="917"/>
      <c r="SVP3422" s="917"/>
      <c r="SVQ3422" s="917"/>
      <c r="SVR3422" s="917"/>
      <c r="SVS3422" s="917"/>
      <c r="SVT3422" s="917"/>
      <c r="SVU3422" s="917"/>
      <c r="SVV3422" s="917"/>
      <c r="SVW3422" s="917"/>
      <c r="SVX3422" s="917"/>
      <c r="SVY3422" s="917"/>
      <c r="SVZ3422" s="917"/>
      <c r="SWA3422" s="917"/>
      <c r="SWB3422" s="917"/>
      <c r="SWC3422" s="917"/>
      <c r="SWD3422" s="917"/>
      <c r="SWE3422" s="917"/>
      <c r="SWF3422" s="917"/>
      <c r="SWG3422" s="917"/>
      <c r="SWH3422" s="917"/>
      <c r="SWI3422" s="917"/>
      <c r="SWJ3422" s="917"/>
      <c r="SWK3422" s="917"/>
      <c r="SWL3422" s="917"/>
      <c r="SWM3422" s="917"/>
      <c r="SWN3422" s="917"/>
      <c r="SWO3422" s="917"/>
      <c r="SWP3422" s="917"/>
      <c r="SWQ3422" s="917"/>
      <c r="SWR3422" s="917"/>
      <c r="SWS3422" s="917" t="s">
        <v>78</v>
      </c>
      <c r="SWT3422" s="917"/>
      <c r="SWU3422" s="917"/>
      <c r="SWV3422" s="917"/>
      <c r="SWW3422" s="917"/>
      <c r="SWX3422" s="917"/>
      <c r="SWY3422" s="917"/>
      <c r="SWZ3422" s="917"/>
      <c r="SXA3422" s="917"/>
      <c r="SXB3422" s="917"/>
      <c r="SXC3422" s="917"/>
      <c r="SXD3422" s="917"/>
      <c r="SXE3422" s="917"/>
      <c r="SXF3422" s="917"/>
      <c r="SXG3422" s="917"/>
      <c r="SXH3422" s="917"/>
      <c r="SXI3422" s="917"/>
      <c r="SXJ3422" s="917"/>
      <c r="SXK3422" s="917"/>
      <c r="SXL3422" s="917"/>
      <c r="SXM3422" s="917"/>
      <c r="SXN3422" s="917"/>
      <c r="SXO3422" s="917"/>
      <c r="SXP3422" s="917"/>
      <c r="SXQ3422" s="917"/>
      <c r="SXR3422" s="917"/>
      <c r="SXS3422" s="917"/>
      <c r="SXT3422" s="917"/>
      <c r="SXU3422" s="917"/>
      <c r="SXV3422" s="917"/>
      <c r="SXW3422" s="917"/>
      <c r="SXX3422" s="917"/>
      <c r="SXY3422" s="917" t="s">
        <v>78</v>
      </c>
      <c r="SXZ3422" s="917"/>
      <c r="SYA3422" s="917"/>
      <c r="SYB3422" s="917"/>
      <c r="SYC3422" s="917"/>
      <c r="SYD3422" s="917"/>
      <c r="SYE3422" s="917"/>
      <c r="SYF3422" s="917"/>
      <c r="SYG3422" s="917"/>
      <c r="SYH3422" s="917"/>
      <c r="SYI3422" s="917"/>
      <c r="SYJ3422" s="917"/>
      <c r="SYK3422" s="917"/>
      <c r="SYL3422" s="917"/>
      <c r="SYM3422" s="917"/>
      <c r="SYN3422" s="917"/>
      <c r="SYO3422" s="917"/>
      <c r="SYP3422" s="917"/>
      <c r="SYQ3422" s="917"/>
      <c r="SYR3422" s="917"/>
      <c r="SYS3422" s="917"/>
      <c r="SYT3422" s="917"/>
      <c r="SYU3422" s="917"/>
      <c r="SYV3422" s="917"/>
      <c r="SYW3422" s="917"/>
      <c r="SYX3422" s="917"/>
      <c r="SYY3422" s="917"/>
      <c r="SYZ3422" s="917"/>
      <c r="SZA3422" s="917"/>
      <c r="SZB3422" s="917"/>
      <c r="SZC3422" s="917"/>
      <c r="SZD3422" s="917"/>
      <c r="SZE3422" s="917" t="s">
        <v>78</v>
      </c>
      <c r="SZF3422" s="917"/>
      <c r="SZG3422" s="917"/>
      <c r="SZH3422" s="917"/>
      <c r="SZI3422" s="917"/>
      <c r="SZJ3422" s="917"/>
      <c r="SZK3422" s="917"/>
      <c r="SZL3422" s="917"/>
      <c r="SZM3422" s="917"/>
      <c r="SZN3422" s="917"/>
      <c r="SZO3422" s="917"/>
      <c r="SZP3422" s="917"/>
      <c r="SZQ3422" s="917"/>
      <c r="SZR3422" s="917"/>
      <c r="SZS3422" s="917"/>
      <c r="SZT3422" s="917"/>
      <c r="SZU3422" s="917"/>
      <c r="SZV3422" s="917"/>
      <c r="SZW3422" s="917"/>
      <c r="SZX3422" s="917"/>
      <c r="SZY3422" s="917"/>
      <c r="SZZ3422" s="917"/>
      <c r="TAA3422" s="917"/>
      <c r="TAB3422" s="917"/>
      <c r="TAC3422" s="917"/>
      <c r="TAD3422" s="917"/>
      <c r="TAE3422" s="917"/>
      <c r="TAF3422" s="917"/>
      <c r="TAG3422" s="917"/>
      <c r="TAH3422" s="917"/>
      <c r="TAI3422" s="917"/>
      <c r="TAJ3422" s="917"/>
      <c r="TAK3422" s="917" t="s">
        <v>78</v>
      </c>
      <c r="TAL3422" s="917"/>
      <c r="TAM3422" s="917"/>
      <c r="TAN3422" s="917"/>
      <c r="TAO3422" s="917"/>
      <c r="TAP3422" s="917"/>
      <c r="TAQ3422" s="917"/>
      <c r="TAR3422" s="917"/>
      <c r="TAS3422" s="917"/>
      <c r="TAT3422" s="917"/>
      <c r="TAU3422" s="917"/>
      <c r="TAV3422" s="917"/>
      <c r="TAW3422" s="917"/>
      <c r="TAX3422" s="917"/>
      <c r="TAY3422" s="917"/>
      <c r="TAZ3422" s="917"/>
      <c r="TBA3422" s="917"/>
      <c r="TBB3422" s="917"/>
      <c r="TBC3422" s="917"/>
      <c r="TBD3422" s="917"/>
      <c r="TBE3422" s="917"/>
      <c r="TBF3422" s="917"/>
      <c r="TBG3422" s="917"/>
      <c r="TBH3422" s="917"/>
      <c r="TBI3422" s="917"/>
      <c r="TBJ3422" s="917"/>
      <c r="TBK3422" s="917"/>
      <c r="TBL3422" s="917"/>
      <c r="TBM3422" s="917"/>
      <c r="TBN3422" s="917"/>
      <c r="TBO3422" s="917"/>
      <c r="TBP3422" s="917"/>
      <c r="TBQ3422" s="917" t="s">
        <v>78</v>
      </c>
      <c r="TBR3422" s="917"/>
      <c r="TBS3422" s="917"/>
      <c r="TBT3422" s="917"/>
      <c r="TBU3422" s="917"/>
      <c r="TBV3422" s="917"/>
      <c r="TBW3422" s="917"/>
      <c r="TBX3422" s="917"/>
      <c r="TBY3422" s="917"/>
      <c r="TBZ3422" s="917"/>
      <c r="TCA3422" s="917"/>
      <c r="TCB3422" s="917"/>
      <c r="TCC3422" s="917"/>
      <c r="TCD3422" s="917"/>
      <c r="TCE3422" s="917"/>
      <c r="TCF3422" s="917"/>
      <c r="TCG3422" s="917"/>
      <c r="TCH3422" s="917"/>
      <c r="TCI3422" s="917"/>
      <c r="TCJ3422" s="917"/>
      <c r="TCK3422" s="917"/>
      <c r="TCL3422" s="917"/>
      <c r="TCM3422" s="917"/>
      <c r="TCN3422" s="917"/>
      <c r="TCO3422" s="917"/>
      <c r="TCP3422" s="917"/>
      <c r="TCQ3422" s="917"/>
      <c r="TCR3422" s="917"/>
      <c r="TCS3422" s="917"/>
      <c r="TCT3422" s="917"/>
      <c r="TCU3422" s="917"/>
      <c r="TCV3422" s="917"/>
      <c r="TCW3422" s="917" t="s">
        <v>78</v>
      </c>
      <c r="TCX3422" s="917"/>
      <c r="TCY3422" s="917"/>
      <c r="TCZ3422" s="917"/>
      <c r="TDA3422" s="917"/>
      <c r="TDB3422" s="917"/>
      <c r="TDC3422" s="917"/>
      <c r="TDD3422" s="917"/>
      <c r="TDE3422" s="917"/>
      <c r="TDF3422" s="917"/>
      <c r="TDG3422" s="917"/>
      <c r="TDH3422" s="917"/>
      <c r="TDI3422" s="917"/>
      <c r="TDJ3422" s="917"/>
      <c r="TDK3422" s="917"/>
      <c r="TDL3422" s="917"/>
      <c r="TDM3422" s="917"/>
      <c r="TDN3422" s="917"/>
      <c r="TDO3422" s="917"/>
      <c r="TDP3422" s="917"/>
      <c r="TDQ3422" s="917"/>
      <c r="TDR3422" s="917"/>
      <c r="TDS3422" s="917"/>
      <c r="TDT3422" s="917"/>
      <c r="TDU3422" s="917"/>
      <c r="TDV3422" s="917"/>
      <c r="TDW3422" s="917"/>
      <c r="TDX3422" s="917"/>
      <c r="TDY3422" s="917"/>
      <c r="TDZ3422" s="917"/>
      <c r="TEA3422" s="917"/>
      <c r="TEB3422" s="917"/>
      <c r="TEC3422" s="917" t="s">
        <v>78</v>
      </c>
      <c r="TED3422" s="917"/>
      <c r="TEE3422" s="917"/>
      <c r="TEF3422" s="917"/>
      <c r="TEG3422" s="917"/>
      <c r="TEH3422" s="917"/>
      <c r="TEI3422" s="917"/>
      <c r="TEJ3422" s="917"/>
      <c r="TEK3422" s="917"/>
      <c r="TEL3422" s="917"/>
      <c r="TEM3422" s="917"/>
      <c r="TEN3422" s="917"/>
      <c r="TEO3422" s="917"/>
      <c r="TEP3422" s="917"/>
      <c r="TEQ3422" s="917"/>
      <c r="TER3422" s="917"/>
      <c r="TES3422" s="917"/>
      <c r="TET3422" s="917"/>
      <c r="TEU3422" s="917"/>
      <c r="TEV3422" s="917"/>
      <c r="TEW3422" s="917"/>
      <c r="TEX3422" s="917"/>
      <c r="TEY3422" s="917"/>
      <c r="TEZ3422" s="917"/>
      <c r="TFA3422" s="917"/>
      <c r="TFB3422" s="917"/>
      <c r="TFC3422" s="917"/>
      <c r="TFD3422" s="917"/>
      <c r="TFE3422" s="917"/>
      <c r="TFF3422" s="917"/>
      <c r="TFG3422" s="917"/>
      <c r="TFH3422" s="917"/>
      <c r="TFI3422" s="917" t="s">
        <v>78</v>
      </c>
      <c r="TFJ3422" s="917"/>
      <c r="TFK3422" s="917"/>
      <c r="TFL3422" s="917"/>
      <c r="TFM3422" s="917"/>
      <c r="TFN3422" s="917"/>
      <c r="TFO3422" s="917"/>
      <c r="TFP3422" s="917"/>
      <c r="TFQ3422" s="917"/>
      <c r="TFR3422" s="917"/>
      <c r="TFS3422" s="917"/>
      <c r="TFT3422" s="917"/>
      <c r="TFU3422" s="917"/>
      <c r="TFV3422" s="917"/>
      <c r="TFW3422" s="917"/>
      <c r="TFX3422" s="917"/>
      <c r="TFY3422" s="917"/>
      <c r="TFZ3422" s="917"/>
      <c r="TGA3422" s="917"/>
      <c r="TGB3422" s="917"/>
      <c r="TGC3422" s="917"/>
      <c r="TGD3422" s="917"/>
      <c r="TGE3422" s="917"/>
      <c r="TGF3422" s="917"/>
      <c r="TGG3422" s="917"/>
      <c r="TGH3422" s="917"/>
      <c r="TGI3422" s="917"/>
      <c r="TGJ3422" s="917"/>
      <c r="TGK3422" s="917"/>
      <c r="TGL3422" s="917"/>
      <c r="TGM3422" s="917"/>
      <c r="TGN3422" s="917"/>
      <c r="TGO3422" s="917" t="s">
        <v>78</v>
      </c>
      <c r="TGP3422" s="917"/>
      <c r="TGQ3422" s="917"/>
      <c r="TGR3422" s="917"/>
      <c r="TGS3422" s="917"/>
      <c r="TGT3422" s="917"/>
      <c r="TGU3422" s="917"/>
      <c r="TGV3422" s="917"/>
      <c r="TGW3422" s="917"/>
      <c r="TGX3422" s="917"/>
      <c r="TGY3422" s="917"/>
      <c r="TGZ3422" s="917"/>
      <c r="THA3422" s="917"/>
      <c r="THB3422" s="917"/>
      <c r="THC3422" s="917"/>
      <c r="THD3422" s="917"/>
      <c r="THE3422" s="917"/>
      <c r="THF3422" s="917"/>
      <c r="THG3422" s="917"/>
      <c r="THH3422" s="917"/>
      <c r="THI3422" s="917"/>
      <c r="THJ3422" s="917"/>
      <c r="THK3422" s="917"/>
      <c r="THL3422" s="917"/>
      <c r="THM3422" s="917"/>
      <c r="THN3422" s="917"/>
      <c r="THO3422" s="917"/>
      <c r="THP3422" s="917"/>
      <c r="THQ3422" s="917"/>
      <c r="THR3422" s="917"/>
      <c r="THS3422" s="917"/>
      <c r="THT3422" s="917"/>
      <c r="THU3422" s="917" t="s">
        <v>78</v>
      </c>
      <c r="THV3422" s="917"/>
      <c r="THW3422" s="917"/>
      <c r="THX3422" s="917"/>
      <c r="THY3422" s="917"/>
      <c r="THZ3422" s="917"/>
      <c r="TIA3422" s="917"/>
      <c r="TIB3422" s="917"/>
      <c r="TIC3422" s="917"/>
      <c r="TID3422" s="917"/>
      <c r="TIE3422" s="917"/>
      <c r="TIF3422" s="917"/>
      <c r="TIG3422" s="917"/>
      <c r="TIH3422" s="917"/>
      <c r="TII3422" s="917"/>
      <c r="TIJ3422" s="917"/>
      <c r="TIK3422" s="917"/>
      <c r="TIL3422" s="917"/>
      <c r="TIM3422" s="917"/>
      <c r="TIN3422" s="917"/>
      <c r="TIO3422" s="917"/>
      <c r="TIP3422" s="917"/>
      <c r="TIQ3422" s="917"/>
      <c r="TIR3422" s="917"/>
      <c r="TIS3422" s="917"/>
      <c r="TIT3422" s="917"/>
      <c r="TIU3422" s="917"/>
      <c r="TIV3422" s="917"/>
      <c r="TIW3422" s="917"/>
      <c r="TIX3422" s="917"/>
      <c r="TIY3422" s="917"/>
      <c r="TIZ3422" s="917"/>
      <c r="TJA3422" s="917" t="s">
        <v>78</v>
      </c>
      <c r="TJB3422" s="917"/>
      <c r="TJC3422" s="917"/>
      <c r="TJD3422" s="917"/>
      <c r="TJE3422" s="917"/>
      <c r="TJF3422" s="917"/>
      <c r="TJG3422" s="917"/>
      <c r="TJH3422" s="917"/>
      <c r="TJI3422" s="917"/>
      <c r="TJJ3422" s="917"/>
      <c r="TJK3422" s="917"/>
      <c r="TJL3422" s="917"/>
      <c r="TJM3422" s="917"/>
      <c r="TJN3422" s="917"/>
      <c r="TJO3422" s="917"/>
      <c r="TJP3422" s="917"/>
      <c r="TJQ3422" s="917"/>
      <c r="TJR3422" s="917"/>
      <c r="TJS3422" s="917"/>
      <c r="TJT3422" s="917"/>
      <c r="TJU3422" s="917"/>
      <c r="TJV3422" s="917"/>
      <c r="TJW3422" s="917"/>
      <c r="TJX3422" s="917"/>
      <c r="TJY3422" s="917"/>
      <c r="TJZ3422" s="917"/>
      <c r="TKA3422" s="917"/>
      <c r="TKB3422" s="917"/>
      <c r="TKC3422" s="917"/>
      <c r="TKD3422" s="917"/>
      <c r="TKE3422" s="917"/>
      <c r="TKF3422" s="917"/>
      <c r="TKG3422" s="917" t="s">
        <v>78</v>
      </c>
      <c r="TKH3422" s="917"/>
      <c r="TKI3422" s="917"/>
      <c r="TKJ3422" s="917"/>
      <c r="TKK3422" s="917"/>
      <c r="TKL3422" s="917"/>
      <c r="TKM3422" s="917"/>
      <c r="TKN3422" s="917"/>
      <c r="TKO3422" s="917"/>
      <c r="TKP3422" s="917"/>
      <c r="TKQ3422" s="917"/>
      <c r="TKR3422" s="917"/>
      <c r="TKS3422" s="917"/>
      <c r="TKT3422" s="917"/>
      <c r="TKU3422" s="917"/>
      <c r="TKV3422" s="917"/>
      <c r="TKW3422" s="917"/>
      <c r="TKX3422" s="917"/>
      <c r="TKY3422" s="917"/>
      <c r="TKZ3422" s="917"/>
      <c r="TLA3422" s="917"/>
      <c r="TLB3422" s="917"/>
      <c r="TLC3422" s="917"/>
      <c r="TLD3422" s="917"/>
      <c r="TLE3422" s="917"/>
      <c r="TLF3422" s="917"/>
      <c r="TLG3422" s="917"/>
      <c r="TLH3422" s="917"/>
      <c r="TLI3422" s="917"/>
      <c r="TLJ3422" s="917"/>
      <c r="TLK3422" s="917"/>
      <c r="TLL3422" s="917"/>
      <c r="TLM3422" s="917" t="s">
        <v>78</v>
      </c>
      <c r="TLN3422" s="917"/>
      <c r="TLO3422" s="917"/>
      <c r="TLP3422" s="917"/>
      <c r="TLQ3422" s="917"/>
      <c r="TLR3422" s="917"/>
      <c r="TLS3422" s="917"/>
      <c r="TLT3422" s="917"/>
      <c r="TLU3422" s="917"/>
      <c r="TLV3422" s="917"/>
      <c r="TLW3422" s="917"/>
      <c r="TLX3422" s="917"/>
      <c r="TLY3422" s="917"/>
      <c r="TLZ3422" s="917"/>
      <c r="TMA3422" s="917"/>
      <c r="TMB3422" s="917"/>
      <c r="TMC3422" s="917"/>
      <c r="TMD3422" s="917"/>
      <c r="TME3422" s="917"/>
      <c r="TMF3422" s="917"/>
      <c r="TMG3422" s="917"/>
      <c r="TMH3422" s="917"/>
      <c r="TMI3422" s="917"/>
      <c r="TMJ3422" s="917"/>
      <c r="TMK3422" s="917"/>
      <c r="TML3422" s="917"/>
      <c r="TMM3422" s="917"/>
      <c r="TMN3422" s="917"/>
      <c r="TMO3422" s="917"/>
      <c r="TMP3422" s="917"/>
      <c r="TMQ3422" s="917"/>
      <c r="TMR3422" s="917"/>
      <c r="TMS3422" s="917" t="s">
        <v>78</v>
      </c>
      <c r="TMT3422" s="917"/>
      <c r="TMU3422" s="917"/>
      <c r="TMV3422" s="917"/>
      <c r="TMW3422" s="917"/>
      <c r="TMX3422" s="917"/>
      <c r="TMY3422" s="917"/>
      <c r="TMZ3422" s="917"/>
      <c r="TNA3422" s="917"/>
      <c r="TNB3422" s="917"/>
      <c r="TNC3422" s="917"/>
      <c r="TND3422" s="917"/>
      <c r="TNE3422" s="917"/>
      <c r="TNF3422" s="917"/>
      <c r="TNG3422" s="917"/>
      <c r="TNH3422" s="917"/>
      <c r="TNI3422" s="917"/>
      <c r="TNJ3422" s="917"/>
      <c r="TNK3422" s="917"/>
      <c r="TNL3422" s="917"/>
      <c r="TNM3422" s="917"/>
      <c r="TNN3422" s="917"/>
      <c r="TNO3422" s="917"/>
      <c r="TNP3422" s="917"/>
      <c r="TNQ3422" s="917"/>
      <c r="TNR3422" s="917"/>
      <c r="TNS3422" s="917"/>
      <c r="TNT3422" s="917"/>
      <c r="TNU3422" s="917"/>
      <c r="TNV3422" s="917"/>
      <c r="TNW3422" s="917"/>
      <c r="TNX3422" s="917"/>
      <c r="TNY3422" s="917" t="s">
        <v>78</v>
      </c>
      <c r="TNZ3422" s="917"/>
      <c r="TOA3422" s="917"/>
      <c r="TOB3422" s="917"/>
      <c r="TOC3422" s="917"/>
      <c r="TOD3422" s="917"/>
      <c r="TOE3422" s="917"/>
      <c r="TOF3422" s="917"/>
      <c r="TOG3422" s="917"/>
      <c r="TOH3422" s="917"/>
      <c r="TOI3422" s="917"/>
      <c r="TOJ3422" s="917"/>
      <c r="TOK3422" s="917"/>
      <c r="TOL3422" s="917"/>
      <c r="TOM3422" s="917"/>
      <c r="TON3422" s="917"/>
      <c r="TOO3422" s="917"/>
      <c r="TOP3422" s="917"/>
      <c r="TOQ3422" s="917"/>
      <c r="TOR3422" s="917"/>
      <c r="TOS3422" s="917"/>
      <c r="TOT3422" s="917"/>
      <c r="TOU3422" s="917"/>
      <c r="TOV3422" s="917"/>
      <c r="TOW3422" s="917"/>
      <c r="TOX3422" s="917"/>
      <c r="TOY3422" s="917"/>
      <c r="TOZ3422" s="917"/>
      <c r="TPA3422" s="917"/>
      <c r="TPB3422" s="917"/>
      <c r="TPC3422" s="917"/>
      <c r="TPD3422" s="917"/>
      <c r="TPE3422" s="917" t="s">
        <v>78</v>
      </c>
      <c r="TPF3422" s="917"/>
      <c r="TPG3422" s="917"/>
      <c r="TPH3422" s="917"/>
      <c r="TPI3422" s="917"/>
      <c r="TPJ3422" s="917"/>
      <c r="TPK3422" s="917"/>
      <c r="TPL3422" s="917"/>
      <c r="TPM3422" s="917"/>
      <c r="TPN3422" s="917"/>
      <c r="TPO3422" s="917"/>
      <c r="TPP3422" s="917"/>
      <c r="TPQ3422" s="917"/>
      <c r="TPR3422" s="917"/>
      <c r="TPS3422" s="917"/>
      <c r="TPT3422" s="917"/>
      <c r="TPU3422" s="917"/>
      <c r="TPV3422" s="917"/>
      <c r="TPW3422" s="917"/>
      <c r="TPX3422" s="917"/>
      <c r="TPY3422" s="917"/>
      <c r="TPZ3422" s="917"/>
      <c r="TQA3422" s="917"/>
      <c r="TQB3422" s="917"/>
      <c r="TQC3422" s="917"/>
      <c r="TQD3422" s="917"/>
      <c r="TQE3422" s="917"/>
      <c r="TQF3422" s="917"/>
      <c r="TQG3422" s="917"/>
      <c r="TQH3422" s="917"/>
      <c r="TQI3422" s="917"/>
      <c r="TQJ3422" s="917"/>
      <c r="TQK3422" s="917" t="s">
        <v>78</v>
      </c>
      <c r="TQL3422" s="917"/>
      <c r="TQM3422" s="917"/>
      <c r="TQN3422" s="917"/>
      <c r="TQO3422" s="917"/>
      <c r="TQP3422" s="917"/>
      <c r="TQQ3422" s="917"/>
      <c r="TQR3422" s="917"/>
      <c r="TQS3422" s="917"/>
      <c r="TQT3422" s="917"/>
      <c r="TQU3422" s="917"/>
      <c r="TQV3422" s="917"/>
      <c r="TQW3422" s="917"/>
      <c r="TQX3422" s="917"/>
      <c r="TQY3422" s="917"/>
      <c r="TQZ3422" s="917"/>
      <c r="TRA3422" s="917"/>
      <c r="TRB3422" s="917"/>
      <c r="TRC3422" s="917"/>
      <c r="TRD3422" s="917"/>
      <c r="TRE3422" s="917"/>
      <c r="TRF3422" s="917"/>
      <c r="TRG3422" s="917"/>
      <c r="TRH3422" s="917"/>
      <c r="TRI3422" s="917"/>
      <c r="TRJ3422" s="917"/>
      <c r="TRK3422" s="917"/>
      <c r="TRL3422" s="917"/>
      <c r="TRM3422" s="917"/>
      <c r="TRN3422" s="917"/>
      <c r="TRO3422" s="917"/>
      <c r="TRP3422" s="917"/>
      <c r="TRQ3422" s="917" t="s">
        <v>78</v>
      </c>
      <c r="TRR3422" s="917"/>
      <c r="TRS3422" s="917"/>
      <c r="TRT3422" s="917"/>
      <c r="TRU3422" s="917"/>
      <c r="TRV3422" s="917"/>
      <c r="TRW3422" s="917"/>
      <c r="TRX3422" s="917"/>
      <c r="TRY3422" s="917"/>
      <c r="TRZ3422" s="917"/>
      <c r="TSA3422" s="917"/>
      <c r="TSB3422" s="917"/>
      <c r="TSC3422" s="917"/>
      <c r="TSD3422" s="917"/>
      <c r="TSE3422" s="917"/>
      <c r="TSF3422" s="917"/>
      <c r="TSG3422" s="917"/>
      <c r="TSH3422" s="917"/>
      <c r="TSI3422" s="917"/>
      <c r="TSJ3422" s="917"/>
      <c r="TSK3422" s="917"/>
      <c r="TSL3422" s="917"/>
      <c r="TSM3422" s="917"/>
      <c r="TSN3422" s="917"/>
      <c r="TSO3422" s="917"/>
      <c r="TSP3422" s="917"/>
      <c r="TSQ3422" s="917"/>
      <c r="TSR3422" s="917"/>
      <c r="TSS3422" s="917"/>
      <c r="TST3422" s="917"/>
      <c r="TSU3422" s="917"/>
      <c r="TSV3422" s="917"/>
      <c r="TSW3422" s="917" t="s">
        <v>78</v>
      </c>
      <c r="TSX3422" s="917"/>
      <c r="TSY3422" s="917"/>
      <c r="TSZ3422" s="917"/>
      <c r="TTA3422" s="917"/>
      <c r="TTB3422" s="917"/>
      <c r="TTC3422" s="917"/>
      <c r="TTD3422" s="917"/>
      <c r="TTE3422" s="917"/>
      <c r="TTF3422" s="917"/>
      <c r="TTG3422" s="917"/>
      <c r="TTH3422" s="917"/>
      <c r="TTI3422" s="917"/>
      <c r="TTJ3422" s="917"/>
      <c r="TTK3422" s="917"/>
      <c r="TTL3422" s="917"/>
      <c r="TTM3422" s="917"/>
      <c r="TTN3422" s="917"/>
      <c r="TTO3422" s="917"/>
      <c r="TTP3422" s="917"/>
      <c r="TTQ3422" s="917"/>
      <c r="TTR3422" s="917"/>
      <c r="TTS3422" s="917"/>
      <c r="TTT3422" s="917"/>
      <c r="TTU3422" s="917"/>
      <c r="TTV3422" s="917"/>
      <c r="TTW3422" s="917"/>
      <c r="TTX3422" s="917"/>
      <c r="TTY3422" s="917"/>
      <c r="TTZ3422" s="917"/>
      <c r="TUA3422" s="917"/>
      <c r="TUB3422" s="917"/>
      <c r="TUC3422" s="917" t="s">
        <v>78</v>
      </c>
      <c r="TUD3422" s="917"/>
      <c r="TUE3422" s="917"/>
      <c r="TUF3422" s="917"/>
      <c r="TUG3422" s="917"/>
      <c r="TUH3422" s="917"/>
      <c r="TUI3422" s="917"/>
      <c r="TUJ3422" s="917"/>
      <c r="TUK3422" s="917"/>
      <c r="TUL3422" s="917"/>
      <c r="TUM3422" s="917"/>
      <c r="TUN3422" s="917"/>
      <c r="TUO3422" s="917"/>
      <c r="TUP3422" s="917"/>
      <c r="TUQ3422" s="917"/>
      <c r="TUR3422" s="917"/>
      <c r="TUS3422" s="917"/>
      <c r="TUT3422" s="917"/>
      <c r="TUU3422" s="917"/>
      <c r="TUV3422" s="917"/>
      <c r="TUW3422" s="917"/>
      <c r="TUX3422" s="917"/>
      <c r="TUY3422" s="917"/>
      <c r="TUZ3422" s="917"/>
      <c r="TVA3422" s="917"/>
      <c r="TVB3422" s="917"/>
      <c r="TVC3422" s="917"/>
      <c r="TVD3422" s="917"/>
      <c r="TVE3422" s="917"/>
      <c r="TVF3422" s="917"/>
      <c r="TVG3422" s="917"/>
      <c r="TVH3422" s="917"/>
      <c r="TVI3422" s="917" t="s">
        <v>78</v>
      </c>
      <c r="TVJ3422" s="917"/>
      <c r="TVK3422" s="917"/>
      <c r="TVL3422" s="917"/>
      <c r="TVM3422" s="917"/>
      <c r="TVN3422" s="917"/>
      <c r="TVO3422" s="917"/>
      <c r="TVP3422" s="917"/>
      <c r="TVQ3422" s="917"/>
      <c r="TVR3422" s="917"/>
      <c r="TVS3422" s="917"/>
      <c r="TVT3422" s="917"/>
      <c r="TVU3422" s="917"/>
      <c r="TVV3422" s="917"/>
      <c r="TVW3422" s="917"/>
      <c r="TVX3422" s="917"/>
      <c r="TVY3422" s="917"/>
      <c r="TVZ3422" s="917"/>
      <c r="TWA3422" s="917"/>
      <c r="TWB3422" s="917"/>
      <c r="TWC3422" s="917"/>
      <c r="TWD3422" s="917"/>
      <c r="TWE3422" s="917"/>
      <c r="TWF3422" s="917"/>
      <c r="TWG3422" s="917"/>
      <c r="TWH3422" s="917"/>
      <c r="TWI3422" s="917"/>
      <c r="TWJ3422" s="917"/>
      <c r="TWK3422" s="917"/>
      <c r="TWL3422" s="917"/>
      <c r="TWM3422" s="917"/>
      <c r="TWN3422" s="917"/>
      <c r="TWO3422" s="917" t="s">
        <v>78</v>
      </c>
      <c r="TWP3422" s="917"/>
      <c r="TWQ3422" s="917"/>
      <c r="TWR3422" s="917"/>
      <c r="TWS3422" s="917"/>
      <c r="TWT3422" s="917"/>
      <c r="TWU3422" s="917"/>
      <c r="TWV3422" s="917"/>
      <c r="TWW3422" s="917"/>
      <c r="TWX3422" s="917"/>
      <c r="TWY3422" s="917"/>
      <c r="TWZ3422" s="917"/>
      <c r="TXA3422" s="917"/>
      <c r="TXB3422" s="917"/>
      <c r="TXC3422" s="917"/>
      <c r="TXD3422" s="917"/>
      <c r="TXE3422" s="917"/>
      <c r="TXF3422" s="917"/>
      <c r="TXG3422" s="917"/>
      <c r="TXH3422" s="917"/>
      <c r="TXI3422" s="917"/>
      <c r="TXJ3422" s="917"/>
      <c r="TXK3422" s="917"/>
      <c r="TXL3422" s="917"/>
      <c r="TXM3422" s="917"/>
      <c r="TXN3422" s="917"/>
      <c r="TXO3422" s="917"/>
      <c r="TXP3422" s="917"/>
      <c r="TXQ3422" s="917"/>
      <c r="TXR3422" s="917"/>
      <c r="TXS3422" s="917"/>
      <c r="TXT3422" s="917"/>
      <c r="TXU3422" s="917" t="s">
        <v>78</v>
      </c>
      <c r="TXV3422" s="917"/>
      <c r="TXW3422" s="917"/>
      <c r="TXX3422" s="917"/>
      <c r="TXY3422" s="917"/>
      <c r="TXZ3422" s="917"/>
      <c r="TYA3422" s="917"/>
      <c r="TYB3422" s="917"/>
      <c r="TYC3422" s="917"/>
      <c r="TYD3422" s="917"/>
      <c r="TYE3422" s="917"/>
      <c r="TYF3422" s="917"/>
      <c r="TYG3422" s="917"/>
      <c r="TYH3422" s="917"/>
      <c r="TYI3422" s="917"/>
      <c r="TYJ3422" s="917"/>
      <c r="TYK3422" s="917"/>
      <c r="TYL3422" s="917"/>
      <c r="TYM3422" s="917"/>
      <c r="TYN3422" s="917"/>
      <c r="TYO3422" s="917"/>
      <c r="TYP3422" s="917"/>
      <c r="TYQ3422" s="917"/>
      <c r="TYR3422" s="917"/>
      <c r="TYS3422" s="917"/>
      <c r="TYT3422" s="917"/>
      <c r="TYU3422" s="917"/>
      <c r="TYV3422" s="917"/>
      <c r="TYW3422" s="917"/>
      <c r="TYX3422" s="917"/>
      <c r="TYY3422" s="917"/>
      <c r="TYZ3422" s="917"/>
      <c r="TZA3422" s="917" t="s">
        <v>78</v>
      </c>
      <c r="TZB3422" s="917"/>
      <c r="TZC3422" s="917"/>
      <c r="TZD3422" s="917"/>
      <c r="TZE3422" s="917"/>
      <c r="TZF3422" s="917"/>
      <c r="TZG3422" s="917"/>
      <c r="TZH3422" s="917"/>
      <c r="TZI3422" s="917"/>
      <c r="TZJ3422" s="917"/>
      <c r="TZK3422" s="917"/>
      <c r="TZL3422" s="917"/>
      <c r="TZM3422" s="917"/>
      <c r="TZN3422" s="917"/>
      <c r="TZO3422" s="917"/>
      <c r="TZP3422" s="917"/>
      <c r="TZQ3422" s="917"/>
      <c r="TZR3422" s="917"/>
      <c r="TZS3422" s="917"/>
      <c r="TZT3422" s="917"/>
      <c r="TZU3422" s="917"/>
      <c r="TZV3422" s="917"/>
      <c r="TZW3422" s="917"/>
      <c r="TZX3422" s="917"/>
      <c r="TZY3422" s="917"/>
      <c r="TZZ3422" s="917"/>
      <c r="UAA3422" s="917"/>
      <c r="UAB3422" s="917"/>
      <c r="UAC3422" s="917"/>
      <c r="UAD3422" s="917"/>
      <c r="UAE3422" s="917"/>
      <c r="UAF3422" s="917"/>
      <c r="UAG3422" s="917" t="s">
        <v>78</v>
      </c>
      <c r="UAH3422" s="917"/>
      <c r="UAI3422" s="917"/>
      <c r="UAJ3422" s="917"/>
      <c r="UAK3422" s="917"/>
      <c r="UAL3422" s="917"/>
      <c r="UAM3422" s="917"/>
      <c r="UAN3422" s="917"/>
      <c r="UAO3422" s="917"/>
      <c r="UAP3422" s="917"/>
      <c r="UAQ3422" s="917"/>
      <c r="UAR3422" s="917"/>
      <c r="UAS3422" s="917"/>
      <c r="UAT3422" s="917"/>
      <c r="UAU3422" s="917"/>
      <c r="UAV3422" s="917"/>
      <c r="UAW3422" s="917"/>
      <c r="UAX3422" s="917"/>
      <c r="UAY3422" s="917"/>
      <c r="UAZ3422" s="917"/>
      <c r="UBA3422" s="917"/>
      <c r="UBB3422" s="917"/>
      <c r="UBC3422" s="917"/>
      <c r="UBD3422" s="917"/>
      <c r="UBE3422" s="917"/>
      <c r="UBF3422" s="917"/>
      <c r="UBG3422" s="917"/>
      <c r="UBH3422" s="917"/>
      <c r="UBI3422" s="917"/>
      <c r="UBJ3422" s="917"/>
      <c r="UBK3422" s="917"/>
      <c r="UBL3422" s="917"/>
      <c r="UBM3422" s="917" t="s">
        <v>78</v>
      </c>
      <c r="UBN3422" s="917"/>
      <c r="UBO3422" s="917"/>
      <c r="UBP3422" s="917"/>
      <c r="UBQ3422" s="917"/>
      <c r="UBR3422" s="917"/>
      <c r="UBS3422" s="917"/>
      <c r="UBT3422" s="917"/>
      <c r="UBU3422" s="917"/>
      <c r="UBV3422" s="917"/>
      <c r="UBW3422" s="917"/>
      <c r="UBX3422" s="917"/>
      <c r="UBY3422" s="917"/>
      <c r="UBZ3422" s="917"/>
      <c r="UCA3422" s="917"/>
      <c r="UCB3422" s="917"/>
      <c r="UCC3422" s="917"/>
      <c r="UCD3422" s="917"/>
      <c r="UCE3422" s="917"/>
      <c r="UCF3422" s="917"/>
      <c r="UCG3422" s="917"/>
      <c r="UCH3422" s="917"/>
      <c r="UCI3422" s="917"/>
      <c r="UCJ3422" s="917"/>
      <c r="UCK3422" s="917"/>
      <c r="UCL3422" s="917"/>
      <c r="UCM3422" s="917"/>
      <c r="UCN3422" s="917"/>
      <c r="UCO3422" s="917"/>
      <c r="UCP3422" s="917"/>
      <c r="UCQ3422" s="917"/>
      <c r="UCR3422" s="917"/>
      <c r="UCS3422" s="917" t="s">
        <v>78</v>
      </c>
      <c r="UCT3422" s="917"/>
      <c r="UCU3422" s="917"/>
      <c r="UCV3422" s="917"/>
      <c r="UCW3422" s="917"/>
      <c r="UCX3422" s="917"/>
      <c r="UCY3422" s="917"/>
      <c r="UCZ3422" s="917"/>
      <c r="UDA3422" s="917"/>
      <c r="UDB3422" s="917"/>
      <c r="UDC3422" s="917"/>
      <c r="UDD3422" s="917"/>
      <c r="UDE3422" s="917"/>
      <c r="UDF3422" s="917"/>
      <c r="UDG3422" s="917"/>
      <c r="UDH3422" s="917"/>
      <c r="UDI3422" s="917"/>
      <c r="UDJ3422" s="917"/>
      <c r="UDK3422" s="917"/>
      <c r="UDL3422" s="917"/>
      <c r="UDM3422" s="917"/>
      <c r="UDN3422" s="917"/>
      <c r="UDO3422" s="917"/>
      <c r="UDP3422" s="917"/>
      <c r="UDQ3422" s="917"/>
      <c r="UDR3422" s="917"/>
      <c r="UDS3422" s="917"/>
      <c r="UDT3422" s="917"/>
      <c r="UDU3422" s="917"/>
      <c r="UDV3422" s="917"/>
      <c r="UDW3422" s="917"/>
      <c r="UDX3422" s="917"/>
      <c r="UDY3422" s="917" t="s">
        <v>78</v>
      </c>
      <c r="UDZ3422" s="917"/>
      <c r="UEA3422" s="917"/>
      <c r="UEB3422" s="917"/>
      <c r="UEC3422" s="917"/>
      <c r="UED3422" s="917"/>
      <c r="UEE3422" s="917"/>
      <c r="UEF3422" s="917"/>
      <c r="UEG3422" s="917"/>
      <c r="UEH3422" s="917"/>
      <c r="UEI3422" s="917"/>
      <c r="UEJ3422" s="917"/>
      <c r="UEK3422" s="917"/>
      <c r="UEL3422" s="917"/>
      <c r="UEM3422" s="917"/>
      <c r="UEN3422" s="917"/>
      <c r="UEO3422" s="917"/>
      <c r="UEP3422" s="917"/>
      <c r="UEQ3422" s="917"/>
      <c r="UER3422" s="917"/>
      <c r="UES3422" s="917"/>
      <c r="UET3422" s="917"/>
      <c r="UEU3422" s="917"/>
      <c r="UEV3422" s="917"/>
      <c r="UEW3422" s="917"/>
      <c r="UEX3422" s="917"/>
      <c r="UEY3422" s="917"/>
      <c r="UEZ3422" s="917"/>
      <c r="UFA3422" s="917"/>
      <c r="UFB3422" s="917"/>
      <c r="UFC3422" s="917"/>
      <c r="UFD3422" s="917"/>
      <c r="UFE3422" s="917" t="s">
        <v>78</v>
      </c>
      <c r="UFF3422" s="917"/>
      <c r="UFG3422" s="917"/>
      <c r="UFH3422" s="917"/>
      <c r="UFI3422" s="917"/>
      <c r="UFJ3422" s="917"/>
      <c r="UFK3422" s="917"/>
      <c r="UFL3422" s="917"/>
      <c r="UFM3422" s="917"/>
      <c r="UFN3422" s="917"/>
      <c r="UFO3422" s="917"/>
      <c r="UFP3422" s="917"/>
      <c r="UFQ3422" s="917"/>
      <c r="UFR3422" s="917"/>
      <c r="UFS3422" s="917"/>
      <c r="UFT3422" s="917"/>
      <c r="UFU3422" s="917"/>
      <c r="UFV3422" s="917"/>
      <c r="UFW3422" s="917"/>
      <c r="UFX3422" s="917"/>
      <c r="UFY3422" s="917"/>
      <c r="UFZ3422" s="917"/>
      <c r="UGA3422" s="917"/>
      <c r="UGB3422" s="917"/>
      <c r="UGC3422" s="917"/>
      <c r="UGD3422" s="917"/>
      <c r="UGE3422" s="917"/>
      <c r="UGF3422" s="917"/>
      <c r="UGG3422" s="917"/>
      <c r="UGH3422" s="917"/>
      <c r="UGI3422" s="917"/>
      <c r="UGJ3422" s="917"/>
      <c r="UGK3422" s="917" t="s">
        <v>78</v>
      </c>
      <c r="UGL3422" s="917"/>
      <c r="UGM3422" s="917"/>
      <c r="UGN3422" s="917"/>
      <c r="UGO3422" s="917"/>
      <c r="UGP3422" s="917"/>
      <c r="UGQ3422" s="917"/>
      <c r="UGR3422" s="917"/>
      <c r="UGS3422" s="917"/>
      <c r="UGT3422" s="917"/>
      <c r="UGU3422" s="917"/>
      <c r="UGV3422" s="917"/>
      <c r="UGW3422" s="917"/>
      <c r="UGX3422" s="917"/>
      <c r="UGY3422" s="917"/>
      <c r="UGZ3422" s="917"/>
      <c r="UHA3422" s="917"/>
      <c r="UHB3422" s="917"/>
      <c r="UHC3422" s="917"/>
      <c r="UHD3422" s="917"/>
      <c r="UHE3422" s="917"/>
      <c r="UHF3422" s="917"/>
      <c r="UHG3422" s="917"/>
      <c r="UHH3422" s="917"/>
      <c r="UHI3422" s="917"/>
      <c r="UHJ3422" s="917"/>
      <c r="UHK3422" s="917"/>
      <c r="UHL3422" s="917"/>
      <c r="UHM3422" s="917"/>
      <c r="UHN3422" s="917"/>
      <c r="UHO3422" s="917"/>
      <c r="UHP3422" s="917"/>
      <c r="UHQ3422" s="917" t="s">
        <v>78</v>
      </c>
      <c r="UHR3422" s="917"/>
      <c r="UHS3422" s="917"/>
      <c r="UHT3422" s="917"/>
      <c r="UHU3422" s="917"/>
      <c r="UHV3422" s="917"/>
      <c r="UHW3422" s="917"/>
      <c r="UHX3422" s="917"/>
      <c r="UHY3422" s="917"/>
      <c r="UHZ3422" s="917"/>
      <c r="UIA3422" s="917"/>
      <c r="UIB3422" s="917"/>
      <c r="UIC3422" s="917"/>
      <c r="UID3422" s="917"/>
      <c r="UIE3422" s="917"/>
      <c r="UIF3422" s="917"/>
      <c r="UIG3422" s="917"/>
      <c r="UIH3422" s="917"/>
      <c r="UII3422" s="917"/>
      <c r="UIJ3422" s="917"/>
      <c r="UIK3422" s="917"/>
      <c r="UIL3422" s="917"/>
      <c r="UIM3422" s="917"/>
      <c r="UIN3422" s="917"/>
      <c r="UIO3422" s="917"/>
      <c r="UIP3422" s="917"/>
      <c r="UIQ3422" s="917"/>
      <c r="UIR3422" s="917"/>
      <c r="UIS3422" s="917"/>
      <c r="UIT3422" s="917"/>
      <c r="UIU3422" s="917"/>
      <c r="UIV3422" s="917"/>
      <c r="UIW3422" s="917" t="s">
        <v>78</v>
      </c>
      <c r="UIX3422" s="917"/>
      <c r="UIY3422" s="917"/>
      <c r="UIZ3422" s="917"/>
      <c r="UJA3422" s="917"/>
      <c r="UJB3422" s="917"/>
      <c r="UJC3422" s="917"/>
      <c r="UJD3422" s="917"/>
      <c r="UJE3422" s="917"/>
      <c r="UJF3422" s="917"/>
      <c r="UJG3422" s="917"/>
      <c r="UJH3422" s="917"/>
      <c r="UJI3422" s="917"/>
      <c r="UJJ3422" s="917"/>
      <c r="UJK3422" s="917"/>
      <c r="UJL3422" s="917"/>
      <c r="UJM3422" s="917"/>
      <c r="UJN3422" s="917"/>
      <c r="UJO3422" s="917"/>
      <c r="UJP3422" s="917"/>
      <c r="UJQ3422" s="917"/>
      <c r="UJR3422" s="917"/>
      <c r="UJS3422" s="917"/>
      <c r="UJT3422" s="917"/>
      <c r="UJU3422" s="917"/>
      <c r="UJV3422" s="917"/>
      <c r="UJW3422" s="917"/>
      <c r="UJX3422" s="917"/>
      <c r="UJY3422" s="917"/>
      <c r="UJZ3422" s="917"/>
      <c r="UKA3422" s="917"/>
      <c r="UKB3422" s="917"/>
      <c r="UKC3422" s="917" t="s">
        <v>78</v>
      </c>
      <c r="UKD3422" s="917"/>
      <c r="UKE3422" s="917"/>
      <c r="UKF3422" s="917"/>
      <c r="UKG3422" s="917"/>
      <c r="UKH3422" s="917"/>
      <c r="UKI3422" s="917"/>
      <c r="UKJ3422" s="917"/>
      <c r="UKK3422" s="917"/>
      <c r="UKL3422" s="917"/>
      <c r="UKM3422" s="917"/>
      <c r="UKN3422" s="917"/>
      <c r="UKO3422" s="917"/>
      <c r="UKP3422" s="917"/>
      <c r="UKQ3422" s="917"/>
      <c r="UKR3422" s="917"/>
      <c r="UKS3422" s="917"/>
      <c r="UKT3422" s="917"/>
      <c r="UKU3422" s="917"/>
      <c r="UKV3422" s="917"/>
      <c r="UKW3422" s="917"/>
      <c r="UKX3422" s="917"/>
      <c r="UKY3422" s="917"/>
      <c r="UKZ3422" s="917"/>
      <c r="ULA3422" s="917"/>
      <c r="ULB3422" s="917"/>
      <c r="ULC3422" s="917"/>
      <c r="ULD3422" s="917"/>
      <c r="ULE3422" s="917"/>
      <c r="ULF3422" s="917"/>
      <c r="ULG3422" s="917"/>
      <c r="ULH3422" s="917"/>
      <c r="ULI3422" s="917" t="s">
        <v>78</v>
      </c>
      <c r="ULJ3422" s="917"/>
      <c r="ULK3422" s="917"/>
      <c r="ULL3422" s="917"/>
      <c r="ULM3422" s="917"/>
      <c r="ULN3422" s="917"/>
      <c r="ULO3422" s="917"/>
      <c r="ULP3422" s="917"/>
      <c r="ULQ3422" s="917"/>
      <c r="ULR3422" s="917"/>
      <c r="ULS3422" s="917"/>
      <c r="ULT3422" s="917"/>
      <c r="ULU3422" s="917"/>
      <c r="ULV3422" s="917"/>
      <c r="ULW3422" s="917"/>
      <c r="ULX3422" s="917"/>
      <c r="ULY3422" s="917"/>
      <c r="ULZ3422" s="917"/>
      <c r="UMA3422" s="917"/>
      <c r="UMB3422" s="917"/>
      <c r="UMC3422" s="917"/>
      <c r="UMD3422" s="917"/>
      <c r="UME3422" s="917"/>
      <c r="UMF3422" s="917"/>
      <c r="UMG3422" s="917"/>
      <c r="UMH3422" s="917"/>
      <c r="UMI3422" s="917"/>
      <c r="UMJ3422" s="917"/>
      <c r="UMK3422" s="917"/>
      <c r="UML3422" s="917"/>
      <c r="UMM3422" s="917"/>
      <c r="UMN3422" s="917"/>
      <c r="UMO3422" s="917" t="s">
        <v>78</v>
      </c>
      <c r="UMP3422" s="917"/>
      <c r="UMQ3422" s="917"/>
      <c r="UMR3422" s="917"/>
      <c r="UMS3422" s="917"/>
      <c r="UMT3422" s="917"/>
      <c r="UMU3422" s="917"/>
      <c r="UMV3422" s="917"/>
      <c r="UMW3422" s="917"/>
      <c r="UMX3422" s="917"/>
      <c r="UMY3422" s="917"/>
      <c r="UMZ3422" s="917"/>
      <c r="UNA3422" s="917"/>
      <c r="UNB3422" s="917"/>
      <c r="UNC3422" s="917"/>
      <c r="UND3422" s="917"/>
      <c r="UNE3422" s="917"/>
      <c r="UNF3422" s="917"/>
      <c r="UNG3422" s="917"/>
      <c r="UNH3422" s="917"/>
      <c r="UNI3422" s="917"/>
      <c r="UNJ3422" s="917"/>
      <c r="UNK3422" s="917"/>
      <c r="UNL3422" s="917"/>
      <c r="UNM3422" s="917"/>
      <c r="UNN3422" s="917"/>
      <c r="UNO3422" s="917"/>
      <c r="UNP3422" s="917"/>
      <c r="UNQ3422" s="917"/>
      <c r="UNR3422" s="917"/>
      <c r="UNS3422" s="917"/>
      <c r="UNT3422" s="917"/>
      <c r="UNU3422" s="917" t="s">
        <v>78</v>
      </c>
      <c r="UNV3422" s="917"/>
      <c r="UNW3422" s="917"/>
      <c r="UNX3422" s="917"/>
      <c r="UNY3422" s="917"/>
      <c r="UNZ3422" s="917"/>
      <c r="UOA3422" s="917"/>
      <c r="UOB3422" s="917"/>
      <c r="UOC3422" s="917"/>
      <c r="UOD3422" s="917"/>
      <c r="UOE3422" s="917"/>
      <c r="UOF3422" s="917"/>
      <c r="UOG3422" s="917"/>
      <c r="UOH3422" s="917"/>
      <c r="UOI3422" s="917"/>
      <c r="UOJ3422" s="917"/>
      <c r="UOK3422" s="917"/>
      <c r="UOL3422" s="917"/>
      <c r="UOM3422" s="917"/>
      <c r="UON3422" s="917"/>
      <c r="UOO3422" s="917"/>
      <c r="UOP3422" s="917"/>
      <c r="UOQ3422" s="917"/>
      <c r="UOR3422" s="917"/>
      <c r="UOS3422" s="917"/>
      <c r="UOT3422" s="917"/>
      <c r="UOU3422" s="917"/>
      <c r="UOV3422" s="917"/>
      <c r="UOW3422" s="917"/>
      <c r="UOX3422" s="917"/>
      <c r="UOY3422" s="917"/>
      <c r="UOZ3422" s="917"/>
      <c r="UPA3422" s="917" t="s">
        <v>78</v>
      </c>
      <c r="UPB3422" s="917"/>
      <c r="UPC3422" s="917"/>
      <c r="UPD3422" s="917"/>
      <c r="UPE3422" s="917"/>
      <c r="UPF3422" s="917"/>
      <c r="UPG3422" s="917"/>
      <c r="UPH3422" s="917"/>
      <c r="UPI3422" s="917"/>
      <c r="UPJ3422" s="917"/>
      <c r="UPK3422" s="917"/>
      <c r="UPL3422" s="917"/>
      <c r="UPM3422" s="917"/>
      <c r="UPN3422" s="917"/>
      <c r="UPO3422" s="917"/>
      <c r="UPP3422" s="917"/>
      <c r="UPQ3422" s="917"/>
      <c r="UPR3422" s="917"/>
      <c r="UPS3422" s="917"/>
      <c r="UPT3422" s="917"/>
      <c r="UPU3422" s="917"/>
      <c r="UPV3422" s="917"/>
      <c r="UPW3422" s="917"/>
      <c r="UPX3422" s="917"/>
      <c r="UPY3422" s="917"/>
      <c r="UPZ3422" s="917"/>
      <c r="UQA3422" s="917"/>
      <c r="UQB3422" s="917"/>
      <c r="UQC3422" s="917"/>
      <c r="UQD3422" s="917"/>
      <c r="UQE3422" s="917"/>
      <c r="UQF3422" s="917"/>
      <c r="UQG3422" s="917" t="s">
        <v>78</v>
      </c>
      <c r="UQH3422" s="917"/>
      <c r="UQI3422" s="917"/>
      <c r="UQJ3422" s="917"/>
      <c r="UQK3422" s="917"/>
      <c r="UQL3422" s="917"/>
      <c r="UQM3422" s="917"/>
      <c r="UQN3422" s="917"/>
      <c r="UQO3422" s="917"/>
      <c r="UQP3422" s="917"/>
      <c r="UQQ3422" s="917"/>
      <c r="UQR3422" s="917"/>
      <c r="UQS3422" s="917"/>
      <c r="UQT3422" s="917"/>
      <c r="UQU3422" s="917"/>
      <c r="UQV3422" s="917"/>
      <c r="UQW3422" s="917"/>
      <c r="UQX3422" s="917"/>
      <c r="UQY3422" s="917"/>
      <c r="UQZ3422" s="917"/>
      <c r="URA3422" s="917"/>
      <c r="URB3422" s="917"/>
      <c r="URC3422" s="917"/>
      <c r="URD3422" s="917"/>
      <c r="URE3422" s="917"/>
      <c r="URF3422" s="917"/>
      <c r="URG3422" s="917"/>
      <c r="URH3422" s="917"/>
      <c r="URI3422" s="917"/>
      <c r="URJ3422" s="917"/>
      <c r="URK3422" s="917"/>
      <c r="URL3422" s="917"/>
      <c r="URM3422" s="917" t="s">
        <v>78</v>
      </c>
      <c r="URN3422" s="917"/>
      <c r="URO3422" s="917"/>
      <c r="URP3422" s="917"/>
      <c r="URQ3422" s="917"/>
      <c r="URR3422" s="917"/>
      <c r="URS3422" s="917"/>
      <c r="URT3422" s="917"/>
      <c r="URU3422" s="917"/>
      <c r="URV3422" s="917"/>
      <c r="URW3422" s="917"/>
      <c r="URX3422" s="917"/>
      <c r="URY3422" s="917"/>
      <c r="URZ3422" s="917"/>
      <c r="USA3422" s="917"/>
      <c r="USB3422" s="917"/>
      <c r="USC3422" s="917"/>
      <c r="USD3422" s="917"/>
      <c r="USE3422" s="917"/>
      <c r="USF3422" s="917"/>
      <c r="USG3422" s="917"/>
      <c r="USH3422" s="917"/>
      <c r="USI3422" s="917"/>
      <c r="USJ3422" s="917"/>
      <c r="USK3422" s="917"/>
      <c r="USL3422" s="917"/>
      <c r="USM3422" s="917"/>
      <c r="USN3422" s="917"/>
      <c r="USO3422" s="917"/>
      <c r="USP3422" s="917"/>
      <c r="USQ3422" s="917"/>
      <c r="USR3422" s="917"/>
      <c r="USS3422" s="917" t="s">
        <v>78</v>
      </c>
      <c r="UST3422" s="917"/>
      <c r="USU3422" s="917"/>
      <c r="USV3422" s="917"/>
      <c r="USW3422" s="917"/>
      <c r="USX3422" s="917"/>
      <c r="USY3422" s="917"/>
      <c r="USZ3422" s="917"/>
      <c r="UTA3422" s="917"/>
      <c r="UTB3422" s="917"/>
      <c r="UTC3422" s="917"/>
      <c r="UTD3422" s="917"/>
      <c r="UTE3422" s="917"/>
      <c r="UTF3422" s="917"/>
      <c r="UTG3422" s="917"/>
      <c r="UTH3422" s="917"/>
      <c r="UTI3422" s="917"/>
      <c r="UTJ3422" s="917"/>
      <c r="UTK3422" s="917"/>
      <c r="UTL3422" s="917"/>
      <c r="UTM3422" s="917"/>
      <c r="UTN3422" s="917"/>
      <c r="UTO3422" s="917"/>
      <c r="UTP3422" s="917"/>
      <c r="UTQ3422" s="917"/>
      <c r="UTR3422" s="917"/>
      <c r="UTS3422" s="917"/>
      <c r="UTT3422" s="917"/>
      <c r="UTU3422" s="917"/>
      <c r="UTV3422" s="917"/>
      <c r="UTW3422" s="917"/>
      <c r="UTX3422" s="917"/>
      <c r="UTY3422" s="917" t="s">
        <v>78</v>
      </c>
      <c r="UTZ3422" s="917"/>
      <c r="UUA3422" s="917"/>
      <c r="UUB3422" s="917"/>
      <c r="UUC3422" s="917"/>
      <c r="UUD3422" s="917"/>
      <c r="UUE3422" s="917"/>
      <c r="UUF3422" s="917"/>
      <c r="UUG3422" s="917"/>
      <c r="UUH3422" s="917"/>
      <c r="UUI3422" s="917"/>
      <c r="UUJ3422" s="917"/>
      <c r="UUK3422" s="917"/>
      <c r="UUL3422" s="917"/>
      <c r="UUM3422" s="917"/>
      <c r="UUN3422" s="917"/>
      <c r="UUO3422" s="917"/>
      <c r="UUP3422" s="917"/>
      <c r="UUQ3422" s="917"/>
      <c r="UUR3422" s="917"/>
      <c r="UUS3422" s="917"/>
      <c r="UUT3422" s="917"/>
      <c r="UUU3422" s="917"/>
      <c r="UUV3422" s="917"/>
      <c r="UUW3422" s="917"/>
      <c r="UUX3422" s="917"/>
      <c r="UUY3422" s="917"/>
      <c r="UUZ3422" s="917"/>
      <c r="UVA3422" s="917"/>
      <c r="UVB3422" s="917"/>
      <c r="UVC3422" s="917"/>
      <c r="UVD3422" s="917"/>
      <c r="UVE3422" s="917" t="s">
        <v>78</v>
      </c>
      <c r="UVF3422" s="917"/>
      <c r="UVG3422" s="917"/>
      <c r="UVH3422" s="917"/>
      <c r="UVI3422" s="917"/>
      <c r="UVJ3422" s="917"/>
      <c r="UVK3422" s="917"/>
      <c r="UVL3422" s="917"/>
      <c r="UVM3422" s="917"/>
      <c r="UVN3422" s="917"/>
      <c r="UVO3422" s="917"/>
      <c r="UVP3422" s="917"/>
      <c r="UVQ3422" s="917"/>
      <c r="UVR3422" s="917"/>
      <c r="UVS3422" s="917"/>
      <c r="UVT3422" s="917"/>
      <c r="UVU3422" s="917"/>
      <c r="UVV3422" s="917"/>
      <c r="UVW3422" s="917"/>
      <c r="UVX3422" s="917"/>
      <c r="UVY3422" s="917"/>
      <c r="UVZ3422" s="917"/>
      <c r="UWA3422" s="917"/>
      <c r="UWB3422" s="917"/>
      <c r="UWC3422" s="917"/>
      <c r="UWD3422" s="917"/>
      <c r="UWE3422" s="917"/>
      <c r="UWF3422" s="917"/>
      <c r="UWG3422" s="917"/>
      <c r="UWH3422" s="917"/>
      <c r="UWI3422" s="917"/>
      <c r="UWJ3422" s="917"/>
      <c r="UWK3422" s="917" t="s">
        <v>78</v>
      </c>
      <c r="UWL3422" s="917"/>
      <c r="UWM3422" s="917"/>
      <c r="UWN3422" s="917"/>
      <c r="UWO3422" s="917"/>
      <c r="UWP3422" s="917"/>
      <c r="UWQ3422" s="917"/>
      <c r="UWR3422" s="917"/>
      <c r="UWS3422" s="917"/>
      <c r="UWT3422" s="917"/>
      <c r="UWU3422" s="917"/>
      <c r="UWV3422" s="917"/>
      <c r="UWW3422" s="917"/>
      <c r="UWX3422" s="917"/>
      <c r="UWY3422" s="917"/>
      <c r="UWZ3422" s="917"/>
      <c r="UXA3422" s="917"/>
      <c r="UXB3422" s="917"/>
      <c r="UXC3422" s="917"/>
      <c r="UXD3422" s="917"/>
      <c r="UXE3422" s="917"/>
      <c r="UXF3422" s="917"/>
      <c r="UXG3422" s="917"/>
      <c r="UXH3422" s="917"/>
      <c r="UXI3422" s="917"/>
      <c r="UXJ3422" s="917"/>
      <c r="UXK3422" s="917"/>
      <c r="UXL3422" s="917"/>
      <c r="UXM3422" s="917"/>
      <c r="UXN3422" s="917"/>
      <c r="UXO3422" s="917"/>
      <c r="UXP3422" s="917"/>
      <c r="UXQ3422" s="917" t="s">
        <v>78</v>
      </c>
      <c r="UXR3422" s="917"/>
      <c r="UXS3422" s="917"/>
      <c r="UXT3422" s="917"/>
      <c r="UXU3422" s="917"/>
      <c r="UXV3422" s="917"/>
      <c r="UXW3422" s="917"/>
      <c r="UXX3422" s="917"/>
      <c r="UXY3422" s="917"/>
      <c r="UXZ3422" s="917"/>
      <c r="UYA3422" s="917"/>
      <c r="UYB3422" s="917"/>
      <c r="UYC3422" s="917"/>
      <c r="UYD3422" s="917"/>
      <c r="UYE3422" s="917"/>
      <c r="UYF3422" s="917"/>
      <c r="UYG3422" s="917"/>
      <c r="UYH3422" s="917"/>
      <c r="UYI3422" s="917"/>
      <c r="UYJ3422" s="917"/>
      <c r="UYK3422" s="917"/>
      <c r="UYL3422" s="917"/>
      <c r="UYM3422" s="917"/>
      <c r="UYN3422" s="917"/>
      <c r="UYO3422" s="917"/>
      <c r="UYP3422" s="917"/>
      <c r="UYQ3422" s="917"/>
      <c r="UYR3422" s="917"/>
      <c r="UYS3422" s="917"/>
      <c r="UYT3422" s="917"/>
      <c r="UYU3422" s="917"/>
      <c r="UYV3422" s="917"/>
      <c r="UYW3422" s="917" t="s">
        <v>78</v>
      </c>
      <c r="UYX3422" s="917"/>
      <c r="UYY3422" s="917"/>
      <c r="UYZ3422" s="917"/>
      <c r="UZA3422" s="917"/>
      <c r="UZB3422" s="917"/>
      <c r="UZC3422" s="917"/>
      <c r="UZD3422" s="917"/>
      <c r="UZE3422" s="917"/>
      <c r="UZF3422" s="917"/>
      <c r="UZG3422" s="917"/>
      <c r="UZH3422" s="917"/>
      <c r="UZI3422" s="917"/>
      <c r="UZJ3422" s="917"/>
      <c r="UZK3422" s="917"/>
      <c r="UZL3422" s="917"/>
      <c r="UZM3422" s="917"/>
      <c r="UZN3422" s="917"/>
      <c r="UZO3422" s="917"/>
      <c r="UZP3422" s="917"/>
      <c r="UZQ3422" s="917"/>
      <c r="UZR3422" s="917"/>
      <c r="UZS3422" s="917"/>
      <c r="UZT3422" s="917"/>
      <c r="UZU3422" s="917"/>
      <c r="UZV3422" s="917"/>
      <c r="UZW3422" s="917"/>
      <c r="UZX3422" s="917"/>
      <c r="UZY3422" s="917"/>
      <c r="UZZ3422" s="917"/>
      <c r="VAA3422" s="917"/>
      <c r="VAB3422" s="917"/>
      <c r="VAC3422" s="917" t="s">
        <v>78</v>
      </c>
      <c r="VAD3422" s="917"/>
      <c r="VAE3422" s="917"/>
      <c r="VAF3422" s="917"/>
      <c r="VAG3422" s="917"/>
      <c r="VAH3422" s="917"/>
      <c r="VAI3422" s="917"/>
      <c r="VAJ3422" s="917"/>
      <c r="VAK3422" s="917"/>
      <c r="VAL3422" s="917"/>
      <c r="VAM3422" s="917"/>
      <c r="VAN3422" s="917"/>
      <c r="VAO3422" s="917"/>
      <c r="VAP3422" s="917"/>
      <c r="VAQ3422" s="917"/>
      <c r="VAR3422" s="917"/>
      <c r="VAS3422" s="917"/>
      <c r="VAT3422" s="917"/>
      <c r="VAU3422" s="917"/>
      <c r="VAV3422" s="917"/>
      <c r="VAW3422" s="917"/>
      <c r="VAX3422" s="917"/>
      <c r="VAY3422" s="917"/>
      <c r="VAZ3422" s="917"/>
      <c r="VBA3422" s="917"/>
      <c r="VBB3422" s="917"/>
      <c r="VBC3422" s="917"/>
      <c r="VBD3422" s="917"/>
      <c r="VBE3422" s="917"/>
      <c r="VBF3422" s="917"/>
      <c r="VBG3422" s="917"/>
      <c r="VBH3422" s="917"/>
      <c r="VBI3422" s="917" t="s">
        <v>78</v>
      </c>
      <c r="VBJ3422" s="917"/>
      <c r="VBK3422" s="917"/>
      <c r="VBL3422" s="917"/>
      <c r="VBM3422" s="917"/>
      <c r="VBN3422" s="917"/>
      <c r="VBO3422" s="917"/>
      <c r="VBP3422" s="917"/>
      <c r="VBQ3422" s="917"/>
      <c r="VBR3422" s="917"/>
      <c r="VBS3422" s="917"/>
      <c r="VBT3422" s="917"/>
      <c r="VBU3422" s="917"/>
      <c r="VBV3422" s="917"/>
      <c r="VBW3422" s="917"/>
      <c r="VBX3422" s="917"/>
      <c r="VBY3422" s="917"/>
      <c r="VBZ3422" s="917"/>
      <c r="VCA3422" s="917"/>
      <c r="VCB3422" s="917"/>
      <c r="VCC3422" s="917"/>
      <c r="VCD3422" s="917"/>
      <c r="VCE3422" s="917"/>
      <c r="VCF3422" s="917"/>
      <c r="VCG3422" s="917"/>
      <c r="VCH3422" s="917"/>
      <c r="VCI3422" s="917"/>
      <c r="VCJ3422" s="917"/>
      <c r="VCK3422" s="917"/>
      <c r="VCL3422" s="917"/>
      <c r="VCM3422" s="917"/>
      <c r="VCN3422" s="917"/>
      <c r="VCO3422" s="917" t="s">
        <v>78</v>
      </c>
      <c r="VCP3422" s="917"/>
      <c r="VCQ3422" s="917"/>
      <c r="VCR3422" s="917"/>
      <c r="VCS3422" s="917"/>
      <c r="VCT3422" s="917"/>
      <c r="VCU3422" s="917"/>
      <c r="VCV3422" s="917"/>
      <c r="VCW3422" s="917"/>
      <c r="VCX3422" s="917"/>
      <c r="VCY3422" s="917"/>
      <c r="VCZ3422" s="917"/>
      <c r="VDA3422" s="917"/>
      <c r="VDB3422" s="917"/>
      <c r="VDC3422" s="917"/>
      <c r="VDD3422" s="917"/>
      <c r="VDE3422" s="917"/>
      <c r="VDF3422" s="917"/>
      <c r="VDG3422" s="917"/>
      <c r="VDH3422" s="917"/>
      <c r="VDI3422" s="917"/>
      <c r="VDJ3422" s="917"/>
      <c r="VDK3422" s="917"/>
      <c r="VDL3422" s="917"/>
      <c r="VDM3422" s="917"/>
      <c r="VDN3422" s="917"/>
      <c r="VDO3422" s="917"/>
      <c r="VDP3422" s="917"/>
      <c r="VDQ3422" s="917"/>
      <c r="VDR3422" s="917"/>
      <c r="VDS3422" s="917"/>
      <c r="VDT3422" s="917"/>
      <c r="VDU3422" s="917" t="s">
        <v>78</v>
      </c>
      <c r="VDV3422" s="917"/>
      <c r="VDW3422" s="917"/>
      <c r="VDX3422" s="917"/>
      <c r="VDY3422" s="917"/>
      <c r="VDZ3422" s="917"/>
      <c r="VEA3422" s="917"/>
      <c r="VEB3422" s="917"/>
      <c r="VEC3422" s="917"/>
      <c r="VED3422" s="917"/>
      <c r="VEE3422" s="917"/>
      <c r="VEF3422" s="917"/>
      <c r="VEG3422" s="917"/>
      <c r="VEH3422" s="917"/>
      <c r="VEI3422" s="917"/>
      <c r="VEJ3422" s="917"/>
      <c r="VEK3422" s="917"/>
      <c r="VEL3422" s="917"/>
      <c r="VEM3422" s="917"/>
      <c r="VEN3422" s="917"/>
      <c r="VEO3422" s="917"/>
      <c r="VEP3422" s="917"/>
      <c r="VEQ3422" s="917"/>
      <c r="VER3422" s="917"/>
      <c r="VES3422" s="917"/>
      <c r="VET3422" s="917"/>
      <c r="VEU3422" s="917"/>
      <c r="VEV3422" s="917"/>
      <c r="VEW3422" s="917"/>
      <c r="VEX3422" s="917"/>
      <c r="VEY3422" s="917"/>
      <c r="VEZ3422" s="917"/>
      <c r="VFA3422" s="917" t="s">
        <v>78</v>
      </c>
      <c r="VFB3422" s="917"/>
      <c r="VFC3422" s="917"/>
      <c r="VFD3422" s="917"/>
      <c r="VFE3422" s="917"/>
      <c r="VFF3422" s="917"/>
      <c r="VFG3422" s="917"/>
      <c r="VFH3422" s="917"/>
      <c r="VFI3422" s="917"/>
      <c r="VFJ3422" s="917"/>
      <c r="VFK3422" s="917"/>
      <c r="VFL3422" s="917"/>
      <c r="VFM3422" s="917"/>
      <c r="VFN3422" s="917"/>
      <c r="VFO3422" s="917"/>
      <c r="VFP3422" s="917"/>
      <c r="VFQ3422" s="917"/>
      <c r="VFR3422" s="917"/>
      <c r="VFS3422" s="917"/>
      <c r="VFT3422" s="917"/>
      <c r="VFU3422" s="917"/>
      <c r="VFV3422" s="917"/>
      <c r="VFW3422" s="917"/>
      <c r="VFX3422" s="917"/>
      <c r="VFY3422" s="917"/>
      <c r="VFZ3422" s="917"/>
      <c r="VGA3422" s="917"/>
      <c r="VGB3422" s="917"/>
      <c r="VGC3422" s="917"/>
      <c r="VGD3422" s="917"/>
      <c r="VGE3422" s="917"/>
      <c r="VGF3422" s="917"/>
      <c r="VGG3422" s="917" t="s">
        <v>78</v>
      </c>
      <c r="VGH3422" s="917"/>
      <c r="VGI3422" s="917"/>
      <c r="VGJ3422" s="917"/>
      <c r="VGK3422" s="917"/>
      <c r="VGL3422" s="917"/>
      <c r="VGM3422" s="917"/>
      <c r="VGN3422" s="917"/>
      <c r="VGO3422" s="917"/>
      <c r="VGP3422" s="917"/>
      <c r="VGQ3422" s="917"/>
      <c r="VGR3422" s="917"/>
      <c r="VGS3422" s="917"/>
      <c r="VGT3422" s="917"/>
      <c r="VGU3422" s="917"/>
      <c r="VGV3422" s="917"/>
      <c r="VGW3422" s="917"/>
      <c r="VGX3422" s="917"/>
      <c r="VGY3422" s="917"/>
      <c r="VGZ3422" s="917"/>
      <c r="VHA3422" s="917"/>
      <c r="VHB3422" s="917"/>
      <c r="VHC3422" s="917"/>
      <c r="VHD3422" s="917"/>
      <c r="VHE3422" s="917"/>
      <c r="VHF3422" s="917"/>
      <c r="VHG3422" s="917"/>
      <c r="VHH3422" s="917"/>
      <c r="VHI3422" s="917"/>
      <c r="VHJ3422" s="917"/>
      <c r="VHK3422" s="917"/>
      <c r="VHL3422" s="917"/>
      <c r="VHM3422" s="917" t="s">
        <v>78</v>
      </c>
      <c r="VHN3422" s="917"/>
      <c r="VHO3422" s="917"/>
      <c r="VHP3422" s="917"/>
      <c r="VHQ3422" s="917"/>
      <c r="VHR3422" s="917"/>
      <c r="VHS3422" s="917"/>
      <c r="VHT3422" s="917"/>
      <c r="VHU3422" s="917"/>
      <c r="VHV3422" s="917"/>
      <c r="VHW3422" s="917"/>
      <c r="VHX3422" s="917"/>
      <c r="VHY3422" s="917"/>
      <c r="VHZ3422" s="917"/>
      <c r="VIA3422" s="917"/>
      <c r="VIB3422" s="917"/>
      <c r="VIC3422" s="917"/>
      <c r="VID3422" s="917"/>
      <c r="VIE3422" s="917"/>
      <c r="VIF3422" s="917"/>
      <c r="VIG3422" s="917"/>
      <c r="VIH3422" s="917"/>
      <c r="VII3422" s="917"/>
      <c r="VIJ3422" s="917"/>
      <c r="VIK3422" s="917"/>
      <c r="VIL3422" s="917"/>
      <c r="VIM3422" s="917"/>
      <c r="VIN3422" s="917"/>
      <c r="VIO3422" s="917"/>
      <c r="VIP3422" s="917"/>
      <c r="VIQ3422" s="917"/>
      <c r="VIR3422" s="917"/>
      <c r="VIS3422" s="917" t="s">
        <v>78</v>
      </c>
      <c r="VIT3422" s="917"/>
      <c r="VIU3422" s="917"/>
      <c r="VIV3422" s="917"/>
      <c r="VIW3422" s="917"/>
      <c r="VIX3422" s="917"/>
      <c r="VIY3422" s="917"/>
      <c r="VIZ3422" s="917"/>
      <c r="VJA3422" s="917"/>
      <c r="VJB3422" s="917"/>
      <c r="VJC3422" s="917"/>
      <c r="VJD3422" s="917"/>
      <c r="VJE3422" s="917"/>
      <c r="VJF3422" s="917"/>
      <c r="VJG3422" s="917"/>
      <c r="VJH3422" s="917"/>
      <c r="VJI3422" s="917"/>
      <c r="VJJ3422" s="917"/>
      <c r="VJK3422" s="917"/>
      <c r="VJL3422" s="917"/>
      <c r="VJM3422" s="917"/>
      <c r="VJN3422" s="917"/>
      <c r="VJO3422" s="917"/>
      <c r="VJP3422" s="917"/>
      <c r="VJQ3422" s="917"/>
      <c r="VJR3422" s="917"/>
      <c r="VJS3422" s="917"/>
      <c r="VJT3422" s="917"/>
      <c r="VJU3422" s="917"/>
      <c r="VJV3422" s="917"/>
      <c r="VJW3422" s="917"/>
      <c r="VJX3422" s="917"/>
      <c r="VJY3422" s="917" t="s">
        <v>78</v>
      </c>
      <c r="VJZ3422" s="917"/>
      <c r="VKA3422" s="917"/>
      <c r="VKB3422" s="917"/>
      <c r="VKC3422" s="917"/>
      <c r="VKD3422" s="917"/>
      <c r="VKE3422" s="917"/>
      <c r="VKF3422" s="917"/>
      <c r="VKG3422" s="917"/>
      <c r="VKH3422" s="917"/>
      <c r="VKI3422" s="917"/>
      <c r="VKJ3422" s="917"/>
      <c r="VKK3422" s="917"/>
      <c r="VKL3422" s="917"/>
      <c r="VKM3422" s="917"/>
      <c r="VKN3422" s="917"/>
      <c r="VKO3422" s="917"/>
      <c r="VKP3422" s="917"/>
      <c r="VKQ3422" s="917"/>
      <c r="VKR3422" s="917"/>
      <c r="VKS3422" s="917"/>
      <c r="VKT3422" s="917"/>
      <c r="VKU3422" s="917"/>
      <c r="VKV3422" s="917"/>
      <c r="VKW3422" s="917"/>
      <c r="VKX3422" s="917"/>
      <c r="VKY3422" s="917"/>
      <c r="VKZ3422" s="917"/>
      <c r="VLA3422" s="917"/>
      <c r="VLB3422" s="917"/>
      <c r="VLC3422" s="917"/>
      <c r="VLD3422" s="917"/>
      <c r="VLE3422" s="917" t="s">
        <v>78</v>
      </c>
      <c r="VLF3422" s="917"/>
      <c r="VLG3422" s="917"/>
      <c r="VLH3422" s="917"/>
      <c r="VLI3422" s="917"/>
      <c r="VLJ3422" s="917"/>
      <c r="VLK3422" s="917"/>
      <c r="VLL3422" s="917"/>
      <c r="VLM3422" s="917"/>
      <c r="VLN3422" s="917"/>
      <c r="VLO3422" s="917"/>
      <c r="VLP3422" s="917"/>
      <c r="VLQ3422" s="917"/>
      <c r="VLR3422" s="917"/>
      <c r="VLS3422" s="917"/>
      <c r="VLT3422" s="917"/>
      <c r="VLU3422" s="917"/>
      <c r="VLV3422" s="917"/>
      <c r="VLW3422" s="917"/>
      <c r="VLX3422" s="917"/>
      <c r="VLY3422" s="917"/>
      <c r="VLZ3422" s="917"/>
      <c r="VMA3422" s="917"/>
      <c r="VMB3422" s="917"/>
      <c r="VMC3422" s="917"/>
      <c r="VMD3422" s="917"/>
      <c r="VME3422" s="917"/>
      <c r="VMF3422" s="917"/>
      <c r="VMG3422" s="917"/>
      <c r="VMH3422" s="917"/>
      <c r="VMI3422" s="917"/>
      <c r="VMJ3422" s="917"/>
      <c r="VMK3422" s="917" t="s">
        <v>78</v>
      </c>
      <c r="VML3422" s="917"/>
      <c r="VMM3422" s="917"/>
      <c r="VMN3422" s="917"/>
      <c r="VMO3422" s="917"/>
      <c r="VMP3422" s="917"/>
      <c r="VMQ3422" s="917"/>
      <c r="VMR3422" s="917"/>
      <c r="VMS3422" s="917"/>
      <c r="VMT3422" s="917"/>
      <c r="VMU3422" s="917"/>
      <c r="VMV3422" s="917"/>
      <c r="VMW3422" s="917"/>
      <c r="VMX3422" s="917"/>
      <c r="VMY3422" s="917"/>
      <c r="VMZ3422" s="917"/>
      <c r="VNA3422" s="917"/>
      <c r="VNB3422" s="917"/>
      <c r="VNC3422" s="917"/>
      <c r="VND3422" s="917"/>
      <c r="VNE3422" s="917"/>
      <c r="VNF3422" s="917"/>
      <c r="VNG3422" s="917"/>
      <c r="VNH3422" s="917"/>
      <c r="VNI3422" s="917"/>
      <c r="VNJ3422" s="917"/>
      <c r="VNK3422" s="917"/>
      <c r="VNL3422" s="917"/>
      <c r="VNM3422" s="917"/>
      <c r="VNN3422" s="917"/>
      <c r="VNO3422" s="917"/>
      <c r="VNP3422" s="917"/>
      <c r="VNQ3422" s="917" t="s">
        <v>78</v>
      </c>
      <c r="VNR3422" s="917"/>
      <c r="VNS3422" s="917"/>
      <c r="VNT3422" s="917"/>
      <c r="VNU3422" s="917"/>
      <c r="VNV3422" s="917"/>
      <c r="VNW3422" s="917"/>
      <c r="VNX3422" s="917"/>
      <c r="VNY3422" s="917"/>
      <c r="VNZ3422" s="917"/>
      <c r="VOA3422" s="917"/>
      <c r="VOB3422" s="917"/>
      <c r="VOC3422" s="917"/>
      <c r="VOD3422" s="917"/>
      <c r="VOE3422" s="917"/>
      <c r="VOF3422" s="917"/>
      <c r="VOG3422" s="917"/>
      <c r="VOH3422" s="917"/>
      <c r="VOI3422" s="917"/>
      <c r="VOJ3422" s="917"/>
      <c r="VOK3422" s="917"/>
      <c r="VOL3422" s="917"/>
      <c r="VOM3422" s="917"/>
      <c r="VON3422" s="917"/>
      <c r="VOO3422" s="917"/>
      <c r="VOP3422" s="917"/>
      <c r="VOQ3422" s="917"/>
      <c r="VOR3422" s="917"/>
      <c r="VOS3422" s="917"/>
      <c r="VOT3422" s="917"/>
      <c r="VOU3422" s="917"/>
      <c r="VOV3422" s="917"/>
      <c r="VOW3422" s="917" t="s">
        <v>78</v>
      </c>
      <c r="VOX3422" s="917"/>
      <c r="VOY3422" s="917"/>
      <c r="VOZ3422" s="917"/>
      <c r="VPA3422" s="917"/>
      <c r="VPB3422" s="917"/>
      <c r="VPC3422" s="917"/>
      <c r="VPD3422" s="917"/>
      <c r="VPE3422" s="917"/>
      <c r="VPF3422" s="917"/>
      <c r="VPG3422" s="917"/>
      <c r="VPH3422" s="917"/>
      <c r="VPI3422" s="917"/>
      <c r="VPJ3422" s="917"/>
      <c r="VPK3422" s="917"/>
      <c r="VPL3422" s="917"/>
      <c r="VPM3422" s="917"/>
      <c r="VPN3422" s="917"/>
      <c r="VPO3422" s="917"/>
      <c r="VPP3422" s="917"/>
      <c r="VPQ3422" s="917"/>
      <c r="VPR3422" s="917"/>
      <c r="VPS3422" s="917"/>
      <c r="VPT3422" s="917"/>
      <c r="VPU3422" s="917"/>
      <c r="VPV3422" s="917"/>
      <c r="VPW3422" s="917"/>
      <c r="VPX3422" s="917"/>
      <c r="VPY3422" s="917"/>
      <c r="VPZ3422" s="917"/>
      <c r="VQA3422" s="917"/>
      <c r="VQB3422" s="917"/>
      <c r="VQC3422" s="917" t="s">
        <v>78</v>
      </c>
      <c r="VQD3422" s="917"/>
      <c r="VQE3422" s="917"/>
      <c r="VQF3422" s="917"/>
      <c r="VQG3422" s="917"/>
      <c r="VQH3422" s="917"/>
      <c r="VQI3422" s="917"/>
      <c r="VQJ3422" s="917"/>
      <c r="VQK3422" s="917"/>
      <c r="VQL3422" s="917"/>
      <c r="VQM3422" s="917"/>
      <c r="VQN3422" s="917"/>
      <c r="VQO3422" s="917"/>
      <c r="VQP3422" s="917"/>
      <c r="VQQ3422" s="917"/>
      <c r="VQR3422" s="917"/>
      <c r="VQS3422" s="917"/>
      <c r="VQT3422" s="917"/>
      <c r="VQU3422" s="917"/>
      <c r="VQV3422" s="917"/>
      <c r="VQW3422" s="917"/>
      <c r="VQX3422" s="917"/>
      <c r="VQY3422" s="917"/>
      <c r="VQZ3422" s="917"/>
      <c r="VRA3422" s="917"/>
      <c r="VRB3422" s="917"/>
      <c r="VRC3422" s="917"/>
      <c r="VRD3422" s="917"/>
      <c r="VRE3422" s="917"/>
      <c r="VRF3422" s="917"/>
      <c r="VRG3422" s="917"/>
      <c r="VRH3422" s="917"/>
      <c r="VRI3422" s="917" t="s">
        <v>78</v>
      </c>
      <c r="VRJ3422" s="917"/>
      <c r="VRK3422" s="917"/>
      <c r="VRL3422" s="917"/>
      <c r="VRM3422" s="917"/>
      <c r="VRN3422" s="917"/>
      <c r="VRO3422" s="917"/>
      <c r="VRP3422" s="917"/>
      <c r="VRQ3422" s="917"/>
      <c r="VRR3422" s="917"/>
      <c r="VRS3422" s="917"/>
      <c r="VRT3422" s="917"/>
      <c r="VRU3422" s="917"/>
      <c r="VRV3422" s="917"/>
      <c r="VRW3422" s="917"/>
      <c r="VRX3422" s="917"/>
      <c r="VRY3422" s="917"/>
      <c r="VRZ3422" s="917"/>
      <c r="VSA3422" s="917"/>
      <c r="VSB3422" s="917"/>
      <c r="VSC3422" s="917"/>
      <c r="VSD3422" s="917"/>
      <c r="VSE3422" s="917"/>
      <c r="VSF3422" s="917"/>
      <c r="VSG3422" s="917"/>
      <c r="VSH3422" s="917"/>
      <c r="VSI3422" s="917"/>
      <c r="VSJ3422" s="917"/>
      <c r="VSK3422" s="917"/>
      <c r="VSL3422" s="917"/>
      <c r="VSM3422" s="917"/>
      <c r="VSN3422" s="917"/>
      <c r="VSO3422" s="917" t="s">
        <v>78</v>
      </c>
      <c r="VSP3422" s="917"/>
      <c r="VSQ3422" s="917"/>
      <c r="VSR3422" s="917"/>
      <c r="VSS3422" s="917"/>
      <c r="VST3422" s="917"/>
      <c r="VSU3422" s="917"/>
      <c r="VSV3422" s="917"/>
      <c r="VSW3422" s="917"/>
      <c r="VSX3422" s="917"/>
      <c r="VSY3422" s="917"/>
      <c r="VSZ3422" s="917"/>
      <c r="VTA3422" s="917"/>
      <c r="VTB3422" s="917"/>
      <c r="VTC3422" s="917"/>
      <c r="VTD3422" s="917"/>
      <c r="VTE3422" s="917"/>
      <c r="VTF3422" s="917"/>
      <c r="VTG3422" s="917"/>
      <c r="VTH3422" s="917"/>
      <c r="VTI3422" s="917"/>
      <c r="VTJ3422" s="917"/>
      <c r="VTK3422" s="917"/>
      <c r="VTL3422" s="917"/>
      <c r="VTM3422" s="917"/>
      <c r="VTN3422" s="917"/>
      <c r="VTO3422" s="917"/>
      <c r="VTP3422" s="917"/>
      <c r="VTQ3422" s="917"/>
      <c r="VTR3422" s="917"/>
      <c r="VTS3422" s="917"/>
      <c r="VTT3422" s="917"/>
      <c r="VTU3422" s="917" t="s">
        <v>78</v>
      </c>
      <c r="VTV3422" s="917"/>
      <c r="VTW3422" s="917"/>
      <c r="VTX3422" s="917"/>
      <c r="VTY3422" s="917"/>
      <c r="VTZ3422" s="917"/>
      <c r="VUA3422" s="917"/>
      <c r="VUB3422" s="917"/>
      <c r="VUC3422" s="917"/>
      <c r="VUD3422" s="917"/>
      <c r="VUE3422" s="917"/>
      <c r="VUF3422" s="917"/>
      <c r="VUG3422" s="917"/>
      <c r="VUH3422" s="917"/>
      <c r="VUI3422" s="917"/>
      <c r="VUJ3422" s="917"/>
      <c r="VUK3422" s="917"/>
      <c r="VUL3422" s="917"/>
      <c r="VUM3422" s="917"/>
      <c r="VUN3422" s="917"/>
      <c r="VUO3422" s="917"/>
      <c r="VUP3422" s="917"/>
      <c r="VUQ3422" s="917"/>
      <c r="VUR3422" s="917"/>
      <c r="VUS3422" s="917"/>
      <c r="VUT3422" s="917"/>
      <c r="VUU3422" s="917"/>
      <c r="VUV3422" s="917"/>
      <c r="VUW3422" s="917"/>
      <c r="VUX3422" s="917"/>
      <c r="VUY3422" s="917"/>
      <c r="VUZ3422" s="917"/>
      <c r="VVA3422" s="917" t="s">
        <v>78</v>
      </c>
      <c r="VVB3422" s="917"/>
      <c r="VVC3422" s="917"/>
      <c r="VVD3422" s="917"/>
      <c r="VVE3422" s="917"/>
      <c r="VVF3422" s="917"/>
      <c r="VVG3422" s="917"/>
      <c r="VVH3422" s="917"/>
      <c r="VVI3422" s="917"/>
      <c r="VVJ3422" s="917"/>
      <c r="VVK3422" s="917"/>
      <c r="VVL3422" s="917"/>
      <c r="VVM3422" s="917"/>
      <c r="VVN3422" s="917"/>
      <c r="VVO3422" s="917"/>
      <c r="VVP3422" s="917"/>
      <c r="VVQ3422" s="917"/>
      <c r="VVR3422" s="917"/>
      <c r="VVS3422" s="917"/>
      <c r="VVT3422" s="917"/>
      <c r="VVU3422" s="917"/>
      <c r="VVV3422" s="917"/>
      <c r="VVW3422" s="917"/>
      <c r="VVX3422" s="917"/>
      <c r="VVY3422" s="917"/>
      <c r="VVZ3422" s="917"/>
      <c r="VWA3422" s="917"/>
      <c r="VWB3422" s="917"/>
      <c r="VWC3422" s="917"/>
      <c r="VWD3422" s="917"/>
      <c r="VWE3422" s="917"/>
      <c r="VWF3422" s="917"/>
      <c r="VWG3422" s="917" t="s">
        <v>78</v>
      </c>
      <c r="VWH3422" s="917"/>
      <c r="VWI3422" s="917"/>
      <c r="VWJ3422" s="917"/>
      <c r="VWK3422" s="917"/>
      <c r="VWL3422" s="917"/>
      <c r="VWM3422" s="917"/>
      <c r="VWN3422" s="917"/>
      <c r="VWO3422" s="917"/>
      <c r="VWP3422" s="917"/>
      <c r="VWQ3422" s="917"/>
      <c r="VWR3422" s="917"/>
      <c r="VWS3422" s="917"/>
      <c r="VWT3422" s="917"/>
      <c r="VWU3422" s="917"/>
      <c r="VWV3422" s="917"/>
      <c r="VWW3422" s="917"/>
      <c r="VWX3422" s="917"/>
      <c r="VWY3422" s="917"/>
      <c r="VWZ3422" s="917"/>
      <c r="VXA3422" s="917"/>
      <c r="VXB3422" s="917"/>
      <c r="VXC3422" s="917"/>
      <c r="VXD3422" s="917"/>
      <c r="VXE3422" s="917"/>
      <c r="VXF3422" s="917"/>
      <c r="VXG3422" s="917"/>
      <c r="VXH3422" s="917"/>
      <c r="VXI3422" s="917"/>
      <c r="VXJ3422" s="917"/>
      <c r="VXK3422" s="917"/>
      <c r="VXL3422" s="917"/>
      <c r="VXM3422" s="917" t="s">
        <v>78</v>
      </c>
      <c r="VXN3422" s="917"/>
      <c r="VXO3422" s="917"/>
      <c r="VXP3422" s="917"/>
      <c r="VXQ3422" s="917"/>
      <c r="VXR3422" s="917"/>
      <c r="VXS3422" s="917"/>
      <c r="VXT3422" s="917"/>
      <c r="VXU3422" s="917"/>
      <c r="VXV3422" s="917"/>
      <c r="VXW3422" s="917"/>
      <c r="VXX3422" s="917"/>
      <c r="VXY3422" s="917"/>
      <c r="VXZ3422" s="917"/>
      <c r="VYA3422" s="917"/>
      <c r="VYB3422" s="917"/>
      <c r="VYC3422" s="917"/>
      <c r="VYD3422" s="917"/>
      <c r="VYE3422" s="917"/>
      <c r="VYF3422" s="917"/>
      <c r="VYG3422" s="917"/>
      <c r="VYH3422" s="917"/>
      <c r="VYI3422" s="917"/>
      <c r="VYJ3422" s="917"/>
      <c r="VYK3422" s="917"/>
      <c r="VYL3422" s="917"/>
      <c r="VYM3422" s="917"/>
      <c r="VYN3422" s="917"/>
      <c r="VYO3422" s="917"/>
      <c r="VYP3422" s="917"/>
      <c r="VYQ3422" s="917"/>
      <c r="VYR3422" s="917"/>
      <c r="VYS3422" s="917" t="s">
        <v>78</v>
      </c>
      <c r="VYT3422" s="917"/>
      <c r="VYU3422" s="917"/>
      <c r="VYV3422" s="917"/>
      <c r="VYW3422" s="917"/>
      <c r="VYX3422" s="917"/>
      <c r="VYY3422" s="917"/>
      <c r="VYZ3422" s="917"/>
      <c r="VZA3422" s="917"/>
      <c r="VZB3422" s="917"/>
      <c r="VZC3422" s="917"/>
      <c r="VZD3422" s="917"/>
      <c r="VZE3422" s="917"/>
      <c r="VZF3422" s="917"/>
      <c r="VZG3422" s="917"/>
      <c r="VZH3422" s="917"/>
      <c r="VZI3422" s="917"/>
      <c r="VZJ3422" s="917"/>
      <c r="VZK3422" s="917"/>
      <c r="VZL3422" s="917"/>
      <c r="VZM3422" s="917"/>
      <c r="VZN3422" s="917"/>
      <c r="VZO3422" s="917"/>
      <c r="VZP3422" s="917"/>
      <c r="VZQ3422" s="917"/>
      <c r="VZR3422" s="917"/>
      <c r="VZS3422" s="917"/>
      <c r="VZT3422" s="917"/>
      <c r="VZU3422" s="917"/>
      <c r="VZV3422" s="917"/>
      <c r="VZW3422" s="917"/>
      <c r="VZX3422" s="917"/>
      <c r="VZY3422" s="917" t="s">
        <v>78</v>
      </c>
      <c r="VZZ3422" s="917"/>
      <c r="WAA3422" s="917"/>
      <c r="WAB3422" s="917"/>
      <c r="WAC3422" s="917"/>
      <c r="WAD3422" s="917"/>
      <c r="WAE3422" s="917"/>
      <c r="WAF3422" s="917"/>
      <c r="WAG3422" s="917"/>
      <c r="WAH3422" s="917"/>
      <c r="WAI3422" s="917"/>
      <c r="WAJ3422" s="917"/>
      <c r="WAK3422" s="917"/>
      <c r="WAL3422" s="917"/>
      <c r="WAM3422" s="917"/>
      <c r="WAN3422" s="917"/>
      <c r="WAO3422" s="917"/>
      <c r="WAP3422" s="917"/>
      <c r="WAQ3422" s="917"/>
      <c r="WAR3422" s="917"/>
      <c r="WAS3422" s="917"/>
      <c r="WAT3422" s="917"/>
      <c r="WAU3422" s="917"/>
      <c r="WAV3422" s="917"/>
      <c r="WAW3422" s="917"/>
      <c r="WAX3422" s="917"/>
      <c r="WAY3422" s="917"/>
      <c r="WAZ3422" s="917"/>
      <c r="WBA3422" s="917"/>
      <c r="WBB3422" s="917"/>
      <c r="WBC3422" s="917"/>
      <c r="WBD3422" s="917"/>
      <c r="WBE3422" s="917" t="s">
        <v>78</v>
      </c>
      <c r="WBF3422" s="917"/>
      <c r="WBG3422" s="917"/>
      <c r="WBH3422" s="917"/>
      <c r="WBI3422" s="917"/>
      <c r="WBJ3422" s="917"/>
      <c r="WBK3422" s="917"/>
      <c r="WBL3422" s="917"/>
      <c r="WBM3422" s="917"/>
      <c r="WBN3422" s="917"/>
      <c r="WBO3422" s="917"/>
      <c r="WBP3422" s="917"/>
      <c r="WBQ3422" s="917"/>
      <c r="WBR3422" s="917"/>
      <c r="WBS3422" s="917"/>
      <c r="WBT3422" s="917"/>
      <c r="WBU3422" s="917"/>
      <c r="WBV3422" s="917"/>
      <c r="WBW3422" s="917"/>
      <c r="WBX3422" s="917"/>
      <c r="WBY3422" s="917"/>
      <c r="WBZ3422" s="917"/>
      <c r="WCA3422" s="917"/>
      <c r="WCB3422" s="917"/>
      <c r="WCC3422" s="917"/>
      <c r="WCD3422" s="917"/>
      <c r="WCE3422" s="917"/>
      <c r="WCF3422" s="917"/>
      <c r="WCG3422" s="917"/>
      <c r="WCH3422" s="917"/>
      <c r="WCI3422" s="917"/>
      <c r="WCJ3422" s="917"/>
      <c r="WCK3422" s="917" t="s">
        <v>78</v>
      </c>
      <c r="WCL3422" s="917"/>
      <c r="WCM3422" s="917"/>
      <c r="WCN3422" s="917"/>
      <c r="WCO3422" s="917"/>
      <c r="WCP3422" s="917"/>
      <c r="WCQ3422" s="917"/>
      <c r="WCR3422" s="917"/>
      <c r="WCS3422" s="917"/>
      <c r="WCT3422" s="917"/>
      <c r="WCU3422" s="917"/>
      <c r="WCV3422" s="917"/>
      <c r="WCW3422" s="917"/>
      <c r="WCX3422" s="917"/>
      <c r="WCY3422" s="917"/>
      <c r="WCZ3422" s="917"/>
      <c r="WDA3422" s="917"/>
      <c r="WDB3422" s="917"/>
      <c r="WDC3422" s="917"/>
      <c r="WDD3422" s="917"/>
      <c r="WDE3422" s="917"/>
      <c r="WDF3422" s="917"/>
      <c r="WDG3422" s="917"/>
      <c r="WDH3422" s="917"/>
      <c r="WDI3422" s="917"/>
      <c r="WDJ3422" s="917"/>
      <c r="WDK3422" s="917"/>
      <c r="WDL3422" s="917"/>
      <c r="WDM3422" s="917"/>
      <c r="WDN3422" s="917"/>
      <c r="WDO3422" s="917"/>
      <c r="WDP3422" s="917"/>
      <c r="WDQ3422" s="917" t="s">
        <v>78</v>
      </c>
      <c r="WDR3422" s="917"/>
      <c r="WDS3422" s="917"/>
      <c r="WDT3422" s="917"/>
      <c r="WDU3422" s="917"/>
      <c r="WDV3422" s="917"/>
      <c r="WDW3422" s="917"/>
      <c r="WDX3422" s="917"/>
      <c r="WDY3422" s="917"/>
      <c r="WDZ3422" s="917"/>
      <c r="WEA3422" s="917"/>
      <c r="WEB3422" s="917"/>
      <c r="WEC3422" s="917"/>
      <c r="WED3422" s="917"/>
      <c r="WEE3422" s="917"/>
      <c r="WEF3422" s="917"/>
      <c r="WEG3422" s="917"/>
      <c r="WEH3422" s="917"/>
      <c r="WEI3422" s="917"/>
      <c r="WEJ3422" s="917"/>
      <c r="WEK3422" s="917"/>
      <c r="WEL3422" s="917"/>
      <c r="WEM3422" s="917"/>
      <c r="WEN3422" s="917"/>
      <c r="WEO3422" s="917"/>
      <c r="WEP3422" s="917"/>
      <c r="WEQ3422" s="917"/>
      <c r="WER3422" s="917"/>
      <c r="WES3422" s="917"/>
      <c r="WET3422" s="917"/>
      <c r="WEU3422" s="917"/>
      <c r="WEV3422" s="917"/>
      <c r="WEW3422" s="917" t="s">
        <v>78</v>
      </c>
      <c r="WEX3422" s="917"/>
      <c r="WEY3422" s="917"/>
      <c r="WEZ3422" s="917"/>
      <c r="WFA3422" s="917"/>
      <c r="WFB3422" s="917"/>
      <c r="WFC3422" s="917"/>
      <c r="WFD3422" s="917"/>
      <c r="WFE3422" s="917"/>
      <c r="WFF3422" s="917"/>
      <c r="WFG3422" s="917"/>
      <c r="WFH3422" s="917"/>
      <c r="WFI3422" s="917"/>
      <c r="WFJ3422" s="917"/>
      <c r="WFK3422" s="917"/>
      <c r="WFL3422" s="917"/>
      <c r="WFM3422" s="917"/>
      <c r="WFN3422" s="917"/>
      <c r="WFO3422" s="917"/>
      <c r="WFP3422" s="917"/>
      <c r="WFQ3422" s="917"/>
      <c r="WFR3422" s="917"/>
      <c r="WFS3422" s="917"/>
      <c r="WFT3422" s="917"/>
      <c r="WFU3422" s="917"/>
      <c r="WFV3422" s="917"/>
      <c r="WFW3422" s="917"/>
      <c r="WFX3422" s="917"/>
      <c r="WFY3422" s="917"/>
      <c r="WFZ3422" s="917"/>
      <c r="WGA3422" s="917"/>
      <c r="WGB3422" s="917"/>
      <c r="WGC3422" s="917" t="s">
        <v>78</v>
      </c>
      <c r="WGD3422" s="917"/>
      <c r="WGE3422" s="917"/>
      <c r="WGF3422" s="917"/>
      <c r="WGG3422" s="917"/>
      <c r="WGH3422" s="917"/>
      <c r="WGI3422" s="917"/>
      <c r="WGJ3422" s="917"/>
      <c r="WGK3422" s="917"/>
      <c r="WGL3422" s="917"/>
      <c r="WGM3422" s="917"/>
      <c r="WGN3422" s="917"/>
      <c r="WGO3422" s="917"/>
      <c r="WGP3422" s="917"/>
      <c r="WGQ3422" s="917"/>
      <c r="WGR3422" s="917"/>
      <c r="WGS3422" s="917"/>
      <c r="WGT3422" s="917"/>
      <c r="WGU3422" s="917"/>
      <c r="WGV3422" s="917"/>
      <c r="WGW3422" s="917"/>
      <c r="WGX3422" s="917"/>
      <c r="WGY3422" s="917"/>
      <c r="WGZ3422" s="917"/>
      <c r="WHA3422" s="917"/>
      <c r="WHB3422" s="917"/>
      <c r="WHC3422" s="917"/>
      <c r="WHD3422" s="917"/>
      <c r="WHE3422" s="917"/>
      <c r="WHF3422" s="917"/>
      <c r="WHG3422" s="917"/>
      <c r="WHH3422" s="917"/>
      <c r="WHI3422" s="917" t="s">
        <v>78</v>
      </c>
      <c r="WHJ3422" s="917"/>
      <c r="WHK3422" s="917"/>
      <c r="WHL3422" s="917"/>
      <c r="WHM3422" s="917"/>
      <c r="WHN3422" s="917"/>
      <c r="WHO3422" s="917"/>
      <c r="WHP3422" s="917"/>
      <c r="WHQ3422" s="917"/>
      <c r="WHR3422" s="917"/>
      <c r="WHS3422" s="917"/>
      <c r="WHT3422" s="917"/>
      <c r="WHU3422" s="917"/>
      <c r="WHV3422" s="917"/>
      <c r="WHW3422" s="917"/>
      <c r="WHX3422" s="917"/>
      <c r="WHY3422" s="917"/>
      <c r="WHZ3422" s="917"/>
      <c r="WIA3422" s="917"/>
      <c r="WIB3422" s="917"/>
      <c r="WIC3422" s="917"/>
      <c r="WID3422" s="917"/>
      <c r="WIE3422" s="917"/>
      <c r="WIF3422" s="917"/>
      <c r="WIG3422" s="917"/>
      <c r="WIH3422" s="917"/>
      <c r="WII3422" s="917"/>
      <c r="WIJ3422" s="917"/>
      <c r="WIK3422" s="917"/>
      <c r="WIL3422" s="917"/>
      <c r="WIM3422" s="917"/>
      <c r="WIN3422" s="917"/>
      <c r="WIO3422" s="917" t="s">
        <v>78</v>
      </c>
      <c r="WIP3422" s="917"/>
      <c r="WIQ3422" s="917"/>
      <c r="WIR3422" s="917"/>
      <c r="WIS3422" s="917"/>
      <c r="WIT3422" s="917"/>
      <c r="WIU3422" s="917"/>
      <c r="WIV3422" s="917"/>
      <c r="WIW3422" s="917"/>
      <c r="WIX3422" s="917"/>
      <c r="WIY3422" s="917"/>
      <c r="WIZ3422" s="917"/>
      <c r="WJA3422" s="917"/>
      <c r="WJB3422" s="917"/>
      <c r="WJC3422" s="917"/>
      <c r="WJD3422" s="917"/>
      <c r="WJE3422" s="917"/>
      <c r="WJF3422" s="917"/>
      <c r="WJG3422" s="917"/>
      <c r="WJH3422" s="917"/>
      <c r="WJI3422" s="917"/>
      <c r="WJJ3422" s="917"/>
      <c r="WJK3422" s="917"/>
      <c r="WJL3422" s="917"/>
      <c r="WJM3422" s="917"/>
      <c r="WJN3422" s="917"/>
      <c r="WJO3422" s="917"/>
      <c r="WJP3422" s="917"/>
      <c r="WJQ3422" s="917"/>
      <c r="WJR3422" s="917"/>
      <c r="WJS3422" s="917"/>
      <c r="WJT3422" s="917"/>
      <c r="WJU3422" s="917" t="s">
        <v>78</v>
      </c>
      <c r="WJV3422" s="917"/>
      <c r="WJW3422" s="917"/>
      <c r="WJX3422" s="917"/>
      <c r="WJY3422" s="917"/>
      <c r="WJZ3422" s="917"/>
      <c r="WKA3422" s="917"/>
      <c r="WKB3422" s="917"/>
      <c r="WKC3422" s="917"/>
      <c r="WKD3422" s="917"/>
      <c r="WKE3422" s="917"/>
      <c r="WKF3422" s="917"/>
      <c r="WKG3422" s="917"/>
      <c r="WKH3422" s="917"/>
      <c r="WKI3422" s="917"/>
      <c r="WKJ3422" s="917"/>
      <c r="WKK3422" s="917"/>
      <c r="WKL3422" s="917"/>
      <c r="WKM3422" s="917"/>
      <c r="WKN3422" s="917"/>
      <c r="WKO3422" s="917"/>
      <c r="WKP3422" s="917"/>
      <c r="WKQ3422" s="917"/>
      <c r="WKR3422" s="917"/>
      <c r="WKS3422" s="917"/>
      <c r="WKT3422" s="917"/>
      <c r="WKU3422" s="917"/>
      <c r="WKV3422" s="917"/>
      <c r="WKW3422" s="917"/>
      <c r="WKX3422" s="917"/>
      <c r="WKY3422" s="917"/>
      <c r="WKZ3422" s="917"/>
      <c r="WLA3422" s="917" t="s">
        <v>78</v>
      </c>
      <c r="WLB3422" s="917"/>
      <c r="WLC3422" s="917"/>
      <c r="WLD3422" s="917"/>
      <c r="WLE3422" s="917"/>
      <c r="WLF3422" s="917"/>
      <c r="WLG3422" s="917"/>
      <c r="WLH3422" s="917"/>
      <c r="WLI3422" s="917"/>
      <c r="WLJ3422" s="917"/>
      <c r="WLK3422" s="917"/>
      <c r="WLL3422" s="917"/>
      <c r="WLM3422" s="917"/>
      <c r="WLN3422" s="917"/>
      <c r="WLO3422" s="917"/>
      <c r="WLP3422" s="917"/>
      <c r="WLQ3422" s="917"/>
      <c r="WLR3422" s="917"/>
      <c r="WLS3422" s="917"/>
      <c r="WLT3422" s="917"/>
      <c r="WLU3422" s="917"/>
      <c r="WLV3422" s="917"/>
      <c r="WLW3422" s="917"/>
      <c r="WLX3422" s="917"/>
      <c r="WLY3422" s="917"/>
      <c r="WLZ3422" s="917"/>
      <c r="WMA3422" s="917"/>
      <c r="WMB3422" s="917"/>
      <c r="WMC3422" s="917"/>
      <c r="WMD3422" s="917"/>
      <c r="WME3422" s="917"/>
      <c r="WMF3422" s="917"/>
      <c r="WMG3422" s="917" t="s">
        <v>78</v>
      </c>
      <c r="WMH3422" s="917"/>
      <c r="WMI3422" s="917"/>
      <c r="WMJ3422" s="917"/>
      <c r="WMK3422" s="917"/>
      <c r="WML3422" s="917"/>
      <c r="WMM3422" s="917"/>
      <c r="WMN3422" s="917"/>
      <c r="WMO3422" s="917"/>
      <c r="WMP3422" s="917"/>
      <c r="WMQ3422" s="917"/>
      <c r="WMR3422" s="917"/>
      <c r="WMS3422" s="917"/>
      <c r="WMT3422" s="917"/>
      <c r="WMU3422" s="917"/>
      <c r="WMV3422" s="917"/>
      <c r="WMW3422" s="917"/>
      <c r="WMX3422" s="917"/>
      <c r="WMY3422" s="917"/>
      <c r="WMZ3422" s="917"/>
      <c r="WNA3422" s="917"/>
      <c r="WNB3422" s="917"/>
      <c r="WNC3422" s="917"/>
      <c r="WND3422" s="917"/>
      <c r="WNE3422" s="917"/>
      <c r="WNF3422" s="917"/>
      <c r="WNG3422" s="917"/>
      <c r="WNH3422" s="917"/>
      <c r="WNI3422" s="917"/>
      <c r="WNJ3422" s="917"/>
      <c r="WNK3422" s="917"/>
      <c r="WNL3422" s="917"/>
      <c r="WNM3422" s="917" t="s">
        <v>78</v>
      </c>
      <c r="WNN3422" s="917"/>
      <c r="WNO3422" s="917"/>
      <c r="WNP3422" s="917"/>
      <c r="WNQ3422" s="917"/>
      <c r="WNR3422" s="917"/>
      <c r="WNS3422" s="917"/>
      <c r="WNT3422" s="917"/>
      <c r="WNU3422" s="917"/>
      <c r="WNV3422" s="917"/>
      <c r="WNW3422" s="917"/>
      <c r="WNX3422" s="917"/>
      <c r="WNY3422" s="917"/>
      <c r="WNZ3422" s="917"/>
      <c r="WOA3422" s="917"/>
      <c r="WOB3422" s="917"/>
      <c r="WOC3422" s="917"/>
      <c r="WOD3422" s="917"/>
      <c r="WOE3422" s="917"/>
      <c r="WOF3422" s="917"/>
      <c r="WOG3422" s="917"/>
      <c r="WOH3422" s="917"/>
      <c r="WOI3422" s="917"/>
      <c r="WOJ3422" s="917"/>
      <c r="WOK3422" s="917"/>
      <c r="WOL3422" s="917"/>
      <c r="WOM3422" s="917"/>
      <c r="WON3422" s="917"/>
      <c r="WOO3422" s="917"/>
      <c r="WOP3422" s="917"/>
      <c r="WOQ3422" s="917"/>
      <c r="WOR3422" s="917"/>
      <c r="WOS3422" s="917" t="s">
        <v>78</v>
      </c>
      <c r="WOT3422" s="917"/>
      <c r="WOU3422" s="917"/>
      <c r="WOV3422" s="917"/>
      <c r="WOW3422" s="917"/>
      <c r="WOX3422" s="917"/>
      <c r="WOY3422" s="917"/>
      <c r="WOZ3422" s="917"/>
      <c r="WPA3422" s="917"/>
      <c r="WPB3422" s="917"/>
      <c r="WPC3422" s="917"/>
      <c r="WPD3422" s="917"/>
      <c r="WPE3422" s="917"/>
      <c r="WPF3422" s="917"/>
      <c r="WPG3422" s="917"/>
      <c r="WPH3422" s="917"/>
      <c r="WPI3422" s="917"/>
      <c r="WPJ3422" s="917"/>
      <c r="WPK3422" s="917"/>
      <c r="WPL3422" s="917"/>
      <c r="WPM3422" s="917"/>
      <c r="WPN3422" s="917"/>
      <c r="WPO3422" s="917"/>
      <c r="WPP3422" s="917"/>
      <c r="WPQ3422" s="917"/>
      <c r="WPR3422" s="917"/>
      <c r="WPS3422" s="917"/>
      <c r="WPT3422" s="917"/>
      <c r="WPU3422" s="917"/>
      <c r="WPV3422" s="917"/>
      <c r="WPW3422" s="917"/>
      <c r="WPX3422" s="917"/>
      <c r="WPY3422" s="917" t="s">
        <v>78</v>
      </c>
      <c r="WPZ3422" s="917"/>
      <c r="WQA3422" s="917"/>
      <c r="WQB3422" s="917"/>
      <c r="WQC3422" s="917"/>
      <c r="WQD3422" s="917"/>
      <c r="WQE3422" s="917"/>
      <c r="WQF3422" s="917"/>
      <c r="WQG3422" s="917"/>
      <c r="WQH3422" s="917"/>
      <c r="WQI3422" s="917"/>
      <c r="WQJ3422" s="917"/>
      <c r="WQK3422" s="917"/>
      <c r="WQL3422" s="917"/>
      <c r="WQM3422" s="917"/>
      <c r="WQN3422" s="917"/>
      <c r="WQO3422" s="917"/>
      <c r="WQP3422" s="917"/>
      <c r="WQQ3422" s="917"/>
      <c r="WQR3422" s="917"/>
      <c r="WQS3422" s="917"/>
      <c r="WQT3422" s="917"/>
      <c r="WQU3422" s="917"/>
      <c r="WQV3422" s="917"/>
      <c r="WQW3422" s="917"/>
      <c r="WQX3422" s="917"/>
      <c r="WQY3422" s="917"/>
      <c r="WQZ3422" s="917"/>
      <c r="WRA3422" s="917"/>
      <c r="WRB3422" s="917"/>
      <c r="WRC3422" s="917"/>
      <c r="WRD3422" s="917"/>
      <c r="WRE3422" s="917" t="s">
        <v>78</v>
      </c>
      <c r="WRF3422" s="917"/>
      <c r="WRG3422" s="917"/>
      <c r="WRH3422" s="917"/>
      <c r="WRI3422" s="917"/>
      <c r="WRJ3422" s="917"/>
      <c r="WRK3422" s="917"/>
      <c r="WRL3422" s="917"/>
      <c r="WRM3422" s="917"/>
      <c r="WRN3422" s="917"/>
      <c r="WRO3422" s="917"/>
      <c r="WRP3422" s="917"/>
      <c r="WRQ3422" s="917"/>
      <c r="WRR3422" s="917"/>
      <c r="WRS3422" s="917"/>
      <c r="WRT3422" s="917"/>
      <c r="WRU3422" s="917"/>
      <c r="WRV3422" s="917"/>
      <c r="WRW3422" s="917"/>
      <c r="WRX3422" s="917"/>
      <c r="WRY3422" s="917"/>
      <c r="WRZ3422" s="917"/>
      <c r="WSA3422" s="917"/>
      <c r="WSB3422" s="917"/>
      <c r="WSC3422" s="917"/>
      <c r="WSD3422" s="917"/>
      <c r="WSE3422" s="917"/>
      <c r="WSF3422" s="917"/>
      <c r="WSG3422" s="917"/>
      <c r="WSH3422" s="917"/>
      <c r="WSI3422" s="917"/>
      <c r="WSJ3422" s="917"/>
      <c r="WSK3422" s="917" t="s">
        <v>78</v>
      </c>
      <c r="WSL3422" s="917"/>
      <c r="WSM3422" s="917"/>
      <c r="WSN3422" s="917"/>
      <c r="WSO3422" s="917"/>
      <c r="WSP3422" s="917"/>
      <c r="WSQ3422" s="917"/>
      <c r="WSR3422" s="917"/>
      <c r="WSS3422" s="917"/>
      <c r="WST3422" s="917"/>
      <c r="WSU3422" s="917"/>
      <c r="WSV3422" s="917"/>
      <c r="WSW3422" s="917"/>
      <c r="WSX3422" s="917"/>
      <c r="WSY3422" s="917"/>
      <c r="WSZ3422" s="917"/>
      <c r="WTA3422" s="917"/>
      <c r="WTB3422" s="917"/>
      <c r="WTC3422" s="917"/>
      <c r="WTD3422" s="917"/>
      <c r="WTE3422" s="917"/>
      <c r="WTF3422" s="917"/>
      <c r="WTG3422" s="917"/>
      <c r="WTH3422" s="917"/>
      <c r="WTI3422" s="917"/>
      <c r="WTJ3422" s="917"/>
      <c r="WTK3422" s="917"/>
      <c r="WTL3422" s="917"/>
      <c r="WTM3422" s="917"/>
      <c r="WTN3422" s="917"/>
      <c r="WTO3422" s="917"/>
      <c r="WTP3422" s="917"/>
      <c r="WTQ3422" s="917" t="s">
        <v>78</v>
      </c>
      <c r="WTR3422" s="917"/>
      <c r="WTS3422" s="917"/>
      <c r="WTT3422" s="917"/>
      <c r="WTU3422" s="917"/>
      <c r="WTV3422" s="917"/>
      <c r="WTW3422" s="917"/>
      <c r="WTX3422" s="917"/>
      <c r="WTY3422" s="917"/>
      <c r="WTZ3422" s="917"/>
      <c r="WUA3422" s="917"/>
      <c r="WUB3422" s="917"/>
      <c r="WUC3422" s="917"/>
      <c r="WUD3422" s="917"/>
      <c r="WUE3422" s="917"/>
      <c r="WUF3422" s="917"/>
      <c r="WUG3422" s="917"/>
      <c r="WUH3422" s="917"/>
      <c r="WUI3422" s="917"/>
      <c r="WUJ3422" s="917"/>
      <c r="WUK3422" s="917"/>
      <c r="WUL3422" s="917"/>
      <c r="WUM3422" s="917"/>
      <c r="WUN3422" s="917"/>
      <c r="WUO3422" s="917"/>
      <c r="WUP3422" s="917"/>
      <c r="WUQ3422" s="917"/>
      <c r="WUR3422" s="917"/>
      <c r="WUS3422" s="917"/>
      <c r="WUT3422" s="917"/>
      <c r="WUU3422" s="917"/>
      <c r="WUV3422" s="917"/>
      <c r="WUW3422" s="917" t="s">
        <v>78</v>
      </c>
      <c r="WUX3422" s="917"/>
      <c r="WUY3422" s="917"/>
      <c r="WUZ3422" s="917"/>
      <c r="WVA3422" s="917"/>
      <c r="WVB3422" s="917"/>
      <c r="WVC3422" s="917"/>
      <c r="WVD3422" s="917"/>
      <c r="WVE3422" s="917"/>
      <c r="WVF3422" s="917"/>
      <c r="WVG3422" s="917"/>
      <c r="WVH3422" s="917"/>
      <c r="WVI3422" s="917"/>
      <c r="WVJ3422" s="917"/>
      <c r="WVK3422" s="917"/>
      <c r="WVL3422" s="917"/>
      <c r="WVM3422" s="917"/>
      <c r="WVN3422" s="917"/>
      <c r="WVO3422" s="917"/>
      <c r="WVP3422" s="917"/>
      <c r="WVQ3422" s="917"/>
      <c r="WVR3422" s="917"/>
      <c r="WVS3422" s="917"/>
      <c r="WVT3422" s="917"/>
      <c r="WVU3422" s="917"/>
      <c r="WVV3422" s="917"/>
      <c r="WVW3422" s="917"/>
      <c r="WVX3422" s="917"/>
      <c r="WVY3422" s="917"/>
      <c r="WVZ3422" s="917"/>
      <c r="WWA3422" s="917"/>
      <c r="WWB3422" s="917"/>
      <c r="WWC3422" s="917" t="s">
        <v>78</v>
      </c>
      <c r="WWD3422" s="917"/>
      <c r="WWE3422" s="917"/>
      <c r="WWF3422" s="917"/>
      <c r="WWG3422" s="917"/>
      <c r="WWH3422" s="917"/>
      <c r="WWI3422" s="917"/>
      <c r="WWJ3422" s="917"/>
      <c r="WWK3422" s="917"/>
      <c r="WWL3422" s="917"/>
      <c r="WWM3422" s="917"/>
      <c r="WWN3422" s="917"/>
      <c r="WWO3422" s="917"/>
      <c r="WWP3422" s="917"/>
      <c r="WWQ3422" s="917"/>
      <c r="WWR3422" s="917"/>
      <c r="WWS3422" s="917"/>
      <c r="WWT3422" s="917"/>
      <c r="WWU3422" s="917"/>
      <c r="WWV3422" s="917"/>
      <c r="WWW3422" s="917"/>
      <c r="WWX3422" s="917"/>
      <c r="WWY3422" s="917"/>
      <c r="WWZ3422" s="917"/>
      <c r="WXA3422" s="917"/>
      <c r="WXB3422" s="917"/>
      <c r="WXC3422" s="917"/>
      <c r="WXD3422" s="917"/>
      <c r="WXE3422" s="917"/>
      <c r="WXF3422" s="917"/>
      <c r="WXG3422" s="917"/>
      <c r="WXH3422" s="917"/>
      <c r="WXI3422" s="917" t="s">
        <v>78</v>
      </c>
      <c r="WXJ3422" s="917"/>
      <c r="WXK3422" s="917"/>
      <c r="WXL3422" s="917"/>
      <c r="WXM3422" s="917"/>
      <c r="WXN3422" s="917"/>
      <c r="WXO3422" s="917"/>
      <c r="WXP3422" s="917"/>
      <c r="WXQ3422" s="917"/>
      <c r="WXR3422" s="917"/>
      <c r="WXS3422" s="917"/>
      <c r="WXT3422" s="917"/>
      <c r="WXU3422" s="917"/>
      <c r="WXV3422" s="917"/>
      <c r="WXW3422" s="917"/>
      <c r="WXX3422" s="917"/>
      <c r="WXY3422" s="917"/>
      <c r="WXZ3422" s="917"/>
      <c r="WYA3422" s="917"/>
      <c r="WYB3422" s="917"/>
      <c r="WYC3422" s="917"/>
      <c r="WYD3422" s="917"/>
      <c r="WYE3422" s="917"/>
      <c r="WYF3422" s="917"/>
      <c r="WYG3422" s="917"/>
      <c r="WYH3422" s="917"/>
      <c r="WYI3422" s="917"/>
      <c r="WYJ3422" s="917"/>
      <c r="WYK3422" s="917"/>
      <c r="WYL3422" s="917"/>
      <c r="WYM3422" s="917"/>
      <c r="WYN3422" s="917"/>
      <c r="WYO3422" s="917" t="s">
        <v>78</v>
      </c>
      <c r="WYP3422" s="917"/>
      <c r="WYQ3422" s="917"/>
      <c r="WYR3422" s="917"/>
      <c r="WYS3422" s="917"/>
      <c r="WYT3422" s="917"/>
      <c r="WYU3422" s="917"/>
      <c r="WYV3422" s="917"/>
      <c r="WYW3422" s="917"/>
      <c r="WYX3422" s="917"/>
      <c r="WYY3422" s="917"/>
      <c r="WYZ3422" s="917"/>
      <c r="WZA3422" s="917"/>
      <c r="WZB3422" s="917"/>
      <c r="WZC3422" s="917"/>
      <c r="WZD3422" s="917"/>
      <c r="WZE3422" s="917"/>
      <c r="WZF3422" s="917"/>
      <c r="WZG3422" s="917"/>
      <c r="WZH3422" s="917"/>
      <c r="WZI3422" s="917"/>
      <c r="WZJ3422" s="917"/>
      <c r="WZK3422" s="917"/>
      <c r="WZL3422" s="917"/>
      <c r="WZM3422" s="917"/>
      <c r="WZN3422" s="917"/>
      <c r="WZO3422" s="917"/>
      <c r="WZP3422" s="917"/>
      <c r="WZQ3422" s="917"/>
      <c r="WZR3422" s="917"/>
      <c r="WZS3422" s="917"/>
      <c r="WZT3422" s="917"/>
      <c r="WZU3422" s="917" t="s">
        <v>78</v>
      </c>
      <c r="WZV3422" s="917"/>
      <c r="WZW3422" s="917"/>
      <c r="WZX3422" s="917"/>
      <c r="WZY3422" s="917"/>
      <c r="WZZ3422" s="917"/>
      <c r="XAA3422" s="917"/>
      <c r="XAB3422" s="917"/>
      <c r="XAC3422" s="917"/>
      <c r="XAD3422" s="917"/>
      <c r="XAE3422" s="917"/>
      <c r="XAF3422" s="917"/>
      <c r="XAG3422" s="917"/>
      <c r="XAH3422" s="917"/>
      <c r="XAI3422" s="917"/>
      <c r="XAJ3422" s="917"/>
      <c r="XAK3422" s="917"/>
      <c r="XAL3422" s="917"/>
      <c r="XAM3422" s="917"/>
      <c r="XAN3422" s="917"/>
      <c r="XAO3422" s="917"/>
      <c r="XAP3422" s="917"/>
      <c r="XAQ3422" s="917"/>
      <c r="XAR3422" s="917"/>
      <c r="XAS3422" s="917"/>
      <c r="XAT3422" s="917"/>
      <c r="XAU3422" s="917"/>
      <c r="XAV3422" s="917"/>
      <c r="XAW3422" s="917"/>
      <c r="XAX3422" s="917"/>
      <c r="XAY3422" s="917"/>
      <c r="XAZ3422" s="917"/>
      <c r="XBA3422" s="917" t="s">
        <v>78</v>
      </c>
      <c r="XBB3422" s="917"/>
      <c r="XBC3422" s="917"/>
      <c r="XBD3422" s="917"/>
      <c r="XBE3422" s="917"/>
      <c r="XBF3422" s="917"/>
      <c r="XBG3422" s="917"/>
      <c r="XBH3422" s="917"/>
      <c r="XBI3422" s="917"/>
      <c r="XBJ3422" s="917"/>
      <c r="XBK3422" s="917"/>
      <c r="XBL3422" s="917"/>
      <c r="XBM3422" s="917"/>
      <c r="XBN3422" s="917"/>
      <c r="XBO3422" s="917"/>
      <c r="XBP3422" s="917"/>
      <c r="XBQ3422" s="917"/>
      <c r="XBR3422" s="917"/>
      <c r="XBS3422" s="917"/>
      <c r="XBT3422" s="917"/>
      <c r="XBU3422" s="917"/>
      <c r="XBV3422" s="917"/>
      <c r="XBW3422" s="917"/>
      <c r="XBX3422" s="917"/>
      <c r="XBY3422" s="917"/>
      <c r="XBZ3422" s="917"/>
      <c r="XCA3422" s="917"/>
      <c r="XCB3422" s="917"/>
      <c r="XCC3422" s="917"/>
      <c r="XCD3422" s="917"/>
      <c r="XCE3422" s="917"/>
      <c r="XCF3422" s="917"/>
      <c r="XCG3422" s="917" t="s">
        <v>78</v>
      </c>
      <c r="XCH3422" s="917"/>
      <c r="XCI3422" s="917"/>
      <c r="XCJ3422" s="917"/>
      <c r="XCK3422" s="917"/>
      <c r="XCL3422" s="917"/>
      <c r="XCM3422" s="917"/>
      <c r="XCN3422" s="917"/>
      <c r="XCO3422" s="917"/>
      <c r="XCP3422" s="917"/>
      <c r="XCQ3422" s="917"/>
      <c r="XCR3422" s="917"/>
      <c r="XCS3422" s="917"/>
      <c r="XCT3422" s="917"/>
      <c r="XCU3422" s="917"/>
      <c r="XCV3422" s="917"/>
      <c r="XCW3422" s="917"/>
      <c r="XCX3422" s="917"/>
      <c r="XCY3422" s="917"/>
      <c r="XCZ3422" s="917"/>
      <c r="XDA3422" s="917"/>
      <c r="XDB3422" s="917"/>
      <c r="XDC3422" s="917"/>
      <c r="XDD3422" s="917"/>
      <c r="XDE3422" s="917"/>
      <c r="XDF3422" s="917"/>
      <c r="XDG3422" s="917"/>
      <c r="XDH3422" s="917"/>
      <c r="XDI3422" s="917"/>
      <c r="XDJ3422" s="917"/>
      <c r="XDK3422" s="917"/>
      <c r="XDL3422" s="917"/>
      <c r="XDM3422" s="917" t="s">
        <v>78</v>
      </c>
      <c r="XDN3422" s="917"/>
      <c r="XDO3422" s="917"/>
      <c r="XDP3422" s="917"/>
      <c r="XDQ3422" s="917"/>
      <c r="XDR3422" s="917"/>
      <c r="XDS3422" s="917"/>
      <c r="XDT3422" s="917"/>
      <c r="XDU3422" s="917"/>
      <c r="XDV3422" s="917"/>
      <c r="XDW3422" s="917"/>
      <c r="XDX3422" s="917"/>
      <c r="XDY3422" s="917"/>
      <c r="XDZ3422" s="917"/>
      <c r="XEA3422" s="917"/>
      <c r="XEB3422" s="917"/>
      <c r="XEC3422" s="917"/>
      <c r="XED3422" s="917"/>
      <c r="XEE3422" s="917"/>
      <c r="XEF3422" s="917"/>
      <c r="XEG3422" s="917"/>
      <c r="XEH3422" s="917"/>
      <c r="XEI3422" s="917"/>
      <c r="XEJ3422" s="917"/>
      <c r="XEK3422" s="917"/>
      <c r="XEL3422" s="917"/>
      <c r="XEM3422" s="917"/>
      <c r="XEN3422" s="917"/>
      <c r="XEO3422" s="917"/>
      <c r="XEP3422" s="917"/>
      <c r="XEQ3422" s="917"/>
      <c r="XER3422" s="917"/>
    </row>
    <row r="3423" spans="1:16372">
      <c r="A3423" s="1">
        <v>0</v>
      </c>
      <c r="B3423" s="1">
        <v>0.69</v>
      </c>
      <c r="C3423" s="1">
        <v>0.75800000000000001</v>
      </c>
      <c r="D3423" s="1">
        <v>0.81</v>
      </c>
      <c r="E3423" s="1">
        <v>0.872</v>
      </c>
      <c r="F3423" s="1">
        <v>0.94199999999999995</v>
      </c>
      <c r="G3423" s="1">
        <v>1.022</v>
      </c>
      <c r="H3423" s="1">
        <v>1.2170000000000001</v>
      </c>
      <c r="I3423" s="1">
        <v>1.4610000000000001</v>
      </c>
      <c r="J3423" s="21">
        <v>5190</v>
      </c>
      <c r="K3423" s="1">
        <v>0</v>
      </c>
      <c r="L3423" s="1">
        <v>0</v>
      </c>
      <c r="M3423" s="1">
        <v>0</v>
      </c>
      <c r="N3423" s="1">
        <v>0</v>
      </c>
      <c r="O3423" s="1">
        <v>0</v>
      </c>
      <c r="P3423" s="365">
        <v>0</v>
      </c>
      <c r="Q3423" s="1">
        <v>28.779</v>
      </c>
      <c r="R3423" s="1">
        <v>66.043999999999997</v>
      </c>
      <c r="S3423" s="1">
        <v>109.751</v>
      </c>
      <c r="T3423" s="1">
        <v>154.43899999999999</v>
      </c>
      <c r="U3423" s="24"/>
      <c r="V3423" s="1">
        <f>IF(V3422=tankSound13,V3422,CEILING(W3421,incHeel))</f>
        <v>1600</v>
      </c>
      <c r="W3423" s="1">
        <f>Interp2(tank13Heel1,tank13Heel2,tank13Heel3,V3423,V3421)</f>
        <v>0</v>
      </c>
      <c r="X3423" s="1">
        <f>IF(X3422=X3421,X3422,CEILING(X3421,inc))</f>
        <v>1550</v>
      </c>
      <c r="Y3423" s="42">
        <f>IF(X3427=X3426,X3426,Interp1(V3426:V3427,X3426:X3427,V3425))</f>
        <v>80.566000000000003</v>
      </c>
      <c r="AA3423" s="30"/>
      <c r="AB3423" s="42"/>
      <c r="AC3423" s="30"/>
      <c r="BI3423" s="30"/>
      <c r="CO3423" s="30"/>
      <c r="DU3423" s="30"/>
      <c r="FA3423" s="30"/>
      <c r="GG3423" s="30"/>
      <c r="HM3423" s="30"/>
      <c r="IS3423" s="30"/>
      <c r="JY3423" s="30"/>
      <c r="LE3423" s="30"/>
      <c r="MK3423" s="30"/>
      <c r="NQ3423" s="30"/>
      <c r="OW3423" s="30"/>
      <c r="QC3423" s="30"/>
      <c r="RI3423" s="30"/>
      <c r="SO3423" s="30"/>
      <c r="TU3423" s="30"/>
      <c r="VA3423" s="30"/>
      <c r="WG3423" s="30"/>
      <c r="XM3423" s="30"/>
      <c r="YS3423" s="30"/>
      <c r="ZY3423" s="30"/>
      <c r="ABE3423" s="30"/>
      <c r="ACK3423" s="30"/>
      <c r="ADQ3423" s="30"/>
      <c r="AEW3423" s="30"/>
      <c r="AGC3423" s="30"/>
      <c r="AHI3423" s="30"/>
      <c r="AIO3423" s="30"/>
      <c r="AJU3423" s="30"/>
      <c r="ALA3423" s="30"/>
      <c r="AMG3423" s="30"/>
      <c r="ANM3423" s="30"/>
      <c r="AOS3423" s="30"/>
      <c r="APY3423" s="30"/>
      <c r="ARE3423" s="30"/>
      <c r="ASK3423" s="30"/>
      <c r="ATQ3423" s="30"/>
      <c r="AUW3423" s="30"/>
      <c r="AWC3423" s="30"/>
      <c r="AXI3423" s="30"/>
      <c r="AYO3423" s="30"/>
      <c r="AZU3423" s="30"/>
      <c r="BBA3423" s="30"/>
      <c r="BCG3423" s="30"/>
      <c r="BDM3423" s="30"/>
      <c r="BES3423" s="30"/>
      <c r="BFY3423" s="30"/>
      <c r="BHE3423" s="30"/>
      <c r="BIK3423" s="30"/>
      <c r="BJQ3423" s="30"/>
      <c r="BKW3423" s="30"/>
      <c r="BMC3423" s="30"/>
      <c r="BNI3423" s="30"/>
      <c r="BOO3423" s="30"/>
      <c r="BPU3423" s="30"/>
      <c r="BRA3423" s="30"/>
      <c r="BSG3423" s="30"/>
      <c r="BTM3423" s="30"/>
      <c r="BUS3423" s="30"/>
      <c r="BVY3423" s="30"/>
      <c r="BXE3423" s="30"/>
      <c r="BYK3423" s="30"/>
      <c r="BZQ3423" s="30"/>
      <c r="CAW3423" s="30"/>
      <c r="CCC3423" s="30"/>
      <c r="CDI3423" s="30"/>
      <c r="CEO3423" s="30"/>
      <c r="CFU3423" s="30"/>
      <c r="CHA3423" s="30"/>
      <c r="CIG3423" s="30"/>
      <c r="CJM3423" s="30"/>
      <c r="CKS3423" s="30"/>
      <c r="CLY3423" s="30"/>
      <c r="CNE3423" s="30"/>
      <c r="COK3423" s="30"/>
      <c r="CPQ3423" s="30"/>
      <c r="CQW3423" s="30"/>
      <c r="CSC3423" s="30"/>
      <c r="CTI3423" s="30"/>
      <c r="CUO3423" s="30"/>
      <c r="CVU3423" s="30"/>
      <c r="CXA3423" s="30"/>
      <c r="CYG3423" s="30"/>
      <c r="CZM3423" s="30"/>
      <c r="DAS3423" s="30"/>
      <c r="DBY3423" s="30"/>
      <c r="DDE3423" s="30"/>
      <c r="DEK3423" s="30"/>
      <c r="DFQ3423" s="30"/>
      <c r="DGW3423" s="30"/>
      <c r="DIC3423" s="30"/>
      <c r="DJI3423" s="30"/>
      <c r="DKO3423" s="30"/>
      <c r="DLU3423" s="30"/>
      <c r="DNA3423" s="30"/>
      <c r="DOG3423" s="30"/>
      <c r="DPM3423" s="30"/>
      <c r="DQS3423" s="30"/>
      <c r="DRY3423" s="30"/>
      <c r="DTE3423" s="30"/>
      <c r="DUK3423" s="30"/>
      <c r="DVQ3423" s="30"/>
      <c r="DWW3423" s="30"/>
      <c r="DYC3423" s="30"/>
      <c r="DZI3423" s="30"/>
      <c r="EAO3423" s="30"/>
      <c r="EBU3423" s="30"/>
      <c r="EDA3423" s="30"/>
      <c r="EEG3423" s="30"/>
      <c r="EFM3423" s="30"/>
      <c r="EGS3423" s="30"/>
      <c r="EHY3423" s="30"/>
      <c r="EJE3423" s="30"/>
      <c r="EKK3423" s="30"/>
      <c r="ELQ3423" s="30"/>
      <c r="EMW3423" s="30"/>
      <c r="EOC3423" s="30"/>
      <c r="EPI3423" s="30"/>
      <c r="EQO3423" s="30"/>
      <c r="ERU3423" s="30"/>
      <c r="ETA3423" s="30"/>
      <c r="EUG3423" s="30"/>
      <c r="EVM3423" s="30"/>
      <c r="EWS3423" s="30"/>
      <c r="EXY3423" s="30"/>
      <c r="EZE3423" s="30"/>
      <c r="FAK3423" s="30"/>
      <c r="FBQ3423" s="30"/>
      <c r="FCW3423" s="30"/>
      <c r="FEC3423" s="30"/>
      <c r="FFI3423" s="30"/>
      <c r="FGO3423" s="30"/>
      <c r="FHU3423" s="30"/>
      <c r="FJA3423" s="30"/>
      <c r="FKG3423" s="30"/>
      <c r="FLM3423" s="30"/>
      <c r="FMS3423" s="30"/>
      <c r="FNY3423" s="30"/>
      <c r="FPE3423" s="30"/>
      <c r="FQK3423" s="30"/>
      <c r="FRQ3423" s="30"/>
      <c r="FSW3423" s="30"/>
      <c r="FUC3423" s="30"/>
      <c r="FVI3423" s="30"/>
      <c r="FWO3423" s="30"/>
      <c r="FXU3423" s="30"/>
      <c r="FZA3423" s="30"/>
      <c r="GAG3423" s="30"/>
      <c r="GBM3423" s="30"/>
      <c r="GCS3423" s="30"/>
      <c r="GDY3423" s="30"/>
      <c r="GFE3423" s="30"/>
      <c r="GGK3423" s="30"/>
      <c r="GHQ3423" s="30"/>
      <c r="GIW3423" s="30"/>
      <c r="GKC3423" s="30"/>
      <c r="GLI3423" s="30"/>
      <c r="GMO3423" s="30"/>
      <c r="GNU3423" s="30"/>
      <c r="GPA3423" s="30"/>
      <c r="GQG3423" s="30"/>
      <c r="GRM3423" s="30"/>
      <c r="GSS3423" s="30"/>
      <c r="GTY3423" s="30"/>
      <c r="GVE3423" s="30"/>
      <c r="GWK3423" s="30"/>
      <c r="GXQ3423" s="30"/>
      <c r="GYW3423" s="30"/>
      <c r="HAC3423" s="30"/>
      <c r="HBI3423" s="30"/>
      <c r="HCO3423" s="30"/>
      <c r="HDU3423" s="30"/>
      <c r="HFA3423" s="30"/>
      <c r="HGG3423" s="30"/>
      <c r="HHM3423" s="30"/>
      <c r="HIS3423" s="30"/>
      <c r="HJY3423" s="30"/>
      <c r="HLE3423" s="30"/>
      <c r="HMK3423" s="30"/>
      <c r="HNQ3423" s="30"/>
      <c r="HOW3423" s="30"/>
      <c r="HQC3423" s="30"/>
      <c r="HRI3423" s="30"/>
      <c r="HSO3423" s="30"/>
      <c r="HTU3423" s="30"/>
      <c r="HVA3423" s="30"/>
      <c r="HWG3423" s="30"/>
      <c r="HXM3423" s="30"/>
      <c r="HYS3423" s="30"/>
      <c r="HZY3423" s="30"/>
      <c r="IBE3423" s="30"/>
      <c r="ICK3423" s="30"/>
      <c r="IDQ3423" s="30"/>
      <c r="IEW3423" s="30"/>
      <c r="IGC3423" s="30"/>
      <c r="IHI3423" s="30"/>
      <c r="IIO3423" s="30"/>
      <c r="IJU3423" s="30"/>
      <c r="ILA3423" s="30"/>
      <c r="IMG3423" s="30"/>
      <c r="INM3423" s="30"/>
      <c r="IOS3423" s="30"/>
      <c r="IPY3423" s="30"/>
      <c r="IRE3423" s="30"/>
      <c r="ISK3423" s="30"/>
      <c r="ITQ3423" s="30"/>
      <c r="IUW3423" s="30"/>
      <c r="IWC3423" s="30"/>
      <c r="IXI3423" s="30"/>
      <c r="IYO3423" s="30"/>
      <c r="IZU3423" s="30"/>
      <c r="JBA3423" s="30"/>
      <c r="JCG3423" s="30"/>
      <c r="JDM3423" s="30"/>
      <c r="JES3423" s="30"/>
      <c r="JFY3423" s="30"/>
      <c r="JHE3423" s="30"/>
      <c r="JIK3423" s="30"/>
      <c r="JJQ3423" s="30"/>
      <c r="JKW3423" s="30"/>
      <c r="JMC3423" s="30"/>
      <c r="JNI3423" s="30"/>
      <c r="JOO3423" s="30"/>
      <c r="JPU3423" s="30"/>
      <c r="JRA3423" s="30"/>
      <c r="JSG3423" s="30"/>
      <c r="JTM3423" s="30"/>
      <c r="JUS3423" s="30"/>
      <c r="JVY3423" s="30"/>
      <c r="JXE3423" s="30"/>
      <c r="JYK3423" s="30"/>
      <c r="JZQ3423" s="30"/>
      <c r="KAW3423" s="30"/>
      <c r="KCC3423" s="30"/>
      <c r="KDI3423" s="30"/>
      <c r="KEO3423" s="30"/>
      <c r="KFU3423" s="30"/>
      <c r="KHA3423" s="30"/>
      <c r="KIG3423" s="30"/>
      <c r="KJM3423" s="30"/>
      <c r="KKS3423" s="30"/>
      <c r="KLY3423" s="30"/>
      <c r="KNE3423" s="30"/>
      <c r="KOK3423" s="30"/>
      <c r="KPQ3423" s="30"/>
      <c r="KQW3423" s="30"/>
      <c r="KSC3423" s="30"/>
      <c r="KTI3423" s="30"/>
      <c r="KUO3423" s="30"/>
      <c r="KVU3423" s="30"/>
      <c r="KXA3423" s="30"/>
      <c r="KYG3423" s="30"/>
      <c r="KZM3423" s="30"/>
      <c r="LAS3423" s="30"/>
      <c r="LBY3423" s="30"/>
      <c r="LDE3423" s="30"/>
      <c r="LEK3423" s="30"/>
      <c r="LFQ3423" s="30"/>
      <c r="LGW3423" s="30"/>
      <c r="LIC3423" s="30"/>
      <c r="LJI3423" s="30"/>
      <c r="LKO3423" s="30"/>
      <c r="LLU3423" s="30"/>
      <c r="LNA3423" s="30"/>
      <c r="LOG3423" s="30"/>
      <c r="LPM3423" s="30"/>
      <c r="LQS3423" s="30"/>
      <c r="LRY3423" s="30"/>
      <c r="LTE3423" s="30"/>
      <c r="LUK3423" s="30"/>
      <c r="LVQ3423" s="30"/>
      <c r="LWW3423" s="30"/>
      <c r="LYC3423" s="30"/>
      <c r="LZI3423" s="30"/>
      <c r="MAO3423" s="30"/>
      <c r="MBU3423" s="30"/>
      <c r="MDA3423" s="30"/>
      <c r="MEG3423" s="30"/>
      <c r="MFM3423" s="30"/>
      <c r="MGS3423" s="30"/>
      <c r="MHY3423" s="30"/>
      <c r="MJE3423" s="30"/>
      <c r="MKK3423" s="30"/>
      <c r="MLQ3423" s="30"/>
      <c r="MMW3423" s="30"/>
      <c r="MOC3423" s="30"/>
      <c r="MPI3423" s="30"/>
      <c r="MQO3423" s="30"/>
      <c r="MRU3423" s="30"/>
      <c r="MTA3423" s="30"/>
      <c r="MUG3423" s="30"/>
      <c r="MVM3423" s="30"/>
      <c r="MWS3423" s="30"/>
      <c r="MXY3423" s="30"/>
      <c r="MZE3423" s="30"/>
      <c r="NAK3423" s="30"/>
      <c r="NBQ3423" s="30"/>
      <c r="NCW3423" s="30"/>
      <c r="NEC3423" s="30"/>
      <c r="NFI3423" s="30"/>
      <c r="NGO3423" s="30"/>
      <c r="NHU3423" s="30"/>
      <c r="NJA3423" s="30"/>
      <c r="NKG3423" s="30"/>
      <c r="NLM3423" s="30"/>
      <c r="NMS3423" s="30"/>
      <c r="NNY3423" s="30"/>
      <c r="NPE3423" s="30"/>
      <c r="NQK3423" s="30"/>
      <c r="NRQ3423" s="30"/>
      <c r="NSW3423" s="30"/>
      <c r="NUC3423" s="30"/>
      <c r="NVI3423" s="30"/>
      <c r="NWO3423" s="30"/>
      <c r="NXU3423" s="30"/>
      <c r="NZA3423" s="30"/>
      <c r="OAG3423" s="30"/>
      <c r="OBM3423" s="30"/>
      <c r="OCS3423" s="30"/>
      <c r="ODY3423" s="30"/>
      <c r="OFE3423" s="30"/>
      <c r="OGK3423" s="30"/>
      <c r="OHQ3423" s="30"/>
      <c r="OIW3423" s="30"/>
      <c r="OKC3423" s="30"/>
      <c r="OLI3423" s="30"/>
      <c r="OMO3423" s="30"/>
      <c r="ONU3423" s="30"/>
      <c r="OPA3423" s="30"/>
      <c r="OQG3423" s="30"/>
      <c r="ORM3423" s="30"/>
      <c r="OSS3423" s="30"/>
      <c r="OTY3423" s="30"/>
      <c r="OVE3423" s="30"/>
      <c r="OWK3423" s="30"/>
      <c r="OXQ3423" s="30"/>
      <c r="OYW3423" s="30"/>
      <c r="PAC3423" s="30"/>
      <c r="PBI3423" s="30"/>
      <c r="PCO3423" s="30"/>
      <c r="PDU3423" s="30"/>
      <c r="PFA3423" s="30"/>
      <c r="PGG3423" s="30"/>
      <c r="PHM3423" s="30"/>
      <c r="PIS3423" s="30"/>
      <c r="PJY3423" s="30"/>
      <c r="PLE3423" s="30"/>
      <c r="PMK3423" s="30"/>
      <c r="PNQ3423" s="30"/>
      <c r="POW3423" s="30"/>
      <c r="PQC3423" s="30"/>
      <c r="PRI3423" s="30"/>
      <c r="PSO3423" s="30"/>
      <c r="PTU3423" s="30"/>
      <c r="PVA3423" s="30"/>
      <c r="PWG3423" s="30"/>
      <c r="PXM3423" s="30"/>
      <c r="PYS3423" s="30"/>
      <c r="PZY3423" s="30"/>
      <c r="QBE3423" s="30"/>
      <c r="QCK3423" s="30"/>
      <c r="QDQ3423" s="30"/>
      <c r="QEW3423" s="30"/>
      <c r="QGC3423" s="30"/>
      <c r="QHI3423" s="30"/>
      <c r="QIO3423" s="30"/>
      <c r="QJU3423" s="30"/>
      <c r="QLA3423" s="30"/>
      <c r="QMG3423" s="30"/>
      <c r="QNM3423" s="30"/>
      <c r="QOS3423" s="30"/>
      <c r="QPY3423" s="30"/>
      <c r="QRE3423" s="30"/>
      <c r="QSK3423" s="30"/>
      <c r="QTQ3423" s="30"/>
      <c r="QUW3423" s="30"/>
      <c r="QWC3423" s="30"/>
      <c r="QXI3423" s="30"/>
      <c r="QYO3423" s="30"/>
      <c r="QZU3423" s="30"/>
      <c r="RBA3423" s="30"/>
      <c r="RCG3423" s="30"/>
      <c r="RDM3423" s="30"/>
      <c r="RES3423" s="30"/>
      <c r="RFY3423" s="30"/>
      <c r="RHE3423" s="30"/>
      <c r="RIK3423" s="30"/>
      <c r="RJQ3423" s="30"/>
      <c r="RKW3423" s="30"/>
      <c r="RMC3423" s="30"/>
      <c r="RNI3423" s="30"/>
      <c r="ROO3423" s="30"/>
      <c r="RPU3423" s="30"/>
      <c r="RRA3423" s="30"/>
      <c r="RSG3423" s="30"/>
      <c r="RTM3423" s="30"/>
      <c r="RUS3423" s="30"/>
      <c r="RVY3423" s="30"/>
      <c r="RXE3423" s="30"/>
      <c r="RYK3423" s="30"/>
      <c r="RZQ3423" s="30"/>
      <c r="SAW3423" s="30"/>
      <c r="SCC3423" s="30"/>
      <c r="SDI3423" s="30"/>
      <c r="SEO3423" s="30"/>
      <c r="SFU3423" s="30"/>
      <c r="SHA3423" s="30"/>
      <c r="SIG3423" s="30"/>
      <c r="SJM3423" s="30"/>
      <c r="SKS3423" s="30"/>
      <c r="SLY3423" s="30"/>
      <c r="SNE3423" s="30"/>
      <c r="SOK3423" s="30"/>
      <c r="SPQ3423" s="30"/>
      <c r="SQW3423" s="30"/>
      <c r="SSC3423" s="30"/>
      <c r="STI3423" s="30"/>
      <c r="SUO3423" s="30"/>
      <c r="SVU3423" s="30"/>
      <c r="SXA3423" s="30"/>
      <c r="SYG3423" s="30"/>
      <c r="SZM3423" s="30"/>
      <c r="TAS3423" s="30"/>
      <c r="TBY3423" s="30"/>
      <c r="TDE3423" s="30"/>
      <c r="TEK3423" s="30"/>
      <c r="TFQ3423" s="30"/>
      <c r="TGW3423" s="30"/>
      <c r="TIC3423" s="30"/>
      <c r="TJI3423" s="30"/>
      <c r="TKO3423" s="30"/>
      <c r="TLU3423" s="30"/>
      <c r="TNA3423" s="30"/>
      <c r="TOG3423" s="30"/>
      <c r="TPM3423" s="30"/>
      <c r="TQS3423" s="30"/>
      <c r="TRY3423" s="30"/>
      <c r="TTE3423" s="30"/>
      <c r="TUK3423" s="30"/>
      <c r="TVQ3423" s="30"/>
      <c r="TWW3423" s="30"/>
      <c r="TYC3423" s="30"/>
      <c r="TZI3423" s="30"/>
      <c r="UAO3423" s="30"/>
      <c r="UBU3423" s="30"/>
      <c r="UDA3423" s="30"/>
      <c r="UEG3423" s="30"/>
      <c r="UFM3423" s="30"/>
      <c r="UGS3423" s="30"/>
      <c r="UHY3423" s="30"/>
      <c r="UJE3423" s="30"/>
      <c r="UKK3423" s="30"/>
      <c r="ULQ3423" s="30"/>
      <c r="UMW3423" s="30"/>
      <c r="UOC3423" s="30"/>
      <c r="UPI3423" s="30"/>
      <c r="UQO3423" s="30"/>
      <c r="URU3423" s="30"/>
      <c r="UTA3423" s="30"/>
      <c r="UUG3423" s="30"/>
      <c r="UVM3423" s="30"/>
      <c r="UWS3423" s="30"/>
      <c r="UXY3423" s="30"/>
      <c r="UZE3423" s="30"/>
      <c r="VAK3423" s="30"/>
      <c r="VBQ3423" s="30"/>
      <c r="VCW3423" s="30"/>
      <c r="VEC3423" s="30"/>
      <c r="VFI3423" s="30"/>
      <c r="VGO3423" s="30"/>
      <c r="VHU3423" s="30"/>
      <c r="VJA3423" s="30"/>
      <c r="VKG3423" s="30"/>
      <c r="VLM3423" s="30"/>
      <c r="VMS3423" s="30"/>
      <c r="VNY3423" s="30"/>
      <c r="VPE3423" s="30"/>
      <c r="VQK3423" s="30"/>
      <c r="VRQ3423" s="30"/>
      <c r="VSW3423" s="30"/>
      <c r="VUC3423" s="30"/>
      <c r="VVI3423" s="30"/>
      <c r="VWO3423" s="30"/>
      <c r="VXU3423" s="30"/>
      <c r="VZA3423" s="30"/>
      <c r="WAG3423" s="30"/>
      <c r="WBM3423" s="30"/>
      <c r="WCS3423" s="30"/>
      <c r="WDY3423" s="30"/>
      <c r="WFE3423" s="30"/>
      <c r="WGK3423" s="30"/>
      <c r="WHQ3423" s="30"/>
      <c r="WIW3423" s="30"/>
      <c r="WKC3423" s="30"/>
      <c r="WLI3423" s="30"/>
      <c r="WMO3423" s="30"/>
      <c r="WNU3423" s="30"/>
      <c r="WPA3423" s="30"/>
      <c r="WQG3423" s="30"/>
      <c r="WRM3423" s="30"/>
      <c r="WSS3423" s="30"/>
      <c r="WTY3423" s="30"/>
      <c r="WVE3423" s="30"/>
      <c r="WWK3423" s="30"/>
      <c r="WXQ3423" s="30"/>
      <c r="WYW3423" s="30"/>
      <c r="XAC3423" s="30"/>
      <c r="XBI3423" s="30"/>
      <c r="XCO3423" s="30"/>
      <c r="XDU3423" s="30"/>
    </row>
    <row r="3424" spans="1:16372">
      <c r="A3424" s="1">
        <v>50</v>
      </c>
      <c r="B3424" s="1">
        <v>1.992</v>
      </c>
      <c r="C3424" s="1">
        <v>2.12</v>
      </c>
      <c r="D3424" s="1">
        <v>2.1930000000000001</v>
      </c>
      <c r="E3424" s="1">
        <v>2.2749999999999999</v>
      </c>
      <c r="F3424" s="1">
        <v>2.3650000000000002</v>
      </c>
      <c r="G3424" s="1">
        <v>2.4630000000000001</v>
      </c>
      <c r="H3424" s="1">
        <v>2.6930000000000001</v>
      </c>
      <c r="I3424" s="1">
        <v>2.9590000000000001</v>
      </c>
      <c r="J3424" s="21">
        <v>2500</v>
      </c>
      <c r="K3424" s="1">
        <v>100</v>
      </c>
      <c r="L3424" s="1">
        <v>-86.563999999999993</v>
      </c>
      <c r="M3424" s="1">
        <v>-77.048000000000002</v>
      </c>
      <c r="N3424" s="1">
        <v>-60.417000000000002</v>
      </c>
      <c r="O3424" s="1">
        <v>-34.087000000000003</v>
      </c>
      <c r="P3424" s="365">
        <v>0</v>
      </c>
      <c r="Q3424" s="1">
        <v>34.277000000000001</v>
      </c>
      <c r="R3424" s="1">
        <v>74.436999999999998</v>
      </c>
      <c r="S3424" s="1">
        <v>118.10599999999999</v>
      </c>
      <c r="T3424" s="1">
        <v>163.99100000000001</v>
      </c>
      <c r="U3424" s="25"/>
      <c r="W3424" s="1">
        <f>IF(W3423=W3422,W3422,Interp1(V3422:V3423,W3422:W3423,W3421))</f>
        <v>0</v>
      </c>
      <c r="Y3424" s="42"/>
      <c r="AA3424" s="30"/>
      <c r="AB3424" s="42"/>
      <c r="AC3424" s="919"/>
      <c r="AD3424" s="918"/>
      <c r="AE3424" s="918"/>
      <c r="AF3424" s="918"/>
      <c r="AG3424" s="918"/>
      <c r="AH3424" s="918"/>
      <c r="AI3424" s="918"/>
      <c r="AJ3424" s="918"/>
      <c r="AK3424" s="918"/>
      <c r="AL3424" s="918"/>
      <c r="AM3424" s="918"/>
      <c r="AN3424" s="918"/>
      <c r="AP3424" s="918"/>
      <c r="AQ3424" s="918"/>
      <c r="AR3424" s="918"/>
      <c r="AS3424" s="918"/>
      <c r="AT3424" s="918"/>
      <c r="AU3424" s="918"/>
      <c r="AV3424" s="918"/>
      <c r="AW3424" s="918"/>
      <c r="AX3424" s="918"/>
      <c r="AY3424" s="918"/>
      <c r="BA3424" s="913" t="s">
        <v>1</v>
      </c>
      <c r="BB3424" s="31"/>
      <c r="BC3424" s="909" t="s">
        <v>0</v>
      </c>
      <c r="BD3424" s="909"/>
      <c r="BE3424" s="909"/>
      <c r="BF3424" s="909"/>
      <c r="BG3424" s="909"/>
      <c r="BH3424" s="909"/>
      <c r="BI3424" s="907" t="s">
        <v>79</v>
      </c>
      <c r="BJ3424" s="909" t="s">
        <v>68</v>
      </c>
      <c r="BK3424" s="910" t="s">
        <v>75</v>
      </c>
      <c r="BL3424" s="911"/>
      <c r="BM3424" s="911"/>
      <c r="BN3424" s="911"/>
      <c r="BO3424" s="911"/>
      <c r="BP3424" s="911"/>
      <c r="BQ3424" s="911"/>
      <c r="BR3424" s="911"/>
      <c r="BS3424" s="911"/>
      <c r="BT3424" s="911"/>
      <c r="BU3424" s="32"/>
      <c r="BV3424" s="911" t="s">
        <v>74</v>
      </c>
      <c r="BW3424" s="911"/>
      <c r="BX3424" s="911"/>
      <c r="BY3424" s="911"/>
      <c r="BZ3424" s="911"/>
      <c r="CA3424" s="911"/>
      <c r="CB3424" s="911"/>
      <c r="CC3424" s="911"/>
      <c r="CD3424" s="911"/>
      <c r="CE3424" s="912"/>
      <c r="CG3424" s="913" t="s">
        <v>1</v>
      </c>
      <c r="CH3424" s="31"/>
      <c r="CI3424" s="909" t="s">
        <v>0</v>
      </c>
      <c r="CJ3424" s="909"/>
      <c r="CK3424" s="909"/>
      <c r="CL3424" s="909"/>
      <c r="CM3424" s="909"/>
      <c r="CN3424" s="909"/>
      <c r="CO3424" s="907" t="s">
        <v>79</v>
      </c>
      <c r="CP3424" s="909" t="s">
        <v>68</v>
      </c>
      <c r="CQ3424" s="910" t="s">
        <v>75</v>
      </c>
      <c r="CR3424" s="911"/>
      <c r="CS3424" s="911"/>
      <c r="CT3424" s="911"/>
      <c r="CU3424" s="911"/>
      <c r="CV3424" s="911"/>
      <c r="CW3424" s="911"/>
      <c r="CX3424" s="911"/>
      <c r="CY3424" s="911"/>
      <c r="CZ3424" s="911"/>
      <c r="DA3424" s="32"/>
      <c r="DB3424" s="911" t="s">
        <v>74</v>
      </c>
      <c r="DC3424" s="911"/>
      <c r="DD3424" s="911"/>
      <c r="DE3424" s="911"/>
      <c r="DF3424" s="911"/>
      <c r="DG3424" s="911"/>
      <c r="DH3424" s="911"/>
      <c r="DI3424" s="911"/>
      <c r="DJ3424" s="911"/>
      <c r="DK3424" s="912"/>
      <c r="DM3424" s="913" t="s">
        <v>1</v>
      </c>
      <c r="DN3424" s="31"/>
      <c r="DO3424" s="909" t="s">
        <v>0</v>
      </c>
      <c r="DP3424" s="909"/>
      <c r="DQ3424" s="909"/>
      <c r="DR3424" s="909"/>
      <c r="DS3424" s="909"/>
      <c r="DT3424" s="909"/>
      <c r="DU3424" s="907" t="s">
        <v>79</v>
      </c>
      <c r="DV3424" s="909" t="s">
        <v>68</v>
      </c>
      <c r="DW3424" s="910" t="s">
        <v>75</v>
      </c>
      <c r="DX3424" s="911"/>
      <c r="DY3424" s="911"/>
      <c r="DZ3424" s="911"/>
      <c r="EA3424" s="911"/>
      <c r="EB3424" s="911"/>
      <c r="EC3424" s="911"/>
      <c r="ED3424" s="911"/>
      <c r="EE3424" s="911"/>
      <c r="EF3424" s="911"/>
      <c r="EG3424" s="32"/>
      <c r="EH3424" s="911" t="s">
        <v>74</v>
      </c>
      <c r="EI3424" s="911"/>
      <c r="EJ3424" s="911"/>
      <c r="EK3424" s="911"/>
      <c r="EL3424" s="911"/>
      <c r="EM3424" s="911"/>
      <c r="EN3424" s="911"/>
      <c r="EO3424" s="911"/>
      <c r="EP3424" s="911"/>
      <c r="EQ3424" s="912"/>
      <c r="ES3424" s="913" t="s">
        <v>1</v>
      </c>
      <c r="ET3424" s="31"/>
      <c r="EU3424" s="909" t="s">
        <v>0</v>
      </c>
      <c r="EV3424" s="909"/>
      <c r="EW3424" s="909"/>
      <c r="EX3424" s="909"/>
      <c r="EY3424" s="909"/>
      <c r="EZ3424" s="909"/>
      <c r="FA3424" s="907" t="s">
        <v>79</v>
      </c>
      <c r="FB3424" s="909" t="s">
        <v>68</v>
      </c>
      <c r="FC3424" s="910" t="s">
        <v>75</v>
      </c>
      <c r="FD3424" s="911"/>
      <c r="FE3424" s="911"/>
      <c r="FF3424" s="911"/>
      <c r="FG3424" s="911"/>
      <c r="FH3424" s="911"/>
      <c r="FI3424" s="911"/>
      <c r="FJ3424" s="911"/>
      <c r="FK3424" s="911"/>
      <c r="FL3424" s="911"/>
      <c r="FM3424" s="32"/>
      <c r="FN3424" s="911" t="s">
        <v>74</v>
      </c>
      <c r="FO3424" s="911"/>
      <c r="FP3424" s="911"/>
      <c r="FQ3424" s="911"/>
      <c r="FR3424" s="911"/>
      <c r="FS3424" s="911"/>
      <c r="FT3424" s="911"/>
      <c r="FU3424" s="911"/>
      <c r="FV3424" s="911"/>
      <c r="FW3424" s="912"/>
      <c r="FY3424" s="913" t="s">
        <v>1</v>
      </c>
      <c r="FZ3424" s="31"/>
      <c r="GA3424" s="909" t="s">
        <v>0</v>
      </c>
      <c r="GB3424" s="909"/>
      <c r="GC3424" s="909"/>
      <c r="GD3424" s="909"/>
      <c r="GE3424" s="909"/>
      <c r="GF3424" s="909"/>
      <c r="GG3424" s="907" t="s">
        <v>79</v>
      </c>
      <c r="GH3424" s="909" t="s">
        <v>68</v>
      </c>
      <c r="GI3424" s="910" t="s">
        <v>75</v>
      </c>
      <c r="GJ3424" s="911"/>
      <c r="GK3424" s="911"/>
      <c r="GL3424" s="911"/>
      <c r="GM3424" s="911"/>
      <c r="GN3424" s="911"/>
      <c r="GO3424" s="911"/>
      <c r="GP3424" s="911"/>
      <c r="GQ3424" s="911"/>
      <c r="GR3424" s="911"/>
      <c r="GS3424" s="32"/>
      <c r="GT3424" s="911" t="s">
        <v>74</v>
      </c>
      <c r="GU3424" s="911"/>
      <c r="GV3424" s="911"/>
      <c r="GW3424" s="911"/>
      <c r="GX3424" s="911"/>
      <c r="GY3424" s="911"/>
      <c r="GZ3424" s="911"/>
      <c r="HA3424" s="911"/>
      <c r="HB3424" s="911"/>
      <c r="HC3424" s="912"/>
      <c r="HE3424" s="913" t="s">
        <v>1</v>
      </c>
      <c r="HF3424" s="31"/>
      <c r="HG3424" s="909" t="s">
        <v>0</v>
      </c>
      <c r="HH3424" s="909"/>
      <c r="HI3424" s="909"/>
      <c r="HJ3424" s="909"/>
      <c r="HK3424" s="909"/>
      <c r="HL3424" s="909"/>
      <c r="HM3424" s="907" t="s">
        <v>79</v>
      </c>
      <c r="HN3424" s="909" t="s">
        <v>68</v>
      </c>
      <c r="HO3424" s="910" t="s">
        <v>75</v>
      </c>
      <c r="HP3424" s="911"/>
      <c r="HQ3424" s="911"/>
      <c r="HR3424" s="911"/>
      <c r="HS3424" s="911"/>
      <c r="HT3424" s="911"/>
      <c r="HU3424" s="911"/>
      <c r="HV3424" s="911"/>
      <c r="HW3424" s="911"/>
      <c r="HX3424" s="911"/>
      <c r="HY3424" s="32"/>
      <c r="HZ3424" s="911" t="s">
        <v>74</v>
      </c>
      <c r="IA3424" s="911"/>
      <c r="IB3424" s="911"/>
      <c r="IC3424" s="911"/>
      <c r="ID3424" s="911"/>
      <c r="IE3424" s="911"/>
      <c r="IF3424" s="911"/>
      <c r="IG3424" s="911"/>
      <c r="IH3424" s="911"/>
      <c r="II3424" s="912"/>
      <c r="IK3424" s="913" t="s">
        <v>1</v>
      </c>
      <c r="IL3424" s="31"/>
      <c r="IM3424" s="909" t="s">
        <v>0</v>
      </c>
      <c r="IN3424" s="909"/>
      <c r="IO3424" s="909"/>
      <c r="IP3424" s="909"/>
      <c r="IQ3424" s="909"/>
      <c r="IR3424" s="909"/>
      <c r="IS3424" s="907" t="s">
        <v>79</v>
      </c>
      <c r="IT3424" s="909" t="s">
        <v>68</v>
      </c>
      <c r="IU3424" s="910" t="s">
        <v>75</v>
      </c>
      <c r="IV3424" s="911"/>
      <c r="IW3424" s="911"/>
      <c r="IX3424" s="911"/>
      <c r="IY3424" s="911"/>
      <c r="IZ3424" s="911"/>
      <c r="JA3424" s="911"/>
      <c r="JB3424" s="911"/>
      <c r="JC3424" s="911"/>
      <c r="JD3424" s="911"/>
      <c r="JE3424" s="32"/>
      <c r="JF3424" s="911" t="s">
        <v>74</v>
      </c>
      <c r="JG3424" s="911"/>
      <c r="JH3424" s="911"/>
      <c r="JI3424" s="911"/>
      <c r="JJ3424" s="911"/>
      <c r="JK3424" s="911"/>
      <c r="JL3424" s="911"/>
      <c r="JM3424" s="911"/>
      <c r="JN3424" s="911"/>
      <c r="JO3424" s="912"/>
      <c r="JQ3424" s="913" t="s">
        <v>1</v>
      </c>
      <c r="JR3424" s="31"/>
      <c r="JS3424" s="909" t="s">
        <v>0</v>
      </c>
      <c r="JT3424" s="909"/>
      <c r="JU3424" s="909"/>
      <c r="JV3424" s="909"/>
      <c r="JW3424" s="909"/>
      <c r="JX3424" s="909"/>
      <c r="JY3424" s="907" t="s">
        <v>79</v>
      </c>
      <c r="JZ3424" s="909" t="s">
        <v>68</v>
      </c>
      <c r="KA3424" s="910" t="s">
        <v>75</v>
      </c>
      <c r="KB3424" s="911"/>
      <c r="KC3424" s="911"/>
      <c r="KD3424" s="911"/>
      <c r="KE3424" s="911"/>
      <c r="KF3424" s="911"/>
      <c r="KG3424" s="911"/>
      <c r="KH3424" s="911"/>
      <c r="KI3424" s="911"/>
      <c r="KJ3424" s="911"/>
      <c r="KK3424" s="32"/>
      <c r="KL3424" s="911" t="s">
        <v>74</v>
      </c>
      <c r="KM3424" s="911"/>
      <c r="KN3424" s="911"/>
      <c r="KO3424" s="911"/>
      <c r="KP3424" s="911"/>
      <c r="KQ3424" s="911"/>
      <c r="KR3424" s="911"/>
      <c r="KS3424" s="911"/>
      <c r="KT3424" s="911"/>
      <c r="KU3424" s="912"/>
      <c r="KW3424" s="913" t="s">
        <v>1</v>
      </c>
      <c r="KX3424" s="31"/>
      <c r="KY3424" s="909" t="s">
        <v>0</v>
      </c>
      <c r="KZ3424" s="909"/>
      <c r="LA3424" s="909"/>
      <c r="LB3424" s="909"/>
      <c r="LC3424" s="909"/>
      <c r="LD3424" s="909"/>
      <c r="LE3424" s="907" t="s">
        <v>79</v>
      </c>
      <c r="LF3424" s="909" t="s">
        <v>68</v>
      </c>
      <c r="LG3424" s="910" t="s">
        <v>75</v>
      </c>
      <c r="LH3424" s="911"/>
      <c r="LI3424" s="911"/>
      <c r="LJ3424" s="911"/>
      <c r="LK3424" s="911"/>
      <c r="LL3424" s="911"/>
      <c r="LM3424" s="911"/>
      <c r="LN3424" s="911"/>
      <c r="LO3424" s="911"/>
      <c r="LP3424" s="911"/>
      <c r="LQ3424" s="32"/>
      <c r="LR3424" s="911" t="s">
        <v>74</v>
      </c>
      <c r="LS3424" s="911"/>
      <c r="LT3424" s="911"/>
      <c r="LU3424" s="911"/>
      <c r="LV3424" s="911"/>
      <c r="LW3424" s="911"/>
      <c r="LX3424" s="911"/>
      <c r="LY3424" s="911"/>
      <c r="LZ3424" s="911"/>
      <c r="MA3424" s="912"/>
      <c r="MC3424" s="913" t="s">
        <v>1</v>
      </c>
      <c r="MD3424" s="31"/>
      <c r="ME3424" s="909" t="s">
        <v>0</v>
      </c>
      <c r="MF3424" s="909"/>
      <c r="MG3424" s="909"/>
      <c r="MH3424" s="909"/>
      <c r="MI3424" s="909"/>
      <c r="MJ3424" s="909"/>
      <c r="MK3424" s="907" t="s">
        <v>79</v>
      </c>
      <c r="ML3424" s="909" t="s">
        <v>68</v>
      </c>
      <c r="MM3424" s="910" t="s">
        <v>75</v>
      </c>
      <c r="MN3424" s="911"/>
      <c r="MO3424" s="911"/>
      <c r="MP3424" s="911"/>
      <c r="MQ3424" s="911"/>
      <c r="MR3424" s="911"/>
      <c r="MS3424" s="911"/>
      <c r="MT3424" s="911"/>
      <c r="MU3424" s="911"/>
      <c r="MV3424" s="911"/>
      <c r="MW3424" s="32"/>
      <c r="MX3424" s="911" t="s">
        <v>74</v>
      </c>
      <c r="MY3424" s="911"/>
      <c r="MZ3424" s="911"/>
      <c r="NA3424" s="911"/>
      <c r="NB3424" s="911"/>
      <c r="NC3424" s="911"/>
      <c r="ND3424" s="911"/>
      <c r="NE3424" s="911"/>
      <c r="NF3424" s="911"/>
      <c r="NG3424" s="912"/>
      <c r="NI3424" s="913" t="s">
        <v>1</v>
      </c>
      <c r="NJ3424" s="31"/>
      <c r="NK3424" s="909" t="s">
        <v>0</v>
      </c>
      <c r="NL3424" s="909"/>
      <c r="NM3424" s="909"/>
      <c r="NN3424" s="909"/>
      <c r="NO3424" s="909"/>
      <c r="NP3424" s="909"/>
      <c r="NQ3424" s="907" t="s">
        <v>79</v>
      </c>
      <c r="NR3424" s="909" t="s">
        <v>68</v>
      </c>
      <c r="NS3424" s="910" t="s">
        <v>75</v>
      </c>
      <c r="NT3424" s="911"/>
      <c r="NU3424" s="911"/>
      <c r="NV3424" s="911"/>
      <c r="NW3424" s="911"/>
      <c r="NX3424" s="911"/>
      <c r="NY3424" s="911"/>
      <c r="NZ3424" s="911"/>
      <c r="OA3424" s="911"/>
      <c r="OB3424" s="911"/>
      <c r="OC3424" s="32"/>
      <c r="OD3424" s="911" t="s">
        <v>74</v>
      </c>
      <c r="OE3424" s="911"/>
      <c r="OF3424" s="911"/>
      <c r="OG3424" s="911"/>
      <c r="OH3424" s="911"/>
      <c r="OI3424" s="911"/>
      <c r="OJ3424" s="911"/>
      <c r="OK3424" s="911"/>
      <c r="OL3424" s="911"/>
      <c r="OM3424" s="912"/>
      <c r="OO3424" s="913" t="s">
        <v>1</v>
      </c>
      <c r="OP3424" s="31"/>
      <c r="OQ3424" s="909" t="s">
        <v>0</v>
      </c>
      <c r="OR3424" s="909"/>
      <c r="OS3424" s="909"/>
      <c r="OT3424" s="909"/>
      <c r="OU3424" s="909"/>
      <c r="OV3424" s="909"/>
      <c r="OW3424" s="907" t="s">
        <v>79</v>
      </c>
      <c r="OX3424" s="909" t="s">
        <v>68</v>
      </c>
      <c r="OY3424" s="910" t="s">
        <v>75</v>
      </c>
      <c r="OZ3424" s="911"/>
      <c r="PA3424" s="911"/>
      <c r="PB3424" s="911"/>
      <c r="PC3424" s="911"/>
      <c r="PD3424" s="911"/>
      <c r="PE3424" s="911"/>
      <c r="PF3424" s="911"/>
      <c r="PG3424" s="911"/>
      <c r="PH3424" s="911"/>
      <c r="PI3424" s="32"/>
      <c r="PJ3424" s="911" t="s">
        <v>74</v>
      </c>
      <c r="PK3424" s="911"/>
      <c r="PL3424" s="911"/>
      <c r="PM3424" s="911"/>
      <c r="PN3424" s="911"/>
      <c r="PO3424" s="911"/>
      <c r="PP3424" s="911"/>
      <c r="PQ3424" s="911"/>
      <c r="PR3424" s="911"/>
      <c r="PS3424" s="912"/>
      <c r="PU3424" s="913" t="s">
        <v>1</v>
      </c>
      <c r="PV3424" s="31"/>
      <c r="PW3424" s="909" t="s">
        <v>0</v>
      </c>
      <c r="PX3424" s="909"/>
      <c r="PY3424" s="909"/>
      <c r="PZ3424" s="909"/>
      <c r="QA3424" s="909"/>
      <c r="QB3424" s="909"/>
      <c r="QC3424" s="907" t="s">
        <v>79</v>
      </c>
      <c r="QD3424" s="909" t="s">
        <v>68</v>
      </c>
      <c r="QE3424" s="910" t="s">
        <v>75</v>
      </c>
      <c r="QF3424" s="911"/>
      <c r="QG3424" s="911"/>
      <c r="QH3424" s="911"/>
      <c r="QI3424" s="911"/>
      <c r="QJ3424" s="911"/>
      <c r="QK3424" s="911"/>
      <c r="QL3424" s="911"/>
      <c r="QM3424" s="911"/>
      <c r="QN3424" s="911"/>
      <c r="QO3424" s="32"/>
      <c r="QP3424" s="911" t="s">
        <v>74</v>
      </c>
      <c r="QQ3424" s="911"/>
      <c r="QR3424" s="911"/>
      <c r="QS3424" s="911"/>
      <c r="QT3424" s="911"/>
      <c r="QU3424" s="911"/>
      <c r="QV3424" s="911"/>
      <c r="QW3424" s="911"/>
      <c r="QX3424" s="911"/>
      <c r="QY3424" s="912"/>
      <c r="RA3424" s="913" t="s">
        <v>1</v>
      </c>
      <c r="RB3424" s="31"/>
      <c r="RC3424" s="909" t="s">
        <v>0</v>
      </c>
      <c r="RD3424" s="909"/>
      <c r="RE3424" s="909"/>
      <c r="RF3424" s="909"/>
      <c r="RG3424" s="909"/>
      <c r="RH3424" s="909"/>
      <c r="RI3424" s="907" t="s">
        <v>79</v>
      </c>
      <c r="RJ3424" s="909" t="s">
        <v>68</v>
      </c>
      <c r="RK3424" s="910" t="s">
        <v>75</v>
      </c>
      <c r="RL3424" s="911"/>
      <c r="RM3424" s="911"/>
      <c r="RN3424" s="911"/>
      <c r="RO3424" s="911"/>
      <c r="RP3424" s="911"/>
      <c r="RQ3424" s="911"/>
      <c r="RR3424" s="911"/>
      <c r="RS3424" s="911"/>
      <c r="RT3424" s="911"/>
      <c r="RU3424" s="32"/>
      <c r="RV3424" s="911" t="s">
        <v>74</v>
      </c>
      <c r="RW3424" s="911"/>
      <c r="RX3424" s="911"/>
      <c r="RY3424" s="911"/>
      <c r="RZ3424" s="911"/>
      <c r="SA3424" s="911"/>
      <c r="SB3424" s="911"/>
      <c r="SC3424" s="911"/>
      <c r="SD3424" s="911"/>
      <c r="SE3424" s="912"/>
      <c r="SG3424" s="913" t="s">
        <v>1</v>
      </c>
      <c r="SH3424" s="31"/>
      <c r="SI3424" s="909" t="s">
        <v>0</v>
      </c>
      <c r="SJ3424" s="909"/>
      <c r="SK3424" s="909"/>
      <c r="SL3424" s="909"/>
      <c r="SM3424" s="909"/>
      <c r="SN3424" s="909"/>
      <c r="SO3424" s="907" t="s">
        <v>79</v>
      </c>
      <c r="SP3424" s="909" t="s">
        <v>68</v>
      </c>
      <c r="SQ3424" s="910" t="s">
        <v>75</v>
      </c>
      <c r="SR3424" s="911"/>
      <c r="SS3424" s="911"/>
      <c r="ST3424" s="911"/>
      <c r="SU3424" s="911"/>
      <c r="SV3424" s="911"/>
      <c r="SW3424" s="911"/>
      <c r="SX3424" s="911"/>
      <c r="SY3424" s="911"/>
      <c r="SZ3424" s="911"/>
      <c r="TA3424" s="32"/>
      <c r="TB3424" s="911" t="s">
        <v>74</v>
      </c>
      <c r="TC3424" s="911"/>
      <c r="TD3424" s="911"/>
      <c r="TE3424" s="911"/>
      <c r="TF3424" s="911"/>
      <c r="TG3424" s="911"/>
      <c r="TH3424" s="911"/>
      <c r="TI3424" s="911"/>
      <c r="TJ3424" s="911"/>
      <c r="TK3424" s="912"/>
      <c r="TM3424" s="913" t="s">
        <v>1</v>
      </c>
      <c r="TN3424" s="31"/>
      <c r="TO3424" s="909" t="s">
        <v>0</v>
      </c>
      <c r="TP3424" s="909"/>
      <c r="TQ3424" s="909"/>
      <c r="TR3424" s="909"/>
      <c r="TS3424" s="909"/>
      <c r="TT3424" s="909"/>
      <c r="TU3424" s="907" t="s">
        <v>79</v>
      </c>
      <c r="TV3424" s="909" t="s">
        <v>68</v>
      </c>
      <c r="TW3424" s="910" t="s">
        <v>75</v>
      </c>
      <c r="TX3424" s="911"/>
      <c r="TY3424" s="911"/>
      <c r="TZ3424" s="911"/>
      <c r="UA3424" s="911"/>
      <c r="UB3424" s="911"/>
      <c r="UC3424" s="911"/>
      <c r="UD3424" s="911"/>
      <c r="UE3424" s="911"/>
      <c r="UF3424" s="911"/>
      <c r="UG3424" s="32"/>
      <c r="UH3424" s="911" t="s">
        <v>74</v>
      </c>
      <c r="UI3424" s="911"/>
      <c r="UJ3424" s="911"/>
      <c r="UK3424" s="911"/>
      <c r="UL3424" s="911"/>
      <c r="UM3424" s="911"/>
      <c r="UN3424" s="911"/>
      <c r="UO3424" s="911"/>
      <c r="UP3424" s="911"/>
      <c r="UQ3424" s="912"/>
      <c r="US3424" s="913" t="s">
        <v>1</v>
      </c>
      <c r="UT3424" s="31"/>
      <c r="UU3424" s="909" t="s">
        <v>0</v>
      </c>
      <c r="UV3424" s="909"/>
      <c r="UW3424" s="909"/>
      <c r="UX3424" s="909"/>
      <c r="UY3424" s="909"/>
      <c r="UZ3424" s="909"/>
      <c r="VA3424" s="907" t="s">
        <v>79</v>
      </c>
      <c r="VB3424" s="909" t="s">
        <v>68</v>
      </c>
      <c r="VC3424" s="910" t="s">
        <v>75</v>
      </c>
      <c r="VD3424" s="911"/>
      <c r="VE3424" s="911"/>
      <c r="VF3424" s="911"/>
      <c r="VG3424" s="911"/>
      <c r="VH3424" s="911"/>
      <c r="VI3424" s="911"/>
      <c r="VJ3424" s="911"/>
      <c r="VK3424" s="911"/>
      <c r="VL3424" s="911"/>
      <c r="VM3424" s="32"/>
      <c r="VN3424" s="911" t="s">
        <v>74</v>
      </c>
      <c r="VO3424" s="911"/>
      <c r="VP3424" s="911"/>
      <c r="VQ3424" s="911"/>
      <c r="VR3424" s="911"/>
      <c r="VS3424" s="911"/>
      <c r="VT3424" s="911"/>
      <c r="VU3424" s="911"/>
      <c r="VV3424" s="911"/>
      <c r="VW3424" s="912"/>
      <c r="VY3424" s="913" t="s">
        <v>1</v>
      </c>
      <c r="VZ3424" s="31"/>
      <c r="WA3424" s="909" t="s">
        <v>0</v>
      </c>
      <c r="WB3424" s="909"/>
      <c r="WC3424" s="909"/>
      <c r="WD3424" s="909"/>
      <c r="WE3424" s="909"/>
      <c r="WF3424" s="909"/>
      <c r="WG3424" s="907" t="s">
        <v>79</v>
      </c>
      <c r="WH3424" s="909" t="s">
        <v>68</v>
      </c>
      <c r="WI3424" s="910" t="s">
        <v>75</v>
      </c>
      <c r="WJ3424" s="911"/>
      <c r="WK3424" s="911"/>
      <c r="WL3424" s="911"/>
      <c r="WM3424" s="911"/>
      <c r="WN3424" s="911"/>
      <c r="WO3424" s="911"/>
      <c r="WP3424" s="911"/>
      <c r="WQ3424" s="911"/>
      <c r="WR3424" s="911"/>
      <c r="WS3424" s="32"/>
      <c r="WT3424" s="911" t="s">
        <v>74</v>
      </c>
      <c r="WU3424" s="911"/>
      <c r="WV3424" s="911"/>
      <c r="WW3424" s="911"/>
      <c r="WX3424" s="911"/>
      <c r="WY3424" s="911"/>
      <c r="WZ3424" s="911"/>
      <c r="XA3424" s="911"/>
      <c r="XB3424" s="911"/>
      <c r="XC3424" s="912"/>
      <c r="XE3424" s="913" t="s">
        <v>1</v>
      </c>
      <c r="XF3424" s="31"/>
      <c r="XG3424" s="909" t="s">
        <v>0</v>
      </c>
      <c r="XH3424" s="909"/>
      <c r="XI3424" s="909"/>
      <c r="XJ3424" s="909"/>
      <c r="XK3424" s="909"/>
      <c r="XL3424" s="909"/>
      <c r="XM3424" s="907" t="s">
        <v>79</v>
      </c>
      <c r="XN3424" s="909" t="s">
        <v>68</v>
      </c>
      <c r="XO3424" s="910" t="s">
        <v>75</v>
      </c>
      <c r="XP3424" s="911"/>
      <c r="XQ3424" s="911"/>
      <c r="XR3424" s="911"/>
      <c r="XS3424" s="911"/>
      <c r="XT3424" s="911"/>
      <c r="XU3424" s="911"/>
      <c r="XV3424" s="911"/>
      <c r="XW3424" s="911"/>
      <c r="XX3424" s="911"/>
      <c r="XY3424" s="32"/>
      <c r="XZ3424" s="911" t="s">
        <v>74</v>
      </c>
      <c r="YA3424" s="911"/>
      <c r="YB3424" s="911"/>
      <c r="YC3424" s="911"/>
      <c r="YD3424" s="911"/>
      <c r="YE3424" s="911"/>
      <c r="YF3424" s="911"/>
      <c r="YG3424" s="911"/>
      <c r="YH3424" s="911"/>
      <c r="YI3424" s="912"/>
      <c r="YK3424" s="913" t="s">
        <v>1</v>
      </c>
      <c r="YL3424" s="31"/>
      <c r="YM3424" s="909" t="s">
        <v>0</v>
      </c>
      <c r="YN3424" s="909"/>
      <c r="YO3424" s="909"/>
      <c r="YP3424" s="909"/>
      <c r="YQ3424" s="909"/>
      <c r="YR3424" s="909"/>
      <c r="YS3424" s="907" t="s">
        <v>79</v>
      </c>
      <c r="YT3424" s="909" t="s">
        <v>68</v>
      </c>
      <c r="YU3424" s="910" t="s">
        <v>75</v>
      </c>
      <c r="YV3424" s="911"/>
      <c r="YW3424" s="911"/>
      <c r="YX3424" s="911"/>
      <c r="YY3424" s="911"/>
      <c r="YZ3424" s="911"/>
      <c r="ZA3424" s="911"/>
      <c r="ZB3424" s="911"/>
      <c r="ZC3424" s="911"/>
      <c r="ZD3424" s="911"/>
      <c r="ZE3424" s="32"/>
      <c r="ZF3424" s="911" t="s">
        <v>74</v>
      </c>
      <c r="ZG3424" s="911"/>
      <c r="ZH3424" s="911"/>
      <c r="ZI3424" s="911"/>
      <c r="ZJ3424" s="911"/>
      <c r="ZK3424" s="911"/>
      <c r="ZL3424" s="911"/>
      <c r="ZM3424" s="911"/>
      <c r="ZN3424" s="911"/>
      <c r="ZO3424" s="912"/>
      <c r="ZQ3424" s="913" t="s">
        <v>1</v>
      </c>
      <c r="ZR3424" s="31"/>
      <c r="ZS3424" s="909" t="s">
        <v>0</v>
      </c>
      <c r="ZT3424" s="909"/>
      <c r="ZU3424" s="909"/>
      <c r="ZV3424" s="909"/>
      <c r="ZW3424" s="909"/>
      <c r="ZX3424" s="909"/>
      <c r="ZY3424" s="907" t="s">
        <v>79</v>
      </c>
      <c r="ZZ3424" s="909" t="s">
        <v>68</v>
      </c>
      <c r="AAA3424" s="910" t="s">
        <v>75</v>
      </c>
      <c r="AAB3424" s="911"/>
      <c r="AAC3424" s="911"/>
      <c r="AAD3424" s="911"/>
      <c r="AAE3424" s="911"/>
      <c r="AAF3424" s="911"/>
      <c r="AAG3424" s="911"/>
      <c r="AAH3424" s="911"/>
      <c r="AAI3424" s="911"/>
      <c r="AAJ3424" s="911"/>
      <c r="AAK3424" s="32"/>
      <c r="AAL3424" s="911" t="s">
        <v>74</v>
      </c>
      <c r="AAM3424" s="911"/>
      <c r="AAN3424" s="911"/>
      <c r="AAO3424" s="911"/>
      <c r="AAP3424" s="911"/>
      <c r="AAQ3424" s="911"/>
      <c r="AAR3424" s="911"/>
      <c r="AAS3424" s="911"/>
      <c r="AAT3424" s="911"/>
      <c r="AAU3424" s="912"/>
      <c r="AAW3424" s="913" t="s">
        <v>1</v>
      </c>
      <c r="AAX3424" s="31"/>
      <c r="AAY3424" s="909" t="s">
        <v>0</v>
      </c>
      <c r="AAZ3424" s="909"/>
      <c r="ABA3424" s="909"/>
      <c r="ABB3424" s="909"/>
      <c r="ABC3424" s="909"/>
      <c r="ABD3424" s="909"/>
      <c r="ABE3424" s="907" t="s">
        <v>79</v>
      </c>
      <c r="ABF3424" s="909" t="s">
        <v>68</v>
      </c>
      <c r="ABG3424" s="910" t="s">
        <v>75</v>
      </c>
      <c r="ABH3424" s="911"/>
      <c r="ABI3424" s="911"/>
      <c r="ABJ3424" s="911"/>
      <c r="ABK3424" s="911"/>
      <c r="ABL3424" s="911"/>
      <c r="ABM3424" s="911"/>
      <c r="ABN3424" s="911"/>
      <c r="ABO3424" s="911"/>
      <c r="ABP3424" s="911"/>
      <c r="ABQ3424" s="32"/>
      <c r="ABR3424" s="911" t="s">
        <v>74</v>
      </c>
      <c r="ABS3424" s="911"/>
      <c r="ABT3424" s="911"/>
      <c r="ABU3424" s="911"/>
      <c r="ABV3424" s="911"/>
      <c r="ABW3424" s="911"/>
      <c r="ABX3424" s="911"/>
      <c r="ABY3424" s="911"/>
      <c r="ABZ3424" s="911"/>
      <c r="ACA3424" s="912"/>
      <c r="ACC3424" s="913" t="s">
        <v>1</v>
      </c>
      <c r="ACD3424" s="31"/>
      <c r="ACE3424" s="909" t="s">
        <v>0</v>
      </c>
      <c r="ACF3424" s="909"/>
      <c r="ACG3424" s="909"/>
      <c r="ACH3424" s="909"/>
      <c r="ACI3424" s="909"/>
      <c r="ACJ3424" s="909"/>
      <c r="ACK3424" s="907" t="s">
        <v>79</v>
      </c>
      <c r="ACL3424" s="909" t="s">
        <v>68</v>
      </c>
      <c r="ACM3424" s="910" t="s">
        <v>75</v>
      </c>
      <c r="ACN3424" s="911"/>
      <c r="ACO3424" s="911"/>
      <c r="ACP3424" s="911"/>
      <c r="ACQ3424" s="911"/>
      <c r="ACR3424" s="911"/>
      <c r="ACS3424" s="911"/>
      <c r="ACT3424" s="911"/>
      <c r="ACU3424" s="911"/>
      <c r="ACV3424" s="911"/>
      <c r="ACW3424" s="32"/>
      <c r="ACX3424" s="911" t="s">
        <v>74</v>
      </c>
      <c r="ACY3424" s="911"/>
      <c r="ACZ3424" s="911"/>
      <c r="ADA3424" s="911"/>
      <c r="ADB3424" s="911"/>
      <c r="ADC3424" s="911"/>
      <c r="ADD3424" s="911"/>
      <c r="ADE3424" s="911"/>
      <c r="ADF3424" s="911"/>
      <c r="ADG3424" s="912"/>
      <c r="ADI3424" s="913" t="s">
        <v>1</v>
      </c>
      <c r="ADJ3424" s="31"/>
      <c r="ADK3424" s="909" t="s">
        <v>0</v>
      </c>
      <c r="ADL3424" s="909"/>
      <c r="ADM3424" s="909"/>
      <c r="ADN3424" s="909"/>
      <c r="ADO3424" s="909"/>
      <c r="ADP3424" s="909"/>
      <c r="ADQ3424" s="907" t="s">
        <v>79</v>
      </c>
      <c r="ADR3424" s="909" t="s">
        <v>68</v>
      </c>
      <c r="ADS3424" s="910" t="s">
        <v>75</v>
      </c>
      <c r="ADT3424" s="911"/>
      <c r="ADU3424" s="911"/>
      <c r="ADV3424" s="911"/>
      <c r="ADW3424" s="911"/>
      <c r="ADX3424" s="911"/>
      <c r="ADY3424" s="911"/>
      <c r="ADZ3424" s="911"/>
      <c r="AEA3424" s="911"/>
      <c r="AEB3424" s="911"/>
      <c r="AEC3424" s="32"/>
      <c r="AED3424" s="911" t="s">
        <v>74</v>
      </c>
      <c r="AEE3424" s="911"/>
      <c r="AEF3424" s="911"/>
      <c r="AEG3424" s="911"/>
      <c r="AEH3424" s="911"/>
      <c r="AEI3424" s="911"/>
      <c r="AEJ3424" s="911"/>
      <c r="AEK3424" s="911"/>
      <c r="AEL3424" s="911"/>
      <c r="AEM3424" s="912"/>
      <c r="AEO3424" s="913" t="s">
        <v>1</v>
      </c>
      <c r="AEP3424" s="31"/>
      <c r="AEQ3424" s="909" t="s">
        <v>0</v>
      </c>
      <c r="AER3424" s="909"/>
      <c r="AES3424" s="909"/>
      <c r="AET3424" s="909"/>
      <c r="AEU3424" s="909"/>
      <c r="AEV3424" s="909"/>
      <c r="AEW3424" s="907" t="s">
        <v>79</v>
      </c>
      <c r="AEX3424" s="909" t="s">
        <v>68</v>
      </c>
      <c r="AEY3424" s="910" t="s">
        <v>75</v>
      </c>
      <c r="AEZ3424" s="911"/>
      <c r="AFA3424" s="911"/>
      <c r="AFB3424" s="911"/>
      <c r="AFC3424" s="911"/>
      <c r="AFD3424" s="911"/>
      <c r="AFE3424" s="911"/>
      <c r="AFF3424" s="911"/>
      <c r="AFG3424" s="911"/>
      <c r="AFH3424" s="911"/>
      <c r="AFI3424" s="32"/>
      <c r="AFJ3424" s="911" t="s">
        <v>74</v>
      </c>
      <c r="AFK3424" s="911"/>
      <c r="AFL3424" s="911"/>
      <c r="AFM3424" s="911"/>
      <c r="AFN3424" s="911"/>
      <c r="AFO3424" s="911"/>
      <c r="AFP3424" s="911"/>
      <c r="AFQ3424" s="911"/>
      <c r="AFR3424" s="911"/>
      <c r="AFS3424" s="912"/>
      <c r="AFU3424" s="913" t="s">
        <v>1</v>
      </c>
      <c r="AFV3424" s="31"/>
      <c r="AFW3424" s="909" t="s">
        <v>0</v>
      </c>
      <c r="AFX3424" s="909"/>
      <c r="AFY3424" s="909"/>
      <c r="AFZ3424" s="909"/>
      <c r="AGA3424" s="909"/>
      <c r="AGB3424" s="909"/>
      <c r="AGC3424" s="907" t="s">
        <v>79</v>
      </c>
      <c r="AGD3424" s="909" t="s">
        <v>68</v>
      </c>
      <c r="AGE3424" s="910" t="s">
        <v>75</v>
      </c>
      <c r="AGF3424" s="911"/>
      <c r="AGG3424" s="911"/>
      <c r="AGH3424" s="911"/>
      <c r="AGI3424" s="911"/>
      <c r="AGJ3424" s="911"/>
      <c r="AGK3424" s="911"/>
      <c r="AGL3424" s="911"/>
      <c r="AGM3424" s="911"/>
      <c r="AGN3424" s="911"/>
      <c r="AGO3424" s="32"/>
      <c r="AGP3424" s="911" t="s">
        <v>74</v>
      </c>
      <c r="AGQ3424" s="911"/>
      <c r="AGR3424" s="911"/>
      <c r="AGS3424" s="911"/>
      <c r="AGT3424" s="911"/>
      <c r="AGU3424" s="911"/>
      <c r="AGV3424" s="911"/>
      <c r="AGW3424" s="911"/>
      <c r="AGX3424" s="911"/>
      <c r="AGY3424" s="912"/>
      <c r="AHA3424" s="913" t="s">
        <v>1</v>
      </c>
      <c r="AHB3424" s="31"/>
      <c r="AHC3424" s="909" t="s">
        <v>0</v>
      </c>
      <c r="AHD3424" s="909"/>
      <c r="AHE3424" s="909"/>
      <c r="AHF3424" s="909"/>
      <c r="AHG3424" s="909"/>
      <c r="AHH3424" s="909"/>
      <c r="AHI3424" s="907" t="s">
        <v>79</v>
      </c>
      <c r="AHJ3424" s="909" t="s">
        <v>68</v>
      </c>
      <c r="AHK3424" s="910" t="s">
        <v>75</v>
      </c>
      <c r="AHL3424" s="911"/>
      <c r="AHM3424" s="911"/>
      <c r="AHN3424" s="911"/>
      <c r="AHO3424" s="911"/>
      <c r="AHP3424" s="911"/>
      <c r="AHQ3424" s="911"/>
      <c r="AHR3424" s="911"/>
      <c r="AHS3424" s="911"/>
      <c r="AHT3424" s="911"/>
      <c r="AHU3424" s="32"/>
      <c r="AHV3424" s="911" t="s">
        <v>74</v>
      </c>
      <c r="AHW3424" s="911"/>
      <c r="AHX3424" s="911"/>
      <c r="AHY3424" s="911"/>
      <c r="AHZ3424" s="911"/>
      <c r="AIA3424" s="911"/>
      <c r="AIB3424" s="911"/>
      <c r="AIC3424" s="911"/>
      <c r="AID3424" s="911"/>
      <c r="AIE3424" s="912"/>
      <c r="AIG3424" s="913" t="s">
        <v>1</v>
      </c>
      <c r="AIH3424" s="31"/>
      <c r="AII3424" s="909" t="s">
        <v>0</v>
      </c>
      <c r="AIJ3424" s="909"/>
      <c r="AIK3424" s="909"/>
      <c r="AIL3424" s="909"/>
      <c r="AIM3424" s="909"/>
      <c r="AIN3424" s="909"/>
      <c r="AIO3424" s="907" t="s">
        <v>79</v>
      </c>
      <c r="AIP3424" s="909" t="s">
        <v>68</v>
      </c>
      <c r="AIQ3424" s="910" t="s">
        <v>75</v>
      </c>
      <c r="AIR3424" s="911"/>
      <c r="AIS3424" s="911"/>
      <c r="AIT3424" s="911"/>
      <c r="AIU3424" s="911"/>
      <c r="AIV3424" s="911"/>
      <c r="AIW3424" s="911"/>
      <c r="AIX3424" s="911"/>
      <c r="AIY3424" s="911"/>
      <c r="AIZ3424" s="911"/>
      <c r="AJA3424" s="32"/>
      <c r="AJB3424" s="911" t="s">
        <v>74</v>
      </c>
      <c r="AJC3424" s="911"/>
      <c r="AJD3424" s="911"/>
      <c r="AJE3424" s="911"/>
      <c r="AJF3424" s="911"/>
      <c r="AJG3424" s="911"/>
      <c r="AJH3424" s="911"/>
      <c r="AJI3424" s="911"/>
      <c r="AJJ3424" s="911"/>
      <c r="AJK3424" s="912"/>
      <c r="AJM3424" s="913" t="s">
        <v>1</v>
      </c>
      <c r="AJN3424" s="31"/>
      <c r="AJO3424" s="909" t="s">
        <v>0</v>
      </c>
      <c r="AJP3424" s="909"/>
      <c r="AJQ3424" s="909"/>
      <c r="AJR3424" s="909"/>
      <c r="AJS3424" s="909"/>
      <c r="AJT3424" s="909"/>
      <c r="AJU3424" s="907" t="s">
        <v>79</v>
      </c>
      <c r="AJV3424" s="909" t="s">
        <v>68</v>
      </c>
      <c r="AJW3424" s="910" t="s">
        <v>75</v>
      </c>
      <c r="AJX3424" s="911"/>
      <c r="AJY3424" s="911"/>
      <c r="AJZ3424" s="911"/>
      <c r="AKA3424" s="911"/>
      <c r="AKB3424" s="911"/>
      <c r="AKC3424" s="911"/>
      <c r="AKD3424" s="911"/>
      <c r="AKE3424" s="911"/>
      <c r="AKF3424" s="911"/>
      <c r="AKG3424" s="32"/>
      <c r="AKH3424" s="911" t="s">
        <v>74</v>
      </c>
      <c r="AKI3424" s="911"/>
      <c r="AKJ3424" s="911"/>
      <c r="AKK3424" s="911"/>
      <c r="AKL3424" s="911"/>
      <c r="AKM3424" s="911"/>
      <c r="AKN3424" s="911"/>
      <c r="AKO3424" s="911"/>
      <c r="AKP3424" s="911"/>
      <c r="AKQ3424" s="912"/>
      <c r="AKS3424" s="913" t="s">
        <v>1</v>
      </c>
      <c r="AKT3424" s="31"/>
      <c r="AKU3424" s="909" t="s">
        <v>0</v>
      </c>
      <c r="AKV3424" s="909"/>
      <c r="AKW3424" s="909"/>
      <c r="AKX3424" s="909"/>
      <c r="AKY3424" s="909"/>
      <c r="AKZ3424" s="909"/>
      <c r="ALA3424" s="907" t="s">
        <v>79</v>
      </c>
      <c r="ALB3424" s="909" t="s">
        <v>68</v>
      </c>
      <c r="ALC3424" s="910" t="s">
        <v>75</v>
      </c>
      <c r="ALD3424" s="911"/>
      <c r="ALE3424" s="911"/>
      <c r="ALF3424" s="911"/>
      <c r="ALG3424" s="911"/>
      <c r="ALH3424" s="911"/>
      <c r="ALI3424" s="911"/>
      <c r="ALJ3424" s="911"/>
      <c r="ALK3424" s="911"/>
      <c r="ALL3424" s="911"/>
      <c r="ALM3424" s="32"/>
      <c r="ALN3424" s="911" t="s">
        <v>74</v>
      </c>
      <c r="ALO3424" s="911"/>
      <c r="ALP3424" s="911"/>
      <c r="ALQ3424" s="911"/>
      <c r="ALR3424" s="911"/>
      <c r="ALS3424" s="911"/>
      <c r="ALT3424" s="911"/>
      <c r="ALU3424" s="911"/>
      <c r="ALV3424" s="911"/>
      <c r="ALW3424" s="912"/>
      <c r="ALY3424" s="913" t="s">
        <v>1</v>
      </c>
      <c r="ALZ3424" s="31"/>
      <c r="AMA3424" s="909" t="s">
        <v>0</v>
      </c>
      <c r="AMB3424" s="909"/>
      <c r="AMC3424" s="909"/>
      <c r="AMD3424" s="909"/>
      <c r="AME3424" s="909"/>
      <c r="AMF3424" s="909"/>
      <c r="AMG3424" s="907" t="s">
        <v>79</v>
      </c>
      <c r="AMH3424" s="909" t="s">
        <v>68</v>
      </c>
      <c r="AMI3424" s="910" t="s">
        <v>75</v>
      </c>
      <c r="AMJ3424" s="911"/>
      <c r="AMK3424" s="911"/>
      <c r="AML3424" s="911"/>
      <c r="AMM3424" s="911"/>
      <c r="AMN3424" s="911"/>
      <c r="AMO3424" s="911"/>
      <c r="AMP3424" s="911"/>
      <c r="AMQ3424" s="911"/>
      <c r="AMR3424" s="911"/>
      <c r="AMS3424" s="32"/>
      <c r="AMT3424" s="911" t="s">
        <v>74</v>
      </c>
      <c r="AMU3424" s="911"/>
      <c r="AMV3424" s="911"/>
      <c r="AMW3424" s="911"/>
      <c r="AMX3424" s="911"/>
      <c r="AMY3424" s="911"/>
      <c r="AMZ3424" s="911"/>
      <c r="ANA3424" s="911"/>
      <c r="ANB3424" s="911"/>
      <c r="ANC3424" s="912"/>
      <c r="ANE3424" s="913" t="s">
        <v>1</v>
      </c>
      <c r="ANF3424" s="31"/>
      <c r="ANG3424" s="909" t="s">
        <v>0</v>
      </c>
      <c r="ANH3424" s="909"/>
      <c r="ANI3424" s="909"/>
      <c r="ANJ3424" s="909"/>
      <c r="ANK3424" s="909"/>
      <c r="ANL3424" s="909"/>
      <c r="ANM3424" s="907" t="s">
        <v>79</v>
      </c>
      <c r="ANN3424" s="909" t="s">
        <v>68</v>
      </c>
      <c r="ANO3424" s="910" t="s">
        <v>75</v>
      </c>
      <c r="ANP3424" s="911"/>
      <c r="ANQ3424" s="911"/>
      <c r="ANR3424" s="911"/>
      <c r="ANS3424" s="911"/>
      <c r="ANT3424" s="911"/>
      <c r="ANU3424" s="911"/>
      <c r="ANV3424" s="911"/>
      <c r="ANW3424" s="911"/>
      <c r="ANX3424" s="911"/>
      <c r="ANY3424" s="32"/>
      <c r="ANZ3424" s="911" t="s">
        <v>74</v>
      </c>
      <c r="AOA3424" s="911"/>
      <c r="AOB3424" s="911"/>
      <c r="AOC3424" s="911"/>
      <c r="AOD3424" s="911"/>
      <c r="AOE3424" s="911"/>
      <c r="AOF3424" s="911"/>
      <c r="AOG3424" s="911"/>
      <c r="AOH3424" s="911"/>
      <c r="AOI3424" s="912"/>
      <c r="AOK3424" s="913" t="s">
        <v>1</v>
      </c>
      <c r="AOL3424" s="31"/>
      <c r="AOM3424" s="909" t="s">
        <v>0</v>
      </c>
      <c r="AON3424" s="909"/>
      <c r="AOO3424" s="909"/>
      <c r="AOP3424" s="909"/>
      <c r="AOQ3424" s="909"/>
      <c r="AOR3424" s="909"/>
      <c r="AOS3424" s="907" t="s">
        <v>79</v>
      </c>
      <c r="AOT3424" s="909" t="s">
        <v>68</v>
      </c>
      <c r="AOU3424" s="910" t="s">
        <v>75</v>
      </c>
      <c r="AOV3424" s="911"/>
      <c r="AOW3424" s="911"/>
      <c r="AOX3424" s="911"/>
      <c r="AOY3424" s="911"/>
      <c r="AOZ3424" s="911"/>
      <c r="APA3424" s="911"/>
      <c r="APB3424" s="911"/>
      <c r="APC3424" s="911"/>
      <c r="APD3424" s="911"/>
      <c r="APE3424" s="32"/>
      <c r="APF3424" s="911" t="s">
        <v>74</v>
      </c>
      <c r="APG3424" s="911"/>
      <c r="APH3424" s="911"/>
      <c r="API3424" s="911"/>
      <c r="APJ3424" s="911"/>
      <c r="APK3424" s="911"/>
      <c r="APL3424" s="911"/>
      <c r="APM3424" s="911"/>
      <c r="APN3424" s="911"/>
      <c r="APO3424" s="912"/>
      <c r="APQ3424" s="913" t="s">
        <v>1</v>
      </c>
      <c r="APR3424" s="31"/>
      <c r="APS3424" s="909" t="s">
        <v>0</v>
      </c>
      <c r="APT3424" s="909"/>
      <c r="APU3424" s="909"/>
      <c r="APV3424" s="909"/>
      <c r="APW3424" s="909"/>
      <c r="APX3424" s="909"/>
      <c r="APY3424" s="907" t="s">
        <v>79</v>
      </c>
      <c r="APZ3424" s="909" t="s">
        <v>68</v>
      </c>
      <c r="AQA3424" s="910" t="s">
        <v>75</v>
      </c>
      <c r="AQB3424" s="911"/>
      <c r="AQC3424" s="911"/>
      <c r="AQD3424" s="911"/>
      <c r="AQE3424" s="911"/>
      <c r="AQF3424" s="911"/>
      <c r="AQG3424" s="911"/>
      <c r="AQH3424" s="911"/>
      <c r="AQI3424" s="911"/>
      <c r="AQJ3424" s="911"/>
      <c r="AQK3424" s="32"/>
      <c r="AQL3424" s="911" t="s">
        <v>74</v>
      </c>
      <c r="AQM3424" s="911"/>
      <c r="AQN3424" s="911"/>
      <c r="AQO3424" s="911"/>
      <c r="AQP3424" s="911"/>
      <c r="AQQ3424" s="911"/>
      <c r="AQR3424" s="911"/>
      <c r="AQS3424" s="911"/>
      <c r="AQT3424" s="911"/>
      <c r="AQU3424" s="912"/>
      <c r="AQW3424" s="913" t="s">
        <v>1</v>
      </c>
      <c r="AQX3424" s="31"/>
      <c r="AQY3424" s="909" t="s">
        <v>0</v>
      </c>
      <c r="AQZ3424" s="909"/>
      <c r="ARA3424" s="909"/>
      <c r="ARB3424" s="909"/>
      <c r="ARC3424" s="909"/>
      <c r="ARD3424" s="909"/>
      <c r="ARE3424" s="907" t="s">
        <v>79</v>
      </c>
      <c r="ARF3424" s="909" t="s">
        <v>68</v>
      </c>
      <c r="ARG3424" s="910" t="s">
        <v>75</v>
      </c>
      <c r="ARH3424" s="911"/>
      <c r="ARI3424" s="911"/>
      <c r="ARJ3424" s="911"/>
      <c r="ARK3424" s="911"/>
      <c r="ARL3424" s="911"/>
      <c r="ARM3424" s="911"/>
      <c r="ARN3424" s="911"/>
      <c r="ARO3424" s="911"/>
      <c r="ARP3424" s="911"/>
      <c r="ARQ3424" s="32"/>
      <c r="ARR3424" s="911" t="s">
        <v>74</v>
      </c>
      <c r="ARS3424" s="911"/>
      <c r="ART3424" s="911"/>
      <c r="ARU3424" s="911"/>
      <c r="ARV3424" s="911"/>
      <c r="ARW3424" s="911"/>
      <c r="ARX3424" s="911"/>
      <c r="ARY3424" s="911"/>
      <c r="ARZ3424" s="911"/>
      <c r="ASA3424" s="912"/>
      <c r="ASC3424" s="913" t="s">
        <v>1</v>
      </c>
      <c r="ASD3424" s="31"/>
      <c r="ASE3424" s="909" t="s">
        <v>0</v>
      </c>
      <c r="ASF3424" s="909"/>
      <c r="ASG3424" s="909"/>
      <c r="ASH3424" s="909"/>
      <c r="ASI3424" s="909"/>
      <c r="ASJ3424" s="909"/>
      <c r="ASK3424" s="907" t="s">
        <v>79</v>
      </c>
      <c r="ASL3424" s="909" t="s">
        <v>68</v>
      </c>
      <c r="ASM3424" s="910" t="s">
        <v>75</v>
      </c>
      <c r="ASN3424" s="911"/>
      <c r="ASO3424" s="911"/>
      <c r="ASP3424" s="911"/>
      <c r="ASQ3424" s="911"/>
      <c r="ASR3424" s="911"/>
      <c r="ASS3424" s="911"/>
      <c r="AST3424" s="911"/>
      <c r="ASU3424" s="911"/>
      <c r="ASV3424" s="911"/>
      <c r="ASW3424" s="32"/>
      <c r="ASX3424" s="911" t="s">
        <v>74</v>
      </c>
      <c r="ASY3424" s="911"/>
      <c r="ASZ3424" s="911"/>
      <c r="ATA3424" s="911"/>
      <c r="ATB3424" s="911"/>
      <c r="ATC3424" s="911"/>
      <c r="ATD3424" s="911"/>
      <c r="ATE3424" s="911"/>
      <c r="ATF3424" s="911"/>
      <c r="ATG3424" s="912"/>
      <c r="ATI3424" s="913" t="s">
        <v>1</v>
      </c>
      <c r="ATJ3424" s="31"/>
      <c r="ATK3424" s="909" t="s">
        <v>0</v>
      </c>
      <c r="ATL3424" s="909"/>
      <c r="ATM3424" s="909"/>
      <c r="ATN3424" s="909"/>
      <c r="ATO3424" s="909"/>
      <c r="ATP3424" s="909"/>
      <c r="ATQ3424" s="907" t="s">
        <v>79</v>
      </c>
      <c r="ATR3424" s="909" t="s">
        <v>68</v>
      </c>
      <c r="ATS3424" s="910" t="s">
        <v>75</v>
      </c>
      <c r="ATT3424" s="911"/>
      <c r="ATU3424" s="911"/>
      <c r="ATV3424" s="911"/>
      <c r="ATW3424" s="911"/>
      <c r="ATX3424" s="911"/>
      <c r="ATY3424" s="911"/>
      <c r="ATZ3424" s="911"/>
      <c r="AUA3424" s="911"/>
      <c r="AUB3424" s="911"/>
      <c r="AUC3424" s="32"/>
      <c r="AUD3424" s="911" t="s">
        <v>74</v>
      </c>
      <c r="AUE3424" s="911"/>
      <c r="AUF3424" s="911"/>
      <c r="AUG3424" s="911"/>
      <c r="AUH3424" s="911"/>
      <c r="AUI3424" s="911"/>
      <c r="AUJ3424" s="911"/>
      <c r="AUK3424" s="911"/>
      <c r="AUL3424" s="911"/>
      <c r="AUM3424" s="912"/>
      <c r="AUO3424" s="913" t="s">
        <v>1</v>
      </c>
      <c r="AUP3424" s="31"/>
      <c r="AUQ3424" s="909" t="s">
        <v>0</v>
      </c>
      <c r="AUR3424" s="909"/>
      <c r="AUS3424" s="909"/>
      <c r="AUT3424" s="909"/>
      <c r="AUU3424" s="909"/>
      <c r="AUV3424" s="909"/>
      <c r="AUW3424" s="907" t="s">
        <v>79</v>
      </c>
      <c r="AUX3424" s="909" t="s">
        <v>68</v>
      </c>
      <c r="AUY3424" s="910" t="s">
        <v>75</v>
      </c>
      <c r="AUZ3424" s="911"/>
      <c r="AVA3424" s="911"/>
      <c r="AVB3424" s="911"/>
      <c r="AVC3424" s="911"/>
      <c r="AVD3424" s="911"/>
      <c r="AVE3424" s="911"/>
      <c r="AVF3424" s="911"/>
      <c r="AVG3424" s="911"/>
      <c r="AVH3424" s="911"/>
      <c r="AVI3424" s="32"/>
      <c r="AVJ3424" s="911" t="s">
        <v>74</v>
      </c>
      <c r="AVK3424" s="911"/>
      <c r="AVL3424" s="911"/>
      <c r="AVM3424" s="911"/>
      <c r="AVN3424" s="911"/>
      <c r="AVO3424" s="911"/>
      <c r="AVP3424" s="911"/>
      <c r="AVQ3424" s="911"/>
      <c r="AVR3424" s="911"/>
      <c r="AVS3424" s="912"/>
      <c r="AVU3424" s="913" t="s">
        <v>1</v>
      </c>
      <c r="AVV3424" s="31"/>
      <c r="AVW3424" s="909" t="s">
        <v>0</v>
      </c>
      <c r="AVX3424" s="909"/>
      <c r="AVY3424" s="909"/>
      <c r="AVZ3424" s="909"/>
      <c r="AWA3424" s="909"/>
      <c r="AWB3424" s="909"/>
      <c r="AWC3424" s="907" t="s">
        <v>79</v>
      </c>
      <c r="AWD3424" s="909" t="s">
        <v>68</v>
      </c>
      <c r="AWE3424" s="910" t="s">
        <v>75</v>
      </c>
      <c r="AWF3424" s="911"/>
      <c r="AWG3424" s="911"/>
      <c r="AWH3424" s="911"/>
      <c r="AWI3424" s="911"/>
      <c r="AWJ3424" s="911"/>
      <c r="AWK3424" s="911"/>
      <c r="AWL3424" s="911"/>
      <c r="AWM3424" s="911"/>
      <c r="AWN3424" s="911"/>
      <c r="AWO3424" s="32"/>
      <c r="AWP3424" s="911" t="s">
        <v>74</v>
      </c>
      <c r="AWQ3424" s="911"/>
      <c r="AWR3424" s="911"/>
      <c r="AWS3424" s="911"/>
      <c r="AWT3424" s="911"/>
      <c r="AWU3424" s="911"/>
      <c r="AWV3424" s="911"/>
      <c r="AWW3424" s="911"/>
      <c r="AWX3424" s="911"/>
      <c r="AWY3424" s="912"/>
      <c r="AXA3424" s="913" t="s">
        <v>1</v>
      </c>
      <c r="AXB3424" s="31"/>
      <c r="AXC3424" s="909" t="s">
        <v>0</v>
      </c>
      <c r="AXD3424" s="909"/>
      <c r="AXE3424" s="909"/>
      <c r="AXF3424" s="909"/>
      <c r="AXG3424" s="909"/>
      <c r="AXH3424" s="909"/>
      <c r="AXI3424" s="907" t="s">
        <v>79</v>
      </c>
      <c r="AXJ3424" s="909" t="s">
        <v>68</v>
      </c>
      <c r="AXK3424" s="910" t="s">
        <v>75</v>
      </c>
      <c r="AXL3424" s="911"/>
      <c r="AXM3424" s="911"/>
      <c r="AXN3424" s="911"/>
      <c r="AXO3424" s="911"/>
      <c r="AXP3424" s="911"/>
      <c r="AXQ3424" s="911"/>
      <c r="AXR3424" s="911"/>
      <c r="AXS3424" s="911"/>
      <c r="AXT3424" s="911"/>
      <c r="AXU3424" s="32"/>
      <c r="AXV3424" s="911" t="s">
        <v>74</v>
      </c>
      <c r="AXW3424" s="911"/>
      <c r="AXX3424" s="911"/>
      <c r="AXY3424" s="911"/>
      <c r="AXZ3424" s="911"/>
      <c r="AYA3424" s="911"/>
      <c r="AYB3424" s="911"/>
      <c r="AYC3424" s="911"/>
      <c r="AYD3424" s="911"/>
      <c r="AYE3424" s="912"/>
      <c r="AYG3424" s="913" t="s">
        <v>1</v>
      </c>
      <c r="AYH3424" s="31"/>
      <c r="AYI3424" s="909" t="s">
        <v>0</v>
      </c>
      <c r="AYJ3424" s="909"/>
      <c r="AYK3424" s="909"/>
      <c r="AYL3424" s="909"/>
      <c r="AYM3424" s="909"/>
      <c r="AYN3424" s="909"/>
      <c r="AYO3424" s="907" t="s">
        <v>79</v>
      </c>
      <c r="AYP3424" s="909" t="s">
        <v>68</v>
      </c>
      <c r="AYQ3424" s="910" t="s">
        <v>75</v>
      </c>
      <c r="AYR3424" s="911"/>
      <c r="AYS3424" s="911"/>
      <c r="AYT3424" s="911"/>
      <c r="AYU3424" s="911"/>
      <c r="AYV3424" s="911"/>
      <c r="AYW3424" s="911"/>
      <c r="AYX3424" s="911"/>
      <c r="AYY3424" s="911"/>
      <c r="AYZ3424" s="911"/>
      <c r="AZA3424" s="32"/>
      <c r="AZB3424" s="911" t="s">
        <v>74</v>
      </c>
      <c r="AZC3424" s="911"/>
      <c r="AZD3424" s="911"/>
      <c r="AZE3424" s="911"/>
      <c r="AZF3424" s="911"/>
      <c r="AZG3424" s="911"/>
      <c r="AZH3424" s="911"/>
      <c r="AZI3424" s="911"/>
      <c r="AZJ3424" s="911"/>
      <c r="AZK3424" s="912"/>
      <c r="AZM3424" s="913" t="s">
        <v>1</v>
      </c>
      <c r="AZN3424" s="31"/>
      <c r="AZO3424" s="909" t="s">
        <v>0</v>
      </c>
      <c r="AZP3424" s="909"/>
      <c r="AZQ3424" s="909"/>
      <c r="AZR3424" s="909"/>
      <c r="AZS3424" s="909"/>
      <c r="AZT3424" s="909"/>
      <c r="AZU3424" s="907" t="s">
        <v>79</v>
      </c>
      <c r="AZV3424" s="909" t="s">
        <v>68</v>
      </c>
      <c r="AZW3424" s="910" t="s">
        <v>75</v>
      </c>
      <c r="AZX3424" s="911"/>
      <c r="AZY3424" s="911"/>
      <c r="AZZ3424" s="911"/>
      <c r="BAA3424" s="911"/>
      <c r="BAB3424" s="911"/>
      <c r="BAC3424" s="911"/>
      <c r="BAD3424" s="911"/>
      <c r="BAE3424" s="911"/>
      <c r="BAF3424" s="911"/>
      <c r="BAG3424" s="32"/>
      <c r="BAH3424" s="911" t="s">
        <v>74</v>
      </c>
      <c r="BAI3424" s="911"/>
      <c r="BAJ3424" s="911"/>
      <c r="BAK3424" s="911"/>
      <c r="BAL3424" s="911"/>
      <c r="BAM3424" s="911"/>
      <c r="BAN3424" s="911"/>
      <c r="BAO3424" s="911"/>
      <c r="BAP3424" s="911"/>
      <c r="BAQ3424" s="912"/>
      <c r="BAS3424" s="913" t="s">
        <v>1</v>
      </c>
      <c r="BAT3424" s="31"/>
      <c r="BAU3424" s="909" t="s">
        <v>0</v>
      </c>
      <c r="BAV3424" s="909"/>
      <c r="BAW3424" s="909"/>
      <c r="BAX3424" s="909"/>
      <c r="BAY3424" s="909"/>
      <c r="BAZ3424" s="909"/>
      <c r="BBA3424" s="907" t="s">
        <v>79</v>
      </c>
      <c r="BBB3424" s="909" t="s">
        <v>68</v>
      </c>
      <c r="BBC3424" s="910" t="s">
        <v>75</v>
      </c>
      <c r="BBD3424" s="911"/>
      <c r="BBE3424" s="911"/>
      <c r="BBF3424" s="911"/>
      <c r="BBG3424" s="911"/>
      <c r="BBH3424" s="911"/>
      <c r="BBI3424" s="911"/>
      <c r="BBJ3424" s="911"/>
      <c r="BBK3424" s="911"/>
      <c r="BBL3424" s="911"/>
      <c r="BBM3424" s="32"/>
      <c r="BBN3424" s="911" t="s">
        <v>74</v>
      </c>
      <c r="BBO3424" s="911"/>
      <c r="BBP3424" s="911"/>
      <c r="BBQ3424" s="911"/>
      <c r="BBR3424" s="911"/>
      <c r="BBS3424" s="911"/>
      <c r="BBT3424" s="911"/>
      <c r="BBU3424" s="911"/>
      <c r="BBV3424" s="911"/>
      <c r="BBW3424" s="912"/>
      <c r="BBY3424" s="913" t="s">
        <v>1</v>
      </c>
      <c r="BBZ3424" s="31"/>
      <c r="BCA3424" s="909" t="s">
        <v>0</v>
      </c>
      <c r="BCB3424" s="909"/>
      <c r="BCC3424" s="909"/>
      <c r="BCD3424" s="909"/>
      <c r="BCE3424" s="909"/>
      <c r="BCF3424" s="909"/>
      <c r="BCG3424" s="907" t="s">
        <v>79</v>
      </c>
      <c r="BCH3424" s="909" t="s">
        <v>68</v>
      </c>
      <c r="BCI3424" s="910" t="s">
        <v>75</v>
      </c>
      <c r="BCJ3424" s="911"/>
      <c r="BCK3424" s="911"/>
      <c r="BCL3424" s="911"/>
      <c r="BCM3424" s="911"/>
      <c r="BCN3424" s="911"/>
      <c r="BCO3424" s="911"/>
      <c r="BCP3424" s="911"/>
      <c r="BCQ3424" s="911"/>
      <c r="BCR3424" s="911"/>
      <c r="BCS3424" s="32"/>
      <c r="BCT3424" s="911" t="s">
        <v>74</v>
      </c>
      <c r="BCU3424" s="911"/>
      <c r="BCV3424" s="911"/>
      <c r="BCW3424" s="911"/>
      <c r="BCX3424" s="911"/>
      <c r="BCY3424" s="911"/>
      <c r="BCZ3424" s="911"/>
      <c r="BDA3424" s="911"/>
      <c r="BDB3424" s="911"/>
      <c r="BDC3424" s="912"/>
      <c r="BDE3424" s="913" t="s">
        <v>1</v>
      </c>
      <c r="BDF3424" s="31"/>
      <c r="BDG3424" s="909" t="s">
        <v>0</v>
      </c>
      <c r="BDH3424" s="909"/>
      <c r="BDI3424" s="909"/>
      <c r="BDJ3424" s="909"/>
      <c r="BDK3424" s="909"/>
      <c r="BDL3424" s="909"/>
      <c r="BDM3424" s="907" t="s">
        <v>79</v>
      </c>
      <c r="BDN3424" s="909" t="s">
        <v>68</v>
      </c>
      <c r="BDO3424" s="910" t="s">
        <v>75</v>
      </c>
      <c r="BDP3424" s="911"/>
      <c r="BDQ3424" s="911"/>
      <c r="BDR3424" s="911"/>
      <c r="BDS3424" s="911"/>
      <c r="BDT3424" s="911"/>
      <c r="BDU3424" s="911"/>
      <c r="BDV3424" s="911"/>
      <c r="BDW3424" s="911"/>
      <c r="BDX3424" s="911"/>
      <c r="BDY3424" s="32"/>
      <c r="BDZ3424" s="911" t="s">
        <v>74</v>
      </c>
      <c r="BEA3424" s="911"/>
      <c r="BEB3424" s="911"/>
      <c r="BEC3424" s="911"/>
      <c r="BED3424" s="911"/>
      <c r="BEE3424" s="911"/>
      <c r="BEF3424" s="911"/>
      <c r="BEG3424" s="911"/>
      <c r="BEH3424" s="911"/>
      <c r="BEI3424" s="912"/>
      <c r="BEK3424" s="913" t="s">
        <v>1</v>
      </c>
      <c r="BEL3424" s="31"/>
      <c r="BEM3424" s="909" t="s">
        <v>0</v>
      </c>
      <c r="BEN3424" s="909"/>
      <c r="BEO3424" s="909"/>
      <c r="BEP3424" s="909"/>
      <c r="BEQ3424" s="909"/>
      <c r="BER3424" s="909"/>
      <c r="BES3424" s="907" t="s">
        <v>79</v>
      </c>
      <c r="BET3424" s="909" t="s">
        <v>68</v>
      </c>
      <c r="BEU3424" s="910" t="s">
        <v>75</v>
      </c>
      <c r="BEV3424" s="911"/>
      <c r="BEW3424" s="911"/>
      <c r="BEX3424" s="911"/>
      <c r="BEY3424" s="911"/>
      <c r="BEZ3424" s="911"/>
      <c r="BFA3424" s="911"/>
      <c r="BFB3424" s="911"/>
      <c r="BFC3424" s="911"/>
      <c r="BFD3424" s="911"/>
      <c r="BFE3424" s="32"/>
      <c r="BFF3424" s="911" t="s">
        <v>74</v>
      </c>
      <c r="BFG3424" s="911"/>
      <c r="BFH3424" s="911"/>
      <c r="BFI3424" s="911"/>
      <c r="BFJ3424" s="911"/>
      <c r="BFK3424" s="911"/>
      <c r="BFL3424" s="911"/>
      <c r="BFM3424" s="911"/>
      <c r="BFN3424" s="911"/>
      <c r="BFO3424" s="912"/>
      <c r="BFQ3424" s="913" t="s">
        <v>1</v>
      </c>
      <c r="BFR3424" s="31"/>
      <c r="BFS3424" s="909" t="s">
        <v>0</v>
      </c>
      <c r="BFT3424" s="909"/>
      <c r="BFU3424" s="909"/>
      <c r="BFV3424" s="909"/>
      <c r="BFW3424" s="909"/>
      <c r="BFX3424" s="909"/>
      <c r="BFY3424" s="907" t="s">
        <v>79</v>
      </c>
      <c r="BFZ3424" s="909" t="s">
        <v>68</v>
      </c>
      <c r="BGA3424" s="910" t="s">
        <v>75</v>
      </c>
      <c r="BGB3424" s="911"/>
      <c r="BGC3424" s="911"/>
      <c r="BGD3424" s="911"/>
      <c r="BGE3424" s="911"/>
      <c r="BGF3424" s="911"/>
      <c r="BGG3424" s="911"/>
      <c r="BGH3424" s="911"/>
      <c r="BGI3424" s="911"/>
      <c r="BGJ3424" s="911"/>
      <c r="BGK3424" s="32"/>
      <c r="BGL3424" s="911" t="s">
        <v>74</v>
      </c>
      <c r="BGM3424" s="911"/>
      <c r="BGN3424" s="911"/>
      <c r="BGO3424" s="911"/>
      <c r="BGP3424" s="911"/>
      <c r="BGQ3424" s="911"/>
      <c r="BGR3424" s="911"/>
      <c r="BGS3424" s="911"/>
      <c r="BGT3424" s="911"/>
      <c r="BGU3424" s="912"/>
      <c r="BGW3424" s="913" t="s">
        <v>1</v>
      </c>
      <c r="BGX3424" s="31"/>
      <c r="BGY3424" s="909" t="s">
        <v>0</v>
      </c>
      <c r="BGZ3424" s="909"/>
      <c r="BHA3424" s="909"/>
      <c r="BHB3424" s="909"/>
      <c r="BHC3424" s="909"/>
      <c r="BHD3424" s="909"/>
      <c r="BHE3424" s="907" t="s">
        <v>79</v>
      </c>
      <c r="BHF3424" s="909" t="s">
        <v>68</v>
      </c>
      <c r="BHG3424" s="910" t="s">
        <v>75</v>
      </c>
      <c r="BHH3424" s="911"/>
      <c r="BHI3424" s="911"/>
      <c r="BHJ3424" s="911"/>
      <c r="BHK3424" s="911"/>
      <c r="BHL3424" s="911"/>
      <c r="BHM3424" s="911"/>
      <c r="BHN3424" s="911"/>
      <c r="BHO3424" s="911"/>
      <c r="BHP3424" s="911"/>
      <c r="BHQ3424" s="32"/>
      <c r="BHR3424" s="911" t="s">
        <v>74</v>
      </c>
      <c r="BHS3424" s="911"/>
      <c r="BHT3424" s="911"/>
      <c r="BHU3424" s="911"/>
      <c r="BHV3424" s="911"/>
      <c r="BHW3424" s="911"/>
      <c r="BHX3424" s="911"/>
      <c r="BHY3424" s="911"/>
      <c r="BHZ3424" s="911"/>
      <c r="BIA3424" s="912"/>
      <c r="BIC3424" s="913" t="s">
        <v>1</v>
      </c>
      <c r="BID3424" s="31"/>
      <c r="BIE3424" s="909" t="s">
        <v>0</v>
      </c>
      <c r="BIF3424" s="909"/>
      <c r="BIG3424" s="909"/>
      <c r="BIH3424" s="909"/>
      <c r="BII3424" s="909"/>
      <c r="BIJ3424" s="909"/>
      <c r="BIK3424" s="907" t="s">
        <v>79</v>
      </c>
      <c r="BIL3424" s="909" t="s">
        <v>68</v>
      </c>
      <c r="BIM3424" s="910" t="s">
        <v>75</v>
      </c>
      <c r="BIN3424" s="911"/>
      <c r="BIO3424" s="911"/>
      <c r="BIP3424" s="911"/>
      <c r="BIQ3424" s="911"/>
      <c r="BIR3424" s="911"/>
      <c r="BIS3424" s="911"/>
      <c r="BIT3424" s="911"/>
      <c r="BIU3424" s="911"/>
      <c r="BIV3424" s="911"/>
      <c r="BIW3424" s="32"/>
      <c r="BIX3424" s="911" t="s">
        <v>74</v>
      </c>
      <c r="BIY3424" s="911"/>
      <c r="BIZ3424" s="911"/>
      <c r="BJA3424" s="911"/>
      <c r="BJB3424" s="911"/>
      <c r="BJC3424" s="911"/>
      <c r="BJD3424" s="911"/>
      <c r="BJE3424" s="911"/>
      <c r="BJF3424" s="911"/>
      <c r="BJG3424" s="912"/>
      <c r="BJI3424" s="913" t="s">
        <v>1</v>
      </c>
      <c r="BJJ3424" s="31"/>
      <c r="BJK3424" s="909" t="s">
        <v>0</v>
      </c>
      <c r="BJL3424" s="909"/>
      <c r="BJM3424" s="909"/>
      <c r="BJN3424" s="909"/>
      <c r="BJO3424" s="909"/>
      <c r="BJP3424" s="909"/>
      <c r="BJQ3424" s="907" t="s">
        <v>79</v>
      </c>
      <c r="BJR3424" s="909" t="s">
        <v>68</v>
      </c>
      <c r="BJS3424" s="910" t="s">
        <v>75</v>
      </c>
      <c r="BJT3424" s="911"/>
      <c r="BJU3424" s="911"/>
      <c r="BJV3424" s="911"/>
      <c r="BJW3424" s="911"/>
      <c r="BJX3424" s="911"/>
      <c r="BJY3424" s="911"/>
      <c r="BJZ3424" s="911"/>
      <c r="BKA3424" s="911"/>
      <c r="BKB3424" s="911"/>
      <c r="BKC3424" s="32"/>
      <c r="BKD3424" s="911" t="s">
        <v>74</v>
      </c>
      <c r="BKE3424" s="911"/>
      <c r="BKF3424" s="911"/>
      <c r="BKG3424" s="911"/>
      <c r="BKH3424" s="911"/>
      <c r="BKI3424" s="911"/>
      <c r="BKJ3424" s="911"/>
      <c r="BKK3424" s="911"/>
      <c r="BKL3424" s="911"/>
      <c r="BKM3424" s="912"/>
      <c r="BKO3424" s="913" t="s">
        <v>1</v>
      </c>
      <c r="BKP3424" s="31"/>
      <c r="BKQ3424" s="909" t="s">
        <v>0</v>
      </c>
      <c r="BKR3424" s="909"/>
      <c r="BKS3424" s="909"/>
      <c r="BKT3424" s="909"/>
      <c r="BKU3424" s="909"/>
      <c r="BKV3424" s="909"/>
      <c r="BKW3424" s="907" t="s">
        <v>79</v>
      </c>
      <c r="BKX3424" s="909" t="s">
        <v>68</v>
      </c>
      <c r="BKY3424" s="910" t="s">
        <v>75</v>
      </c>
      <c r="BKZ3424" s="911"/>
      <c r="BLA3424" s="911"/>
      <c r="BLB3424" s="911"/>
      <c r="BLC3424" s="911"/>
      <c r="BLD3424" s="911"/>
      <c r="BLE3424" s="911"/>
      <c r="BLF3424" s="911"/>
      <c r="BLG3424" s="911"/>
      <c r="BLH3424" s="911"/>
      <c r="BLI3424" s="32"/>
      <c r="BLJ3424" s="911" t="s">
        <v>74</v>
      </c>
      <c r="BLK3424" s="911"/>
      <c r="BLL3424" s="911"/>
      <c r="BLM3424" s="911"/>
      <c r="BLN3424" s="911"/>
      <c r="BLO3424" s="911"/>
      <c r="BLP3424" s="911"/>
      <c r="BLQ3424" s="911"/>
      <c r="BLR3424" s="911"/>
      <c r="BLS3424" s="912"/>
      <c r="BLU3424" s="913" t="s">
        <v>1</v>
      </c>
      <c r="BLV3424" s="31"/>
      <c r="BLW3424" s="909" t="s">
        <v>0</v>
      </c>
      <c r="BLX3424" s="909"/>
      <c r="BLY3424" s="909"/>
      <c r="BLZ3424" s="909"/>
      <c r="BMA3424" s="909"/>
      <c r="BMB3424" s="909"/>
      <c r="BMC3424" s="907" t="s">
        <v>79</v>
      </c>
      <c r="BMD3424" s="909" t="s">
        <v>68</v>
      </c>
      <c r="BME3424" s="910" t="s">
        <v>75</v>
      </c>
      <c r="BMF3424" s="911"/>
      <c r="BMG3424" s="911"/>
      <c r="BMH3424" s="911"/>
      <c r="BMI3424" s="911"/>
      <c r="BMJ3424" s="911"/>
      <c r="BMK3424" s="911"/>
      <c r="BML3424" s="911"/>
      <c r="BMM3424" s="911"/>
      <c r="BMN3424" s="911"/>
      <c r="BMO3424" s="32"/>
      <c r="BMP3424" s="911" t="s">
        <v>74</v>
      </c>
      <c r="BMQ3424" s="911"/>
      <c r="BMR3424" s="911"/>
      <c r="BMS3424" s="911"/>
      <c r="BMT3424" s="911"/>
      <c r="BMU3424" s="911"/>
      <c r="BMV3424" s="911"/>
      <c r="BMW3424" s="911"/>
      <c r="BMX3424" s="911"/>
      <c r="BMY3424" s="912"/>
      <c r="BNA3424" s="913" t="s">
        <v>1</v>
      </c>
      <c r="BNB3424" s="31"/>
      <c r="BNC3424" s="909" t="s">
        <v>0</v>
      </c>
      <c r="BND3424" s="909"/>
      <c r="BNE3424" s="909"/>
      <c r="BNF3424" s="909"/>
      <c r="BNG3424" s="909"/>
      <c r="BNH3424" s="909"/>
      <c r="BNI3424" s="907" t="s">
        <v>79</v>
      </c>
      <c r="BNJ3424" s="909" t="s">
        <v>68</v>
      </c>
      <c r="BNK3424" s="910" t="s">
        <v>75</v>
      </c>
      <c r="BNL3424" s="911"/>
      <c r="BNM3424" s="911"/>
      <c r="BNN3424" s="911"/>
      <c r="BNO3424" s="911"/>
      <c r="BNP3424" s="911"/>
      <c r="BNQ3424" s="911"/>
      <c r="BNR3424" s="911"/>
      <c r="BNS3424" s="911"/>
      <c r="BNT3424" s="911"/>
      <c r="BNU3424" s="32"/>
      <c r="BNV3424" s="911" t="s">
        <v>74</v>
      </c>
      <c r="BNW3424" s="911"/>
      <c r="BNX3424" s="911"/>
      <c r="BNY3424" s="911"/>
      <c r="BNZ3424" s="911"/>
      <c r="BOA3424" s="911"/>
      <c r="BOB3424" s="911"/>
      <c r="BOC3424" s="911"/>
      <c r="BOD3424" s="911"/>
      <c r="BOE3424" s="912"/>
      <c r="BOG3424" s="913" t="s">
        <v>1</v>
      </c>
      <c r="BOH3424" s="31"/>
      <c r="BOI3424" s="909" t="s">
        <v>0</v>
      </c>
      <c r="BOJ3424" s="909"/>
      <c r="BOK3424" s="909"/>
      <c r="BOL3424" s="909"/>
      <c r="BOM3424" s="909"/>
      <c r="BON3424" s="909"/>
      <c r="BOO3424" s="907" t="s">
        <v>79</v>
      </c>
      <c r="BOP3424" s="909" t="s">
        <v>68</v>
      </c>
      <c r="BOQ3424" s="910" t="s">
        <v>75</v>
      </c>
      <c r="BOR3424" s="911"/>
      <c r="BOS3424" s="911"/>
      <c r="BOT3424" s="911"/>
      <c r="BOU3424" s="911"/>
      <c r="BOV3424" s="911"/>
      <c r="BOW3424" s="911"/>
      <c r="BOX3424" s="911"/>
      <c r="BOY3424" s="911"/>
      <c r="BOZ3424" s="911"/>
      <c r="BPA3424" s="32"/>
      <c r="BPB3424" s="911" t="s">
        <v>74</v>
      </c>
      <c r="BPC3424" s="911"/>
      <c r="BPD3424" s="911"/>
      <c r="BPE3424" s="911"/>
      <c r="BPF3424" s="911"/>
      <c r="BPG3424" s="911"/>
      <c r="BPH3424" s="911"/>
      <c r="BPI3424" s="911"/>
      <c r="BPJ3424" s="911"/>
      <c r="BPK3424" s="912"/>
      <c r="BPM3424" s="913" t="s">
        <v>1</v>
      </c>
      <c r="BPN3424" s="31"/>
      <c r="BPO3424" s="909" t="s">
        <v>0</v>
      </c>
      <c r="BPP3424" s="909"/>
      <c r="BPQ3424" s="909"/>
      <c r="BPR3424" s="909"/>
      <c r="BPS3424" s="909"/>
      <c r="BPT3424" s="909"/>
      <c r="BPU3424" s="907" t="s">
        <v>79</v>
      </c>
      <c r="BPV3424" s="909" t="s">
        <v>68</v>
      </c>
      <c r="BPW3424" s="910" t="s">
        <v>75</v>
      </c>
      <c r="BPX3424" s="911"/>
      <c r="BPY3424" s="911"/>
      <c r="BPZ3424" s="911"/>
      <c r="BQA3424" s="911"/>
      <c r="BQB3424" s="911"/>
      <c r="BQC3424" s="911"/>
      <c r="BQD3424" s="911"/>
      <c r="BQE3424" s="911"/>
      <c r="BQF3424" s="911"/>
      <c r="BQG3424" s="32"/>
      <c r="BQH3424" s="911" t="s">
        <v>74</v>
      </c>
      <c r="BQI3424" s="911"/>
      <c r="BQJ3424" s="911"/>
      <c r="BQK3424" s="911"/>
      <c r="BQL3424" s="911"/>
      <c r="BQM3424" s="911"/>
      <c r="BQN3424" s="911"/>
      <c r="BQO3424" s="911"/>
      <c r="BQP3424" s="911"/>
      <c r="BQQ3424" s="912"/>
      <c r="BQS3424" s="913" t="s">
        <v>1</v>
      </c>
      <c r="BQT3424" s="31"/>
      <c r="BQU3424" s="909" t="s">
        <v>0</v>
      </c>
      <c r="BQV3424" s="909"/>
      <c r="BQW3424" s="909"/>
      <c r="BQX3424" s="909"/>
      <c r="BQY3424" s="909"/>
      <c r="BQZ3424" s="909"/>
      <c r="BRA3424" s="907" t="s">
        <v>79</v>
      </c>
      <c r="BRB3424" s="909" t="s">
        <v>68</v>
      </c>
      <c r="BRC3424" s="910" t="s">
        <v>75</v>
      </c>
      <c r="BRD3424" s="911"/>
      <c r="BRE3424" s="911"/>
      <c r="BRF3424" s="911"/>
      <c r="BRG3424" s="911"/>
      <c r="BRH3424" s="911"/>
      <c r="BRI3424" s="911"/>
      <c r="BRJ3424" s="911"/>
      <c r="BRK3424" s="911"/>
      <c r="BRL3424" s="911"/>
      <c r="BRM3424" s="32"/>
      <c r="BRN3424" s="911" t="s">
        <v>74</v>
      </c>
      <c r="BRO3424" s="911"/>
      <c r="BRP3424" s="911"/>
      <c r="BRQ3424" s="911"/>
      <c r="BRR3424" s="911"/>
      <c r="BRS3424" s="911"/>
      <c r="BRT3424" s="911"/>
      <c r="BRU3424" s="911"/>
      <c r="BRV3424" s="911"/>
      <c r="BRW3424" s="912"/>
      <c r="BRY3424" s="913" t="s">
        <v>1</v>
      </c>
      <c r="BRZ3424" s="31"/>
      <c r="BSA3424" s="909" t="s">
        <v>0</v>
      </c>
      <c r="BSB3424" s="909"/>
      <c r="BSC3424" s="909"/>
      <c r="BSD3424" s="909"/>
      <c r="BSE3424" s="909"/>
      <c r="BSF3424" s="909"/>
      <c r="BSG3424" s="907" t="s">
        <v>79</v>
      </c>
      <c r="BSH3424" s="909" t="s">
        <v>68</v>
      </c>
      <c r="BSI3424" s="910" t="s">
        <v>75</v>
      </c>
      <c r="BSJ3424" s="911"/>
      <c r="BSK3424" s="911"/>
      <c r="BSL3424" s="911"/>
      <c r="BSM3424" s="911"/>
      <c r="BSN3424" s="911"/>
      <c r="BSO3424" s="911"/>
      <c r="BSP3424" s="911"/>
      <c r="BSQ3424" s="911"/>
      <c r="BSR3424" s="911"/>
      <c r="BSS3424" s="32"/>
      <c r="BST3424" s="911" t="s">
        <v>74</v>
      </c>
      <c r="BSU3424" s="911"/>
      <c r="BSV3424" s="911"/>
      <c r="BSW3424" s="911"/>
      <c r="BSX3424" s="911"/>
      <c r="BSY3424" s="911"/>
      <c r="BSZ3424" s="911"/>
      <c r="BTA3424" s="911"/>
      <c r="BTB3424" s="911"/>
      <c r="BTC3424" s="912"/>
      <c r="BTE3424" s="913" t="s">
        <v>1</v>
      </c>
      <c r="BTF3424" s="31"/>
      <c r="BTG3424" s="909" t="s">
        <v>0</v>
      </c>
      <c r="BTH3424" s="909"/>
      <c r="BTI3424" s="909"/>
      <c r="BTJ3424" s="909"/>
      <c r="BTK3424" s="909"/>
      <c r="BTL3424" s="909"/>
      <c r="BTM3424" s="907" t="s">
        <v>79</v>
      </c>
      <c r="BTN3424" s="909" t="s">
        <v>68</v>
      </c>
      <c r="BTO3424" s="910" t="s">
        <v>75</v>
      </c>
      <c r="BTP3424" s="911"/>
      <c r="BTQ3424" s="911"/>
      <c r="BTR3424" s="911"/>
      <c r="BTS3424" s="911"/>
      <c r="BTT3424" s="911"/>
      <c r="BTU3424" s="911"/>
      <c r="BTV3424" s="911"/>
      <c r="BTW3424" s="911"/>
      <c r="BTX3424" s="911"/>
      <c r="BTY3424" s="32"/>
      <c r="BTZ3424" s="911" t="s">
        <v>74</v>
      </c>
      <c r="BUA3424" s="911"/>
      <c r="BUB3424" s="911"/>
      <c r="BUC3424" s="911"/>
      <c r="BUD3424" s="911"/>
      <c r="BUE3424" s="911"/>
      <c r="BUF3424" s="911"/>
      <c r="BUG3424" s="911"/>
      <c r="BUH3424" s="911"/>
      <c r="BUI3424" s="912"/>
      <c r="BUK3424" s="913" t="s">
        <v>1</v>
      </c>
      <c r="BUL3424" s="31"/>
      <c r="BUM3424" s="909" t="s">
        <v>0</v>
      </c>
      <c r="BUN3424" s="909"/>
      <c r="BUO3424" s="909"/>
      <c r="BUP3424" s="909"/>
      <c r="BUQ3424" s="909"/>
      <c r="BUR3424" s="909"/>
      <c r="BUS3424" s="907" t="s">
        <v>79</v>
      </c>
      <c r="BUT3424" s="909" t="s">
        <v>68</v>
      </c>
      <c r="BUU3424" s="910" t="s">
        <v>75</v>
      </c>
      <c r="BUV3424" s="911"/>
      <c r="BUW3424" s="911"/>
      <c r="BUX3424" s="911"/>
      <c r="BUY3424" s="911"/>
      <c r="BUZ3424" s="911"/>
      <c r="BVA3424" s="911"/>
      <c r="BVB3424" s="911"/>
      <c r="BVC3424" s="911"/>
      <c r="BVD3424" s="911"/>
      <c r="BVE3424" s="32"/>
      <c r="BVF3424" s="911" t="s">
        <v>74</v>
      </c>
      <c r="BVG3424" s="911"/>
      <c r="BVH3424" s="911"/>
      <c r="BVI3424" s="911"/>
      <c r="BVJ3424" s="911"/>
      <c r="BVK3424" s="911"/>
      <c r="BVL3424" s="911"/>
      <c r="BVM3424" s="911"/>
      <c r="BVN3424" s="911"/>
      <c r="BVO3424" s="912"/>
      <c r="BVQ3424" s="913" t="s">
        <v>1</v>
      </c>
      <c r="BVR3424" s="31"/>
      <c r="BVS3424" s="909" t="s">
        <v>0</v>
      </c>
      <c r="BVT3424" s="909"/>
      <c r="BVU3424" s="909"/>
      <c r="BVV3424" s="909"/>
      <c r="BVW3424" s="909"/>
      <c r="BVX3424" s="909"/>
      <c r="BVY3424" s="907" t="s">
        <v>79</v>
      </c>
      <c r="BVZ3424" s="909" t="s">
        <v>68</v>
      </c>
      <c r="BWA3424" s="910" t="s">
        <v>75</v>
      </c>
      <c r="BWB3424" s="911"/>
      <c r="BWC3424" s="911"/>
      <c r="BWD3424" s="911"/>
      <c r="BWE3424" s="911"/>
      <c r="BWF3424" s="911"/>
      <c r="BWG3424" s="911"/>
      <c r="BWH3424" s="911"/>
      <c r="BWI3424" s="911"/>
      <c r="BWJ3424" s="911"/>
      <c r="BWK3424" s="32"/>
      <c r="BWL3424" s="911" t="s">
        <v>74</v>
      </c>
      <c r="BWM3424" s="911"/>
      <c r="BWN3424" s="911"/>
      <c r="BWO3424" s="911"/>
      <c r="BWP3424" s="911"/>
      <c r="BWQ3424" s="911"/>
      <c r="BWR3424" s="911"/>
      <c r="BWS3424" s="911"/>
      <c r="BWT3424" s="911"/>
      <c r="BWU3424" s="912"/>
      <c r="BWW3424" s="913" t="s">
        <v>1</v>
      </c>
      <c r="BWX3424" s="31"/>
      <c r="BWY3424" s="909" t="s">
        <v>0</v>
      </c>
      <c r="BWZ3424" s="909"/>
      <c r="BXA3424" s="909"/>
      <c r="BXB3424" s="909"/>
      <c r="BXC3424" s="909"/>
      <c r="BXD3424" s="909"/>
      <c r="BXE3424" s="907" t="s">
        <v>79</v>
      </c>
      <c r="BXF3424" s="909" t="s">
        <v>68</v>
      </c>
      <c r="BXG3424" s="910" t="s">
        <v>75</v>
      </c>
      <c r="BXH3424" s="911"/>
      <c r="BXI3424" s="911"/>
      <c r="BXJ3424" s="911"/>
      <c r="BXK3424" s="911"/>
      <c r="BXL3424" s="911"/>
      <c r="BXM3424" s="911"/>
      <c r="BXN3424" s="911"/>
      <c r="BXO3424" s="911"/>
      <c r="BXP3424" s="911"/>
      <c r="BXQ3424" s="32"/>
      <c r="BXR3424" s="911" t="s">
        <v>74</v>
      </c>
      <c r="BXS3424" s="911"/>
      <c r="BXT3424" s="911"/>
      <c r="BXU3424" s="911"/>
      <c r="BXV3424" s="911"/>
      <c r="BXW3424" s="911"/>
      <c r="BXX3424" s="911"/>
      <c r="BXY3424" s="911"/>
      <c r="BXZ3424" s="911"/>
      <c r="BYA3424" s="912"/>
      <c r="BYC3424" s="913" t="s">
        <v>1</v>
      </c>
      <c r="BYD3424" s="31"/>
      <c r="BYE3424" s="909" t="s">
        <v>0</v>
      </c>
      <c r="BYF3424" s="909"/>
      <c r="BYG3424" s="909"/>
      <c r="BYH3424" s="909"/>
      <c r="BYI3424" s="909"/>
      <c r="BYJ3424" s="909"/>
      <c r="BYK3424" s="907" t="s">
        <v>79</v>
      </c>
      <c r="BYL3424" s="909" t="s">
        <v>68</v>
      </c>
      <c r="BYM3424" s="910" t="s">
        <v>75</v>
      </c>
      <c r="BYN3424" s="911"/>
      <c r="BYO3424" s="911"/>
      <c r="BYP3424" s="911"/>
      <c r="BYQ3424" s="911"/>
      <c r="BYR3424" s="911"/>
      <c r="BYS3424" s="911"/>
      <c r="BYT3424" s="911"/>
      <c r="BYU3424" s="911"/>
      <c r="BYV3424" s="911"/>
      <c r="BYW3424" s="32"/>
      <c r="BYX3424" s="911" t="s">
        <v>74</v>
      </c>
      <c r="BYY3424" s="911"/>
      <c r="BYZ3424" s="911"/>
      <c r="BZA3424" s="911"/>
      <c r="BZB3424" s="911"/>
      <c r="BZC3424" s="911"/>
      <c r="BZD3424" s="911"/>
      <c r="BZE3424" s="911"/>
      <c r="BZF3424" s="911"/>
      <c r="BZG3424" s="912"/>
      <c r="BZI3424" s="913" t="s">
        <v>1</v>
      </c>
      <c r="BZJ3424" s="31"/>
      <c r="BZK3424" s="909" t="s">
        <v>0</v>
      </c>
      <c r="BZL3424" s="909"/>
      <c r="BZM3424" s="909"/>
      <c r="BZN3424" s="909"/>
      <c r="BZO3424" s="909"/>
      <c r="BZP3424" s="909"/>
      <c r="BZQ3424" s="907" t="s">
        <v>79</v>
      </c>
      <c r="BZR3424" s="909" t="s">
        <v>68</v>
      </c>
      <c r="BZS3424" s="910" t="s">
        <v>75</v>
      </c>
      <c r="BZT3424" s="911"/>
      <c r="BZU3424" s="911"/>
      <c r="BZV3424" s="911"/>
      <c r="BZW3424" s="911"/>
      <c r="BZX3424" s="911"/>
      <c r="BZY3424" s="911"/>
      <c r="BZZ3424" s="911"/>
      <c r="CAA3424" s="911"/>
      <c r="CAB3424" s="911"/>
      <c r="CAC3424" s="32"/>
      <c r="CAD3424" s="911" t="s">
        <v>74</v>
      </c>
      <c r="CAE3424" s="911"/>
      <c r="CAF3424" s="911"/>
      <c r="CAG3424" s="911"/>
      <c r="CAH3424" s="911"/>
      <c r="CAI3424" s="911"/>
      <c r="CAJ3424" s="911"/>
      <c r="CAK3424" s="911"/>
      <c r="CAL3424" s="911"/>
      <c r="CAM3424" s="912"/>
      <c r="CAO3424" s="913" t="s">
        <v>1</v>
      </c>
      <c r="CAP3424" s="31"/>
      <c r="CAQ3424" s="909" t="s">
        <v>0</v>
      </c>
      <c r="CAR3424" s="909"/>
      <c r="CAS3424" s="909"/>
      <c r="CAT3424" s="909"/>
      <c r="CAU3424" s="909"/>
      <c r="CAV3424" s="909"/>
      <c r="CAW3424" s="907" t="s">
        <v>79</v>
      </c>
      <c r="CAX3424" s="909" t="s">
        <v>68</v>
      </c>
      <c r="CAY3424" s="910" t="s">
        <v>75</v>
      </c>
      <c r="CAZ3424" s="911"/>
      <c r="CBA3424" s="911"/>
      <c r="CBB3424" s="911"/>
      <c r="CBC3424" s="911"/>
      <c r="CBD3424" s="911"/>
      <c r="CBE3424" s="911"/>
      <c r="CBF3424" s="911"/>
      <c r="CBG3424" s="911"/>
      <c r="CBH3424" s="911"/>
      <c r="CBI3424" s="32"/>
      <c r="CBJ3424" s="911" t="s">
        <v>74</v>
      </c>
      <c r="CBK3424" s="911"/>
      <c r="CBL3424" s="911"/>
      <c r="CBM3424" s="911"/>
      <c r="CBN3424" s="911"/>
      <c r="CBO3424" s="911"/>
      <c r="CBP3424" s="911"/>
      <c r="CBQ3424" s="911"/>
      <c r="CBR3424" s="911"/>
      <c r="CBS3424" s="912"/>
      <c r="CBU3424" s="913" t="s">
        <v>1</v>
      </c>
      <c r="CBV3424" s="31"/>
      <c r="CBW3424" s="909" t="s">
        <v>0</v>
      </c>
      <c r="CBX3424" s="909"/>
      <c r="CBY3424" s="909"/>
      <c r="CBZ3424" s="909"/>
      <c r="CCA3424" s="909"/>
      <c r="CCB3424" s="909"/>
      <c r="CCC3424" s="907" t="s">
        <v>79</v>
      </c>
      <c r="CCD3424" s="909" t="s">
        <v>68</v>
      </c>
      <c r="CCE3424" s="910" t="s">
        <v>75</v>
      </c>
      <c r="CCF3424" s="911"/>
      <c r="CCG3424" s="911"/>
      <c r="CCH3424" s="911"/>
      <c r="CCI3424" s="911"/>
      <c r="CCJ3424" s="911"/>
      <c r="CCK3424" s="911"/>
      <c r="CCL3424" s="911"/>
      <c r="CCM3424" s="911"/>
      <c r="CCN3424" s="911"/>
      <c r="CCO3424" s="32"/>
      <c r="CCP3424" s="911" t="s">
        <v>74</v>
      </c>
      <c r="CCQ3424" s="911"/>
      <c r="CCR3424" s="911"/>
      <c r="CCS3424" s="911"/>
      <c r="CCT3424" s="911"/>
      <c r="CCU3424" s="911"/>
      <c r="CCV3424" s="911"/>
      <c r="CCW3424" s="911"/>
      <c r="CCX3424" s="911"/>
      <c r="CCY3424" s="912"/>
      <c r="CDA3424" s="913" t="s">
        <v>1</v>
      </c>
      <c r="CDB3424" s="31"/>
      <c r="CDC3424" s="909" t="s">
        <v>0</v>
      </c>
      <c r="CDD3424" s="909"/>
      <c r="CDE3424" s="909"/>
      <c r="CDF3424" s="909"/>
      <c r="CDG3424" s="909"/>
      <c r="CDH3424" s="909"/>
      <c r="CDI3424" s="907" t="s">
        <v>79</v>
      </c>
      <c r="CDJ3424" s="909" t="s">
        <v>68</v>
      </c>
      <c r="CDK3424" s="910" t="s">
        <v>75</v>
      </c>
      <c r="CDL3424" s="911"/>
      <c r="CDM3424" s="911"/>
      <c r="CDN3424" s="911"/>
      <c r="CDO3424" s="911"/>
      <c r="CDP3424" s="911"/>
      <c r="CDQ3424" s="911"/>
      <c r="CDR3424" s="911"/>
      <c r="CDS3424" s="911"/>
      <c r="CDT3424" s="911"/>
      <c r="CDU3424" s="32"/>
      <c r="CDV3424" s="911" t="s">
        <v>74</v>
      </c>
      <c r="CDW3424" s="911"/>
      <c r="CDX3424" s="911"/>
      <c r="CDY3424" s="911"/>
      <c r="CDZ3424" s="911"/>
      <c r="CEA3424" s="911"/>
      <c r="CEB3424" s="911"/>
      <c r="CEC3424" s="911"/>
      <c r="CED3424" s="911"/>
      <c r="CEE3424" s="912"/>
      <c r="CEG3424" s="913" t="s">
        <v>1</v>
      </c>
      <c r="CEH3424" s="31"/>
      <c r="CEI3424" s="909" t="s">
        <v>0</v>
      </c>
      <c r="CEJ3424" s="909"/>
      <c r="CEK3424" s="909"/>
      <c r="CEL3424" s="909"/>
      <c r="CEM3424" s="909"/>
      <c r="CEN3424" s="909"/>
      <c r="CEO3424" s="907" t="s">
        <v>79</v>
      </c>
      <c r="CEP3424" s="909" t="s">
        <v>68</v>
      </c>
      <c r="CEQ3424" s="910" t="s">
        <v>75</v>
      </c>
      <c r="CER3424" s="911"/>
      <c r="CES3424" s="911"/>
      <c r="CET3424" s="911"/>
      <c r="CEU3424" s="911"/>
      <c r="CEV3424" s="911"/>
      <c r="CEW3424" s="911"/>
      <c r="CEX3424" s="911"/>
      <c r="CEY3424" s="911"/>
      <c r="CEZ3424" s="911"/>
      <c r="CFA3424" s="32"/>
      <c r="CFB3424" s="911" t="s">
        <v>74</v>
      </c>
      <c r="CFC3424" s="911"/>
      <c r="CFD3424" s="911"/>
      <c r="CFE3424" s="911"/>
      <c r="CFF3424" s="911"/>
      <c r="CFG3424" s="911"/>
      <c r="CFH3424" s="911"/>
      <c r="CFI3424" s="911"/>
      <c r="CFJ3424" s="911"/>
      <c r="CFK3424" s="912"/>
      <c r="CFM3424" s="913" t="s">
        <v>1</v>
      </c>
      <c r="CFN3424" s="31"/>
      <c r="CFO3424" s="909" t="s">
        <v>0</v>
      </c>
      <c r="CFP3424" s="909"/>
      <c r="CFQ3424" s="909"/>
      <c r="CFR3424" s="909"/>
      <c r="CFS3424" s="909"/>
      <c r="CFT3424" s="909"/>
      <c r="CFU3424" s="907" t="s">
        <v>79</v>
      </c>
      <c r="CFV3424" s="909" t="s">
        <v>68</v>
      </c>
      <c r="CFW3424" s="910" t="s">
        <v>75</v>
      </c>
      <c r="CFX3424" s="911"/>
      <c r="CFY3424" s="911"/>
      <c r="CFZ3424" s="911"/>
      <c r="CGA3424" s="911"/>
      <c r="CGB3424" s="911"/>
      <c r="CGC3424" s="911"/>
      <c r="CGD3424" s="911"/>
      <c r="CGE3424" s="911"/>
      <c r="CGF3424" s="911"/>
      <c r="CGG3424" s="32"/>
      <c r="CGH3424" s="911" t="s">
        <v>74</v>
      </c>
      <c r="CGI3424" s="911"/>
      <c r="CGJ3424" s="911"/>
      <c r="CGK3424" s="911"/>
      <c r="CGL3424" s="911"/>
      <c r="CGM3424" s="911"/>
      <c r="CGN3424" s="911"/>
      <c r="CGO3424" s="911"/>
      <c r="CGP3424" s="911"/>
      <c r="CGQ3424" s="912"/>
      <c r="CGS3424" s="913" t="s">
        <v>1</v>
      </c>
      <c r="CGT3424" s="31"/>
      <c r="CGU3424" s="909" t="s">
        <v>0</v>
      </c>
      <c r="CGV3424" s="909"/>
      <c r="CGW3424" s="909"/>
      <c r="CGX3424" s="909"/>
      <c r="CGY3424" s="909"/>
      <c r="CGZ3424" s="909"/>
      <c r="CHA3424" s="907" t="s">
        <v>79</v>
      </c>
      <c r="CHB3424" s="909" t="s">
        <v>68</v>
      </c>
      <c r="CHC3424" s="910" t="s">
        <v>75</v>
      </c>
      <c r="CHD3424" s="911"/>
      <c r="CHE3424" s="911"/>
      <c r="CHF3424" s="911"/>
      <c r="CHG3424" s="911"/>
      <c r="CHH3424" s="911"/>
      <c r="CHI3424" s="911"/>
      <c r="CHJ3424" s="911"/>
      <c r="CHK3424" s="911"/>
      <c r="CHL3424" s="911"/>
      <c r="CHM3424" s="32"/>
      <c r="CHN3424" s="911" t="s">
        <v>74</v>
      </c>
      <c r="CHO3424" s="911"/>
      <c r="CHP3424" s="911"/>
      <c r="CHQ3424" s="911"/>
      <c r="CHR3424" s="911"/>
      <c r="CHS3424" s="911"/>
      <c r="CHT3424" s="911"/>
      <c r="CHU3424" s="911"/>
      <c r="CHV3424" s="911"/>
      <c r="CHW3424" s="912"/>
      <c r="CHY3424" s="913" t="s">
        <v>1</v>
      </c>
      <c r="CHZ3424" s="31"/>
      <c r="CIA3424" s="909" t="s">
        <v>0</v>
      </c>
      <c r="CIB3424" s="909"/>
      <c r="CIC3424" s="909"/>
      <c r="CID3424" s="909"/>
      <c r="CIE3424" s="909"/>
      <c r="CIF3424" s="909"/>
      <c r="CIG3424" s="907" t="s">
        <v>79</v>
      </c>
      <c r="CIH3424" s="909" t="s">
        <v>68</v>
      </c>
      <c r="CII3424" s="910" t="s">
        <v>75</v>
      </c>
      <c r="CIJ3424" s="911"/>
      <c r="CIK3424" s="911"/>
      <c r="CIL3424" s="911"/>
      <c r="CIM3424" s="911"/>
      <c r="CIN3424" s="911"/>
      <c r="CIO3424" s="911"/>
      <c r="CIP3424" s="911"/>
      <c r="CIQ3424" s="911"/>
      <c r="CIR3424" s="911"/>
      <c r="CIS3424" s="32"/>
      <c r="CIT3424" s="911" t="s">
        <v>74</v>
      </c>
      <c r="CIU3424" s="911"/>
      <c r="CIV3424" s="911"/>
      <c r="CIW3424" s="911"/>
      <c r="CIX3424" s="911"/>
      <c r="CIY3424" s="911"/>
      <c r="CIZ3424" s="911"/>
      <c r="CJA3424" s="911"/>
      <c r="CJB3424" s="911"/>
      <c r="CJC3424" s="912"/>
      <c r="CJE3424" s="913" t="s">
        <v>1</v>
      </c>
      <c r="CJF3424" s="31"/>
      <c r="CJG3424" s="909" t="s">
        <v>0</v>
      </c>
      <c r="CJH3424" s="909"/>
      <c r="CJI3424" s="909"/>
      <c r="CJJ3424" s="909"/>
      <c r="CJK3424" s="909"/>
      <c r="CJL3424" s="909"/>
      <c r="CJM3424" s="907" t="s">
        <v>79</v>
      </c>
      <c r="CJN3424" s="909" t="s">
        <v>68</v>
      </c>
      <c r="CJO3424" s="910" t="s">
        <v>75</v>
      </c>
      <c r="CJP3424" s="911"/>
      <c r="CJQ3424" s="911"/>
      <c r="CJR3424" s="911"/>
      <c r="CJS3424" s="911"/>
      <c r="CJT3424" s="911"/>
      <c r="CJU3424" s="911"/>
      <c r="CJV3424" s="911"/>
      <c r="CJW3424" s="911"/>
      <c r="CJX3424" s="911"/>
      <c r="CJY3424" s="32"/>
      <c r="CJZ3424" s="911" t="s">
        <v>74</v>
      </c>
      <c r="CKA3424" s="911"/>
      <c r="CKB3424" s="911"/>
      <c r="CKC3424" s="911"/>
      <c r="CKD3424" s="911"/>
      <c r="CKE3424" s="911"/>
      <c r="CKF3424" s="911"/>
      <c r="CKG3424" s="911"/>
      <c r="CKH3424" s="911"/>
      <c r="CKI3424" s="912"/>
      <c r="CKK3424" s="913" t="s">
        <v>1</v>
      </c>
      <c r="CKL3424" s="31"/>
      <c r="CKM3424" s="909" t="s">
        <v>0</v>
      </c>
      <c r="CKN3424" s="909"/>
      <c r="CKO3424" s="909"/>
      <c r="CKP3424" s="909"/>
      <c r="CKQ3424" s="909"/>
      <c r="CKR3424" s="909"/>
      <c r="CKS3424" s="907" t="s">
        <v>79</v>
      </c>
      <c r="CKT3424" s="909" t="s">
        <v>68</v>
      </c>
      <c r="CKU3424" s="910" t="s">
        <v>75</v>
      </c>
      <c r="CKV3424" s="911"/>
      <c r="CKW3424" s="911"/>
      <c r="CKX3424" s="911"/>
      <c r="CKY3424" s="911"/>
      <c r="CKZ3424" s="911"/>
      <c r="CLA3424" s="911"/>
      <c r="CLB3424" s="911"/>
      <c r="CLC3424" s="911"/>
      <c r="CLD3424" s="911"/>
      <c r="CLE3424" s="32"/>
      <c r="CLF3424" s="911" t="s">
        <v>74</v>
      </c>
      <c r="CLG3424" s="911"/>
      <c r="CLH3424" s="911"/>
      <c r="CLI3424" s="911"/>
      <c r="CLJ3424" s="911"/>
      <c r="CLK3424" s="911"/>
      <c r="CLL3424" s="911"/>
      <c r="CLM3424" s="911"/>
      <c r="CLN3424" s="911"/>
      <c r="CLO3424" s="912"/>
      <c r="CLQ3424" s="913" t="s">
        <v>1</v>
      </c>
      <c r="CLR3424" s="31"/>
      <c r="CLS3424" s="909" t="s">
        <v>0</v>
      </c>
      <c r="CLT3424" s="909"/>
      <c r="CLU3424" s="909"/>
      <c r="CLV3424" s="909"/>
      <c r="CLW3424" s="909"/>
      <c r="CLX3424" s="909"/>
      <c r="CLY3424" s="907" t="s">
        <v>79</v>
      </c>
      <c r="CLZ3424" s="909" t="s">
        <v>68</v>
      </c>
      <c r="CMA3424" s="910" t="s">
        <v>75</v>
      </c>
      <c r="CMB3424" s="911"/>
      <c r="CMC3424" s="911"/>
      <c r="CMD3424" s="911"/>
      <c r="CME3424" s="911"/>
      <c r="CMF3424" s="911"/>
      <c r="CMG3424" s="911"/>
      <c r="CMH3424" s="911"/>
      <c r="CMI3424" s="911"/>
      <c r="CMJ3424" s="911"/>
      <c r="CMK3424" s="32"/>
      <c r="CML3424" s="911" t="s">
        <v>74</v>
      </c>
      <c r="CMM3424" s="911"/>
      <c r="CMN3424" s="911"/>
      <c r="CMO3424" s="911"/>
      <c r="CMP3424" s="911"/>
      <c r="CMQ3424" s="911"/>
      <c r="CMR3424" s="911"/>
      <c r="CMS3424" s="911"/>
      <c r="CMT3424" s="911"/>
      <c r="CMU3424" s="912"/>
      <c r="CMW3424" s="913" t="s">
        <v>1</v>
      </c>
      <c r="CMX3424" s="31"/>
      <c r="CMY3424" s="909" t="s">
        <v>0</v>
      </c>
      <c r="CMZ3424" s="909"/>
      <c r="CNA3424" s="909"/>
      <c r="CNB3424" s="909"/>
      <c r="CNC3424" s="909"/>
      <c r="CND3424" s="909"/>
      <c r="CNE3424" s="907" t="s">
        <v>79</v>
      </c>
      <c r="CNF3424" s="909" t="s">
        <v>68</v>
      </c>
      <c r="CNG3424" s="910" t="s">
        <v>75</v>
      </c>
      <c r="CNH3424" s="911"/>
      <c r="CNI3424" s="911"/>
      <c r="CNJ3424" s="911"/>
      <c r="CNK3424" s="911"/>
      <c r="CNL3424" s="911"/>
      <c r="CNM3424" s="911"/>
      <c r="CNN3424" s="911"/>
      <c r="CNO3424" s="911"/>
      <c r="CNP3424" s="911"/>
      <c r="CNQ3424" s="32"/>
      <c r="CNR3424" s="911" t="s">
        <v>74</v>
      </c>
      <c r="CNS3424" s="911"/>
      <c r="CNT3424" s="911"/>
      <c r="CNU3424" s="911"/>
      <c r="CNV3424" s="911"/>
      <c r="CNW3424" s="911"/>
      <c r="CNX3424" s="911"/>
      <c r="CNY3424" s="911"/>
      <c r="CNZ3424" s="911"/>
      <c r="COA3424" s="912"/>
      <c r="COC3424" s="913" t="s">
        <v>1</v>
      </c>
      <c r="COD3424" s="31"/>
      <c r="COE3424" s="909" t="s">
        <v>0</v>
      </c>
      <c r="COF3424" s="909"/>
      <c r="COG3424" s="909"/>
      <c r="COH3424" s="909"/>
      <c r="COI3424" s="909"/>
      <c r="COJ3424" s="909"/>
      <c r="COK3424" s="907" t="s">
        <v>79</v>
      </c>
      <c r="COL3424" s="909" t="s">
        <v>68</v>
      </c>
      <c r="COM3424" s="910" t="s">
        <v>75</v>
      </c>
      <c r="CON3424" s="911"/>
      <c r="COO3424" s="911"/>
      <c r="COP3424" s="911"/>
      <c r="COQ3424" s="911"/>
      <c r="COR3424" s="911"/>
      <c r="COS3424" s="911"/>
      <c r="COT3424" s="911"/>
      <c r="COU3424" s="911"/>
      <c r="COV3424" s="911"/>
      <c r="COW3424" s="32"/>
      <c r="COX3424" s="911" t="s">
        <v>74</v>
      </c>
      <c r="COY3424" s="911"/>
      <c r="COZ3424" s="911"/>
      <c r="CPA3424" s="911"/>
      <c r="CPB3424" s="911"/>
      <c r="CPC3424" s="911"/>
      <c r="CPD3424" s="911"/>
      <c r="CPE3424" s="911"/>
      <c r="CPF3424" s="911"/>
      <c r="CPG3424" s="912"/>
      <c r="CPI3424" s="913" t="s">
        <v>1</v>
      </c>
      <c r="CPJ3424" s="31"/>
      <c r="CPK3424" s="909" t="s">
        <v>0</v>
      </c>
      <c r="CPL3424" s="909"/>
      <c r="CPM3424" s="909"/>
      <c r="CPN3424" s="909"/>
      <c r="CPO3424" s="909"/>
      <c r="CPP3424" s="909"/>
      <c r="CPQ3424" s="907" t="s">
        <v>79</v>
      </c>
      <c r="CPR3424" s="909" t="s">
        <v>68</v>
      </c>
      <c r="CPS3424" s="910" t="s">
        <v>75</v>
      </c>
      <c r="CPT3424" s="911"/>
      <c r="CPU3424" s="911"/>
      <c r="CPV3424" s="911"/>
      <c r="CPW3424" s="911"/>
      <c r="CPX3424" s="911"/>
      <c r="CPY3424" s="911"/>
      <c r="CPZ3424" s="911"/>
      <c r="CQA3424" s="911"/>
      <c r="CQB3424" s="911"/>
      <c r="CQC3424" s="32"/>
      <c r="CQD3424" s="911" t="s">
        <v>74</v>
      </c>
      <c r="CQE3424" s="911"/>
      <c r="CQF3424" s="911"/>
      <c r="CQG3424" s="911"/>
      <c r="CQH3424" s="911"/>
      <c r="CQI3424" s="911"/>
      <c r="CQJ3424" s="911"/>
      <c r="CQK3424" s="911"/>
      <c r="CQL3424" s="911"/>
      <c r="CQM3424" s="912"/>
      <c r="CQO3424" s="913" t="s">
        <v>1</v>
      </c>
      <c r="CQP3424" s="31"/>
      <c r="CQQ3424" s="909" t="s">
        <v>0</v>
      </c>
      <c r="CQR3424" s="909"/>
      <c r="CQS3424" s="909"/>
      <c r="CQT3424" s="909"/>
      <c r="CQU3424" s="909"/>
      <c r="CQV3424" s="909"/>
      <c r="CQW3424" s="907" t="s">
        <v>79</v>
      </c>
      <c r="CQX3424" s="909" t="s">
        <v>68</v>
      </c>
      <c r="CQY3424" s="910" t="s">
        <v>75</v>
      </c>
      <c r="CQZ3424" s="911"/>
      <c r="CRA3424" s="911"/>
      <c r="CRB3424" s="911"/>
      <c r="CRC3424" s="911"/>
      <c r="CRD3424" s="911"/>
      <c r="CRE3424" s="911"/>
      <c r="CRF3424" s="911"/>
      <c r="CRG3424" s="911"/>
      <c r="CRH3424" s="911"/>
      <c r="CRI3424" s="32"/>
      <c r="CRJ3424" s="911" t="s">
        <v>74</v>
      </c>
      <c r="CRK3424" s="911"/>
      <c r="CRL3424" s="911"/>
      <c r="CRM3424" s="911"/>
      <c r="CRN3424" s="911"/>
      <c r="CRO3424" s="911"/>
      <c r="CRP3424" s="911"/>
      <c r="CRQ3424" s="911"/>
      <c r="CRR3424" s="911"/>
      <c r="CRS3424" s="912"/>
      <c r="CRU3424" s="913" t="s">
        <v>1</v>
      </c>
      <c r="CRV3424" s="31"/>
      <c r="CRW3424" s="909" t="s">
        <v>0</v>
      </c>
      <c r="CRX3424" s="909"/>
      <c r="CRY3424" s="909"/>
      <c r="CRZ3424" s="909"/>
      <c r="CSA3424" s="909"/>
      <c r="CSB3424" s="909"/>
      <c r="CSC3424" s="907" t="s">
        <v>79</v>
      </c>
      <c r="CSD3424" s="909" t="s">
        <v>68</v>
      </c>
      <c r="CSE3424" s="910" t="s">
        <v>75</v>
      </c>
      <c r="CSF3424" s="911"/>
      <c r="CSG3424" s="911"/>
      <c r="CSH3424" s="911"/>
      <c r="CSI3424" s="911"/>
      <c r="CSJ3424" s="911"/>
      <c r="CSK3424" s="911"/>
      <c r="CSL3424" s="911"/>
      <c r="CSM3424" s="911"/>
      <c r="CSN3424" s="911"/>
      <c r="CSO3424" s="32"/>
      <c r="CSP3424" s="911" t="s">
        <v>74</v>
      </c>
      <c r="CSQ3424" s="911"/>
      <c r="CSR3424" s="911"/>
      <c r="CSS3424" s="911"/>
      <c r="CST3424" s="911"/>
      <c r="CSU3424" s="911"/>
      <c r="CSV3424" s="911"/>
      <c r="CSW3424" s="911"/>
      <c r="CSX3424" s="911"/>
      <c r="CSY3424" s="912"/>
      <c r="CTA3424" s="913" t="s">
        <v>1</v>
      </c>
      <c r="CTB3424" s="31"/>
      <c r="CTC3424" s="909" t="s">
        <v>0</v>
      </c>
      <c r="CTD3424" s="909"/>
      <c r="CTE3424" s="909"/>
      <c r="CTF3424" s="909"/>
      <c r="CTG3424" s="909"/>
      <c r="CTH3424" s="909"/>
      <c r="CTI3424" s="907" t="s">
        <v>79</v>
      </c>
      <c r="CTJ3424" s="909" t="s">
        <v>68</v>
      </c>
      <c r="CTK3424" s="910" t="s">
        <v>75</v>
      </c>
      <c r="CTL3424" s="911"/>
      <c r="CTM3424" s="911"/>
      <c r="CTN3424" s="911"/>
      <c r="CTO3424" s="911"/>
      <c r="CTP3424" s="911"/>
      <c r="CTQ3424" s="911"/>
      <c r="CTR3424" s="911"/>
      <c r="CTS3424" s="911"/>
      <c r="CTT3424" s="911"/>
      <c r="CTU3424" s="32"/>
      <c r="CTV3424" s="911" t="s">
        <v>74</v>
      </c>
      <c r="CTW3424" s="911"/>
      <c r="CTX3424" s="911"/>
      <c r="CTY3424" s="911"/>
      <c r="CTZ3424" s="911"/>
      <c r="CUA3424" s="911"/>
      <c r="CUB3424" s="911"/>
      <c r="CUC3424" s="911"/>
      <c r="CUD3424" s="911"/>
      <c r="CUE3424" s="912"/>
      <c r="CUG3424" s="913" t="s">
        <v>1</v>
      </c>
      <c r="CUH3424" s="31"/>
      <c r="CUI3424" s="909" t="s">
        <v>0</v>
      </c>
      <c r="CUJ3424" s="909"/>
      <c r="CUK3424" s="909"/>
      <c r="CUL3424" s="909"/>
      <c r="CUM3424" s="909"/>
      <c r="CUN3424" s="909"/>
      <c r="CUO3424" s="907" t="s">
        <v>79</v>
      </c>
      <c r="CUP3424" s="909" t="s">
        <v>68</v>
      </c>
      <c r="CUQ3424" s="910" t="s">
        <v>75</v>
      </c>
      <c r="CUR3424" s="911"/>
      <c r="CUS3424" s="911"/>
      <c r="CUT3424" s="911"/>
      <c r="CUU3424" s="911"/>
      <c r="CUV3424" s="911"/>
      <c r="CUW3424" s="911"/>
      <c r="CUX3424" s="911"/>
      <c r="CUY3424" s="911"/>
      <c r="CUZ3424" s="911"/>
      <c r="CVA3424" s="32"/>
      <c r="CVB3424" s="911" t="s">
        <v>74</v>
      </c>
      <c r="CVC3424" s="911"/>
      <c r="CVD3424" s="911"/>
      <c r="CVE3424" s="911"/>
      <c r="CVF3424" s="911"/>
      <c r="CVG3424" s="911"/>
      <c r="CVH3424" s="911"/>
      <c r="CVI3424" s="911"/>
      <c r="CVJ3424" s="911"/>
      <c r="CVK3424" s="912"/>
      <c r="CVM3424" s="913" t="s">
        <v>1</v>
      </c>
      <c r="CVN3424" s="31"/>
      <c r="CVO3424" s="909" t="s">
        <v>0</v>
      </c>
      <c r="CVP3424" s="909"/>
      <c r="CVQ3424" s="909"/>
      <c r="CVR3424" s="909"/>
      <c r="CVS3424" s="909"/>
      <c r="CVT3424" s="909"/>
      <c r="CVU3424" s="907" t="s">
        <v>79</v>
      </c>
      <c r="CVV3424" s="909" t="s">
        <v>68</v>
      </c>
      <c r="CVW3424" s="910" t="s">
        <v>75</v>
      </c>
      <c r="CVX3424" s="911"/>
      <c r="CVY3424" s="911"/>
      <c r="CVZ3424" s="911"/>
      <c r="CWA3424" s="911"/>
      <c r="CWB3424" s="911"/>
      <c r="CWC3424" s="911"/>
      <c r="CWD3424" s="911"/>
      <c r="CWE3424" s="911"/>
      <c r="CWF3424" s="911"/>
      <c r="CWG3424" s="32"/>
      <c r="CWH3424" s="911" t="s">
        <v>74</v>
      </c>
      <c r="CWI3424" s="911"/>
      <c r="CWJ3424" s="911"/>
      <c r="CWK3424" s="911"/>
      <c r="CWL3424" s="911"/>
      <c r="CWM3424" s="911"/>
      <c r="CWN3424" s="911"/>
      <c r="CWO3424" s="911"/>
      <c r="CWP3424" s="911"/>
      <c r="CWQ3424" s="912"/>
      <c r="CWS3424" s="913" t="s">
        <v>1</v>
      </c>
      <c r="CWT3424" s="31"/>
      <c r="CWU3424" s="909" t="s">
        <v>0</v>
      </c>
      <c r="CWV3424" s="909"/>
      <c r="CWW3424" s="909"/>
      <c r="CWX3424" s="909"/>
      <c r="CWY3424" s="909"/>
      <c r="CWZ3424" s="909"/>
      <c r="CXA3424" s="907" t="s">
        <v>79</v>
      </c>
      <c r="CXB3424" s="909" t="s">
        <v>68</v>
      </c>
      <c r="CXC3424" s="910" t="s">
        <v>75</v>
      </c>
      <c r="CXD3424" s="911"/>
      <c r="CXE3424" s="911"/>
      <c r="CXF3424" s="911"/>
      <c r="CXG3424" s="911"/>
      <c r="CXH3424" s="911"/>
      <c r="CXI3424" s="911"/>
      <c r="CXJ3424" s="911"/>
      <c r="CXK3424" s="911"/>
      <c r="CXL3424" s="911"/>
      <c r="CXM3424" s="32"/>
      <c r="CXN3424" s="911" t="s">
        <v>74</v>
      </c>
      <c r="CXO3424" s="911"/>
      <c r="CXP3424" s="911"/>
      <c r="CXQ3424" s="911"/>
      <c r="CXR3424" s="911"/>
      <c r="CXS3424" s="911"/>
      <c r="CXT3424" s="911"/>
      <c r="CXU3424" s="911"/>
      <c r="CXV3424" s="911"/>
      <c r="CXW3424" s="912"/>
      <c r="CXY3424" s="913" t="s">
        <v>1</v>
      </c>
      <c r="CXZ3424" s="31"/>
      <c r="CYA3424" s="909" t="s">
        <v>0</v>
      </c>
      <c r="CYB3424" s="909"/>
      <c r="CYC3424" s="909"/>
      <c r="CYD3424" s="909"/>
      <c r="CYE3424" s="909"/>
      <c r="CYF3424" s="909"/>
      <c r="CYG3424" s="907" t="s">
        <v>79</v>
      </c>
      <c r="CYH3424" s="909" t="s">
        <v>68</v>
      </c>
      <c r="CYI3424" s="910" t="s">
        <v>75</v>
      </c>
      <c r="CYJ3424" s="911"/>
      <c r="CYK3424" s="911"/>
      <c r="CYL3424" s="911"/>
      <c r="CYM3424" s="911"/>
      <c r="CYN3424" s="911"/>
      <c r="CYO3424" s="911"/>
      <c r="CYP3424" s="911"/>
      <c r="CYQ3424" s="911"/>
      <c r="CYR3424" s="911"/>
      <c r="CYS3424" s="32"/>
      <c r="CYT3424" s="911" t="s">
        <v>74</v>
      </c>
      <c r="CYU3424" s="911"/>
      <c r="CYV3424" s="911"/>
      <c r="CYW3424" s="911"/>
      <c r="CYX3424" s="911"/>
      <c r="CYY3424" s="911"/>
      <c r="CYZ3424" s="911"/>
      <c r="CZA3424" s="911"/>
      <c r="CZB3424" s="911"/>
      <c r="CZC3424" s="912"/>
      <c r="CZE3424" s="913" t="s">
        <v>1</v>
      </c>
      <c r="CZF3424" s="31"/>
      <c r="CZG3424" s="909" t="s">
        <v>0</v>
      </c>
      <c r="CZH3424" s="909"/>
      <c r="CZI3424" s="909"/>
      <c r="CZJ3424" s="909"/>
      <c r="CZK3424" s="909"/>
      <c r="CZL3424" s="909"/>
      <c r="CZM3424" s="907" t="s">
        <v>79</v>
      </c>
      <c r="CZN3424" s="909" t="s">
        <v>68</v>
      </c>
      <c r="CZO3424" s="910" t="s">
        <v>75</v>
      </c>
      <c r="CZP3424" s="911"/>
      <c r="CZQ3424" s="911"/>
      <c r="CZR3424" s="911"/>
      <c r="CZS3424" s="911"/>
      <c r="CZT3424" s="911"/>
      <c r="CZU3424" s="911"/>
      <c r="CZV3424" s="911"/>
      <c r="CZW3424" s="911"/>
      <c r="CZX3424" s="911"/>
      <c r="CZY3424" s="32"/>
      <c r="CZZ3424" s="911" t="s">
        <v>74</v>
      </c>
      <c r="DAA3424" s="911"/>
      <c r="DAB3424" s="911"/>
      <c r="DAC3424" s="911"/>
      <c r="DAD3424" s="911"/>
      <c r="DAE3424" s="911"/>
      <c r="DAF3424" s="911"/>
      <c r="DAG3424" s="911"/>
      <c r="DAH3424" s="911"/>
      <c r="DAI3424" s="912"/>
      <c r="DAK3424" s="913" t="s">
        <v>1</v>
      </c>
      <c r="DAL3424" s="31"/>
      <c r="DAM3424" s="909" t="s">
        <v>0</v>
      </c>
      <c r="DAN3424" s="909"/>
      <c r="DAO3424" s="909"/>
      <c r="DAP3424" s="909"/>
      <c r="DAQ3424" s="909"/>
      <c r="DAR3424" s="909"/>
      <c r="DAS3424" s="907" t="s">
        <v>79</v>
      </c>
      <c r="DAT3424" s="909" t="s">
        <v>68</v>
      </c>
      <c r="DAU3424" s="910" t="s">
        <v>75</v>
      </c>
      <c r="DAV3424" s="911"/>
      <c r="DAW3424" s="911"/>
      <c r="DAX3424" s="911"/>
      <c r="DAY3424" s="911"/>
      <c r="DAZ3424" s="911"/>
      <c r="DBA3424" s="911"/>
      <c r="DBB3424" s="911"/>
      <c r="DBC3424" s="911"/>
      <c r="DBD3424" s="911"/>
      <c r="DBE3424" s="32"/>
      <c r="DBF3424" s="911" t="s">
        <v>74</v>
      </c>
      <c r="DBG3424" s="911"/>
      <c r="DBH3424" s="911"/>
      <c r="DBI3424" s="911"/>
      <c r="DBJ3424" s="911"/>
      <c r="DBK3424" s="911"/>
      <c r="DBL3424" s="911"/>
      <c r="DBM3424" s="911"/>
      <c r="DBN3424" s="911"/>
      <c r="DBO3424" s="912"/>
      <c r="DBQ3424" s="913" t="s">
        <v>1</v>
      </c>
      <c r="DBR3424" s="31"/>
      <c r="DBS3424" s="909" t="s">
        <v>0</v>
      </c>
      <c r="DBT3424" s="909"/>
      <c r="DBU3424" s="909"/>
      <c r="DBV3424" s="909"/>
      <c r="DBW3424" s="909"/>
      <c r="DBX3424" s="909"/>
      <c r="DBY3424" s="907" t="s">
        <v>79</v>
      </c>
      <c r="DBZ3424" s="909" t="s">
        <v>68</v>
      </c>
      <c r="DCA3424" s="910" t="s">
        <v>75</v>
      </c>
      <c r="DCB3424" s="911"/>
      <c r="DCC3424" s="911"/>
      <c r="DCD3424" s="911"/>
      <c r="DCE3424" s="911"/>
      <c r="DCF3424" s="911"/>
      <c r="DCG3424" s="911"/>
      <c r="DCH3424" s="911"/>
      <c r="DCI3424" s="911"/>
      <c r="DCJ3424" s="911"/>
      <c r="DCK3424" s="32"/>
      <c r="DCL3424" s="911" t="s">
        <v>74</v>
      </c>
      <c r="DCM3424" s="911"/>
      <c r="DCN3424" s="911"/>
      <c r="DCO3424" s="911"/>
      <c r="DCP3424" s="911"/>
      <c r="DCQ3424" s="911"/>
      <c r="DCR3424" s="911"/>
      <c r="DCS3424" s="911"/>
      <c r="DCT3424" s="911"/>
      <c r="DCU3424" s="912"/>
      <c r="DCW3424" s="913" t="s">
        <v>1</v>
      </c>
      <c r="DCX3424" s="31"/>
      <c r="DCY3424" s="909" t="s">
        <v>0</v>
      </c>
      <c r="DCZ3424" s="909"/>
      <c r="DDA3424" s="909"/>
      <c r="DDB3424" s="909"/>
      <c r="DDC3424" s="909"/>
      <c r="DDD3424" s="909"/>
      <c r="DDE3424" s="907" t="s">
        <v>79</v>
      </c>
      <c r="DDF3424" s="909" t="s">
        <v>68</v>
      </c>
      <c r="DDG3424" s="910" t="s">
        <v>75</v>
      </c>
      <c r="DDH3424" s="911"/>
      <c r="DDI3424" s="911"/>
      <c r="DDJ3424" s="911"/>
      <c r="DDK3424" s="911"/>
      <c r="DDL3424" s="911"/>
      <c r="DDM3424" s="911"/>
      <c r="DDN3424" s="911"/>
      <c r="DDO3424" s="911"/>
      <c r="DDP3424" s="911"/>
      <c r="DDQ3424" s="32"/>
      <c r="DDR3424" s="911" t="s">
        <v>74</v>
      </c>
      <c r="DDS3424" s="911"/>
      <c r="DDT3424" s="911"/>
      <c r="DDU3424" s="911"/>
      <c r="DDV3424" s="911"/>
      <c r="DDW3424" s="911"/>
      <c r="DDX3424" s="911"/>
      <c r="DDY3424" s="911"/>
      <c r="DDZ3424" s="911"/>
      <c r="DEA3424" s="912"/>
      <c r="DEC3424" s="913" t="s">
        <v>1</v>
      </c>
      <c r="DED3424" s="31"/>
      <c r="DEE3424" s="909" t="s">
        <v>0</v>
      </c>
      <c r="DEF3424" s="909"/>
      <c r="DEG3424" s="909"/>
      <c r="DEH3424" s="909"/>
      <c r="DEI3424" s="909"/>
      <c r="DEJ3424" s="909"/>
      <c r="DEK3424" s="907" t="s">
        <v>79</v>
      </c>
      <c r="DEL3424" s="909" t="s">
        <v>68</v>
      </c>
      <c r="DEM3424" s="910" t="s">
        <v>75</v>
      </c>
      <c r="DEN3424" s="911"/>
      <c r="DEO3424" s="911"/>
      <c r="DEP3424" s="911"/>
      <c r="DEQ3424" s="911"/>
      <c r="DER3424" s="911"/>
      <c r="DES3424" s="911"/>
      <c r="DET3424" s="911"/>
      <c r="DEU3424" s="911"/>
      <c r="DEV3424" s="911"/>
      <c r="DEW3424" s="32"/>
      <c r="DEX3424" s="911" t="s">
        <v>74</v>
      </c>
      <c r="DEY3424" s="911"/>
      <c r="DEZ3424" s="911"/>
      <c r="DFA3424" s="911"/>
      <c r="DFB3424" s="911"/>
      <c r="DFC3424" s="911"/>
      <c r="DFD3424" s="911"/>
      <c r="DFE3424" s="911"/>
      <c r="DFF3424" s="911"/>
      <c r="DFG3424" s="912"/>
      <c r="DFI3424" s="913" t="s">
        <v>1</v>
      </c>
      <c r="DFJ3424" s="31"/>
      <c r="DFK3424" s="909" t="s">
        <v>0</v>
      </c>
      <c r="DFL3424" s="909"/>
      <c r="DFM3424" s="909"/>
      <c r="DFN3424" s="909"/>
      <c r="DFO3424" s="909"/>
      <c r="DFP3424" s="909"/>
      <c r="DFQ3424" s="907" t="s">
        <v>79</v>
      </c>
      <c r="DFR3424" s="909" t="s">
        <v>68</v>
      </c>
      <c r="DFS3424" s="910" t="s">
        <v>75</v>
      </c>
      <c r="DFT3424" s="911"/>
      <c r="DFU3424" s="911"/>
      <c r="DFV3424" s="911"/>
      <c r="DFW3424" s="911"/>
      <c r="DFX3424" s="911"/>
      <c r="DFY3424" s="911"/>
      <c r="DFZ3424" s="911"/>
      <c r="DGA3424" s="911"/>
      <c r="DGB3424" s="911"/>
      <c r="DGC3424" s="32"/>
      <c r="DGD3424" s="911" t="s">
        <v>74</v>
      </c>
      <c r="DGE3424" s="911"/>
      <c r="DGF3424" s="911"/>
      <c r="DGG3424" s="911"/>
      <c r="DGH3424" s="911"/>
      <c r="DGI3424" s="911"/>
      <c r="DGJ3424" s="911"/>
      <c r="DGK3424" s="911"/>
      <c r="DGL3424" s="911"/>
      <c r="DGM3424" s="912"/>
      <c r="DGO3424" s="913" t="s">
        <v>1</v>
      </c>
      <c r="DGP3424" s="31"/>
      <c r="DGQ3424" s="909" t="s">
        <v>0</v>
      </c>
      <c r="DGR3424" s="909"/>
      <c r="DGS3424" s="909"/>
      <c r="DGT3424" s="909"/>
      <c r="DGU3424" s="909"/>
      <c r="DGV3424" s="909"/>
      <c r="DGW3424" s="907" t="s">
        <v>79</v>
      </c>
      <c r="DGX3424" s="909" t="s">
        <v>68</v>
      </c>
      <c r="DGY3424" s="910" t="s">
        <v>75</v>
      </c>
      <c r="DGZ3424" s="911"/>
      <c r="DHA3424" s="911"/>
      <c r="DHB3424" s="911"/>
      <c r="DHC3424" s="911"/>
      <c r="DHD3424" s="911"/>
      <c r="DHE3424" s="911"/>
      <c r="DHF3424" s="911"/>
      <c r="DHG3424" s="911"/>
      <c r="DHH3424" s="911"/>
      <c r="DHI3424" s="32"/>
      <c r="DHJ3424" s="911" t="s">
        <v>74</v>
      </c>
      <c r="DHK3424" s="911"/>
      <c r="DHL3424" s="911"/>
      <c r="DHM3424" s="911"/>
      <c r="DHN3424" s="911"/>
      <c r="DHO3424" s="911"/>
      <c r="DHP3424" s="911"/>
      <c r="DHQ3424" s="911"/>
      <c r="DHR3424" s="911"/>
      <c r="DHS3424" s="912"/>
      <c r="DHU3424" s="913" t="s">
        <v>1</v>
      </c>
      <c r="DHV3424" s="31"/>
      <c r="DHW3424" s="909" t="s">
        <v>0</v>
      </c>
      <c r="DHX3424" s="909"/>
      <c r="DHY3424" s="909"/>
      <c r="DHZ3424" s="909"/>
      <c r="DIA3424" s="909"/>
      <c r="DIB3424" s="909"/>
      <c r="DIC3424" s="907" t="s">
        <v>79</v>
      </c>
      <c r="DID3424" s="909" t="s">
        <v>68</v>
      </c>
      <c r="DIE3424" s="910" t="s">
        <v>75</v>
      </c>
      <c r="DIF3424" s="911"/>
      <c r="DIG3424" s="911"/>
      <c r="DIH3424" s="911"/>
      <c r="DII3424" s="911"/>
      <c r="DIJ3424" s="911"/>
      <c r="DIK3424" s="911"/>
      <c r="DIL3424" s="911"/>
      <c r="DIM3424" s="911"/>
      <c r="DIN3424" s="911"/>
      <c r="DIO3424" s="32"/>
      <c r="DIP3424" s="911" t="s">
        <v>74</v>
      </c>
      <c r="DIQ3424" s="911"/>
      <c r="DIR3424" s="911"/>
      <c r="DIS3424" s="911"/>
      <c r="DIT3424" s="911"/>
      <c r="DIU3424" s="911"/>
      <c r="DIV3424" s="911"/>
      <c r="DIW3424" s="911"/>
      <c r="DIX3424" s="911"/>
      <c r="DIY3424" s="912"/>
      <c r="DJA3424" s="913" t="s">
        <v>1</v>
      </c>
      <c r="DJB3424" s="31"/>
      <c r="DJC3424" s="909" t="s">
        <v>0</v>
      </c>
      <c r="DJD3424" s="909"/>
      <c r="DJE3424" s="909"/>
      <c r="DJF3424" s="909"/>
      <c r="DJG3424" s="909"/>
      <c r="DJH3424" s="909"/>
      <c r="DJI3424" s="907" t="s">
        <v>79</v>
      </c>
      <c r="DJJ3424" s="909" t="s">
        <v>68</v>
      </c>
      <c r="DJK3424" s="910" t="s">
        <v>75</v>
      </c>
      <c r="DJL3424" s="911"/>
      <c r="DJM3424" s="911"/>
      <c r="DJN3424" s="911"/>
      <c r="DJO3424" s="911"/>
      <c r="DJP3424" s="911"/>
      <c r="DJQ3424" s="911"/>
      <c r="DJR3424" s="911"/>
      <c r="DJS3424" s="911"/>
      <c r="DJT3424" s="911"/>
      <c r="DJU3424" s="32"/>
      <c r="DJV3424" s="911" t="s">
        <v>74</v>
      </c>
      <c r="DJW3424" s="911"/>
      <c r="DJX3424" s="911"/>
      <c r="DJY3424" s="911"/>
      <c r="DJZ3424" s="911"/>
      <c r="DKA3424" s="911"/>
      <c r="DKB3424" s="911"/>
      <c r="DKC3424" s="911"/>
      <c r="DKD3424" s="911"/>
      <c r="DKE3424" s="912"/>
      <c r="DKG3424" s="913" t="s">
        <v>1</v>
      </c>
      <c r="DKH3424" s="31"/>
      <c r="DKI3424" s="909" t="s">
        <v>0</v>
      </c>
      <c r="DKJ3424" s="909"/>
      <c r="DKK3424" s="909"/>
      <c r="DKL3424" s="909"/>
      <c r="DKM3424" s="909"/>
      <c r="DKN3424" s="909"/>
      <c r="DKO3424" s="907" t="s">
        <v>79</v>
      </c>
      <c r="DKP3424" s="909" t="s">
        <v>68</v>
      </c>
      <c r="DKQ3424" s="910" t="s">
        <v>75</v>
      </c>
      <c r="DKR3424" s="911"/>
      <c r="DKS3424" s="911"/>
      <c r="DKT3424" s="911"/>
      <c r="DKU3424" s="911"/>
      <c r="DKV3424" s="911"/>
      <c r="DKW3424" s="911"/>
      <c r="DKX3424" s="911"/>
      <c r="DKY3424" s="911"/>
      <c r="DKZ3424" s="911"/>
      <c r="DLA3424" s="32"/>
      <c r="DLB3424" s="911" t="s">
        <v>74</v>
      </c>
      <c r="DLC3424" s="911"/>
      <c r="DLD3424" s="911"/>
      <c r="DLE3424" s="911"/>
      <c r="DLF3424" s="911"/>
      <c r="DLG3424" s="911"/>
      <c r="DLH3424" s="911"/>
      <c r="DLI3424" s="911"/>
      <c r="DLJ3424" s="911"/>
      <c r="DLK3424" s="912"/>
      <c r="DLM3424" s="913" t="s">
        <v>1</v>
      </c>
      <c r="DLN3424" s="31"/>
      <c r="DLO3424" s="909" t="s">
        <v>0</v>
      </c>
      <c r="DLP3424" s="909"/>
      <c r="DLQ3424" s="909"/>
      <c r="DLR3424" s="909"/>
      <c r="DLS3424" s="909"/>
      <c r="DLT3424" s="909"/>
      <c r="DLU3424" s="907" t="s">
        <v>79</v>
      </c>
      <c r="DLV3424" s="909" t="s">
        <v>68</v>
      </c>
      <c r="DLW3424" s="910" t="s">
        <v>75</v>
      </c>
      <c r="DLX3424" s="911"/>
      <c r="DLY3424" s="911"/>
      <c r="DLZ3424" s="911"/>
      <c r="DMA3424" s="911"/>
      <c r="DMB3424" s="911"/>
      <c r="DMC3424" s="911"/>
      <c r="DMD3424" s="911"/>
      <c r="DME3424" s="911"/>
      <c r="DMF3424" s="911"/>
      <c r="DMG3424" s="32"/>
      <c r="DMH3424" s="911" t="s">
        <v>74</v>
      </c>
      <c r="DMI3424" s="911"/>
      <c r="DMJ3424" s="911"/>
      <c r="DMK3424" s="911"/>
      <c r="DML3424" s="911"/>
      <c r="DMM3424" s="911"/>
      <c r="DMN3424" s="911"/>
      <c r="DMO3424" s="911"/>
      <c r="DMP3424" s="911"/>
      <c r="DMQ3424" s="912"/>
      <c r="DMS3424" s="913" t="s">
        <v>1</v>
      </c>
      <c r="DMT3424" s="31"/>
      <c r="DMU3424" s="909" t="s">
        <v>0</v>
      </c>
      <c r="DMV3424" s="909"/>
      <c r="DMW3424" s="909"/>
      <c r="DMX3424" s="909"/>
      <c r="DMY3424" s="909"/>
      <c r="DMZ3424" s="909"/>
      <c r="DNA3424" s="907" t="s">
        <v>79</v>
      </c>
      <c r="DNB3424" s="909" t="s">
        <v>68</v>
      </c>
      <c r="DNC3424" s="910" t="s">
        <v>75</v>
      </c>
      <c r="DND3424" s="911"/>
      <c r="DNE3424" s="911"/>
      <c r="DNF3424" s="911"/>
      <c r="DNG3424" s="911"/>
      <c r="DNH3424" s="911"/>
      <c r="DNI3424" s="911"/>
      <c r="DNJ3424" s="911"/>
      <c r="DNK3424" s="911"/>
      <c r="DNL3424" s="911"/>
      <c r="DNM3424" s="32"/>
      <c r="DNN3424" s="911" t="s">
        <v>74</v>
      </c>
      <c r="DNO3424" s="911"/>
      <c r="DNP3424" s="911"/>
      <c r="DNQ3424" s="911"/>
      <c r="DNR3424" s="911"/>
      <c r="DNS3424" s="911"/>
      <c r="DNT3424" s="911"/>
      <c r="DNU3424" s="911"/>
      <c r="DNV3424" s="911"/>
      <c r="DNW3424" s="912"/>
      <c r="DNY3424" s="913" t="s">
        <v>1</v>
      </c>
      <c r="DNZ3424" s="31"/>
      <c r="DOA3424" s="909" t="s">
        <v>0</v>
      </c>
      <c r="DOB3424" s="909"/>
      <c r="DOC3424" s="909"/>
      <c r="DOD3424" s="909"/>
      <c r="DOE3424" s="909"/>
      <c r="DOF3424" s="909"/>
      <c r="DOG3424" s="907" t="s">
        <v>79</v>
      </c>
      <c r="DOH3424" s="909" t="s">
        <v>68</v>
      </c>
      <c r="DOI3424" s="910" t="s">
        <v>75</v>
      </c>
      <c r="DOJ3424" s="911"/>
      <c r="DOK3424" s="911"/>
      <c r="DOL3424" s="911"/>
      <c r="DOM3424" s="911"/>
      <c r="DON3424" s="911"/>
      <c r="DOO3424" s="911"/>
      <c r="DOP3424" s="911"/>
      <c r="DOQ3424" s="911"/>
      <c r="DOR3424" s="911"/>
      <c r="DOS3424" s="32"/>
      <c r="DOT3424" s="911" t="s">
        <v>74</v>
      </c>
      <c r="DOU3424" s="911"/>
      <c r="DOV3424" s="911"/>
      <c r="DOW3424" s="911"/>
      <c r="DOX3424" s="911"/>
      <c r="DOY3424" s="911"/>
      <c r="DOZ3424" s="911"/>
      <c r="DPA3424" s="911"/>
      <c r="DPB3424" s="911"/>
      <c r="DPC3424" s="912"/>
      <c r="DPE3424" s="913" t="s">
        <v>1</v>
      </c>
      <c r="DPF3424" s="31"/>
      <c r="DPG3424" s="909" t="s">
        <v>0</v>
      </c>
      <c r="DPH3424" s="909"/>
      <c r="DPI3424" s="909"/>
      <c r="DPJ3424" s="909"/>
      <c r="DPK3424" s="909"/>
      <c r="DPL3424" s="909"/>
      <c r="DPM3424" s="907" t="s">
        <v>79</v>
      </c>
      <c r="DPN3424" s="909" t="s">
        <v>68</v>
      </c>
      <c r="DPO3424" s="910" t="s">
        <v>75</v>
      </c>
      <c r="DPP3424" s="911"/>
      <c r="DPQ3424" s="911"/>
      <c r="DPR3424" s="911"/>
      <c r="DPS3424" s="911"/>
      <c r="DPT3424" s="911"/>
      <c r="DPU3424" s="911"/>
      <c r="DPV3424" s="911"/>
      <c r="DPW3424" s="911"/>
      <c r="DPX3424" s="911"/>
      <c r="DPY3424" s="32"/>
      <c r="DPZ3424" s="911" t="s">
        <v>74</v>
      </c>
      <c r="DQA3424" s="911"/>
      <c r="DQB3424" s="911"/>
      <c r="DQC3424" s="911"/>
      <c r="DQD3424" s="911"/>
      <c r="DQE3424" s="911"/>
      <c r="DQF3424" s="911"/>
      <c r="DQG3424" s="911"/>
      <c r="DQH3424" s="911"/>
      <c r="DQI3424" s="912"/>
      <c r="DQK3424" s="913" t="s">
        <v>1</v>
      </c>
      <c r="DQL3424" s="31"/>
      <c r="DQM3424" s="909" t="s">
        <v>0</v>
      </c>
      <c r="DQN3424" s="909"/>
      <c r="DQO3424" s="909"/>
      <c r="DQP3424" s="909"/>
      <c r="DQQ3424" s="909"/>
      <c r="DQR3424" s="909"/>
      <c r="DQS3424" s="907" t="s">
        <v>79</v>
      </c>
      <c r="DQT3424" s="909" t="s">
        <v>68</v>
      </c>
      <c r="DQU3424" s="910" t="s">
        <v>75</v>
      </c>
      <c r="DQV3424" s="911"/>
      <c r="DQW3424" s="911"/>
      <c r="DQX3424" s="911"/>
      <c r="DQY3424" s="911"/>
      <c r="DQZ3424" s="911"/>
      <c r="DRA3424" s="911"/>
      <c r="DRB3424" s="911"/>
      <c r="DRC3424" s="911"/>
      <c r="DRD3424" s="911"/>
      <c r="DRE3424" s="32"/>
      <c r="DRF3424" s="911" t="s">
        <v>74</v>
      </c>
      <c r="DRG3424" s="911"/>
      <c r="DRH3424" s="911"/>
      <c r="DRI3424" s="911"/>
      <c r="DRJ3424" s="911"/>
      <c r="DRK3424" s="911"/>
      <c r="DRL3424" s="911"/>
      <c r="DRM3424" s="911"/>
      <c r="DRN3424" s="911"/>
      <c r="DRO3424" s="912"/>
      <c r="DRQ3424" s="913" t="s">
        <v>1</v>
      </c>
      <c r="DRR3424" s="31"/>
      <c r="DRS3424" s="909" t="s">
        <v>0</v>
      </c>
      <c r="DRT3424" s="909"/>
      <c r="DRU3424" s="909"/>
      <c r="DRV3424" s="909"/>
      <c r="DRW3424" s="909"/>
      <c r="DRX3424" s="909"/>
      <c r="DRY3424" s="907" t="s">
        <v>79</v>
      </c>
      <c r="DRZ3424" s="909" t="s">
        <v>68</v>
      </c>
      <c r="DSA3424" s="910" t="s">
        <v>75</v>
      </c>
      <c r="DSB3424" s="911"/>
      <c r="DSC3424" s="911"/>
      <c r="DSD3424" s="911"/>
      <c r="DSE3424" s="911"/>
      <c r="DSF3424" s="911"/>
      <c r="DSG3424" s="911"/>
      <c r="DSH3424" s="911"/>
      <c r="DSI3424" s="911"/>
      <c r="DSJ3424" s="911"/>
      <c r="DSK3424" s="32"/>
      <c r="DSL3424" s="911" t="s">
        <v>74</v>
      </c>
      <c r="DSM3424" s="911"/>
      <c r="DSN3424" s="911"/>
      <c r="DSO3424" s="911"/>
      <c r="DSP3424" s="911"/>
      <c r="DSQ3424" s="911"/>
      <c r="DSR3424" s="911"/>
      <c r="DSS3424" s="911"/>
      <c r="DST3424" s="911"/>
      <c r="DSU3424" s="912"/>
      <c r="DSW3424" s="913" t="s">
        <v>1</v>
      </c>
      <c r="DSX3424" s="31"/>
      <c r="DSY3424" s="909" t="s">
        <v>0</v>
      </c>
      <c r="DSZ3424" s="909"/>
      <c r="DTA3424" s="909"/>
      <c r="DTB3424" s="909"/>
      <c r="DTC3424" s="909"/>
      <c r="DTD3424" s="909"/>
      <c r="DTE3424" s="907" t="s">
        <v>79</v>
      </c>
      <c r="DTF3424" s="909" t="s">
        <v>68</v>
      </c>
      <c r="DTG3424" s="910" t="s">
        <v>75</v>
      </c>
      <c r="DTH3424" s="911"/>
      <c r="DTI3424" s="911"/>
      <c r="DTJ3424" s="911"/>
      <c r="DTK3424" s="911"/>
      <c r="DTL3424" s="911"/>
      <c r="DTM3424" s="911"/>
      <c r="DTN3424" s="911"/>
      <c r="DTO3424" s="911"/>
      <c r="DTP3424" s="911"/>
      <c r="DTQ3424" s="32"/>
      <c r="DTR3424" s="911" t="s">
        <v>74</v>
      </c>
      <c r="DTS3424" s="911"/>
      <c r="DTT3424" s="911"/>
      <c r="DTU3424" s="911"/>
      <c r="DTV3424" s="911"/>
      <c r="DTW3424" s="911"/>
      <c r="DTX3424" s="911"/>
      <c r="DTY3424" s="911"/>
      <c r="DTZ3424" s="911"/>
      <c r="DUA3424" s="912"/>
      <c r="DUC3424" s="913" t="s">
        <v>1</v>
      </c>
      <c r="DUD3424" s="31"/>
      <c r="DUE3424" s="909" t="s">
        <v>0</v>
      </c>
      <c r="DUF3424" s="909"/>
      <c r="DUG3424" s="909"/>
      <c r="DUH3424" s="909"/>
      <c r="DUI3424" s="909"/>
      <c r="DUJ3424" s="909"/>
      <c r="DUK3424" s="907" t="s">
        <v>79</v>
      </c>
      <c r="DUL3424" s="909" t="s">
        <v>68</v>
      </c>
      <c r="DUM3424" s="910" t="s">
        <v>75</v>
      </c>
      <c r="DUN3424" s="911"/>
      <c r="DUO3424" s="911"/>
      <c r="DUP3424" s="911"/>
      <c r="DUQ3424" s="911"/>
      <c r="DUR3424" s="911"/>
      <c r="DUS3424" s="911"/>
      <c r="DUT3424" s="911"/>
      <c r="DUU3424" s="911"/>
      <c r="DUV3424" s="911"/>
      <c r="DUW3424" s="32"/>
      <c r="DUX3424" s="911" t="s">
        <v>74</v>
      </c>
      <c r="DUY3424" s="911"/>
      <c r="DUZ3424" s="911"/>
      <c r="DVA3424" s="911"/>
      <c r="DVB3424" s="911"/>
      <c r="DVC3424" s="911"/>
      <c r="DVD3424" s="911"/>
      <c r="DVE3424" s="911"/>
      <c r="DVF3424" s="911"/>
      <c r="DVG3424" s="912"/>
      <c r="DVI3424" s="913" t="s">
        <v>1</v>
      </c>
      <c r="DVJ3424" s="31"/>
      <c r="DVK3424" s="909" t="s">
        <v>0</v>
      </c>
      <c r="DVL3424" s="909"/>
      <c r="DVM3424" s="909"/>
      <c r="DVN3424" s="909"/>
      <c r="DVO3424" s="909"/>
      <c r="DVP3424" s="909"/>
      <c r="DVQ3424" s="907" t="s">
        <v>79</v>
      </c>
      <c r="DVR3424" s="909" t="s">
        <v>68</v>
      </c>
      <c r="DVS3424" s="910" t="s">
        <v>75</v>
      </c>
      <c r="DVT3424" s="911"/>
      <c r="DVU3424" s="911"/>
      <c r="DVV3424" s="911"/>
      <c r="DVW3424" s="911"/>
      <c r="DVX3424" s="911"/>
      <c r="DVY3424" s="911"/>
      <c r="DVZ3424" s="911"/>
      <c r="DWA3424" s="911"/>
      <c r="DWB3424" s="911"/>
      <c r="DWC3424" s="32"/>
      <c r="DWD3424" s="911" t="s">
        <v>74</v>
      </c>
      <c r="DWE3424" s="911"/>
      <c r="DWF3424" s="911"/>
      <c r="DWG3424" s="911"/>
      <c r="DWH3424" s="911"/>
      <c r="DWI3424" s="911"/>
      <c r="DWJ3424" s="911"/>
      <c r="DWK3424" s="911"/>
      <c r="DWL3424" s="911"/>
      <c r="DWM3424" s="912"/>
      <c r="DWO3424" s="913" t="s">
        <v>1</v>
      </c>
      <c r="DWP3424" s="31"/>
      <c r="DWQ3424" s="909" t="s">
        <v>0</v>
      </c>
      <c r="DWR3424" s="909"/>
      <c r="DWS3424" s="909"/>
      <c r="DWT3424" s="909"/>
      <c r="DWU3424" s="909"/>
      <c r="DWV3424" s="909"/>
      <c r="DWW3424" s="907" t="s">
        <v>79</v>
      </c>
      <c r="DWX3424" s="909" t="s">
        <v>68</v>
      </c>
      <c r="DWY3424" s="910" t="s">
        <v>75</v>
      </c>
      <c r="DWZ3424" s="911"/>
      <c r="DXA3424" s="911"/>
      <c r="DXB3424" s="911"/>
      <c r="DXC3424" s="911"/>
      <c r="DXD3424" s="911"/>
      <c r="DXE3424" s="911"/>
      <c r="DXF3424" s="911"/>
      <c r="DXG3424" s="911"/>
      <c r="DXH3424" s="911"/>
      <c r="DXI3424" s="32"/>
      <c r="DXJ3424" s="911" t="s">
        <v>74</v>
      </c>
      <c r="DXK3424" s="911"/>
      <c r="DXL3424" s="911"/>
      <c r="DXM3424" s="911"/>
      <c r="DXN3424" s="911"/>
      <c r="DXO3424" s="911"/>
      <c r="DXP3424" s="911"/>
      <c r="DXQ3424" s="911"/>
      <c r="DXR3424" s="911"/>
      <c r="DXS3424" s="912"/>
      <c r="DXU3424" s="913" t="s">
        <v>1</v>
      </c>
      <c r="DXV3424" s="31"/>
      <c r="DXW3424" s="909" t="s">
        <v>0</v>
      </c>
      <c r="DXX3424" s="909"/>
      <c r="DXY3424" s="909"/>
      <c r="DXZ3424" s="909"/>
      <c r="DYA3424" s="909"/>
      <c r="DYB3424" s="909"/>
      <c r="DYC3424" s="907" t="s">
        <v>79</v>
      </c>
      <c r="DYD3424" s="909" t="s">
        <v>68</v>
      </c>
      <c r="DYE3424" s="910" t="s">
        <v>75</v>
      </c>
      <c r="DYF3424" s="911"/>
      <c r="DYG3424" s="911"/>
      <c r="DYH3424" s="911"/>
      <c r="DYI3424" s="911"/>
      <c r="DYJ3424" s="911"/>
      <c r="DYK3424" s="911"/>
      <c r="DYL3424" s="911"/>
      <c r="DYM3424" s="911"/>
      <c r="DYN3424" s="911"/>
      <c r="DYO3424" s="32"/>
      <c r="DYP3424" s="911" t="s">
        <v>74</v>
      </c>
      <c r="DYQ3424" s="911"/>
      <c r="DYR3424" s="911"/>
      <c r="DYS3424" s="911"/>
      <c r="DYT3424" s="911"/>
      <c r="DYU3424" s="911"/>
      <c r="DYV3424" s="911"/>
      <c r="DYW3424" s="911"/>
      <c r="DYX3424" s="911"/>
      <c r="DYY3424" s="912"/>
      <c r="DZA3424" s="913" t="s">
        <v>1</v>
      </c>
      <c r="DZB3424" s="31"/>
      <c r="DZC3424" s="909" t="s">
        <v>0</v>
      </c>
      <c r="DZD3424" s="909"/>
      <c r="DZE3424" s="909"/>
      <c r="DZF3424" s="909"/>
      <c r="DZG3424" s="909"/>
      <c r="DZH3424" s="909"/>
      <c r="DZI3424" s="907" t="s">
        <v>79</v>
      </c>
      <c r="DZJ3424" s="909" t="s">
        <v>68</v>
      </c>
      <c r="DZK3424" s="910" t="s">
        <v>75</v>
      </c>
      <c r="DZL3424" s="911"/>
      <c r="DZM3424" s="911"/>
      <c r="DZN3424" s="911"/>
      <c r="DZO3424" s="911"/>
      <c r="DZP3424" s="911"/>
      <c r="DZQ3424" s="911"/>
      <c r="DZR3424" s="911"/>
      <c r="DZS3424" s="911"/>
      <c r="DZT3424" s="911"/>
      <c r="DZU3424" s="32"/>
      <c r="DZV3424" s="911" t="s">
        <v>74</v>
      </c>
      <c r="DZW3424" s="911"/>
      <c r="DZX3424" s="911"/>
      <c r="DZY3424" s="911"/>
      <c r="DZZ3424" s="911"/>
      <c r="EAA3424" s="911"/>
      <c r="EAB3424" s="911"/>
      <c r="EAC3424" s="911"/>
      <c r="EAD3424" s="911"/>
      <c r="EAE3424" s="912"/>
      <c r="EAG3424" s="913" t="s">
        <v>1</v>
      </c>
      <c r="EAH3424" s="31"/>
      <c r="EAI3424" s="909" t="s">
        <v>0</v>
      </c>
      <c r="EAJ3424" s="909"/>
      <c r="EAK3424" s="909"/>
      <c r="EAL3424" s="909"/>
      <c r="EAM3424" s="909"/>
      <c r="EAN3424" s="909"/>
      <c r="EAO3424" s="907" t="s">
        <v>79</v>
      </c>
      <c r="EAP3424" s="909" t="s">
        <v>68</v>
      </c>
      <c r="EAQ3424" s="910" t="s">
        <v>75</v>
      </c>
      <c r="EAR3424" s="911"/>
      <c r="EAS3424" s="911"/>
      <c r="EAT3424" s="911"/>
      <c r="EAU3424" s="911"/>
      <c r="EAV3424" s="911"/>
      <c r="EAW3424" s="911"/>
      <c r="EAX3424" s="911"/>
      <c r="EAY3424" s="911"/>
      <c r="EAZ3424" s="911"/>
      <c r="EBA3424" s="32"/>
      <c r="EBB3424" s="911" t="s">
        <v>74</v>
      </c>
      <c r="EBC3424" s="911"/>
      <c r="EBD3424" s="911"/>
      <c r="EBE3424" s="911"/>
      <c r="EBF3424" s="911"/>
      <c r="EBG3424" s="911"/>
      <c r="EBH3424" s="911"/>
      <c r="EBI3424" s="911"/>
      <c r="EBJ3424" s="911"/>
      <c r="EBK3424" s="912"/>
      <c r="EBM3424" s="913" t="s">
        <v>1</v>
      </c>
      <c r="EBN3424" s="31"/>
      <c r="EBO3424" s="909" t="s">
        <v>0</v>
      </c>
      <c r="EBP3424" s="909"/>
      <c r="EBQ3424" s="909"/>
      <c r="EBR3424" s="909"/>
      <c r="EBS3424" s="909"/>
      <c r="EBT3424" s="909"/>
      <c r="EBU3424" s="907" t="s">
        <v>79</v>
      </c>
      <c r="EBV3424" s="909" t="s">
        <v>68</v>
      </c>
      <c r="EBW3424" s="910" t="s">
        <v>75</v>
      </c>
      <c r="EBX3424" s="911"/>
      <c r="EBY3424" s="911"/>
      <c r="EBZ3424" s="911"/>
      <c r="ECA3424" s="911"/>
      <c r="ECB3424" s="911"/>
      <c r="ECC3424" s="911"/>
      <c r="ECD3424" s="911"/>
      <c r="ECE3424" s="911"/>
      <c r="ECF3424" s="911"/>
      <c r="ECG3424" s="32"/>
      <c r="ECH3424" s="911" t="s">
        <v>74</v>
      </c>
      <c r="ECI3424" s="911"/>
      <c r="ECJ3424" s="911"/>
      <c r="ECK3424" s="911"/>
      <c r="ECL3424" s="911"/>
      <c r="ECM3424" s="911"/>
      <c r="ECN3424" s="911"/>
      <c r="ECO3424" s="911"/>
      <c r="ECP3424" s="911"/>
      <c r="ECQ3424" s="912"/>
      <c r="ECS3424" s="913" t="s">
        <v>1</v>
      </c>
      <c r="ECT3424" s="31"/>
      <c r="ECU3424" s="909" t="s">
        <v>0</v>
      </c>
      <c r="ECV3424" s="909"/>
      <c r="ECW3424" s="909"/>
      <c r="ECX3424" s="909"/>
      <c r="ECY3424" s="909"/>
      <c r="ECZ3424" s="909"/>
      <c r="EDA3424" s="907" t="s">
        <v>79</v>
      </c>
      <c r="EDB3424" s="909" t="s">
        <v>68</v>
      </c>
      <c r="EDC3424" s="910" t="s">
        <v>75</v>
      </c>
      <c r="EDD3424" s="911"/>
      <c r="EDE3424" s="911"/>
      <c r="EDF3424" s="911"/>
      <c r="EDG3424" s="911"/>
      <c r="EDH3424" s="911"/>
      <c r="EDI3424" s="911"/>
      <c r="EDJ3424" s="911"/>
      <c r="EDK3424" s="911"/>
      <c r="EDL3424" s="911"/>
      <c r="EDM3424" s="32"/>
      <c r="EDN3424" s="911" t="s">
        <v>74</v>
      </c>
      <c r="EDO3424" s="911"/>
      <c r="EDP3424" s="911"/>
      <c r="EDQ3424" s="911"/>
      <c r="EDR3424" s="911"/>
      <c r="EDS3424" s="911"/>
      <c r="EDT3424" s="911"/>
      <c r="EDU3424" s="911"/>
      <c r="EDV3424" s="911"/>
      <c r="EDW3424" s="912"/>
      <c r="EDY3424" s="913" t="s">
        <v>1</v>
      </c>
      <c r="EDZ3424" s="31"/>
      <c r="EEA3424" s="909" t="s">
        <v>0</v>
      </c>
      <c r="EEB3424" s="909"/>
      <c r="EEC3424" s="909"/>
      <c r="EED3424" s="909"/>
      <c r="EEE3424" s="909"/>
      <c r="EEF3424" s="909"/>
      <c r="EEG3424" s="907" t="s">
        <v>79</v>
      </c>
      <c r="EEH3424" s="909" t="s">
        <v>68</v>
      </c>
      <c r="EEI3424" s="910" t="s">
        <v>75</v>
      </c>
      <c r="EEJ3424" s="911"/>
      <c r="EEK3424" s="911"/>
      <c r="EEL3424" s="911"/>
      <c r="EEM3424" s="911"/>
      <c r="EEN3424" s="911"/>
      <c r="EEO3424" s="911"/>
      <c r="EEP3424" s="911"/>
      <c r="EEQ3424" s="911"/>
      <c r="EER3424" s="911"/>
      <c r="EES3424" s="32"/>
      <c r="EET3424" s="911" t="s">
        <v>74</v>
      </c>
      <c r="EEU3424" s="911"/>
      <c r="EEV3424" s="911"/>
      <c r="EEW3424" s="911"/>
      <c r="EEX3424" s="911"/>
      <c r="EEY3424" s="911"/>
      <c r="EEZ3424" s="911"/>
      <c r="EFA3424" s="911"/>
      <c r="EFB3424" s="911"/>
      <c r="EFC3424" s="912"/>
      <c r="EFE3424" s="913" t="s">
        <v>1</v>
      </c>
      <c r="EFF3424" s="31"/>
      <c r="EFG3424" s="909" t="s">
        <v>0</v>
      </c>
      <c r="EFH3424" s="909"/>
      <c r="EFI3424" s="909"/>
      <c r="EFJ3424" s="909"/>
      <c r="EFK3424" s="909"/>
      <c r="EFL3424" s="909"/>
      <c r="EFM3424" s="907" t="s">
        <v>79</v>
      </c>
      <c r="EFN3424" s="909" t="s">
        <v>68</v>
      </c>
      <c r="EFO3424" s="910" t="s">
        <v>75</v>
      </c>
      <c r="EFP3424" s="911"/>
      <c r="EFQ3424" s="911"/>
      <c r="EFR3424" s="911"/>
      <c r="EFS3424" s="911"/>
      <c r="EFT3424" s="911"/>
      <c r="EFU3424" s="911"/>
      <c r="EFV3424" s="911"/>
      <c r="EFW3424" s="911"/>
      <c r="EFX3424" s="911"/>
      <c r="EFY3424" s="32"/>
      <c r="EFZ3424" s="911" t="s">
        <v>74</v>
      </c>
      <c r="EGA3424" s="911"/>
      <c r="EGB3424" s="911"/>
      <c r="EGC3424" s="911"/>
      <c r="EGD3424" s="911"/>
      <c r="EGE3424" s="911"/>
      <c r="EGF3424" s="911"/>
      <c r="EGG3424" s="911"/>
      <c r="EGH3424" s="911"/>
      <c r="EGI3424" s="912"/>
      <c r="EGK3424" s="913" t="s">
        <v>1</v>
      </c>
      <c r="EGL3424" s="31"/>
      <c r="EGM3424" s="909" t="s">
        <v>0</v>
      </c>
      <c r="EGN3424" s="909"/>
      <c r="EGO3424" s="909"/>
      <c r="EGP3424" s="909"/>
      <c r="EGQ3424" s="909"/>
      <c r="EGR3424" s="909"/>
      <c r="EGS3424" s="907" t="s">
        <v>79</v>
      </c>
      <c r="EGT3424" s="909" t="s">
        <v>68</v>
      </c>
      <c r="EGU3424" s="910" t="s">
        <v>75</v>
      </c>
      <c r="EGV3424" s="911"/>
      <c r="EGW3424" s="911"/>
      <c r="EGX3424" s="911"/>
      <c r="EGY3424" s="911"/>
      <c r="EGZ3424" s="911"/>
      <c r="EHA3424" s="911"/>
      <c r="EHB3424" s="911"/>
      <c r="EHC3424" s="911"/>
      <c r="EHD3424" s="911"/>
      <c r="EHE3424" s="32"/>
      <c r="EHF3424" s="911" t="s">
        <v>74</v>
      </c>
      <c r="EHG3424" s="911"/>
      <c r="EHH3424" s="911"/>
      <c r="EHI3424" s="911"/>
      <c r="EHJ3424" s="911"/>
      <c r="EHK3424" s="911"/>
      <c r="EHL3424" s="911"/>
      <c r="EHM3424" s="911"/>
      <c r="EHN3424" s="911"/>
      <c r="EHO3424" s="912"/>
      <c r="EHQ3424" s="913" t="s">
        <v>1</v>
      </c>
      <c r="EHR3424" s="31"/>
      <c r="EHS3424" s="909" t="s">
        <v>0</v>
      </c>
      <c r="EHT3424" s="909"/>
      <c r="EHU3424" s="909"/>
      <c r="EHV3424" s="909"/>
      <c r="EHW3424" s="909"/>
      <c r="EHX3424" s="909"/>
      <c r="EHY3424" s="907" t="s">
        <v>79</v>
      </c>
      <c r="EHZ3424" s="909" t="s">
        <v>68</v>
      </c>
      <c r="EIA3424" s="910" t="s">
        <v>75</v>
      </c>
      <c r="EIB3424" s="911"/>
      <c r="EIC3424" s="911"/>
      <c r="EID3424" s="911"/>
      <c r="EIE3424" s="911"/>
      <c r="EIF3424" s="911"/>
      <c r="EIG3424" s="911"/>
      <c r="EIH3424" s="911"/>
      <c r="EII3424" s="911"/>
      <c r="EIJ3424" s="911"/>
      <c r="EIK3424" s="32"/>
      <c r="EIL3424" s="911" t="s">
        <v>74</v>
      </c>
      <c r="EIM3424" s="911"/>
      <c r="EIN3424" s="911"/>
      <c r="EIO3424" s="911"/>
      <c r="EIP3424" s="911"/>
      <c r="EIQ3424" s="911"/>
      <c r="EIR3424" s="911"/>
      <c r="EIS3424" s="911"/>
      <c r="EIT3424" s="911"/>
      <c r="EIU3424" s="912"/>
      <c r="EIW3424" s="913" t="s">
        <v>1</v>
      </c>
      <c r="EIX3424" s="31"/>
      <c r="EIY3424" s="909" t="s">
        <v>0</v>
      </c>
      <c r="EIZ3424" s="909"/>
      <c r="EJA3424" s="909"/>
      <c r="EJB3424" s="909"/>
      <c r="EJC3424" s="909"/>
      <c r="EJD3424" s="909"/>
      <c r="EJE3424" s="907" t="s">
        <v>79</v>
      </c>
      <c r="EJF3424" s="909" t="s">
        <v>68</v>
      </c>
      <c r="EJG3424" s="910" t="s">
        <v>75</v>
      </c>
      <c r="EJH3424" s="911"/>
      <c r="EJI3424" s="911"/>
      <c r="EJJ3424" s="911"/>
      <c r="EJK3424" s="911"/>
      <c r="EJL3424" s="911"/>
      <c r="EJM3424" s="911"/>
      <c r="EJN3424" s="911"/>
      <c r="EJO3424" s="911"/>
      <c r="EJP3424" s="911"/>
      <c r="EJQ3424" s="32"/>
      <c r="EJR3424" s="911" t="s">
        <v>74</v>
      </c>
      <c r="EJS3424" s="911"/>
      <c r="EJT3424" s="911"/>
      <c r="EJU3424" s="911"/>
      <c r="EJV3424" s="911"/>
      <c r="EJW3424" s="911"/>
      <c r="EJX3424" s="911"/>
      <c r="EJY3424" s="911"/>
      <c r="EJZ3424" s="911"/>
      <c r="EKA3424" s="912"/>
      <c r="EKC3424" s="913" t="s">
        <v>1</v>
      </c>
      <c r="EKD3424" s="31"/>
      <c r="EKE3424" s="909" t="s">
        <v>0</v>
      </c>
      <c r="EKF3424" s="909"/>
      <c r="EKG3424" s="909"/>
      <c r="EKH3424" s="909"/>
      <c r="EKI3424" s="909"/>
      <c r="EKJ3424" s="909"/>
      <c r="EKK3424" s="907" t="s">
        <v>79</v>
      </c>
      <c r="EKL3424" s="909" t="s">
        <v>68</v>
      </c>
      <c r="EKM3424" s="910" t="s">
        <v>75</v>
      </c>
      <c r="EKN3424" s="911"/>
      <c r="EKO3424" s="911"/>
      <c r="EKP3424" s="911"/>
      <c r="EKQ3424" s="911"/>
      <c r="EKR3424" s="911"/>
      <c r="EKS3424" s="911"/>
      <c r="EKT3424" s="911"/>
      <c r="EKU3424" s="911"/>
      <c r="EKV3424" s="911"/>
      <c r="EKW3424" s="32"/>
      <c r="EKX3424" s="911" t="s">
        <v>74</v>
      </c>
      <c r="EKY3424" s="911"/>
      <c r="EKZ3424" s="911"/>
      <c r="ELA3424" s="911"/>
      <c r="ELB3424" s="911"/>
      <c r="ELC3424" s="911"/>
      <c r="ELD3424" s="911"/>
      <c r="ELE3424" s="911"/>
      <c r="ELF3424" s="911"/>
      <c r="ELG3424" s="912"/>
      <c r="ELI3424" s="913" t="s">
        <v>1</v>
      </c>
      <c r="ELJ3424" s="31"/>
      <c r="ELK3424" s="909" t="s">
        <v>0</v>
      </c>
      <c r="ELL3424" s="909"/>
      <c r="ELM3424" s="909"/>
      <c r="ELN3424" s="909"/>
      <c r="ELO3424" s="909"/>
      <c r="ELP3424" s="909"/>
      <c r="ELQ3424" s="907" t="s">
        <v>79</v>
      </c>
      <c r="ELR3424" s="909" t="s">
        <v>68</v>
      </c>
      <c r="ELS3424" s="910" t="s">
        <v>75</v>
      </c>
      <c r="ELT3424" s="911"/>
      <c r="ELU3424" s="911"/>
      <c r="ELV3424" s="911"/>
      <c r="ELW3424" s="911"/>
      <c r="ELX3424" s="911"/>
      <c r="ELY3424" s="911"/>
      <c r="ELZ3424" s="911"/>
      <c r="EMA3424" s="911"/>
      <c r="EMB3424" s="911"/>
      <c r="EMC3424" s="32"/>
      <c r="EMD3424" s="911" t="s">
        <v>74</v>
      </c>
      <c r="EME3424" s="911"/>
      <c r="EMF3424" s="911"/>
      <c r="EMG3424" s="911"/>
      <c r="EMH3424" s="911"/>
      <c r="EMI3424" s="911"/>
      <c r="EMJ3424" s="911"/>
      <c r="EMK3424" s="911"/>
      <c r="EML3424" s="911"/>
      <c r="EMM3424" s="912"/>
      <c r="EMO3424" s="913" t="s">
        <v>1</v>
      </c>
      <c r="EMP3424" s="31"/>
      <c r="EMQ3424" s="909" t="s">
        <v>0</v>
      </c>
      <c r="EMR3424" s="909"/>
      <c r="EMS3424" s="909"/>
      <c r="EMT3424" s="909"/>
      <c r="EMU3424" s="909"/>
      <c r="EMV3424" s="909"/>
      <c r="EMW3424" s="907" t="s">
        <v>79</v>
      </c>
      <c r="EMX3424" s="909" t="s">
        <v>68</v>
      </c>
      <c r="EMY3424" s="910" t="s">
        <v>75</v>
      </c>
      <c r="EMZ3424" s="911"/>
      <c r="ENA3424" s="911"/>
      <c r="ENB3424" s="911"/>
      <c r="ENC3424" s="911"/>
      <c r="END3424" s="911"/>
      <c r="ENE3424" s="911"/>
      <c r="ENF3424" s="911"/>
      <c r="ENG3424" s="911"/>
      <c r="ENH3424" s="911"/>
      <c r="ENI3424" s="32"/>
      <c r="ENJ3424" s="911" t="s">
        <v>74</v>
      </c>
      <c r="ENK3424" s="911"/>
      <c r="ENL3424" s="911"/>
      <c r="ENM3424" s="911"/>
      <c r="ENN3424" s="911"/>
      <c r="ENO3424" s="911"/>
      <c r="ENP3424" s="911"/>
      <c r="ENQ3424" s="911"/>
      <c r="ENR3424" s="911"/>
      <c r="ENS3424" s="912"/>
      <c r="ENU3424" s="913" t="s">
        <v>1</v>
      </c>
      <c r="ENV3424" s="31"/>
      <c r="ENW3424" s="909" t="s">
        <v>0</v>
      </c>
      <c r="ENX3424" s="909"/>
      <c r="ENY3424" s="909"/>
      <c r="ENZ3424" s="909"/>
      <c r="EOA3424" s="909"/>
      <c r="EOB3424" s="909"/>
      <c r="EOC3424" s="907" t="s">
        <v>79</v>
      </c>
      <c r="EOD3424" s="909" t="s">
        <v>68</v>
      </c>
      <c r="EOE3424" s="910" t="s">
        <v>75</v>
      </c>
      <c r="EOF3424" s="911"/>
      <c r="EOG3424" s="911"/>
      <c r="EOH3424" s="911"/>
      <c r="EOI3424" s="911"/>
      <c r="EOJ3424" s="911"/>
      <c r="EOK3424" s="911"/>
      <c r="EOL3424" s="911"/>
      <c r="EOM3424" s="911"/>
      <c r="EON3424" s="911"/>
      <c r="EOO3424" s="32"/>
      <c r="EOP3424" s="911" t="s">
        <v>74</v>
      </c>
      <c r="EOQ3424" s="911"/>
      <c r="EOR3424" s="911"/>
      <c r="EOS3424" s="911"/>
      <c r="EOT3424" s="911"/>
      <c r="EOU3424" s="911"/>
      <c r="EOV3424" s="911"/>
      <c r="EOW3424" s="911"/>
      <c r="EOX3424" s="911"/>
      <c r="EOY3424" s="912"/>
      <c r="EPA3424" s="913" t="s">
        <v>1</v>
      </c>
      <c r="EPB3424" s="31"/>
      <c r="EPC3424" s="909" t="s">
        <v>0</v>
      </c>
      <c r="EPD3424" s="909"/>
      <c r="EPE3424" s="909"/>
      <c r="EPF3424" s="909"/>
      <c r="EPG3424" s="909"/>
      <c r="EPH3424" s="909"/>
      <c r="EPI3424" s="907" t="s">
        <v>79</v>
      </c>
      <c r="EPJ3424" s="909" t="s">
        <v>68</v>
      </c>
      <c r="EPK3424" s="910" t="s">
        <v>75</v>
      </c>
      <c r="EPL3424" s="911"/>
      <c r="EPM3424" s="911"/>
      <c r="EPN3424" s="911"/>
      <c r="EPO3424" s="911"/>
      <c r="EPP3424" s="911"/>
      <c r="EPQ3424" s="911"/>
      <c r="EPR3424" s="911"/>
      <c r="EPS3424" s="911"/>
      <c r="EPT3424" s="911"/>
      <c r="EPU3424" s="32"/>
      <c r="EPV3424" s="911" t="s">
        <v>74</v>
      </c>
      <c r="EPW3424" s="911"/>
      <c r="EPX3424" s="911"/>
      <c r="EPY3424" s="911"/>
      <c r="EPZ3424" s="911"/>
      <c r="EQA3424" s="911"/>
      <c r="EQB3424" s="911"/>
      <c r="EQC3424" s="911"/>
      <c r="EQD3424" s="911"/>
      <c r="EQE3424" s="912"/>
      <c r="EQG3424" s="913" t="s">
        <v>1</v>
      </c>
      <c r="EQH3424" s="31"/>
      <c r="EQI3424" s="909" t="s">
        <v>0</v>
      </c>
      <c r="EQJ3424" s="909"/>
      <c r="EQK3424" s="909"/>
      <c r="EQL3424" s="909"/>
      <c r="EQM3424" s="909"/>
      <c r="EQN3424" s="909"/>
      <c r="EQO3424" s="907" t="s">
        <v>79</v>
      </c>
      <c r="EQP3424" s="909" t="s">
        <v>68</v>
      </c>
      <c r="EQQ3424" s="910" t="s">
        <v>75</v>
      </c>
      <c r="EQR3424" s="911"/>
      <c r="EQS3424" s="911"/>
      <c r="EQT3424" s="911"/>
      <c r="EQU3424" s="911"/>
      <c r="EQV3424" s="911"/>
      <c r="EQW3424" s="911"/>
      <c r="EQX3424" s="911"/>
      <c r="EQY3424" s="911"/>
      <c r="EQZ3424" s="911"/>
      <c r="ERA3424" s="32"/>
      <c r="ERB3424" s="911" t="s">
        <v>74</v>
      </c>
      <c r="ERC3424" s="911"/>
      <c r="ERD3424" s="911"/>
      <c r="ERE3424" s="911"/>
      <c r="ERF3424" s="911"/>
      <c r="ERG3424" s="911"/>
      <c r="ERH3424" s="911"/>
      <c r="ERI3424" s="911"/>
      <c r="ERJ3424" s="911"/>
      <c r="ERK3424" s="912"/>
      <c r="ERM3424" s="913" t="s">
        <v>1</v>
      </c>
      <c r="ERN3424" s="31"/>
      <c r="ERO3424" s="909" t="s">
        <v>0</v>
      </c>
      <c r="ERP3424" s="909"/>
      <c r="ERQ3424" s="909"/>
      <c r="ERR3424" s="909"/>
      <c r="ERS3424" s="909"/>
      <c r="ERT3424" s="909"/>
      <c r="ERU3424" s="907" t="s">
        <v>79</v>
      </c>
      <c r="ERV3424" s="909" t="s">
        <v>68</v>
      </c>
      <c r="ERW3424" s="910" t="s">
        <v>75</v>
      </c>
      <c r="ERX3424" s="911"/>
      <c r="ERY3424" s="911"/>
      <c r="ERZ3424" s="911"/>
      <c r="ESA3424" s="911"/>
      <c r="ESB3424" s="911"/>
      <c r="ESC3424" s="911"/>
      <c r="ESD3424" s="911"/>
      <c r="ESE3424" s="911"/>
      <c r="ESF3424" s="911"/>
      <c r="ESG3424" s="32"/>
      <c r="ESH3424" s="911" t="s">
        <v>74</v>
      </c>
      <c r="ESI3424" s="911"/>
      <c r="ESJ3424" s="911"/>
      <c r="ESK3424" s="911"/>
      <c r="ESL3424" s="911"/>
      <c r="ESM3424" s="911"/>
      <c r="ESN3424" s="911"/>
      <c r="ESO3424" s="911"/>
      <c r="ESP3424" s="911"/>
      <c r="ESQ3424" s="912"/>
      <c r="ESS3424" s="913" t="s">
        <v>1</v>
      </c>
      <c r="EST3424" s="31"/>
      <c r="ESU3424" s="909" t="s">
        <v>0</v>
      </c>
      <c r="ESV3424" s="909"/>
      <c r="ESW3424" s="909"/>
      <c r="ESX3424" s="909"/>
      <c r="ESY3424" s="909"/>
      <c r="ESZ3424" s="909"/>
      <c r="ETA3424" s="907" t="s">
        <v>79</v>
      </c>
      <c r="ETB3424" s="909" t="s">
        <v>68</v>
      </c>
      <c r="ETC3424" s="910" t="s">
        <v>75</v>
      </c>
      <c r="ETD3424" s="911"/>
      <c r="ETE3424" s="911"/>
      <c r="ETF3424" s="911"/>
      <c r="ETG3424" s="911"/>
      <c r="ETH3424" s="911"/>
      <c r="ETI3424" s="911"/>
      <c r="ETJ3424" s="911"/>
      <c r="ETK3424" s="911"/>
      <c r="ETL3424" s="911"/>
      <c r="ETM3424" s="32"/>
      <c r="ETN3424" s="911" t="s">
        <v>74</v>
      </c>
      <c r="ETO3424" s="911"/>
      <c r="ETP3424" s="911"/>
      <c r="ETQ3424" s="911"/>
      <c r="ETR3424" s="911"/>
      <c r="ETS3424" s="911"/>
      <c r="ETT3424" s="911"/>
      <c r="ETU3424" s="911"/>
      <c r="ETV3424" s="911"/>
      <c r="ETW3424" s="912"/>
      <c r="ETY3424" s="913" t="s">
        <v>1</v>
      </c>
      <c r="ETZ3424" s="31"/>
      <c r="EUA3424" s="909" t="s">
        <v>0</v>
      </c>
      <c r="EUB3424" s="909"/>
      <c r="EUC3424" s="909"/>
      <c r="EUD3424" s="909"/>
      <c r="EUE3424" s="909"/>
      <c r="EUF3424" s="909"/>
      <c r="EUG3424" s="907" t="s">
        <v>79</v>
      </c>
      <c r="EUH3424" s="909" t="s">
        <v>68</v>
      </c>
      <c r="EUI3424" s="910" t="s">
        <v>75</v>
      </c>
      <c r="EUJ3424" s="911"/>
      <c r="EUK3424" s="911"/>
      <c r="EUL3424" s="911"/>
      <c r="EUM3424" s="911"/>
      <c r="EUN3424" s="911"/>
      <c r="EUO3424" s="911"/>
      <c r="EUP3424" s="911"/>
      <c r="EUQ3424" s="911"/>
      <c r="EUR3424" s="911"/>
      <c r="EUS3424" s="32"/>
      <c r="EUT3424" s="911" t="s">
        <v>74</v>
      </c>
      <c r="EUU3424" s="911"/>
      <c r="EUV3424" s="911"/>
      <c r="EUW3424" s="911"/>
      <c r="EUX3424" s="911"/>
      <c r="EUY3424" s="911"/>
      <c r="EUZ3424" s="911"/>
      <c r="EVA3424" s="911"/>
      <c r="EVB3424" s="911"/>
      <c r="EVC3424" s="912"/>
      <c r="EVE3424" s="913" t="s">
        <v>1</v>
      </c>
      <c r="EVF3424" s="31"/>
      <c r="EVG3424" s="909" t="s">
        <v>0</v>
      </c>
      <c r="EVH3424" s="909"/>
      <c r="EVI3424" s="909"/>
      <c r="EVJ3424" s="909"/>
      <c r="EVK3424" s="909"/>
      <c r="EVL3424" s="909"/>
      <c r="EVM3424" s="907" t="s">
        <v>79</v>
      </c>
      <c r="EVN3424" s="909" t="s">
        <v>68</v>
      </c>
      <c r="EVO3424" s="910" t="s">
        <v>75</v>
      </c>
      <c r="EVP3424" s="911"/>
      <c r="EVQ3424" s="911"/>
      <c r="EVR3424" s="911"/>
      <c r="EVS3424" s="911"/>
      <c r="EVT3424" s="911"/>
      <c r="EVU3424" s="911"/>
      <c r="EVV3424" s="911"/>
      <c r="EVW3424" s="911"/>
      <c r="EVX3424" s="911"/>
      <c r="EVY3424" s="32"/>
      <c r="EVZ3424" s="911" t="s">
        <v>74</v>
      </c>
      <c r="EWA3424" s="911"/>
      <c r="EWB3424" s="911"/>
      <c r="EWC3424" s="911"/>
      <c r="EWD3424" s="911"/>
      <c r="EWE3424" s="911"/>
      <c r="EWF3424" s="911"/>
      <c r="EWG3424" s="911"/>
      <c r="EWH3424" s="911"/>
      <c r="EWI3424" s="912"/>
      <c r="EWK3424" s="913" t="s">
        <v>1</v>
      </c>
      <c r="EWL3424" s="31"/>
      <c r="EWM3424" s="909" t="s">
        <v>0</v>
      </c>
      <c r="EWN3424" s="909"/>
      <c r="EWO3424" s="909"/>
      <c r="EWP3424" s="909"/>
      <c r="EWQ3424" s="909"/>
      <c r="EWR3424" s="909"/>
      <c r="EWS3424" s="907" t="s">
        <v>79</v>
      </c>
      <c r="EWT3424" s="909" t="s">
        <v>68</v>
      </c>
      <c r="EWU3424" s="910" t="s">
        <v>75</v>
      </c>
      <c r="EWV3424" s="911"/>
      <c r="EWW3424" s="911"/>
      <c r="EWX3424" s="911"/>
      <c r="EWY3424" s="911"/>
      <c r="EWZ3424" s="911"/>
      <c r="EXA3424" s="911"/>
      <c r="EXB3424" s="911"/>
      <c r="EXC3424" s="911"/>
      <c r="EXD3424" s="911"/>
      <c r="EXE3424" s="32"/>
      <c r="EXF3424" s="911" t="s">
        <v>74</v>
      </c>
      <c r="EXG3424" s="911"/>
      <c r="EXH3424" s="911"/>
      <c r="EXI3424" s="911"/>
      <c r="EXJ3424" s="911"/>
      <c r="EXK3424" s="911"/>
      <c r="EXL3424" s="911"/>
      <c r="EXM3424" s="911"/>
      <c r="EXN3424" s="911"/>
      <c r="EXO3424" s="912"/>
      <c r="EXQ3424" s="913" t="s">
        <v>1</v>
      </c>
      <c r="EXR3424" s="31"/>
      <c r="EXS3424" s="909" t="s">
        <v>0</v>
      </c>
      <c r="EXT3424" s="909"/>
      <c r="EXU3424" s="909"/>
      <c r="EXV3424" s="909"/>
      <c r="EXW3424" s="909"/>
      <c r="EXX3424" s="909"/>
      <c r="EXY3424" s="907" t="s">
        <v>79</v>
      </c>
      <c r="EXZ3424" s="909" t="s">
        <v>68</v>
      </c>
      <c r="EYA3424" s="910" t="s">
        <v>75</v>
      </c>
      <c r="EYB3424" s="911"/>
      <c r="EYC3424" s="911"/>
      <c r="EYD3424" s="911"/>
      <c r="EYE3424" s="911"/>
      <c r="EYF3424" s="911"/>
      <c r="EYG3424" s="911"/>
      <c r="EYH3424" s="911"/>
      <c r="EYI3424" s="911"/>
      <c r="EYJ3424" s="911"/>
      <c r="EYK3424" s="32"/>
      <c r="EYL3424" s="911" t="s">
        <v>74</v>
      </c>
      <c r="EYM3424" s="911"/>
      <c r="EYN3424" s="911"/>
      <c r="EYO3424" s="911"/>
      <c r="EYP3424" s="911"/>
      <c r="EYQ3424" s="911"/>
      <c r="EYR3424" s="911"/>
      <c r="EYS3424" s="911"/>
      <c r="EYT3424" s="911"/>
      <c r="EYU3424" s="912"/>
      <c r="EYW3424" s="913" t="s">
        <v>1</v>
      </c>
      <c r="EYX3424" s="31"/>
      <c r="EYY3424" s="909" t="s">
        <v>0</v>
      </c>
      <c r="EYZ3424" s="909"/>
      <c r="EZA3424" s="909"/>
      <c r="EZB3424" s="909"/>
      <c r="EZC3424" s="909"/>
      <c r="EZD3424" s="909"/>
      <c r="EZE3424" s="907" t="s">
        <v>79</v>
      </c>
      <c r="EZF3424" s="909" t="s">
        <v>68</v>
      </c>
      <c r="EZG3424" s="910" t="s">
        <v>75</v>
      </c>
      <c r="EZH3424" s="911"/>
      <c r="EZI3424" s="911"/>
      <c r="EZJ3424" s="911"/>
      <c r="EZK3424" s="911"/>
      <c r="EZL3424" s="911"/>
      <c r="EZM3424" s="911"/>
      <c r="EZN3424" s="911"/>
      <c r="EZO3424" s="911"/>
      <c r="EZP3424" s="911"/>
      <c r="EZQ3424" s="32"/>
      <c r="EZR3424" s="911" t="s">
        <v>74</v>
      </c>
      <c r="EZS3424" s="911"/>
      <c r="EZT3424" s="911"/>
      <c r="EZU3424" s="911"/>
      <c r="EZV3424" s="911"/>
      <c r="EZW3424" s="911"/>
      <c r="EZX3424" s="911"/>
      <c r="EZY3424" s="911"/>
      <c r="EZZ3424" s="911"/>
      <c r="FAA3424" s="912"/>
      <c r="FAC3424" s="913" t="s">
        <v>1</v>
      </c>
      <c r="FAD3424" s="31"/>
      <c r="FAE3424" s="909" t="s">
        <v>0</v>
      </c>
      <c r="FAF3424" s="909"/>
      <c r="FAG3424" s="909"/>
      <c r="FAH3424" s="909"/>
      <c r="FAI3424" s="909"/>
      <c r="FAJ3424" s="909"/>
      <c r="FAK3424" s="907" t="s">
        <v>79</v>
      </c>
      <c r="FAL3424" s="909" t="s">
        <v>68</v>
      </c>
      <c r="FAM3424" s="910" t="s">
        <v>75</v>
      </c>
      <c r="FAN3424" s="911"/>
      <c r="FAO3424" s="911"/>
      <c r="FAP3424" s="911"/>
      <c r="FAQ3424" s="911"/>
      <c r="FAR3424" s="911"/>
      <c r="FAS3424" s="911"/>
      <c r="FAT3424" s="911"/>
      <c r="FAU3424" s="911"/>
      <c r="FAV3424" s="911"/>
      <c r="FAW3424" s="32"/>
      <c r="FAX3424" s="911" t="s">
        <v>74</v>
      </c>
      <c r="FAY3424" s="911"/>
      <c r="FAZ3424" s="911"/>
      <c r="FBA3424" s="911"/>
      <c r="FBB3424" s="911"/>
      <c r="FBC3424" s="911"/>
      <c r="FBD3424" s="911"/>
      <c r="FBE3424" s="911"/>
      <c r="FBF3424" s="911"/>
      <c r="FBG3424" s="912"/>
      <c r="FBI3424" s="913" t="s">
        <v>1</v>
      </c>
      <c r="FBJ3424" s="31"/>
      <c r="FBK3424" s="909" t="s">
        <v>0</v>
      </c>
      <c r="FBL3424" s="909"/>
      <c r="FBM3424" s="909"/>
      <c r="FBN3424" s="909"/>
      <c r="FBO3424" s="909"/>
      <c r="FBP3424" s="909"/>
      <c r="FBQ3424" s="907" t="s">
        <v>79</v>
      </c>
      <c r="FBR3424" s="909" t="s">
        <v>68</v>
      </c>
      <c r="FBS3424" s="910" t="s">
        <v>75</v>
      </c>
      <c r="FBT3424" s="911"/>
      <c r="FBU3424" s="911"/>
      <c r="FBV3424" s="911"/>
      <c r="FBW3424" s="911"/>
      <c r="FBX3424" s="911"/>
      <c r="FBY3424" s="911"/>
      <c r="FBZ3424" s="911"/>
      <c r="FCA3424" s="911"/>
      <c r="FCB3424" s="911"/>
      <c r="FCC3424" s="32"/>
      <c r="FCD3424" s="911" t="s">
        <v>74</v>
      </c>
      <c r="FCE3424" s="911"/>
      <c r="FCF3424" s="911"/>
      <c r="FCG3424" s="911"/>
      <c r="FCH3424" s="911"/>
      <c r="FCI3424" s="911"/>
      <c r="FCJ3424" s="911"/>
      <c r="FCK3424" s="911"/>
      <c r="FCL3424" s="911"/>
      <c r="FCM3424" s="912"/>
      <c r="FCO3424" s="913" t="s">
        <v>1</v>
      </c>
      <c r="FCP3424" s="31"/>
      <c r="FCQ3424" s="909" t="s">
        <v>0</v>
      </c>
      <c r="FCR3424" s="909"/>
      <c r="FCS3424" s="909"/>
      <c r="FCT3424" s="909"/>
      <c r="FCU3424" s="909"/>
      <c r="FCV3424" s="909"/>
      <c r="FCW3424" s="907" t="s">
        <v>79</v>
      </c>
      <c r="FCX3424" s="909" t="s">
        <v>68</v>
      </c>
      <c r="FCY3424" s="910" t="s">
        <v>75</v>
      </c>
      <c r="FCZ3424" s="911"/>
      <c r="FDA3424" s="911"/>
      <c r="FDB3424" s="911"/>
      <c r="FDC3424" s="911"/>
      <c r="FDD3424" s="911"/>
      <c r="FDE3424" s="911"/>
      <c r="FDF3424" s="911"/>
      <c r="FDG3424" s="911"/>
      <c r="FDH3424" s="911"/>
      <c r="FDI3424" s="32"/>
      <c r="FDJ3424" s="911" t="s">
        <v>74</v>
      </c>
      <c r="FDK3424" s="911"/>
      <c r="FDL3424" s="911"/>
      <c r="FDM3424" s="911"/>
      <c r="FDN3424" s="911"/>
      <c r="FDO3424" s="911"/>
      <c r="FDP3424" s="911"/>
      <c r="FDQ3424" s="911"/>
      <c r="FDR3424" s="911"/>
      <c r="FDS3424" s="912"/>
      <c r="FDU3424" s="913" t="s">
        <v>1</v>
      </c>
      <c r="FDV3424" s="31"/>
      <c r="FDW3424" s="909" t="s">
        <v>0</v>
      </c>
      <c r="FDX3424" s="909"/>
      <c r="FDY3424" s="909"/>
      <c r="FDZ3424" s="909"/>
      <c r="FEA3424" s="909"/>
      <c r="FEB3424" s="909"/>
      <c r="FEC3424" s="907" t="s">
        <v>79</v>
      </c>
      <c r="FED3424" s="909" t="s">
        <v>68</v>
      </c>
      <c r="FEE3424" s="910" t="s">
        <v>75</v>
      </c>
      <c r="FEF3424" s="911"/>
      <c r="FEG3424" s="911"/>
      <c r="FEH3424" s="911"/>
      <c r="FEI3424" s="911"/>
      <c r="FEJ3424" s="911"/>
      <c r="FEK3424" s="911"/>
      <c r="FEL3424" s="911"/>
      <c r="FEM3424" s="911"/>
      <c r="FEN3424" s="911"/>
      <c r="FEO3424" s="32"/>
      <c r="FEP3424" s="911" t="s">
        <v>74</v>
      </c>
      <c r="FEQ3424" s="911"/>
      <c r="FER3424" s="911"/>
      <c r="FES3424" s="911"/>
      <c r="FET3424" s="911"/>
      <c r="FEU3424" s="911"/>
      <c r="FEV3424" s="911"/>
      <c r="FEW3424" s="911"/>
      <c r="FEX3424" s="911"/>
      <c r="FEY3424" s="912"/>
      <c r="FFA3424" s="913" t="s">
        <v>1</v>
      </c>
      <c r="FFB3424" s="31"/>
      <c r="FFC3424" s="909" t="s">
        <v>0</v>
      </c>
      <c r="FFD3424" s="909"/>
      <c r="FFE3424" s="909"/>
      <c r="FFF3424" s="909"/>
      <c r="FFG3424" s="909"/>
      <c r="FFH3424" s="909"/>
      <c r="FFI3424" s="907" t="s">
        <v>79</v>
      </c>
      <c r="FFJ3424" s="909" t="s">
        <v>68</v>
      </c>
      <c r="FFK3424" s="910" t="s">
        <v>75</v>
      </c>
      <c r="FFL3424" s="911"/>
      <c r="FFM3424" s="911"/>
      <c r="FFN3424" s="911"/>
      <c r="FFO3424" s="911"/>
      <c r="FFP3424" s="911"/>
      <c r="FFQ3424" s="911"/>
      <c r="FFR3424" s="911"/>
      <c r="FFS3424" s="911"/>
      <c r="FFT3424" s="911"/>
      <c r="FFU3424" s="32"/>
      <c r="FFV3424" s="911" t="s">
        <v>74</v>
      </c>
      <c r="FFW3424" s="911"/>
      <c r="FFX3424" s="911"/>
      <c r="FFY3424" s="911"/>
      <c r="FFZ3424" s="911"/>
      <c r="FGA3424" s="911"/>
      <c r="FGB3424" s="911"/>
      <c r="FGC3424" s="911"/>
      <c r="FGD3424" s="911"/>
      <c r="FGE3424" s="912"/>
      <c r="FGG3424" s="913" t="s">
        <v>1</v>
      </c>
      <c r="FGH3424" s="31"/>
      <c r="FGI3424" s="909" t="s">
        <v>0</v>
      </c>
      <c r="FGJ3424" s="909"/>
      <c r="FGK3424" s="909"/>
      <c r="FGL3424" s="909"/>
      <c r="FGM3424" s="909"/>
      <c r="FGN3424" s="909"/>
      <c r="FGO3424" s="907" t="s">
        <v>79</v>
      </c>
      <c r="FGP3424" s="909" t="s">
        <v>68</v>
      </c>
      <c r="FGQ3424" s="910" t="s">
        <v>75</v>
      </c>
      <c r="FGR3424" s="911"/>
      <c r="FGS3424" s="911"/>
      <c r="FGT3424" s="911"/>
      <c r="FGU3424" s="911"/>
      <c r="FGV3424" s="911"/>
      <c r="FGW3424" s="911"/>
      <c r="FGX3424" s="911"/>
      <c r="FGY3424" s="911"/>
      <c r="FGZ3424" s="911"/>
      <c r="FHA3424" s="32"/>
      <c r="FHB3424" s="911" t="s">
        <v>74</v>
      </c>
      <c r="FHC3424" s="911"/>
      <c r="FHD3424" s="911"/>
      <c r="FHE3424" s="911"/>
      <c r="FHF3424" s="911"/>
      <c r="FHG3424" s="911"/>
      <c r="FHH3424" s="911"/>
      <c r="FHI3424" s="911"/>
      <c r="FHJ3424" s="911"/>
      <c r="FHK3424" s="912"/>
      <c r="FHM3424" s="913" t="s">
        <v>1</v>
      </c>
      <c r="FHN3424" s="31"/>
      <c r="FHO3424" s="909" t="s">
        <v>0</v>
      </c>
      <c r="FHP3424" s="909"/>
      <c r="FHQ3424" s="909"/>
      <c r="FHR3424" s="909"/>
      <c r="FHS3424" s="909"/>
      <c r="FHT3424" s="909"/>
      <c r="FHU3424" s="907" t="s">
        <v>79</v>
      </c>
      <c r="FHV3424" s="909" t="s">
        <v>68</v>
      </c>
      <c r="FHW3424" s="910" t="s">
        <v>75</v>
      </c>
      <c r="FHX3424" s="911"/>
      <c r="FHY3424" s="911"/>
      <c r="FHZ3424" s="911"/>
      <c r="FIA3424" s="911"/>
      <c r="FIB3424" s="911"/>
      <c r="FIC3424" s="911"/>
      <c r="FID3424" s="911"/>
      <c r="FIE3424" s="911"/>
      <c r="FIF3424" s="911"/>
      <c r="FIG3424" s="32"/>
      <c r="FIH3424" s="911" t="s">
        <v>74</v>
      </c>
      <c r="FII3424" s="911"/>
      <c r="FIJ3424" s="911"/>
      <c r="FIK3424" s="911"/>
      <c r="FIL3424" s="911"/>
      <c r="FIM3424" s="911"/>
      <c r="FIN3424" s="911"/>
      <c r="FIO3424" s="911"/>
      <c r="FIP3424" s="911"/>
      <c r="FIQ3424" s="912"/>
      <c r="FIS3424" s="913" t="s">
        <v>1</v>
      </c>
      <c r="FIT3424" s="31"/>
      <c r="FIU3424" s="909" t="s">
        <v>0</v>
      </c>
      <c r="FIV3424" s="909"/>
      <c r="FIW3424" s="909"/>
      <c r="FIX3424" s="909"/>
      <c r="FIY3424" s="909"/>
      <c r="FIZ3424" s="909"/>
      <c r="FJA3424" s="907" t="s">
        <v>79</v>
      </c>
      <c r="FJB3424" s="909" t="s">
        <v>68</v>
      </c>
      <c r="FJC3424" s="910" t="s">
        <v>75</v>
      </c>
      <c r="FJD3424" s="911"/>
      <c r="FJE3424" s="911"/>
      <c r="FJF3424" s="911"/>
      <c r="FJG3424" s="911"/>
      <c r="FJH3424" s="911"/>
      <c r="FJI3424" s="911"/>
      <c r="FJJ3424" s="911"/>
      <c r="FJK3424" s="911"/>
      <c r="FJL3424" s="911"/>
      <c r="FJM3424" s="32"/>
      <c r="FJN3424" s="911" t="s">
        <v>74</v>
      </c>
      <c r="FJO3424" s="911"/>
      <c r="FJP3424" s="911"/>
      <c r="FJQ3424" s="911"/>
      <c r="FJR3424" s="911"/>
      <c r="FJS3424" s="911"/>
      <c r="FJT3424" s="911"/>
      <c r="FJU3424" s="911"/>
      <c r="FJV3424" s="911"/>
      <c r="FJW3424" s="912"/>
      <c r="FJY3424" s="913" t="s">
        <v>1</v>
      </c>
      <c r="FJZ3424" s="31"/>
      <c r="FKA3424" s="909" t="s">
        <v>0</v>
      </c>
      <c r="FKB3424" s="909"/>
      <c r="FKC3424" s="909"/>
      <c r="FKD3424" s="909"/>
      <c r="FKE3424" s="909"/>
      <c r="FKF3424" s="909"/>
      <c r="FKG3424" s="907" t="s">
        <v>79</v>
      </c>
      <c r="FKH3424" s="909" t="s">
        <v>68</v>
      </c>
      <c r="FKI3424" s="910" t="s">
        <v>75</v>
      </c>
      <c r="FKJ3424" s="911"/>
      <c r="FKK3424" s="911"/>
      <c r="FKL3424" s="911"/>
      <c r="FKM3424" s="911"/>
      <c r="FKN3424" s="911"/>
      <c r="FKO3424" s="911"/>
      <c r="FKP3424" s="911"/>
      <c r="FKQ3424" s="911"/>
      <c r="FKR3424" s="911"/>
      <c r="FKS3424" s="32"/>
      <c r="FKT3424" s="911" t="s">
        <v>74</v>
      </c>
      <c r="FKU3424" s="911"/>
      <c r="FKV3424" s="911"/>
      <c r="FKW3424" s="911"/>
      <c r="FKX3424" s="911"/>
      <c r="FKY3424" s="911"/>
      <c r="FKZ3424" s="911"/>
      <c r="FLA3424" s="911"/>
      <c r="FLB3424" s="911"/>
      <c r="FLC3424" s="912"/>
      <c r="FLE3424" s="913" t="s">
        <v>1</v>
      </c>
      <c r="FLF3424" s="31"/>
      <c r="FLG3424" s="909" t="s">
        <v>0</v>
      </c>
      <c r="FLH3424" s="909"/>
      <c r="FLI3424" s="909"/>
      <c r="FLJ3424" s="909"/>
      <c r="FLK3424" s="909"/>
      <c r="FLL3424" s="909"/>
      <c r="FLM3424" s="907" t="s">
        <v>79</v>
      </c>
      <c r="FLN3424" s="909" t="s">
        <v>68</v>
      </c>
      <c r="FLO3424" s="910" t="s">
        <v>75</v>
      </c>
      <c r="FLP3424" s="911"/>
      <c r="FLQ3424" s="911"/>
      <c r="FLR3424" s="911"/>
      <c r="FLS3424" s="911"/>
      <c r="FLT3424" s="911"/>
      <c r="FLU3424" s="911"/>
      <c r="FLV3424" s="911"/>
      <c r="FLW3424" s="911"/>
      <c r="FLX3424" s="911"/>
      <c r="FLY3424" s="32"/>
      <c r="FLZ3424" s="911" t="s">
        <v>74</v>
      </c>
      <c r="FMA3424" s="911"/>
      <c r="FMB3424" s="911"/>
      <c r="FMC3424" s="911"/>
      <c r="FMD3424" s="911"/>
      <c r="FME3424" s="911"/>
      <c r="FMF3424" s="911"/>
      <c r="FMG3424" s="911"/>
      <c r="FMH3424" s="911"/>
      <c r="FMI3424" s="912"/>
      <c r="FMK3424" s="913" t="s">
        <v>1</v>
      </c>
      <c r="FML3424" s="31"/>
      <c r="FMM3424" s="909" t="s">
        <v>0</v>
      </c>
      <c r="FMN3424" s="909"/>
      <c r="FMO3424" s="909"/>
      <c r="FMP3424" s="909"/>
      <c r="FMQ3424" s="909"/>
      <c r="FMR3424" s="909"/>
      <c r="FMS3424" s="907" t="s">
        <v>79</v>
      </c>
      <c r="FMT3424" s="909" t="s">
        <v>68</v>
      </c>
      <c r="FMU3424" s="910" t="s">
        <v>75</v>
      </c>
      <c r="FMV3424" s="911"/>
      <c r="FMW3424" s="911"/>
      <c r="FMX3424" s="911"/>
      <c r="FMY3424" s="911"/>
      <c r="FMZ3424" s="911"/>
      <c r="FNA3424" s="911"/>
      <c r="FNB3424" s="911"/>
      <c r="FNC3424" s="911"/>
      <c r="FND3424" s="911"/>
      <c r="FNE3424" s="32"/>
      <c r="FNF3424" s="911" t="s">
        <v>74</v>
      </c>
      <c r="FNG3424" s="911"/>
      <c r="FNH3424" s="911"/>
      <c r="FNI3424" s="911"/>
      <c r="FNJ3424" s="911"/>
      <c r="FNK3424" s="911"/>
      <c r="FNL3424" s="911"/>
      <c r="FNM3424" s="911"/>
      <c r="FNN3424" s="911"/>
      <c r="FNO3424" s="912"/>
      <c r="FNQ3424" s="913" t="s">
        <v>1</v>
      </c>
      <c r="FNR3424" s="31"/>
      <c r="FNS3424" s="909" t="s">
        <v>0</v>
      </c>
      <c r="FNT3424" s="909"/>
      <c r="FNU3424" s="909"/>
      <c r="FNV3424" s="909"/>
      <c r="FNW3424" s="909"/>
      <c r="FNX3424" s="909"/>
      <c r="FNY3424" s="907" t="s">
        <v>79</v>
      </c>
      <c r="FNZ3424" s="909" t="s">
        <v>68</v>
      </c>
      <c r="FOA3424" s="910" t="s">
        <v>75</v>
      </c>
      <c r="FOB3424" s="911"/>
      <c r="FOC3424" s="911"/>
      <c r="FOD3424" s="911"/>
      <c r="FOE3424" s="911"/>
      <c r="FOF3424" s="911"/>
      <c r="FOG3424" s="911"/>
      <c r="FOH3424" s="911"/>
      <c r="FOI3424" s="911"/>
      <c r="FOJ3424" s="911"/>
      <c r="FOK3424" s="32"/>
      <c r="FOL3424" s="911" t="s">
        <v>74</v>
      </c>
      <c r="FOM3424" s="911"/>
      <c r="FON3424" s="911"/>
      <c r="FOO3424" s="911"/>
      <c r="FOP3424" s="911"/>
      <c r="FOQ3424" s="911"/>
      <c r="FOR3424" s="911"/>
      <c r="FOS3424" s="911"/>
      <c r="FOT3424" s="911"/>
      <c r="FOU3424" s="912"/>
      <c r="FOW3424" s="913" t="s">
        <v>1</v>
      </c>
      <c r="FOX3424" s="31"/>
      <c r="FOY3424" s="909" t="s">
        <v>0</v>
      </c>
      <c r="FOZ3424" s="909"/>
      <c r="FPA3424" s="909"/>
      <c r="FPB3424" s="909"/>
      <c r="FPC3424" s="909"/>
      <c r="FPD3424" s="909"/>
      <c r="FPE3424" s="907" t="s">
        <v>79</v>
      </c>
      <c r="FPF3424" s="909" t="s">
        <v>68</v>
      </c>
      <c r="FPG3424" s="910" t="s">
        <v>75</v>
      </c>
      <c r="FPH3424" s="911"/>
      <c r="FPI3424" s="911"/>
      <c r="FPJ3424" s="911"/>
      <c r="FPK3424" s="911"/>
      <c r="FPL3424" s="911"/>
      <c r="FPM3424" s="911"/>
      <c r="FPN3424" s="911"/>
      <c r="FPO3424" s="911"/>
      <c r="FPP3424" s="911"/>
      <c r="FPQ3424" s="32"/>
      <c r="FPR3424" s="911" t="s">
        <v>74</v>
      </c>
      <c r="FPS3424" s="911"/>
      <c r="FPT3424" s="911"/>
      <c r="FPU3424" s="911"/>
      <c r="FPV3424" s="911"/>
      <c r="FPW3424" s="911"/>
      <c r="FPX3424" s="911"/>
      <c r="FPY3424" s="911"/>
      <c r="FPZ3424" s="911"/>
      <c r="FQA3424" s="912"/>
      <c r="FQC3424" s="913" t="s">
        <v>1</v>
      </c>
      <c r="FQD3424" s="31"/>
      <c r="FQE3424" s="909" t="s">
        <v>0</v>
      </c>
      <c r="FQF3424" s="909"/>
      <c r="FQG3424" s="909"/>
      <c r="FQH3424" s="909"/>
      <c r="FQI3424" s="909"/>
      <c r="FQJ3424" s="909"/>
      <c r="FQK3424" s="907" t="s">
        <v>79</v>
      </c>
      <c r="FQL3424" s="909" t="s">
        <v>68</v>
      </c>
      <c r="FQM3424" s="910" t="s">
        <v>75</v>
      </c>
      <c r="FQN3424" s="911"/>
      <c r="FQO3424" s="911"/>
      <c r="FQP3424" s="911"/>
      <c r="FQQ3424" s="911"/>
      <c r="FQR3424" s="911"/>
      <c r="FQS3424" s="911"/>
      <c r="FQT3424" s="911"/>
      <c r="FQU3424" s="911"/>
      <c r="FQV3424" s="911"/>
      <c r="FQW3424" s="32"/>
      <c r="FQX3424" s="911" t="s">
        <v>74</v>
      </c>
      <c r="FQY3424" s="911"/>
      <c r="FQZ3424" s="911"/>
      <c r="FRA3424" s="911"/>
      <c r="FRB3424" s="911"/>
      <c r="FRC3424" s="911"/>
      <c r="FRD3424" s="911"/>
      <c r="FRE3424" s="911"/>
      <c r="FRF3424" s="911"/>
      <c r="FRG3424" s="912"/>
      <c r="FRI3424" s="913" t="s">
        <v>1</v>
      </c>
      <c r="FRJ3424" s="31"/>
      <c r="FRK3424" s="909" t="s">
        <v>0</v>
      </c>
      <c r="FRL3424" s="909"/>
      <c r="FRM3424" s="909"/>
      <c r="FRN3424" s="909"/>
      <c r="FRO3424" s="909"/>
      <c r="FRP3424" s="909"/>
      <c r="FRQ3424" s="907" t="s">
        <v>79</v>
      </c>
      <c r="FRR3424" s="909" t="s">
        <v>68</v>
      </c>
      <c r="FRS3424" s="910" t="s">
        <v>75</v>
      </c>
      <c r="FRT3424" s="911"/>
      <c r="FRU3424" s="911"/>
      <c r="FRV3424" s="911"/>
      <c r="FRW3424" s="911"/>
      <c r="FRX3424" s="911"/>
      <c r="FRY3424" s="911"/>
      <c r="FRZ3424" s="911"/>
      <c r="FSA3424" s="911"/>
      <c r="FSB3424" s="911"/>
      <c r="FSC3424" s="32"/>
      <c r="FSD3424" s="911" t="s">
        <v>74</v>
      </c>
      <c r="FSE3424" s="911"/>
      <c r="FSF3424" s="911"/>
      <c r="FSG3424" s="911"/>
      <c r="FSH3424" s="911"/>
      <c r="FSI3424" s="911"/>
      <c r="FSJ3424" s="911"/>
      <c r="FSK3424" s="911"/>
      <c r="FSL3424" s="911"/>
      <c r="FSM3424" s="912"/>
      <c r="FSO3424" s="913" t="s">
        <v>1</v>
      </c>
      <c r="FSP3424" s="31"/>
      <c r="FSQ3424" s="909" t="s">
        <v>0</v>
      </c>
      <c r="FSR3424" s="909"/>
      <c r="FSS3424" s="909"/>
      <c r="FST3424" s="909"/>
      <c r="FSU3424" s="909"/>
      <c r="FSV3424" s="909"/>
      <c r="FSW3424" s="907" t="s">
        <v>79</v>
      </c>
      <c r="FSX3424" s="909" t="s">
        <v>68</v>
      </c>
      <c r="FSY3424" s="910" t="s">
        <v>75</v>
      </c>
      <c r="FSZ3424" s="911"/>
      <c r="FTA3424" s="911"/>
      <c r="FTB3424" s="911"/>
      <c r="FTC3424" s="911"/>
      <c r="FTD3424" s="911"/>
      <c r="FTE3424" s="911"/>
      <c r="FTF3424" s="911"/>
      <c r="FTG3424" s="911"/>
      <c r="FTH3424" s="911"/>
      <c r="FTI3424" s="32"/>
      <c r="FTJ3424" s="911" t="s">
        <v>74</v>
      </c>
      <c r="FTK3424" s="911"/>
      <c r="FTL3424" s="911"/>
      <c r="FTM3424" s="911"/>
      <c r="FTN3424" s="911"/>
      <c r="FTO3424" s="911"/>
      <c r="FTP3424" s="911"/>
      <c r="FTQ3424" s="911"/>
      <c r="FTR3424" s="911"/>
      <c r="FTS3424" s="912"/>
      <c r="FTU3424" s="913" t="s">
        <v>1</v>
      </c>
      <c r="FTV3424" s="31"/>
      <c r="FTW3424" s="909" t="s">
        <v>0</v>
      </c>
      <c r="FTX3424" s="909"/>
      <c r="FTY3424" s="909"/>
      <c r="FTZ3424" s="909"/>
      <c r="FUA3424" s="909"/>
      <c r="FUB3424" s="909"/>
      <c r="FUC3424" s="907" t="s">
        <v>79</v>
      </c>
      <c r="FUD3424" s="909" t="s">
        <v>68</v>
      </c>
      <c r="FUE3424" s="910" t="s">
        <v>75</v>
      </c>
      <c r="FUF3424" s="911"/>
      <c r="FUG3424" s="911"/>
      <c r="FUH3424" s="911"/>
      <c r="FUI3424" s="911"/>
      <c r="FUJ3424" s="911"/>
      <c r="FUK3424" s="911"/>
      <c r="FUL3424" s="911"/>
      <c r="FUM3424" s="911"/>
      <c r="FUN3424" s="911"/>
      <c r="FUO3424" s="32"/>
      <c r="FUP3424" s="911" t="s">
        <v>74</v>
      </c>
      <c r="FUQ3424" s="911"/>
      <c r="FUR3424" s="911"/>
      <c r="FUS3424" s="911"/>
      <c r="FUT3424" s="911"/>
      <c r="FUU3424" s="911"/>
      <c r="FUV3424" s="911"/>
      <c r="FUW3424" s="911"/>
      <c r="FUX3424" s="911"/>
      <c r="FUY3424" s="912"/>
      <c r="FVA3424" s="913" t="s">
        <v>1</v>
      </c>
      <c r="FVB3424" s="31"/>
      <c r="FVC3424" s="909" t="s">
        <v>0</v>
      </c>
      <c r="FVD3424" s="909"/>
      <c r="FVE3424" s="909"/>
      <c r="FVF3424" s="909"/>
      <c r="FVG3424" s="909"/>
      <c r="FVH3424" s="909"/>
      <c r="FVI3424" s="907" t="s">
        <v>79</v>
      </c>
      <c r="FVJ3424" s="909" t="s">
        <v>68</v>
      </c>
      <c r="FVK3424" s="910" t="s">
        <v>75</v>
      </c>
      <c r="FVL3424" s="911"/>
      <c r="FVM3424" s="911"/>
      <c r="FVN3424" s="911"/>
      <c r="FVO3424" s="911"/>
      <c r="FVP3424" s="911"/>
      <c r="FVQ3424" s="911"/>
      <c r="FVR3424" s="911"/>
      <c r="FVS3424" s="911"/>
      <c r="FVT3424" s="911"/>
      <c r="FVU3424" s="32"/>
      <c r="FVV3424" s="911" t="s">
        <v>74</v>
      </c>
      <c r="FVW3424" s="911"/>
      <c r="FVX3424" s="911"/>
      <c r="FVY3424" s="911"/>
      <c r="FVZ3424" s="911"/>
      <c r="FWA3424" s="911"/>
      <c r="FWB3424" s="911"/>
      <c r="FWC3424" s="911"/>
      <c r="FWD3424" s="911"/>
      <c r="FWE3424" s="912"/>
      <c r="FWG3424" s="913" t="s">
        <v>1</v>
      </c>
      <c r="FWH3424" s="31"/>
      <c r="FWI3424" s="909" t="s">
        <v>0</v>
      </c>
      <c r="FWJ3424" s="909"/>
      <c r="FWK3424" s="909"/>
      <c r="FWL3424" s="909"/>
      <c r="FWM3424" s="909"/>
      <c r="FWN3424" s="909"/>
      <c r="FWO3424" s="907" t="s">
        <v>79</v>
      </c>
      <c r="FWP3424" s="909" t="s">
        <v>68</v>
      </c>
      <c r="FWQ3424" s="910" t="s">
        <v>75</v>
      </c>
      <c r="FWR3424" s="911"/>
      <c r="FWS3424" s="911"/>
      <c r="FWT3424" s="911"/>
      <c r="FWU3424" s="911"/>
      <c r="FWV3424" s="911"/>
      <c r="FWW3424" s="911"/>
      <c r="FWX3424" s="911"/>
      <c r="FWY3424" s="911"/>
      <c r="FWZ3424" s="911"/>
      <c r="FXA3424" s="32"/>
      <c r="FXB3424" s="911" t="s">
        <v>74</v>
      </c>
      <c r="FXC3424" s="911"/>
      <c r="FXD3424" s="911"/>
      <c r="FXE3424" s="911"/>
      <c r="FXF3424" s="911"/>
      <c r="FXG3424" s="911"/>
      <c r="FXH3424" s="911"/>
      <c r="FXI3424" s="911"/>
      <c r="FXJ3424" s="911"/>
      <c r="FXK3424" s="912"/>
      <c r="FXM3424" s="913" t="s">
        <v>1</v>
      </c>
      <c r="FXN3424" s="31"/>
      <c r="FXO3424" s="909" t="s">
        <v>0</v>
      </c>
      <c r="FXP3424" s="909"/>
      <c r="FXQ3424" s="909"/>
      <c r="FXR3424" s="909"/>
      <c r="FXS3424" s="909"/>
      <c r="FXT3424" s="909"/>
      <c r="FXU3424" s="907" t="s">
        <v>79</v>
      </c>
      <c r="FXV3424" s="909" t="s">
        <v>68</v>
      </c>
      <c r="FXW3424" s="910" t="s">
        <v>75</v>
      </c>
      <c r="FXX3424" s="911"/>
      <c r="FXY3424" s="911"/>
      <c r="FXZ3424" s="911"/>
      <c r="FYA3424" s="911"/>
      <c r="FYB3424" s="911"/>
      <c r="FYC3424" s="911"/>
      <c r="FYD3424" s="911"/>
      <c r="FYE3424" s="911"/>
      <c r="FYF3424" s="911"/>
      <c r="FYG3424" s="32"/>
      <c r="FYH3424" s="911" t="s">
        <v>74</v>
      </c>
      <c r="FYI3424" s="911"/>
      <c r="FYJ3424" s="911"/>
      <c r="FYK3424" s="911"/>
      <c r="FYL3424" s="911"/>
      <c r="FYM3424" s="911"/>
      <c r="FYN3424" s="911"/>
      <c r="FYO3424" s="911"/>
      <c r="FYP3424" s="911"/>
      <c r="FYQ3424" s="912"/>
      <c r="FYS3424" s="913" t="s">
        <v>1</v>
      </c>
      <c r="FYT3424" s="31"/>
      <c r="FYU3424" s="909" t="s">
        <v>0</v>
      </c>
      <c r="FYV3424" s="909"/>
      <c r="FYW3424" s="909"/>
      <c r="FYX3424" s="909"/>
      <c r="FYY3424" s="909"/>
      <c r="FYZ3424" s="909"/>
      <c r="FZA3424" s="907" t="s">
        <v>79</v>
      </c>
      <c r="FZB3424" s="909" t="s">
        <v>68</v>
      </c>
      <c r="FZC3424" s="910" t="s">
        <v>75</v>
      </c>
      <c r="FZD3424" s="911"/>
      <c r="FZE3424" s="911"/>
      <c r="FZF3424" s="911"/>
      <c r="FZG3424" s="911"/>
      <c r="FZH3424" s="911"/>
      <c r="FZI3424" s="911"/>
      <c r="FZJ3424" s="911"/>
      <c r="FZK3424" s="911"/>
      <c r="FZL3424" s="911"/>
      <c r="FZM3424" s="32"/>
      <c r="FZN3424" s="911" t="s">
        <v>74</v>
      </c>
      <c r="FZO3424" s="911"/>
      <c r="FZP3424" s="911"/>
      <c r="FZQ3424" s="911"/>
      <c r="FZR3424" s="911"/>
      <c r="FZS3424" s="911"/>
      <c r="FZT3424" s="911"/>
      <c r="FZU3424" s="911"/>
      <c r="FZV3424" s="911"/>
      <c r="FZW3424" s="912"/>
      <c r="FZY3424" s="913" t="s">
        <v>1</v>
      </c>
      <c r="FZZ3424" s="31"/>
      <c r="GAA3424" s="909" t="s">
        <v>0</v>
      </c>
      <c r="GAB3424" s="909"/>
      <c r="GAC3424" s="909"/>
      <c r="GAD3424" s="909"/>
      <c r="GAE3424" s="909"/>
      <c r="GAF3424" s="909"/>
      <c r="GAG3424" s="907" t="s">
        <v>79</v>
      </c>
      <c r="GAH3424" s="909" t="s">
        <v>68</v>
      </c>
      <c r="GAI3424" s="910" t="s">
        <v>75</v>
      </c>
      <c r="GAJ3424" s="911"/>
      <c r="GAK3424" s="911"/>
      <c r="GAL3424" s="911"/>
      <c r="GAM3424" s="911"/>
      <c r="GAN3424" s="911"/>
      <c r="GAO3424" s="911"/>
      <c r="GAP3424" s="911"/>
      <c r="GAQ3424" s="911"/>
      <c r="GAR3424" s="911"/>
      <c r="GAS3424" s="32"/>
      <c r="GAT3424" s="911" t="s">
        <v>74</v>
      </c>
      <c r="GAU3424" s="911"/>
      <c r="GAV3424" s="911"/>
      <c r="GAW3424" s="911"/>
      <c r="GAX3424" s="911"/>
      <c r="GAY3424" s="911"/>
      <c r="GAZ3424" s="911"/>
      <c r="GBA3424" s="911"/>
      <c r="GBB3424" s="911"/>
      <c r="GBC3424" s="912"/>
      <c r="GBE3424" s="913" t="s">
        <v>1</v>
      </c>
      <c r="GBF3424" s="31"/>
      <c r="GBG3424" s="909" t="s">
        <v>0</v>
      </c>
      <c r="GBH3424" s="909"/>
      <c r="GBI3424" s="909"/>
      <c r="GBJ3424" s="909"/>
      <c r="GBK3424" s="909"/>
      <c r="GBL3424" s="909"/>
      <c r="GBM3424" s="907" t="s">
        <v>79</v>
      </c>
      <c r="GBN3424" s="909" t="s">
        <v>68</v>
      </c>
      <c r="GBO3424" s="910" t="s">
        <v>75</v>
      </c>
      <c r="GBP3424" s="911"/>
      <c r="GBQ3424" s="911"/>
      <c r="GBR3424" s="911"/>
      <c r="GBS3424" s="911"/>
      <c r="GBT3424" s="911"/>
      <c r="GBU3424" s="911"/>
      <c r="GBV3424" s="911"/>
      <c r="GBW3424" s="911"/>
      <c r="GBX3424" s="911"/>
      <c r="GBY3424" s="32"/>
      <c r="GBZ3424" s="911" t="s">
        <v>74</v>
      </c>
      <c r="GCA3424" s="911"/>
      <c r="GCB3424" s="911"/>
      <c r="GCC3424" s="911"/>
      <c r="GCD3424" s="911"/>
      <c r="GCE3424" s="911"/>
      <c r="GCF3424" s="911"/>
      <c r="GCG3424" s="911"/>
      <c r="GCH3424" s="911"/>
      <c r="GCI3424" s="912"/>
      <c r="GCK3424" s="913" t="s">
        <v>1</v>
      </c>
      <c r="GCL3424" s="31"/>
      <c r="GCM3424" s="909" t="s">
        <v>0</v>
      </c>
      <c r="GCN3424" s="909"/>
      <c r="GCO3424" s="909"/>
      <c r="GCP3424" s="909"/>
      <c r="GCQ3424" s="909"/>
      <c r="GCR3424" s="909"/>
      <c r="GCS3424" s="907" t="s">
        <v>79</v>
      </c>
      <c r="GCT3424" s="909" t="s">
        <v>68</v>
      </c>
      <c r="GCU3424" s="910" t="s">
        <v>75</v>
      </c>
      <c r="GCV3424" s="911"/>
      <c r="GCW3424" s="911"/>
      <c r="GCX3424" s="911"/>
      <c r="GCY3424" s="911"/>
      <c r="GCZ3424" s="911"/>
      <c r="GDA3424" s="911"/>
      <c r="GDB3424" s="911"/>
      <c r="GDC3424" s="911"/>
      <c r="GDD3424" s="911"/>
      <c r="GDE3424" s="32"/>
      <c r="GDF3424" s="911" t="s">
        <v>74</v>
      </c>
      <c r="GDG3424" s="911"/>
      <c r="GDH3424" s="911"/>
      <c r="GDI3424" s="911"/>
      <c r="GDJ3424" s="911"/>
      <c r="GDK3424" s="911"/>
      <c r="GDL3424" s="911"/>
      <c r="GDM3424" s="911"/>
      <c r="GDN3424" s="911"/>
      <c r="GDO3424" s="912"/>
      <c r="GDQ3424" s="913" t="s">
        <v>1</v>
      </c>
      <c r="GDR3424" s="31"/>
      <c r="GDS3424" s="909" t="s">
        <v>0</v>
      </c>
      <c r="GDT3424" s="909"/>
      <c r="GDU3424" s="909"/>
      <c r="GDV3424" s="909"/>
      <c r="GDW3424" s="909"/>
      <c r="GDX3424" s="909"/>
      <c r="GDY3424" s="907" t="s">
        <v>79</v>
      </c>
      <c r="GDZ3424" s="909" t="s">
        <v>68</v>
      </c>
      <c r="GEA3424" s="910" t="s">
        <v>75</v>
      </c>
      <c r="GEB3424" s="911"/>
      <c r="GEC3424" s="911"/>
      <c r="GED3424" s="911"/>
      <c r="GEE3424" s="911"/>
      <c r="GEF3424" s="911"/>
      <c r="GEG3424" s="911"/>
      <c r="GEH3424" s="911"/>
      <c r="GEI3424" s="911"/>
      <c r="GEJ3424" s="911"/>
      <c r="GEK3424" s="32"/>
      <c r="GEL3424" s="911" t="s">
        <v>74</v>
      </c>
      <c r="GEM3424" s="911"/>
      <c r="GEN3424" s="911"/>
      <c r="GEO3424" s="911"/>
      <c r="GEP3424" s="911"/>
      <c r="GEQ3424" s="911"/>
      <c r="GER3424" s="911"/>
      <c r="GES3424" s="911"/>
      <c r="GET3424" s="911"/>
      <c r="GEU3424" s="912"/>
      <c r="GEW3424" s="913" t="s">
        <v>1</v>
      </c>
      <c r="GEX3424" s="31"/>
      <c r="GEY3424" s="909" t="s">
        <v>0</v>
      </c>
      <c r="GEZ3424" s="909"/>
      <c r="GFA3424" s="909"/>
      <c r="GFB3424" s="909"/>
      <c r="GFC3424" s="909"/>
      <c r="GFD3424" s="909"/>
      <c r="GFE3424" s="907" t="s">
        <v>79</v>
      </c>
      <c r="GFF3424" s="909" t="s">
        <v>68</v>
      </c>
      <c r="GFG3424" s="910" t="s">
        <v>75</v>
      </c>
      <c r="GFH3424" s="911"/>
      <c r="GFI3424" s="911"/>
      <c r="GFJ3424" s="911"/>
      <c r="GFK3424" s="911"/>
      <c r="GFL3424" s="911"/>
      <c r="GFM3424" s="911"/>
      <c r="GFN3424" s="911"/>
      <c r="GFO3424" s="911"/>
      <c r="GFP3424" s="911"/>
      <c r="GFQ3424" s="32"/>
      <c r="GFR3424" s="911" t="s">
        <v>74</v>
      </c>
      <c r="GFS3424" s="911"/>
      <c r="GFT3424" s="911"/>
      <c r="GFU3424" s="911"/>
      <c r="GFV3424" s="911"/>
      <c r="GFW3424" s="911"/>
      <c r="GFX3424" s="911"/>
      <c r="GFY3424" s="911"/>
      <c r="GFZ3424" s="911"/>
      <c r="GGA3424" s="912"/>
      <c r="GGC3424" s="913" t="s">
        <v>1</v>
      </c>
      <c r="GGD3424" s="31"/>
      <c r="GGE3424" s="909" t="s">
        <v>0</v>
      </c>
      <c r="GGF3424" s="909"/>
      <c r="GGG3424" s="909"/>
      <c r="GGH3424" s="909"/>
      <c r="GGI3424" s="909"/>
      <c r="GGJ3424" s="909"/>
      <c r="GGK3424" s="907" t="s">
        <v>79</v>
      </c>
      <c r="GGL3424" s="909" t="s">
        <v>68</v>
      </c>
      <c r="GGM3424" s="910" t="s">
        <v>75</v>
      </c>
      <c r="GGN3424" s="911"/>
      <c r="GGO3424" s="911"/>
      <c r="GGP3424" s="911"/>
      <c r="GGQ3424" s="911"/>
      <c r="GGR3424" s="911"/>
      <c r="GGS3424" s="911"/>
      <c r="GGT3424" s="911"/>
      <c r="GGU3424" s="911"/>
      <c r="GGV3424" s="911"/>
      <c r="GGW3424" s="32"/>
      <c r="GGX3424" s="911" t="s">
        <v>74</v>
      </c>
      <c r="GGY3424" s="911"/>
      <c r="GGZ3424" s="911"/>
      <c r="GHA3424" s="911"/>
      <c r="GHB3424" s="911"/>
      <c r="GHC3424" s="911"/>
      <c r="GHD3424" s="911"/>
      <c r="GHE3424" s="911"/>
      <c r="GHF3424" s="911"/>
      <c r="GHG3424" s="912"/>
      <c r="GHI3424" s="913" t="s">
        <v>1</v>
      </c>
      <c r="GHJ3424" s="31"/>
      <c r="GHK3424" s="909" t="s">
        <v>0</v>
      </c>
      <c r="GHL3424" s="909"/>
      <c r="GHM3424" s="909"/>
      <c r="GHN3424" s="909"/>
      <c r="GHO3424" s="909"/>
      <c r="GHP3424" s="909"/>
      <c r="GHQ3424" s="907" t="s">
        <v>79</v>
      </c>
      <c r="GHR3424" s="909" t="s">
        <v>68</v>
      </c>
      <c r="GHS3424" s="910" t="s">
        <v>75</v>
      </c>
      <c r="GHT3424" s="911"/>
      <c r="GHU3424" s="911"/>
      <c r="GHV3424" s="911"/>
      <c r="GHW3424" s="911"/>
      <c r="GHX3424" s="911"/>
      <c r="GHY3424" s="911"/>
      <c r="GHZ3424" s="911"/>
      <c r="GIA3424" s="911"/>
      <c r="GIB3424" s="911"/>
      <c r="GIC3424" s="32"/>
      <c r="GID3424" s="911" t="s">
        <v>74</v>
      </c>
      <c r="GIE3424" s="911"/>
      <c r="GIF3424" s="911"/>
      <c r="GIG3424" s="911"/>
      <c r="GIH3424" s="911"/>
      <c r="GII3424" s="911"/>
      <c r="GIJ3424" s="911"/>
      <c r="GIK3424" s="911"/>
      <c r="GIL3424" s="911"/>
      <c r="GIM3424" s="912"/>
      <c r="GIO3424" s="913" t="s">
        <v>1</v>
      </c>
      <c r="GIP3424" s="31"/>
      <c r="GIQ3424" s="909" t="s">
        <v>0</v>
      </c>
      <c r="GIR3424" s="909"/>
      <c r="GIS3424" s="909"/>
      <c r="GIT3424" s="909"/>
      <c r="GIU3424" s="909"/>
      <c r="GIV3424" s="909"/>
      <c r="GIW3424" s="907" t="s">
        <v>79</v>
      </c>
      <c r="GIX3424" s="909" t="s">
        <v>68</v>
      </c>
      <c r="GIY3424" s="910" t="s">
        <v>75</v>
      </c>
      <c r="GIZ3424" s="911"/>
      <c r="GJA3424" s="911"/>
      <c r="GJB3424" s="911"/>
      <c r="GJC3424" s="911"/>
      <c r="GJD3424" s="911"/>
      <c r="GJE3424" s="911"/>
      <c r="GJF3424" s="911"/>
      <c r="GJG3424" s="911"/>
      <c r="GJH3424" s="911"/>
      <c r="GJI3424" s="32"/>
      <c r="GJJ3424" s="911" t="s">
        <v>74</v>
      </c>
      <c r="GJK3424" s="911"/>
      <c r="GJL3424" s="911"/>
      <c r="GJM3424" s="911"/>
      <c r="GJN3424" s="911"/>
      <c r="GJO3424" s="911"/>
      <c r="GJP3424" s="911"/>
      <c r="GJQ3424" s="911"/>
      <c r="GJR3424" s="911"/>
      <c r="GJS3424" s="912"/>
      <c r="GJU3424" s="913" t="s">
        <v>1</v>
      </c>
      <c r="GJV3424" s="31"/>
      <c r="GJW3424" s="909" t="s">
        <v>0</v>
      </c>
      <c r="GJX3424" s="909"/>
      <c r="GJY3424" s="909"/>
      <c r="GJZ3424" s="909"/>
      <c r="GKA3424" s="909"/>
      <c r="GKB3424" s="909"/>
      <c r="GKC3424" s="907" t="s">
        <v>79</v>
      </c>
      <c r="GKD3424" s="909" t="s">
        <v>68</v>
      </c>
      <c r="GKE3424" s="910" t="s">
        <v>75</v>
      </c>
      <c r="GKF3424" s="911"/>
      <c r="GKG3424" s="911"/>
      <c r="GKH3424" s="911"/>
      <c r="GKI3424" s="911"/>
      <c r="GKJ3424" s="911"/>
      <c r="GKK3424" s="911"/>
      <c r="GKL3424" s="911"/>
      <c r="GKM3424" s="911"/>
      <c r="GKN3424" s="911"/>
      <c r="GKO3424" s="32"/>
      <c r="GKP3424" s="911" t="s">
        <v>74</v>
      </c>
      <c r="GKQ3424" s="911"/>
      <c r="GKR3424" s="911"/>
      <c r="GKS3424" s="911"/>
      <c r="GKT3424" s="911"/>
      <c r="GKU3424" s="911"/>
      <c r="GKV3424" s="911"/>
      <c r="GKW3424" s="911"/>
      <c r="GKX3424" s="911"/>
      <c r="GKY3424" s="912"/>
      <c r="GLA3424" s="913" t="s">
        <v>1</v>
      </c>
      <c r="GLB3424" s="31"/>
      <c r="GLC3424" s="909" t="s">
        <v>0</v>
      </c>
      <c r="GLD3424" s="909"/>
      <c r="GLE3424" s="909"/>
      <c r="GLF3424" s="909"/>
      <c r="GLG3424" s="909"/>
      <c r="GLH3424" s="909"/>
      <c r="GLI3424" s="907" t="s">
        <v>79</v>
      </c>
      <c r="GLJ3424" s="909" t="s">
        <v>68</v>
      </c>
      <c r="GLK3424" s="910" t="s">
        <v>75</v>
      </c>
      <c r="GLL3424" s="911"/>
      <c r="GLM3424" s="911"/>
      <c r="GLN3424" s="911"/>
      <c r="GLO3424" s="911"/>
      <c r="GLP3424" s="911"/>
      <c r="GLQ3424" s="911"/>
      <c r="GLR3424" s="911"/>
      <c r="GLS3424" s="911"/>
      <c r="GLT3424" s="911"/>
      <c r="GLU3424" s="32"/>
      <c r="GLV3424" s="911" t="s">
        <v>74</v>
      </c>
      <c r="GLW3424" s="911"/>
      <c r="GLX3424" s="911"/>
      <c r="GLY3424" s="911"/>
      <c r="GLZ3424" s="911"/>
      <c r="GMA3424" s="911"/>
      <c r="GMB3424" s="911"/>
      <c r="GMC3424" s="911"/>
      <c r="GMD3424" s="911"/>
      <c r="GME3424" s="912"/>
      <c r="GMG3424" s="913" t="s">
        <v>1</v>
      </c>
      <c r="GMH3424" s="31"/>
      <c r="GMI3424" s="909" t="s">
        <v>0</v>
      </c>
      <c r="GMJ3424" s="909"/>
      <c r="GMK3424" s="909"/>
      <c r="GML3424" s="909"/>
      <c r="GMM3424" s="909"/>
      <c r="GMN3424" s="909"/>
      <c r="GMO3424" s="907" t="s">
        <v>79</v>
      </c>
      <c r="GMP3424" s="909" t="s">
        <v>68</v>
      </c>
      <c r="GMQ3424" s="910" t="s">
        <v>75</v>
      </c>
      <c r="GMR3424" s="911"/>
      <c r="GMS3424" s="911"/>
      <c r="GMT3424" s="911"/>
      <c r="GMU3424" s="911"/>
      <c r="GMV3424" s="911"/>
      <c r="GMW3424" s="911"/>
      <c r="GMX3424" s="911"/>
      <c r="GMY3424" s="911"/>
      <c r="GMZ3424" s="911"/>
      <c r="GNA3424" s="32"/>
      <c r="GNB3424" s="911" t="s">
        <v>74</v>
      </c>
      <c r="GNC3424" s="911"/>
      <c r="GND3424" s="911"/>
      <c r="GNE3424" s="911"/>
      <c r="GNF3424" s="911"/>
      <c r="GNG3424" s="911"/>
      <c r="GNH3424" s="911"/>
      <c r="GNI3424" s="911"/>
      <c r="GNJ3424" s="911"/>
      <c r="GNK3424" s="912"/>
      <c r="GNM3424" s="913" t="s">
        <v>1</v>
      </c>
      <c r="GNN3424" s="31"/>
      <c r="GNO3424" s="909" t="s">
        <v>0</v>
      </c>
      <c r="GNP3424" s="909"/>
      <c r="GNQ3424" s="909"/>
      <c r="GNR3424" s="909"/>
      <c r="GNS3424" s="909"/>
      <c r="GNT3424" s="909"/>
      <c r="GNU3424" s="907" t="s">
        <v>79</v>
      </c>
      <c r="GNV3424" s="909" t="s">
        <v>68</v>
      </c>
      <c r="GNW3424" s="910" t="s">
        <v>75</v>
      </c>
      <c r="GNX3424" s="911"/>
      <c r="GNY3424" s="911"/>
      <c r="GNZ3424" s="911"/>
      <c r="GOA3424" s="911"/>
      <c r="GOB3424" s="911"/>
      <c r="GOC3424" s="911"/>
      <c r="GOD3424" s="911"/>
      <c r="GOE3424" s="911"/>
      <c r="GOF3424" s="911"/>
      <c r="GOG3424" s="32"/>
      <c r="GOH3424" s="911" t="s">
        <v>74</v>
      </c>
      <c r="GOI3424" s="911"/>
      <c r="GOJ3424" s="911"/>
      <c r="GOK3424" s="911"/>
      <c r="GOL3424" s="911"/>
      <c r="GOM3424" s="911"/>
      <c r="GON3424" s="911"/>
      <c r="GOO3424" s="911"/>
      <c r="GOP3424" s="911"/>
      <c r="GOQ3424" s="912"/>
      <c r="GOS3424" s="913" t="s">
        <v>1</v>
      </c>
      <c r="GOT3424" s="31"/>
      <c r="GOU3424" s="909" t="s">
        <v>0</v>
      </c>
      <c r="GOV3424" s="909"/>
      <c r="GOW3424" s="909"/>
      <c r="GOX3424" s="909"/>
      <c r="GOY3424" s="909"/>
      <c r="GOZ3424" s="909"/>
      <c r="GPA3424" s="907" t="s">
        <v>79</v>
      </c>
      <c r="GPB3424" s="909" t="s">
        <v>68</v>
      </c>
      <c r="GPC3424" s="910" t="s">
        <v>75</v>
      </c>
      <c r="GPD3424" s="911"/>
      <c r="GPE3424" s="911"/>
      <c r="GPF3424" s="911"/>
      <c r="GPG3424" s="911"/>
      <c r="GPH3424" s="911"/>
      <c r="GPI3424" s="911"/>
      <c r="GPJ3424" s="911"/>
      <c r="GPK3424" s="911"/>
      <c r="GPL3424" s="911"/>
      <c r="GPM3424" s="32"/>
      <c r="GPN3424" s="911" t="s">
        <v>74</v>
      </c>
      <c r="GPO3424" s="911"/>
      <c r="GPP3424" s="911"/>
      <c r="GPQ3424" s="911"/>
      <c r="GPR3424" s="911"/>
      <c r="GPS3424" s="911"/>
      <c r="GPT3424" s="911"/>
      <c r="GPU3424" s="911"/>
      <c r="GPV3424" s="911"/>
      <c r="GPW3424" s="912"/>
      <c r="GPY3424" s="913" t="s">
        <v>1</v>
      </c>
      <c r="GPZ3424" s="31"/>
      <c r="GQA3424" s="909" t="s">
        <v>0</v>
      </c>
      <c r="GQB3424" s="909"/>
      <c r="GQC3424" s="909"/>
      <c r="GQD3424" s="909"/>
      <c r="GQE3424" s="909"/>
      <c r="GQF3424" s="909"/>
      <c r="GQG3424" s="907" t="s">
        <v>79</v>
      </c>
      <c r="GQH3424" s="909" t="s">
        <v>68</v>
      </c>
      <c r="GQI3424" s="910" t="s">
        <v>75</v>
      </c>
      <c r="GQJ3424" s="911"/>
      <c r="GQK3424" s="911"/>
      <c r="GQL3424" s="911"/>
      <c r="GQM3424" s="911"/>
      <c r="GQN3424" s="911"/>
      <c r="GQO3424" s="911"/>
      <c r="GQP3424" s="911"/>
      <c r="GQQ3424" s="911"/>
      <c r="GQR3424" s="911"/>
      <c r="GQS3424" s="32"/>
      <c r="GQT3424" s="911" t="s">
        <v>74</v>
      </c>
      <c r="GQU3424" s="911"/>
      <c r="GQV3424" s="911"/>
      <c r="GQW3424" s="911"/>
      <c r="GQX3424" s="911"/>
      <c r="GQY3424" s="911"/>
      <c r="GQZ3424" s="911"/>
      <c r="GRA3424" s="911"/>
      <c r="GRB3424" s="911"/>
      <c r="GRC3424" s="912"/>
      <c r="GRE3424" s="913" t="s">
        <v>1</v>
      </c>
      <c r="GRF3424" s="31"/>
      <c r="GRG3424" s="909" t="s">
        <v>0</v>
      </c>
      <c r="GRH3424" s="909"/>
      <c r="GRI3424" s="909"/>
      <c r="GRJ3424" s="909"/>
      <c r="GRK3424" s="909"/>
      <c r="GRL3424" s="909"/>
      <c r="GRM3424" s="907" t="s">
        <v>79</v>
      </c>
      <c r="GRN3424" s="909" t="s">
        <v>68</v>
      </c>
      <c r="GRO3424" s="910" t="s">
        <v>75</v>
      </c>
      <c r="GRP3424" s="911"/>
      <c r="GRQ3424" s="911"/>
      <c r="GRR3424" s="911"/>
      <c r="GRS3424" s="911"/>
      <c r="GRT3424" s="911"/>
      <c r="GRU3424" s="911"/>
      <c r="GRV3424" s="911"/>
      <c r="GRW3424" s="911"/>
      <c r="GRX3424" s="911"/>
      <c r="GRY3424" s="32"/>
      <c r="GRZ3424" s="911" t="s">
        <v>74</v>
      </c>
      <c r="GSA3424" s="911"/>
      <c r="GSB3424" s="911"/>
      <c r="GSC3424" s="911"/>
      <c r="GSD3424" s="911"/>
      <c r="GSE3424" s="911"/>
      <c r="GSF3424" s="911"/>
      <c r="GSG3424" s="911"/>
      <c r="GSH3424" s="911"/>
      <c r="GSI3424" s="912"/>
      <c r="GSK3424" s="913" t="s">
        <v>1</v>
      </c>
      <c r="GSL3424" s="31"/>
      <c r="GSM3424" s="909" t="s">
        <v>0</v>
      </c>
      <c r="GSN3424" s="909"/>
      <c r="GSO3424" s="909"/>
      <c r="GSP3424" s="909"/>
      <c r="GSQ3424" s="909"/>
      <c r="GSR3424" s="909"/>
      <c r="GSS3424" s="907" t="s">
        <v>79</v>
      </c>
      <c r="GST3424" s="909" t="s">
        <v>68</v>
      </c>
      <c r="GSU3424" s="910" t="s">
        <v>75</v>
      </c>
      <c r="GSV3424" s="911"/>
      <c r="GSW3424" s="911"/>
      <c r="GSX3424" s="911"/>
      <c r="GSY3424" s="911"/>
      <c r="GSZ3424" s="911"/>
      <c r="GTA3424" s="911"/>
      <c r="GTB3424" s="911"/>
      <c r="GTC3424" s="911"/>
      <c r="GTD3424" s="911"/>
      <c r="GTE3424" s="32"/>
      <c r="GTF3424" s="911" t="s">
        <v>74</v>
      </c>
      <c r="GTG3424" s="911"/>
      <c r="GTH3424" s="911"/>
      <c r="GTI3424" s="911"/>
      <c r="GTJ3424" s="911"/>
      <c r="GTK3424" s="911"/>
      <c r="GTL3424" s="911"/>
      <c r="GTM3424" s="911"/>
      <c r="GTN3424" s="911"/>
      <c r="GTO3424" s="912"/>
      <c r="GTQ3424" s="913" t="s">
        <v>1</v>
      </c>
      <c r="GTR3424" s="31"/>
      <c r="GTS3424" s="909" t="s">
        <v>0</v>
      </c>
      <c r="GTT3424" s="909"/>
      <c r="GTU3424" s="909"/>
      <c r="GTV3424" s="909"/>
      <c r="GTW3424" s="909"/>
      <c r="GTX3424" s="909"/>
      <c r="GTY3424" s="907" t="s">
        <v>79</v>
      </c>
      <c r="GTZ3424" s="909" t="s">
        <v>68</v>
      </c>
      <c r="GUA3424" s="910" t="s">
        <v>75</v>
      </c>
      <c r="GUB3424" s="911"/>
      <c r="GUC3424" s="911"/>
      <c r="GUD3424" s="911"/>
      <c r="GUE3424" s="911"/>
      <c r="GUF3424" s="911"/>
      <c r="GUG3424" s="911"/>
      <c r="GUH3424" s="911"/>
      <c r="GUI3424" s="911"/>
      <c r="GUJ3424" s="911"/>
      <c r="GUK3424" s="32"/>
      <c r="GUL3424" s="911" t="s">
        <v>74</v>
      </c>
      <c r="GUM3424" s="911"/>
      <c r="GUN3424" s="911"/>
      <c r="GUO3424" s="911"/>
      <c r="GUP3424" s="911"/>
      <c r="GUQ3424" s="911"/>
      <c r="GUR3424" s="911"/>
      <c r="GUS3424" s="911"/>
      <c r="GUT3424" s="911"/>
      <c r="GUU3424" s="912"/>
      <c r="GUW3424" s="913" t="s">
        <v>1</v>
      </c>
      <c r="GUX3424" s="31"/>
      <c r="GUY3424" s="909" t="s">
        <v>0</v>
      </c>
      <c r="GUZ3424" s="909"/>
      <c r="GVA3424" s="909"/>
      <c r="GVB3424" s="909"/>
      <c r="GVC3424" s="909"/>
      <c r="GVD3424" s="909"/>
      <c r="GVE3424" s="907" t="s">
        <v>79</v>
      </c>
      <c r="GVF3424" s="909" t="s">
        <v>68</v>
      </c>
      <c r="GVG3424" s="910" t="s">
        <v>75</v>
      </c>
      <c r="GVH3424" s="911"/>
      <c r="GVI3424" s="911"/>
      <c r="GVJ3424" s="911"/>
      <c r="GVK3424" s="911"/>
      <c r="GVL3424" s="911"/>
      <c r="GVM3424" s="911"/>
      <c r="GVN3424" s="911"/>
      <c r="GVO3424" s="911"/>
      <c r="GVP3424" s="911"/>
      <c r="GVQ3424" s="32"/>
      <c r="GVR3424" s="911" t="s">
        <v>74</v>
      </c>
      <c r="GVS3424" s="911"/>
      <c r="GVT3424" s="911"/>
      <c r="GVU3424" s="911"/>
      <c r="GVV3424" s="911"/>
      <c r="GVW3424" s="911"/>
      <c r="GVX3424" s="911"/>
      <c r="GVY3424" s="911"/>
      <c r="GVZ3424" s="911"/>
      <c r="GWA3424" s="912"/>
      <c r="GWC3424" s="913" t="s">
        <v>1</v>
      </c>
      <c r="GWD3424" s="31"/>
      <c r="GWE3424" s="909" t="s">
        <v>0</v>
      </c>
      <c r="GWF3424" s="909"/>
      <c r="GWG3424" s="909"/>
      <c r="GWH3424" s="909"/>
      <c r="GWI3424" s="909"/>
      <c r="GWJ3424" s="909"/>
      <c r="GWK3424" s="907" t="s">
        <v>79</v>
      </c>
      <c r="GWL3424" s="909" t="s">
        <v>68</v>
      </c>
      <c r="GWM3424" s="910" t="s">
        <v>75</v>
      </c>
      <c r="GWN3424" s="911"/>
      <c r="GWO3424" s="911"/>
      <c r="GWP3424" s="911"/>
      <c r="GWQ3424" s="911"/>
      <c r="GWR3424" s="911"/>
      <c r="GWS3424" s="911"/>
      <c r="GWT3424" s="911"/>
      <c r="GWU3424" s="911"/>
      <c r="GWV3424" s="911"/>
      <c r="GWW3424" s="32"/>
      <c r="GWX3424" s="911" t="s">
        <v>74</v>
      </c>
      <c r="GWY3424" s="911"/>
      <c r="GWZ3424" s="911"/>
      <c r="GXA3424" s="911"/>
      <c r="GXB3424" s="911"/>
      <c r="GXC3424" s="911"/>
      <c r="GXD3424" s="911"/>
      <c r="GXE3424" s="911"/>
      <c r="GXF3424" s="911"/>
      <c r="GXG3424" s="912"/>
      <c r="GXI3424" s="913" t="s">
        <v>1</v>
      </c>
      <c r="GXJ3424" s="31"/>
      <c r="GXK3424" s="909" t="s">
        <v>0</v>
      </c>
      <c r="GXL3424" s="909"/>
      <c r="GXM3424" s="909"/>
      <c r="GXN3424" s="909"/>
      <c r="GXO3424" s="909"/>
      <c r="GXP3424" s="909"/>
      <c r="GXQ3424" s="907" t="s">
        <v>79</v>
      </c>
      <c r="GXR3424" s="909" t="s">
        <v>68</v>
      </c>
      <c r="GXS3424" s="910" t="s">
        <v>75</v>
      </c>
      <c r="GXT3424" s="911"/>
      <c r="GXU3424" s="911"/>
      <c r="GXV3424" s="911"/>
      <c r="GXW3424" s="911"/>
      <c r="GXX3424" s="911"/>
      <c r="GXY3424" s="911"/>
      <c r="GXZ3424" s="911"/>
      <c r="GYA3424" s="911"/>
      <c r="GYB3424" s="911"/>
      <c r="GYC3424" s="32"/>
      <c r="GYD3424" s="911" t="s">
        <v>74</v>
      </c>
      <c r="GYE3424" s="911"/>
      <c r="GYF3424" s="911"/>
      <c r="GYG3424" s="911"/>
      <c r="GYH3424" s="911"/>
      <c r="GYI3424" s="911"/>
      <c r="GYJ3424" s="911"/>
      <c r="GYK3424" s="911"/>
      <c r="GYL3424" s="911"/>
      <c r="GYM3424" s="912"/>
      <c r="GYO3424" s="913" t="s">
        <v>1</v>
      </c>
      <c r="GYP3424" s="31"/>
      <c r="GYQ3424" s="909" t="s">
        <v>0</v>
      </c>
      <c r="GYR3424" s="909"/>
      <c r="GYS3424" s="909"/>
      <c r="GYT3424" s="909"/>
      <c r="GYU3424" s="909"/>
      <c r="GYV3424" s="909"/>
      <c r="GYW3424" s="907" t="s">
        <v>79</v>
      </c>
      <c r="GYX3424" s="909" t="s">
        <v>68</v>
      </c>
      <c r="GYY3424" s="910" t="s">
        <v>75</v>
      </c>
      <c r="GYZ3424" s="911"/>
      <c r="GZA3424" s="911"/>
      <c r="GZB3424" s="911"/>
      <c r="GZC3424" s="911"/>
      <c r="GZD3424" s="911"/>
      <c r="GZE3424" s="911"/>
      <c r="GZF3424" s="911"/>
      <c r="GZG3424" s="911"/>
      <c r="GZH3424" s="911"/>
      <c r="GZI3424" s="32"/>
      <c r="GZJ3424" s="911" t="s">
        <v>74</v>
      </c>
      <c r="GZK3424" s="911"/>
      <c r="GZL3424" s="911"/>
      <c r="GZM3424" s="911"/>
      <c r="GZN3424" s="911"/>
      <c r="GZO3424" s="911"/>
      <c r="GZP3424" s="911"/>
      <c r="GZQ3424" s="911"/>
      <c r="GZR3424" s="911"/>
      <c r="GZS3424" s="912"/>
      <c r="GZU3424" s="913" t="s">
        <v>1</v>
      </c>
      <c r="GZV3424" s="31"/>
      <c r="GZW3424" s="909" t="s">
        <v>0</v>
      </c>
      <c r="GZX3424" s="909"/>
      <c r="GZY3424" s="909"/>
      <c r="GZZ3424" s="909"/>
      <c r="HAA3424" s="909"/>
      <c r="HAB3424" s="909"/>
      <c r="HAC3424" s="907" t="s">
        <v>79</v>
      </c>
      <c r="HAD3424" s="909" t="s">
        <v>68</v>
      </c>
      <c r="HAE3424" s="910" t="s">
        <v>75</v>
      </c>
      <c r="HAF3424" s="911"/>
      <c r="HAG3424" s="911"/>
      <c r="HAH3424" s="911"/>
      <c r="HAI3424" s="911"/>
      <c r="HAJ3424" s="911"/>
      <c r="HAK3424" s="911"/>
      <c r="HAL3424" s="911"/>
      <c r="HAM3424" s="911"/>
      <c r="HAN3424" s="911"/>
      <c r="HAO3424" s="32"/>
      <c r="HAP3424" s="911" t="s">
        <v>74</v>
      </c>
      <c r="HAQ3424" s="911"/>
      <c r="HAR3424" s="911"/>
      <c r="HAS3424" s="911"/>
      <c r="HAT3424" s="911"/>
      <c r="HAU3424" s="911"/>
      <c r="HAV3424" s="911"/>
      <c r="HAW3424" s="911"/>
      <c r="HAX3424" s="911"/>
      <c r="HAY3424" s="912"/>
      <c r="HBA3424" s="913" t="s">
        <v>1</v>
      </c>
      <c r="HBB3424" s="31"/>
      <c r="HBC3424" s="909" t="s">
        <v>0</v>
      </c>
      <c r="HBD3424" s="909"/>
      <c r="HBE3424" s="909"/>
      <c r="HBF3424" s="909"/>
      <c r="HBG3424" s="909"/>
      <c r="HBH3424" s="909"/>
      <c r="HBI3424" s="907" t="s">
        <v>79</v>
      </c>
      <c r="HBJ3424" s="909" t="s">
        <v>68</v>
      </c>
      <c r="HBK3424" s="910" t="s">
        <v>75</v>
      </c>
      <c r="HBL3424" s="911"/>
      <c r="HBM3424" s="911"/>
      <c r="HBN3424" s="911"/>
      <c r="HBO3424" s="911"/>
      <c r="HBP3424" s="911"/>
      <c r="HBQ3424" s="911"/>
      <c r="HBR3424" s="911"/>
      <c r="HBS3424" s="911"/>
      <c r="HBT3424" s="911"/>
      <c r="HBU3424" s="32"/>
      <c r="HBV3424" s="911" t="s">
        <v>74</v>
      </c>
      <c r="HBW3424" s="911"/>
      <c r="HBX3424" s="911"/>
      <c r="HBY3424" s="911"/>
      <c r="HBZ3424" s="911"/>
      <c r="HCA3424" s="911"/>
      <c r="HCB3424" s="911"/>
      <c r="HCC3424" s="911"/>
      <c r="HCD3424" s="911"/>
      <c r="HCE3424" s="912"/>
      <c r="HCG3424" s="913" t="s">
        <v>1</v>
      </c>
      <c r="HCH3424" s="31"/>
      <c r="HCI3424" s="909" t="s">
        <v>0</v>
      </c>
      <c r="HCJ3424" s="909"/>
      <c r="HCK3424" s="909"/>
      <c r="HCL3424" s="909"/>
      <c r="HCM3424" s="909"/>
      <c r="HCN3424" s="909"/>
      <c r="HCO3424" s="907" t="s">
        <v>79</v>
      </c>
      <c r="HCP3424" s="909" t="s">
        <v>68</v>
      </c>
      <c r="HCQ3424" s="910" t="s">
        <v>75</v>
      </c>
      <c r="HCR3424" s="911"/>
      <c r="HCS3424" s="911"/>
      <c r="HCT3424" s="911"/>
      <c r="HCU3424" s="911"/>
      <c r="HCV3424" s="911"/>
      <c r="HCW3424" s="911"/>
      <c r="HCX3424" s="911"/>
      <c r="HCY3424" s="911"/>
      <c r="HCZ3424" s="911"/>
      <c r="HDA3424" s="32"/>
      <c r="HDB3424" s="911" t="s">
        <v>74</v>
      </c>
      <c r="HDC3424" s="911"/>
      <c r="HDD3424" s="911"/>
      <c r="HDE3424" s="911"/>
      <c r="HDF3424" s="911"/>
      <c r="HDG3424" s="911"/>
      <c r="HDH3424" s="911"/>
      <c r="HDI3424" s="911"/>
      <c r="HDJ3424" s="911"/>
      <c r="HDK3424" s="912"/>
      <c r="HDM3424" s="913" t="s">
        <v>1</v>
      </c>
      <c r="HDN3424" s="31"/>
      <c r="HDO3424" s="909" t="s">
        <v>0</v>
      </c>
      <c r="HDP3424" s="909"/>
      <c r="HDQ3424" s="909"/>
      <c r="HDR3424" s="909"/>
      <c r="HDS3424" s="909"/>
      <c r="HDT3424" s="909"/>
      <c r="HDU3424" s="907" t="s">
        <v>79</v>
      </c>
      <c r="HDV3424" s="909" t="s">
        <v>68</v>
      </c>
      <c r="HDW3424" s="910" t="s">
        <v>75</v>
      </c>
      <c r="HDX3424" s="911"/>
      <c r="HDY3424" s="911"/>
      <c r="HDZ3424" s="911"/>
      <c r="HEA3424" s="911"/>
      <c r="HEB3424" s="911"/>
      <c r="HEC3424" s="911"/>
      <c r="HED3424" s="911"/>
      <c r="HEE3424" s="911"/>
      <c r="HEF3424" s="911"/>
      <c r="HEG3424" s="32"/>
      <c r="HEH3424" s="911" t="s">
        <v>74</v>
      </c>
      <c r="HEI3424" s="911"/>
      <c r="HEJ3424" s="911"/>
      <c r="HEK3424" s="911"/>
      <c r="HEL3424" s="911"/>
      <c r="HEM3424" s="911"/>
      <c r="HEN3424" s="911"/>
      <c r="HEO3424" s="911"/>
      <c r="HEP3424" s="911"/>
      <c r="HEQ3424" s="912"/>
      <c r="HES3424" s="913" t="s">
        <v>1</v>
      </c>
      <c r="HET3424" s="31"/>
      <c r="HEU3424" s="909" t="s">
        <v>0</v>
      </c>
      <c r="HEV3424" s="909"/>
      <c r="HEW3424" s="909"/>
      <c r="HEX3424" s="909"/>
      <c r="HEY3424" s="909"/>
      <c r="HEZ3424" s="909"/>
      <c r="HFA3424" s="907" t="s">
        <v>79</v>
      </c>
      <c r="HFB3424" s="909" t="s">
        <v>68</v>
      </c>
      <c r="HFC3424" s="910" t="s">
        <v>75</v>
      </c>
      <c r="HFD3424" s="911"/>
      <c r="HFE3424" s="911"/>
      <c r="HFF3424" s="911"/>
      <c r="HFG3424" s="911"/>
      <c r="HFH3424" s="911"/>
      <c r="HFI3424" s="911"/>
      <c r="HFJ3424" s="911"/>
      <c r="HFK3424" s="911"/>
      <c r="HFL3424" s="911"/>
      <c r="HFM3424" s="32"/>
      <c r="HFN3424" s="911" t="s">
        <v>74</v>
      </c>
      <c r="HFO3424" s="911"/>
      <c r="HFP3424" s="911"/>
      <c r="HFQ3424" s="911"/>
      <c r="HFR3424" s="911"/>
      <c r="HFS3424" s="911"/>
      <c r="HFT3424" s="911"/>
      <c r="HFU3424" s="911"/>
      <c r="HFV3424" s="911"/>
      <c r="HFW3424" s="912"/>
      <c r="HFY3424" s="913" t="s">
        <v>1</v>
      </c>
      <c r="HFZ3424" s="31"/>
      <c r="HGA3424" s="909" t="s">
        <v>0</v>
      </c>
      <c r="HGB3424" s="909"/>
      <c r="HGC3424" s="909"/>
      <c r="HGD3424" s="909"/>
      <c r="HGE3424" s="909"/>
      <c r="HGF3424" s="909"/>
      <c r="HGG3424" s="907" t="s">
        <v>79</v>
      </c>
      <c r="HGH3424" s="909" t="s">
        <v>68</v>
      </c>
      <c r="HGI3424" s="910" t="s">
        <v>75</v>
      </c>
      <c r="HGJ3424" s="911"/>
      <c r="HGK3424" s="911"/>
      <c r="HGL3424" s="911"/>
      <c r="HGM3424" s="911"/>
      <c r="HGN3424" s="911"/>
      <c r="HGO3424" s="911"/>
      <c r="HGP3424" s="911"/>
      <c r="HGQ3424" s="911"/>
      <c r="HGR3424" s="911"/>
      <c r="HGS3424" s="32"/>
      <c r="HGT3424" s="911" t="s">
        <v>74</v>
      </c>
      <c r="HGU3424" s="911"/>
      <c r="HGV3424" s="911"/>
      <c r="HGW3424" s="911"/>
      <c r="HGX3424" s="911"/>
      <c r="HGY3424" s="911"/>
      <c r="HGZ3424" s="911"/>
      <c r="HHA3424" s="911"/>
      <c r="HHB3424" s="911"/>
      <c r="HHC3424" s="912"/>
      <c r="HHE3424" s="913" t="s">
        <v>1</v>
      </c>
      <c r="HHF3424" s="31"/>
      <c r="HHG3424" s="909" t="s">
        <v>0</v>
      </c>
      <c r="HHH3424" s="909"/>
      <c r="HHI3424" s="909"/>
      <c r="HHJ3424" s="909"/>
      <c r="HHK3424" s="909"/>
      <c r="HHL3424" s="909"/>
      <c r="HHM3424" s="907" t="s">
        <v>79</v>
      </c>
      <c r="HHN3424" s="909" t="s">
        <v>68</v>
      </c>
      <c r="HHO3424" s="910" t="s">
        <v>75</v>
      </c>
      <c r="HHP3424" s="911"/>
      <c r="HHQ3424" s="911"/>
      <c r="HHR3424" s="911"/>
      <c r="HHS3424" s="911"/>
      <c r="HHT3424" s="911"/>
      <c r="HHU3424" s="911"/>
      <c r="HHV3424" s="911"/>
      <c r="HHW3424" s="911"/>
      <c r="HHX3424" s="911"/>
      <c r="HHY3424" s="32"/>
      <c r="HHZ3424" s="911" t="s">
        <v>74</v>
      </c>
      <c r="HIA3424" s="911"/>
      <c r="HIB3424" s="911"/>
      <c r="HIC3424" s="911"/>
      <c r="HID3424" s="911"/>
      <c r="HIE3424" s="911"/>
      <c r="HIF3424" s="911"/>
      <c r="HIG3424" s="911"/>
      <c r="HIH3424" s="911"/>
      <c r="HII3424" s="912"/>
      <c r="HIK3424" s="913" t="s">
        <v>1</v>
      </c>
      <c r="HIL3424" s="31"/>
      <c r="HIM3424" s="909" t="s">
        <v>0</v>
      </c>
      <c r="HIN3424" s="909"/>
      <c r="HIO3424" s="909"/>
      <c r="HIP3424" s="909"/>
      <c r="HIQ3424" s="909"/>
      <c r="HIR3424" s="909"/>
      <c r="HIS3424" s="907" t="s">
        <v>79</v>
      </c>
      <c r="HIT3424" s="909" t="s">
        <v>68</v>
      </c>
      <c r="HIU3424" s="910" t="s">
        <v>75</v>
      </c>
      <c r="HIV3424" s="911"/>
      <c r="HIW3424" s="911"/>
      <c r="HIX3424" s="911"/>
      <c r="HIY3424" s="911"/>
      <c r="HIZ3424" s="911"/>
      <c r="HJA3424" s="911"/>
      <c r="HJB3424" s="911"/>
      <c r="HJC3424" s="911"/>
      <c r="HJD3424" s="911"/>
      <c r="HJE3424" s="32"/>
      <c r="HJF3424" s="911" t="s">
        <v>74</v>
      </c>
      <c r="HJG3424" s="911"/>
      <c r="HJH3424" s="911"/>
      <c r="HJI3424" s="911"/>
      <c r="HJJ3424" s="911"/>
      <c r="HJK3424" s="911"/>
      <c r="HJL3424" s="911"/>
      <c r="HJM3424" s="911"/>
      <c r="HJN3424" s="911"/>
      <c r="HJO3424" s="912"/>
      <c r="HJQ3424" s="913" t="s">
        <v>1</v>
      </c>
      <c r="HJR3424" s="31"/>
      <c r="HJS3424" s="909" t="s">
        <v>0</v>
      </c>
      <c r="HJT3424" s="909"/>
      <c r="HJU3424" s="909"/>
      <c r="HJV3424" s="909"/>
      <c r="HJW3424" s="909"/>
      <c r="HJX3424" s="909"/>
      <c r="HJY3424" s="907" t="s">
        <v>79</v>
      </c>
      <c r="HJZ3424" s="909" t="s">
        <v>68</v>
      </c>
      <c r="HKA3424" s="910" t="s">
        <v>75</v>
      </c>
      <c r="HKB3424" s="911"/>
      <c r="HKC3424" s="911"/>
      <c r="HKD3424" s="911"/>
      <c r="HKE3424" s="911"/>
      <c r="HKF3424" s="911"/>
      <c r="HKG3424" s="911"/>
      <c r="HKH3424" s="911"/>
      <c r="HKI3424" s="911"/>
      <c r="HKJ3424" s="911"/>
      <c r="HKK3424" s="32"/>
      <c r="HKL3424" s="911" t="s">
        <v>74</v>
      </c>
      <c r="HKM3424" s="911"/>
      <c r="HKN3424" s="911"/>
      <c r="HKO3424" s="911"/>
      <c r="HKP3424" s="911"/>
      <c r="HKQ3424" s="911"/>
      <c r="HKR3424" s="911"/>
      <c r="HKS3424" s="911"/>
      <c r="HKT3424" s="911"/>
      <c r="HKU3424" s="912"/>
      <c r="HKW3424" s="913" t="s">
        <v>1</v>
      </c>
      <c r="HKX3424" s="31"/>
      <c r="HKY3424" s="909" t="s">
        <v>0</v>
      </c>
      <c r="HKZ3424" s="909"/>
      <c r="HLA3424" s="909"/>
      <c r="HLB3424" s="909"/>
      <c r="HLC3424" s="909"/>
      <c r="HLD3424" s="909"/>
      <c r="HLE3424" s="907" t="s">
        <v>79</v>
      </c>
      <c r="HLF3424" s="909" t="s">
        <v>68</v>
      </c>
      <c r="HLG3424" s="910" t="s">
        <v>75</v>
      </c>
      <c r="HLH3424" s="911"/>
      <c r="HLI3424" s="911"/>
      <c r="HLJ3424" s="911"/>
      <c r="HLK3424" s="911"/>
      <c r="HLL3424" s="911"/>
      <c r="HLM3424" s="911"/>
      <c r="HLN3424" s="911"/>
      <c r="HLO3424" s="911"/>
      <c r="HLP3424" s="911"/>
      <c r="HLQ3424" s="32"/>
      <c r="HLR3424" s="911" t="s">
        <v>74</v>
      </c>
      <c r="HLS3424" s="911"/>
      <c r="HLT3424" s="911"/>
      <c r="HLU3424" s="911"/>
      <c r="HLV3424" s="911"/>
      <c r="HLW3424" s="911"/>
      <c r="HLX3424" s="911"/>
      <c r="HLY3424" s="911"/>
      <c r="HLZ3424" s="911"/>
      <c r="HMA3424" s="912"/>
      <c r="HMC3424" s="913" t="s">
        <v>1</v>
      </c>
      <c r="HMD3424" s="31"/>
      <c r="HME3424" s="909" t="s">
        <v>0</v>
      </c>
      <c r="HMF3424" s="909"/>
      <c r="HMG3424" s="909"/>
      <c r="HMH3424" s="909"/>
      <c r="HMI3424" s="909"/>
      <c r="HMJ3424" s="909"/>
      <c r="HMK3424" s="907" t="s">
        <v>79</v>
      </c>
      <c r="HML3424" s="909" t="s">
        <v>68</v>
      </c>
      <c r="HMM3424" s="910" t="s">
        <v>75</v>
      </c>
      <c r="HMN3424" s="911"/>
      <c r="HMO3424" s="911"/>
      <c r="HMP3424" s="911"/>
      <c r="HMQ3424" s="911"/>
      <c r="HMR3424" s="911"/>
      <c r="HMS3424" s="911"/>
      <c r="HMT3424" s="911"/>
      <c r="HMU3424" s="911"/>
      <c r="HMV3424" s="911"/>
      <c r="HMW3424" s="32"/>
      <c r="HMX3424" s="911" t="s">
        <v>74</v>
      </c>
      <c r="HMY3424" s="911"/>
      <c r="HMZ3424" s="911"/>
      <c r="HNA3424" s="911"/>
      <c r="HNB3424" s="911"/>
      <c r="HNC3424" s="911"/>
      <c r="HND3424" s="911"/>
      <c r="HNE3424" s="911"/>
      <c r="HNF3424" s="911"/>
      <c r="HNG3424" s="912"/>
      <c r="HNI3424" s="913" t="s">
        <v>1</v>
      </c>
      <c r="HNJ3424" s="31"/>
      <c r="HNK3424" s="909" t="s">
        <v>0</v>
      </c>
      <c r="HNL3424" s="909"/>
      <c r="HNM3424" s="909"/>
      <c r="HNN3424" s="909"/>
      <c r="HNO3424" s="909"/>
      <c r="HNP3424" s="909"/>
      <c r="HNQ3424" s="907" t="s">
        <v>79</v>
      </c>
      <c r="HNR3424" s="909" t="s">
        <v>68</v>
      </c>
      <c r="HNS3424" s="910" t="s">
        <v>75</v>
      </c>
      <c r="HNT3424" s="911"/>
      <c r="HNU3424" s="911"/>
      <c r="HNV3424" s="911"/>
      <c r="HNW3424" s="911"/>
      <c r="HNX3424" s="911"/>
      <c r="HNY3424" s="911"/>
      <c r="HNZ3424" s="911"/>
      <c r="HOA3424" s="911"/>
      <c r="HOB3424" s="911"/>
      <c r="HOC3424" s="32"/>
      <c r="HOD3424" s="911" t="s">
        <v>74</v>
      </c>
      <c r="HOE3424" s="911"/>
      <c r="HOF3424" s="911"/>
      <c r="HOG3424" s="911"/>
      <c r="HOH3424" s="911"/>
      <c r="HOI3424" s="911"/>
      <c r="HOJ3424" s="911"/>
      <c r="HOK3424" s="911"/>
      <c r="HOL3424" s="911"/>
      <c r="HOM3424" s="912"/>
      <c r="HOO3424" s="913" t="s">
        <v>1</v>
      </c>
      <c r="HOP3424" s="31"/>
      <c r="HOQ3424" s="909" t="s">
        <v>0</v>
      </c>
      <c r="HOR3424" s="909"/>
      <c r="HOS3424" s="909"/>
      <c r="HOT3424" s="909"/>
      <c r="HOU3424" s="909"/>
      <c r="HOV3424" s="909"/>
      <c r="HOW3424" s="907" t="s">
        <v>79</v>
      </c>
      <c r="HOX3424" s="909" t="s">
        <v>68</v>
      </c>
      <c r="HOY3424" s="910" t="s">
        <v>75</v>
      </c>
      <c r="HOZ3424" s="911"/>
      <c r="HPA3424" s="911"/>
      <c r="HPB3424" s="911"/>
      <c r="HPC3424" s="911"/>
      <c r="HPD3424" s="911"/>
      <c r="HPE3424" s="911"/>
      <c r="HPF3424" s="911"/>
      <c r="HPG3424" s="911"/>
      <c r="HPH3424" s="911"/>
      <c r="HPI3424" s="32"/>
      <c r="HPJ3424" s="911" t="s">
        <v>74</v>
      </c>
      <c r="HPK3424" s="911"/>
      <c r="HPL3424" s="911"/>
      <c r="HPM3424" s="911"/>
      <c r="HPN3424" s="911"/>
      <c r="HPO3424" s="911"/>
      <c r="HPP3424" s="911"/>
      <c r="HPQ3424" s="911"/>
      <c r="HPR3424" s="911"/>
      <c r="HPS3424" s="912"/>
      <c r="HPU3424" s="913" t="s">
        <v>1</v>
      </c>
      <c r="HPV3424" s="31"/>
      <c r="HPW3424" s="909" t="s">
        <v>0</v>
      </c>
      <c r="HPX3424" s="909"/>
      <c r="HPY3424" s="909"/>
      <c r="HPZ3424" s="909"/>
      <c r="HQA3424" s="909"/>
      <c r="HQB3424" s="909"/>
      <c r="HQC3424" s="907" t="s">
        <v>79</v>
      </c>
      <c r="HQD3424" s="909" t="s">
        <v>68</v>
      </c>
      <c r="HQE3424" s="910" t="s">
        <v>75</v>
      </c>
      <c r="HQF3424" s="911"/>
      <c r="HQG3424" s="911"/>
      <c r="HQH3424" s="911"/>
      <c r="HQI3424" s="911"/>
      <c r="HQJ3424" s="911"/>
      <c r="HQK3424" s="911"/>
      <c r="HQL3424" s="911"/>
      <c r="HQM3424" s="911"/>
      <c r="HQN3424" s="911"/>
      <c r="HQO3424" s="32"/>
      <c r="HQP3424" s="911" t="s">
        <v>74</v>
      </c>
      <c r="HQQ3424" s="911"/>
      <c r="HQR3424" s="911"/>
      <c r="HQS3424" s="911"/>
      <c r="HQT3424" s="911"/>
      <c r="HQU3424" s="911"/>
      <c r="HQV3424" s="911"/>
      <c r="HQW3424" s="911"/>
      <c r="HQX3424" s="911"/>
      <c r="HQY3424" s="912"/>
      <c r="HRA3424" s="913" t="s">
        <v>1</v>
      </c>
      <c r="HRB3424" s="31"/>
      <c r="HRC3424" s="909" t="s">
        <v>0</v>
      </c>
      <c r="HRD3424" s="909"/>
      <c r="HRE3424" s="909"/>
      <c r="HRF3424" s="909"/>
      <c r="HRG3424" s="909"/>
      <c r="HRH3424" s="909"/>
      <c r="HRI3424" s="907" t="s">
        <v>79</v>
      </c>
      <c r="HRJ3424" s="909" t="s">
        <v>68</v>
      </c>
      <c r="HRK3424" s="910" t="s">
        <v>75</v>
      </c>
      <c r="HRL3424" s="911"/>
      <c r="HRM3424" s="911"/>
      <c r="HRN3424" s="911"/>
      <c r="HRO3424" s="911"/>
      <c r="HRP3424" s="911"/>
      <c r="HRQ3424" s="911"/>
      <c r="HRR3424" s="911"/>
      <c r="HRS3424" s="911"/>
      <c r="HRT3424" s="911"/>
      <c r="HRU3424" s="32"/>
      <c r="HRV3424" s="911" t="s">
        <v>74</v>
      </c>
      <c r="HRW3424" s="911"/>
      <c r="HRX3424" s="911"/>
      <c r="HRY3424" s="911"/>
      <c r="HRZ3424" s="911"/>
      <c r="HSA3424" s="911"/>
      <c r="HSB3424" s="911"/>
      <c r="HSC3424" s="911"/>
      <c r="HSD3424" s="911"/>
      <c r="HSE3424" s="912"/>
      <c r="HSG3424" s="913" t="s">
        <v>1</v>
      </c>
      <c r="HSH3424" s="31"/>
      <c r="HSI3424" s="909" t="s">
        <v>0</v>
      </c>
      <c r="HSJ3424" s="909"/>
      <c r="HSK3424" s="909"/>
      <c r="HSL3424" s="909"/>
      <c r="HSM3424" s="909"/>
      <c r="HSN3424" s="909"/>
      <c r="HSO3424" s="907" t="s">
        <v>79</v>
      </c>
      <c r="HSP3424" s="909" t="s">
        <v>68</v>
      </c>
      <c r="HSQ3424" s="910" t="s">
        <v>75</v>
      </c>
      <c r="HSR3424" s="911"/>
      <c r="HSS3424" s="911"/>
      <c r="HST3424" s="911"/>
      <c r="HSU3424" s="911"/>
      <c r="HSV3424" s="911"/>
      <c r="HSW3424" s="911"/>
      <c r="HSX3424" s="911"/>
      <c r="HSY3424" s="911"/>
      <c r="HSZ3424" s="911"/>
      <c r="HTA3424" s="32"/>
      <c r="HTB3424" s="911" t="s">
        <v>74</v>
      </c>
      <c r="HTC3424" s="911"/>
      <c r="HTD3424" s="911"/>
      <c r="HTE3424" s="911"/>
      <c r="HTF3424" s="911"/>
      <c r="HTG3424" s="911"/>
      <c r="HTH3424" s="911"/>
      <c r="HTI3424" s="911"/>
      <c r="HTJ3424" s="911"/>
      <c r="HTK3424" s="912"/>
      <c r="HTM3424" s="913" t="s">
        <v>1</v>
      </c>
      <c r="HTN3424" s="31"/>
      <c r="HTO3424" s="909" t="s">
        <v>0</v>
      </c>
      <c r="HTP3424" s="909"/>
      <c r="HTQ3424" s="909"/>
      <c r="HTR3424" s="909"/>
      <c r="HTS3424" s="909"/>
      <c r="HTT3424" s="909"/>
      <c r="HTU3424" s="907" t="s">
        <v>79</v>
      </c>
      <c r="HTV3424" s="909" t="s">
        <v>68</v>
      </c>
      <c r="HTW3424" s="910" t="s">
        <v>75</v>
      </c>
      <c r="HTX3424" s="911"/>
      <c r="HTY3424" s="911"/>
      <c r="HTZ3424" s="911"/>
      <c r="HUA3424" s="911"/>
      <c r="HUB3424" s="911"/>
      <c r="HUC3424" s="911"/>
      <c r="HUD3424" s="911"/>
      <c r="HUE3424" s="911"/>
      <c r="HUF3424" s="911"/>
      <c r="HUG3424" s="32"/>
      <c r="HUH3424" s="911" t="s">
        <v>74</v>
      </c>
      <c r="HUI3424" s="911"/>
      <c r="HUJ3424" s="911"/>
      <c r="HUK3424" s="911"/>
      <c r="HUL3424" s="911"/>
      <c r="HUM3424" s="911"/>
      <c r="HUN3424" s="911"/>
      <c r="HUO3424" s="911"/>
      <c r="HUP3424" s="911"/>
      <c r="HUQ3424" s="912"/>
      <c r="HUS3424" s="913" t="s">
        <v>1</v>
      </c>
      <c r="HUT3424" s="31"/>
      <c r="HUU3424" s="909" t="s">
        <v>0</v>
      </c>
      <c r="HUV3424" s="909"/>
      <c r="HUW3424" s="909"/>
      <c r="HUX3424" s="909"/>
      <c r="HUY3424" s="909"/>
      <c r="HUZ3424" s="909"/>
      <c r="HVA3424" s="907" t="s">
        <v>79</v>
      </c>
      <c r="HVB3424" s="909" t="s">
        <v>68</v>
      </c>
      <c r="HVC3424" s="910" t="s">
        <v>75</v>
      </c>
      <c r="HVD3424" s="911"/>
      <c r="HVE3424" s="911"/>
      <c r="HVF3424" s="911"/>
      <c r="HVG3424" s="911"/>
      <c r="HVH3424" s="911"/>
      <c r="HVI3424" s="911"/>
      <c r="HVJ3424" s="911"/>
      <c r="HVK3424" s="911"/>
      <c r="HVL3424" s="911"/>
      <c r="HVM3424" s="32"/>
      <c r="HVN3424" s="911" t="s">
        <v>74</v>
      </c>
      <c r="HVO3424" s="911"/>
      <c r="HVP3424" s="911"/>
      <c r="HVQ3424" s="911"/>
      <c r="HVR3424" s="911"/>
      <c r="HVS3424" s="911"/>
      <c r="HVT3424" s="911"/>
      <c r="HVU3424" s="911"/>
      <c r="HVV3424" s="911"/>
      <c r="HVW3424" s="912"/>
      <c r="HVY3424" s="913" t="s">
        <v>1</v>
      </c>
      <c r="HVZ3424" s="31"/>
      <c r="HWA3424" s="909" t="s">
        <v>0</v>
      </c>
      <c r="HWB3424" s="909"/>
      <c r="HWC3424" s="909"/>
      <c r="HWD3424" s="909"/>
      <c r="HWE3424" s="909"/>
      <c r="HWF3424" s="909"/>
      <c r="HWG3424" s="907" t="s">
        <v>79</v>
      </c>
      <c r="HWH3424" s="909" t="s">
        <v>68</v>
      </c>
      <c r="HWI3424" s="910" t="s">
        <v>75</v>
      </c>
      <c r="HWJ3424" s="911"/>
      <c r="HWK3424" s="911"/>
      <c r="HWL3424" s="911"/>
      <c r="HWM3424" s="911"/>
      <c r="HWN3424" s="911"/>
      <c r="HWO3424" s="911"/>
      <c r="HWP3424" s="911"/>
      <c r="HWQ3424" s="911"/>
      <c r="HWR3424" s="911"/>
      <c r="HWS3424" s="32"/>
      <c r="HWT3424" s="911" t="s">
        <v>74</v>
      </c>
      <c r="HWU3424" s="911"/>
      <c r="HWV3424" s="911"/>
      <c r="HWW3424" s="911"/>
      <c r="HWX3424" s="911"/>
      <c r="HWY3424" s="911"/>
      <c r="HWZ3424" s="911"/>
      <c r="HXA3424" s="911"/>
      <c r="HXB3424" s="911"/>
      <c r="HXC3424" s="912"/>
      <c r="HXE3424" s="913" t="s">
        <v>1</v>
      </c>
      <c r="HXF3424" s="31"/>
      <c r="HXG3424" s="909" t="s">
        <v>0</v>
      </c>
      <c r="HXH3424" s="909"/>
      <c r="HXI3424" s="909"/>
      <c r="HXJ3424" s="909"/>
      <c r="HXK3424" s="909"/>
      <c r="HXL3424" s="909"/>
      <c r="HXM3424" s="907" t="s">
        <v>79</v>
      </c>
      <c r="HXN3424" s="909" t="s">
        <v>68</v>
      </c>
      <c r="HXO3424" s="910" t="s">
        <v>75</v>
      </c>
      <c r="HXP3424" s="911"/>
      <c r="HXQ3424" s="911"/>
      <c r="HXR3424" s="911"/>
      <c r="HXS3424" s="911"/>
      <c r="HXT3424" s="911"/>
      <c r="HXU3424" s="911"/>
      <c r="HXV3424" s="911"/>
      <c r="HXW3424" s="911"/>
      <c r="HXX3424" s="911"/>
      <c r="HXY3424" s="32"/>
      <c r="HXZ3424" s="911" t="s">
        <v>74</v>
      </c>
      <c r="HYA3424" s="911"/>
      <c r="HYB3424" s="911"/>
      <c r="HYC3424" s="911"/>
      <c r="HYD3424" s="911"/>
      <c r="HYE3424" s="911"/>
      <c r="HYF3424" s="911"/>
      <c r="HYG3424" s="911"/>
      <c r="HYH3424" s="911"/>
      <c r="HYI3424" s="912"/>
      <c r="HYK3424" s="913" t="s">
        <v>1</v>
      </c>
      <c r="HYL3424" s="31"/>
      <c r="HYM3424" s="909" t="s">
        <v>0</v>
      </c>
      <c r="HYN3424" s="909"/>
      <c r="HYO3424" s="909"/>
      <c r="HYP3424" s="909"/>
      <c r="HYQ3424" s="909"/>
      <c r="HYR3424" s="909"/>
      <c r="HYS3424" s="907" t="s">
        <v>79</v>
      </c>
      <c r="HYT3424" s="909" t="s">
        <v>68</v>
      </c>
      <c r="HYU3424" s="910" t="s">
        <v>75</v>
      </c>
      <c r="HYV3424" s="911"/>
      <c r="HYW3424" s="911"/>
      <c r="HYX3424" s="911"/>
      <c r="HYY3424" s="911"/>
      <c r="HYZ3424" s="911"/>
      <c r="HZA3424" s="911"/>
      <c r="HZB3424" s="911"/>
      <c r="HZC3424" s="911"/>
      <c r="HZD3424" s="911"/>
      <c r="HZE3424" s="32"/>
      <c r="HZF3424" s="911" t="s">
        <v>74</v>
      </c>
      <c r="HZG3424" s="911"/>
      <c r="HZH3424" s="911"/>
      <c r="HZI3424" s="911"/>
      <c r="HZJ3424" s="911"/>
      <c r="HZK3424" s="911"/>
      <c r="HZL3424" s="911"/>
      <c r="HZM3424" s="911"/>
      <c r="HZN3424" s="911"/>
      <c r="HZO3424" s="912"/>
      <c r="HZQ3424" s="913" t="s">
        <v>1</v>
      </c>
      <c r="HZR3424" s="31"/>
      <c r="HZS3424" s="909" t="s">
        <v>0</v>
      </c>
      <c r="HZT3424" s="909"/>
      <c r="HZU3424" s="909"/>
      <c r="HZV3424" s="909"/>
      <c r="HZW3424" s="909"/>
      <c r="HZX3424" s="909"/>
      <c r="HZY3424" s="907" t="s">
        <v>79</v>
      </c>
      <c r="HZZ3424" s="909" t="s">
        <v>68</v>
      </c>
      <c r="IAA3424" s="910" t="s">
        <v>75</v>
      </c>
      <c r="IAB3424" s="911"/>
      <c r="IAC3424" s="911"/>
      <c r="IAD3424" s="911"/>
      <c r="IAE3424" s="911"/>
      <c r="IAF3424" s="911"/>
      <c r="IAG3424" s="911"/>
      <c r="IAH3424" s="911"/>
      <c r="IAI3424" s="911"/>
      <c r="IAJ3424" s="911"/>
      <c r="IAK3424" s="32"/>
      <c r="IAL3424" s="911" t="s">
        <v>74</v>
      </c>
      <c r="IAM3424" s="911"/>
      <c r="IAN3424" s="911"/>
      <c r="IAO3424" s="911"/>
      <c r="IAP3424" s="911"/>
      <c r="IAQ3424" s="911"/>
      <c r="IAR3424" s="911"/>
      <c r="IAS3424" s="911"/>
      <c r="IAT3424" s="911"/>
      <c r="IAU3424" s="912"/>
      <c r="IAW3424" s="913" t="s">
        <v>1</v>
      </c>
      <c r="IAX3424" s="31"/>
      <c r="IAY3424" s="909" t="s">
        <v>0</v>
      </c>
      <c r="IAZ3424" s="909"/>
      <c r="IBA3424" s="909"/>
      <c r="IBB3424" s="909"/>
      <c r="IBC3424" s="909"/>
      <c r="IBD3424" s="909"/>
      <c r="IBE3424" s="907" t="s">
        <v>79</v>
      </c>
      <c r="IBF3424" s="909" t="s">
        <v>68</v>
      </c>
      <c r="IBG3424" s="910" t="s">
        <v>75</v>
      </c>
      <c r="IBH3424" s="911"/>
      <c r="IBI3424" s="911"/>
      <c r="IBJ3424" s="911"/>
      <c r="IBK3424" s="911"/>
      <c r="IBL3424" s="911"/>
      <c r="IBM3424" s="911"/>
      <c r="IBN3424" s="911"/>
      <c r="IBO3424" s="911"/>
      <c r="IBP3424" s="911"/>
      <c r="IBQ3424" s="32"/>
      <c r="IBR3424" s="911" t="s">
        <v>74</v>
      </c>
      <c r="IBS3424" s="911"/>
      <c r="IBT3424" s="911"/>
      <c r="IBU3424" s="911"/>
      <c r="IBV3424" s="911"/>
      <c r="IBW3424" s="911"/>
      <c r="IBX3424" s="911"/>
      <c r="IBY3424" s="911"/>
      <c r="IBZ3424" s="911"/>
      <c r="ICA3424" s="912"/>
      <c r="ICC3424" s="913" t="s">
        <v>1</v>
      </c>
      <c r="ICD3424" s="31"/>
      <c r="ICE3424" s="909" t="s">
        <v>0</v>
      </c>
      <c r="ICF3424" s="909"/>
      <c r="ICG3424" s="909"/>
      <c r="ICH3424" s="909"/>
      <c r="ICI3424" s="909"/>
      <c r="ICJ3424" s="909"/>
      <c r="ICK3424" s="907" t="s">
        <v>79</v>
      </c>
      <c r="ICL3424" s="909" t="s">
        <v>68</v>
      </c>
      <c r="ICM3424" s="910" t="s">
        <v>75</v>
      </c>
      <c r="ICN3424" s="911"/>
      <c r="ICO3424" s="911"/>
      <c r="ICP3424" s="911"/>
      <c r="ICQ3424" s="911"/>
      <c r="ICR3424" s="911"/>
      <c r="ICS3424" s="911"/>
      <c r="ICT3424" s="911"/>
      <c r="ICU3424" s="911"/>
      <c r="ICV3424" s="911"/>
      <c r="ICW3424" s="32"/>
      <c r="ICX3424" s="911" t="s">
        <v>74</v>
      </c>
      <c r="ICY3424" s="911"/>
      <c r="ICZ3424" s="911"/>
      <c r="IDA3424" s="911"/>
      <c r="IDB3424" s="911"/>
      <c r="IDC3424" s="911"/>
      <c r="IDD3424" s="911"/>
      <c r="IDE3424" s="911"/>
      <c r="IDF3424" s="911"/>
      <c r="IDG3424" s="912"/>
      <c r="IDI3424" s="913" t="s">
        <v>1</v>
      </c>
      <c r="IDJ3424" s="31"/>
      <c r="IDK3424" s="909" t="s">
        <v>0</v>
      </c>
      <c r="IDL3424" s="909"/>
      <c r="IDM3424" s="909"/>
      <c r="IDN3424" s="909"/>
      <c r="IDO3424" s="909"/>
      <c r="IDP3424" s="909"/>
      <c r="IDQ3424" s="907" t="s">
        <v>79</v>
      </c>
      <c r="IDR3424" s="909" t="s">
        <v>68</v>
      </c>
      <c r="IDS3424" s="910" t="s">
        <v>75</v>
      </c>
      <c r="IDT3424" s="911"/>
      <c r="IDU3424" s="911"/>
      <c r="IDV3424" s="911"/>
      <c r="IDW3424" s="911"/>
      <c r="IDX3424" s="911"/>
      <c r="IDY3424" s="911"/>
      <c r="IDZ3424" s="911"/>
      <c r="IEA3424" s="911"/>
      <c r="IEB3424" s="911"/>
      <c r="IEC3424" s="32"/>
      <c r="IED3424" s="911" t="s">
        <v>74</v>
      </c>
      <c r="IEE3424" s="911"/>
      <c r="IEF3424" s="911"/>
      <c r="IEG3424" s="911"/>
      <c r="IEH3424" s="911"/>
      <c r="IEI3424" s="911"/>
      <c r="IEJ3424" s="911"/>
      <c r="IEK3424" s="911"/>
      <c r="IEL3424" s="911"/>
      <c r="IEM3424" s="912"/>
      <c r="IEO3424" s="913" t="s">
        <v>1</v>
      </c>
      <c r="IEP3424" s="31"/>
      <c r="IEQ3424" s="909" t="s">
        <v>0</v>
      </c>
      <c r="IER3424" s="909"/>
      <c r="IES3424" s="909"/>
      <c r="IET3424" s="909"/>
      <c r="IEU3424" s="909"/>
      <c r="IEV3424" s="909"/>
      <c r="IEW3424" s="907" t="s">
        <v>79</v>
      </c>
      <c r="IEX3424" s="909" t="s">
        <v>68</v>
      </c>
      <c r="IEY3424" s="910" t="s">
        <v>75</v>
      </c>
      <c r="IEZ3424" s="911"/>
      <c r="IFA3424" s="911"/>
      <c r="IFB3424" s="911"/>
      <c r="IFC3424" s="911"/>
      <c r="IFD3424" s="911"/>
      <c r="IFE3424" s="911"/>
      <c r="IFF3424" s="911"/>
      <c r="IFG3424" s="911"/>
      <c r="IFH3424" s="911"/>
      <c r="IFI3424" s="32"/>
      <c r="IFJ3424" s="911" t="s">
        <v>74</v>
      </c>
      <c r="IFK3424" s="911"/>
      <c r="IFL3424" s="911"/>
      <c r="IFM3424" s="911"/>
      <c r="IFN3424" s="911"/>
      <c r="IFO3424" s="911"/>
      <c r="IFP3424" s="911"/>
      <c r="IFQ3424" s="911"/>
      <c r="IFR3424" s="911"/>
      <c r="IFS3424" s="912"/>
      <c r="IFU3424" s="913" t="s">
        <v>1</v>
      </c>
      <c r="IFV3424" s="31"/>
      <c r="IFW3424" s="909" t="s">
        <v>0</v>
      </c>
      <c r="IFX3424" s="909"/>
      <c r="IFY3424" s="909"/>
      <c r="IFZ3424" s="909"/>
      <c r="IGA3424" s="909"/>
      <c r="IGB3424" s="909"/>
      <c r="IGC3424" s="907" t="s">
        <v>79</v>
      </c>
      <c r="IGD3424" s="909" t="s">
        <v>68</v>
      </c>
      <c r="IGE3424" s="910" t="s">
        <v>75</v>
      </c>
      <c r="IGF3424" s="911"/>
      <c r="IGG3424" s="911"/>
      <c r="IGH3424" s="911"/>
      <c r="IGI3424" s="911"/>
      <c r="IGJ3424" s="911"/>
      <c r="IGK3424" s="911"/>
      <c r="IGL3424" s="911"/>
      <c r="IGM3424" s="911"/>
      <c r="IGN3424" s="911"/>
      <c r="IGO3424" s="32"/>
      <c r="IGP3424" s="911" t="s">
        <v>74</v>
      </c>
      <c r="IGQ3424" s="911"/>
      <c r="IGR3424" s="911"/>
      <c r="IGS3424" s="911"/>
      <c r="IGT3424" s="911"/>
      <c r="IGU3424" s="911"/>
      <c r="IGV3424" s="911"/>
      <c r="IGW3424" s="911"/>
      <c r="IGX3424" s="911"/>
      <c r="IGY3424" s="912"/>
      <c r="IHA3424" s="913" t="s">
        <v>1</v>
      </c>
      <c r="IHB3424" s="31"/>
      <c r="IHC3424" s="909" t="s">
        <v>0</v>
      </c>
      <c r="IHD3424" s="909"/>
      <c r="IHE3424" s="909"/>
      <c r="IHF3424" s="909"/>
      <c r="IHG3424" s="909"/>
      <c r="IHH3424" s="909"/>
      <c r="IHI3424" s="907" t="s">
        <v>79</v>
      </c>
      <c r="IHJ3424" s="909" t="s">
        <v>68</v>
      </c>
      <c r="IHK3424" s="910" t="s">
        <v>75</v>
      </c>
      <c r="IHL3424" s="911"/>
      <c r="IHM3424" s="911"/>
      <c r="IHN3424" s="911"/>
      <c r="IHO3424" s="911"/>
      <c r="IHP3424" s="911"/>
      <c r="IHQ3424" s="911"/>
      <c r="IHR3424" s="911"/>
      <c r="IHS3424" s="911"/>
      <c r="IHT3424" s="911"/>
      <c r="IHU3424" s="32"/>
      <c r="IHV3424" s="911" t="s">
        <v>74</v>
      </c>
      <c r="IHW3424" s="911"/>
      <c r="IHX3424" s="911"/>
      <c r="IHY3424" s="911"/>
      <c r="IHZ3424" s="911"/>
      <c r="IIA3424" s="911"/>
      <c r="IIB3424" s="911"/>
      <c r="IIC3424" s="911"/>
      <c r="IID3424" s="911"/>
      <c r="IIE3424" s="912"/>
      <c r="IIG3424" s="913" t="s">
        <v>1</v>
      </c>
      <c r="IIH3424" s="31"/>
      <c r="III3424" s="909" t="s">
        <v>0</v>
      </c>
      <c r="IIJ3424" s="909"/>
      <c r="IIK3424" s="909"/>
      <c r="IIL3424" s="909"/>
      <c r="IIM3424" s="909"/>
      <c r="IIN3424" s="909"/>
      <c r="IIO3424" s="907" t="s">
        <v>79</v>
      </c>
      <c r="IIP3424" s="909" t="s">
        <v>68</v>
      </c>
      <c r="IIQ3424" s="910" t="s">
        <v>75</v>
      </c>
      <c r="IIR3424" s="911"/>
      <c r="IIS3424" s="911"/>
      <c r="IIT3424" s="911"/>
      <c r="IIU3424" s="911"/>
      <c r="IIV3424" s="911"/>
      <c r="IIW3424" s="911"/>
      <c r="IIX3424" s="911"/>
      <c r="IIY3424" s="911"/>
      <c r="IIZ3424" s="911"/>
      <c r="IJA3424" s="32"/>
      <c r="IJB3424" s="911" t="s">
        <v>74</v>
      </c>
      <c r="IJC3424" s="911"/>
      <c r="IJD3424" s="911"/>
      <c r="IJE3424" s="911"/>
      <c r="IJF3424" s="911"/>
      <c r="IJG3424" s="911"/>
      <c r="IJH3424" s="911"/>
      <c r="IJI3424" s="911"/>
      <c r="IJJ3424" s="911"/>
      <c r="IJK3424" s="912"/>
      <c r="IJM3424" s="913" t="s">
        <v>1</v>
      </c>
      <c r="IJN3424" s="31"/>
      <c r="IJO3424" s="909" t="s">
        <v>0</v>
      </c>
      <c r="IJP3424" s="909"/>
      <c r="IJQ3424" s="909"/>
      <c r="IJR3424" s="909"/>
      <c r="IJS3424" s="909"/>
      <c r="IJT3424" s="909"/>
      <c r="IJU3424" s="907" t="s">
        <v>79</v>
      </c>
      <c r="IJV3424" s="909" t="s">
        <v>68</v>
      </c>
      <c r="IJW3424" s="910" t="s">
        <v>75</v>
      </c>
      <c r="IJX3424" s="911"/>
      <c r="IJY3424" s="911"/>
      <c r="IJZ3424" s="911"/>
      <c r="IKA3424" s="911"/>
      <c r="IKB3424" s="911"/>
      <c r="IKC3424" s="911"/>
      <c r="IKD3424" s="911"/>
      <c r="IKE3424" s="911"/>
      <c r="IKF3424" s="911"/>
      <c r="IKG3424" s="32"/>
      <c r="IKH3424" s="911" t="s">
        <v>74</v>
      </c>
      <c r="IKI3424" s="911"/>
      <c r="IKJ3424" s="911"/>
      <c r="IKK3424" s="911"/>
      <c r="IKL3424" s="911"/>
      <c r="IKM3424" s="911"/>
      <c r="IKN3424" s="911"/>
      <c r="IKO3424" s="911"/>
      <c r="IKP3424" s="911"/>
      <c r="IKQ3424" s="912"/>
      <c r="IKS3424" s="913" t="s">
        <v>1</v>
      </c>
      <c r="IKT3424" s="31"/>
      <c r="IKU3424" s="909" t="s">
        <v>0</v>
      </c>
      <c r="IKV3424" s="909"/>
      <c r="IKW3424" s="909"/>
      <c r="IKX3424" s="909"/>
      <c r="IKY3424" s="909"/>
      <c r="IKZ3424" s="909"/>
      <c r="ILA3424" s="907" t="s">
        <v>79</v>
      </c>
      <c r="ILB3424" s="909" t="s">
        <v>68</v>
      </c>
      <c r="ILC3424" s="910" t="s">
        <v>75</v>
      </c>
      <c r="ILD3424" s="911"/>
      <c r="ILE3424" s="911"/>
      <c r="ILF3424" s="911"/>
      <c r="ILG3424" s="911"/>
      <c r="ILH3424" s="911"/>
      <c r="ILI3424" s="911"/>
      <c r="ILJ3424" s="911"/>
      <c r="ILK3424" s="911"/>
      <c r="ILL3424" s="911"/>
      <c r="ILM3424" s="32"/>
      <c r="ILN3424" s="911" t="s">
        <v>74</v>
      </c>
      <c r="ILO3424" s="911"/>
      <c r="ILP3424" s="911"/>
      <c r="ILQ3424" s="911"/>
      <c r="ILR3424" s="911"/>
      <c r="ILS3424" s="911"/>
      <c r="ILT3424" s="911"/>
      <c r="ILU3424" s="911"/>
      <c r="ILV3424" s="911"/>
      <c r="ILW3424" s="912"/>
      <c r="ILY3424" s="913" t="s">
        <v>1</v>
      </c>
      <c r="ILZ3424" s="31"/>
      <c r="IMA3424" s="909" t="s">
        <v>0</v>
      </c>
      <c r="IMB3424" s="909"/>
      <c r="IMC3424" s="909"/>
      <c r="IMD3424" s="909"/>
      <c r="IME3424" s="909"/>
      <c r="IMF3424" s="909"/>
      <c r="IMG3424" s="907" t="s">
        <v>79</v>
      </c>
      <c r="IMH3424" s="909" t="s">
        <v>68</v>
      </c>
      <c r="IMI3424" s="910" t="s">
        <v>75</v>
      </c>
      <c r="IMJ3424" s="911"/>
      <c r="IMK3424" s="911"/>
      <c r="IML3424" s="911"/>
      <c r="IMM3424" s="911"/>
      <c r="IMN3424" s="911"/>
      <c r="IMO3424" s="911"/>
      <c r="IMP3424" s="911"/>
      <c r="IMQ3424" s="911"/>
      <c r="IMR3424" s="911"/>
      <c r="IMS3424" s="32"/>
      <c r="IMT3424" s="911" t="s">
        <v>74</v>
      </c>
      <c r="IMU3424" s="911"/>
      <c r="IMV3424" s="911"/>
      <c r="IMW3424" s="911"/>
      <c r="IMX3424" s="911"/>
      <c r="IMY3424" s="911"/>
      <c r="IMZ3424" s="911"/>
      <c r="INA3424" s="911"/>
      <c r="INB3424" s="911"/>
      <c r="INC3424" s="912"/>
      <c r="INE3424" s="913" t="s">
        <v>1</v>
      </c>
      <c r="INF3424" s="31"/>
      <c r="ING3424" s="909" t="s">
        <v>0</v>
      </c>
      <c r="INH3424" s="909"/>
      <c r="INI3424" s="909"/>
      <c r="INJ3424" s="909"/>
      <c r="INK3424" s="909"/>
      <c r="INL3424" s="909"/>
      <c r="INM3424" s="907" t="s">
        <v>79</v>
      </c>
      <c r="INN3424" s="909" t="s">
        <v>68</v>
      </c>
      <c r="INO3424" s="910" t="s">
        <v>75</v>
      </c>
      <c r="INP3424" s="911"/>
      <c r="INQ3424" s="911"/>
      <c r="INR3424" s="911"/>
      <c r="INS3424" s="911"/>
      <c r="INT3424" s="911"/>
      <c r="INU3424" s="911"/>
      <c r="INV3424" s="911"/>
      <c r="INW3424" s="911"/>
      <c r="INX3424" s="911"/>
      <c r="INY3424" s="32"/>
      <c r="INZ3424" s="911" t="s">
        <v>74</v>
      </c>
      <c r="IOA3424" s="911"/>
      <c r="IOB3424" s="911"/>
      <c r="IOC3424" s="911"/>
      <c r="IOD3424" s="911"/>
      <c r="IOE3424" s="911"/>
      <c r="IOF3424" s="911"/>
      <c r="IOG3424" s="911"/>
      <c r="IOH3424" s="911"/>
      <c r="IOI3424" s="912"/>
      <c r="IOK3424" s="913" t="s">
        <v>1</v>
      </c>
      <c r="IOL3424" s="31"/>
      <c r="IOM3424" s="909" t="s">
        <v>0</v>
      </c>
      <c r="ION3424" s="909"/>
      <c r="IOO3424" s="909"/>
      <c r="IOP3424" s="909"/>
      <c r="IOQ3424" s="909"/>
      <c r="IOR3424" s="909"/>
      <c r="IOS3424" s="907" t="s">
        <v>79</v>
      </c>
      <c r="IOT3424" s="909" t="s">
        <v>68</v>
      </c>
      <c r="IOU3424" s="910" t="s">
        <v>75</v>
      </c>
      <c r="IOV3424" s="911"/>
      <c r="IOW3424" s="911"/>
      <c r="IOX3424" s="911"/>
      <c r="IOY3424" s="911"/>
      <c r="IOZ3424" s="911"/>
      <c r="IPA3424" s="911"/>
      <c r="IPB3424" s="911"/>
      <c r="IPC3424" s="911"/>
      <c r="IPD3424" s="911"/>
      <c r="IPE3424" s="32"/>
      <c r="IPF3424" s="911" t="s">
        <v>74</v>
      </c>
      <c r="IPG3424" s="911"/>
      <c r="IPH3424" s="911"/>
      <c r="IPI3424" s="911"/>
      <c r="IPJ3424" s="911"/>
      <c r="IPK3424" s="911"/>
      <c r="IPL3424" s="911"/>
      <c r="IPM3424" s="911"/>
      <c r="IPN3424" s="911"/>
      <c r="IPO3424" s="912"/>
      <c r="IPQ3424" s="913" t="s">
        <v>1</v>
      </c>
      <c r="IPR3424" s="31"/>
      <c r="IPS3424" s="909" t="s">
        <v>0</v>
      </c>
      <c r="IPT3424" s="909"/>
      <c r="IPU3424" s="909"/>
      <c r="IPV3424" s="909"/>
      <c r="IPW3424" s="909"/>
      <c r="IPX3424" s="909"/>
      <c r="IPY3424" s="907" t="s">
        <v>79</v>
      </c>
      <c r="IPZ3424" s="909" t="s">
        <v>68</v>
      </c>
      <c r="IQA3424" s="910" t="s">
        <v>75</v>
      </c>
      <c r="IQB3424" s="911"/>
      <c r="IQC3424" s="911"/>
      <c r="IQD3424" s="911"/>
      <c r="IQE3424" s="911"/>
      <c r="IQF3424" s="911"/>
      <c r="IQG3424" s="911"/>
      <c r="IQH3424" s="911"/>
      <c r="IQI3424" s="911"/>
      <c r="IQJ3424" s="911"/>
      <c r="IQK3424" s="32"/>
      <c r="IQL3424" s="911" t="s">
        <v>74</v>
      </c>
      <c r="IQM3424" s="911"/>
      <c r="IQN3424" s="911"/>
      <c r="IQO3424" s="911"/>
      <c r="IQP3424" s="911"/>
      <c r="IQQ3424" s="911"/>
      <c r="IQR3424" s="911"/>
      <c r="IQS3424" s="911"/>
      <c r="IQT3424" s="911"/>
      <c r="IQU3424" s="912"/>
      <c r="IQW3424" s="913" t="s">
        <v>1</v>
      </c>
      <c r="IQX3424" s="31"/>
      <c r="IQY3424" s="909" t="s">
        <v>0</v>
      </c>
      <c r="IQZ3424" s="909"/>
      <c r="IRA3424" s="909"/>
      <c r="IRB3424" s="909"/>
      <c r="IRC3424" s="909"/>
      <c r="IRD3424" s="909"/>
      <c r="IRE3424" s="907" t="s">
        <v>79</v>
      </c>
      <c r="IRF3424" s="909" t="s">
        <v>68</v>
      </c>
      <c r="IRG3424" s="910" t="s">
        <v>75</v>
      </c>
      <c r="IRH3424" s="911"/>
      <c r="IRI3424" s="911"/>
      <c r="IRJ3424" s="911"/>
      <c r="IRK3424" s="911"/>
      <c r="IRL3424" s="911"/>
      <c r="IRM3424" s="911"/>
      <c r="IRN3424" s="911"/>
      <c r="IRO3424" s="911"/>
      <c r="IRP3424" s="911"/>
      <c r="IRQ3424" s="32"/>
      <c r="IRR3424" s="911" t="s">
        <v>74</v>
      </c>
      <c r="IRS3424" s="911"/>
      <c r="IRT3424" s="911"/>
      <c r="IRU3424" s="911"/>
      <c r="IRV3424" s="911"/>
      <c r="IRW3424" s="911"/>
      <c r="IRX3424" s="911"/>
      <c r="IRY3424" s="911"/>
      <c r="IRZ3424" s="911"/>
      <c r="ISA3424" s="912"/>
      <c r="ISC3424" s="913" t="s">
        <v>1</v>
      </c>
      <c r="ISD3424" s="31"/>
      <c r="ISE3424" s="909" t="s">
        <v>0</v>
      </c>
      <c r="ISF3424" s="909"/>
      <c r="ISG3424" s="909"/>
      <c r="ISH3424" s="909"/>
      <c r="ISI3424" s="909"/>
      <c r="ISJ3424" s="909"/>
      <c r="ISK3424" s="907" t="s">
        <v>79</v>
      </c>
      <c r="ISL3424" s="909" t="s">
        <v>68</v>
      </c>
      <c r="ISM3424" s="910" t="s">
        <v>75</v>
      </c>
      <c r="ISN3424" s="911"/>
      <c r="ISO3424" s="911"/>
      <c r="ISP3424" s="911"/>
      <c r="ISQ3424" s="911"/>
      <c r="ISR3424" s="911"/>
      <c r="ISS3424" s="911"/>
      <c r="IST3424" s="911"/>
      <c r="ISU3424" s="911"/>
      <c r="ISV3424" s="911"/>
      <c r="ISW3424" s="32"/>
      <c r="ISX3424" s="911" t="s">
        <v>74</v>
      </c>
      <c r="ISY3424" s="911"/>
      <c r="ISZ3424" s="911"/>
      <c r="ITA3424" s="911"/>
      <c r="ITB3424" s="911"/>
      <c r="ITC3424" s="911"/>
      <c r="ITD3424" s="911"/>
      <c r="ITE3424" s="911"/>
      <c r="ITF3424" s="911"/>
      <c r="ITG3424" s="912"/>
      <c r="ITI3424" s="913" t="s">
        <v>1</v>
      </c>
      <c r="ITJ3424" s="31"/>
      <c r="ITK3424" s="909" t="s">
        <v>0</v>
      </c>
      <c r="ITL3424" s="909"/>
      <c r="ITM3424" s="909"/>
      <c r="ITN3424" s="909"/>
      <c r="ITO3424" s="909"/>
      <c r="ITP3424" s="909"/>
      <c r="ITQ3424" s="907" t="s">
        <v>79</v>
      </c>
      <c r="ITR3424" s="909" t="s">
        <v>68</v>
      </c>
      <c r="ITS3424" s="910" t="s">
        <v>75</v>
      </c>
      <c r="ITT3424" s="911"/>
      <c r="ITU3424" s="911"/>
      <c r="ITV3424" s="911"/>
      <c r="ITW3424" s="911"/>
      <c r="ITX3424" s="911"/>
      <c r="ITY3424" s="911"/>
      <c r="ITZ3424" s="911"/>
      <c r="IUA3424" s="911"/>
      <c r="IUB3424" s="911"/>
      <c r="IUC3424" s="32"/>
      <c r="IUD3424" s="911" t="s">
        <v>74</v>
      </c>
      <c r="IUE3424" s="911"/>
      <c r="IUF3424" s="911"/>
      <c r="IUG3424" s="911"/>
      <c r="IUH3424" s="911"/>
      <c r="IUI3424" s="911"/>
      <c r="IUJ3424" s="911"/>
      <c r="IUK3424" s="911"/>
      <c r="IUL3424" s="911"/>
      <c r="IUM3424" s="912"/>
      <c r="IUO3424" s="913" t="s">
        <v>1</v>
      </c>
      <c r="IUP3424" s="31"/>
      <c r="IUQ3424" s="909" t="s">
        <v>0</v>
      </c>
      <c r="IUR3424" s="909"/>
      <c r="IUS3424" s="909"/>
      <c r="IUT3424" s="909"/>
      <c r="IUU3424" s="909"/>
      <c r="IUV3424" s="909"/>
      <c r="IUW3424" s="907" t="s">
        <v>79</v>
      </c>
      <c r="IUX3424" s="909" t="s">
        <v>68</v>
      </c>
      <c r="IUY3424" s="910" t="s">
        <v>75</v>
      </c>
      <c r="IUZ3424" s="911"/>
      <c r="IVA3424" s="911"/>
      <c r="IVB3424" s="911"/>
      <c r="IVC3424" s="911"/>
      <c r="IVD3424" s="911"/>
      <c r="IVE3424" s="911"/>
      <c r="IVF3424" s="911"/>
      <c r="IVG3424" s="911"/>
      <c r="IVH3424" s="911"/>
      <c r="IVI3424" s="32"/>
      <c r="IVJ3424" s="911" t="s">
        <v>74</v>
      </c>
      <c r="IVK3424" s="911"/>
      <c r="IVL3424" s="911"/>
      <c r="IVM3424" s="911"/>
      <c r="IVN3424" s="911"/>
      <c r="IVO3424" s="911"/>
      <c r="IVP3424" s="911"/>
      <c r="IVQ3424" s="911"/>
      <c r="IVR3424" s="911"/>
      <c r="IVS3424" s="912"/>
      <c r="IVU3424" s="913" t="s">
        <v>1</v>
      </c>
      <c r="IVV3424" s="31"/>
      <c r="IVW3424" s="909" t="s">
        <v>0</v>
      </c>
      <c r="IVX3424" s="909"/>
      <c r="IVY3424" s="909"/>
      <c r="IVZ3424" s="909"/>
      <c r="IWA3424" s="909"/>
      <c r="IWB3424" s="909"/>
      <c r="IWC3424" s="907" t="s">
        <v>79</v>
      </c>
      <c r="IWD3424" s="909" t="s">
        <v>68</v>
      </c>
      <c r="IWE3424" s="910" t="s">
        <v>75</v>
      </c>
      <c r="IWF3424" s="911"/>
      <c r="IWG3424" s="911"/>
      <c r="IWH3424" s="911"/>
      <c r="IWI3424" s="911"/>
      <c r="IWJ3424" s="911"/>
      <c r="IWK3424" s="911"/>
      <c r="IWL3424" s="911"/>
      <c r="IWM3424" s="911"/>
      <c r="IWN3424" s="911"/>
      <c r="IWO3424" s="32"/>
      <c r="IWP3424" s="911" t="s">
        <v>74</v>
      </c>
      <c r="IWQ3424" s="911"/>
      <c r="IWR3424" s="911"/>
      <c r="IWS3424" s="911"/>
      <c r="IWT3424" s="911"/>
      <c r="IWU3424" s="911"/>
      <c r="IWV3424" s="911"/>
      <c r="IWW3424" s="911"/>
      <c r="IWX3424" s="911"/>
      <c r="IWY3424" s="912"/>
      <c r="IXA3424" s="913" t="s">
        <v>1</v>
      </c>
      <c r="IXB3424" s="31"/>
      <c r="IXC3424" s="909" t="s">
        <v>0</v>
      </c>
      <c r="IXD3424" s="909"/>
      <c r="IXE3424" s="909"/>
      <c r="IXF3424" s="909"/>
      <c r="IXG3424" s="909"/>
      <c r="IXH3424" s="909"/>
      <c r="IXI3424" s="907" t="s">
        <v>79</v>
      </c>
      <c r="IXJ3424" s="909" t="s">
        <v>68</v>
      </c>
      <c r="IXK3424" s="910" t="s">
        <v>75</v>
      </c>
      <c r="IXL3424" s="911"/>
      <c r="IXM3424" s="911"/>
      <c r="IXN3424" s="911"/>
      <c r="IXO3424" s="911"/>
      <c r="IXP3424" s="911"/>
      <c r="IXQ3424" s="911"/>
      <c r="IXR3424" s="911"/>
      <c r="IXS3424" s="911"/>
      <c r="IXT3424" s="911"/>
      <c r="IXU3424" s="32"/>
      <c r="IXV3424" s="911" t="s">
        <v>74</v>
      </c>
      <c r="IXW3424" s="911"/>
      <c r="IXX3424" s="911"/>
      <c r="IXY3424" s="911"/>
      <c r="IXZ3424" s="911"/>
      <c r="IYA3424" s="911"/>
      <c r="IYB3424" s="911"/>
      <c r="IYC3424" s="911"/>
      <c r="IYD3424" s="911"/>
      <c r="IYE3424" s="912"/>
      <c r="IYG3424" s="913" t="s">
        <v>1</v>
      </c>
      <c r="IYH3424" s="31"/>
      <c r="IYI3424" s="909" t="s">
        <v>0</v>
      </c>
      <c r="IYJ3424" s="909"/>
      <c r="IYK3424" s="909"/>
      <c r="IYL3424" s="909"/>
      <c r="IYM3424" s="909"/>
      <c r="IYN3424" s="909"/>
      <c r="IYO3424" s="907" t="s">
        <v>79</v>
      </c>
      <c r="IYP3424" s="909" t="s">
        <v>68</v>
      </c>
      <c r="IYQ3424" s="910" t="s">
        <v>75</v>
      </c>
      <c r="IYR3424" s="911"/>
      <c r="IYS3424" s="911"/>
      <c r="IYT3424" s="911"/>
      <c r="IYU3424" s="911"/>
      <c r="IYV3424" s="911"/>
      <c r="IYW3424" s="911"/>
      <c r="IYX3424" s="911"/>
      <c r="IYY3424" s="911"/>
      <c r="IYZ3424" s="911"/>
      <c r="IZA3424" s="32"/>
      <c r="IZB3424" s="911" t="s">
        <v>74</v>
      </c>
      <c r="IZC3424" s="911"/>
      <c r="IZD3424" s="911"/>
      <c r="IZE3424" s="911"/>
      <c r="IZF3424" s="911"/>
      <c r="IZG3424" s="911"/>
      <c r="IZH3424" s="911"/>
      <c r="IZI3424" s="911"/>
      <c r="IZJ3424" s="911"/>
      <c r="IZK3424" s="912"/>
      <c r="IZM3424" s="913" t="s">
        <v>1</v>
      </c>
      <c r="IZN3424" s="31"/>
      <c r="IZO3424" s="909" t="s">
        <v>0</v>
      </c>
      <c r="IZP3424" s="909"/>
      <c r="IZQ3424" s="909"/>
      <c r="IZR3424" s="909"/>
      <c r="IZS3424" s="909"/>
      <c r="IZT3424" s="909"/>
      <c r="IZU3424" s="907" t="s">
        <v>79</v>
      </c>
      <c r="IZV3424" s="909" t="s">
        <v>68</v>
      </c>
      <c r="IZW3424" s="910" t="s">
        <v>75</v>
      </c>
      <c r="IZX3424" s="911"/>
      <c r="IZY3424" s="911"/>
      <c r="IZZ3424" s="911"/>
      <c r="JAA3424" s="911"/>
      <c r="JAB3424" s="911"/>
      <c r="JAC3424" s="911"/>
      <c r="JAD3424" s="911"/>
      <c r="JAE3424" s="911"/>
      <c r="JAF3424" s="911"/>
      <c r="JAG3424" s="32"/>
      <c r="JAH3424" s="911" t="s">
        <v>74</v>
      </c>
      <c r="JAI3424" s="911"/>
      <c r="JAJ3424" s="911"/>
      <c r="JAK3424" s="911"/>
      <c r="JAL3424" s="911"/>
      <c r="JAM3424" s="911"/>
      <c r="JAN3424" s="911"/>
      <c r="JAO3424" s="911"/>
      <c r="JAP3424" s="911"/>
      <c r="JAQ3424" s="912"/>
      <c r="JAS3424" s="913" t="s">
        <v>1</v>
      </c>
      <c r="JAT3424" s="31"/>
      <c r="JAU3424" s="909" t="s">
        <v>0</v>
      </c>
      <c r="JAV3424" s="909"/>
      <c r="JAW3424" s="909"/>
      <c r="JAX3424" s="909"/>
      <c r="JAY3424" s="909"/>
      <c r="JAZ3424" s="909"/>
      <c r="JBA3424" s="907" t="s">
        <v>79</v>
      </c>
      <c r="JBB3424" s="909" t="s">
        <v>68</v>
      </c>
      <c r="JBC3424" s="910" t="s">
        <v>75</v>
      </c>
      <c r="JBD3424" s="911"/>
      <c r="JBE3424" s="911"/>
      <c r="JBF3424" s="911"/>
      <c r="JBG3424" s="911"/>
      <c r="JBH3424" s="911"/>
      <c r="JBI3424" s="911"/>
      <c r="JBJ3424" s="911"/>
      <c r="JBK3424" s="911"/>
      <c r="JBL3424" s="911"/>
      <c r="JBM3424" s="32"/>
      <c r="JBN3424" s="911" t="s">
        <v>74</v>
      </c>
      <c r="JBO3424" s="911"/>
      <c r="JBP3424" s="911"/>
      <c r="JBQ3424" s="911"/>
      <c r="JBR3424" s="911"/>
      <c r="JBS3424" s="911"/>
      <c r="JBT3424" s="911"/>
      <c r="JBU3424" s="911"/>
      <c r="JBV3424" s="911"/>
      <c r="JBW3424" s="912"/>
      <c r="JBY3424" s="913" t="s">
        <v>1</v>
      </c>
      <c r="JBZ3424" s="31"/>
      <c r="JCA3424" s="909" t="s">
        <v>0</v>
      </c>
      <c r="JCB3424" s="909"/>
      <c r="JCC3424" s="909"/>
      <c r="JCD3424" s="909"/>
      <c r="JCE3424" s="909"/>
      <c r="JCF3424" s="909"/>
      <c r="JCG3424" s="907" t="s">
        <v>79</v>
      </c>
      <c r="JCH3424" s="909" t="s">
        <v>68</v>
      </c>
      <c r="JCI3424" s="910" t="s">
        <v>75</v>
      </c>
      <c r="JCJ3424" s="911"/>
      <c r="JCK3424" s="911"/>
      <c r="JCL3424" s="911"/>
      <c r="JCM3424" s="911"/>
      <c r="JCN3424" s="911"/>
      <c r="JCO3424" s="911"/>
      <c r="JCP3424" s="911"/>
      <c r="JCQ3424" s="911"/>
      <c r="JCR3424" s="911"/>
      <c r="JCS3424" s="32"/>
      <c r="JCT3424" s="911" t="s">
        <v>74</v>
      </c>
      <c r="JCU3424" s="911"/>
      <c r="JCV3424" s="911"/>
      <c r="JCW3424" s="911"/>
      <c r="JCX3424" s="911"/>
      <c r="JCY3424" s="911"/>
      <c r="JCZ3424" s="911"/>
      <c r="JDA3424" s="911"/>
      <c r="JDB3424" s="911"/>
      <c r="JDC3424" s="912"/>
      <c r="JDE3424" s="913" t="s">
        <v>1</v>
      </c>
      <c r="JDF3424" s="31"/>
      <c r="JDG3424" s="909" t="s">
        <v>0</v>
      </c>
      <c r="JDH3424" s="909"/>
      <c r="JDI3424" s="909"/>
      <c r="JDJ3424" s="909"/>
      <c r="JDK3424" s="909"/>
      <c r="JDL3424" s="909"/>
      <c r="JDM3424" s="907" t="s">
        <v>79</v>
      </c>
      <c r="JDN3424" s="909" t="s">
        <v>68</v>
      </c>
      <c r="JDO3424" s="910" t="s">
        <v>75</v>
      </c>
      <c r="JDP3424" s="911"/>
      <c r="JDQ3424" s="911"/>
      <c r="JDR3424" s="911"/>
      <c r="JDS3424" s="911"/>
      <c r="JDT3424" s="911"/>
      <c r="JDU3424" s="911"/>
      <c r="JDV3424" s="911"/>
      <c r="JDW3424" s="911"/>
      <c r="JDX3424" s="911"/>
      <c r="JDY3424" s="32"/>
      <c r="JDZ3424" s="911" t="s">
        <v>74</v>
      </c>
      <c r="JEA3424" s="911"/>
      <c r="JEB3424" s="911"/>
      <c r="JEC3424" s="911"/>
      <c r="JED3424" s="911"/>
      <c r="JEE3424" s="911"/>
      <c r="JEF3424" s="911"/>
      <c r="JEG3424" s="911"/>
      <c r="JEH3424" s="911"/>
      <c r="JEI3424" s="912"/>
      <c r="JEK3424" s="913" t="s">
        <v>1</v>
      </c>
      <c r="JEL3424" s="31"/>
      <c r="JEM3424" s="909" t="s">
        <v>0</v>
      </c>
      <c r="JEN3424" s="909"/>
      <c r="JEO3424" s="909"/>
      <c r="JEP3424" s="909"/>
      <c r="JEQ3424" s="909"/>
      <c r="JER3424" s="909"/>
      <c r="JES3424" s="907" t="s">
        <v>79</v>
      </c>
      <c r="JET3424" s="909" t="s">
        <v>68</v>
      </c>
      <c r="JEU3424" s="910" t="s">
        <v>75</v>
      </c>
      <c r="JEV3424" s="911"/>
      <c r="JEW3424" s="911"/>
      <c r="JEX3424" s="911"/>
      <c r="JEY3424" s="911"/>
      <c r="JEZ3424" s="911"/>
      <c r="JFA3424" s="911"/>
      <c r="JFB3424" s="911"/>
      <c r="JFC3424" s="911"/>
      <c r="JFD3424" s="911"/>
      <c r="JFE3424" s="32"/>
      <c r="JFF3424" s="911" t="s">
        <v>74</v>
      </c>
      <c r="JFG3424" s="911"/>
      <c r="JFH3424" s="911"/>
      <c r="JFI3424" s="911"/>
      <c r="JFJ3424" s="911"/>
      <c r="JFK3424" s="911"/>
      <c r="JFL3424" s="911"/>
      <c r="JFM3424" s="911"/>
      <c r="JFN3424" s="911"/>
      <c r="JFO3424" s="912"/>
      <c r="JFQ3424" s="913" t="s">
        <v>1</v>
      </c>
      <c r="JFR3424" s="31"/>
      <c r="JFS3424" s="909" t="s">
        <v>0</v>
      </c>
      <c r="JFT3424" s="909"/>
      <c r="JFU3424" s="909"/>
      <c r="JFV3424" s="909"/>
      <c r="JFW3424" s="909"/>
      <c r="JFX3424" s="909"/>
      <c r="JFY3424" s="907" t="s">
        <v>79</v>
      </c>
      <c r="JFZ3424" s="909" t="s">
        <v>68</v>
      </c>
      <c r="JGA3424" s="910" t="s">
        <v>75</v>
      </c>
      <c r="JGB3424" s="911"/>
      <c r="JGC3424" s="911"/>
      <c r="JGD3424" s="911"/>
      <c r="JGE3424" s="911"/>
      <c r="JGF3424" s="911"/>
      <c r="JGG3424" s="911"/>
      <c r="JGH3424" s="911"/>
      <c r="JGI3424" s="911"/>
      <c r="JGJ3424" s="911"/>
      <c r="JGK3424" s="32"/>
      <c r="JGL3424" s="911" t="s">
        <v>74</v>
      </c>
      <c r="JGM3424" s="911"/>
      <c r="JGN3424" s="911"/>
      <c r="JGO3424" s="911"/>
      <c r="JGP3424" s="911"/>
      <c r="JGQ3424" s="911"/>
      <c r="JGR3424" s="911"/>
      <c r="JGS3424" s="911"/>
      <c r="JGT3424" s="911"/>
      <c r="JGU3424" s="912"/>
      <c r="JGW3424" s="913" t="s">
        <v>1</v>
      </c>
      <c r="JGX3424" s="31"/>
      <c r="JGY3424" s="909" t="s">
        <v>0</v>
      </c>
      <c r="JGZ3424" s="909"/>
      <c r="JHA3424" s="909"/>
      <c r="JHB3424" s="909"/>
      <c r="JHC3424" s="909"/>
      <c r="JHD3424" s="909"/>
      <c r="JHE3424" s="907" t="s">
        <v>79</v>
      </c>
      <c r="JHF3424" s="909" t="s">
        <v>68</v>
      </c>
      <c r="JHG3424" s="910" t="s">
        <v>75</v>
      </c>
      <c r="JHH3424" s="911"/>
      <c r="JHI3424" s="911"/>
      <c r="JHJ3424" s="911"/>
      <c r="JHK3424" s="911"/>
      <c r="JHL3424" s="911"/>
      <c r="JHM3424" s="911"/>
      <c r="JHN3424" s="911"/>
      <c r="JHO3424" s="911"/>
      <c r="JHP3424" s="911"/>
      <c r="JHQ3424" s="32"/>
      <c r="JHR3424" s="911" t="s">
        <v>74</v>
      </c>
      <c r="JHS3424" s="911"/>
      <c r="JHT3424" s="911"/>
      <c r="JHU3424" s="911"/>
      <c r="JHV3424" s="911"/>
      <c r="JHW3424" s="911"/>
      <c r="JHX3424" s="911"/>
      <c r="JHY3424" s="911"/>
      <c r="JHZ3424" s="911"/>
      <c r="JIA3424" s="912"/>
      <c r="JIC3424" s="913" t="s">
        <v>1</v>
      </c>
      <c r="JID3424" s="31"/>
      <c r="JIE3424" s="909" t="s">
        <v>0</v>
      </c>
      <c r="JIF3424" s="909"/>
      <c r="JIG3424" s="909"/>
      <c r="JIH3424" s="909"/>
      <c r="JII3424" s="909"/>
      <c r="JIJ3424" s="909"/>
      <c r="JIK3424" s="907" t="s">
        <v>79</v>
      </c>
      <c r="JIL3424" s="909" t="s">
        <v>68</v>
      </c>
      <c r="JIM3424" s="910" t="s">
        <v>75</v>
      </c>
      <c r="JIN3424" s="911"/>
      <c r="JIO3424" s="911"/>
      <c r="JIP3424" s="911"/>
      <c r="JIQ3424" s="911"/>
      <c r="JIR3424" s="911"/>
      <c r="JIS3424" s="911"/>
      <c r="JIT3424" s="911"/>
      <c r="JIU3424" s="911"/>
      <c r="JIV3424" s="911"/>
      <c r="JIW3424" s="32"/>
      <c r="JIX3424" s="911" t="s">
        <v>74</v>
      </c>
      <c r="JIY3424" s="911"/>
      <c r="JIZ3424" s="911"/>
      <c r="JJA3424" s="911"/>
      <c r="JJB3424" s="911"/>
      <c r="JJC3424" s="911"/>
      <c r="JJD3424" s="911"/>
      <c r="JJE3424" s="911"/>
      <c r="JJF3424" s="911"/>
      <c r="JJG3424" s="912"/>
      <c r="JJI3424" s="913" t="s">
        <v>1</v>
      </c>
      <c r="JJJ3424" s="31"/>
      <c r="JJK3424" s="909" t="s">
        <v>0</v>
      </c>
      <c r="JJL3424" s="909"/>
      <c r="JJM3424" s="909"/>
      <c r="JJN3424" s="909"/>
      <c r="JJO3424" s="909"/>
      <c r="JJP3424" s="909"/>
      <c r="JJQ3424" s="907" t="s">
        <v>79</v>
      </c>
      <c r="JJR3424" s="909" t="s">
        <v>68</v>
      </c>
      <c r="JJS3424" s="910" t="s">
        <v>75</v>
      </c>
      <c r="JJT3424" s="911"/>
      <c r="JJU3424" s="911"/>
      <c r="JJV3424" s="911"/>
      <c r="JJW3424" s="911"/>
      <c r="JJX3424" s="911"/>
      <c r="JJY3424" s="911"/>
      <c r="JJZ3424" s="911"/>
      <c r="JKA3424" s="911"/>
      <c r="JKB3424" s="911"/>
      <c r="JKC3424" s="32"/>
      <c r="JKD3424" s="911" t="s">
        <v>74</v>
      </c>
      <c r="JKE3424" s="911"/>
      <c r="JKF3424" s="911"/>
      <c r="JKG3424" s="911"/>
      <c r="JKH3424" s="911"/>
      <c r="JKI3424" s="911"/>
      <c r="JKJ3424" s="911"/>
      <c r="JKK3424" s="911"/>
      <c r="JKL3424" s="911"/>
      <c r="JKM3424" s="912"/>
      <c r="JKO3424" s="913" t="s">
        <v>1</v>
      </c>
      <c r="JKP3424" s="31"/>
      <c r="JKQ3424" s="909" t="s">
        <v>0</v>
      </c>
      <c r="JKR3424" s="909"/>
      <c r="JKS3424" s="909"/>
      <c r="JKT3424" s="909"/>
      <c r="JKU3424" s="909"/>
      <c r="JKV3424" s="909"/>
      <c r="JKW3424" s="907" t="s">
        <v>79</v>
      </c>
      <c r="JKX3424" s="909" t="s">
        <v>68</v>
      </c>
      <c r="JKY3424" s="910" t="s">
        <v>75</v>
      </c>
      <c r="JKZ3424" s="911"/>
      <c r="JLA3424" s="911"/>
      <c r="JLB3424" s="911"/>
      <c r="JLC3424" s="911"/>
      <c r="JLD3424" s="911"/>
      <c r="JLE3424" s="911"/>
      <c r="JLF3424" s="911"/>
      <c r="JLG3424" s="911"/>
      <c r="JLH3424" s="911"/>
      <c r="JLI3424" s="32"/>
      <c r="JLJ3424" s="911" t="s">
        <v>74</v>
      </c>
      <c r="JLK3424" s="911"/>
      <c r="JLL3424" s="911"/>
      <c r="JLM3424" s="911"/>
      <c r="JLN3424" s="911"/>
      <c r="JLO3424" s="911"/>
      <c r="JLP3424" s="911"/>
      <c r="JLQ3424" s="911"/>
      <c r="JLR3424" s="911"/>
      <c r="JLS3424" s="912"/>
      <c r="JLU3424" s="913" t="s">
        <v>1</v>
      </c>
      <c r="JLV3424" s="31"/>
      <c r="JLW3424" s="909" t="s">
        <v>0</v>
      </c>
      <c r="JLX3424" s="909"/>
      <c r="JLY3424" s="909"/>
      <c r="JLZ3424" s="909"/>
      <c r="JMA3424" s="909"/>
      <c r="JMB3424" s="909"/>
      <c r="JMC3424" s="907" t="s">
        <v>79</v>
      </c>
      <c r="JMD3424" s="909" t="s">
        <v>68</v>
      </c>
      <c r="JME3424" s="910" t="s">
        <v>75</v>
      </c>
      <c r="JMF3424" s="911"/>
      <c r="JMG3424" s="911"/>
      <c r="JMH3424" s="911"/>
      <c r="JMI3424" s="911"/>
      <c r="JMJ3424" s="911"/>
      <c r="JMK3424" s="911"/>
      <c r="JML3424" s="911"/>
      <c r="JMM3424" s="911"/>
      <c r="JMN3424" s="911"/>
      <c r="JMO3424" s="32"/>
      <c r="JMP3424" s="911" t="s">
        <v>74</v>
      </c>
      <c r="JMQ3424" s="911"/>
      <c r="JMR3424" s="911"/>
      <c r="JMS3424" s="911"/>
      <c r="JMT3424" s="911"/>
      <c r="JMU3424" s="911"/>
      <c r="JMV3424" s="911"/>
      <c r="JMW3424" s="911"/>
      <c r="JMX3424" s="911"/>
      <c r="JMY3424" s="912"/>
      <c r="JNA3424" s="913" t="s">
        <v>1</v>
      </c>
      <c r="JNB3424" s="31"/>
      <c r="JNC3424" s="909" t="s">
        <v>0</v>
      </c>
      <c r="JND3424" s="909"/>
      <c r="JNE3424" s="909"/>
      <c r="JNF3424" s="909"/>
      <c r="JNG3424" s="909"/>
      <c r="JNH3424" s="909"/>
      <c r="JNI3424" s="907" t="s">
        <v>79</v>
      </c>
      <c r="JNJ3424" s="909" t="s">
        <v>68</v>
      </c>
      <c r="JNK3424" s="910" t="s">
        <v>75</v>
      </c>
      <c r="JNL3424" s="911"/>
      <c r="JNM3424" s="911"/>
      <c r="JNN3424" s="911"/>
      <c r="JNO3424" s="911"/>
      <c r="JNP3424" s="911"/>
      <c r="JNQ3424" s="911"/>
      <c r="JNR3424" s="911"/>
      <c r="JNS3424" s="911"/>
      <c r="JNT3424" s="911"/>
      <c r="JNU3424" s="32"/>
      <c r="JNV3424" s="911" t="s">
        <v>74</v>
      </c>
      <c r="JNW3424" s="911"/>
      <c r="JNX3424" s="911"/>
      <c r="JNY3424" s="911"/>
      <c r="JNZ3424" s="911"/>
      <c r="JOA3424" s="911"/>
      <c r="JOB3424" s="911"/>
      <c r="JOC3424" s="911"/>
      <c r="JOD3424" s="911"/>
      <c r="JOE3424" s="912"/>
      <c r="JOG3424" s="913" t="s">
        <v>1</v>
      </c>
      <c r="JOH3424" s="31"/>
      <c r="JOI3424" s="909" t="s">
        <v>0</v>
      </c>
      <c r="JOJ3424" s="909"/>
      <c r="JOK3424" s="909"/>
      <c r="JOL3424" s="909"/>
      <c r="JOM3424" s="909"/>
      <c r="JON3424" s="909"/>
      <c r="JOO3424" s="907" t="s">
        <v>79</v>
      </c>
      <c r="JOP3424" s="909" t="s">
        <v>68</v>
      </c>
      <c r="JOQ3424" s="910" t="s">
        <v>75</v>
      </c>
      <c r="JOR3424" s="911"/>
      <c r="JOS3424" s="911"/>
      <c r="JOT3424" s="911"/>
      <c r="JOU3424" s="911"/>
      <c r="JOV3424" s="911"/>
      <c r="JOW3424" s="911"/>
      <c r="JOX3424" s="911"/>
      <c r="JOY3424" s="911"/>
      <c r="JOZ3424" s="911"/>
      <c r="JPA3424" s="32"/>
      <c r="JPB3424" s="911" t="s">
        <v>74</v>
      </c>
      <c r="JPC3424" s="911"/>
      <c r="JPD3424" s="911"/>
      <c r="JPE3424" s="911"/>
      <c r="JPF3424" s="911"/>
      <c r="JPG3424" s="911"/>
      <c r="JPH3424" s="911"/>
      <c r="JPI3424" s="911"/>
      <c r="JPJ3424" s="911"/>
      <c r="JPK3424" s="912"/>
      <c r="JPM3424" s="913" t="s">
        <v>1</v>
      </c>
      <c r="JPN3424" s="31"/>
      <c r="JPO3424" s="909" t="s">
        <v>0</v>
      </c>
      <c r="JPP3424" s="909"/>
      <c r="JPQ3424" s="909"/>
      <c r="JPR3424" s="909"/>
      <c r="JPS3424" s="909"/>
      <c r="JPT3424" s="909"/>
      <c r="JPU3424" s="907" t="s">
        <v>79</v>
      </c>
      <c r="JPV3424" s="909" t="s">
        <v>68</v>
      </c>
      <c r="JPW3424" s="910" t="s">
        <v>75</v>
      </c>
      <c r="JPX3424" s="911"/>
      <c r="JPY3424" s="911"/>
      <c r="JPZ3424" s="911"/>
      <c r="JQA3424" s="911"/>
      <c r="JQB3424" s="911"/>
      <c r="JQC3424" s="911"/>
      <c r="JQD3424" s="911"/>
      <c r="JQE3424" s="911"/>
      <c r="JQF3424" s="911"/>
      <c r="JQG3424" s="32"/>
      <c r="JQH3424" s="911" t="s">
        <v>74</v>
      </c>
      <c r="JQI3424" s="911"/>
      <c r="JQJ3424" s="911"/>
      <c r="JQK3424" s="911"/>
      <c r="JQL3424" s="911"/>
      <c r="JQM3424" s="911"/>
      <c r="JQN3424" s="911"/>
      <c r="JQO3424" s="911"/>
      <c r="JQP3424" s="911"/>
      <c r="JQQ3424" s="912"/>
      <c r="JQS3424" s="913" t="s">
        <v>1</v>
      </c>
      <c r="JQT3424" s="31"/>
      <c r="JQU3424" s="909" t="s">
        <v>0</v>
      </c>
      <c r="JQV3424" s="909"/>
      <c r="JQW3424" s="909"/>
      <c r="JQX3424" s="909"/>
      <c r="JQY3424" s="909"/>
      <c r="JQZ3424" s="909"/>
      <c r="JRA3424" s="907" t="s">
        <v>79</v>
      </c>
      <c r="JRB3424" s="909" t="s">
        <v>68</v>
      </c>
      <c r="JRC3424" s="910" t="s">
        <v>75</v>
      </c>
      <c r="JRD3424" s="911"/>
      <c r="JRE3424" s="911"/>
      <c r="JRF3424" s="911"/>
      <c r="JRG3424" s="911"/>
      <c r="JRH3424" s="911"/>
      <c r="JRI3424" s="911"/>
      <c r="JRJ3424" s="911"/>
      <c r="JRK3424" s="911"/>
      <c r="JRL3424" s="911"/>
      <c r="JRM3424" s="32"/>
      <c r="JRN3424" s="911" t="s">
        <v>74</v>
      </c>
      <c r="JRO3424" s="911"/>
      <c r="JRP3424" s="911"/>
      <c r="JRQ3424" s="911"/>
      <c r="JRR3424" s="911"/>
      <c r="JRS3424" s="911"/>
      <c r="JRT3424" s="911"/>
      <c r="JRU3424" s="911"/>
      <c r="JRV3424" s="911"/>
      <c r="JRW3424" s="912"/>
      <c r="JRY3424" s="913" t="s">
        <v>1</v>
      </c>
      <c r="JRZ3424" s="31"/>
      <c r="JSA3424" s="909" t="s">
        <v>0</v>
      </c>
      <c r="JSB3424" s="909"/>
      <c r="JSC3424" s="909"/>
      <c r="JSD3424" s="909"/>
      <c r="JSE3424" s="909"/>
      <c r="JSF3424" s="909"/>
      <c r="JSG3424" s="907" t="s">
        <v>79</v>
      </c>
      <c r="JSH3424" s="909" t="s">
        <v>68</v>
      </c>
      <c r="JSI3424" s="910" t="s">
        <v>75</v>
      </c>
      <c r="JSJ3424" s="911"/>
      <c r="JSK3424" s="911"/>
      <c r="JSL3424" s="911"/>
      <c r="JSM3424" s="911"/>
      <c r="JSN3424" s="911"/>
      <c r="JSO3424" s="911"/>
      <c r="JSP3424" s="911"/>
      <c r="JSQ3424" s="911"/>
      <c r="JSR3424" s="911"/>
      <c r="JSS3424" s="32"/>
      <c r="JST3424" s="911" t="s">
        <v>74</v>
      </c>
      <c r="JSU3424" s="911"/>
      <c r="JSV3424" s="911"/>
      <c r="JSW3424" s="911"/>
      <c r="JSX3424" s="911"/>
      <c r="JSY3424" s="911"/>
      <c r="JSZ3424" s="911"/>
      <c r="JTA3424" s="911"/>
      <c r="JTB3424" s="911"/>
      <c r="JTC3424" s="912"/>
      <c r="JTE3424" s="913" t="s">
        <v>1</v>
      </c>
      <c r="JTF3424" s="31"/>
      <c r="JTG3424" s="909" t="s">
        <v>0</v>
      </c>
      <c r="JTH3424" s="909"/>
      <c r="JTI3424" s="909"/>
      <c r="JTJ3424" s="909"/>
      <c r="JTK3424" s="909"/>
      <c r="JTL3424" s="909"/>
      <c r="JTM3424" s="907" t="s">
        <v>79</v>
      </c>
      <c r="JTN3424" s="909" t="s">
        <v>68</v>
      </c>
      <c r="JTO3424" s="910" t="s">
        <v>75</v>
      </c>
      <c r="JTP3424" s="911"/>
      <c r="JTQ3424" s="911"/>
      <c r="JTR3424" s="911"/>
      <c r="JTS3424" s="911"/>
      <c r="JTT3424" s="911"/>
      <c r="JTU3424" s="911"/>
      <c r="JTV3424" s="911"/>
      <c r="JTW3424" s="911"/>
      <c r="JTX3424" s="911"/>
      <c r="JTY3424" s="32"/>
      <c r="JTZ3424" s="911" t="s">
        <v>74</v>
      </c>
      <c r="JUA3424" s="911"/>
      <c r="JUB3424" s="911"/>
      <c r="JUC3424" s="911"/>
      <c r="JUD3424" s="911"/>
      <c r="JUE3424" s="911"/>
      <c r="JUF3424" s="911"/>
      <c r="JUG3424" s="911"/>
      <c r="JUH3424" s="911"/>
      <c r="JUI3424" s="912"/>
      <c r="JUK3424" s="913" t="s">
        <v>1</v>
      </c>
      <c r="JUL3424" s="31"/>
      <c r="JUM3424" s="909" t="s">
        <v>0</v>
      </c>
      <c r="JUN3424" s="909"/>
      <c r="JUO3424" s="909"/>
      <c r="JUP3424" s="909"/>
      <c r="JUQ3424" s="909"/>
      <c r="JUR3424" s="909"/>
      <c r="JUS3424" s="907" t="s">
        <v>79</v>
      </c>
      <c r="JUT3424" s="909" t="s">
        <v>68</v>
      </c>
      <c r="JUU3424" s="910" t="s">
        <v>75</v>
      </c>
      <c r="JUV3424" s="911"/>
      <c r="JUW3424" s="911"/>
      <c r="JUX3424" s="911"/>
      <c r="JUY3424" s="911"/>
      <c r="JUZ3424" s="911"/>
      <c r="JVA3424" s="911"/>
      <c r="JVB3424" s="911"/>
      <c r="JVC3424" s="911"/>
      <c r="JVD3424" s="911"/>
      <c r="JVE3424" s="32"/>
      <c r="JVF3424" s="911" t="s">
        <v>74</v>
      </c>
      <c r="JVG3424" s="911"/>
      <c r="JVH3424" s="911"/>
      <c r="JVI3424" s="911"/>
      <c r="JVJ3424" s="911"/>
      <c r="JVK3424" s="911"/>
      <c r="JVL3424" s="911"/>
      <c r="JVM3424" s="911"/>
      <c r="JVN3424" s="911"/>
      <c r="JVO3424" s="912"/>
      <c r="JVQ3424" s="913" t="s">
        <v>1</v>
      </c>
      <c r="JVR3424" s="31"/>
      <c r="JVS3424" s="909" t="s">
        <v>0</v>
      </c>
      <c r="JVT3424" s="909"/>
      <c r="JVU3424" s="909"/>
      <c r="JVV3424" s="909"/>
      <c r="JVW3424" s="909"/>
      <c r="JVX3424" s="909"/>
      <c r="JVY3424" s="907" t="s">
        <v>79</v>
      </c>
      <c r="JVZ3424" s="909" t="s">
        <v>68</v>
      </c>
      <c r="JWA3424" s="910" t="s">
        <v>75</v>
      </c>
      <c r="JWB3424" s="911"/>
      <c r="JWC3424" s="911"/>
      <c r="JWD3424" s="911"/>
      <c r="JWE3424" s="911"/>
      <c r="JWF3424" s="911"/>
      <c r="JWG3424" s="911"/>
      <c r="JWH3424" s="911"/>
      <c r="JWI3424" s="911"/>
      <c r="JWJ3424" s="911"/>
      <c r="JWK3424" s="32"/>
      <c r="JWL3424" s="911" t="s">
        <v>74</v>
      </c>
      <c r="JWM3424" s="911"/>
      <c r="JWN3424" s="911"/>
      <c r="JWO3424" s="911"/>
      <c r="JWP3424" s="911"/>
      <c r="JWQ3424" s="911"/>
      <c r="JWR3424" s="911"/>
      <c r="JWS3424" s="911"/>
      <c r="JWT3424" s="911"/>
      <c r="JWU3424" s="912"/>
      <c r="JWW3424" s="913" t="s">
        <v>1</v>
      </c>
      <c r="JWX3424" s="31"/>
      <c r="JWY3424" s="909" t="s">
        <v>0</v>
      </c>
      <c r="JWZ3424" s="909"/>
      <c r="JXA3424" s="909"/>
      <c r="JXB3424" s="909"/>
      <c r="JXC3424" s="909"/>
      <c r="JXD3424" s="909"/>
      <c r="JXE3424" s="907" t="s">
        <v>79</v>
      </c>
      <c r="JXF3424" s="909" t="s">
        <v>68</v>
      </c>
      <c r="JXG3424" s="910" t="s">
        <v>75</v>
      </c>
      <c r="JXH3424" s="911"/>
      <c r="JXI3424" s="911"/>
      <c r="JXJ3424" s="911"/>
      <c r="JXK3424" s="911"/>
      <c r="JXL3424" s="911"/>
      <c r="JXM3424" s="911"/>
      <c r="JXN3424" s="911"/>
      <c r="JXO3424" s="911"/>
      <c r="JXP3424" s="911"/>
      <c r="JXQ3424" s="32"/>
      <c r="JXR3424" s="911" t="s">
        <v>74</v>
      </c>
      <c r="JXS3424" s="911"/>
      <c r="JXT3424" s="911"/>
      <c r="JXU3424" s="911"/>
      <c r="JXV3424" s="911"/>
      <c r="JXW3424" s="911"/>
      <c r="JXX3424" s="911"/>
      <c r="JXY3424" s="911"/>
      <c r="JXZ3424" s="911"/>
      <c r="JYA3424" s="912"/>
      <c r="JYC3424" s="913" t="s">
        <v>1</v>
      </c>
      <c r="JYD3424" s="31"/>
      <c r="JYE3424" s="909" t="s">
        <v>0</v>
      </c>
      <c r="JYF3424" s="909"/>
      <c r="JYG3424" s="909"/>
      <c r="JYH3424" s="909"/>
      <c r="JYI3424" s="909"/>
      <c r="JYJ3424" s="909"/>
      <c r="JYK3424" s="907" t="s">
        <v>79</v>
      </c>
      <c r="JYL3424" s="909" t="s">
        <v>68</v>
      </c>
      <c r="JYM3424" s="910" t="s">
        <v>75</v>
      </c>
      <c r="JYN3424" s="911"/>
      <c r="JYO3424" s="911"/>
      <c r="JYP3424" s="911"/>
      <c r="JYQ3424" s="911"/>
      <c r="JYR3424" s="911"/>
      <c r="JYS3424" s="911"/>
      <c r="JYT3424" s="911"/>
      <c r="JYU3424" s="911"/>
      <c r="JYV3424" s="911"/>
      <c r="JYW3424" s="32"/>
      <c r="JYX3424" s="911" t="s">
        <v>74</v>
      </c>
      <c r="JYY3424" s="911"/>
      <c r="JYZ3424" s="911"/>
      <c r="JZA3424" s="911"/>
      <c r="JZB3424" s="911"/>
      <c r="JZC3424" s="911"/>
      <c r="JZD3424" s="911"/>
      <c r="JZE3424" s="911"/>
      <c r="JZF3424" s="911"/>
      <c r="JZG3424" s="912"/>
      <c r="JZI3424" s="913" t="s">
        <v>1</v>
      </c>
      <c r="JZJ3424" s="31"/>
      <c r="JZK3424" s="909" t="s">
        <v>0</v>
      </c>
      <c r="JZL3424" s="909"/>
      <c r="JZM3424" s="909"/>
      <c r="JZN3424" s="909"/>
      <c r="JZO3424" s="909"/>
      <c r="JZP3424" s="909"/>
      <c r="JZQ3424" s="907" t="s">
        <v>79</v>
      </c>
      <c r="JZR3424" s="909" t="s">
        <v>68</v>
      </c>
      <c r="JZS3424" s="910" t="s">
        <v>75</v>
      </c>
      <c r="JZT3424" s="911"/>
      <c r="JZU3424" s="911"/>
      <c r="JZV3424" s="911"/>
      <c r="JZW3424" s="911"/>
      <c r="JZX3424" s="911"/>
      <c r="JZY3424" s="911"/>
      <c r="JZZ3424" s="911"/>
      <c r="KAA3424" s="911"/>
      <c r="KAB3424" s="911"/>
      <c r="KAC3424" s="32"/>
      <c r="KAD3424" s="911" t="s">
        <v>74</v>
      </c>
      <c r="KAE3424" s="911"/>
      <c r="KAF3424" s="911"/>
      <c r="KAG3424" s="911"/>
      <c r="KAH3424" s="911"/>
      <c r="KAI3424" s="911"/>
      <c r="KAJ3424" s="911"/>
      <c r="KAK3424" s="911"/>
      <c r="KAL3424" s="911"/>
      <c r="KAM3424" s="912"/>
      <c r="KAO3424" s="913" t="s">
        <v>1</v>
      </c>
      <c r="KAP3424" s="31"/>
      <c r="KAQ3424" s="909" t="s">
        <v>0</v>
      </c>
      <c r="KAR3424" s="909"/>
      <c r="KAS3424" s="909"/>
      <c r="KAT3424" s="909"/>
      <c r="KAU3424" s="909"/>
      <c r="KAV3424" s="909"/>
      <c r="KAW3424" s="907" t="s">
        <v>79</v>
      </c>
      <c r="KAX3424" s="909" t="s">
        <v>68</v>
      </c>
      <c r="KAY3424" s="910" t="s">
        <v>75</v>
      </c>
      <c r="KAZ3424" s="911"/>
      <c r="KBA3424" s="911"/>
      <c r="KBB3424" s="911"/>
      <c r="KBC3424" s="911"/>
      <c r="KBD3424" s="911"/>
      <c r="KBE3424" s="911"/>
      <c r="KBF3424" s="911"/>
      <c r="KBG3424" s="911"/>
      <c r="KBH3424" s="911"/>
      <c r="KBI3424" s="32"/>
      <c r="KBJ3424" s="911" t="s">
        <v>74</v>
      </c>
      <c r="KBK3424" s="911"/>
      <c r="KBL3424" s="911"/>
      <c r="KBM3424" s="911"/>
      <c r="KBN3424" s="911"/>
      <c r="KBO3424" s="911"/>
      <c r="KBP3424" s="911"/>
      <c r="KBQ3424" s="911"/>
      <c r="KBR3424" s="911"/>
      <c r="KBS3424" s="912"/>
      <c r="KBU3424" s="913" t="s">
        <v>1</v>
      </c>
      <c r="KBV3424" s="31"/>
      <c r="KBW3424" s="909" t="s">
        <v>0</v>
      </c>
      <c r="KBX3424" s="909"/>
      <c r="KBY3424" s="909"/>
      <c r="KBZ3424" s="909"/>
      <c r="KCA3424" s="909"/>
      <c r="KCB3424" s="909"/>
      <c r="KCC3424" s="907" t="s">
        <v>79</v>
      </c>
      <c r="KCD3424" s="909" t="s">
        <v>68</v>
      </c>
      <c r="KCE3424" s="910" t="s">
        <v>75</v>
      </c>
      <c r="KCF3424" s="911"/>
      <c r="KCG3424" s="911"/>
      <c r="KCH3424" s="911"/>
      <c r="KCI3424" s="911"/>
      <c r="KCJ3424" s="911"/>
      <c r="KCK3424" s="911"/>
      <c r="KCL3424" s="911"/>
      <c r="KCM3424" s="911"/>
      <c r="KCN3424" s="911"/>
      <c r="KCO3424" s="32"/>
      <c r="KCP3424" s="911" t="s">
        <v>74</v>
      </c>
      <c r="KCQ3424" s="911"/>
      <c r="KCR3424" s="911"/>
      <c r="KCS3424" s="911"/>
      <c r="KCT3424" s="911"/>
      <c r="KCU3424" s="911"/>
      <c r="KCV3424" s="911"/>
      <c r="KCW3424" s="911"/>
      <c r="KCX3424" s="911"/>
      <c r="KCY3424" s="912"/>
      <c r="KDA3424" s="913" t="s">
        <v>1</v>
      </c>
      <c r="KDB3424" s="31"/>
      <c r="KDC3424" s="909" t="s">
        <v>0</v>
      </c>
      <c r="KDD3424" s="909"/>
      <c r="KDE3424" s="909"/>
      <c r="KDF3424" s="909"/>
      <c r="KDG3424" s="909"/>
      <c r="KDH3424" s="909"/>
      <c r="KDI3424" s="907" t="s">
        <v>79</v>
      </c>
      <c r="KDJ3424" s="909" t="s">
        <v>68</v>
      </c>
      <c r="KDK3424" s="910" t="s">
        <v>75</v>
      </c>
      <c r="KDL3424" s="911"/>
      <c r="KDM3424" s="911"/>
      <c r="KDN3424" s="911"/>
      <c r="KDO3424" s="911"/>
      <c r="KDP3424" s="911"/>
      <c r="KDQ3424" s="911"/>
      <c r="KDR3424" s="911"/>
      <c r="KDS3424" s="911"/>
      <c r="KDT3424" s="911"/>
      <c r="KDU3424" s="32"/>
      <c r="KDV3424" s="911" t="s">
        <v>74</v>
      </c>
      <c r="KDW3424" s="911"/>
      <c r="KDX3424" s="911"/>
      <c r="KDY3424" s="911"/>
      <c r="KDZ3424" s="911"/>
      <c r="KEA3424" s="911"/>
      <c r="KEB3424" s="911"/>
      <c r="KEC3424" s="911"/>
      <c r="KED3424" s="911"/>
      <c r="KEE3424" s="912"/>
      <c r="KEG3424" s="913" t="s">
        <v>1</v>
      </c>
      <c r="KEH3424" s="31"/>
      <c r="KEI3424" s="909" t="s">
        <v>0</v>
      </c>
      <c r="KEJ3424" s="909"/>
      <c r="KEK3424" s="909"/>
      <c r="KEL3424" s="909"/>
      <c r="KEM3424" s="909"/>
      <c r="KEN3424" s="909"/>
      <c r="KEO3424" s="907" t="s">
        <v>79</v>
      </c>
      <c r="KEP3424" s="909" t="s">
        <v>68</v>
      </c>
      <c r="KEQ3424" s="910" t="s">
        <v>75</v>
      </c>
      <c r="KER3424" s="911"/>
      <c r="KES3424" s="911"/>
      <c r="KET3424" s="911"/>
      <c r="KEU3424" s="911"/>
      <c r="KEV3424" s="911"/>
      <c r="KEW3424" s="911"/>
      <c r="KEX3424" s="911"/>
      <c r="KEY3424" s="911"/>
      <c r="KEZ3424" s="911"/>
      <c r="KFA3424" s="32"/>
      <c r="KFB3424" s="911" t="s">
        <v>74</v>
      </c>
      <c r="KFC3424" s="911"/>
      <c r="KFD3424" s="911"/>
      <c r="KFE3424" s="911"/>
      <c r="KFF3424" s="911"/>
      <c r="KFG3424" s="911"/>
      <c r="KFH3424" s="911"/>
      <c r="KFI3424" s="911"/>
      <c r="KFJ3424" s="911"/>
      <c r="KFK3424" s="912"/>
      <c r="KFM3424" s="913" t="s">
        <v>1</v>
      </c>
      <c r="KFN3424" s="31"/>
      <c r="KFO3424" s="909" t="s">
        <v>0</v>
      </c>
      <c r="KFP3424" s="909"/>
      <c r="KFQ3424" s="909"/>
      <c r="KFR3424" s="909"/>
      <c r="KFS3424" s="909"/>
      <c r="KFT3424" s="909"/>
      <c r="KFU3424" s="907" t="s">
        <v>79</v>
      </c>
      <c r="KFV3424" s="909" t="s">
        <v>68</v>
      </c>
      <c r="KFW3424" s="910" t="s">
        <v>75</v>
      </c>
      <c r="KFX3424" s="911"/>
      <c r="KFY3424" s="911"/>
      <c r="KFZ3424" s="911"/>
      <c r="KGA3424" s="911"/>
      <c r="KGB3424" s="911"/>
      <c r="KGC3424" s="911"/>
      <c r="KGD3424" s="911"/>
      <c r="KGE3424" s="911"/>
      <c r="KGF3424" s="911"/>
      <c r="KGG3424" s="32"/>
      <c r="KGH3424" s="911" t="s">
        <v>74</v>
      </c>
      <c r="KGI3424" s="911"/>
      <c r="KGJ3424" s="911"/>
      <c r="KGK3424" s="911"/>
      <c r="KGL3424" s="911"/>
      <c r="KGM3424" s="911"/>
      <c r="KGN3424" s="911"/>
      <c r="KGO3424" s="911"/>
      <c r="KGP3424" s="911"/>
      <c r="KGQ3424" s="912"/>
      <c r="KGS3424" s="913" t="s">
        <v>1</v>
      </c>
      <c r="KGT3424" s="31"/>
      <c r="KGU3424" s="909" t="s">
        <v>0</v>
      </c>
      <c r="KGV3424" s="909"/>
      <c r="KGW3424" s="909"/>
      <c r="KGX3424" s="909"/>
      <c r="KGY3424" s="909"/>
      <c r="KGZ3424" s="909"/>
      <c r="KHA3424" s="907" t="s">
        <v>79</v>
      </c>
      <c r="KHB3424" s="909" t="s">
        <v>68</v>
      </c>
      <c r="KHC3424" s="910" t="s">
        <v>75</v>
      </c>
      <c r="KHD3424" s="911"/>
      <c r="KHE3424" s="911"/>
      <c r="KHF3424" s="911"/>
      <c r="KHG3424" s="911"/>
      <c r="KHH3424" s="911"/>
      <c r="KHI3424" s="911"/>
      <c r="KHJ3424" s="911"/>
      <c r="KHK3424" s="911"/>
      <c r="KHL3424" s="911"/>
      <c r="KHM3424" s="32"/>
      <c r="KHN3424" s="911" t="s">
        <v>74</v>
      </c>
      <c r="KHO3424" s="911"/>
      <c r="KHP3424" s="911"/>
      <c r="KHQ3424" s="911"/>
      <c r="KHR3424" s="911"/>
      <c r="KHS3424" s="911"/>
      <c r="KHT3424" s="911"/>
      <c r="KHU3424" s="911"/>
      <c r="KHV3424" s="911"/>
      <c r="KHW3424" s="912"/>
      <c r="KHY3424" s="913" t="s">
        <v>1</v>
      </c>
      <c r="KHZ3424" s="31"/>
      <c r="KIA3424" s="909" t="s">
        <v>0</v>
      </c>
      <c r="KIB3424" s="909"/>
      <c r="KIC3424" s="909"/>
      <c r="KID3424" s="909"/>
      <c r="KIE3424" s="909"/>
      <c r="KIF3424" s="909"/>
      <c r="KIG3424" s="907" t="s">
        <v>79</v>
      </c>
      <c r="KIH3424" s="909" t="s">
        <v>68</v>
      </c>
      <c r="KII3424" s="910" t="s">
        <v>75</v>
      </c>
      <c r="KIJ3424" s="911"/>
      <c r="KIK3424" s="911"/>
      <c r="KIL3424" s="911"/>
      <c r="KIM3424" s="911"/>
      <c r="KIN3424" s="911"/>
      <c r="KIO3424" s="911"/>
      <c r="KIP3424" s="911"/>
      <c r="KIQ3424" s="911"/>
      <c r="KIR3424" s="911"/>
      <c r="KIS3424" s="32"/>
      <c r="KIT3424" s="911" t="s">
        <v>74</v>
      </c>
      <c r="KIU3424" s="911"/>
      <c r="KIV3424" s="911"/>
      <c r="KIW3424" s="911"/>
      <c r="KIX3424" s="911"/>
      <c r="KIY3424" s="911"/>
      <c r="KIZ3424" s="911"/>
      <c r="KJA3424" s="911"/>
      <c r="KJB3424" s="911"/>
      <c r="KJC3424" s="912"/>
      <c r="KJE3424" s="913" t="s">
        <v>1</v>
      </c>
      <c r="KJF3424" s="31"/>
      <c r="KJG3424" s="909" t="s">
        <v>0</v>
      </c>
      <c r="KJH3424" s="909"/>
      <c r="KJI3424" s="909"/>
      <c r="KJJ3424" s="909"/>
      <c r="KJK3424" s="909"/>
      <c r="KJL3424" s="909"/>
      <c r="KJM3424" s="907" t="s">
        <v>79</v>
      </c>
      <c r="KJN3424" s="909" t="s">
        <v>68</v>
      </c>
      <c r="KJO3424" s="910" t="s">
        <v>75</v>
      </c>
      <c r="KJP3424" s="911"/>
      <c r="KJQ3424" s="911"/>
      <c r="KJR3424" s="911"/>
      <c r="KJS3424" s="911"/>
      <c r="KJT3424" s="911"/>
      <c r="KJU3424" s="911"/>
      <c r="KJV3424" s="911"/>
      <c r="KJW3424" s="911"/>
      <c r="KJX3424" s="911"/>
      <c r="KJY3424" s="32"/>
      <c r="KJZ3424" s="911" t="s">
        <v>74</v>
      </c>
      <c r="KKA3424" s="911"/>
      <c r="KKB3424" s="911"/>
      <c r="KKC3424" s="911"/>
      <c r="KKD3424" s="911"/>
      <c r="KKE3424" s="911"/>
      <c r="KKF3424" s="911"/>
      <c r="KKG3424" s="911"/>
      <c r="KKH3424" s="911"/>
      <c r="KKI3424" s="912"/>
      <c r="KKK3424" s="913" t="s">
        <v>1</v>
      </c>
      <c r="KKL3424" s="31"/>
      <c r="KKM3424" s="909" t="s">
        <v>0</v>
      </c>
      <c r="KKN3424" s="909"/>
      <c r="KKO3424" s="909"/>
      <c r="KKP3424" s="909"/>
      <c r="KKQ3424" s="909"/>
      <c r="KKR3424" s="909"/>
      <c r="KKS3424" s="907" t="s">
        <v>79</v>
      </c>
      <c r="KKT3424" s="909" t="s">
        <v>68</v>
      </c>
      <c r="KKU3424" s="910" t="s">
        <v>75</v>
      </c>
      <c r="KKV3424" s="911"/>
      <c r="KKW3424" s="911"/>
      <c r="KKX3424" s="911"/>
      <c r="KKY3424" s="911"/>
      <c r="KKZ3424" s="911"/>
      <c r="KLA3424" s="911"/>
      <c r="KLB3424" s="911"/>
      <c r="KLC3424" s="911"/>
      <c r="KLD3424" s="911"/>
      <c r="KLE3424" s="32"/>
      <c r="KLF3424" s="911" t="s">
        <v>74</v>
      </c>
      <c r="KLG3424" s="911"/>
      <c r="KLH3424" s="911"/>
      <c r="KLI3424" s="911"/>
      <c r="KLJ3424" s="911"/>
      <c r="KLK3424" s="911"/>
      <c r="KLL3424" s="911"/>
      <c r="KLM3424" s="911"/>
      <c r="KLN3424" s="911"/>
      <c r="KLO3424" s="912"/>
      <c r="KLQ3424" s="913" t="s">
        <v>1</v>
      </c>
      <c r="KLR3424" s="31"/>
      <c r="KLS3424" s="909" t="s">
        <v>0</v>
      </c>
      <c r="KLT3424" s="909"/>
      <c r="KLU3424" s="909"/>
      <c r="KLV3424" s="909"/>
      <c r="KLW3424" s="909"/>
      <c r="KLX3424" s="909"/>
      <c r="KLY3424" s="907" t="s">
        <v>79</v>
      </c>
      <c r="KLZ3424" s="909" t="s">
        <v>68</v>
      </c>
      <c r="KMA3424" s="910" t="s">
        <v>75</v>
      </c>
      <c r="KMB3424" s="911"/>
      <c r="KMC3424" s="911"/>
      <c r="KMD3424" s="911"/>
      <c r="KME3424" s="911"/>
      <c r="KMF3424" s="911"/>
      <c r="KMG3424" s="911"/>
      <c r="KMH3424" s="911"/>
      <c r="KMI3424" s="911"/>
      <c r="KMJ3424" s="911"/>
      <c r="KMK3424" s="32"/>
      <c r="KML3424" s="911" t="s">
        <v>74</v>
      </c>
      <c r="KMM3424" s="911"/>
      <c r="KMN3424" s="911"/>
      <c r="KMO3424" s="911"/>
      <c r="KMP3424" s="911"/>
      <c r="KMQ3424" s="911"/>
      <c r="KMR3424" s="911"/>
      <c r="KMS3424" s="911"/>
      <c r="KMT3424" s="911"/>
      <c r="KMU3424" s="912"/>
      <c r="KMW3424" s="913" t="s">
        <v>1</v>
      </c>
      <c r="KMX3424" s="31"/>
      <c r="KMY3424" s="909" t="s">
        <v>0</v>
      </c>
      <c r="KMZ3424" s="909"/>
      <c r="KNA3424" s="909"/>
      <c r="KNB3424" s="909"/>
      <c r="KNC3424" s="909"/>
      <c r="KND3424" s="909"/>
      <c r="KNE3424" s="907" t="s">
        <v>79</v>
      </c>
      <c r="KNF3424" s="909" t="s">
        <v>68</v>
      </c>
      <c r="KNG3424" s="910" t="s">
        <v>75</v>
      </c>
      <c r="KNH3424" s="911"/>
      <c r="KNI3424" s="911"/>
      <c r="KNJ3424" s="911"/>
      <c r="KNK3424" s="911"/>
      <c r="KNL3424" s="911"/>
      <c r="KNM3424" s="911"/>
      <c r="KNN3424" s="911"/>
      <c r="KNO3424" s="911"/>
      <c r="KNP3424" s="911"/>
      <c r="KNQ3424" s="32"/>
      <c r="KNR3424" s="911" t="s">
        <v>74</v>
      </c>
      <c r="KNS3424" s="911"/>
      <c r="KNT3424" s="911"/>
      <c r="KNU3424" s="911"/>
      <c r="KNV3424" s="911"/>
      <c r="KNW3424" s="911"/>
      <c r="KNX3424" s="911"/>
      <c r="KNY3424" s="911"/>
      <c r="KNZ3424" s="911"/>
      <c r="KOA3424" s="912"/>
      <c r="KOC3424" s="913" t="s">
        <v>1</v>
      </c>
      <c r="KOD3424" s="31"/>
      <c r="KOE3424" s="909" t="s">
        <v>0</v>
      </c>
      <c r="KOF3424" s="909"/>
      <c r="KOG3424" s="909"/>
      <c r="KOH3424" s="909"/>
      <c r="KOI3424" s="909"/>
      <c r="KOJ3424" s="909"/>
      <c r="KOK3424" s="907" t="s">
        <v>79</v>
      </c>
      <c r="KOL3424" s="909" t="s">
        <v>68</v>
      </c>
      <c r="KOM3424" s="910" t="s">
        <v>75</v>
      </c>
      <c r="KON3424" s="911"/>
      <c r="KOO3424" s="911"/>
      <c r="KOP3424" s="911"/>
      <c r="KOQ3424" s="911"/>
      <c r="KOR3424" s="911"/>
      <c r="KOS3424" s="911"/>
      <c r="KOT3424" s="911"/>
      <c r="KOU3424" s="911"/>
      <c r="KOV3424" s="911"/>
      <c r="KOW3424" s="32"/>
      <c r="KOX3424" s="911" t="s">
        <v>74</v>
      </c>
      <c r="KOY3424" s="911"/>
      <c r="KOZ3424" s="911"/>
      <c r="KPA3424" s="911"/>
      <c r="KPB3424" s="911"/>
      <c r="KPC3424" s="911"/>
      <c r="KPD3424" s="911"/>
      <c r="KPE3424" s="911"/>
      <c r="KPF3424" s="911"/>
      <c r="KPG3424" s="912"/>
      <c r="KPI3424" s="913" t="s">
        <v>1</v>
      </c>
      <c r="KPJ3424" s="31"/>
      <c r="KPK3424" s="909" t="s">
        <v>0</v>
      </c>
      <c r="KPL3424" s="909"/>
      <c r="KPM3424" s="909"/>
      <c r="KPN3424" s="909"/>
      <c r="KPO3424" s="909"/>
      <c r="KPP3424" s="909"/>
      <c r="KPQ3424" s="907" t="s">
        <v>79</v>
      </c>
      <c r="KPR3424" s="909" t="s">
        <v>68</v>
      </c>
      <c r="KPS3424" s="910" t="s">
        <v>75</v>
      </c>
      <c r="KPT3424" s="911"/>
      <c r="KPU3424" s="911"/>
      <c r="KPV3424" s="911"/>
      <c r="KPW3424" s="911"/>
      <c r="KPX3424" s="911"/>
      <c r="KPY3424" s="911"/>
      <c r="KPZ3424" s="911"/>
      <c r="KQA3424" s="911"/>
      <c r="KQB3424" s="911"/>
      <c r="KQC3424" s="32"/>
      <c r="KQD3424" s="911" t="s">
        <v>74</v>
      </c>
      <c r="KQE3424" s="911"/>
      <c r="KQF3424" s="911"/>
      <c r="KQG3424" s="911"/>
      <c r="KQH3424" s="911"/>
      <c r="KQI3424" s="911"/>
      <c r="KQJ3424" s="911"/>
      <c r="KQK3424" s="911"/>
      <c r="KQL3424" s="911"/>
      <c r="KQM3424" s="912"/>
      <c r="KQO3424" s="913" t="s">
        <v>1</v>
      </c>
      <c r="KQP3424" s="31"/>
      <c r="KQQ3424" s="909" t="s">
        <v>0</v>
      </c>
      <c r="KQR3424" s="909"/>
      <c r="KQS3424" s="909"/>
      <c r="KQT3424" s="909"/>
      <c r="KQU3424" s="909"/>
      <c r="KQV3424" s="909"/>
      <c r="KQW3424" s="907" t="s">
        <v>79</v>
      </c>
      <c r="KQX3424" s="909" t="s">
        <v>68</v>
      </c>
      <c r="KQY3424" s="910" t="s">
        <v>75</v>
      </c>
      <c r="KQZ3424" s="911"/>
      <c r="KRA3424" s="911"/>
      <c r="KRB3424" s="911"/>
      <c r="KRC3424" s="911"/>
      <c r="KRD3424" s="911"/>
      <c r="KRE3424" s="911"/>
      <c r="KRF3424" s="911"/>
      <c r="KRG3424" s="911"/>
      <c r="KRH3424" s="911"/>
      <c r="KRI3424" s="32"/>
      <c r="KRJ3424" s="911" t="s">
        <v>74</v>
      </c>
      <c r="KRK3424" s="911"/>
      <c r="KRL3424" s="911"/>
      <c r="KRM3424" s="911"/>
      <c r="KRN3424" s="911"/>
      <c r="KRO3424" s="911"/>
      <c r="KRP3424" s="911"/>
      <c r="KRQ3424" s="911"/>
      <c r="KRR3424" s="911"/>
      <c r="KRS3424" s="912"/>
      <c r="KRU3424" s="913" t="s">
        <v>1</v>
      </c>
      <c r="KRV3424" s="31"/>
      <c r="KRW3424" s="909" t="s">
        <v>0</v>
      </c>
      <c r="KRX3424" s="909"/>
      <c r="KRY3424" s="909"/>
      <c r="KRZ3424" s="909"/>
      <c r="KSA3424" s="909"/>
      <c r="KSB3424" s="909"/>
      <c r="KSC3424" s="907" t="s">
        <v>79</v>
      </c>
      <c r="KSD3424" s="909" t="s">
        <v>68</v>
      </c>
      <c r="KSE3424" s="910" t="s">
        <v>75</v>
      </c>
      <c r="KSF3424" s="911"/>
      <c r="KSG3424" s="911"/>
      <c r="KSH3424" s="911"/>
      <c r="KSI3424" s="911"/>
      <c r="KSJ3424" s="911"/>
      <c r="KSK3424" s="911"/>
      <c r="KSL3424" s="911"/>
      <c r="KSM3424" s="911"/>
      <c r="KSN3424" s="911"/>
      <c r="KSO3424" s="32"/>
      <c r="KSP3424" s="911" t="s">
        <v>74</v>
      </c>
      <c r="KSQ3424" s="911"/>
      <c r="KSR3424" s="911"/>
      <c r="KSS3424" s="911"/>
      <c r="KST3424" s="911"/>
      <c r="KSU3424" s="911"/>
      <c r="KSV3424" s="911"/>
      <c r="KSW3424" s="911"/>
      <c r="KSX3424" s="911"/>
      <c r="KSY3424" s="912"/>
      <c r="KTA3424" s="913" t="s">
        <v>1</v>
      </c>
      <c r="KTB3424" s="31"/>
      <c r="KTC3424" s="909" t="s">
        <v>0</v>
      </c>
      <c r="KTD3424" s="909"/>
      <c r="KTE3424" s="909"/>
      <c r="KTF3424" s="909"/>
      <c r="KTG3424" s="909"/>
      <c r="KTH3424" s="909"/>
      <c r="KTI3424" s="907" t="s">
        <v>79</v>
      </c>
      <c r="KTJ3424" s="909" t="s">
        <v>68</v>
      </c>
      <c r="KTK3424" s="910" t="s">
        <v>75</v>
      </c>
      <c r="KTL3424" s="911"/>
      <c r="KTM3424" s="911"/>
      <c r="KTN3424" s="911"/>
      <c r="KTO3424" s="911"/>
      <c r="KTP3424" s="911"/>
      <c r="KTQ3424" s="911"/>
      <c r="KTR3424" s="911"/>
      <c r="KTS3424" s="911"/>
      <c r="KTT3424" s="911"/>
      <c r="KTU3424" s="32"/>
      <c r="KTV3424" s="911" t="s">
        <v>74</v>
      </c>
      <c r="KTW3424" s="911"/>
      <c r="KTX3424" s="911"/>
      <c r="KTY3424" s="911"/>
      <c r="KTZ3424" s="911"/>
      <c r="KUA3424" s="911"/>
      <c r="KUB3424" s="911"/>
      <c r="KUC3424" s="911"/>
      <c r="KUD3424" s="911"/>
      <c r="KUE3424" s="912"/>
      <c r="KUG3424" s="913" t="s">
        <v>1</v>
      </c>
      <c r="KUH3424" s="31"/>
      <c r="KUI3424" s="909" t="s">
        <v>0</v>
      </c>
      <c r="KUJ3424" s="909"/>
      <c r="KUK3424" s="909"/>
      <c r="KUL3424" s="909"/>
      <c r="KUM3424" s="909"/>
      <c r="KUN3424" s="909"/>
      <c r="KUO3424" s="907" t="s">
        <v>79</v>
      </c>
      <c r="KUP3424" s="909" t="s">
        <v>68</v>
      </c>
      <c r="KUQ3424" s="910" t="s">
        <v>75</v>
      </c>
      <c r="KUR3424" s="911"/>
      <c r="KUS3424" s="911"/>
      <c r="KUT3424" s="911"/>
      <c r="KUU3424" s="911"/>
      <c r="KUV3424" s="911"/>
      <c r="KUW3424" s="911"/>
      <c r="KUX3424" s="911"/>
      <c r="KUY3424" s="911"/>
      <c r="KUZ3424" s="911"/>
      <c r="KVA3424" s="32"/>
      <c r="KVB3424" s="911" t="s">
        <v>74</v>
      </c>
      <c r="KVC3424" s="911"/>
      <c r="KVD3424" s="911"/>
      <c r="KVE3424" s="911"/>
      <c r="KVF3424" s="911"/>
      <c r="KVG3424" s="911"/>
      <c r="KVH3424" s="911"/>
      <c r="KVI3424" s="911"/>
      <c r="KVJ3424" s="911"/>
      <c r="KVK3424" s="912"/>
      <c r="KVM3424" s="913" t="s">
        <v>1</v>
      </c>
      <c r="KVN3424" s="31"/>
      <c r="KVO3424" s="909" t="s">
        <v>0</v>
      </c>
      <c r="KVP3424" s="909"/>
      <c r="KVQ3424" s="909"/>
      <c r="KVR3424" s="909"/>
      <c r="KVS3424" s="909"/>
      <c r="KVT3424" s="909"/>
      <c r="KVU3424" s="907" t="s">
        <v>79</v>
      </c>
      <c r="KVV3424" s="909" t="s">
        <v>68</v>
      </c>
      <c r="KVW3424" s="910" t="s">
        <v>75</v>
      </c>
      <c r="KVX3424" s="911"/>
      <c r="KVY3424" s="911"/>
      <c r="KVZ3424" s="911"/>
      <c r="KWA3424" s="911"/>
      <c r="KWB3424" s="911"/>
      <c r="KWC3424" s="911"/>
      <c r="KWD3424" s="911"/>
      <c r="KWE3424" s="911"/>
      <c r="KWF3424" s="911"/>
      <c r="KWG3424" s="32"/>
      <c r="KWH3424" s="911" t="s">
        <v>74</v>
      </c>
      <c r="KWI3424" s="911"/>
      <c r="KWJ3424" s="911"/>
      <c r="KWK3424" s="911"/>
      <c r="KWL3424" s="911"/>
      <c r="KWM3424" s="911"/>
      <c r="KWN3424" s="911"/>
      <c r="KWO3424" s="911"/>
      <c r="KWP3424" s="911"/>
      <c r="KWQ3424" s="912"/>
      <c r="KWS3424" s="913" t="s">
        <v>1</v>
      </c>
      <c r="KWT3424" s="31"/>
      <c r="KWU3424" s="909" t="s">
        <v>0</v>
      </c>
      <c r="KWV3424" s="909"/>
      <c r="KWW3424" s="909"/>
      <c r="KWX3424" s="909"/>
      <c r="KWY3424" s="909"/>
      <c r="KWZ3424" s="909"/>
      <c r="KXA3424" s="907" t="s">
        <v>79</v>
      </c>
      <c r="KXB3424" s="909" t="s">
        <v>68</v>
      </c>
      <c r="KXC3424" s="910" t="s">
        <v>75</v>
      </c>
      <c r="KXD3424" s="911"/>
      <c r="KXE3424" s="911"/>
      <c r="KXF3424" s="911"/>
      <c r="KXG3424" s="911"/>
      <c r="KXH3424" s="911"/>
      <c r="KXI3424" s="911"/>
      <c r="KXJ3424" s="911"/>
      <c r="KXK3424" s="911"/>
      <c r="KXL3424" s="911"/>
      <c r="KXM3424" s="32"/>
      <c r="KXN3424" s="911" t="s">
        <v>74</v>
      </c>
      <c r="KXO3424" s="911"/>
      <c r="KXP3424" s="911"/>
      <c r="KXQ3424" s="911"/>
      <c r="KXR3424" s="911"/>
      <c r="KXS3424" s="911"/>
      <c r="KXT3424" s="911"/>
      <c r="KXU3424" s="911"/>
      <c r="KXV3424" s="911"/>
      <c r="KXW3424" s="912"/>
      <c r="KXY3424" s="913" t="s">
        <v>1</v>
      </c>
      <c r="KXZ3424" s="31"/>
      <c r="KYA3424" s="909" t="s">
        <v>0</v>
      </c>
      <c r="KYB3424" s="909"/>
      <c r="KYC3424" s="909"/>
      <c r="KYD3424" s="909"/>
      <c r="KYE3424" s="909"/>
      <c r="KYF3424" s="909"/>
      <c r="KYG3424" s="907" t="s">
        <v>79</v>
      </c>
      <c r="KYH3424" s="909" t="s">
        <v>68</v>
      </c>
      <c r="KYI3424" s="910" t="s">
        <v>75</v>
      </c>
      <c r="KYJ3424" s="911"/>
      <c r="KYK3424" s="911"/>
      <c r="KYL3424" s="911"/>
      <c r="KYM3424" s="911"/>
      <c r="KYN3424" s="911"/>
      <c r="KYO3424" s="911"/>
      <c r="KYP3424" s="911"/>
      <c r="KYQ3424" s="911"/>
      <c r="KYR3424" s="911"/>
      <c r="KYS3424" s="32"/>
      <c r="KYT3424" s="911" t="s">
        <v>74</v>
      </c>
      <c r="KYU3424" s="911"/>
      <c r="KYV3424" s="911"/>
      <c r="KYW3424" s="911"/>
      <c r="KYX3424" s="911"/>
      <c r="KYY3424" s="911"/>
      <c r="KYZ3424" s="911"/>
      <c r="KZA3424" s="911"/>
      <c r="KZB3424" s="911"/>
      <c r="KZC3424" s="912"/>
      <c r="KZE3424" s="913" t="s">
        <v>1</v>
      </c>
      <c r="KZF3424" s="31"/>
      <c r="KZG3424" s="909" t="s">
        <v>0</v>
      </c>
      <c r="KZH3424" s="909"/>
      <c r="KZI3424" s="909"/>
      <c r="KZJ3424" s="909"/>
      <c r="KZK3424" s="909"/>
      <c r="KZL3424" s="909"/>
      <c r="KZM3424" s="907" t="s">
        <v>79</v>
      </c>
      <c r="KZN3424" s="909" t="s">
        <v>68</v>
      </c>
      <c r="KZO3424" s="910" t="s">
        <v>75</v>
      </c>
      <c r="KZP3424" s="911"/>
      <c r="KZQ3424" s="911"/>
      <c r="KZR3424" s="911"/>
      <c r="KZS3424" s="911"/>
      <c r="KZT3424" s="911"/>
      <c r="KZU3424" s="911"/>
      <c r="KZV3424" s="911"/>
      <c r="KZW3424" s="911"/>
      <c r="KZX3424" s="911"/>
      <c r="KZY3424" s="32"/>
      <c r="KZZ3424" s="911" t="s">
        <v>74</v>
      </c>
      <c r="LAA3424" s="911"/>
      <c r="LAB3424" s="911"/>
      <c r="LAC3424" s="911"/>
      <c r="LAD3424" s="911"/>
      <c r="LAE3424" s="911"/>
      <c r="LAF3424" s="911"/>
      <c r="LAG3424" s="911"/>
      <c r="LAH3424" s="911"/>
      <c r="LAI3424" s="912"/>
      <c r="LAK3424" s="913" t="s">
        <v>1</v>
      </c>
      <c r="LAL3424" s="31"/>
      <c r="LAM3424" s="909" t="s">
        <v>0</v>
      </c>
      <c r="LAN3424" s="909"/>
      <c r="LAO3424" s="909"/>
      <c r="LAP3424" s="909"/>
      <c r="LAQ3424" s="909"/>
      <c r="LAR3424" s="909"/>
      <c r="LAS3424" s="907" t="s">
        <v>79</v>
      </c>
      <c r="LAT3424" s="909" t="s">
        <v>68</v>
      </c>
      <c r="LAU3424" s="910" t="s">
        <v>75</v>
      </c>
      <c r="LAV3424" s="911"/>
      <c r="LAW3424" s="911"/>
      <c r="LAX3424" s="911"/>
      <c r="LAY3424" s="911"/>
      <c r="LAZ3424" s="911"/>
      <c r="LBA3424" s="911"/>
      <c r="LBB3424" s="911"/>
      <c r="LBC3424" s="911"/>
      <c r="LBD3424" s="911"/>
      <c r="LBE3424" s="32"/>
      <c r="LBF3424" s="911" t="s">
        <v>74</v>
      </c>
      <c r="LBG3424" s="911"/>
      <c r="LBH3424" s="911"/>
      <c r="LBI3424" s="911"/>
      <c r="LBJ3424" s="911"/>
      <c r="LBK3424" s="911"/>
      <c r="LBL3424" s="911"/>
      <c r="LBM3424" s="911"/>
      <c r="LBN3424" s="911"/>
      <c r="LBO3424" s="912"/>
      <c r="LBQ3424" s="913" t="s">
        <v>1</v>
      </c>
      <c r="LBR3424" s="31"/>
      <c r="LBS3424" s="909" t="s">
        <v>0</v>
      </c>
      <c r="LBT3424" s="909"/>
      <c r="LBU3424" s="909"/>
      <c r="LBV3424" s="909"/>
      <c r="LBW3424" s="909"/>
      <c r="LBX3424" s="909"/>
      <c r="LBY3424" s="907" t="s">
        <v>79</v>
      </c>
      <c r="LBZ3424" s="909" t="s">
        <v>68</v>
      </c>
      <c r="LCA3424" s="910" t="s">
        <v>75</v>
      </c>
      <c r="LCB3424" s="911"/>
      <c r="LCC3424" s="911"/>
      <c r="LCD3424" s="911"/>
      <c r="LCE3424" s="911"/>
      <c r="LCF3424" s="911"/>
      <c r="LCG3424" s="911"/>
      <c r="LCH3424" s="911"/>
      <c r="LCI3424" s="911"/>
      <c r="LCJ3424" s="911"/>
      <c r="LCK3424" s="32"/>
      <c r="LCL3424" s="911" t="s">
        <v>74</v>
      </c>
      <c r="LCM3424" s="911"/>
      <c r="LCN3424" s="911"/>
      <c r="LCO3424" s="911"/>
      <c r="LCP3424" s="911"/>
      <c r="LCQ3424" s="911"/>
      <c r="LCR3424" s="911"/>
      <c r="LCS3424" s="911"/>
      <c r="LCT3424" s="911"/>
      <c r="LCU3424" s="912"/>
      <c r="LCW3424" s="913" t="s">
        <v>1</v>
      </c>
      <c r="LCX3424" s="31"/>
      <c r="LCY3424" s="909" t="s">
        <v>0</v>
      </c>
      <c r="LCZ3424" s="909"/>
      <c r="LDA3424" s="909"/>
      <c r="LDB3424" s="909"/>
      <c r="LDC3424" s="909"/>
      <c r="LDD3424" s="909"/>
      <c r="LDE3424" s="907" t="s">
        <v>79</v>
      </c>
      <c r="LDF3424" s="909" t="s">
        <v>68</v>
      </c>
      <c r="LDG3424" s="910" t="s">
        <v>75</v>
      </c>
      <c r="LDH3424" s="911"/>
      <c r="LDI3424" s="911"/>
      <c r="LDJ3424" s="911"/>
      <c r="LDK3424" s="911"/>
      <c r="LDL3424" s="911"/>
      <c r="LDM3424" s="911"/>
      <c r="LDN3424" s="911"/>
      <c r="LDO3424" s="911"/>
      <c r="LDP3424" s="911"/>
      <c r="LDQ3424" s="32"/>
      <c r="LDR3424" s="911" t="s">
        <v>74</v>
      </c>
      <c r="LDS3424" s="911"/>
      <c r="LDT3424" s="911"/>
      <c r="LDU3424" s="911"/>
      <c r="LDV3424" s="911"/>
      <c r="LDW3424" s="911"/>
      <c r="LDX3424" s="911"/>
      <c r="LDY3424" s="911"/>
      <c r="LDZ3424" s="911"/>
      <c r="LEA3424" s="912"/>
      <c r="LEC3424" s="913" t="s">
        <v>1</v>
      </c>
      <c r="LED3424" s="31"/>
      <c r="LEE3424" s="909" t="s">
        <v>0</v>
      </c>
      <c r="LEF3424" s="909"/>
      <c r="LEG3424" s="909"/>
      <c r="LEH3424" s="909"/>
      <c r="LEI3424" s="909"/>
      <c r="LEJ3424" s="909"/>
      <c r="LEK3424" s="907" t="s">
        <v>79</v>
      </c>
      <c r="LEL3424" s="909" t="s">
        <v>68</v>
      </c>
      <c r="LEM3424" s="910" t="s">
        <v>75</v>
      </c>
      <c r="LEN3424" s="911"/>
      <c r="LEO3424" s="911"/>
      <c r="LEP3424" s="911"/>
      <c r="LEQ3424" s="911"/>
      <c r="LER3424" s="911"/>
      <c r="LES3424" s="911"/>
      <c r="LET3424" s="911"/>
      <c r="LEU3424" s="911"/>
      <c r="LEV3424" s="911"/>
      <c r="LEW3424" s="32"/>
      <c r="LEX3424" s="911" t="s">
        <v>74</v>
      </c>
      <c r="LEY3424" s="911"/>
      <c r="LEZ3424" s="911"/>
      <c r="LFA3424" s="911"/>
      <c r="LFB3424" s="911"/>
      <c r="LFC3424" s="911"/>
      <c r="LFD3424" s="911"/>
      <c r="LFE3424" s="911"/>
      <c r="LFF3424" s="911"/>
      <c r="LFG3424" s="912"/>
      <c r="LFI3424" s="913" t="s">
        <v>1</v>
      </c>
      <c r="LFJ3424" s="31"/>
      <c r="LFK3424" s="909" t="s">
        <v>0</v>
      </c>
      <c r="LFL3424" s="909"/>
      <c r="LFM3424" s="909"/>
      <c r="LFN3424" s="909"/>
      <c r="LFO3424" s="909"/>
      <c r="LFP3424" s="909"/>
      <c r="LFQ3424" s="907" t="s">
        <v>79</v>
      </c>
      <c r="LFR3424" s="909" t="s">
        <v>68</v>
      </c>
      <c r="LFS3424" s="910" t="s">
        <v>75</v>
      </c>
      <c r="LFT3424" s="911"/>
      <c r="LFU3424" s="911"/>
      <c r="LFV3424" s="911"/>
      <c r="LFW3424" s="911"/>
      <c r="LFX3424" s="911"/>
      <c r="LFY3424" s="911"/>
      <c r="LFZ3424" s="911"/>
      <c r="LGA3424" s="911"/>
      <c r="LGB3424" s="911"/>
      <c r="LGC3424" s="32"/>
      <c r="LGD3424" s="911" t="s">
        <v>74</v>
      </c>
      <c r="LGE3424" s="911"/>
      <c r="LGF3424" s="911"/>
      <c r="LGG3424" s="911"/>
      <c r="LGH3424" s="911"/>
      <c r="LGI3424" s="911"/>
      <c r="LGJ3424" s="911"/>
      <c r="LGK3424" s="911"/>
      <c r="LGL3424" s="911"/>
      <c r="LGM3424" s="912"/>
      <c r="LGO3424" s="913" t="s">
        <v>1</v>
      </c>
      <c r="LGP3424" s="31"/>
      <c r="LGQ3424" s="909" t="s">
        <v>0</v>
      </c>
      <c r="LGR3424" s="909"/>
      <c r="LGS3424" s="909"/>
      <c r="LGT3424" s="909"/>
      <c r="LGU3424" s="909"/>
      <c r="LGV3424" s="909"/>
      <c r="LGW3424" s="907" t="s">
        <v>79</v>
      </c>
      <c r="LGX3424" s="909" t="s">
        <v>68</v>
      </c>
      <c r="LGY3424" s="910" t="s">
        <v>75</v>
      </c>
      <c r="LGZ3424" s="911"/>
      <c r="LHA3424" s="911"/>
      <c r="LHB3424" s="911"/>
      <c r="LHC3424" s="911"/>
      <c r="LHD3424" s="911"/>
      <c r="LHE3424" s="911"/>
      <c r="LHF3424" s="911"/>
      <c r="LHG3424" s="911"/>
      <c r="LHH3424" s="911"/>
      <c r="LHI3424" s="32"/>
      <c r="LHJ3424" s="911" t="s">
        <v>74</v>
      </c>
      <c r="LHK3424" s="911"/>
      <c r="LHL3424" s="911"/>
      <c r="LHM3424" s="911"/>
      <c r="LHN3424" s="911"/>
      <c r="LHO3424" s="911"/>
      <c r="LHP3424" s="911"/>
      <c r="LHQ3424" s="911"/>
      <c r="LHR3424" s="911"/>
      <c r="LHS3424" s="912"/>
      <c r="LHU3424" s="913" t="s">
        <v>1</v>
      </c>
      <c r="LHV3424" s="31"/>
      <c r="LHW3424" s="909" t="s">
        <v>0</v>
      </c>
      <c r="LHX3424" s="909"/>
      <c r="LHY3424" s="909"/>
      <c r="LHZ3424" s="909"/>
      <c r="LIA3424" s="909"/>
      <c r="LIB3424" s="909"/>
      <c r="LIC3424" s="907" t="s">
        <v>79</v>
      </c>
      <c r="LID3424" s="909" t="s">
        <v>68</v>
      </c>
      <c r="LIE3424" s="910" t="s">
        <v>75</v>
      </c>
      <c r="LIF3424" s="911"/>
      <c r="LIG3424" s="911"/>
      <c r="LIH3424" s="911"/>
      <c r="LII3424" s="911"/>
      <c r="LIJ3424" s="911"/>
      <c r="LIK3424" s="911"/>
      <c r="LIL3424" s="911"/>
      <c r="LIM3424" s="911"/>
      <c r="LIN3424" s="911"/>
      <c r="LIO3424" s="32"/>
      <c r="LIP3424" s="911" t="s">
        <v>74</v>
      </c>
      <c r="LIQ3424" s="911"/>
      <c r="LIR3424" s="911"/>
      <c r="LIS3424" s="911"/>
      <c r="LIT3424" s="911"/>
      <c r="LIU3424" s="911"/>
      <c r="LIV3424" s="911"/>
      <c r="LIW3424" s="911"/>
      <c r="LIX3424" s="911"/>
      <c r="LIY3424" s="912"/>
      <c r="LJA3424" s="913" t="s">
        <v>1</v>
      </c>
      <c r="LJB3424" s="31"/>
      <c r="LJC3424" s="909" t="s">
        <v>0</v>
      </c>
      <c r="LJD3424" s="909"/>
      <c r="LJE3424" s="909"/>
      <c r="LJF3424" s="909"/>
      <c r="LJG3424" s="909"/>
      <c r="LJH3424" s="909"/>
      <c r="LJI3424" s="907" t="s">
        <v>79</v>
      </c>
      <c r="LJJ3424" s="909" t="s">
        <v>68</v>
      </c>
      <c r="LJK3424" s="910" t="s">
        <v>75</v>
      </c>
      <c r="LJL3424" s="911"/>
      <c r="LJM3424" s="911"/>
      <c r="LJN3424" s="911"/>
      <c r="LJO3424" s="911"/>
      <c r="LJP3424" s="911"/>
      <c r="LJQ3424" s="911"/>
      <c r="LJR3424" s="911"/>
      <c r="LJS3424" s="911"/>
      <c r="LJT3424" s="911"/>
      <c r="LJU3424" s="32"/>
      <c r="LJV3424" s="911" t="s">
        <v>74</v>
      </c>
      <c r="LJW3424" s="911"/>
      <c r="LJX3424" s="911"/>
      <c r="LJY3424" s="911"/>
      <c r="LJZ3424" s="911"/>
      <c r="LKA3424" s="911"/>
      <c r="LKB3424" s="911"/>
      <c r="LKC3424" s="911"/>
      <c r="LKD3424" s="911"/>
      <c r="LKE3424" s="912"/>
      <c r="LKG3424" s="913" t="s">
        <v>1</v>
      </c>
      <c r="LKH3424" s="31"/>
      <c r="LKI3424" s="909" t="s">
        <v>0</v>
      </c>
      <c r="LKJ3424" s="909"/>
      <c r="LKK3424" s="909"/>
      <c r="LKL3424" s="909"/>
      <c r="LKM3424" s="909"/>
      <c r="LKN3424" s="909"/>
      <c r="LKO3424" s="907" t="s">
        <v>79</v>
      </c>
      <c r="LKP3424" s="909" t="s">
        <v>68</v>
      </c>
      <c r="LKQ3424" s="910" t="s">
        <v>75</v>
      </c>
      <c r="LKR3424" s="911"/>
      <c r="LKS3424" s="911"/>
      <c r="LKT3424" s="911"/>
      <c r="LKU3424" s="911"/>
      <c r="LKV3424" s="911"/>
      <c r="LKW3424" s="911"/>
      <c r="LKX3424" s="911"/>
      <c r="LKY3424" s="911"/>
      <c r="LKZ3424" s="911"/>
      <c r="LLA3424" s="32"/>
      <c r="LLB3424" s="911" t="s">
        <v>74</v>
      </c>
      <c r="LLC3424" s="911"/>
      <c r="LLD3424" s="911"/>
      <c r="LLE3424" s="911"/>
      <c r="LLF3424" s="911"/>
      <c r="LLG3424" s="911"/>
      <c r="LLH3424" s="911"/>
      <c r="LLI3424" s="911"/>
      <c r="LLJ3424" s="911"/>
      <c r="LLK3424" s="912"/>
      <c r="LLM3424" s="913" t="s">
        <v>1</v>
      </c>
      <c r="LLN3424" s="31"/>
      <c r="LLO3424" s="909" t="s">
        <v>0</v>
      </c>
      <c r="LLP3424" s="909"/>
      <c r="LLQ3424" s="909"/>
      <c r="LLR3424" s="909"/>
      <c r="LLS3424" s="909"/>
      <c r="LLT3424" s="909"/>
      <c r="LLU3424" s="907" t="s">
        <v>79</v>
      </c>
      <c r="LLV3424" s="909" t="s">
        <v>68</v>
      </c>
      <c r="LLW3424" s="910" t="s">
        <v>75</v>
      </c>
      <c r="LLX3424" s="911"/>
      <c r="LLY3424" s="911"/>
      <c r="LLZ3424" s="911"/>
      <c r="LMA3424" s="911"/>
      <c r="LMB3424" s="911"/>
      <c r="LMC3424" s="911"/>
      <c r="LMD3424" s="911"/>
      <c r="LME3424" s="911"/>
      <c r="LMF3424" s="911"/>
      <c r="LMG3424" s="32"/>
      <c r="LMH3424" s="911" t="s">
        <v>74</v>
      </c>
      <c r="LMI3424" s="911"/>
      <c r="LMJ3424" s="911"/>
      <c r="LMK3424" s="911"/>
      <c r="LML3424" s="911"/>
      <c r="LMM3424" s="911"/>
      <c r="LMN3424" s="911"/>
      <c r="LMO3424" s="911"/>
      <c r="LMP3424" s="911"/>
      <c r="LMQ3424" s="912"/>
      <c r="LMS3424" s="913" t="s">
        <v>1</v>
      </c>
      <c r="LMT3424" s="31"/>
      <c r="LMU3424" s="909" t="s">
        <v>0</v>
      </c>
      <c r="LMV3424" s="909"/>
      <c r="LMW3424" s="909"/>
      <c r="LMX3424" s="909"/>
      <c r="LMY3424" s="909"/>
      <c r="LMZ3424" s="909"/>
      <c r="LNA3424" s="907" t="s">
        <v>79</v>
      </c>
      <c r="LNB3424" s="909" t="s">
        <v>68</v>
      </c>
      <c r="LNC3424" s="910" t="s">
        <v>75</v>
      </c>
      <c r="LND3424" s="911"/>
      <c r="LNE3424" s="911"/>
      <c r="LNF3424" s="911"/>
      <c r="LNG3424" s="911"/>
      <c r="LNH3424" s="911"/>
      <c r="LNI3424" s="911"/>
      <c r="LNJ3424" s="911"/>
      <c r="LNK3424" s="911"/>
      <c r="LNL3424" s="911"/>
      <c r="LNM3424" s="32"/>
      <c r="LNN3424" s="911" t="s">
        <v>74</v>
      </c>
      <c r="LNO3424" s="911"/>
      <c r="LNP3424" s="911"/>
      <c r="LNQ3424" s="911"/>
      <c r="LNR3424" s="911"/>
      <c r="LNS3424" s="911"/>
      <c r="LNT3424" s="911"/>
      <c r="LNU3424" s="911"/>
      <c r="LNV3424" s="911"/>
      <c r="LNW3424" s="912"/>
      <c r="LNY3424" s="913" t="s">
        <v>1</v>
      </c>
      <c r="LNZ3424" s="31"/>
      <c r="LOA3424" s="909" t="s">
        <v>0</v>
      </c>
      <c r="LOB3424" s="909"/>
      <c r="LOC3424" s="909"/>
      <c r="LOD3424" s="909"/>
      <c r="LOE3424" s="909"/>
      <c r="LOF3424" s="909"/>
      <c r="LOG3424" s="907" t="s">
        <v>79</v>
      </c>
      <c r="LOH3424" s="909" t="s">
        <v>68</v>
      </c>
      <c r="LOI3424" s="910" t="s">
        <v>75</v>
      </c>
      <c r="LOJ3424" s="911"/>
      <c r="LOK3424" s="911"/>
      <c r="LOL3424" s="911"/>
      <c r="LOM3424" s="911"/>
      <c r="LON3424" s="911"/>
      <c r="LOO3424" s="911"/>
      <c r="LOP3424" s="911"/>
      <c r="LOQ3424" s="911"/>
      <c r="LOR3424" s="911"/>
      <c r="LOS3424" s="32"/>
      <c r="LOT3424" s="911" t="s">
        <v>74</v>
      </c>
      <c r="LOU3424" s="911"/>
      <c r="LOV3424" s="911"/>
      <c r="LOW3424" s="911"/>
      <c r="LOX3424" s="911"/>
      <c r="LOY3424" s="911"/>
      <c r="LOZ3424" s="911"/>
      <c r="LPA3424" s="911"/>
      <c r="LPB3424" s="911"/>
      <c r="LPC3424" s="912"/>
      <c r="LPE3424" s="913" t="s">
        <v>1</v>
      </c>
      <c r="LPF3424" s="31"/>
      <c r="LPG3424" s="909" t="s">
        <v>0</v>
      </c>
      <c r="LPH3424" s="909"/>
      <c r="LPI3424" s="909"/>
      <c r="LPJ3424" s="909"/>
      <c r="LPK3424" s="909"/>
      <c r="LPL3424" s="909"/>
      <c r="LPM3424" s="907" t="s">
        <v>79</v>
      </c>
      <c r="LPN3424" s="909" t="s">
        <v>68</v>
      </c>
      <c r="LPO3424" s="910" t="s">
        <v>75</v>
      </c>
      <c r="LPP3424" s="911"/>
      <c r="LPQ3424" s="911"/>
      <c r="LPR3424" s="911"/>
      <c r="LPS3424" s="911"/>
      <c r="LPT3424" s="911"/>
      <c r="LPU3424" s="911"/>
      <c r="LPV3424" s="911"/>
      <c r="LPW3424" s="911"/>
      <c r="LPX3424" s="911"/>
      <c r="LPY3424" s="32"/>
      <c r="LPZ3424" s="911" t="s">
        <v>74</v>
      </c>
      <c r="LQA3424" s="911"/>
      <c r="LQB3424" s="911"/>
      <c r="LQC3424" s="911"/>
      <c r="LQD3424" s="911"/>
      <c r="LQE3424" s="911"/>
      <c r="LQF3424" s="911"/>
      <c r="LQG3424" s="911"/>
      <c r="LQH3424" s="911"/>
      <c r="LQI3424" s="912"/>
      <c r="LQK3424" s="913" t="s">
        <v>1</v>
      </c>
      <c r="LQL3424" s="31"/>
      <c r="LQM3424" s="909" t="s">
        <v>0</v>
      </c>
      <c r="LQN3424" s="909"/>
      <c r="LQO3424" s="909"/>
      <c r="LQP3424" s="909"/>
      <c r="LQQ3424" s="909"/>
      <c r="LQR3424" s="909"/>
      <c r="LQS3424" s="907" t="s">
        <v>79</v>
      </c>
      <c r="LQT3424" s="909" t="s">
        <v>68</v>
      </c>
      <c r="LQU3424" s="910" t="s">
        <v>75</v>
      </c>
      <c r="LQV3424" s="911"/>
      <c r="LQW3424" s="911"/>
      <c r="LQX3424" s="911"/>
      <c r="LQY3424" s="911"/>
      <c r="LQZ3424" s="911"/>
      <c r="LRA3424" s="911"/>
      <c r="LRB3424" s="911"/>
      <c r="LRC3424" s="911"/>
      <c r="LRD3424" s="911"/>
      <c r="LRE3424" s="32"/>
      <c r="LRF3424" s="911" t="s">
        <v>74</v>
      </c>
      <c r="LRG3424" s="911"/>
      <c r="LRH3424" s="911"/>
      <c r="LRI3424" s="911"/>
      <c r="LRJ3424" s="911"/>
      <c r="LRK3424" s="911"/>
      <c r="LRL3424" s="911"/>
      <c r="LRM3424" s="911"/>
      <c r="LRN3424" s="911"/>
      <c r="LRO3424" s="912"/>
      <c r="LRQ3424" s="913" t="s">
        <v>1</v>
      </c>
      <c r="LRR3424" s="31"/>
      <c r="LRS3424" s="909" t="s">
        <v>0</v>
      </c>
      <c r="LRT3424" s="909"/>
      <c r="LRU3424" s="909"/>
      <c r="LRV3424" s="909"/>
      <c r="LRW3424" s="909"/>
      <c r="LRX3424" s="909"/>
      <c r="LRY3424" s="907" t="s">
        <v>79</v>
      </c>
      <c r="LRZ3424" s="909" t="s">
        <v>68</v>
      </c>
      <c r="LSA3424" s="910" t="s">
        <v>75</v>
      </c>
      <c r="LSB3424" s="911"/>
      <c r="LSC3424" s="911"/>
      <c r="LSD3424" s="911"/>
      <c r="LSE3424" s="911"/>
      <c r="LSF3424" s="911"/>
      <c r="LSG3424" s="911"/>
      <c r="LSH3424" s="911"/>
      <c r="LSI3424" s="911"/>
      <c r="LSJ3424" s="911"/>
      <c r="LSK3424" s="32"/>
      <c r="LSL3424" s="911" t="s">
        <v>74</v>
      </c>
      <c r="LSM3424" s="911"/>
      <c r="LSN3424" s="911"/>
      <c r="LSO3424" s="911"/>
      <c r="LSP3424" s="911"/>
      <c r="LSQ3424" s="911"/>
      <c r="LSR3424" s="911"/>
      <c r="LSS3424" s="911"/>
      <c r="LST3424" s="911"/>
      <c r="LSU3424" s="912"/>
      <c r="LSW3424" s="913" t="s">
        <v>1</v>
      </c>
      <c r="LSX3424" s="31"/>
      <c r="LSY3424" s="909" t="s">
        <v>0</v>
      </c>
      <c r="LSZ3424" s="909"/>
      <c r="LTA3424" s="909"/>
      <c r="LTB3424" s="909"/>
      <c r="LTC3424" s="909"/>
      <c r="LTD3424" s="909"/>
      <c r="LTE3424" s="907" t="s">
        <v>79</v>
      </c>
      <c r="LTF3424" s="909" t="s">
        <v>68</v>
      </c>
      <c r="LTG3424" s="910" t="s">
        <v>75</v>
      </c>
      <c r="LTH3424" s="911"/>
      <c r="LTI3424" s="911"/>
      <c r="LTJ3424" s="911"/>
      <c r="LTK3424" s="911"/>
      <c r="LTL3424" s="911"/>
      <c r="LTM3424" s="911"/>
      <c r="LTN3424" s="911"/>
      <c r="LTO3424" s="911"/>
      <c r="LTP3424" s="911"/>
      <c r="LTQ3424" s="32"/>
      <c r="LTR3424" s="911" t="s">
        <v>74</v>
      </c>
      <c r="LTS3424" s="911"/>
      <c r="LTT3424" s="911"/>
      <c r="LTU3424" s="911"/>
      <c r="LTV3424" s="911"/>
      <c r="LTW3424" s="911"/>
      <c r="LTX3424" s="911"/>
      <c r="LTY3424" s="911"/>
      <c r="LTZ3424" s="911"/>
      <c r="LUA3424" s="912"/>
      <c r="LUC3424" s="913" t="s">
        <v>1</v>
      </c>
      <c r="LUD3424" s="31"/>
      <c r="LUE3424" s="909" t="s">
        <v>0</v>
      </c>
      <c r="LUF3424" s="909"/>
      <c r="LUG3424" s="909"/>
      <c r="LUH3424" s="909"/>
      <c r="LUI3424" s="909"/>
      <c r="LUJ3424" s="909"/>
      <c r="LUK3424" s="907" t="s">
        <v>79</v>
      </c>
      <c r="LUL3424" s="909" t="s">
        <v>68</v>
      </c>
      <c r="LUM3424" s="910" t="s">
        <v>75</v>
      </c>
      <c r="LUN3424" s="911"/>
      <c r="LUO3424" s="911"/>
      <c r="LUP3424" s="911"/>
      <c r="LUQ3424" s="911"/>
      <c r="LUR3424" s="911"/>
      <c r="LUS3424" s="911"/>
      <c r="LUT3424" s="911"/>
      <c r="LUU3424" s="911"/>
      <c r="LUV3424" s="911"/>
      <c r="LUW3424" s="32"/>
      <c r="LUX3424" s="911" t="s">
        <v>74</v>
      </c>
      <c r="LUY3424" s="911"/>
      <c r="LUZ3424" s="911"/>
      <c r="LVA3424" s="911"/>
      <c r="LVB3424" s="911"/>
      <c r="LVC3424" s="911"/>
      <c r="LVD3424" s="911"/>
      <c r="LVE3424" s="911"/>
      <c r="LVF3424" s="911"/>
      <c r="LVG3424" s="912"/>
      <c r="LVI3424" s="913" t="s">
        <v>1</v>
      </c>
      <c r="LVJ3424" s="31"/>
      <c r="LVK3424" s="909" t="s">
        <v>0</v>
      </c>
      <c r="LVL3424" s="909"/>
      <c r="LVM3424" s="909"/>
      <c r="LVN3424" s="909"/>
      <c r="LVO3424" s="909"/>
      <c r="LVP3424" s="909"/>
      <c r="LVQ3424" s="907" t="s">
        <v>79</v>
      </c>
      <c r="LVR3424" s="909" t="s">
        <v>68</v>
      </c>
      <c r="LVS3424" s="910" t="s">
        <v>75</v>
      </c>
      <c r="LVT3424" s="911"/>
      <c r="LVU3424" s="911"/>
      <c r="LVV3424" s="911"/>
      <c r="LVW3424" s="911"/>
      <c r="LVX3424" s="911"/>
      <c r="LVY3424" s="911"/>
      <c r="LVZ3424" s="911"/>
      <c r="LWA3424" s="911"/>
      <c r="LWB3424" s="911"/>
      <c r="LWC3424" s="32"/>
      <c r="LWD3424" s="911" t="s">
        <v>74</v>
      </c>
      <c r="LWE3424" s="911"/>
      <c r="LWF3424" s="911"/>
      <c r="LWG3424" s="911"/>
      <c r="LWH3424" s="911"/>
      <c r="LWI3424" s="911"/>
      <c r="LWJ3424" s="911"/>
      <c r="LWK3424" s="911"/>
      <c r="LWL3424" s="911"/>
      <c r="LWM3424" s="912"/>
      <c r="LWO3424" s="913" t="s">
        <v>1</v>
      </c>
      <c r="LWP3424" s="31"/>
      <c r="LWQ3424" s="909" t="s">
        <v>0</v>
      </c>
      <c r="LWR3424" s="909"/>
      <c r="LWS3424" s="909"/>
      <c r="LWT3424" s="909"/>
      <c r="LWU3424" s="909"/>
      <c r="LWV3424" s="909"/>
      <c r="LWW3424" s="907" t="s">
        <v>79</v>
      </c>
      <c r="LWX3424" s="909" t="s">
        <v>68</v>
      </c>
      <c r="LWY3424" s="910" t="s">
        <v>75</v>
      </c>
      <c r="LWZ3424" s="911"/>
      <c r="LXA3424" s="911"/>
      <c r="LXB3424" s="911"/>
      <c r="LXC3424" s="911"/>
      <c r="LXD3424" s="911"/>
      <c r="LXE3424" s="911"/>
      <c r="LXF3424" s="911"/>
      <c r="LXG3424" s="911"/>
      <c r="LXH3424" s="911"/>
      <c r="LXI3424" s="32"/>
      <c r="LXJ3424" s="911" t="s">
        <v>74</v>
      </c>
      <c r="LXK3424" s="911"/>
      <c r="LXL3424" s="911"/>
      <c r="LXM3424" s="911"/>
      <c r="LXN3424" s="911"/>
      <c r="LXO3424" s="911"/>
      <c r="LXP3424" s="911"/>
      <c r="LXQ3424" s="911"/>
      <c r="LXR3424" s="911"/>
      <c r="LXS3424" s="912"/>
      <c r="LXU3424" s="913" t="s">
        <v>1</v>
      </c>
      <c r="LXV3424" s="31"/>
      <c r="LXW3424" s="909" t="s">
        <v>0</v>
      </c>
      <c r="LXX3424" s="909"/>
      <c r="LXY3424" s="909"/>
      <c r="LXZ3424" s="909"/>
      <c r="LYA3424" s="909"/>
      <c r="LYB3424" s="909"/>
      <c r="LYC3424" s="907" t="s">
        <v>79</v>
      </c>
      <c r="LYD3424" s="909" t="s">
        <v>68</v>
      </c>
      <c r="LYE3424" s="910" t="s">
        <v>75</v>
      </c>
      <c r="LYF3424" s="911"/>
      <c r="LYG3424" s="911"/>
      <c r="LYH3424" s="911"/>
      <c r="LYI3424" s="911"/>
      <c r="LYJ3424" s="911"/>
      <c r="LYK3424" s="911"/>
      <c r="LYL3424" s="911"/>
      <c r="LYM3424" s="911"/>
      <c r="LYN3424" s="911"/>
      <c r="LYO3424" s="32"/>
      <c r="LYP3424" s="911" t="s">
        <v>74</v>
      </c>
      <c r="LYQ3424" s="911"/>
      <c r="LYR3424" s="911"/>
      <c r="LYS3424" s="911"/>
      <c r="LYT3424" s="911"/>
      <c r="LYU3424" s="911"/>
      <c r="LYV3424" s="911"/>
      <c r="LYW3424" s="911"/>
      <c r="LYX3424" s="911"/>
      <c r="LYY3424" s="912"/>
      <c r="LZA3424" s="913" t="s">
        <v>1</v>
      </c>
      <c r="LZB3424" s="31"/>
      <c r="LZC3424" s="909" t="s">
        <v>0</v>
      </c>
      <c r="LZD3424" s="909"/>
      <c r="LZE3424" s="909"/>
      <c r="LZF3424" s="909"/>
      <c r="LZG3424" s="909"/>
      <c r="LZH3424" s="909"/>
      <c r="LZI3424" s="907" t="s">
        <v>79</v>
      </c>
      <c r="LZJ3424" s="909" t="s">
        <v>68</v>
      </c>
      <c r="LZK3424" s="910" t="s">
        <v>75</v>
      </c>
      <c r="LZL3424" s="911"/>
      <c r="LZM3424" s="911"/>
      <c r="LZN3424" s="911"/>
      <c r="LZO3424" s="911"/>
      <c r="LZP3424" s="911"/>
      <c r="LZQ3424" s="911"/>
      <c r="LZR3424" s="911"/>
      <c r="LZS3424" s="911"/>
      <c r="LZT3424" s="911"/>
      <c r="LZU3424" s="32"/>
      <c r="LZV3424" s="911" t="s">
        <v>74</v>
      </c>
      <c r="LZW3424" s="911"/>
      <c r="LZX3424" s="911"/>
      <c r="LZY3424" s="911"/>
      <c r="LZZ3424" s="911"/>
      <c r="MAA3424" s="911"/>
      <c r="MAB3424" s="911"/>
      <c r="MAC3424" s="911"/>
      <c r="MAD3424" s="911"/>
      <c r="MAE3424" s="912"/>
      <c r="MAG3424" s="913" t="s">
        <v>1</v>
      </c>
      <c r="MAH3424" s="31"/>
      <c r="MAI3424" s="909" t="s">
        <v>0</v>
      </c>
      <c r="MAJ3424" s="909"/>
      <c r="MAK3424" s="909"/>
      <c r="MAL3424" s="909"/>
      <c r="MAM3424" s="909"/>
      <c r="MAN3424" s="909"/>
      <c r="MAO3424" s="907" t="s">
        <v>79</v>
      </c>
      <c r="MAP3424" s="909" t="s">
        <v>68</v>
      </c>
      <c r="MAQ3424" s="910" t="s">
        <v>75</v>
      </c>
      <c r="MAR3424" s="911"/>
      <c r="MAS3424" s="911"/>
      <c r="MAT3424" s="911"/>
      <c r="MAU3424" s="911"/>
      <c r="MAV3424" s="911"/>
      <c r="MAW3424" s="911"/>
      <c r="MAX3424" s="911"/>
      <c r="MAY3424" s="911"/>
      <c r="MAZ3424" s="911"/>
      <c r="MBA3424" s="32"/>
      <c r="MBB3424" s="911" t="s">
        <v>74</v>
      </c>
      <c r="MBC3424" s="911"/>
      <c r="MBD3424" s="911"/>
      <c r="MBE3424" s="911"/>
      <c r="MBF3424" s="911"/>
      <c r="MBG3424" s="911"/>
      <c r="MBH3424" s="911"/>
      <c r="MBI3424" s="911"/>
      <c r="MBJ3424" s="911"/>
      <c r="MBK3424" s="912"/>
      <c r="MBM3424" s="913" t="s">
        <v>1</v>
      </c>
      <c r="MBN3424" s="31"/>
      <c r="MBO3424" s="909" t="s">
        <v>0</v>
      </c>
      <c r="MBP3424" s="909"/>
      <c r="MBQ3424" s="909"/>
      <c r="MBR3424" s="909"/>
      <c r="MBS3424" s="909"/>
      <c r="MBT3424" s="909"/>
      <c r="MBU3424" s="907" t="s">
        <v>79</v>
      </c>
      <c r="MBV3424" s="909" t="s">
        <v>68</v>
      </c>
      <c r="MBW3424" s="910" t="s">
        <v>75</v>
      </c>
      <c r="MBX3424" s="911"/>
      <c r="MBY3424" s="911"/>
      <c r="MBZ3424" s="911"/>
      <c r="MCA3424" s="911"/>
      <c r="MCB3424" s="911"/>
      <c r="MCC3424" s="911"/>
      <c r="MCD3424" s="911"/>
      <c r="MCE3424" s="911"/>
      <c r="MCF3424" s="911"/>
      <c r="MCG3424" s="32"/>
      <c r="MCH3424" s="911" t="s">
        <v>74</v>
      </c>
      <c r="MCI3424" s="911"/>
      <c r="MCJ3424" s="911"/>
      <c r="MCK3424" s="911"/>
      <c r="MCL3424" s="911"/>
      <c r="MCM3424" s="911"/>
      <c r="MCN3424" s="911"/>
      <c r="MCO3424" s="911"/>
      <c r="MCP3424" s="911"/>
      <c r="MCQ3424" s="912"/>
      <c r="MCS3424" s="913" t="s">
        <v>1</v>
      </c>
      <c r="MCT3424" s="31"/>
      <c r="MCU3424" s="909" t="s">
        <v>0</v>
      </c>
      <c r="MCV3424" s="909"/>
      <c r="MCW3424" s="909"/>
      <c r="MCX3424" s="909"/>
      <c r="MCY3424" s="909"/>
      <c r="MCZ3424" s="909"/>
      <c r="MDA3424" s="907" t="s">
        <v>79</v>
      </c>
      <c r="MDB3424" s="909" t="s">
        <v>68</v>
      </c>
      <c r="MDC3424" s="910" t="s">
        <v>75</v>
      </c>
      <c r="MDD3424" s="911"/>
      <c r="MDE3424" s="911"/>
      <c r="MDF3424" s="911"/>
      <c r="MDG3424" s="911"/>
      <c r="MDH3424" s="911"/>
      <c r="MDI3424" s="911"/>
      <c r="MDJ3424" s="911"/>
      <c r="MDK3424" s="911"/>
      <c r="MDL3424" s="911"/>
      <c r="MDM3424" s="32"/>
      <c r="MDN3424" s="911" t="s">
        <v>74</v>
      </c>
      <c r="MDO3424" s="911"/>
      <c r="MDP3424" s="911"/>
      <c r="MDQ3424" s="911"/>
      <c r="MDR3424" s="911"/>
      <c r="MDS3424" s="911"/>
      <c r="MDT3424" s="911"/>
      <c r="MDU3424" s="911"/>
      <c r="MDV3424" s="911"/>
      <c r="MDW3424" s="912"/>
      <c r="MDY3424" s="913" t="s">
        <v>1</v>
      </c>
      <c r="MDZ3424" s="31"/>
      <c r="MEA3424" s="909" t="s">
        <v>0</v>
      </c>
      <c r="MEB3424" s="909"/>
      <c r="MEC3424" s="909"/>
      <c r="MED3424" s="909"/>
      <c r="MEE3424" s="909"/>
      <c r="MEF3424" s="909"/>
      <c r="MEG3424" s="907" t="s">
        <v>79</v>
      </c>
      <c r="MEH3424" s="909" t="s">
        <v>68</v>
      </c>
      <c r="MEI3424" s="910" t="s">
        <v>75</v>
      </c>
      <c r="MEJ3424" s="911"/>
      <c r="MEK3424" s="911"/>
      <c r="MEL3424" s="911"/>
      <c r="MEM3424" s="911"/>
      <c r="MEN3424" s="911"/>
      <c r="MEO3424" s="911"/>
      <c r="MEP3424" s="911"/>
      <c r="MEQ3424" s="911"/>
      <c r="MER3424" s="911"/>
      <c r="MES3424" s="32"/>
      <c r="MET3424" s="911" t="s">
        <v>74</v>
      </c>
      <c r="MEU3424" s="911"/>
      <c r="MEV3424" s="911"/>
      <c r="MEW3424" s="911"/>
      <c r="MEX3424" s="911"/>
      <c r="MEY3424" s="911"/>
      <c r="MEZ3424" s="911"/>
      <c r="MFA3424" s="911"/>
      <c r="MFB3424" s="911"/>
      <c r="MFC3424" s="912"/>
      <c r="MFE3424" s="913" t="s">
        <v>1</v>
      </c>
      <c r="MFF3424" s="31"/>
      <c r="MFG3424" s="909" t="s">
        <v>0</v>
      </c>
      <c r="MFH3424" s="909"/>
      <c r="MFI3424" s="909"/>
      <c r="MFJ3424" s="909"/>
      <c r="MFK3424" s="909"/>
      <c r="MFL3424" s="909"/>
      <c r="MFM3424" s="907" t="s">
        <v>79</v>
      </c>
      <c r="MFN3424" s="909" t="s">
        <v>68</v>
      </c>
      <c r="MFO3424" s="910" t="s">
        <v>75</v>
      </c>
      <c r="MFP3424" s="911"/>
      <c r="MFQ3424" s="911"/>
      <c r="MFR3424" s="911"/>
      <c r="MFS3424" s="911"/>
      <c r="MFT3424" s="911"/>
      <c r="MFU3424" s="911"/>
      <c r="MFV3424" s="911"/>
      <c r="MFW3424" s="911"/>
      <c r="MFX3424" s="911"/>
      <c r="MFY3424" s="32"/>
      <c r="MFZ3424" s="911" t="s">
        <v>74</v>
      </c>
      <c r="MGA3424" s="911"/>
      <c r="MGB3424" s="911"/>
      <c r="MGC3424" s="911"/>
      <c r="MGD3424" s="911"/>
      <c r="MGE3424" s="911"/>
      <c r="MGF3424" s="911"/>
      <c r="MGG3424" s="911"/>
      <c r="MGH3424" s="911"/>
      <c r="MGI3424" s="912"/>
      <c r="MGK3424" s="913" t="s">
        <v>1</v>
      </c>
      <c r="MGL3424" s="31"/>
      <c r="MGM3424" s="909" t="s">
        <v>0</v>
      </c>
      <c r="MGN3424" s="909"/>
      <c r="MGO3424" s="909"/>
      <c r="MGP3424" s="909"/>
      <c r="MGQ3424" s="909"/>
      <c r="MGR3424" s="909"/>
      <c r="MGS3424" s="907" t="s">
        <v>79</v>
      </c>
      <c r="MGT3424" s="909" t="s">
        <v>68</v>
      </c>
      <c r="MGU3424" s="910" t="s">
        <v>75</v>
      </c>
      <c r="MGV3424" s="911"/>
      <c r="MGW3424" s="911"/>
      <c r="MGX3424" s="911"/>
      <c r="MGY3424" s="911"/>
      <c r="MGZ3424" s="911"/>
      <c r="MHA3424" s="911"/>
      <c r="MHB3424" s="911"/>
      <c r="MHC3424" s="911"/>
      <c r="MHD3424" s="911"/>
      <c r="MHE3424" s="32"/>
      <c r="MHF3424" s="911" t="s">
        <v>74</v>
      </c>
      <c r="MHG3424" s="911"/>
      <c r="MHH3424" s="911"/>
      <c r="MHI3424" s="911"/>
      <c r="MHJ3424" s="911"/>
      <c r="MHK3424" s="911"/>
      <c r="MHL3424" s="911"/>
      <c r="MHM3424" s="911"/>
      <c r="MHN3424" s="911"/>
      <c r="MHO3424" s="912"/>
      <c r="MHQ3424" s="913" t="s">
        <v>1</v>
      </c>
      <c r="MHR3424" s="31"/>
      <c r="MHS3424" s="909" t="s">
        <v>0</v>
      </c>
      <c r="MHT3424" s="909"/>
      <c r="MHU3424" s="909"/>
      <c r="MHV3424" s="909"/>
      <c r="MHW3424" s="909"/>
      <c r="MHX3424" s="909"/>
      <c r="MHY3424" s="907" t="s">
        <v>79</v>
      </c>
      <c r="MHZ3424" s="909" t="s">
        <v>68</v>
      </c>
      <c r="MIA3424" s="910" t="s">
        <v>75</v>
      </c>
      <c r="MIB3424" s="911"/>
      <c r="MIC3424" s="911"/>
      <c r="MID3424" s="911"/>
      <c r="MIE3424" s="911"/>
      <c r="MIF3424" s="911"/>
      <c r="MIG3424" s="911"/>
      <c r="MIH3424" s="911"/>
      <c r="MII3424" s="911"/>
      <c r="MIJ3424" s="911"/>
      <c r="MIK3424" s="32"/>
      <c r="MIL3424" s="911" t="s">
        <v>74</v>
      </c>
      <c r="MIM3424" s="911"/>
      <c r="MIN3424" s="911"/>
      <c r="MIO3424" s="911"/>
      <c r="MIP3424" s="911"/>
      <c r="MIQ3424" s="911"/>
      <c r="MIR3424" s="911"/>
      <c r="MIS3424" s="911"/>
      <c r="MIT3424" s="911"/>
      <c r="MIU3424" s="912"/>
      <c r="MIW3424" s="913" t="s">
        <v>1</v>
      </c>
      <c r="MIX3424" s="31"/>
      <c r="MIY3424" s="909" t="s">
        <v>0</v>
      </c>
      <c r="MIZ3424" s="909"/>
      <c r="MJA3424" s="909"/>
      <c r="MJB3424" s="909"/>
      <c r="MJC3424" s="909"/>
      <c r="MJD3424" s="909"/>
      <c r="MJE3424" s="907" t="s">
        <v>79</v>
      </c>
      <c r="MJF3424" s="909" t="s">
        <v>68</v>
      </c>
      <c r="MJG3424" s="910" t="s">
        <v>75</v>
      </c>
      <c r="MJH3424" s="911"/>
      <c r="MJI3424" s="911"/>
      <c r="MJJ3424" s="911"/>
      <c r="MJK3424" s="911"/>
      <c r="MJL3424" s="911"/>
      <c r="MJM3424" s="911"/>
      <c r="MJN3424" s="911"/>
      <c r="MJO3424" s="911"/>
      <c r="MJP3424" s="911"/>
      <c r="MJQ3424" s="32"/>
      <c r="MJR3424" s="911" t="s">
        <v>74</v>
      </c>
      <c r="MJS3424" s="911"/>
      <c r="MJT3424" s="911"/>
      <c r="MJU3424" s="911"/>
      <c r="MJV3424" s="911"/>
      <c r="MJW3424" s="911"/>
      <c r="MJX3424" s="911"/>
      <c r="MJY3424" s="911"/>
      <c r="MJZ3424" s="911"/>
      <c r="MKA3424" s="912"/>
      <c r="MKC3424" s="913" t="s">
        <v>1</v>
      </c>
      <c r="MKD3424" s="31"/>
      <c r="MKE3424" s="909" t="s">
        <v>0</v>
      </c>
      <c r="MKF3424" s="909"/>
      <c r="MKG3424" s="909"/>
      <c r="MKH3424" s="909"/>
      <c r="MKI3424" s="909"/>
      <c r="MKJ3424" s="909"/>
      <c r="MKK3424" s="907" t="s">
        <v>79</v>
      </c>
      <c r="MKL3424" s="909" t="s">
        <v>68</v>
      </c>
      <c r="MKM3424" s="910" t="s">
        <v>75</v>
      </c>
      <c r="MKN3424" s="911"/>
      <c r="MKO3424" s="911"/>
      <c r="MKP3424" s="911"/>
      <c r="MKQ3424" s="911"/>
      <c r="MKR3424" s="911"/>
      <c r="MKS3424" s="911"/>
      <c r="MKT3424" s="911"/>
      <c r="MKU3424" s="911"/>
      <c r="MKV3424" s="911"/>
      <c r="MKW3424" s="32"/>
      <c r="MKX3424" s="911" t="s">
        <v>74</v>
      </c>
      <c r="MKY3424" s="911"/>
      <c r="MKZ3424" s="911"/>
      <c r="MLA3424" s="911"/>
      <c r="MLB3424" s="911"/>
      <c r="MLC3424" s="911"/>
      <c r="MLD3424" s="911"/>
      <c r="MLE3424" s="911"/>
      <c r="MLF3424" s="911"/>
      <c r="MLG3424" s="912"/>
      <c r="MLI3424" s="913" t="s">
        <v>1</v>
      </c>
      <c r="MLJ3424" s="31"/>
      <c r="MLK3424" s="909" t="s">
        <v>0</v>
      </c>
      <c r="MLL3424" s="909"/>
      <c r="MLM3424" s="909"/>
      <c r="MLN3424" s="909"/>
      <c r="MLO3424" s="909"/>
      <c r="MLP3424" s="909"/>
      <c r="MLQ3424" s="907" t="s">
        <v>79</v>
      </c>
      <c r="MLR3424" s="909" t="s">
        <v>68</v>
      </c>
      <c r="MLS3424" s="910" t="s">
        <v>75</v>
      </c>
      <c r="MLT3424" s="911"/>
      <c r="MLU3424" s="911"/>
      <c r="MLV3424" s="911"/>
      <c r="MLW3424" s="911"/>
      <c r="MLX3424" s="911"/>
      <c r="MLY3424" s="911"/>
      <c r="MLZ3424" s="911"/>
      <c r="MMA3424" s="911"/>
      <c r="MMB3424" s="911"/>
      <c r="MMC3424" s="32"/>
      <c r="MMD3424" s="911" t="s">
        <v>74</v>
      </c>
      <c r="MME3424" s="911"/>
      <c r="MMF3424" s="911"/>
      <c r="MMG3424" s="911"/>
      <c r="MMH3424" s="911"/>
      <c r="MMI3424" s="911"/>
      <c r="MMJ3424" s="911"/>
      <c r="MMK3424" s="911"/>
      <c r="MML3424" s="911"/>
      <c r="MMM3424" s="912"/>
      <c r="MMO3424" s="913" t="s">
        <v>1</v>
      </c>
      <c r="MMP3424" s="31"/>
      <c r="MMQ3424" s="909" t="s">
        <v>0</v>
      </c>
      <c r="MMR3424" s="909"/>
      <c r="MMS3424" s="909"/>
      <c r="MMT3424" s="909"/>
      <c r="MMU3424" s="909"/>
      <c r="MMV3424" s="909"/>
      <c r="MMW3424" s="907" t="s">
        <v>79</v>
      </c>
      <c r="MMX3424" s="909" t="s">
        <v>68</v>
      </c>
      <c r="MMY3424" s="910" t="s">
        <v>75</v>
      </c>
      <c r="MMZ3424" s="911"/>
      <c r="MNA3424" s="911"/>
      <c r="MNB3424" s="911"/>
      <c r="MNC3424" s="911"/>
      <c r="MND3424" s="911"/>
      <c r="MNE3424" s="911"/>
      <c r="MNF3424" s="911"/>
      <c r="MNG3424" s="911"/>
      <c r="MNH3424" s="911"/>
      <c r="MNI3424" s="32"/>
      <c r="MNJ3424" s="911" t="s">
        <v>74</v>
      </c>
      <c r="MNK3424" s="911"/>
      <c r="MNL3424" s="911"/>
      <c r="MNM3424" s="911"/>
      <c r="MNN3424" s="911"/>
      <c r="MNO3424" s="911"/>
      <c r="MNP3424" s="911"/>
      <c r="MNQ3424" s="911"/>
      <c r="MNR3424" s="911"/>
      <c r="MNS3424" s="912"/>
      <c r="MNU3424" s="913" t="s">
        <v>1</v>
      </c>
      <c r="MNV3424" s="31"/>
      <c r="MNW3424" s="909" t="s">
        <v>0</v>
      </c>
      <c r="MNX3424" s="909"/>
      <c r="MNY3424" s="909"/>
      <c r="MNZ3424" s="909"/>
      <c r="MOA3424" s="909"/>
      <c r="MOB3424" s="909"/>
      <c r="MOC3424" s="907" t="s">
        <v>79</v>
      </c>
      <c r="MOD3424" s="909" t="s">
        <v>68</v>
      </c>
      <c r="MOE3424" s="910" t="s">
        <v>75</v>
      </c>
      <c r="MOF3424" s="911"/>
      <c r="MOG3424" s="911"/>
      <c r="MOH3424" s="911"/>
      <c r="MOI3424" s="911"/>
      <c r="MOJ3424" s="911"/>
      <c r="MOK3424" s="911"/>
      <c r="MOL3424" s="911"/>
      <c r="MOM3424" s="911"/>
      <c r="MON3424" s="911"/>
      <c r="MOO3424" s="32"/>
      <c r="MOP3424" s="911" t="s">
        <v>74</v>
      </c>
      <c r="MOQ3424" s="911"/>
      <c r="MOR3424" s="911"/>
      <c r="MOS3424" s="911"/>
      <c r="MOT3424" s="911"/>
      <c r="MOU3424" s="911"/>
      <c r="MOV3424" s="911"/>
      <c r="MOW3424" s="911"/>
      <c r="MOX3424" s="911"/>
      <c r="MOY3424" s="912"/>
      <c r="MPA3424" s="913" t="s">
        <v>1</v>
      </c>
      <c r="MPB3424" s="31"/>
      <c r="MPC3424" s="909" t="s">
        <v>0</v>
      </c>
      <c r="MPD3424" s="909"/>
      <c r="MPE3424" s="909"/>
      <c r="MPF3424" s="909"/>
      <c r="MPG3424" s="909"/>
      <c r="MPH3424" s="909"/>
      <c r="MPI3424" s="907" t="s">
        <v>79</v>
      </c>
      <c r="MPJ3424" s="909" t="s">
        <v>68</v>
      </c>
      <c r="MPK3424" s="910" t="s">
        <v>75</v>
      </c>
      <c r="MPL3424" s="911"/>
      <c r="MPM3424" s="911"/>
      <c r="MPN3424" s="911"/>
      <c r="MPO3424" s="911"/>
      <c r="MPP3424" s="911"/>
      <c r="MPQ3424" s="911"/>
      <c r="MPR3424" s="911"/>
      <c r="MPS3424" s="911"/>
      <c r="MPT3424" s="911"/>
      <c r="MPU3424" s="32"/>
      <c r="MPV3424" s="911" t="s">
        <v>74</v>
      </c>
      <c r="MPW3424" s="911"/>
      <c r="MPX3424" s="911"/>
      <c r="MPY3424" s="911"/>
      <c r="MPZ3424" s="911"/>
      <c r="MQA3424" s="911"/>
      <c r="MQB3424" s="911"/>
      <c r="MQC3424" s="911"/>
      <c r="MQD3424" s="911"/>
      <c r="MQE3424" s="912"/>
      <c r="MQG3424" s="913" t="s">
        <v>1</v>
      </c>
      <c r="MQH3424" s="31"/>
      <c r="MQI3424" s="909" t="s">
        <v>0</v>
      </c>
      <c r="MQJ3424" s="909"/>
      <c r="MQK3424" s="909"/>
      <c r="MQL3424" s="909"/>
      <c r="MQM3424" s="909"/>
      <c r="MQN3424" s="909"/>
      <c r="MQO3424" s="907" t="s">
        <v>79</v>
      </c>
      <c r="MQP3424" s="909" t="s">
        <v>68</v>
      </c>
      <c r="MQQ3424" s="910" t="s">
        <v>75</v>
      </c>
      <c r="MQR3424" s="911"/>
      <c r="MQS3424" s="911"/>
      <c r="MQT3424" s="911"/>
      <c r="MQU3424" s="911"/>
      <c r="MQV3424" s="911"/>
      <c r="MQW3424" s="911"/>
      <c r="MQX3424" s="911"/>
      <c r="MQY3424" s="911"/>
      <c r="MQZ3424" s="911"/>
      <c r="MRA3424" s="32"/>
      <c r="MRB3424" s="911" t="s">
        <v>74</v>
      </c>
      <c r="MRC3424" s="911"/>
      <c r="MRD3424" s="911"/>
      <c r="MRE3424" s="911"/>
      <c r="MRF3424" s="911"/>
      <c r="MRG3424" s="911"/>
      <c r="MRH3424" s="911"/>
      <c r="MRI3424" s="911"/>
      <c r="MRJ3424" s="911"/>
      <c r="MRK3424" s="912"/>
      <c r="MRM3424" s="913" t="s">
        <v>1</v>
      </c>
      <c r="MRN3424" s="31"/>
      <c r="MRO3424" s="909" t="s">
        <v>0</v>
      </c>
      <c r="MRP3424" s="909"/>
      <c r="MRQ3424" s="909"/>
      <c r="MRR3424" s="909"/>
      <c r="MRS3424" s="909"/>
      <c r="MRT3424" s="909"/>
      <c r="MRU3424" s="907" t="s">
        <v>79</v>
      </c>
      <c r="MRV3424" s="909" t="s">
        <v>68</v>
      </c>
      <c r="MRW3424" s="910" t="s">
        <v>75</v>
      </c>
      <c r="MRX3424" s="911"/>
      <c r="MRY3424" s="911"/>
      <c r="MRZ3424" s="911"/>
      <c r="MSA3424" s="911"/>
      <c r="MSB3424" s="911"/>
      <c r="MSC3424" s="911"/>
      <c r="MSD3424" s="911"/>
      <c r="MSE3424" s="911"/>
      <c r="MSF3424" s="911"/>
      <c r="MSG3424" s="32"/>
      <c r="MSH3424" s="911" t="s">
        <v>74</v>
      </c>
      <c r="MSI3424" s="911"/>
      <c r="MSJ3424" s="911"/>
      <c r="MSK3424" s="911"/>
      <c r="MSL3424" s="911"/>
      <c r="MSM3424" s="911"/>
      <c r="MSN3424" s="911"/>
      <c r="MSO3424" s="911"/>
      <c r="MSP3424" s="911"/>
      <c r="MSQ3424" s="912"/>
      <c r="MSS3424" s="913" t="s">
        <v>1</v>
      </c>
      <c r="MST3424" s="31"/>
      <c r="MSU3424" s="909" t="s">
        <v>0</v>
      </c>
      <c r="MSV3424" s="909"/>
      <c r="MSW3424" s="909"/>
      <c r="MSX3424" s="909"/>
      <c r="MSY3424" s="909"/>
      <c r="MSZ3424" s="909"/>
      <c r="MTA3424" s="907" t="s">
        <v>79</v>
      </c>
      <c r="MTB3424" s="909" t="s">
        <v>68</v>
      </c>
      <c r="MTC3424" s="910" t="s">
        <v>75</v>
      </c>
      <c r="MTD3424" s="911"/>
      <c r="MTE3424" s="911"/>
      <c r="MTF3424" s="911"/>
      <c r="MTG3424" s="911"/>
      <c r="MTH3424" s="911"/>
      <c r="MTI3424" s="911"/>
      <c r="MTJ3424" s="911"/>
      <c r="MTK3424" s="911"/>
      <c r="MTL3424" s="911"/>
      <c r="MTM3424" s="32"/>
      <c r="MTN3424" s="911" t="s">
        <v>74</v>
      </c>
      <c r="MTO3424" s="911"/>
      <c r="MTP3424" s="911"/>
      <c r="MTQ3424" s="911"/>
      <c r="MTR3424" s="911"/>
      <c r="MTS3424" s="911"/>
      <c r="MTT3424" s="911"/>
      <c r="MTU3424" s="911"/>
      <c r="MTV3424" s="911"/>
      <c r="MTW3424" s="912"/>
      <c r="MTY3424" s="913" t="s">
        <v>1</v>
      </c>
      <c r="MTZ3424" s="31"/>
      <c r="MUA3424" s="909" t="s">
        <v>0</v>
      </c>
      <c r="MUB3424" s="909"/>
      <c r="MUC3424" s="909"/>
      <c r="MUD3424" s="909"/>
      <c r="MUE3424" s="909"/>
      <c r="MUF3424" s="909"/>
      <c r="MUG3424" s="907" t="s">
        <v>79</v>
      </c>
      <c r="MUH3424" s="909" t="s">
        <v>68</v>
      </c>
      <c r="MUI3424" s="910" t="s">
        <v>75</v>
      </c>
      <c r="MUJ3424" s="911"/>
      <c r="MUK3424" s="911"/>
      <c r="MUL3424" s="911"/>
      <c r="MUM3424" s="911"/>
      <c r="MUN3424" s="911"/>
      <c r="MUO3424" s="911"/>
      <c r="MUP3424" s="911"/>
      <c r="MUQ3424" s="911"/>
      <c r="MUR3424" s="911"/>
      <c r="MUS3424" s="32"/>
      <c r="MUT3424" s="911" t="s">
        <v>74</v>
      </c>
      <c r="MUU3424" s="911"/>
      <c r="MUV3424" s="911"/>
      <c r="MUW3424" s="911"/>
      <c r="MUX3424" s="911"/>
      <c r="MUY3424" s="911"/>
      <c r="MUZ3424" s="911"/>
      <c r="MVA3424" s="911"/>
      <c r="MVB3424" s="911"/>
      <c r="MVC3424" s="912"/>
      <c r="MVE3424" s="913" t="s">
        <v>1</v>
      </c>
      <c r="MVF3424" s="31"/>
      <c r="MVG3424" s="909" t="s">
        <v>0</v>
      </c>
      <c r="MVH3424" s="909"/>
      <c r="MVI3424" s="909"/>
      <c r="MVJ3424" s="909"/>
      <c r="MVK3424" s="909"/>
      <c r="MVL3424" s="909"/>
      <c r="MVM3424" s="907" t="s">
        <v>79</v>
      </c>
      <c r="MVN3424" s="909" t="s">
        <v>68</v>
      </c>
      <c r="MVO3424" s="910" t="s">
        <v>75</v>
      </c>
      <c r="MVP3424" s="911"/>
      <c r="MVQ3424" s="911"/>
      <c r="MVR3424" s="911"/>
      <c r="MVS3424" s="911"/>
      <c r="MVT3424" s="911"/>
      <c r="MVU3424" s="911"/>
      <c r="MVV3424" s="911"/>
      <c r="MVW3424" s="911"/>
      <c r="MVX3424" s="911"/>
      <c r="MVY3424" s="32"/>
      <c r="MVZ3424" s="911" t="s">
        <v>74</v>
      </c>
      <c r="MWA3424" s="911"/>
      <c r="MWB3424" s="911"/>
      <c r="MWC3424" s="911"/>
      <c r="MWD3424" s="911"/>
      <c r="MWE3424" s="911"/>
      <c r="MWF3424" s="911"/>
      <c r="MWG3424" s="911"/>
      <c r="MWH3424" s="911"/>
      <c r="MWI3424" s="912"/>
      <c r="MWK3424" s="913" t="s">
        <v>1</v>
      </c>
      <c r="MWL3424" s="31"/>
      <c r="MWM3424" s="909" t="s">
        <v>0</v>
      </c>
      <c r="MWN3424" s="909"/>
      <c r="MWO3424" s="909"/>
      <c r="MWP3424" s="909"/>
      <c r="MWQ3424" s="909"/>
      <c r="MWR3424" s="909"/>
      <c r="MWS3424" s="907" t="s">
        <v>79</v>
      </c>
      <c r="MWT3424" s="909" t="s">
        <v>68</v>
      </c>
      <c r="MWU3424" s="910" t="s">
        <v>75</v>
      </c>
      <c r="MWV3424" s="911"/>
      <c r="MWW3424" s="911"/>
      <c r="MWX3424" s="911"/>
      <c r="MWY3424" s="911"/>
      <c r="MWZ3424" s="911"/>
      <c r="MXA3424" s="911"/>
      <c r="MXB3424" s="911"/>
      <c r="MXC3424" s="911"/>
      <c r="MXD3424" s="911"/>
      <c r="MXE3424" s="32"/>
      <c r="MXF3424" s="911" t="s">
        <v>74</v>
      </c>
      <c r="MXG3424" s="911"/>
      <c r="MXH3424" s="911"/>
      <c r="MXI3424" s="911"/>
      <c r="MXJ3424" s="911"/>
      <c r="MXK3424" s="911"/>
      <c r="MXL3424" s="911"/>
      <c r="MXM3424" s="911"/>
      <c r="MXN3424" s="911"/>
      <c r="MXO3424" s="912"/>
      <c r="MXQ3424" s="913" t="s">
        <v>1</v>
      </c>
      <c r="MXR3424" s="31"/>
      <c r="MXS3424" s="909" t="s">
        <v>0</v>
      </c>
      <c r="MXT3424" s="909"/>
      <c r="MXU3424" s="909"/>
      <c r="MXV3424" s="909"/>
      <c r="MXW3424" s="909"/>
      <c r="MXX3424" s="909"/>
      <c r="MXY3424" s="907" t="s">
        <v>79</v>
      </c>
      <c r="MXZ3424" s="909" t="s">
        <v>68</v>
      </c>
      <c r="MYA3424" s="910" t="s">
        <v>75</v>
      </c>
      <c r="MYB3424" s="911"/>
      <c r="MYC3424" s="911"/>
      <c r="MYD3424" s="911"/>
      <c r="MYE3424" s="911"/>
      <c r="MYF3424" s="911"/>
      <c r="MYG3424" s="911"/>
      <c r="MYH3424" s="911"/>
      <c r="MYI3424" s="911"/>
      <c r="MYJ3424" s="911"/>
      <c r="MYK3424" s="32"/>
      <c r="MYL3424" s="911" t="s">
        <v>74</v>
      </c>
      <c r="MYM3424" s="911"/>
      <c r="MYN3424" s="911"/>
      <c r="MYO3424" s="911"/>
      <c r="MYP3424" s="911"/>
      <c r="MYQ3424" s="911"/>
      <c r="MYR3424" s="911"/>
      <c r="MYS3424" s="911"/>
      <c r="MYT3424" s="911"/>
      <c r="MYU3424" s="912"/>
      <c r="MYW3424" s="913" t="s">
        <v>1</v>
      </c>
      <c r="MYX3424" s="31"/>
      <c r="MYY3424" s="909" t="s">
        <v>0</v>
      </c>
      <c r="MYZ3424" s="909"/>
      <c r="MZA3424" s="909"/>
      <c r="MZB3424" s="909"/>
      <c r="MZC3424" s="909"/>
      <c r="MZD3424" s="909"/>
      <c r="MZE3424" s="907" t="s">
        <v>79</v>
      </c>
      <c r="MZF3424" s="909" t="s">
        <v>68</v>
      </c>
      <c r="MZG3424" s="910" t="s">
        <v>75</v>
      </c>
      <c r="MZH3424" s="911"/>
      <c r="MZI3424" s="911"/>
      <c r="MZJ3424" s="911"/>
      <c r="MZK3424" s="911"/>
      <c r="MZL3424" s="911"/>
      <c r="MZM3424" s="911"/>
      <c r="MZN3424" s="911"/>
      <c r="MZO3424" s="911"/>
      <c r="MZP3424" s="911"/>
      <c r="MZQ3424" s="32"/>
      <c r="MZR3424" s="911" t="s">
        <v>74</v>
      </c>
      <c r="MZS3424" s="911"/>
      <c r="MZT3424" s="911"/>
      <c r="MZU3424" s="911"/>
      <c r="MZV3424" s="911"/>
      <c r="MZW3424" s="911"/>
      <c r="MZX3424" s="911"/>
      <c r="MZY3424" s="911"/>
      <c r="MZZ3424" s="911"/>
      <c r="NAA3424" s="912"/>
      <c r="NAC3424" s="913" t="s">
        <v>1</v>
      </c>
      <c r="NAD3424" s="31"/>
      <c r="NAE3424" s="909" t="s">
        <v>0</v>
      </c>
      <c r="NAF3424" s="909"/>
      <c r="NAG3424" s="909"/>
      <c r="NAH3424" s="909"/>
      <c r="NAI3424" s="909"/>
      <c r="NAJ3424" s="909"/>
      <c r="NAK3424" s="907" t="s">
        <v>79</v>
      </c>
      <c r="NAL3424" s="909" t="s">
        <v>68</v>
      </c>
      <c r="NAM3424" s="910" t="s">
        <v>75</v>
      </c>
      <c r="NAN3424" s="911"/>
      <c r="NAO3424" s="911"/>
      <c r="NAP3424" s="911"/>
      <c r="NAQ3424" s="911"/>
      <c r="NAR3424" s="911"/>
      <c r="NAS3424" s="911"/>
      <c r="NAT3424" s="911"/>
      <c r="NAU3424" s="911"/>
      <c r="NAV3424" s="911"/>
      <c r="NAW3424" s="32"/>
      <c r="NAX3424" s="911" t="s">
        <v>74</v>
      </c>
      <c r="NAY3424" s="911"/>
      <c r="NAZ3424" s="911"/>
      <c r="NBA3424" s="911"/>
      <c r="NBB3424" s="911"/>
      <c r="NBC3424" s="911"/>
      <c r="NBD3424" s="911"/>
      <c r="NBE3424" s="911"/>
      <c r="NBF3424" s="911"/>
      <c r="NBG3424" s="912"/>
      <c r="NBI3424" s="913" t="s">
        <v>1</v>
      </c>
      <c r="NBJ3424" s="31"/>
      <c r="NBK3424" s="909" t="s">
        <v>0</v>
      </c>
      <c r="NBL3424" s="909"/>
      <c r="NBM3424" s="909"/>
      <c r="NBN3424" s="909"/>
      <c r="NBO3424" s="909"/>
      <c r="NBP3424" s="909"/>
      <c r="NBQ3424" s="907" t="s">
        <v>79</v>
      </c>
      <c r="NBR3424" s="909" t="s">
        <v>68</v>
      </c>
      <c r="NBS3424" s="910" t="s">
        <v>75</v>
      </c>
      <c r="NBT3424" s="911"/>
      <c r="NBU3424" s="911"/>
      <c r="NBV3424" s="911"/>
      <c r="NBW3424" s="911"/>
      <c r="NBX3424" s="911"/>
      <c r="NBY3424" s="911"/>
      <c r="NBZ3424" s="911"/>
      <c r="NCA3424" s="911"/>
      <c r="NCB3424" s="911"/>
      <c r="NCC3424" s="32"/>
      <c r="NCD3424" s="911" t="s">
        <v>74</v>
      </c>
      <c r="NCE3424" s="911"/>
      <c r="NCF3424" s="911"/>
      <c r="NCG3424" s="911"/>
      <c r="NCH3424" s="911"/>
      <c r="NCI3424" s="911"/>
      <c r="NCJ3424" s="911"/>
      <c r="NCK3424" s="911"/>
      <c r="NCL3424" s="911"/>
      <c r="NCM3424" s="912"/>
      <c r="NCO3424" s="913" t="s">
        <v>1</v>
      </c>
      <c r="NCP3424" s="31"/>
      <c r="NCQ3424" s="909" t="s">
        <v>0</v>
      </c>
      <c r="NCR3424" s="909"/>
      <c r="NCS3424" s="909"/>
      <c r="NCT3424" s="909"/>
      <c r="NCU3424" s="909"/>
      <c r="NCV3424" s="909"/>
      <c r="NCW3424" s="907" t="s">
        <v>79</v>
      </c>
      <c r="NCX3424" s="909" t="s">
        <v>68</v>
      </c>
      <c r="NCY3424" s="910" t="s">
        <v>75</v>
      </c>
      <c r="NCZ3424" s="911"/>
      <c r="NDA3424" s="911"/>
      <c r="NDB3424" s="911"/>
      <c r="NDC3424" s="911"/>
      <c r="NDD3424" s="911"/>
      <c r="NDE3424" s="911"/>
      <c r="NDF3424" s="911"/>
      <c r="NDG3424" s="911"/>
      <c r="NDH3424" s="911"/>
      <c r="NDI3424" s="32"/>
      <c r="NDJ3424" s="911" t="s">
        <v>74</v>
      </c>
      <c r="NDK3424" s="911"/>
      <c r="NDL3424" s="911"/>
      <c r="NDM3424" s="911"/>
      <c r="NDN3424" s="911"/>
      <c r="NDO3424" s="911"/>
      <c r="NDP3424" s="911"/>
      <c r="NDQ3424" s="911"/>
      <c r="NDR3424" s="911"/>
      <c r="NDS3424" s="912"/>
      <c r="NDU3424" s="913" t="s">
        <v>1</v>
      </c>
      <c r="NDV3424" s="31"/>
      <c r="NDW3424" s="909" t="s">
        <v>0</v>
      </c>
      <c r="NDX3424" s="909"/>
      <c r="NDY3424" s="909"/>
      <c r="NDZ3424" s="909"/>
      <c r="NEA3424" s="909"/>
      <c r="NEB3424" s="909"/>
      <c r="NEC3424" s="907" t="s">
        <v>79</v>
      </c>
      <c r="NED3424" s="909" t="s">
        <v>68</v>
      </c>
      <c r="NEE3424" s="910" t="s">
        <v>75</v>
      </c>
      <c r="NEF3424" s="911"/>
      <c r="NEG3424" s="911"/>
      <c r="NEH3424" s="911"/>
      <c r="NEI3424" s="911"/>
      <c r="NEJ3424" s="911"/>
      <c r="NEK3424" s="911"/>
      <c r="NEL3424" s="911"/>
      <c r="NEM3424" s="911"/>
      <c r="NEN3424" s="911"/>
      <c r="NEO3424" s="32"/>
      <c r="NEP3424" s="911" t="s">
        <v>74</v>
      </c>
      <c r="NEQ3424" s="911"/>
      <c r="NER3424" s="911"/>
      <c r="NES3424" s="911"/>
      <c r="NET3424" s="911"/>
      <c r="NEU3424" s="911"/>
      <c r="NEV3424" s="911"/>
      <c r="NEW3424" s="911"/>
      <c r="NEX3424" s="911"/>
      <c r="NEY3424" s="912"/>
      <c r="NFA3424" s="913" t="s">
        <v>1</v>
      </c>
      <c r="NFB3424" s="31"/>
      <c r="NFC3424" s="909" t="s">
        <v>0</v>
      </c>
      <c r="NFD3424" s="909"/>
      <c r="NFE3424" s="909"/>
      <c r="NFF3424" s="909"/>
      <c r="NFG3424" s="909"/>
      <c r="NFH3424" s="909"/>
      <c r="NFI3424" s="907" t="s">
        <v>79</v>
      </c>
      <c r="NFJ3424" s="909" t="s">
        <v>68</v>
      </c>
      <c r="NFK3424" s="910" t="s">
        <v>75</v>
      </c>
      <c r="NFL3424" s="911"/>
      <c r="NFM3424" s="911"/>
      <c r="NFN3424" s="911"/>
      <c r="NFO3424" s="911"/>
      <c r="NFP3424" s="911"/>
      <c r="NFQ3424" s="911"/>
      <c r="NFR3424" s="911"/>
      <c r="NFS3424" s="911"/>
      <c r="NFT3424" s="911"/>
      <c r="NFU3424" s="32"/>
      <c r="NFV3424" s="911" t="s">
        <v>74</v>
      </c>
      <c r="NFW3424" s="911"/>
      <c r="NFX3424" s="911"/>
      <c r="NFY3424" s="911"/>
      <c r="NFZ3424" s="911"/>
      <c r="NGA3424" s="911"/>
      <c r="NGB3424" s="911"/>
      <c r="NGC3424" s="911"/>
      <c r="NGD3424" s="911"/>
      <c r="NGE3424" s="912"/>
      <c r="NGG3424" s="913" t="s">
        <v>1</v>
      </c>
      <c r="NGH3424" s="31"/>
      <c r="NGI3424" s="909" t="s">
        <v>0</v>
      </c>
      <c r="NGJ3424" s="909"/>
      <c r="NGK3424" s="909"/>
      <c r="NGL3424" s="909"/>
      <c r="NGM3424" s="909"/>
      <c r="NGN3424" s="909"/>
      <c r="NGO3424" s="907" t="s">
        <v>79</v>
      </c>
      <c r="NGP3424" s="909" t="s">
        <v>68</v>
      </c>
      <c r="NGQ3424" s="910" t="s">
        <v>75</v>
      </c>
      <c r="NGR3424" s="911"/>
      <c r="NGS3424" s="911"/>
      <c r="NGT3424" s="911"/>
      <c r="NGU3424" s="911"/>
      <c r="NGV3424" s="911"/>
      <c r="NGW3424" s="911"/>
      <c r="NGX3424" s="911"/>
      <c r="NGY3424" s="911"/>
      <c r="NGZ3424" s="911"/>
      <c r="NHA3424" s="32"/>
      <c r="NHB3424" s="911" t="s">
        <v>74</v>
      </c>
      <c r="NHC3424" s="911"/>
      <c r="NHD3424" s="911"/>
      <c r="NHE3424" s="911"/>
      <c r="NHF3424" s="911"/>
      <c r="NHG3424" s="911"/>
      <c r="NHH3424" s="911"/>
      <c r="NHI3424" s="911"/>
      <c r="NHJ3424" s="911"/>
      <c r="NHK3424" s="912"/>
      <c r="NHM3424" s="913" t="s">
        <v>1</v>
      </c>
      <c r="NHN3424" s="31"/>
      <c r="NHO3424" s="909" t="s">
        <v>0</v>
      </c>
      <c r="NHP3424" s="909"/>
      <c r="NHQ3424" s="909"/>
      <c r="NHR3424" s="909"/>
      <c r="NHS3424" s="909"/>
      <c r="NHT3424" s="909"/>
      <c r="NHU3424" s="907" t="s">
        <v>79</v>
      </c>
      <c r="NHV3424" s="909" t="s">
        <v>68</v>
      </c>
      <c r="NHW3424" s="910" t="s">
        <v>75</v>
      </c>
      <c r="NHX3424" s="911"/>
      <c r="NHY3424" s="911"/>
      <c r="NHZ3424" s="911"/>
      <c r="NIA3424" s="911"/>
      <c r="NIB3424" s="911"/>
      <c r="NIC3424" s="911"/>
      <c r="NID3424" s="911"/>
      <c r="NIE3424" s="911"/>
      <c r="NIF3424" s="911"/>
      <c r="NIG3424" s="32"/>
      <c r="NIH3424" s="911" t="s">
        <v>74</v>
      </c>
      <c r="NII3424" s="911"/>
      <c r="NIJ3424" s="911"/>
      <c r="NIK3424" s="911"/>
      <c r="NIL3424" s="911"/>
      <c r="NIM3424" s="911"/>
      <c r="NIN3424" s="911"/>
      <c r="NIO3424" s="911"/>
      <c r="NIP3424" s="911"/>
      <c r="NIQ3424" s="912"/>
      <c r="NIS3424" s="913" t="s">
        <v>1</v>
      </c>
      <c r="NIT3424" s="31"/>
      <c r="NIU3424" s="909" t="s">
        <v>0</v>
      </c>
      <c r="NIV3424" s="909"/>
      <c r="NIW3424" s="909"/>
      <c r="NIX3424" s="909"/>
      <c r="NIY3424" s="909"/>
      <c r="NIZ3424" s="909"/>
      <c r="NJA3424" s="907" t="s">
        <v>79</v>
      </c>
      <c r="NJB3424" s="909" t="s">
        <v>68</v>
      </c>
      <c r="NJC3424" s="910" t="s">
        <v>75</v>
      </c>
      <c r="NJD3424" s="911"/>
      <c r="NJE3424" s="911"/>
      <c r="NJF3424" s="911"/>
      <c r="NJG3424" s="911"/>
      <c r="NJH3424" s="911"/>
      <c r="NJI3424" s="911"/>
      <c r="NJJ3424" s="911"/>
      <c r="NJK3424" s="911"/>
      <c r="NJL3424" s="911"/>
      <c r="NJM3424" s="32"/>
      <c r="NJN3424" s="911" t="s">
        <v>74</v>
      </c>
      <c r="NJO3424" s="911"/>
      <c r="NJP3424" s="911"/>
      <c r="NJQ3424" s="911"/>
      <c r="NJR3424" s="911"/>
      <c r="NJS3424" s="911"/>
      <c r="NJT3424" s="911"/>
      <c r="NJU3424" s="911"/>
      <c r="NJV3424" s="911"/>
      <c r="NJW3424" s="912"/>
      <c r="NJY3424" s="913" t="s">
        <v>1</v>
      </c>
      <c r="NJZ3424" s="31"/>
      <c r="NKA3424" s="909" t="s">
        <v>0</v>
      </c>
      <c r="NKB3424" s="909"/>
      <c r="NKC3424" s="909"/>
      <c r="NKD3424" s="909"/>
      <c r="NKE3424" s="909"/>
      <c r="NKF3424" s="909"/>
      <c r="NKG3424" s="907" t="s">
        <v>79</v>
      </c>
      <c r="NKH3424" s="909" t="s">
        <v>68</v>
      </c>
      <c r="NKI3424" s="910" t="s">
        <v>75</v>
      </c>
      <c r="NKJ3424" s="911"/>
      <c r="NKK3424" s="911"/>
      <c r="NKL3424" s="911"/>
      <c r="NKM3424" s="911"/>
      <c r="NKN3424" s="911"/>
      <c r="NKO3424" s="911"/>
      <c r="NKP3424" s="911"/>
      <c r="NKQ3424" s="911"/>
      <c r="NKR3424" s="911"/>
      <c r="NKS3424" s="32"/>
      <c r="NKT3424" s="911" t="s">
        <v>74</v>
      </c>
      <c r="NKU3424" s="911"/>
      <c r="NKV3424" s="911"/>
      <c r="NKW3424" s="911"/>
      <c r="NKX3424" s="911"/>
      <c r="NKY3424" s="911"/>
      <c r="NKZ3424" s="911"/>
      <c r="NLA3424" s="911"/>
      <c r="NLB3424" s="911"/>
      <c r="NLC3424" s="912"/>
      <c r="NLE3424" s="913" t="s">
        <v>1</v>
      </c>
      <c r="NLF3424" s="31"/>
      <c r="NLG3424" s="909" t="s">
        <v>0</v>
      </c>
      <c r="NLH3424" s="909"/>
      <c r="NLI3424" s="909"/>
      <c r="NLJ3424" s="909"/>
      <c r="NLK3424" s="909"/>
      <c r="NLL3424" s="909"/>
      <c r="NLM3424" s="907" t="s">
        <v>79</v>
      </c>
      <c r="NLN3424" s="909" t="s">
        <v>68</v>
      </c>
      <c r="NLO3424" s="910" t="s">
        <v>75</v>
      </c>
      <c r="NLP3424" s="911"/>
      <c r="NLQ3424" s="911"/>
      <c r="NLR3424" s="911"/>
      <c r="NLS3424" s="911"/>
      <c r="NLT3424" s="911"/>
      <c r="NLU3424" s="911"/>
      <c r="NLV3424" s="911"/>
      <c r="NLW3424" s="911"/>
      <c r="NLX3424" s="911"/>
      <c r="NLY3424" s="32"/>
      <c r="NLZ3424" s="911" t="s">
        <v>74</v>
      </c>
      <c r="NMA3424" s="911"/>
      <c r="NMB3424" s="911"/>
      <c r="NMC3424" s="911"/>
      <c r="NMD3424" s="911"/>
      <c r="NME3424" s="911"/>
      <c r="NMF3424" s="911"/>
      <c r="NMG3424" s="911"/>
      <c r="NMH3424" s="911"/>
      <c r="NMI3424" s="912"/>
      <c r="NMK3424" s="913" t="s">
        <v>1</v>
      </c>
      <c r="NML3424" s="31"/>
      <c r="NMM3424" s="909" t="s">
        <v>0</v>
      </c>
      <c r="NMN3424" s="909"/>
      <c r="NMO3424" s="909"/>
      <c r="NMP3424" s="909"/>
      <c r="NMQ3424" s="909"/>
      <c r="NMR3424" s="909"/>
      <c r="NMS3424" s="907" t="s">
        <v>79</v>
      </c>
      <c r="NMT3424" s="909" t="s">
        <v>68</v>
      </c>
      <c r="NMU3424" s="910" t="s">
        <v>75</v>
      </c>
      <c r="NMV3424" s="911"/>
      <c r="NMW3424" s="911"/>
      <c r="NMX3424" s="911"/>
      <c r="NMY3424" s="911"/>
      <c r="NMZ3424" s="911"/>
      <c r="NNA3424" s="911"/>
      <c r="NNB3424" s="911"/>
      <c r="NNC3424" s="911"/>
      <c r="NND3424" s="911"/>
      <c r="NNE3424" s="32"/>
      <c r="NNF3424" s="911" t="s">
        <v>74</v>
      </c>
      <c r="NNG3424" s="911"/>
      <c r="NNH3424" s="911"/>
      <c r="NNI3424" s="911"/>
      <c r="NNJ3424" s="911"/>
      <c r="NNK3424" s="911"/>
      <c r="NNL3424" s="911"/>
      <c r="NNM3424" s="911"/>
      <c r="NNN3424" s="911"/>
      <c r="NNO3424" s="912"/>
      <c r="NNQ3424" s="913" t="s">
        <v>1</v>
      </c>
      <c r="NNR3424" s="31"/>
      <c r="NNS3424" s="909" t="s">
        <v>0</v>
      </c>
      <c r="NNT3424" s="909"/>
      <c r="NNU3424" s="909"/>
      <c r="NNV3424" s="909"/>
      <c r="NNW3424" s="909"/>
      <c r="NNX3424" s="909"/>
      <c r="NNY3424" s="907" t="s">
        <v>79</v>
      </c>
      <c r="NNZ3424" s="909" t="s">
        <v>68</v>
      </c>
      <c r="NOA3424" s="910" t="s">
        <v>75</v>
      </c>
      <c r="NOB3424" s="911"/>
      <c r="NOC3424" s="911"/>
      <c r="NOD3424" s="911"/>
      <c r="NOE3424" s="911"/>
      <c r="NOF3424" s="911"/>
      <c r="NOG3424" s="911"/>
      <c r="NOH3424" s="911"/>
      <c r="NOI3424" s="911"/>
      <c r="NOJ3424" s="911"/>
      <c r="NOK3424" s="32"/>
      <c r="NOL3424" s="911" t="s">
        <v>74</v>
      </c>
      <c r="NOM3424" s="911"/>
      <c r="NON3424" s="911"/>
      <c r="NOO3424" s="911"/>
      <c r="NOP3424" s="911"/>
      <c r="NOQ3424" s="911"/>
      <c r="NOR3424" s="911"/>
      <c r="NOS3424" s="911"/>
      <c r="NOT3424" s="911"/>
      <c r="NOU3424" s="912"/>
      <c r="NOW3424" s="913" t="s">
        <v>1</v>
      </c>
      <c r="NOX3424" s="31"/>
      <c r="NOY3424" s="909" t="s">
        <v>0</v>
      </c>
      <c r="NOZ3424" s="909"/>
      <c r="NPA3424" s="909"/>
      <c r="NPB3424" s="909"/>
      <c r="NPC3424" s="909"/>
      <c r="NPD3424" s="909"/>
      <c r="NPE3424" s="907" t="s">
        <v>79</v>
      </c>
      <c r="NPF3424" s="909" t="s">
        <v>68</v>
      </c>
      <c r="NPG3424" s="910" t="s">
        <v>75</v>
      </c>
      <c r="NPH3424" s="911"/>
      <c r="NPI3424" s="911"/>
      <c r="NPJ3424" s="911"/>
      <c r="NPK3424" s="911"/>
      <c r="NPL3424" s="911"/>
      <c r="NPM3424" s="911"/>
      <c r="NPN3424" s="911"/>
      <c r="NPO3424" s="911"/>
      <c r="NPP3424" s="911"/>
      <c r="NPQ3424" s="32"/>
      <c r="NPR3424" s="911" t="s">
        <v>74</v>
      </c>
      <c r="NPS3424" s="911"/>
      <c r="NPT3424" s="911"/>
      <c r="NPU3424" s="911"/>
      <c r="NPV3424" s="911"/>
      <c r="NPW3424" s="911"/>
      <c r="NPX3424" s="911"/>
      <c r="NPY3424" s="911"/>
      <c r="NPZ3424" s="911"/>
      <c r="NQA3424" s="912"/>
      <c r="NQC3424" s="913" t="s">
        <v>1</v>
      </c>
      <c r="NQD3424" s="31"/>
      <c r="NQE3424" s="909" t="s">
        <v>0</v>
      </c>
      <c r="NQF3424" s="909"/>
      <c r="NQG3424" s="909"/>
      <c r="NQH3424" s="909"/>
      <c r="NQI3424" s="909"/>
      <c r="NQJ3424" s="909"/>
      <c r="NQK3424" s="907" t="s">
        <v>79</v>
      </c>
      <c r="NQL3424" s="909" t="s">
        <v>68</v>
      </c>
      <c r="NQM3424" s="910" t="s">
        <v>75</v>
      </c>
      <c r="NQN3424" s="911"/>
      <c r="NQO3424" s="911"/>
      <c r="NQP3424" s="911"/>
      <c r="NQQ3424" s="911"/>
      <c r="NQR3424" s="911"/>
      <c r="NQS3424" s="911"/>
      <c r="NQT3424" s="911"/>
      <c r="NQU3424" s="911"/>
      <c r="NQV3424" s="911"/>
      <c r="NQW3424" s="32"/>
      <c r="NQX3424" s="911" t="s">
        <v>74</v>
      </c>
      <c r="NQY3424" s="911"/>
      <c r="NQZ3424" s="911"/>
      <c r="NRA3424" s="911"/>
      <c r="NRB3424" s="911"/>
      <c r="NRC3424" s="911"/>
      <c r="NRD3424" s="911"/>
      <c r="NRE3424" s="911"/>
      <c r="NRF3424" s="911"/>
      <c r="NRG3424" s="912"/>
      <c r="NRI3424" s="913" t="s">
        <v>1</v>
      </c>
      <c r="NRJ3424" s="31"/>
      <c r="NRK3424" s="909" t="s">
        <v>0</v>
      </c>
      <c r="NRL3424" s="909"/>
      <c r="NRM3424" s="909"/>
      <c r="NRN3424" s="909"/>
      <c r="NRO3424" s="909"/>
      <c r="NRP3424" s="909"/>
      <c r="NRQ3424" s="907" t="s">
        <v>79</v>
      </c>
      <c r="NRR3424" s="909" t="s">
        <v>68</v>
      </c>
      <c r="NRS3424" s="910" t="s">
        <v>75</v>
      </c>
      <c r="NRT3424" s="911"/>
      <c r="NRU3424" s="911"/>
      <c r="NRV3424" s="911"/>
      <c r="NRW3424" s="911"/>
      <c r="NRX3424" s="911"/>
      <c r="NRY3424" s="911"/>
      <c r="NRZ3424" s="911"/>
      <c r="NSA3424" s="911"/>
      <c r="NSB3424" s="911"/>
      <c r="NSC3424" s="32"/>
      <c r="NSD3424" s="911" t="s">
        <v>74</v>
      </c>
      <c r="NSE3424" s="911"/>
      <c r="NSF3424" s="911"/>
      <c r="NSG3424" s="911"/>
      <c r="NSH3424" s="911"/>
      <c r="NSI3424" s="911"/>
      <c r="NSJ3424" s="911"/>
      <c r="NSK3424" s="911"/>
      <c r="NSL3424" s="911"/>
      <c r="NSM3424" s="912"/>
      <c r="NSO3424" s="913" t="s">
        <v>1</v>
      </c>
      <c r="NSP3424" s="31"/>
      <c r="NSQ3424" s="909" t="s">
        <v>0</v>
      </c>
      <c r="NSR3424" s="909"/>
      <c r="NSS3424" s="909"/>
      <c r="NST3424" s="909"/>
      <c r="NSU3424" s="909"/>
      <c r="NSV3424" s="909"/>
      <c r="NSW3424" s="907" t="s">
        <v>79</v>
      </c>
      <c r="NSX3424" s="909" t="s">
        <v>68</v>
      </c>
      <c r="NSY3424" s="910" t="s">
        <v>75</v>
      </c>
      <c r="NSZ3424" s="911"/>
      <c r="NTA3424" s="911"/>
      <c r="NTB3424" s="911"/>
      <c r="NTC3424" s="911"/>
      <c r="NTD3424" s="911"/>
      <c r="NTE3424" s="911"/>
      <c r="NTF3424" s="911"/>
      <c r="NTG3424" s="911"/>
      <c r="NTH3424" s="911"/>
      <c r="NTI3424" s="32"/>
      <c r="NTJ3424" s="911" t="s">
        <v>74</v>
      </c>
      <c r="NTK3424" s="911"/>
      <c r="NTL3424" s="911"/>
      <c r="NTM3424" s="911"/>
      <c r="NTN3424" s="911"/>
      <c r="NTO3424" s="911"/>
      <c r="NTP3424" s="911"/>
      <c r="NTQ3424" s="911"/>
      <c r="NTR3424" s="911"/>
      <c r="NTS3424" s="912"/>
      <c r="NTU3424" s="913" t="s">
        <v>1</v>
      </c>
      <c r="NTV3424" s="31"/>
      <c r="NTW3424" s="909" t="s">
        <v>0</v>
      </c>
      <c r="NTX3424" s="909"/>
      <c r="NTY3424" s="909"/>
      <c r="NTZ3424" s="909"/>
      <c r="NUA3424" s="909"/>
      <c r="NUB3424" s="909"/>
      <c r="NUC3424" s="907" t="s">
        <v>79</v>
      </c>
      <c r="NUD3424" s="909" t="s">
        <v>68</v>
      </c>
      <c r="NUE3424" s="910" t="s">
        <v>75</v>
      </c>
      <c r="NUF3424" s="911"/>
      <c r="NUG3424" s="911"/>
      <c r="NUH3424" s="911"/>
      <c r="NUI3424" s="911"/>
      <c r="NUJ3424" s="911"/>
      <c r="NUK3424" s="911"/>
      <c r="NUL3424" s="911"/>
      <c r="NUM3424" s="911"/>
      <c r="NUN3424" s="911"/>
      <c r="NUO3424" s="32"/>
      <c r="NUP3424" s="911" t="s">
        <v>74</v>
      </c>
      <c r="NUQ3424" s="911"/>
      <c r="NUR3424" s="911"/>
      <c r="NUS3424" s="911"/>
      <c r="NUT3424" s="911"/>
      <c r="NUU3424" s="911"/>
      <c r="NUV3424" s="911"/>
      <c r="NUW3424" s="911"/>
      <c r="NUX3424" s="911"/>
      <c r="NUY3424" s="912"/>
      <c r="NVA3424" s="913" t="s">
        <v>1</v>
      </c>
      <c r="NVB3424" s="31"/>
      <c r="NVC3424" s="909" t="s">
        <v>0</v>
      </c>
      <c r="NVD3424" s="909"/>
      <c r="NVE3424" s="909"/>
      <c r="NVF3424" s="909"/>
      <c r="NVG3424" s="909"/>
      <c r="NVH3424" s="909"/>
      <c r="NVI3424" s="907" t="s">
        <v>79</v>
      </c>
      <c r="NVJ3424" s="909" t="s">
        <v>68</v>
      </c>
      <c r="NVK3424" s="910" t="s">
        <v>75</v>
      </c>
      <c r="NVL3424" s="911"/>
      <c r="NVM3424" s="911"/>
      <c r="NVN3424" s="911"/>
      <c r="NVO3424" s="911"/>
      <c r="NVP3424" s="911"/>
      <c r="NVQ3424" s="911"/>
      <c r="NVR3424" s="911"/>
      <c r="NVS3424" s="911"/>
      <c r="NVT3424" s="911"/>
      <c r="NVU3424" s="32"/>
      <c r="NVV3424" s="911" t="s">
        <v>74</v>
      </c>
      <c r="NVW3424" s="911"/>
      <c r="NVX3424" s="911"/>
      <c r="NVY3424" s="911"/>
      <c r="NVZ3424" s="911"/>
      <c r="NWA3424" s="911"/>
      <c r="NWB3424" s="911"/>
      <c r="NWC3424" s="911"/>
      <c r="NWD3424" s="911"/>
      <c r="NWE3424" s="912"/>
      <c r="NWG3424" s="913" t="s">
        <v>1</v>
      </c>
      <c r="NWH3424" s="31"/>
      <c r="NWI3424" s="909" t="s">
        <v>0</v>
      </c>
      <c r="NWJ3424" s="909"/>
      <c r="NWK3424" s="909"/>
      <c r="NWL3424" s="909"/>
      <c r="NWM3424" s="909"/>
      <c r="NWN3424" s="909"/>
      <c r="NWO3424" s="907" t="s">
        <v>79</v>
      </c>
      <c r="NWP3424" s="909" t="s">
        <v>68</v>
      </c>
      <c r="NWQ3424" s="910" t="s">
        <v>75</v>
      </c>
      <c r="NWR3424" s="911"/>
      <c r="NWS3424" s="911"/>
      <c r="NWT3424" s="911"/>
      <c r="NWU3424" s="911"/>
      <c r="NWV3424" s="911"/>
      <c r="NWW3424" s="911"/>
      <c r="NWX3424" s="911"/>
      <c r="NWY3424" s="911"/>
      <c r="NWZ3424" s="911"/>
      <c r="NXA3424" s="32"/>
      <c r="NXB3424" s="911" t="s">
        <v>74</v>
      </c>
      <c r="NXC3424" s="911"/>
      <c r="NXD3424" s="911"/>
      <c r="NXE3424" s="911"/>
      <c r="NXF3424" s="911"/>
      <c r="NXG3424" s="911"/>
      <c r="NXH3424" s="911"/>
      <c r="NXI3424" s="911"/>
      <c r="NXJ3424" s="911"/>
      <c r="NXK3424" s="912"/>
      <c r="NXM3424" s="913" t="s">
        <v>1</v>
      </c>
      <c r="NXN3424" s="31"/>
      <c r="NXO3424" s="909" t="s">
        <v>0</v>
      </c>
      <c r="NXP3424" s="909"/>
      <c r="NXQ3424" s="909"/>
      <c r="NXR3424" s="909"/>
      <c r="NXS3424" s="909"/>
      <c r="NXT3424" s="909"/>
      <c r="NXU3424" s="907" t="s">
        <v>79</v>
      </c>
      <c r="NXV3424" s="909" t="s">
        <v>68</v>
      </c>
      <c r="NXW3424" s="910" t="s">
        <v>75</v>
      </c>
      <c r="NXX3424" s="911"/>
      <c r="NXY3424" s="911"/>
      <c r="NXZ3424" s="911"/>
      <c r="NYA3424" s="911"/>
      <c r="NYB3424" s="911"/>
      <c r="NYC3424" s="911"/>
      <c r="NYD3424" s="911"/>
      <c r="NYE3424" s="911"/>
      <c r="NYF3424" s="911"/>
      <c r="NYG3424" s="32"/>
      <c r="NYH3424" s="911" t="s">
        <v>74</v>
      </c>
      <c r="NYI3424" s="911"/>
      <c r="NYJ3424" s="911"/>
      <c r="NYK3424" s="911"/>
      <c r="NYL3424" s="911"/>
      <c r="NYM3424" s="911"/>
      <c r="NYN3424" s="911"/>
      <c r="NYO3424" s="911"/>
      <c r="NYP3424" s="911"/>
      <c r="NYQ3424" s="912"/>
      <c r="NYS3424" s="913" t="s">
        <v>1</v>
      </c>
      <c r="NYT3424" s="31"/>
      <c r="NYU3424" s="909" t="s">
        <v>0</v>
      </c>
      <c r="NYV3424" s="909"/>
      <c r="NYW3424" s="909"/>
      <c r="NYX3424" s="909"/>
      <c r="NYY3424" s="909"/>
      <c r="NYZ3424" s="909"/>
      <c r="NZA3424" s="907" t="s">
        <v>79</v>
      </c>
      <c r="NZB3424" s="909" t="s">
        <v>68</v>
      </c>
      <c r="NZC3424" s="910" t="s">
        <v>75</v>
      </c>
      <c r="NZD3424" s="911"/>
      <c r="NZE3424" s="911"/>
      <c r="NZF3424" s="911"/>
      <c r="NZG3424" s="911"/>
      <c r="NZH3424" s="911"/>
      <c r="NZI3424" s="911"/>
      <c r="NZJ3424" s="911"/>
      <c r="NZK3424" s="911"/>
      <c r="NZL3424" s="911"/>
      <c r="NZM3424" s="32"/>
      <c r="NZN3424" s="911" t="s">
        <v>74</v>
      </c>
      <c r="NZO3424" s="911"/>
      <c r="NZP3424" s="911"/>
      <c r="NZQ3424" s="911"/>
      <c r="NZR3424" s="911"/>
      <c r="NZS3424" s="911"/>
      <c r="NZT3424" s="911"/>
      <c r="NZU3424" s="911"/>
      <c r="NZV3424" s="911"/>
      <c r="NZW3424" s="912"/>
      <c r="NZY3424" s="913" t="s">
        <v>1</v>
      </c>
      <c r="NZZ3424" s="31"/>
      <c r="OAA3424" s="909" t="s">
        <v>0</v>
      </c>
      <c r="OAB3424" s="909"/>
      <c r="OAC3424" s="909"/>
      <c r="OAD3424" s="909"/>
      <c r="OAE3424" s="909"/>
      <c r="OAF3424" s="909"/>
      <c r="OAG3424" s="907" t="s">
        <v>79</v>
      </c>
      <c r="OAH3424" s="909" t="s">
        <v>68</v>
      </c>
      <c r="OAI3424" s="910" t="s">
        <v>75</v>
      </c>
      <c r="OAJ3424" s="911"/>
      <c r="OAK3424" s="911"/>
      <c r="OAL3424" s="911"/>
      <c r="OAM3424" s="911"/>
      <c r="OAN3424" s="911"/>
      <c r="OAO3424" s="911"/>
      <c r="OAP3424" s="911"/>
      <c r="OAQ3424" s="911"/>
      <c r="OAR3424" s="911"/>
      <c r="OAS3424" s="32"/>
      <c r="OAT3424" s="911" t="s">
        <v>74</v>
      </c>
      <c r="OAU3424" s="911"/>
      <c r="OAV3424" s="911"/>
      <c r="OAW3424" s="911"/>
      <c r="OAX3424" s="911"/>
      <c r="OAY3424" s="911"/>
      <c r="OAZ3424" s="911"/>
      <c r="OBA3424" s="911"/>
      <c r="OBB3424" s="911"/>
      <c r="OBC3424" s="912"/>
      <c r="OBE3424" s="913" t="s">
        <v>1</v>
      </c>
      <c r="OBF3424" s="31"/>
      <c r="OBG3424" s="909" t="s">
        <v>0</v>
      </c>
      <c r="OBH3424" s="909"/>
      <c r="OBI3424" s="909"/>
      <c r="OBJ3424" s="909"/>
      <c r="OBK3424" s="909"/>
      <c r="OBL3424" s="909"/>
      <c r="OBM3424" s="907" t="s">
        <v>79</v>
      </c>
      <c r="OBN3424" s="909" t="s">
        <v>68</v>
      </c>
      <c r="OBO3424" s="910" t="s">
        <v>75</v>
      </c>
      <c r="OBP3424" s="911"/>
      <c r="OBQ3424" s="911"/>
      <c r="OBR3424" s="911"/>
      <c r="OBS3424" s="911"/>
      <c r="OBT3424" s="911"/>
      <c r="OBU3424" s="911"/>
      <c r="OBV3424" s="911"/>
      <c r="OBW3424" s="911"/>
      <c r="OBX3424" s="911"/>
      <c r="OBY3424" s="32"/>
      <c r="OBZ3424" s="911" t="s">
        <v>74</v>
      </c>
      <c r="OCA3424" s="911"/>
      <c r="OCB3424" s="911"/>
      <c r="OCC3424" s="911"/>
      <c r="OCD3424" s="911"/>
      <c r="OCE3424" s="911"/>
      <c r="OCF3424" s="911"/>
      <c r="OCG3424" s="911"/>
      <c r="OCH3424" s="911"/>
      <c r="OCI3424" s="912"/>
      <c r="OCK3424" s="913" t="s">
        <v>1</v>
      </c>
      <c r="OCL3424" s="31"/>
      <c r="OCM3424" s="909" t="s">
        <v>0</v>
      </c>
      <c r="OCN3424" s="909"/>
      <c r="OCO3424" s="909"/>
      <c r="OCP3424" s="909"/>
      <c r="OCQ3424" s="909"/>
      <c r="OCR3424" s="909"/>
      <c r="OCS3424" s="907" t="s">
        <v>79</v>
      </c>
      <c r="OCT3424" s="909" t="s">
        <v>68</v>
      </c>
      <c r="OCU3424" s="910" t="s">
        <v>75</v>
      </c>
      <c r="OCV3424" s="911"/>
      <c r="OCW3424" s="911"/>
      <c r="OCX3424" s="911"/>
      <c r="OCY3424" s="911"/>
      <c r="OCZ3424" s="911"/>
      <c r="ODA3424" s="911"/>
      <c r="ODB3424" s="911"/>
      <c r="ODC3424" s="911"/>
      <c r="ODD3424" s="911"/>
      <c r="ODE3424" s="32"/>
      <c r="ODF3424" s="911" t="s">
        <v>74</v>
      </c>
      <c r="ODG3424" s="911"/>
      <c r="ODH3424" s="911"/>
      <c r="ODI3424" s="911"/>
      <c r="ODJ3424" s="911"/>
      <c r="ODK3424" s="911"/>
      <c r="ODL3424" s="911"/>
      <c r="ODM3424" s="911"/>
      <c r="ODN3424" s="911"/>
      <c r="ODO3424" s="912"/>
      <c r="ODQ3424" s="913" t="s">
        <v>1</v>
      </c>
      <c r="ODR3424" s="31"/>
      <c r="ODS3424" s="909" t="s">
        <v>0</v>
      </c>
      <c r="ODT3424" s="909"/>
      <c r="ODU3424" s="909"/>
      <c r="ODV3424" s="909"/>
      <c r="ODW3424" s="909"/>
      <c r="ODX3424" s="909"/>
      <c r="ODY3424" s="907" t="s">
        <v>79</v>
      </c>
      <c r="ODZ3424" s="909" t="s">
        <v>68</v>
      </c>
      <c r="OEA3424" s="910" t="s">
        <v>75</v>
      </c>
      <c r="OEB3424" s="911"/>
      <c r="OEC3424" s="911"/>
      <c r="OED3424" s="911"/>
      <c r="OEE3424" s="911"/>
      <c r="OEF3424" s="911"/>
      <c r="OEG3424" s="911"/>
      <c r="OEH3424" s="911"/>
      <c r="OEI3424" s="911"/>
      <c r="OEJ3424" s="911"/>
      <c r="OEK3424" s="32"/>
      <c r="OEL3424" s="911" t="s">
        <v>74</v>
      </c>
      <c r="OEM3424" s="911"/>
      <c r="OEN3424" s="911"/>
      <c r="OEO3424" s="911"/>
      <c r="OEP3424" s="911"/>
      <c r="OEQ3424" s="911"/>
      <c r="OER3424" s="911"/>
      <c r="OES3424" s="911"/>
      <c r="OET3424" s="911"/>
      <c r="OEU3424" s="912"/>
      <c r="OEW3424" s="913" t="s">
        <v>1</v>
      </c>
      <c r="OEX3424" s="31"/>
      <c r="OEY3424" s="909" t="s">
        <v>0</v>
      </c>
      <c r="OEZ3424" s="909"/>
      <c r="OFA3424" s="909"/>
      <c r="OFB3424" s="909"/>
      <c r="OFC3424" s="909"/>
      <c r="OFD3424" s="909"/>
      <c r="OFE3424" s="907" t="s">
        <v>79</v>
      </c>
      <c r="OFF3424" s="909" t="s">
        <v>68</v>
      </c>
      <c r="OFG3424" s="910" t="s">
        <v>75</v>
      </c>
      <c r="OFH3424" s="911"/>
      <c r="OFI3424" s="911"/>
      <c r="OFJ3424" s="911"/>
      <c r="OFK3424" s="911"/>
      <c r="OFL3424" s="911"/>
      <c r="OFM3424" s="911"/>
      <c r="OFN3424" s="911"/>
      <c r="OFO3424" s="911"/>
      <c r="OFP3424" s="911"/>
      <c r="OFQ3424" s="32"/>
      <c r="OFR3424" s="911" t="s">
        <v>74</v>
      </c>
      <c r="OFS3424" s="911"/>
      <c r="OFT3424" s="911"/>
      <c r="OFU3424" s="911"/>
      <c r="OFV3424" s="911"/>
      <c r="OFW3424" s="911"/>
      <c r="OFX3424" s="911"/>
      <c r="OFY3424" s="911"/>
      <c r="OFZ3424" s="911"/>
      <c r="OGA3424" s="912"/>
      <c r="OGC3424" s="913" t="s">
        <v>1</v>
      </c>
      <c r="OGD3424" s="31"/>
      <c r="OGE3424" s="909" t="s">
        <v>0</v>
      </c>
      <c r="OGF3424" s="909"/>
      <c r="OGG3424" s="909"/>
      <c r="OGH3424" s="909"/>
      <c r="OGI3424" s="909"/>
      <c r="OGJ3424" s="909"/>
      <c r="OGK3424" s="907" t="s">
        <v>79</v>
      </c>
      <c r="OGL3424" s="909" t="s">
        <v>68</v>
      </c>
      <c r="OGM3424" s="910" t="s">
        <v>75</v>
      </c>
      <c r="OGN3424" s="911"/>
      <c r="OGO3424" s="911"/>
      <c r="OGP3424" s="911"/>
      <c r="OGQ3424" s="911"/>
      <c r="OGR3424" s="911"/>
      <c r="OGS3424" s="911"/>
      <c r="OGT3424" s="911"/>
      <c r="OGU3424" s="911"/>
      <c r="OGV3424" s="911"/>
      <c r="OGW3424" s="32"/>
      <c r="OGX3424" s="911" t="s">
        <v>74</v>
      </c>
      <c r="OGY3424" s="911"/>
      <c r="OGZ3424" s="911"/>
      <c r="OHA3424" s="911"/>
      <c r="OHB3424" s="911"/>
      <c r="OHC3424" s="911"/>
      <c r="OHD3424" s="911"/>
      <c r="OHE3424" s="911"/>
      <c r="OHF3424" s="911"/>
      <c r="OHG3424" s="912"/>
      <c r="OHI3424" s="913" t="s">
        <v>1</v>
      </c>
      <c r="OHJ3424" s="31"/>
      <c r="OHK3424" s="909" t="s">
        <v>0</v>
      </c>
      <c r="OHL3424" s="909"/>
      <c r="OHM3424" s="909"/>
      <c r="OHN3424" s="909"/>
      <c r="OHO3424" s="909"/>
      <c r="OHP3424" s="909"/>
      <c r="OHQ3424" s="907" t="s">
        <v>79</v>
      </c>
      <c r="OHR3424" s="909" t="s">
        <v>68</v>
      </c>
      <c r="OHS3424" s="910" t="s">
        <v>75</v>
      </c>
      <c r="OHT3424" s="911"/>
      <c r="OHU3424" s="911"/>
      <c r="OHV3424" s="911"/>
      <c r="OHW3424" s="911"/>
      <c r="OHX3424" s="911"/>
      <c r="OHY3424" s="911"/>
      <c r="OHZ3424" s="911"/>
      <c r="OIA3424" s="911"/>
      <c r="OIB3424" s="911"/>
      <c r="OIC3424" s="32"/>
      <c r="OID3424" s="911" t="s">
        <v>74</v>
      </c>
      <c r="OIE3424" s="911"/>
      <c r="OIF3424" s="911"/>
      <c r="OIG3424" s="911"/>
      <c r="OIH3424" s="911"/>
      <c r="OII3424" s="911"/>
      <c r="OIJ3424" s="911"/>
      <c r="OIK3424" s="911"/>
      <c r="OIL3424" s="911"/>
      <c r="OIM3424" s="912"/>
      <c r="OIO3424" s="913" t="s">
        <v>1</v>
      </c>
      <c r="OIP3424" s="31"/>
      <c r="OIQ3424" s="909" t="s">
        <v>0</v>
      </c>
      <c r="OIR3424" s="909"/>
      <c r="OIS3424" s="909"/>
      <c r="OIT3424" s="909"/>
      <c r="OIU3424" s="909"/>
      <c r="OIV3424" s="909"/>
      <c r="OIW3424" s="907" t="s">
        <v>79</v>
      </c>
      <c r="OIX3424" s="909" t="s">
        <v>68</v>
      </c>
      <c r="OIY3424" s="910" t="s">
        <v>75</v>
      </c>
      <c r="OIZ3424" s="911"/>
      <c r="OJA3424" s="911"/>
      <c r="OJB3424" s="911"/>
      <c r="OJC3424" s="911"/>
      <c r="OJD3424" s="911"/>
      <c r="OJE3424" s="911"/>
      <c r="OJF3424" s="911"/>
      <c r="OJG3424" s="911"/>
      <c r="OJH3424" s="911"/>
      <c r="OJI3424" s="32"/>
      <c r="OJJ3424" s="911" t="s">
        <v>74</v>
      </c>
      <c r="OJK3424" s="911"/>
      <c r="OJL3424" s="911"/>
      <c r="OJM3424" s="911"/>
      <c r="OJN3424" s="911"/>
      <c r="OJO3424" s="911"/>
      <c r="OJP3424" s="911"/>
      <c r="OJQ3424" s="911"/>
      <c r="OJR3424" s="911"/>
      <c r="OJS3424" s="912"/>
      <c r="OJU3424" s="913" t="s">
        <v>1</v>
      </c>
      <c r="OJV3424" s="31"/>
      <c r="OJW3424" s="909" t="s">
        <v>0</v>
      </c>
      <c r="OJX3424" s="909"/>
      <c r="OJY3424" s="909"/>
      <c r="OJZ3424" s="909"/>
      <c r="OKA3424" s="909"/>
      <c r="OKB3424" s="909"/>
      <c r="OKC3424" s="907" t="s">
        <v>79</v>
      </c>
      <c r="OKD3424" s="909" t="s">
        <v>68</v>
      </c>
      <c r="OKE3424" s="910" t="s">
        <v>75</v>
      </c>
      <c r="OKF3424" s="911"/>
      <c r="OKG3424" s="911"/>
      <c r="OKH3424" s="911"/>
      <c r="OKI3424" s="911"/>
      <c r="OKJ3424" s="911"/>
      <c r="OKK3424" s="911"/>
      <c r="OKL3424" s="911"/>
      <c r="OKM3424" s="911"/>
      <c r="OKN3424" s="911"/>
      <c r="OKO3424" s="32"/>
      <c r="OKP3424" s="911" t="s">
        <v>74</v>
      </c>
      <c r="OKQ3424" s="911"/>
      <c r="OKR3424" s="911"/>
      <c r="OKS3424" s="911"/>
      <c r="OKT3424" s="911"/>
      <c r="OKU3424" s="911"/>
      <c r="OKV3424" s="911"/>
      <c r="OKW3424" s="911"/>
      <c r="OKX3424" s="911"/>
      <c r="OKY3424" s="912"/>
      <c r="OLA3424" s="913" t="s">
        <v>1</v>
      </c>
      <c r="OLB3424" s="31"/>
      <c r="OLC3424" s="909" t="s">
        <v>0</v>
      </c>
      <c r="OLD3424" s="909"/>
      <c r="OLE3424" s="909"/>
      <c r="OLF3424" s="909"/>
      <c r="OLG3424" s="909"/>
      <c r="OLH3424" s="909"/>
      <c r="OLI3424" s="907" t="s">
        <v>79</v>
      </c>
      <c r="OLJ3424" s="909" t="s">
        <v>68</v>
      </c>
      <c r="OLK3424" s="910" t="s">
        <v>75</v>
      </c>
      <c r="OLL3424" s="911"/>
      <c r="OLM3424" s="911"/>
      <c r="OLN3424" s="911"/>
      <c r="OLO3424" s="911"/>
      <c r="OLP3424" s="911"/>
      <c r="OLQ3424" s="911"/>
      <c r="OLR3424" s="911"/>
      <c r="OLS3424" s="911"/>
      <c r="OLT3424" s="911"/>
      <c r="OLU3424" s="32"/>
      <c r="OLV3424" s="911" t="s">
        <v>74</v>
      </c>
      <c r="OLW3424" s="911"/>
      <c r="OLX3424" s="911"/>
      <c r="OLY3424" s="911"/>
      <c r="OLZ3424" s="911"/>
      <c r="OMA3424" s="911"/>
      <c r="OMB3424" s="911"/>
      <c r="OMC3424" s="911"/>
      <c r="OMD3424" s="911"/>
      <c r="OME3424" s="912"/>
      <c r="OMG3424" s="913" t="s">
        <v>1</v>
      </c>
      <c r="OMH3424" s="31"/>
      <c r="OMI3424" s="909" t="s">
        <v>0</v>
      </c>
      <c r="OMJ3424" s="909"/>
      <c r="OMK3424" s="909"/>
      <c r="OML3424" s="909"/>
      <c r="OMM3424" s="909"/>
      <c r="OMN3424" s="909"/>
      <c r="OMO3424" s="907" t="s">
        <v>79</v>
      </c>
      <c r="OMP3424" s="909" t="s">
        <v>68</v>
      </c>
      <c r="OMQ3424" s="910" t="s">
        <v>75</v>
      </c>
      <c r="OMR3424" s="911"/>
      <c r="OMS3424" s="911"/>
      <c r="OMT3424" s="911"/>
      <c r="OMU3424" s="911"/>
      <c r="OMV3424" s="911"/>
      <c r="OMW3424" s="911"/>
      <c r="OMX3424" s="911"/>
      <c r="OMY3424" s="911"/>
      <c r="OMZ3424" s="911"/>
      <c r="ONA3424" s="32"/>
      <c r="ONB3424" s="911" t="s">
        <v>74</v>
      </c>
      <c r="ONC3424" s="911"/>
      <c r="OND3424" s="911"/>
      <c r="ONE3424" s="911"/>
      <c r="ONF3424" s="911"/>
      <c r="ONG3424" s="911"/>
      <c r="ONH3424" s="911"/>
      <c r="ONI3424" s="911"/>
      <c r="ONJ3424" s="911"/>
      <c r="ONK3424" s="912"/>
      <c r="ONM3424" s="913" t="s">
        <v>1</v>
      </c>
      <c r="ONN3424" s="31"/>
      <c r="ONO3424" s="909" t="s">
        <v>0</v>
      </c>
      <c r="ONP3424" s="909"/>
      <c r="ONQ3424" s="909"/>
      <c r="ONR3424" s="909"/>
      <c r="ONS3424" s="909"/>
      <c r="ONT3424" s="909"/>
      <c r="ONU3424" s="907" t="s">
        <v>79</v>
      </c>
      <c r="ONV3424" s="909" t="s">
        <v>68</v>
      </c>
      <c r="ONW3424" s="910" t="s">
        <v>75</v>
      </c>
      <c r="ONX3424" s="911"/>
      <c r="ONY3424" s="911"/>
      <c r="ONZ3424" s="911"/>
      <c r="OOA3424" s="911"/>
      <c r="OOB3424" s="911"/>
      <c r="OOC3424" s="911"/>
      <c r="OOD3424" s="911"/>
      <c r="OOE3424" s="911"/>
      <c r="OOF3424" s="911"/>
      <c r="OOG3424" s="32"/>
      <c r="OOH3424" s="911" t="s">
        <v>74</v>
      </c>
      <c r="OOI3424" s="911"/>
      <c r="OOJ3424" s="911"/>
      <c r="OOK3424" s="911"/>
      <c r="OOL3424" s="911"/>
      <c r="OOM3424" s="911"/>
      <c r="OON3424" s="911"/>
      <c r="OOO3424" s="911"/>
      <c r="OOP3424" s="911"/>
      <c r="OOQ3424" s="912"/>
      <c r="OOS3424" s="913" t="s">
        <v>1</v>
      </c>
      <c r="OOT3424" s="31"/>
      <c r="OOU3424" s="909" t="s">
        <v>0</v>
      </c>
      <c r="OOV3424" s="909"/>
      <c r="OOW3424" s="909"/>
      <c r="OOX3424" s="909"/>
      <c r="OOY3424" s="909"/>
      <c r="OOZ3424" s="909"/>
      <c r="OPA3424" s="907" t="s">
        <v>79</v>
      </c>
      <c r="OPB3424" s="909" t="s">
        <v>68</v>
      </c>
      <c r="OPC3424" s="910" t="s">
        <v>75</v>
      </c>
      <c r="OPD3424" s="911"/>
      <c r="OPE3424" s="911"/>
      <c r="OPF3424" s="911"/>
      <c r="OPG3424" s="911"/>
      <c r="OPH3424" s="911"/>
      <c r="OPI3424" s="911"/>
      <c r="OPJ3424" s="911"/>
      <c r="OPK3424" s="911"/>
      <c r="OPL3424" s="911"/>
      <c r="OPM3424" s="32"/>
      <c r="OPN3424" s="911" t="s">
        <v>74</v>
      </c>
      <c r="OPO3424" s="911"/>
      <c r="OPP3424" s="911"/>
      <c r="OPQ3424" s="911"/>
      <c r="OPR3424" s="911"/>
      <c r="OPS3424" s="911"/>
      <c r="OPT3424" s="911"/>
      <c r="OPU3424" s="911"/>
      <c r="OPV3424" s="911"/>
      <c r="OPW3424" s="912"/>
      <c r="OPY3424" s="913" t="s">
        <v>1</v>
      </c>
      <c r="OPZ3424" s="31"/>
      <c r="OQA3424" s="909" t="s">
        <v>0</v>
      </c>
      <c r="OQB3424" s="909"/>
      <c r="OQC3424" s="909"/>
      <c r="OQD3424" s="909"/>
      <c r="OQE3424" s="909"/>
      <c r="OQF3424" s="909"/>
      <c r="OQG3424" s="907" t="s">
        <v>79</v>
      </c>
      <c r="OQH3424" s="909" t="s">
        <v>68</v>
      </c>
      <c r="OQI3424" s="910" t="s">
        <v>75</v>
      </c>
      <c r="OQJ3424" s="911"/>
      <c r="OQK3424" s="911"/>
      <c r="OQL3424" s="911"/>
      <c r="OQM3424" s="911"/>
      <c r="OQN3424" s="911"/>
      <c r="OQO3424" s="911"/>
      <c r="OQP3424" s="911"/>
      <c r="OQQ3424" s="911"/>
      <c r="OQR3424" s="911"/>
      <c r="OQS3424" s="32"/>
      <c r="OQT3424" s="911" t="s">
        <v>74</v>
      </c>
      <c r="OQU3424" s="911"/>
      <c r="OQV3424" s="911"/>
      <c r="OQW3424" s="911"/>
      <c r="OQX3424" s="911"/>
      <c r="OQY3424" s="911"/>
      <c r="OQZ3424" s="911"/>
      <c r="ORA3424" s="911"/>
      <c r="ORB3424" s="911"/>
      <c r="ORC3424" s="912"/>
      <c r="ORE3424" s="913" t="s">
        <v>1</v>
      </c>
      <c r="ORF3424" s="31"/>
      <c r="ORG3424" s="909" t="s">
        <v>0</v>
      </c>
      <c r="ORH3424" s="909"/>
      <c r="ORI3424" s="909"/>
      <c r="ORJ3424" s="909"/>
      <c r="ORK3424" s="909"/>
      <c r="ORL3424" s="909"/>
      <c r="ORM3424" s="907" t="s">
        <v>79</v>
      </c>
      <c r="ORN3424" s="909" t="s">
        <v>68</v>
      </c>
      <c r="ORO3424" s="910" t="s">
        <v>75</v>
      </c>
      <c r="ORP3424" s="911"/>
      <c r="ORQ3424" s="911"/>
      <c r="ORR3424" s="911"/>
      <c r="ORS3424" s="911"/>
      <c r="ORT3424" s="911"/>
      <c r="ORU3424" s="911"/>
      <c r="ORV3424" s="911"/>
      <c r="ORW3424" s="911"/>
      <c r="ORX3424" s="911"/>
      <c r="ORY3424" s="32"/>
      <c r="ORZ3424" s="911" t="s">
        <v>74</v>
      </c>
      <c r="OSA3424" s="911"/>
      <c r="OSB3424" s="911"/>
      <c r="OSC3424" s="911"/>
      <c r="OSD3424" s="911"/>
      <c r="OSE3424" s="911"/>
      <c r="OSF3424" s="911"/>
      <c r="OSG3424" s="911"/>
      <c r="OSH3424" s="911"/>
      <c r="OSI3424" s="912"/>
      <c r="OSK3424" s="913" t="s">
        <v>1</v>
      </c>
      <c r="OSL3424" s="31"/>
      <c r="OSM3424" s="909" t="s">
        <v>0</v>
      </c>
      <c r="OSN3424" s="909"/>
      <c r="OSO3424" s="909"/>
      <c r="OSP3424" s="909"/>
      <c r="OSQ3424" s="909"/>
      <c r="OSR3424" s="909"/>
      <c r="OSS3424" s="907" t="s">
        <v>79</v>
      </c>
      <c r="OST3424" s="909" t="s">
        <v>68</v>
      </c>
      <c r="OSU3424" s="910" t="s">
        <v>75</v>
      </c>
      <c r="OSV3424" s="911"/>
      <c r="OSW3424" s="911"/>
      <c r="OSX3424" s="911"/>
      <c r="OSY3424" s="911"/>
      <c r="OSZ3424" s="911"/>
      <c r="OTA3424" s="911"/>
      <c r="OTB3424" s="911"/>
      <c r="OTC3424" s="911"/>
      <c r="OTD3424" s="911"/>
      <c r="OTE3424" s="32"/>
      <c r="OTF3424" s="911" t="s">
        <v>74</v>
      </c>
      <c r="OTG3424" s="911"/>
      <c r="OTH3424" s="911"/>
      <c r="OTI3424" s="911"/>
      <c r="OTJ3424" s="911"/>
      <c r="OTK3424" s="911"/>
      <c r="OTL3424" s="911"/>
      <c r="OTM3424" s="911"/>
      <c r="OTN3424" s="911"/>
      <c r="OTO3424" s="912"/>
      <c r="OTQ3424" s="913" t="s">
        <v>1</v>
      </c>
      <c r="OTR3424" s="31"/>
      <c r="OTS3424" s="909" t="s">
        <v>0</v>
      </c>
      <c r="OTT3424" s="909"/>
      <c r="OTU3424" s="909"/>
      <c r="OTV3424" s="909"/>
      <c r="OTW3424" s="909"/>
      <c r="OTX3424" s="909"/>
      <c r="OTY3424" s="907" t="s">
        <v>79</v>
      </c>
      <c r="OTZ3424" s="909" t="s">
        <v>68</v>
      </c>
      <c r="OUA3424" s="910" t="s">
        <v>75</v>
      </c>
      <c r="OUB3424" s="911"/>
      <c r="OUC3424" s="911"/>
      <c r="OUD3424" s="911"/>
      <c r="OUE3424" s="911"/>
      <c r="OUF3424" s="911"/>
      <c r="OUG3424" s="911"/>
      <c r="OUH3424" s="911"/>
      <c r="OUI3424" s="911"/>
      <c r="OUJ3424" s="911"/>
      <c r="OUK3424" s="32"/>
      <c r="OUL3424" s="911" t="s">
        <v>74</v>
      </c>
      <c r="OUM3424" s="911"/>
      <c r="OUN3424" s="911"/>
      <c r="OUO3424" s="911"/>
      <c r="OUP3424" s="911"/>
      <c r="OUQ3424" s="911"/>
      <c r="OUR3424" s="911"/>
      <c r="OUS3424" s="911"/>
      <c r="OUT3424" s="911"/>
      <c r="OUU3424" s="912"/>
      <c r="OUW3424" s="913" t="s">
        <v>1</v>
      </c>
      <c r="OUX3424" s="31"/>
      <c r="OUY3424" s="909" t="s">
        <v>0</v>
      </c>
      <c r="OUZ3424" s="909"/>
      <c r="OVA3424" s="909"/>
      <c r="OVB3424" s="909"/>
      <c r="OVC3424" s="909"/>
      <c r="OVD3424" s="909"/>
      <c r="OVE3424" s="907" t="s">
        <v>79</v>
      </c>
      <c r="OVF3424" s="909" t="s">
        <v>68</v>
      </c>
      <c r="OVG3424" s="910" t="s">
        <v>75</v>
      </c>
      <c r="OVH3424" s="911"/>
      <c r="OVI3424" s="911"/>
      <c r="OVJ3424" s="911"/>
      <c r="OVK3424" s="911"/>
      <c r="OVL3424" s="911"/>
      <c r="OVM3424" s="911"/>
      <c r="OVN3424" s="911"/>
      <c r="OVO3424" s="911"/>
      <c r="OVP3424" s="911"/>
      <c r="OVQ3424" s="32"/>
      <c r="OVR3424" s="911" t="s">
        <v>74</v>
      </c>
      <c r="OVS3424" s="911"/>
      <c r="OVT3424" s="911"/>
      <c r="OVU3424" s="911"/>
      <c r="OVV3424" s="911"/>
      <c r="OVW3424" s="911"/>
      <c r="OVX3424" s="911"/>
      <c r="OVY3424" s="911"/>
      <c r="OVZ3424" s="911"/>
      <c r="OWA3424" s="912"/>
      <c r="OWC3424" s="913" t="s">
        <v>1</v>
      </c>
      <c r="OWD3424" s="31"/>
      <c r="OWE3424" s="909" t="s">
        <v>0</v>
      </c>
      <c r="OWF3424" s="909"/>
      <c r="OWG3424" s="909"/>
      <c r="OWH3424" s="909"/>
      <c r="OWI3424" s="909"/>
      <c r="OWJ3424" s="909"/>
      <c r="OWK3424" s="907" t="s">
        <v>79</v>
      </c>
      <c r="OWL3424" s="909" t="s">
        <v>68</v>
      </c>
      <c r="OWM3424" s="910" t="s">
        <v>75</v>
      </c>
      <c r="OWN3424" s="911"/>
      <c r="OWO3424" s="911"/>
      <c r="OWP3424" s="911"/>
      <c r="OWQ3424" s="911"/>
      <c r="OWR3424" s="911"/>
      <c r="OWS3424" s="911"/>
      <c r="OWT3424" s="911"/>
      <c r="OWU3424" s="911"/>
      <c r="OWV3424" s="911"/>
      <c r="OWW3424" s="32"/>
      <c r="OWX3424" s="911" t="s">
        <v>74</v>
      </c>
      <c r="OWY3424" s="911"/>
      <c r="OWZ3424" s="911"/>
      <c r="OXA3424" s="911"/>
      <c r="OXB3424" s="911"/>
      <c r="OXC3424" s="911"/>
      <c r="OXD3424" s="911"/>
      <c r="OXE3424" s="911"/>
      <c r="OXF3424" s="911"/>
      <c r="OXG3424" s="912"/>
      <c r="OXI3424" s="913" t="s">
        <v>1</v>
      </c>
      <c r="OXJ3424" s="31"/>
      <c r="OXK3424" s="909" t="s">
        <v>0</v>
      </c>
      <c r="OXL3424" s="909"/>
      <c r="OXM3424" s="909"/>
      <c r="OXN3424" s="909"/>
      <c r="OXO3424" s="909"/>
      <c r="OXP3424" s="909"/>
      <c r="OXQ3424" s="907" t="s">
        <v>79</v>
      </c>
      <c r="OXR3424" s="909" t="s">
        <v>68</v>
      </c>
      <c r="OXS3424" s="910" t="s">
        <v>75</v>
      </c>
      <c r="OXT3424" s="911"/>
      <c r="OXU3424" s="911"/>
      <c r="OXV3424" s="911"/>
      <c r="OXW3424" s="911"/>
      <c r="OXX3424" s="911"/>
      <c r="OXY3424" s="911"/>
      <c r="OXZ3424" s="911"/>
      <c r="OYA3424" s="911"/>
      <c r="OYB3424" s="911"/>
      <c r="OYC3424" s="32"/>
      <c r="OYD3424" s="911" t="s">
        <v>74</v>
      </c>
      <c r="OYE3424" s="911"/>
      <c r="OYF3424" s="911"/>
      <c r="OYG3424" s="911"/>
      <c r="OYH3424" s="911"/>
      <c r="OYI3424" s="911"/>
      <c r="OYJ3424" s="911"/>
      <c r="OYK3424" s="911"/>
      <c r="OYL3424" s="911"/>
      <c r="OYM3424" s="912"/>
      <c r="OYO3424" s="913" t="s">
        <v>1</v>
      </c>
      <c r="OYP3424" s="31"/>
      <c r="OYQ3424" s="909" t="s">
        <v>0</v>
      </c>
      <c r="OYR3424" s="909"/>
      <c r="OYS3424" s="909"/>
      <c r="OYT3424" s="909"/>
      <c r="OYU3424" s="909"/>
      <c r="OYV3424" s="909"/>
      <c r="OYW3424" s="907" t="s">
        <v>79</v>
      </c>
      <c r="OYX3424" s="909" t="s">
        <v>68</v>
      </c>
      <c r="OYY3424" s="910" t="s">
        <v>75</v>
      </c>
      <c r="OYZ3424" s="911"/>
      <c r="OZA3424" s="911"/>
      <c r="OZB3424" s="911"/>
      <c r="OZC3424" s="911"/>
      <c r="OZD3424" s="911"/>
      <c r="OZE3424" s="911"/>
      <c r="OZF3424" s="911"/>
      <c r="OZG3424" s="911"/>
      <c r="OZH3424" s="911"/>
      <c r="OZI3424" s="32"/>
      <c r="OZJ3424" s="911" t="s">
        <v>74</v>
      </c>
      <c r="OZK3424" s="911"/>
      <c r="OZL3424" s="911"/>
      <c r="OZM3424" s="911"/>
      <c r="OZN3424" s="911"/>
      <c r="OZO3424" s="911"/>
      <c r="OZP3424" s="911"/>
      <c r="OZQ3424" s="911"/>
      <c r="OZR3424" s="911"/>
      <c r="OZS3424" s="912"/>
      <c r="OZU3424" s="913" t="s">
        <v>1</v>
      </c>
      <c r="OZV3424" s="31"/>
      <c r="OZW3424" s="909" t="s">
        <v>0</v>
      </c>
      <c r="OZX3424" s="909"/>
      <c r="OZY3424" s="909"/>
      <c r="OZZ3424" s="909"/>
      <c r="PAA3424" s="909"/>
      <c r="PAB3424" s="909"/>
      <c r="PAC3424" s="907" t="s">
        <v>79</v>
      </c>
      <c r="PAD3424" s="909" t="s">
        <v>68</v>
      </c>
      <c r="PAE3424" s="910" t="s">
        <v>75</v>
      </c>
      <c r="PAF3424" s="911"/>
      <c r="PAG3424" s="911"/>
      <c r="PAH3424" s="911"/>
      <c r="PAI3424" s="911"/>
      <c r="PAJ3424" s="911"/>
      <c r="PAK3424" s="911"/>
      <c r="PAL3424" s="911"/>
      <c r="PAM3424" s="911"/>
      <c r="PAN3424" s="911"/>
      <c r="PAO3424" s="32"/>
      <c r="PAP3424" s="911" t="s">
        <v>74</v>
      </c>
      <c r="PAQ3424" s="911"/>
      <c r="PAR3424" s="911"/>
      <c r="PAS3424" s="911"/>
      <c r="PAT3424" s="911"/>
      <c r="PAU3424" s="911"/>
      <c r="PAV3424" s="911"/>
      <c r="PAW3424" s="911"/>
      <c r="PAX3424" s="911"/>
      <c r="PAY3424" s="912"/>
      <c r="PBA3424" s="913" t="s">
        <v>1</v>
      </c>
      <c r="PBB3424" s="31"/>
      <c r="PBC3424" s="909" t="s">
        <v>0</v>
      </c>
      <c r="PBD3424" s="909"/>
      <c r="PBE3424" s="909"/>
      <c r="PBF3424" s="909"/>
      <c r="PBG3424" s="909"/>
      <c r="PBH3424" s="909"/>
      <c r="PBI3424" s="907" t="s">
        <v>79</v>
      </c>
      <c r="PBJ3424" s="909" t="s">
        <v>68</v>
      </c>
      <c r="PBK3424" s="910" t="s">
        <v>75</v>
      </c>
      <c r="PBL3424" s="911"/>
      <c r="PBM3424" s="911"/>
      <c r="PBN3424" s="911"/>
      <c r="PBO3424" s="911"/>
      <c r="PBP3424" s="911"/>
      <c r="PBQ3424" s="911"/>
      <c r="PBR3424" s="911"/>
      <c r="PBS3424" s="911"/>
      <c r="PBT3424" s="911"/>
      <c r="PBU3424" s="32"/>
      <c r="PBV3424" s="911" t="s">
        <v>74</v>
      </c>
      <c r="PBW3424" s="911"/>
      <c r="PBX3424" s="911"/>
      <c r="PBY3424" s="911"/>
      <c r="PBZ3424" s="911"/>
      <c r="PCA3424" s="911"/>
      <c r="PCB3424" s="911"/>
      <c r="PCC3424" s="911"/>
      <c r="PCD3424" s="911"/>
      <c r="PCE3424" s="912"/>
      <c r="PCG3424" s="913" t="s">
        <v>1</v>
      </c>
      <c r="PCH3424" s="31"/>
      <c r="PCI3424" s="909" t="s">
        <v>0</v>
      </c>
      <c r="PCJ3424" s="909"/>
      <c r="PCK3424" s="909"/>
      <c r="PCL3424" s="909"/>
      <c r="PCM3424" s="909"/>
      <c r="PCN3424" s="909"/>
      <c r="PCO3424" s="907" t="s">
        <v>79</v>
      </c>
      <c r="PCP3424" s="909" t="s">
        <v>68</v>
      </c>
      <c r="PCQ3424" s="910" t="s">
        <v>75</v>
      </c>
      <c r="PCR3424" s="911"/>
      <c r="PCS3424" s="911"/>
      <c r="PCT3424" s="911"/>
      <c r="PCU3424" s="911"/>
      <c r="PCV3424" s="911"/>
      <c r="PCW3424" s="911"/>
      <c r="PCX3424" s="911"/>
      <c r="PCY3424" s="911"/>
      <c r="PCZ3424" s="911"/>
      <c r="PDA3424" s="32"/>
      <c r="PDB3424" s="911" t="s">
        <v>74</v>
      </c>
      <c r="PDC3424" s="911"/>
      <c r="PDD3424" s="911"/>
      <c r="PDE3424" s="911"/>
      <c r="PDF3424" s="911"/>
      <c r="PDG3424" s="911"/>
      <c r="PDH3424" s="911"/>
      <c r="PDI3424" s="911"/>
      <c r="PDJ3424" s="911"/>
      <c r="PDK3424" s="912"/>
      <c r="PDM3424" s="913" t="s">
        <v>1</v>
      </c>
      <c r="PDN3424" s="31"/>
      <c r="PDO3424" s="909" t="s">
        <v>0</v>
      </c>
      <c r="PDP3424" s="909"/>
      <c r="PDQ3424" s="909"/>
      <c r="PDR3424" s="909"/>
      <c r="PDS3424" s="909"/>
      <c r="PDT3424" s="909"/>
      <c r="PDU3424" s="907" t="s">
        <v>79</v>
      </c>
      <c r="PDV3424" s="909" t="s">
        <v>68</v>
      </c>
      <c r="PDW3424" s="910" t="s">
        <v>75</v>
      </c>
      <c r="PDX3424" s="911"/>
      <c r="PDY3424" s="911"/>
      <c r="PDZ3424" s="911"/>
      <c r="PEA3424" s="911"/>
      <c r="PEB3424" s="911"/>
      <c r="PEC3424" s="911"/>
      <c r="PED3424" s="911"/>
      <c r="PEE3424" s="911"/>
      <c r="PEF3424" s="911"/>
      <c r="PEG3424" s="32"/>
      <c r="PEH3424" s="911" t="s">
        <v>74</v>
      </c>
      <c r="PEI3424" s="911"/>
      <c r="PEJ3424" s="911"/>
      <c r="PEK3424" s="911"/>
      <c r="PEL3424" s="911"/>
      <c r="PEM3424" s="911"/>
      <c r="PEN3424" s="911"/>
      <c r="PEO3424" s="911"/>
      <c r="PEP3424" s="911"/>
      <c r="PEQ3424" s="912"/>
      <c r="PES3424" s="913" t="s">
        <v>1</v>
      </c>
      <c r="PET3424" s="31"/>
      <c r="PEU3424" s="909" t="s">
        <v>0</v>
      </c>
      <c r="PEV3424" s="909"/>
      <c r="PEW3424" s="909"/>
      <c r="PEX3424" s="909"/>
      <c r="PEY3424" s="909"/>
      <c r="PEZ3424" s="909"/>
      <c r="PFA3424" s="907" t="s">
        <v>79</v>
      </c>
      <c r="PFB3424" s="909" t="s">
        <v>68</v>
      </c>
      <c r="PFC3424" s="910" t="s">
        <v>75</v>
      </c>
      <c r="PFD3424" s="911"/>
      <c r="PFE3424" s="911"/>
      <c r="PFF3424" s="911"/>
      <c r="PFG3424" s="911"/>
      <c r="PFH3424" s="911"/>
      <c r="PFI3424" s="911"/>
      <c r="PFJ3424" s="911"/>
      <c r="PFK3424" s="911"/>
      <c r="PFL3424" s="911"/>
      <c r="PFM3424" s="32"/>
      <c r="PFN3424" s="911" t="s">
        <v>74</v>
      </c>
      <c r="PFO3424" s="911"/>
      <c r="PFP3424" s="911"/>
      <c r="PFQ3424" s="911"/>
      <c r="PFR3424" s="911"/>
      <c r="PFS3424" s="911"/>
      <c r="PFT3424" s="911"/>
      <c r="PFU3424" s="911"/>
      <c r="PFV3424" s="911"/>
      <c r="PFW3424" s="912"/>
      <c r="PFY3424" s="913" t="s">
        <v>1</v>
      </c>
      <c r="PFZ3424" s="31"/>
      <c r="PGA3424" s="909" t="s">
        <v>0</v>
      </c>
      <c r="PGB3424" s="909"/>
      <c r="PGC3424" s="909"/>
      <c r="PGD3424" s="909"/>
      <c r="PGE3424" s="909"/>
      <c r="PGF3424" s="909"/>
      <c r="PGG3424" s="907" t="s">
        <v>79</v>
      </c>
      <c r="PGH3424" s="909" t="s">
        <v>68</v>
      </c>
      <c r="PGI3424" s="910" t="s">
        <v>75</v>
      </c>
      <c r="PGJ3424" s="911"/>
      <c r="PGK3424" s="911"/>
      <c r="PGL3424" s="911"/>
      <c r="PGM3424" s="911"/>
      <c r="PGN3424" s="911"/>
      <c r="PGO3424" s="911"/>
      <c r="PGP3424" s="911"/>
      <c r="PGQ3424" s="911"/>
      <c r="PGR3424" s="911"/>
      <c r="PGS3424" s="32"/>
      <c r="PGT3424" s="911" t="s">
        <v>74</v>
      </c>
      <c r="PGU3424" s="911"/>
      <c r="PGV3424" s="911"/>
      <c r="PGW3424" s="911"/>
      <c r="PGX3424" s="911"/>
      <c r="PGY3424" s="911"/>
      <c r="PGZ3424" s="911"/>
      <c r="PHA3424" s="911"/>
      <c r="PHB3424" s="911"/>
      <c r="PHC3424" s="912"/>
      <c r="PHE3424" s="913" t="s">
        <v>1</v>
      </c>
      <c r="PHF3424" s="31"/>
      <c r="PHG3424" s="909" t="s">
        <v>0</v>
      </c>
      <c r="PHH3424" s="909"/>
      <c r="PHI3424" s="909"/>
      <c r="PHJ3424" s="909"/>
      <c r="PHK3424" s="909"/>
      <c r="PHL3424" s="909"/>
      <c r="PHM3424" s="907" t="s">
        <v>79</v>
      </c>
      <c r="PHN3424" s="909" t="s">
        <v>68</v>
      </c>
      <c r="PHO3424" s="910" t="s">
        <v>75</v>
      </c>
      <c r="PHP3424" s="911"/>
      <c r="PHQ3424" s="911"/>
      <c r="PHR3424" s="911"/>
      <c r="PHS3424" s="911"/>
      <c r="PHT3424" s="911"/>
      <c r="PHU3424" s="911"/>
      <c r="PHV3424" s="911"/>
      <c r="PHW3424" s="911"/>
      <c r="PHX3424" s="911"/>
      <c r="PHY3424" s="32"/>
      <c r="PHZ3424" s="911" t="s">
        <v>74</v>
      </c>
      <c r="PIA3424" s="911"/>
      <c r="PIB3424" s="911"/>
      <c r="PIC3424" s="911"/>
      <c r="PID3424" s="911"/>
      <c r="PIE3424" s="911"/>
      <c r="PIF3424" s="911"/>
      <c r="PIG3424" s="911"/>
      <c r="PIH3424" s="911"/>
      <c r="PII3424" s="912"/>
      <c r="PIK3424" s="913" t="s">
        <v>1</v>
      </c>
      <c r="PIL3424" s="31"/>
      <c r="PIM3424" s="909" t="s">
        <v>0</v>
      </c>
      <c r="PIN3424" s="909"/>
      <c r="PIO3424" s="909"/>
      <c r="PIP3424" s="909"/>
      <c r="PIQ3424" s="909"/>
      <c r="PIR3424" s="909"/>
      <c r="PIS3424" s="907" t="s">
        <v>79</v>
      </c>
      <c r="PIT3424" s="909" t="s">
        <v>68</v>
      </c>
      <c r="PIU3424" s="910" t="s">
        <v>75</v>
      </c>
      <c r="PIV3424" s="911"/>
      <c r="PIW3424" s="911"/>
      <c r="PIX3424" s="911"/>
      <c r="PIY3424" s="911"/>
      <c r="PIZ3424" s="911"/>
      <c r="PJA3424" s="911"/>
      <c r="PJB3424" s="911"/>
      <c r="PJC3424" s="911"/>
      <c r="PJD3424" s="911"/>
      <c r="PJE3424" s="32"/>
      <c r="PJF3424" s="911" t="s">
        <v>74</v>
      </c>
      <c r="PJG3424" s="911"/>
      <c r="PJH3424" s="911"/>
      <c r="PJI3424" s="911"/>
      <c r="PJJ3424" s="911"/>
      <c r="PJK3424" s="911"/>
      <c r="PJL3424" s="911"/>
      <c r="PJM3424" s="911"/>
      <c r="PJN3424" s="911"/>
      <c r="PJO3424" s="912"/>
      <c r="PJQ3424" s="913" t="s">
        <v>1</v>
      </c>
      <c r="PJR3424" s="31"/>
      <c r="PJS3424" s="909" t="s">
        <v>0</v>
      </c>
      <c r="PJT3424" s="909"/>
      <c r="PJU3424" s="909"/>
      <c r="PJV3424" s="909"/>
      <c r="PJW3424" s="909"/>
      <c r="PJX3424" s="909"/>
      <c r="PJY3424" s="907" t="s">
        <v>79</v>
      </c>
      <c r="PJZ3424" s="909" t="s">
        <v>68</v>
      </c>
      <c r="PKA3424" s="910" t="s">
        <v>75</v>
      </c>
      <c r="PKB3424" s="911"/>
      <c r="PKC3424" s="911"/>
      <c r="PKD3424" s="911"/>
      <c r="PKE3424" s="911"/>
      <c r="PKF3424" s="911"/>
      <c r="PKG3424" s="911"/>
      <c r="PKH3424" s="911"/>
      <c r="PKI3424" s="911"/>
      <c r="PKJ3424" s="911"/>
      <c r="PKK3424" s="32"/>
      <c r="PKL3424" s="911" t="s">
        <v>74</v>
      </c>
      <c r="PKM3424" s="911"/>
      <c r="PKN3424" s="911"/>
      <c r="PKO3424" s="911"/>
      <c r="PKP3424" s="911"/>
      <c r="PKQ3424" s="911"/>
      <c r="PKR3424" s="911"/>
      <c r="PKS3424" s="911"/>
      <c r="PKT3424" s="911"/>
      <c r="PKU3424" s="912"/>
      <c r="PKW3424" s="913" t="s">
        <v>1</v>
      </c>
      <c r="PKX3424" s="31"/>
      <c r="PKY3424" s="909" t="s">
        <v>0</v>
      </c>
      <c r="PKZ3424" s="909"/>
      <c r="PLA3424" s="909"/>
      <c r="PLB3424" s="909"/>
      <c r="PLC3424" s="909"/>
      <c r="PLD3424" s="909"/>
      <c r="PLE3424" s="907" t="s">
        <v>79</v>
      </c>
      <c r="PLF3424" s="909" t="s">
        <v>68</v>
      </c>
      <c r="PLG3424" s="910" t="s">
        <v>75</v>
      </c>
      <c r="PLH3424" s="911"/>
      <c r="PLI3424" s="911"/>
      <c r="PLJ3424" s="911"/>
      <c r="PLK3424" s="911"/>
      <c r="PLL3424" s="911"/>
      <c r="PLM3424" s="911"/>
      <c r="PLN3424" s="911"/>
      <c r="PLO3424" s="911"/>
      <c r="PLP3424" s="911"/>
      <c r="PLQ3424" s="32"/>
      <c r="PLR3424" s="911" t="s">
        <v>74</v>
      </c>
      <c r="PLS3424" s="911"/>
      <c r="PLT3424" s="911"/>
      <c r="PLU3424" s="911"/>
      <c r="PLV3424" s="911"/>
      <c r="PLW3424" s="911"/>
      <c r="PLX3424" s="911"/>
      <c r="PLY3424" s="911"/>
      <c r="PLZ3424" s="911"/>
      <c r="PMA3424" s="912"/>
      <c r="PMC3424" s="913" t="s">
        <v>1</v>
      </c>
      <c r="PMD3424" s="31"/>
      <c r="PME3424" s="909" t="s">
        <v>0</v>
      </c>
      <c r="PMF3424" s="909"/>
      <c r="PMG3424" s="909"/>
      <c r="PMH3424" s="909"/>
      <c r="PMI3424" s="909"/>
      <c r="PMJ3424" s="909"/>
      <c r="PMK3424" s="907" t="s">
        <v>79</v>
      </c>
      <c r="PML3424" s="909" t="s">
        <v>68</v>
      </c>
      <c r="PMM3424" s="910" t="s">
        <v>75</v>
      </c>
      <c r="PMN3424" s="911"/>
      <c r="PMO3424" s="911"/>
      <c r="PMP3424" s="911"/>
      <c r="PMQ3424" s="911"/>
      <c r="PMR3424" s="911"/>
      <c r="PMS3424" s="911"/>
      <c r="PMT3424" s="911"/>
      <c r="PMU3424" s="911"/>
      <c r="PMV3424" s="911"/>
      <c r="PMW3424" s="32"/>
      <c r="PMX3424" s="911" t="s">
        <v>74</v>
      </c>
      <c r="PMY3424" s="911"/>
      <c r="PMZ3424" s="911"/>
      <c r="PNA3424" s="911"/>
      <c r="PNB3424" s="911"/>
      <c r="PNC3424" s="911"/>
      <c r="PND3424" s="911"/>
      <c r="PNE3424" s="911"/>
      <c r="PNF3424" s="911"/>
      <c r="PNG3424" s="912"/>
      <c r="PNI3424" s="913" t="s">
        <v>1</v>
      </c>
      <c r="PNJ3424" s="31"/>
      <c r="PNK3424" s="909" t="s">
        <v>0</v>
      </c>
      <c r="PNL3424" s="909"/>
      <c r="PNM3424" s="909"/>
      <c r="PNN3424" s="909"/>
      <c r="PNO3424" s="909"/>
      <c r="PNP3424" s="909"/>
      <c r="PNQ3424" s="907" t="s">
        <v>79</v>
      </c>
      <c r="PNR3424" s="909" t="s">
        <v>68</v>
      </c>
      <c r="PNS3424" s="910" t="s">
        <v>75</v>
      </c>
      <c r="PNT3424" s="911"/>
      <c r="PNU3424" s="911"/>
      <c r="PNV3424" s="911"/>
      <c r="PNW3424" s="911"/>
      <c r="PNX3424" s="911"/>
      <c r="PNY3424" s="911"/>
      <c r="PNZ3424" s="911"/>
      <c r="POA3424" s="911"/>
      <c r="POB3424" s="911"/>
      <c r="POC3424" s="32"/>
      <c r="POD3424" s="911" t="s">
        <v>74</v>
      </c>
      <c r="POE3424" s="911"/>
      <c r="POF3424" s="911"/>
      <c r="POG3424" s="911"/>
      <c r="POH3424" s="911"/>
      <c r="POI3424" s="911"/>
      <c r="POJ3424" s="911"/>
      <c r="POK3424" s="911"/>
      <c r="POL3424" s="911"/>
      <c r="POM3424" s="912"/>
      <c r="POO3424" s="913" t="s">
        <v>1</v>
      </c>
      <c r="POP3424" s="31"/>
      <c r="POQ3424" s="909" t="s">
        <v>0</v>
      </c>
      <c r="POR3424" s="909"/>
      <c r="POS3424" s="909"/>
      <c r="POT3424" s="909"/>
      <c r="POU3424" s="909"/>
      <c r="POV3424" s="909"/>
      <c r="POW3424" s="907" t="s">
        <v>79</v>
      </c>
      <c r="POX3424" s="909" t="s">
        <v>68</v>
      </c>
      <c r="POY3424" s="910" t="s">
        <v>75</v>
      </c>
      <c r="POZ3424" s="911"/>
      <c r="PPA3424" s="911"/>
      <c r="PPB3424" s="911"/>
      <c r="PPC3424" s="911"/>
      <c r="PPD3424" s="911"/>
      <c r="PPE3424" s="911"/>
      <c r="PPF3424" s="911"/>
      <c r="PPG3424" s="911"/>
      <c r="PPH3424" s="911"/>
      <c r="PPI3424" s="32"/>
      <c r="PPJ3424" s="911" t="s">
        <v>74</v>
      </c>
      <c r="PPK3424" s="911"/>
      <c r="PPL3424" s="911"/>
      <c r="PPM3424" s="911"/>
      <c r="PPN3424" s="911"/>
      <c r="PPO3424" s="911"/>
      <c r="PPP3424" s="911"/>
      <c r="PPQ3424" s="911"/>
      <c r="PPR3424" s="911"/>
      <c r="PPS3424" s="912"/>
      <c r="PPU3424" s="913" t="s">
        <v>1</v>
      </c>
      <c r="PPV3424" s="31"/>
      <c r="PPW3424" s="909" t="s">
        <v>0</v>
      </c>
      <c r="PPX3424" s="909"/>
      <c r="PPY3424" s="909"/>
      <c r="PPZ3424" s="909"/>
      <c r="PQA3424" s="909"/>
      <c r="PQB3424" s="909"/>
      <c r="PQC3424" s="907" t="s">
        <v>79</v>
      </c>
      <c r="PQD3424" s="909" t="s">
        <v>68</v>
      </c>
      <c r="PQE3424" s="910" t="s">
        <v>75</v>
      </c>
      <c r="PQF3424" s="911"/>
      <c r="PQG3424" s="911"/>
      <c r="PQH3424" s="911"/>
      <c r="PQI3424" s="911"/>
      <c r="PQJ3424" s="911"/>
      <c r="PQK3424" s="911"/>
      <c r="PQL3424" s="911"/>
      <c r="PQM3424" s="911"/>
      <c r="PQN3424" s="911"/>
      <c r="PQO3424" s="32"/>
      <c r="PQP3424" s="911" t="s">
        <v>74</v>
      </c>
      <c r="PQQ3424" s="911"/>
      <c r="PQR3424" s="911"/>
      <c r="PQS3424" s="911"/>
      <c r="PQT3424" s="911"/>
      <c r="PQU3424" s="911"/>
      <c r="PQV3424" s="911"/>
      <c r="PQW3424" s="911"/>
      <c r="PQX3424" s="911"/>
      <c r="PQY3424" s="912"/>
      <c r="PRA3424" s="913" t="s">
        <v>1</v>
      </c>
      <c r="PRB3424" s="31"/>
      <c r="PRC3424" s="909" t="s">
        <v>0</v>
      </c>
      <c r="PRD3424" s="909"/>
      <c r="PRE3424" s="909"/>
      <c r="PRF3424" s="909"/>
      <c r="PRG3424" s="909"/>
      <c r="PRH3424" s="909"/>
      <c r="PRI3424" s="907" t="s">
        <v>79</v>
      </c>
      <c r="PRJ3424" s="909" t="s">
        <v>68</v>
      </c>
      <c r="PRK3424" s="910" t="s">
        <v>75</v>
      </c>
      <c r="PRL3424" s="911"/>
      <c r="PRM3424" s="911"/>
      <c r="PRN3424" s="911"/>
      <c r="PRO3424" s="911"/>
      <c r="PRP3424" s="911"/>
      <c r="PRQ3424" s="911"/>
      <c r="PRR3424" s="911"/>
      <c r="PRS3424" s="911"/>
      <c r="PRT3424" s="911"/>
      <c r="PRU3424" s="32"/>
      <c r="PRV3424" s="911" t="s">
        <v>74</v>
      </c>
      <c r="PRW3424" s="911"/>
      <c r="PRX3424" s="911"/>
      <c r="PRY3424" s="911"/>
      <c r="PRZ3424" s="911"/>
      <c r="PSA3424" s="911"/>
      <c r="PSB3424" s="911"/>
      <c r="PSC3424" s="911"/>
      <c r="PSD3424" s="911"/>
      <c r="PSE3424" s="912"/>
      <c r="PSG3424" s="913" t="s">
        <v>1</v>
      </c>
      <c r="PSH3424" s="31"/>
      <c r="PSI3424" s="909" t="s">
        <v>0</v>
      </c>
      <c r="PSJ3424" s="909"/>
      <c r="PSK3424" s="909"/>
      <c r="PSL3424" s="909"/>
      <c r="PSM3424" s="909"/>
      <c r="PSN3424" s="909"/>
      <c r="PSO3424" s="907" t="s">
        <v>79</v>
      </c>
      <c r="PSP3424" s="909" t="s">
        <v>68</v>
      </c>
      <c r="PSQ3424" s="910" t="s">
        <v>75</v>
      </c>
      <c r="PSR3424" s="911"/>
      <c r="PSS3424" s="911"/>
      <c r="PST3424" s="911"/>
      <c r="PSU3424" s="911"/>
      <c r="PSV3424" s="911"/>
      <c r="PSW3424" s="911"/>
      <c r="PSX3424" s="911"/>
      <c r="PSY3424" s="911"/>
      <c r="PSZ3424" s="911"/>
      <c r="PTA3424" s="32"/>
      <c r="PTB3424" s="911" t="s">
        <v>74</v>
      </c>
      <c r="PTC3424" s="911"/>
      <c r="PTD3424" s="911"/>
      <c r="PTE3424" s="911"/>
      <c r="PTF3424" s="911"/>
      <c r="PTG3424" s="911"/>
      <c r="PTH3424" s="911"/>
      <c r="PTI3424" s="911"/>
      <c r="PTJ3424" s="911"/>
      <c r="PTK3424" s="912"/>
      <c r="PTM3424" s="913" t="s">
        <v>1</v>
      </c>
      <c r="PTN3424" s="31"/>
      <c r="PTO3424" s="909" t="s">
        <v>0</v>
      </c>
      <c r="PTP3424" s="909"/>
      <c r="PTQ3424" s="909"/>
      <c r="PTR3424" s="909"/>
      <c r="PTS3424" s="909"/>
      <c r="PTT3424" s="909"/>
      <c r="PTU3424" s="907" t="s">
        <v>79</v>
      </c>
      <c r="PTV3424" s="909" t="s">
        <v>68</v>
      </c>
      <c r="PTW3424" s="910" t="s">
        <v>75</v>
      </c>
      <c r="PTX3424" s="911"/>
      <c r="PTY3424" s="911"/>
      <c r="PTZ3424" s="911"/>
      <c r="PUA3424" s="911"/>
      <c r="PUB3424" s="911"/>
      <c r="PUC3424" s="911"/>
      <c r="PUD3424" s="911"/>
      <c r="PUE3424" s="911"/>
      <c r="PUF3424" s="911"/>
      <c r="PUG3424" s="32"/>
      <c r="PUH3424" s="911" t="s">
        <v>74</v>
      </c>
      <c r="PUI3424" s="911"/>
      <c r="PUJ3424" s="911"/>
      <c r="PUK3424" s="911"/>
      <c r="PUL3424" s="911"/>
      <c r="PUM3424" s="911"/>
      <c r="PUN3424" s="911"/>
      <c r="PUO3424" s="911"/>
      <c r="PUP3424" s="911"/>
      <c r="PUQ3424" s="912"/>
      <c r="PUS3424" s="913" t="s">
        <v>1</v>
      </c>
      <c r="PUT3424" s="31"/>
      <c r="PUU3424" s="909" t="s">
        <v>0</v>
      </c>
      <c r="PUV3424" s="909"/>
      <c r="PUW3424" s="909"/>
      <c r="PUX3424" s="909"/>
      <c r="PUY3424" s="909"/>
      <c r="PUZ3424" s="909"/>
      <c r="PVA3424" s="907" t="s">
        <v>79</v>
      </c>
      <c r="PVB3424" s="909" t="s">
        <v>68</v>
      </c>
      <c r="PVC3424" s="910" t="s">
        <v>75</v>
      </c>
      <c r="PVD3424" s="911"/>
      <c r="PVE3424" s="911"/>
      <c r="PVF3424" s="911"/>
      <c r="PVG3424" s="911"/>
      <c r="PVH3424" s="911"/>
      <c r="PVI3424" s="911"/>
      <c r="PVJ3424" s="911"/>
      <c r="PVK3424" s="911"/>
      <c r="PVL3424" s="911"/>
      <c r="PVM3424" s="32"/>
      <c r="PVN3424" s="911" t="s">
        <v>74</v>
      </c>
      <c r="PVO3424" s="911"/>
      <c r="PVP3424" s="911"/>
      <c r="PVQ3424" s="911"/>
      <c r="PVR3424" s="911"/>
      <c r="PVS3424" s="911"/>
      <c r="PVT3424" s="911"/>
      <c r="PVU3424" s="911"/>
      <c r="PVV3424" s="911"/>
      <c r="PVW3424" s="912"/>
      <c r="PVY3424" s="913" t="s">
        <v>1</v>
      </c>
      <c r="PVZ3424" s="31"/>
      <c r="PWA3424" s="909" t="s">
        <v>0</v>
      </c>
      <c r="PWB3424" s="909"/>
      <c r="PWC3424" s="909"/>
      <c r="PWD3424" s="909"/>
      <c r="PWE3424" s="909"/>
      <c r="PWF3424" s="909"/>
      <c r="PWG3424" s="907" t="s">
        <v>79</v>
      </c>
      <c r="PWH3424" s="909" t="s">
        <v>68</v>
      </c>
      <c r="PWI3424" s="910" t="s">
        <v>75</v>
      </c>
      <c r="PWJ3424" s="911"/>
      <c r="PWK3424" s="911"/>
      <c r="PWL3424" s="911"/>
      <c r="PWM3424" s="911"/>
      <c r="PWN3424" s="911"/>
      <c r="PWO3424" s="911"/>
      <c r="PWP3424" s="911"/>
      <c r="PWQ3424" s="911"/>
      <c r="PWR3424" s="911"/>
      <c r="PWS3424" s="32"/>
      <c r="PWT3424" s="911" t="s">
        <v>74</v>
      </c>
      <c r="PWU3424" s="911"/>
      <c r="PWV3424" s="911"/>
      <c r="PWW3424" s="911"/>
      <c r="PWX3424" s="911"/>
      <c r="PWY3424" s="911"/>
      <c r="PWZ3424" s="911"/>
      <c r="PXA3424" s="911"/>
      <c r="PXB3424" s="911"/>
      <c r="PXC3424" s="912"/>
      <c r="PXE3424" s="913" t="s">
        <v>1</v>
      </c>
      <c r="PXF3424" s="31"/>
      <c r="PXG3424" s="909" t="s">
        <v>0</v>
      </c>
      <c r="PXH3424" s="909"/>
      <c r="PXI3424" s="909"/>
      <c r="PXJ3424" s="909"/>
      <c r="PXK3424" s="909"/>
      <c r="PXL3424" s="909"/>
      <c r="PXM3424" s="907" t="s">
        <v>79</v>
      </c>
      <c r="PXN3424" s="909" t="s">
        <v>68</v>
      </c>
      <c r="PXO3424" s="910" t="s">
        <v>75</v>
      </c>
      <c r="PXP3424" s="911"/>
      <c r="PXQ3424" s="911"/>
      <c r="PXR3424" s="911"/>
      <c r="PXS3424" s="911"/>
      <c r="PXT3424" s="911"/>
      <c r="PXU3424" s="911"/>
      <c r="PXV3424" s="911"/>
      <c r="PXW3424" s="911"/>
      <c r="PXX3424" s="911"/>
      <c r="PXY3424" s="32"/>
      <c r="PXZ3424" s="911" t="s">
        <v>74</v>
      </c>
      <c r="PYA3424" s="911"/>
      <c r="PYB3424" s="911"/>
      <c r="PYC3424" s="911"/>
      <c r="PYD3424" s="911"/>
      <c r="PYE3424" s="911"/>
      <c r="PYF3424" s="911"/>
      <c r="PYG3424" s="911"/>
      <c r="PYH3424" s="911"/>
      <c r="PYI3424" s="912"/>
      <c r="PYK3424" s="913" t="s">
        <v>1</v>
      </c>
      <c r="PYL3424" s="31"/>
      <c r="PYM3424" s="909" t="s">
        <v>0</v>
      </c>
      <c r="PYN3424" s="909"/>
      <c r="PYO3424" s="909"/>
      <c r="PYP3424" s="909"/>
      <c r="PYQ3424" s="909"/>
      <c r="PYR3424" s="909"/>
      <c r="PYS3424" s="907" t="s">
        <v>79</v>
      </c>
      <c r="PYT3424" s="909" t="s">
        <v>68</v>
      </c>
      <c r="PYU3424" s="910" t="s">
        <v>75</v>
      </c>
      <c r="PYV3424" s="911"/>
      <c r="PYW3424" s="911"/>
      <c r="PYX3424" s="911"/>
      <c r="PYY3424" s="911"/>
      <c r="PYZ3424" s="911"/>
      <c r="PZA3424" s="911"/>
      <c r="PZB3424" s="911"/>
      <c r="PZC3424" s="911"/>
      <c r="PZD3424" s="911"/>
      <c r="PZE3424" s="32"/>
      <c r="PZF3424" s="911" t="s">
        <v>74</v>
      </c>
      <c r="PZG3424" s="911"/>
      <c r="PZH3424" s="911"/>
      <c r="PZI3424" s="911"/>
      <c r="PZJ3424" s="911"/>
      <c r="PZK3424" s="911"/>
      <c r="PZL3424" s="911"/>
      <c r="PZM3424" s="911"/>
      <c r="PZN3424" s="911"/>
      <c r="PZO3424" s="912"/>
      <c r="PZQ3424" s="913" t="s">
        <v>1</v>
      </c>
      <c r="PZR3424" s="31"/>
      <c r="PZS3424" s="909" t="s">
        <v>0</v>
      </c>
      <c r="PZT3424" s="909"/>
      <c r="PZU3424" s="909"/>
      <c r="PZV3424" s="909"/>
      <c r="PZW3424" s="909"/>
      <c r="PZX3424" s="909"/>
      <c r="PZY3424" s="907" t="s">
        <v>79</v>
      </c>
      <c r="PZZ3424" s="909" t="s">
        <v>68</v>
      </c>
      <c r="QAA3424" s="910" t="s">
        <v>75</v>
      </c>
      <c r="QAB3424" s="911"/>
      <c r="QAC3424" s="911"/>
      <c r="QAD3424" s="911"/>
      <c r="QAE3424" s="911"/>
      <c r="QAF3424" s="911"/>
      <c r="QAG3424" s="911"/>
      <c r="QAH3424" s="911"/>
      <c r="QAI3424" s="911"/>
      <c r="QAJ3424" s="911"/>
      <c r="QAK3424" s="32"/>
      <c r="QAL3424" s="911" t="s">
        <v>74</v>
      </c>
      <c r="QAM3424" s="911"/>
      <c r="QAN3424" s="911"/>
      <c r="QAO3424" s="911"/>
      <c r="QAP3424" s="911"/>
      <c r="QAQ3424" s="911"/>
      <c r="QAR3424" s="911"/>
      <c r="QAS3424" s="911"/>
      <c r="QAT3424" s="911"/>
      <c r="QAU3424" s="912"/>
      <c r="QAW3424" s="913" t="s">
        <v>1</v>
      </c>
      <c r="QAX3424" s="31"/>
      <c r="QAY3424" s="909" t="s">
        <v>0</v>
      </c>
      <c r="QAZ3424" s="909"/>
      <c r="QBA3424" s="909"/>
      <c r="QBB3424" s="909"/>
      <c r="QBC3424" s="909"/>
      <c r="QBD3424" s="909"/>
      <c r="QBE3424" s="907" t="s">
        <v>79</v>
      </c>
      <c r="QBF3424" s="909" t="s">
        <v>68</v>
      </c>
      <c r="QBG3424" s="910" t="s">
        <v>75</v>
      </c>
      <c r="QBH3424" s="911"/>
      <c r="QBI3424" s="911"/>
      <c r="QBJ3424" s="911"/>
      <c r="QBK3424" s="911"/>
      <c r="QBL3424" s="911"/>
      <c r="QBM3424" s="911"/>
      <c r="QBN3424" s="911"/>
      <c r="QBO3424" s="911"/>
      <c r="QBP3424" s="911"/>
      <c r="QBQ3424" s="32"/>
      <c r="QBR3424" s="911" t="s">
        <v>74</v>
      </c>
      <c r="QBS3424" s="911"/>
      <c r="QBT3424" s="911"/>
      <c r="QBU3424" s="911"/>
      <c r="QBV3424" s="911"/>
      <c r="QBW3424" s="911"/>
      <c r="QBX3424" s="911"/>
      <c r="QBY3424" s="911"/>
      <c r="QBZ3424" s="911"/>
      <c r="QCA3424" s="912"/>
      <c r="QCC3424" s="913" t="s">
        <v>1</v>
      </c>
      <c r="QCD3424" s="31"/>
      <c r="QCE3424" s="909" t="s">
        <v>0</v>
      </c>
      <c r="QCF3424" s="909"/>
      <c r="QCG3424" s="909"/>
      <c r="QCH3424" s="909"/>
      <c r="QCI3424" s="909"/>
      <c r="QCJ3424" s="909"/>
      <c r="QCK3424" s="907" t="s">
        <v>79</v>
      </c>
      <c r="QCL3424" s="909" t="s">
        <v>68</v>
      </c>
      <c r="QCM3424" s="910" t="s">
        <v>75</v>
      </c>
      <c r="QCN3424" s="911"/>
      <c r="QCO3424" s="911"/>
      <c r="QCP3424" s="911"/>
      <c r="QCQ3424" s="911"/>
      <c r="QCR3424" s="911"/>
      <c r="QCS3424" s="911"/>
      <c r="QCT3424" s="911"/>
      <c r="QCU3424" s="911"/>
      <c r="QCV3424" s="911"/>
      <c r="QCW3424" s="32"/>
      <c r="QCX3424" s="911" t="s">
        <v>74</v>
      </c>
      <c r="QCY3424" s="911"/>
      <c r="QCZ3424" s="911"/>
      <c r="QDA3424" s="911"/>
      <c r="QDB3424" s="911"/>
      <c r="QDC3424" s="911"/>
      <c r="QDD3424" s="911"/>
      <c r="QDE3424" s="911"/>
      <c r="QDF3424" s="911"/>
      <c r="QDG3424" s="912"/>
      <c r="QDI3424" s="913" t="s">
        <v>1</v>
      </c>
      <c r="QDJ3424" s="31"/>
      <c r="QDK3424" s="909" t="s">
        <v>0</v>
      </c>
      <c r="QDL3424" s="909"/>
      <c r="QDM3424" s="909"/>
      <c r="QDN3424" s="909"/>
      <c r="QDO3424" s="909"/>
      <c r="QDP3424" s="909"/>
      <c r="QDQ3424" s="907" t="s">
        <v>79</v>
      </c>
      <c r="QDR3424" s="909" t="s">
        <v>68</v>
      </c>
      <c r="QDS3424" s="910" t="s">
        <v>75</v>
      </c>
      <c r="QDT3424" s="911"/>
      <c r="QDU3424" s="911"/>
      <c r="QDV3424" s="911"/>
      <c r="QDW3424" s="911"/>
      <c r="QDX3424" s="911"/>
      <c r="QDY3424" s="911"/>
      <c r="QDZ3424" s="911"/>
      <c r="QEA3424" s="911"/>
      <c r="QEB3424" s="911"/>
      <c r="QEC3424" s="32"/>
      <c r="QED3424" s="911" t="s">
        <v>74</v>
      </c>
      <c r="QEE3424" s="911"/>
      <c r="QEF3424" s="911"/>
      <c r="QEG3424" s="911"/>
      <c r="QEH3424" s="911"/>
      <c r="QEI3424" s="911"/>
      <c r="QEJ3424" s="911"/>
      <c r="QEK3424" s="911"/>
      <c r="QEL3424" s="911"/>
      <c r="QEM3424" s="912"/>
      <c r="QEO3424" s="913" t="s">
        <v>1</v>
      </c>
      <c r="QEP3424" s="31"/>
      <c r="QEQ3424" s="909" t="s">
        <v>0</v>
      </c>
      <c r="QER3424" s="909"/>
      <c r="QES3424" s="909"/>
      <c r="QET3424" s="909"/>
      <c r="QEU3424" s="909"/>
      <c r="QEV3424" s="909"/>
      <c r="QEW3424" s="907" t="s">
        <v>79</v>
      </c>
      <c r="QEX3424" s="909" t="s">
        <v>68</v>
      </c>
      <c r="QEY3424" s="910" t="s">
        <v>75</v>
      </c>
      <c r="QEZ3424" s="911"/>
      <c r="QFA3424" s="911"/>
      <c r="QFB3424" s="911"/>
      <c r="QFC3424" s="911"/>
      <c r="QFD3424" s="911"/>
      <c r="QFE3424" s="911"/>
      <c r="QFF3424" s="911"/>
      <c r="QFG3424" s="911"/>
      <c r="QFH3424" s="911"/>
      <c r="QFI3424" s="32"/>
      <c r="QFJ3424" s="911" t="s">
        <v>74</v>
      </c>
      <c r="QFK3424" s="911"/>
      <c r="QFL3424" s="911"/>
      <c r="QFM3424" s="911"/>
      <c r="QFN3424" s="911"/>
      <c r="QFO3424" s="911"/>
      <c r="QFP3424" s="911"/>
      <c r="QFQ3424" s="911"/>
      <c r="QFR3424" s="911"/>
      <c r="QFS3424" s="912"/>
      <c r="QFU3424" s="913" t="s">
        <v>1</v>
      </c>
      <c r="QFV3424" s="31"/>
      <c r="QFW3424" s="909" t="s">
        <v>0</v>
      </c>
      <c r="QFX3424" s="909"/>
      <c r="QFY3424" s="909"/>
      <c r="QFZ3424" s="909"/>
      <c r="QGA3424" s="909"/>
      <c r="QGB3424" s="909"/>
      <c r="QGC3424" s="907" t="s">
        <v>79</v>
      </c>
      <c r="QGD3424" s="909" t="s">
        <v>68</v>
      </c>
      <c r="QGE3424" s="910" t="s">
        <v>75</v>
      </c>
      <c r="QGF3424" s="911"/>
      <c r="QGG3424" s="911"/>
      <c r="QGH3424" s="911"/>
      <c r="QGI3424" s="911"/>
      <c r="QGJ3424" s="911"/>
      <c r="QGK3424" s="911"/>
      <c r="QGL3424" s="911"/>
      <c r="QGM3424" s="911"/>
      <c r="QGN3424" s="911"/>
      <c r="QGO3424" s="32"/>
      <c r="QGP3424" s="911" t="s">
        <v>74</v>
      </c>
      <c r="QGQ3424" s="911"/>
      <c r="QGR3424" s="911"/>
      <c r="QGS3424" s="911"/>
      <c r="QGT3424" s="911"/>
      <c r="QGU3424" s="911"/>
      <c r="QGV3424" s="911"/>
      <c r="QGW3424" s="911"/>
      <c r="QGX3424" s="911"/>
      <c r="QGY3424" s="912"/>
      <c r="QHA3424" s="913" t="s">
        <v>1</v>
      </c>
      <c r="QHB3424" s="31"/>
      <c r="QHC3424" s="909" t="s">
        <v>0</v>
      </c>
      <c r="QHD3424" s="909"/>
      <c r="QHE3424" s="909"/>
      <c r="QHF3424" s="909"/>
      <c r="QHG3424" s="909"/>
      <c r="QHH3424" s="909"/>
      <c r="QHI3424" s="907" t="s">
        <v>79</v>
      </c>
      <c r="QHJ3424" s="909" t="s">
        <v>68</v>
      </c>
      <c r="QHK3424" s="910" t="s">
        <v>75</v>
      </c>
      <c r="QHL3424" s="911"/>
      <c r="QHM3424" s="911"/>
      <c r="QHN3424" s="911"/>
      <c r="QHO3424" s="911"/>
      <c r="QHP3424" s="911"/>
      <c r="QHQ3424" s="911"/>
      <c r="QHR3424" s="911"/>
      <c r="QHS3424" s="911"/>
      <c r="QHT3424" s="911"/>
      <c r="QHU3424" s="32"/>
      <c r="QHV3424" s="911" t="s">
        <v>74</v>
      </c>
      <c r="QHW3424" s="911"/>
      <c r="QHX3424" s="911"/>
      <c r="QHY3424" s="911"/>
      <c r="QHZ3424" s="911"/>
      <c r="QIA3424" s="911"/>
      <c r="QIB3424" s="911"/>
      <c r="QIC3424" s="911"/>
      <c r="QID3424" s="911"/>
      <c r="QIE3424" s="912"/>
      <c r="QIG3424" s="913" t="s">
        <v>1</v>
      </c>
      <c r="QIH3424" s="31"/>
      <c r="QII3424" s="909" t="s">
        <v>0</v>
      </c>
      <c r="QIJ3424" s="909"/>
      <c r="QIK3424" s="909"/>
      <c r="QIL3424" s="909"/>
      <c r="QIM3424" s="909"/>
      <c r="QIN3424" s="909"/>
      <c r="QIO3424" s="907" t="s">
        <v>79</v>
      </c>
      <c r="QIP3424" s="909" t="s">
        <v>68</v>
      </c>
      <c r="QIQ3424" s="910" t="s">
        <v>75</v>
      </c>
      <c r="QIR3424" s="911"/>
      <c r="QIS3424" s="911"/>
      <c r="QIT3424" s="911"/>
      <c r="QIU3424" s="911"/>
      <c r="QIV3424" s="911"/>
      <c r="QIW3424" s="911"/>
      <c r="QIX3424" s="911"/>
      <c r="QIY3424" s="911"/>
      <c r="QIZ3424" s="911"/>
      <c r="QJA3424" s="32"/>
      <c r="QJB3424" s="911" t="s">
        <v>74</v>
      </c>
      <c r="QJC3424" s="911"/>
      <c r="QJD3424" s="911"/>
      <c r="QJE3424" s="911"/>
      <c r="QJF3424" s="911"/>
      <c r="QJG3424" s="911"/>
      <c r="QJH3424" s="911"/>
      <c r="QJI3424" s="911"/>
      <c r="QJJ3424" s="911"/>
      <c r="QJK3424" s="912"/>
      <c r="QJM3424" s="913" t="s">
        <v>1</v>
      </c>
      <c r="QJN3424" s="31"/>
      <c r="QJO3424" s="909" t="s">
        <v>0</v>
      </c>
      <c r="QJP3424" s="909"/>
      <c r="QJQ3424" s="909"/>
      <c r="QJR3424" s="909"/>
      <c r="QJS3424" s="909"/>
      <c r="QJT3424" s="909"/>
      <c r="QJU3424" s="907" t="s">
        <v>79</v>
      </c>
      <c r="QJV3424" s="909" t="s">
        <v>68</v>
      </c>
      <c r="QJW3424" s="910" t="s">
        <v>75</v>
      </c>
      <c r="QJX3424" s="911"/>
      <c r="QJY3424" s="911"/>
      <c r="QJZ3424" s="911"/>
      <c r="QKA3424" s="911"/>
      <c r="QKB3424" s="911"/>
      <c r="QKC3424" s="911"/>
      <c r="QKD3424" s="911"/>
      <c r="QKE3424" s="911"/>
      <c r="QKF3424" s="911"/>
      <c r="QKG3424" s="32"/>
      <c r="QKH3424" s="911" t="s">
        <v>74</v>
      </c>
      <c r="QKI3424" s="911"/>
      <c r="QKJ3424" s="911"/>
      <c r="QKK3424" s="911"/>
      <c r="QKL3424" s="911"/>
      <c r="QKM3424" s="911"/>
      <c r="QKN3424" s="911"/>
      <c r="QKO3424" s="911"/>
      <c r="QKP3424" s="911"/>
      <c r="QKQ3424" s="912"/>
      <c r="QKS3424" s="913" t="s">
        <v>1</v>
      </c>
      <c r="QKT3424" s="31"/>
      <c r="QKU3424" s="909" t="s">
        <v>0</v>
      </c>
      <c r="QKV3424" s="909"/>
      <c r="QKW3424" s="909"/>
      <c r="QKX3424" s="909"/>
      <c r="QKY3424" s="909"/>
      <c r="QKZ3424" s="909"/>
      <c r="QLA3424" s="907" t="s">
        <v>79</v>
      </c>
      <c r="QLB3424" s="909" t="s">
        <v>68</v>
      </c>
      <c r="QLC3424" s="910" t="s">
        <v>75</v>
      </c>
      <c r="QLD3424" s="911"/>
      <c r="QLE3424" s="911"/>
      <c r="QLF3424" s="911"/>
      <c r="QLG3424" s="911"/>
      <c r="QLH3424" s="911"/>
      <c r="QLI3424" s="911"/>
      <c r="QLJ3424" s="911"/>
      <c r="QLK3424" s="911"/>
      <c r="QLL3424" s="911"/>
      <c r="QLM3424" s="32"/>
      <c r="QLN3424" s="911" t="s">
        <v>74</v>
      </c>
      <c r="QLO3424" s="911"/>
      <c r="QLP3424" s="911"/>
      <c r="QLQ3424" s="911"/>
      <c r="QLR3424" s="911"/>
      <c r="QLS3424" s="911"/>
      <c r="QLT3424" s="911"/>
      <c r="QLU3424" s="911"/>
      <c r="QLV3424" s="911"/>
      <c r="QLW3424" s="912"/>
      <c r="QLY3424" s="913" t="s">
        <v>1</v>
      </c>
      <c r="QLZ3424" s="31"/>
      <c r="QMA3424" s="909" t="s">
        <v>0</v>
      </c>
      <c r="QMB3424" s="909"/>
      <c r="QMC3424" s="909"/>
      <c r="QMD3424" s="909"/>
      <c r="QME3424" s="909"/>
      <c r="QMF3424" s="909"/>
      <c r="QMG3424" s="907" t="s">
        <v>79</v>
      </c>
      <c r="QMH3424" s="909" t="s">
        <v>68</v>
      </c>
      <c r="QMI3424" s="910" t="s">
        <v>75</v>
      </c>
      <c r="QMJ3424" s="911"/>
      <c r="QMK3424" s="911"/>
      <c r="QML3424" s="911"/>
      <c r="QMM3424" s="911"/>
      <c r="QMN3424" s="911"/>
      <c r="QMO3424" s="911"/>
      <c r="QMP3424" s="911"/>
      <c r="QMQ3424" s="911"/>
      <c r="QMR3424" s="911"/>
      <c r="QMS3424" s="32"/>
      <c r="QMT3424" s="911" t="s">
        <v>74</v>
      </c>
      <c r="QMU3424" s="911"/>
      <c r="QMV3424" s="911"/>
      <c r="QMW3424" s="911"/>
      <c r="QMX3424" s="911"/>
      <c r="QMY3424" s="911"/>
      <c r="QMZ3424" s="911"/>
      <c r="QNA3424" s="911"/>
      <c r="QNB3424" s="911"/>
      <c r="QNC3424" s="912"/>
      <c r="QNE3424" s="913" t="s">
        <v>1</v>
      </c>
      <c r="QNF3424" s="31"/>
      <c r="QNG3424" s="909" t="s">
        <v>0</v>
      </c>
      <c r="QNH3424" s="909"/>
      <c r="QNI3424" s="909"/>
      <c r="QNJ3424" s="909"/>
      <c r="QNK3424" s="909"/>
      <c r="QNL3424" s="909"/>
      <c r="QNM3424" s="907" t="s">
        <v>79</v>
      </c>
      <c r="QNN3424" s="909" t="s">
        <v>68</v>
      </c>
      <c r="QNO3424" s="910" t="s">
        <v>75</v>
      </c>
      <c r="QNP3424" s="911"/>
      <c r="QNQ3424" s="911"/>
      <c r="QNR3424" s="911"/>
      <c r="QNS3424" s="911"/>
      <c r="QNT3424" s="911"/>
      <c r="QNU3424" s="911"/>
      <c r="QNV3424" s="911"/>
      <c r="QNW3424" s="911"/>
      <c r="QNX3424" s="911"/>
      <c r="QNY3424" s="32"/>
      <c r="QNZ3424" s="911" t="s">
        <v>74</v>
      </c>
      <c r="QOA3424" s="911"/>
      <c r="QOB3424" s="911"/>
      <c r="QOC3424" s="911"/>
      <c r="QOD3424" s="911"/>
      <c r="QOE3424" s="911"/>
      <c r="QOF3424" s="911"/>
      <c r="QOG3424" s="911"/>
      <c r="QOH3424" s="911"/>
      <c r="QOI3424" s="912"/>
      <c r="QOK3424" s="913" t="s">
        <v>1</v>
      </c>
      <c r="QOL3424" s="31"/>
      <c r="QOM3424" s="909" t="s">
        <v>0</v>
      </c>
      <c r="QON3424" s="909"/>
      <c r="QOO3424" s="909"/>
      <c r="QOP3424" s="909"/>
      <c r="QOQ3424" s="909"/>
      <c r="QOR3424" s="909"/>
      <c r="QOS3424" s="907" t="s">
        <v>79</v>
      </c>
      <c r="QOT3424" s="909" t="s">
        <v>68</v>
      </c>
      <c r="QOU3424" s="910" t="s">
        <v>75</v>
      </c>
      <c r="QOV3424" s="911"/>
      <c r="QOW3424" s="911"/>
      <c r="QOX3424" s="911"/>
      <c r="QOY3424" s="911"/>
      <c r="QOZ3424" s="911"/>
      <c r="QPA3424" s="911"/>
      <c r="QPB3424" s="911"/>
      <c r="QPC3424" s="911"/>
      <c r="QPD3424" s="911"/>
      <c r="QPE3424" s="32"/>
      <c r="QPF3424" s="911" t="s">
        <v>74</v>
      </c>
      <c r="QPG3424" s="911"/>
      <c r="QPH3424" s="911"/>
      <c r="QPI3424" s="911"/>
      <c r="QPJ3424" s="911"/>
      <c r="QPK3424" s="911"/>
      <c r="QPL3424" s="911"/>
      <c r="QPM3424" s="911"/>
      <c r="QPN3424" s="911"/>
      <c r="QPO3424" s="912"/>
      <c r="QPQ3424" s="913" t="s">
        <v>1</v>
      </c>
      <c r="QPR3424" s="31"/>
      <c r="QPS3424" s="909" t="s">
        <v>0</v>
      </c>
      <c r="QPT3424" s="909"/>
      <c r="QPU3424" s="909"/>
      <c r="QPV3424" s="909"/>
      <c r="QPW3424" s="909"/>
      <c r="QPX3424" s="909"/>
      <c r="QPY3424" s="907" t="s">
        <v>79</v>
      </c>
      <c r="QPZ3424" s="909" t="s">
        <v>68</v>
      </c>
      <c r="QQA3424" s="910" t="s">
        <v>75</v>
      </c>
      <c r="QQB3424" s="911"/>
      <c r="QQC3424" s="911"/>
      <c r="QQD3424" s="911"/>
      <c r="QQE3424" s="911"/>
      <c r="QQF3424" s="911"/>
      <c r="QQG3424" s="911"/>
      <c r="QQH3424" s="911"/>
      <c r="QQI3424" s="911"/>
      <c r="QQJ3424" s="911"/>
      <c r="QQK3424" s="32"/>
      <c r="QQL3424" s="911" t="s">
        <v>74</v>
      </c>
      <c r="QQM3424" s="911"/>
      <c r="QQN3424" s="911"/>
      <c r="QQO3424" s="911"/>
      <c r="QQP3424" s="911"/>
      <c r="QQQ3424" s="911"/>
      <c r="QQR3424" s="911"/>
      <c r="QQS3424" s="911"/>
      <c r="QQT3424" s="911"/>
      <c r="QQU3424" s="912"/>
      <c r="QQW3424" s="913" t="s">
        <v>1</v>
      </c>
      <c r="QQX3424" s="31"/>
      <c r="QQY3424" s="909" t="s">
        <v>0</v>
      </c>
      <c r="QQZ3424" s="909"/>
      <c r="QRA3424" s="909"/>
      <c r="QRB3424" s="909"/>
      <c r="QRC3424" s="909"/>
      <c r="QRD3424" s="909"/>
      <c r="QRE3424" s="907" t="s">
        <v>79</v>
      </c>
      <c r="QRF3424" s="909" t="s">
        <v>68</v>
      </c>
      <c r="QRG3424" s="910" t="s">
        <v>75</v>
      </c>
      <c r="QRH3424" s="911"/>
      <c r="QRI3424" s="911"/>
      <c r="QRJ3424" s="911"/>
      <c r="QRK3424" s="911"/>
      <c r="QRL3424" s="911"/>
      <c r="QRM3424" s="911"/>
      <c r="QRN3424" s="911"/>
      <c r="QRO3424" s="911"/>
      <c r="QRP3424" s="911"/>
      <c r="QRQ3424" s="32"/>
      <c r="QRR3424" s="911" t="s">
        <v>74</v>
      </c>
      <c r="QRS3424" s="911"/>
      <c r="QRT3424" s="911"/>
      <c r="QRU3424" s="911"/>
      <c r="QRV3424" s="911"/>
      <c r="QRW3424" s="911"/>
      <c r="QRX3424" s="911"/>
      <c r="QRY3424" s="911"/>
      <c r="QRZ3424" s="911"/>
      <c r="QSA3424" s="912"/>
      <c r="QSC3424" s="913" t="s">
        <v>1</v>
      </c>
      <c r="QSD3424" s="31"/>
      <c r="QSE3424" s="909" t="s">
        <v>0</v>
      </c>
      <c r="QSF3424" s="909"/>
      <c r="QSG3424" s="909"/>
      <c r="QSH3424" s="909"/>
      <c r="QSI3424" s="909"/>
      <c r="QSJ3424" s="909"/>
      <c r="QSK3424" s="907" t="s">
        <v>79</v>
      </c>
      <c r="QSL3424" s="909" t="s">
        <v>68</v>
      </c>
      <c r="QSM3424" s="910" t="s">
        <v>75</v>
      </c>
      <c r="QSN3424" s="911"/>
      <c r="QSO3424" s="911"/>
      <c r="QSP3424" s="911"/>
      <c r="QSQ3424" s="911"/>
      <c r="QSR3424" s="911"/>
      <c r="QSS3424" s="911"/>
      <c r="QST3424" s="911"/>
      <c r="QSU3424" s="911"/>
      <c r="QSV3424" s="911"/>
      <c r="QSW3424" s="32"/>
      <c r="QSX3424" s="911" t="s">
        <v>74</v>
      </c>
      <c r="QSY3424" s="911"/>
      <c r="QSZ3424" s="911"/>
      <c r="QTA3424" s="911"/>
      <c r="QTB3424" s="911"/>
      <c r="QTC3424" s="911"/>
      <c r="QTD3424" s="911"/>
      <c r="QTE3424" s="911"/>
      <c r="QTF3424" s="911"/>
      <c r="QTG3424" s="912"/>
      <c r="QTI3424" s="913" t="s">
        <v>1</v>
      </c>
      <c r="QTJ3424" s="31"/>
      <c r="QTK3424" s="909" t="s">
        <v>0</v>
      </c>
      <c r="QTL3424" s="909"/>
      <c r="QTM3424" s="909"/>
      <c r="QTN3424" s="909"/>
      <c r="QTO3424" s="909"/>
      <c r="QTP3424" s="909"/>
      <c r="QTQ3424" s="907" t="s">
        <v>79</v>
      </c>
      <c r="QTR3424" s="909" t="s">
        <v>68</v>
      </c>
      <c r="QTS3424" s="910" t="s">
        <v>75</v>
      </c>
      <c r="QTT3424" s="911"/>
      <c r="QTU3424" s="911"/>
      <c r="QTV3424" s="911"/>
      <c r="QTW3424" s="911"/>
      <c r="QTX3424" s="911"/>
      <c r="QTY3424" s="911"/>
      <c r="QTZ3424" s="911"/>
      <c r="QUA3424" s="911"/>
      <c r="QUB3424" s="911"/>
      <c r="QUC3424" s="32"/>
      <c r="QUD3424" s="911" t="s">
        <v>74</v>
      </c>
      <c r="QUE3424" s="911"/>
      <c r="QUF3424" s="911"/>
      <c r="QUG3424" s="911"/>
      <c r="QUH3424" s="911"/>
      <c r="QUI3424" s="911"/>
      <c r="QUJ3424" s="911"/>
      <c r="QUK3424" s="911"/>
      <c r="QUL3424" s="911"/>
      <c r="QUM3424" s="912"/>
      <c r="QUO3424" s="913" t="s">
        <v>1</v>
      </c>
      <c r="QUP3424" s="31"/>
      <c r="QUQ3424" s="909" t="s">
        <v>0</v>
      </c>
      <c r="QUR3424" s="909"/>
      <c r="QUS3424" s="909"/>
      <c r="QUT3424" s="909"/>
      <c r="QUU3424" s="909"/>
      <c r="QUV3424" s="909"/>
      <c r="QUW3424" s="907" t="s">
        <v>79</v>
      </c>
      <c r="QUX3424" s="909" t="s">
        <v>68</v>
      </c>
      <c r="QUY3424" s="910" t="s">
        <v>75</v>
      </c>
      <c r="QUZ3424" s="911"/>
      <c r="QVA3424" s="911"/>
      <c r="QVB3424" s="911"/>
      <c r="QVC3424" s="911"/>
      <c r="QVD3424" s="911"/>
      <c r="QVE3424" s="911"/>
      <c r="QVF3424" s="911"/>
      <c r="QVG3424" s="911"/>
      <c r="QVH3424" s="911"/>
      <c r="QVI3424" s="32"/>
      <c r="QVJ3424" s="911" t="s">
        <v>74</v>
      </c>
      <c r="QVK3424" s="911"/>
      <c r="QVL3424" s="911"/>
      <c r="QVM3424" s="911"/>
      <c r="QVN3424" s="911"/>
      <c r="QVO3424" s="911"/>
      <c r="QVP3424" s="911"/>
      <c r="QVQ3424" s="911"/>
      <c r="QVR3424" s="911"/>
      <c r="QVS3424" s="912"/>
      <c r="QVU3424" s="913" t="s">
        <v>1</v>
      </c>
      <c r="QVV3424" s="31"/>
      <c r="QVW3424" s="909" t="s">
        <v>0</v>
      </c>
      <c r="QVX3424" s="909"/>
      <c r="QVY3424" s="909"/>
      <c r="QVZ3424" s="909"/>
      <c r="QWA3424" s="909"/>
      <c r="QWB3424" s="909"/>
      <c r="QWC3424" s="907" t="s">
        <v>79</v>
      </c>
      <c r="QWD3424" s="909" t="s">
        <v>68</v>
      </c>
      <c r="QWE3424" s="910" t="s">
        <v>75</v>
      </c>
      <c r="QWF3424" s="911"/>
      <c r="QWG3424" s="911"/>
      <c r="QWH3424" s="911"/>
      <c r="QWI3424" s="911"/>
      <c r="QWJ3424" s="911"/>
      <c r="QWK3424" s="911"/>
      <c r="QWL3424" s="911"/>
      <c r="QWM3424" s="911"/>
      <c r="QWN3424" s="911"/>
      <c r="QWO3424" s="32"/>
      <c r="QWP3424" s="911" t="s">
        <v>74</v>
      </c>
      <c r="QWQ3424" s="911"/>
      <c r="QWR3424" s="911"/>
      <c r="QWS3424" s="911"/>
      <c r="QWT3424" s="911"/>
      <c r="QWU3424" s="911"/>
      <c r="QWV3424" s="911"/>
      <c r="QWW3424" s="911"/>
      <c r="QWX3424" s="911"/>
      <c r="QWY3424" s="912"/>
      <c r="QXA3424" s="913" t="s">
        <v>1</v>
      </c>
      <c r="QXB3424" s="31"/>
      <c r="QXC3424" s="909" t="s">
        <v>0</v>
      </c>
      <c r="QXD3424" s="909"/>
      <c r="QXE3424" s="909"/>
      <c r="QXF3424" s="909"/>
      <c r="QXG3424" s="909"/>
      <c r="QXH3424" s="909"/>
      <c r="QXI3424" s="907" t="s">
        <v>79</v>
      </c>
      <c r="QXJ3424" s="909" t="s">
        <v>68</v>
      </c>
      <c r="QXK3424" s="910" t="s">
        <v>75</v>
      </c>
      <c r="QXL3424" s="911"/>
      <c r="QXM3424" s="911"/>
      <c r="QXN3424" s="911"/>
      <c r="QXO3424" s="911"/>
      <c r="QXP3424" s="911"/>
      <c r="QXQ3424" s="911"/>
      <c r="QXR3424" s="911"/>
      <c r="QXS3424" s="911"/>
      <c r="QXT3424" s="911"/>
      <c r="QXU3424" s="32"/>
      <c r="QXV3424" s="911" t="s">
        <v>74</v>
      </c>
      <c r="QXW3424" s="911"/>
      <c r="QXX3424" s="911"/>
      <c r="QXY3424" s="911"/>
      <c r="QXZ3424" s="911"/>
      <c r="QYA3424" s="911"/>
      <c r="QYB3424" s="911"/>
      <c r="QYC3424" s="911"/>
      <c r="QYD3424" s="911"/>
      <c r="QYE3424" s="912"/>
      <c r="QYG3424" s="913" t="s">
        <v>1</v>
      </c>
      <c r="QYH3424" s="31"/>
      <c r="QYI3424" s="909" t="s">
        <v>0</v>
      </c>
      <c r="QYJ3424" s="909"/>
      <c r="QYK3424" s="909"/>
      <c r="QYL3424" s="909"/>
      <c r="QYM3424" s="909"/>
      <c r="QYN3424" s="909"/>
      <c r="QYO3424" s="907" t="s">
        <v>79</v>
      </c>
      <c r="QYP3424" s="909" t="s">
        <v>68</v>
      </c>
      <c r="QYQ3424" s="910" t="s">
        <v>75</v>
      </c>
      <c r="QYR3424" s="911"/>
      <c r="QYS3424" s="911"/>
      <c r="QYT3424" s="911"/>
      <c r="QYU3424" s="911"/>
      <c r="QYV3424" s="911"/>
      <c r="QYW3424" s="911"/>
      <c r="QYX3424" s="911"/>
      <c r="QYY3424" s="911"/>
      <c r="QYZ3424" s="911"/>
      <c r="QZA3424" s="32"/>
      <c r="QZB3424" s="911" t="s">
        <v>74</v>
      </c>
      <c r="QZC3424" s="911"/>
      <c r="QZD3424" s="911"/>
      <c r="QZE3424" s="911"/>
      <c r="QZF3424" s="911"/>
      <c r="QZG3424" s="911"/>
      <c r="QZH3424" s="911"/>
      <c r="QZI3424" s="911"/>
      <c r="QZJ3424" s="911"/>
      <c r="QZK3424" s="912"/>
      <c r="QZM3424" s="913" t="s">
        <v>1</v>
      </c>
      <c r="QZN3424" s="31"/>
      <c r="QZO3424" s="909" t="s">
        <v>0</v>
      </c>
      <c r="QZP3424" s="909"/>
      <c r="QZQ3424" s="909"/>
      <c r="QZR3424" s="909"/>
      <c r="QZS3424" s="909"/>
      <c r="QZT3424" s="909"/>
      <c r="QZU3424" s="907" t="s">
        <v>79</v>
      </c>
      <c r="QZV3424" s="909" t="s">
        <v>68</v>
      </c>
      <c r="QZW3424" s="910" t="s">
        <v>75</v>
      </c>
      <c r="QZX3424" s="911"/>
      <c r="QZY3424" s="911"/>
      <c r="QZZ3424" s="911"/>
      <c r="RAA3424" s="911"/>
      <c r="RAB3424" s="911"/>
      <c r="RAC3424" s="911"/>
      <c r="RAD3424" s="911"/>
      <c r="RAE3424" s="911"/>
      <c r="RAF3424" s="911"/>
      <c r="RAG3424" s="32"/>
      <c r="RAH3424" s="911" t="s">
        <v>74</v>
      </c>
      <c r="RAI3424" s="911"/>
      <c r="RAJ3424" s="911"/>
      <c r="RAK3424" s="911"/>
      <c r="RAL3424" s="911"/>
      <c r="RAM3424" s="911"/>
      <c r="RAN3424" s="911"/>
      <c r="RAO3424" s="911"/>
      <c r="RAP3424" s="911"/>
      <c r="RAQ3424" s="912"/>
      <c r="RAS3424" s="913" t="s">
        <v>1</v>
      </c>
      <c r="RAT3424" s="31"/>
      <c r="RAU3424" s="909" t="s">
        <v>0</v>
      </c>
      <c r="RAV3424" s="909"/>
      <c r="RAW3424" s="909"/>
      <c r="RAX3424" s="909"/>
      <c r="RAY3424" s="909"/>
      <c r="RAZ3424" s="909"/>
      <c r="RBA3424" s="907" t="s">
        <v>79</v>
      </c>
      <c r="RBB3424" s="909" t="s">
        <v>68</v>
      </c>
      <c r="RBC3424" s="910" t="s">
        <v>75</v>
      </c>
      <c r="RBD3424" s="911"/>
      <c r="RBE3424" s="911"/>
      <c r="RBF3424" s="911"/>
      <c r="RBG3424" s="911"/>
      <c r="RBH3424" s="911"/>
      <c r="RBI3424" s="911"/>
      <c r="RBJ3424" s="911"/>
      <c r="RBK3424" s="911"/>
      <c r="RBL3424" s="911"/>
      <c r="RBM3424" s="32"/>
      <c r="RBN3424" s="911" t="s">
        <v>74</v>
      </c>
      <c r="RBO3424" s="911"/>
      <c r="RBP3424" s="911"/>
      <c r="RBQ3424" s="911"/>
      <c r="RBR3424" s="911"/>
      <c r="RBS3424" s="911"/>
      <c r="RBT3424" s="911"/>
      <c r="RBU3424" s="911"/>
      <c r="RBV3424" s="911"/>
      <c r="RBW3424" s="912"/>
      <c r="RBY3424" s="913" t="s">
        <v>1</v>
      </c>
      <c r="RBZ3424" s="31"/>
      <c r="RCA3424" s="909" t="s">
        <v>0</v>
      </c>
      <c r="RCB3424" s="909"/>
      <c r="RCC3424" s="909"/>
      <c r="RCD3424" s="909"/>
      <c r="RCE3424" s="909"/>
      <c r="RCF3424" s="909"/>
      <c r="RCG3424" s="907" t="s">
        <v>79</v>
      </c>
      <c r="RCH3424" s="909" t="s">
        <v>68</v>
      </c>
      <c r="RCI3424" s="910" t="s">
        <v>75</v>
      </c>
      <c r="RCJ3424" s="911"/>
      <c r="RCK3424" s="911"/>
      <c r="RCL3424" s="911"/>
      <c r="RCM3424" s="911"/>
      <c r="RCN3424" s="911"/>
      <c r="RCO3424" s="911"/>
      <c r="RCP3424" s="911"/>
      <c r="RCQ3424" s="911"/>
      <c r="RCR3424" s="911"/>
      <c r="RCS3424" s="32"/>
      <c r="RCT3424" s="911" t="s">
        <v>74</v>
      </c>
      <c r="RCU3424" s="911"/>
      <c r="RCV3424" s="911"/>
      <c r="RCW3424" s="911"/>
      <c r="RCX3424" s="911"/>
      <c r="RCY3424" s="911"/>
      <c r="RCZ3424" s="911"/>
      <c r="RDA3424" s="911"/>
      <c r="RDB3424" s="911"/>
      <c r="RDC3424" s="912"/>
      <c r="RDE3424" s="913" t="s">
        <v>1</v>
      </c>
      <c r="RDF3424" s="31"/>
      <c r="RDG3424" s="909" t="s">
        <v>0</v>
      </c>
      <c r="RDH3424" s="909"/>
      <c r="RDI3424" s="909"/>
      <c r="RDJ3424" s="909"/>
      <c r="RDK3424" s="909"/>
      <c r="RDL3424" s="909"/>
      <c r="RDM3424" s="907" t="s">
        <v>79</v>
      </c>
      <c r="RDN3424" s="909" t="s">
        <v>68</v>
      </c>
      <c r="RDO3424" s="910" t="s">
        <v>75</v>
      </c>
      <c r="RDP3424" s="911"/>
      <c r="RDQ3424" s="911"/>
      <c r="RDR3424" s="911"/>
      <c r="RDS3424" s="911"/>
      <c r="RDT3424" s="911"/>
      <c r="RDU3424" s="911"/>
      <c r="RDV3424" s="911"/>
      <c r="RDW3424" s="911"/>
      <c r="RDX3424" s="911"/>
      <c r="RDY3424" s="32"/>
      <c r="RDZ3424" s="911" t="s">
        <v>74</v>
      </c>
      <c r="REA3424" s="911"/>
      <c r="REB3424" s="911"/>
      <c r="REC3424" s="911"/>
      <c r="RED3424" s="911"/>
      <c r="REE3424" s="911"/>
      <c r="REF3424" s="911"/>
      <c r="REG3424" s="911"/>
      <c r="REH3424" s="911"/>
      <c r="REI3424" s="912"/>
      <c r="REK3424" s="913" t="s">
        <v>1</v>
      </c>
      <c r="REL3424" s="31"/>
      <c r="REM3424" s="909" t="s">
        <v>0</v>
      </c>
      <c r="REN3424" s="909"/>
      <c r="REO3424" s="909"/>
      <c r="REP3424" s="909"/>
      <c r="REQ3424" s="909"/>
      <c r="RER3424" s="909"/>
      <c r="RES3424" s="907" t="s">
        <v>79</v>
      </c>
      <c r="RET3424" s="909" t="s">
        <v>68</v>
      </c>
      <c r="REU3424" s="910" t="s">
        <v>75</v>
      </c>
      <c r="REV3424" s="911"/>
      <c r="REW3424" s="911"/>
      <c r="REX3424" s="911"/>
      <c r="REY3424" s="911"/>
      <c r="REZ3424" s="911"/>
      <c r="RFA3424" s="911"/>
      <c r="RFB3424" s="911"/>
      <c r="RFC3424" s="911"/>
      <c r="RFD3424" s="911"/>
      <c r="RFE3424" s="32"/>
      <c r="RFF3424" s="911" t="s">
        <v>74</v>
      </c>
      <c r="RFG3424" s="911"/>
      <c r="RFH3424" s="911"/>
      <c r="RFI3424" s="911"/>
      <c r="RFJ3424" s="911"/>
      <c r="RFK3424" s="911"/>
      <c r="RFL3424" s="911"/>
      <c r="RFM3424" s="911"/>
      <c r="RFN3424" s="911"/>
      <c r="RFO3424" s="912"/>
      <c r="RFQ3424" s="913" t="s">
        <v>1</v>
      </c>
      <c r="RFR3424" s="31"/>
      <c r="RFS3424" s="909" t="s">
        <v>0</v>
      </c>
      <c r="RFT3424" s="909"/>
      <c r="RFU3424" s="909"/>
      <c r="RFV3424" s="909"/>
      <c r="RFW3424" s="909"/>
      <c r="RFX3424" s="909"/>
      <c r="RFY3424" s="907" t="s">
        <v>79</v>
      </c>
      <c r="RFZ3424" s="909" t="s">
        <v>68</v>
      </c>
      <c r="RGA3424" s="910" t="s">
        <v>75</v>
      </c>
      <c r="RGB3424" s="911"/>
      <c r="RGC3424" s="911"/>
      <c r="RGD3424" s="911"/>
      <c r="RGE3424" s="911"/>
      <c r="RGF3424" s="911"/>
      <c r="RGG3424" s="911"/>
      <c r="RGH3424" s="911"/>
      <c r="RGI3424" s="911"/>
      <c r="RGJ3424" s="911"/>
      <c r="RGK3424" s="32"/>
      <c r="RGL3424" s="911" t="s">
        <v>74</v>
      </c>
      <c r="RGM3424" s="911"/>
      <c r="RGN3424" s="911"/>
      <c r="RGO3424" s="911"/>
      <c r="RGP3424" s="911"/>
      <c r="RGQ3424" s="911"/>
      <c r="RGR3424" s="911"/>
      <c r="RGS3424" s="911"/>
      <c r="RGT3424" s="911"/>
      <c r="RGU3424" s="912"/>
      <c r="RGW3424" s="913" t="s">
        <v>1</v>
      </c>
      <c r="RGX3424" s="31"/>
      <c r="RGY3424" s="909" t="s">
        <v>0</v>
      </c>
      <c r="RGZ3424" s="909"/>
      <c r="RHA3424" s="909"/>
      <c r="RHB3424" s="909"/>
      <c r="RHC3424" s="909"/>
      <c r="RHD3424" s="909"/>
      <c r="RHE3424" s="907" t="s">
        <v>79</v>
      </c>
      <c r="RHF3424" s="909" t="s">
        <v>68</v>
      </c>
      <c r="RHG3424" s="910" t="s">
        <v>75</v>
      </c>
      <c r="RHH3424" s="911"/>
      <c r="RHI3424" s="911"/>
      <c r="RHJ3424" s="911"/>
      <c r="RHK3424" s="911"/>
      <c r="RHL3424" s="911"/>
      <c r="RHM3424" s="911"/>
      <c r="RHN3424" s="911"/>
      <c r="RHO3424" s="911"/>
      <c r="RHP3424" s="911"/>
      <c r="RHQ3424" s="32"/>
      <c r="RHR3424" s="911" t="s">
        <v>74</v>
      </c>
      <c r="RHS3424" s="911"/>
      <c r="RHT3424" s="911"/>
      <c r="RHU3424" s="911"/>
      <c r="RHV3424" s="911"/>
      <c r="RHW3424" s="911"/>
      <c r="RHX3424" s="911"/>
      <c r="RHY3424" s="911"/>
      <c r="RHZ3424" s="911"/>
      <c r="RIA3424" s="912"/>
      <c r="RIC3424" s="913" t="s">
        <v>1</v>
      </c>
      <c r="RID3424" s="31"/>
      <c r="RIE3424" s="909" t="s">
        <v>0</v>
      </c>
      <c r="RIF3424" s="909"/>
      <c r="RIG3424" s="909"/>
      <c r="RIH3424" s="909"/>
      <c r="RII3424" s="909"/>
      <c r="RIJ3424" s="909"/>
      <c r="RIK3424" s="907" t="s">
        <v>79</v>
      </c>
      <c r="RIL3424" s="909" t="s">
        <v>68</v>
      </c>
      <c r="RIM3424" s="910" t="s">
        <v>75</v>
      </c>
      <c r="RIN3424" s="911"/>
      <c r="RIO3424" s="911"/>
      <c r="RIP3424" s="911"/>
      <c r="RIQ3424" s="911"/>
      <c r="RIR3424" s="911"/>
      <c r="RIS3424" s="911"/>
      <c r="RIT3424" s="911"/>
      <c r="RIU3424" s="911"/>
      <c r="RIV3424" s="911"/>
      <c r="RIW3424" s="32"/>
      <c r="RIX3424" s="911" t="s">
        <v>74</v>
      </c>
      <c r="RIY3424" s="911"/>
      <c r="RIZ3424" s="911"/>
      <c r="RJA3424" s="911"/>
      <c r="RJB3424" s="911"/>
      <c r="RJC3424" s="911"/>
      <c r="RJD3424" s="911"/>
      <c r="RJE3424" s="911"/>
      <c r="RJF3424" s="911"/>
      <c r="RJG3424" s="912"/>
      <c r="RJI3424" s="913" t="s">
        <v>1</v>
      </c>
      <c r="RJJ3424" s="31"/>
      <c r="RJK3424" s="909" t="s">
        <v>0</v>
      </c>
      <c r="RJL3424" s="909"/>
      <c r="RJM3424" s="909"/>
      <c r="RJN3424" s="909"/>
      <c r="RJO3424" s="909"/>
      <c r="RJP3424" s="909"/>
      <c r="RJQ3424" s="907" t="s">
        <v>79</v>
      </c>
      <c r="RJR3424" s="909" t="s">
        <v>68</v>
      </c>
      <c r="RJS3424" s="910" t="s">
        <v>75</v>
      </c>
      <c r="RJT3424" s="911"/>
      <c r="RJU3424" s="911"/>
      <c r="RJV3424" s="911"/>
      <c r="RJW3424" s="911"/>
      <c r="RJX3424" s="911"/>
      <c r="RJY3424" s="911"/>
      <c r="RJZ3424" s="911"/>
      <c r="RKA3424" s="911"/>
      <c r="RKB3424" s="911"/>
      <c r="RKC3424" s="32"/>
      <c r="RKD3424" s="911" t="s">
        <v>74</v>
      </c>
      <c r="RKE3424" s="911"/>
      <c r="RKF3424" s="911"/>
      <c r="RKG3424" s="911"/>
      <c r="RKH3424" s="911"/>
      <c r="RKI3424" s="911"/>
      <c r="RKJ3424" s="911"/>
      <c r="RKK3424" s="911"/>
      <c r="RKL3424" s="911"/>
      <c r="RKM3424" s="912"/>
      <c r="RKO3424" s="913" t="s">
        <v>1</v>
      </c>
      <c r="RKP3424" s="31"/>
      <c r="RKQ3424" s="909" t="s">
        <v>0</v>
      </c>
      <c r="RKR3424" s="909"/>
      <c r="RKS3424" s="909"/>
      <c r="RKT3424" s="909"/>
      <c r="RKU3424" s="909"/>
      <c r="RKV3424" s="909"/>
      <c r="RKW3424" s="907" t="s">
        <v>79</v>
      </c>
      <c r="RKX3424" s="909" t="s">
        <v>68</v>
      </c>
      <c r="RKY3424" s="910" t="s">
        <v>75</v>
      </c>
      <c r="RKZ3424" s="911"/>
      <c r="RLA3424" s="911"/>
      <c r="RLB3424" s="911"/>
      <c r="RLC3424" s="911"/>
      <c r="RLD3424" s="911"/>
      <c r="RLE3424" s="911"/>
      <c r="RLF3424" s="911"/>
      <c r="RLG3424" s="911"/>
      <c r="RLH3424" s="911"/>
      <c r="RLI3424" s="32"/>
      <c r="RLJ3424" s="911" t="s">
        <v>74</v>
      </c>
      <c r="RLK3424" s="911"/>
      <c r="RLL3424" s="911"/>
      <c r="RLM3424" s="911"/>
      <c r="RLN3424" s="911"/>
      <c r="RLO3424" s="911"/>
      <c r="RLP3424" s="911"/>
      <c r="RLQ3424" s="911"/>
      <c r="RLR3424" s="911"/>
      <c r="RLS3424" s="912"/>
      <c r="RLU3424" s="913" t="s">
        <v>1</v>
      </c>
      <c r="RLV3424" s="31"/>
      <c r="RLW3424" s="909" t="s">
        <v>0</v>
      </c>
      <c r="RLX3424" s="909"/>
      <c r="RLY3424" s="909"/>
      <c r="RLZ3424" s="909"/>
      <c r="RMA3424" s="909"/>
      <c r="RMB3424" s="909"/>
      <c r="RMC3424" s="907" t="s">
        <v>79</v>
      </c>
      <c r="RMD3424" s="909" t="s">
        <v>68</v>
      </c>
      <c r="RME3424" s="910" t="s">
        <v>75</v>
      </c>
      <c r="RMF3424" s="911"/>
      <c r="RMG3424" s="911"/>
      <c r="RMH3424" s="911"/>
      <c r="RMI3424" s="911"/>
      <c r="RMJ3424" s="911"/>
      <c r="RMK3424" s="911"/>
      <c r="RML3424" s="911"/>
      <c r="RMM3424" s="911"/>
      <c r="RMN3424" s="911"/>
      <c r="RMO3424" s="32"/>
      <c r="RMP3424" s="911" t="s">
        <v>74</v>
      </c>
      <c r="RMQ3424" s="911"/>
      <c r="RMR3424" s="911"/>
      <c r="RMS3424" s="911"/>
      <c r="RMT3424" s="911"/>
      <c r="RMU3424" s="911"/>
      <c r="RMV3424" s="911"/>
      <c r="RMW3424" s="911"/>
      <c r="RMX3424" s="911"/>
      <c r="RMY3424" s="912"/>
      <c r="RNA3424" s="913" t="s">
        <v>1</v>
      </c>
      <c r="RNB3424" s="31"/>
      <c r="RNC3424" s="909" t="s">
        <v>0</v>
      </c>
      <c r="RND3424" s="909"/>
      <c r="RNE3424" s="909"/>
      <c r="RNF3424" s="909"/>
      <c r="RNG3424" s="909"/>
      <c r="RNH3424" s="909"/>
      <c r="RNI3424" s="907" t="s">
        <v>79</v>
      </c>
      <c r="RNJ3424" s="909" t="s">
        <v>68</v>
      </c>
      <c r="RNK3424" s="910" t="s">
        <v>75</v>
      </c>
      <c r="RNL3424" s="911"/>
      <c r="RNM3424" s="911"/>
      <c r="RNN3424" s="911"/>
      <c r="RNO3424" s="911"/>
      <c r="RNP3424" s="911"/>
      <c r="RNQ3424" s="911"/>
      <c r="RNR3424" s="911"/>
      <c r="RNS3424" s="911"/>
      <c r="RNT3424" s="911"/>
      <c r="RNU3424" s="32"/>
      <c r="RNV3424" s="911" t="s">
        <v>74</v>
      </c>
      <c r="RNW3424" s="911"/>
      <c r="RNX3424" s="911"/>
      <c r="RNY3424" s="911"/>
      <c r="RNZ3424" s="911"/>
      <c r="ROA3424" s="911"/>
      <c r="ROB3424" s="911"/>
      <c r="ROC3424" s="911"/>
      <c r="ROD3424" s="911"/>
      <c r="ROE3424" s="912"/>
      <c r="ROG3424" s="913" t="s">
        <v>1</v>
      </c>
      <c r="ROH3424" s="31"/>
      <c r="ROI3424" s="909" t="s">
        <v>0</v>
      </c>
      <c r="ROJ3424" s="909"/>
      <c r="ROK3424" s="909"/>
      <c r="ROL3424" s="909"/>
      <c r="ROM3424" s="909"/>
      <c r="RON3424" s="909"/>
      <c r="ROO3424" s="907" t="s">
        <v>79</v>
      </c>
      <c r="ROP3424" s="909" t="s">
        <v>68</v>
      </c>
      <c r="ROQ3424" s="910" t="s">
        <v>75</v>
      </c>
      <c r="ROR3424" s="911"/>
      <c r="ROS3424" s="911"/>
      <c r="ROT3424" s="911"/>
      <c r="ROU3424" s="911"/>
      <c r="ROV3424" s="911"/>
      <c r="ROW3424" s="911"/>
      <c r="ROX3424" s="911"/>
      <c r="ROY3424" s="911"/>
      <c r="ROZ3424" s="911"/>
      <c r="RPA3424" s="32"/>
      <c r="RPB3424" s="911" t="s">
        <v>74</v>
      </c>
      <c r="RPC3424" s="911"/>
      <c r="RPD3424" s="911"/>
      <c r="RPE3424" s="911"/>
      <c r="RPF3424" s="911"/>
      <c r="RPG3424" s="911"/>
      <c r="RPH3424" s="911"/>
      <c r="RPI3424" s="911"/>
      <c r="RPJ3424" s="911"/>
      <c r="RPK3424" s="912"/>
      <c r="RPM3424" s="913" t="s">
        <v>1</v>
      </c>
      <c r="RPN3424" s="31"/>
      <c r="RPO3424" s="909" t="s">
        <v>0</v>
      </c>
      <c r="RPP3424" s="909"/>
      <c r="RPQ3424" s="909"/>
      <c r="RPR3424" s="909"/>
      <c r="RPS3424" s="909"/>
      <c r="RPT3424" s="909"/>
      <c r="RPU3424" s="907" t="s">
        <v>79</v>
      </c>
      <c r="RPV3424" s="909" t="s">
        <v>68</v>
      </c>
      <c r="RPW3424" s="910" t="s">
        <v>75</v>
      </c>
      <c r="RPX3424" s="911"/>
      <c r="RPY3424" s="911"/>
      <c r="RPZ3424" s="911"/>
      <c r="RQA3424" s="911"/>
      <c r="RQB3424" s="911"/>
      <c r="RQC3424" s="911"/>
      <c r="RQD3424" s="911"/>
      <c r="RQE3424" s="911"/>
      <c r="RQF3424" s="911"/>
      <c r="RQG3424" s="32"/>
      <c r="RQH3424" s="911" t="s">
        <v>74</v>
      </c>
      <c r="RQI3424" s="911"/>
      <c r="RQJ3424" s="911"/>
      <c r="RQK3424" s="911"/>
      <c r="RQL3424" s="911"/>
      <c r="RQM3424" s="911"/>
      <c r="RQN3424" s="911"/>
      <c r="RQO3424" s="911"/>
      <c r="RQP3424" s="911"/>
      <c r="RQQ3424" s="912"/>
      <c r="RQS3424" s="913" t="s">
        <v>1</v>
      </c>
      <c r="RQT3424" s="31"/>
      <c r="RQU3424" s="909" t="s">
        <v>0</v>
      </c>
      <c r="RQV3424" s="909"/>
      <c r="RQW3424" s="909"/>
      <c r="RQX3424" s="909"/>
      <c r="RQY3424" s="909"/>
      <c r="RQZ3424" s="909"/>
      <c r="RRA3424" s="907" t="s">
        <v>79</v>
      </c>
      <c r="RRB3424" s="909" t="s">
        <v>68</v>
      </c>
      <c r="RRC3424" s="910" t="s">
        <v>75</v>
      </c>
      <c r="RRD3424" s="911"/>
      <c r="RRE3424" s="911"/>
      <c r="RRF3424" s="911"/>
      <c r="RRG3424" s="911"/>
      <c r="RRH3424" s="911"/>
      <c r="RRI3424" s="911"/>
      <c r="RRJ3424" s="911"/>
      <c r="RRK3424" s="911"/>
      <c r="RRL3424" s="911"/>
      <c r="RRM3424" s="32"/>
      <c r="RRN3424" s="911" t="s">
        <v>74</v>
      </c>
      <c r="RRO3424" s="911"/>
      <c r="RRP3424" s="911"/>
      <c r="RRQ3424" s="911"/>
      <c r="RRR3424" s="911"/>
      <c r="RRS3424" s="911"/>
      <c r="RRT3424" s="911"/>
      <c r="RRU3424" s="911"/>
      <c r="RRV3424" s="911"/>
      <c r="RRW3424" s="912"/>
      <c r="RRY3424" s="913" t="s">
        <v>1</v>
      </c>
      <c r="RRZ3424" s="31"/>
      <c r="RSA3424" s="909" t="s">
        <v>0</v>
      </c>
      <c r="RSB3424" s="909"/>
      <c r="RSC3424" s="909"/>
      <c r="RSD3424" s="909"/>
      <c r="RSE3424" s="909"/>
      <c r="RSF3424" s="909"/>
      <c r="RSG3424" s="907" t="s">
        <v>79</v>
      </c>
      <c r="RSH3424" s="909" t="s">
        <v>68</v>
      </c>
      <c r="RSI3424" s="910" t="s">
        <v>75</v>
      </c>
      <c r="RSJ3424" s="911"/>
      <c r="RSK3424" s="911"/>
      <c r="RSL3424" s="911"/>
      <c r="RSM3424" s="911"/>
      <c r="RSN3424" s="911"/>
      <c r="RSO3424" s="911"/>
      <c r="RSP3424" s="911"/>
      <c r="RSQ3424" s="911"/>
      <c r="RSR3424" s="911"/>
      <c r="RSS3424" s="32"/>
      <c r="RST3424" s="911" t="s">
        <v>74</v>
      </c>
      <c r="RSU3424" s="911"/>
      <c r="RSV3424" s="911"/>
      <c r="RSW3424" s="911"/>
      <c r="RSX3424" s="911"/>
      <c r="RSY3424" s="911"/>
      <c r="RSZ3424" s="911"/>
      <c r="RTA3424" s="911"/>
      <c r="RTB3424" s="911"/>
      <c r="RTC3424" s="912"/>
      <c r="RTE3424" s="913" t="s">
        <v>1</v>
      </c>
      <c r="RTF3424" s="31"/>
      <c r="RTG3424" s="909" t="s">
        <v>0</v>
      </c>
      <c r="RTH3424" s="909"/>
      <c r="RTI3424" s="909"/>
      <c r="RTJ3424" s="909"/>
      <c r="RTK3424" s="909"/>
      <c r="RTL3424" s="909"/>
      <c r="RTM3424" s="907" t="s">
        <v>79</v>
      </c>
      <c r="RTN3424" s="909" t="s">
        <v>68</v>
      </c>
      <c r="RTO3424" s="910" t="s">
        <v>75</v>
      </c>
      <c r="RTP3424" s="911"/>
      <c r="RTQ3424" s="911"/>
      <c r="RTR3424" s="911"/>
      <c r="RTS3424" s="911"/>
      <c r="RTT3424" s="911"/>
      <c r="RTU3424" s="911"/>
      <c r="RTV3424" s="911"/>
      <c r="RTW3424" s="911"/>
      <c r="RTX3424" s="911"/>
      <c r="RTY3424" s="32"/>
      <c r="RTZ3424" s="911" t="s">
        <v>74</v>
      </c>
      <c r="RUA3424" s="911"/>
      <c r="RUB3424" s="911"/>
      <c r="RUC3424" s="911"/>
      <c r="RUD3424" s="911"/>
      <c r="RUE3424" s="911"/>
      <c r="RUF3424" s="911"/>
      <c r="RUG3424" s="911"/>
      <c r="RUH3424" s="911"/>
      <c r="RUI3424" s="912"/>
      <c r="RUK3424" s="913" t="s">
        <v>1</v>
      </c>
      <c r="RUL3424" s="31"/>
      <c r="RUM3424" s="909" t="s">
        <v>0</v>
      </c>
      <c r="RUN3424" s="909"/>
      <c r="RUO3424" s="909"/>
      <c r="RUP3424" s="909"/>
      <c r="RUQ3424" s="909"/>
      <c r="RUR3424" s="909"/>
      <c r="RUS3424" s="907" t="s">
        <v>79</v>
      </c>
      <c r="RUT3424" s="909" t="s">
        <v>68</v>
      </c>
      <c r="RUU3424" s="910" t="s">
        <v>75</v>
      </c>
      <c r="RUV3424" s="911"/>
      <c r="RUW3424" s="911"/>
      <c r="RUX3424" s="911"/>
      <c r="RUY3424" s="911"/>
      <c r="RUZ3424" s="911"/>
      <c r="RVA3424" s="911"/>
      <c r="RVB3424" s="911"/>
      <c r="RVC3424" s="911"/>
      <c r="RVD3424" s="911"/>
      <c r="RVE3424" s="32"/>
      <c r="RVF3424" s="911" t="s">
        <v>74</v>
      </c>
      <c r="RVG3424" s="911"/>
      <c r="RVH3424" s="911"/>
      <c r="RVI3424" s="911"/>
      <c r="RVJ3424" s="911"/>
      <c r="RVK3424" s="911"/>
      <c r="RVL3424" s="911"/>
      <c r="RVM3424" s="911"/>
      <c r="RVN3424" s="911"/>
      <c r="RVO3424" s="912"/>
      <c r="RVQ3424" s="913" t="s">
        <v>1</v>
      </c>
      <c r="RVR3424" s="31"/>
      <c r="RVS3424" s="909" t="s">
        <v>0</v>
      </c>
      <c r="RVT3424" s="909"/>
      <c r="RVU3424" s="909"/>
      <c r="RVV3424" s="909"/>
      <c r="RVW3424" s="909"/>
      <c r="RVX3424" s="909"/>
      <c r="RVY3424" s="907" t="s">
        <v>79</v>
      </c>
      <c r="RVZ3424" s="909" t="s">
        <v>68</v>
      </c>
      <c r="RWA3424" s="910" t="s">
        <v>75</v>
      </c>
      <c r="RWB3424" s="911"/>
      <c r="RWC3424" s="911"/>
      <c r="RWD3424" s="911"/>
      <c r="RWE3424" s="911"/>
      <c r="RWF3424" s="911"/>
      <c r="RWG3424" s="911"/>
      <c r="RWH3424" s="911"/>
      <c r="RWI3424" s="911"/>
      <c r="RWJ3424" s="911"/>
      <c r="RWK3424" s="32"/>
      <c r="RWL3424" s="911" t="s">
        <v>74</v>
      </c>
      <c r="RWM3424" s="911"/>
      <c r="RWN3424" s="911"/>
      <c r="RWO3424" s="911"/>
      <c r="RWP3424" s="911"/>
      <c r="RWQ3424" s="911"/>
      <c r="RWR3424" s="911"/>
      <c r="RWS3424" s="911"/>
      <c r="RWT3424" s="911"/>
      <c r="RWU3424" s="912"/>
      <c r="RWW3424" s="913" t="s">
        <v>1</v>
      </c>
      <c r="RWX3424" s="31"/>
      <c r="RWY3424" s="909" t="s">
        <v>0</v>
      </c>
      <c r="RWZ3424" s="909"/>
      <c r="RXA3424" s="909"/>
      <c r="RXB3424" s="909"/>
      <c r="RXC3424" s="909"/>
      <c r="RXD3424" s="909"/>
      <c r="RXE3424" s="907" t="s">
        <v>79</v>
      </c>
      <c r="RXF3424" s="909" t="s">
        <v>68</v>
      </c>
      <c r="RXG3424" s="910" t="s">
        <v>75</v>
      </c>
      <c r="RXH3424" s="911"/>
      <c r="RXI3424" s="911"/>
      <c r="RXJ3424" s="911"/>
      <c r="RXK3424" s="911"/>
      <c r="RXL3424" s="911"/>
      <c r="RXM3424" s="911"/>
      <c r="RXN3424" s="911"/>
      <c r="RXO3424" s="911"/>
      <c r="RXP3424" s="911"/>
      <c r="RXQ3424" s="32"/>
      <c r="RXR3424" s="911" t="s">
        <v>74</v>
      </c>
      <c r="RXS3424" s="911"/>
      <c r="RXT3424" s="911"/>
      <c r="RXU3424" s="911"/>
      <c r="RXV3424" s="911"/>
      <c r="RXW3424" s="911"/>
      <c r="RXX3424" s="911"/>
      <c r="RXY3424" s="911"/>
      <c r="RXZ3424" s="911"/>
      <c r="RYA3424" s="912"/>
      <c r="RYC3424" s="913" t="s">
        <v>1</v>
      </c>
      <c r="RYD3424" s="31"/>
      <c r="RYE3424" s="909" t="s">
        <v>0</v>
      </c>
      <c r="RYF3424" s="909"/>
      <c r="RYG3424" s="909"/>
      <c r="RYH3424" s="909"/>
      <c r="RYI3424" s="909"/>
      <c r="RYJ3424" s="909"/>
      <c r="RYK3424" s="907" t="s">
        <v>79</v>
      </c>
      <c r="RYL3424" s="909" t="s">
        <v>68</v>
      </c>
      <c r="RYM3424" s="910" t="s">
        <v>75</v>
      </c>
      <c r="RYN3424" s="911"/>
      <c r="RYO3424" s="911"/>
      <c r="RYP3424" s="911"/>
      <c r="RYQ3424" s="911"/>
      <c r="RYR3424" s="911"/>
      <c r="RYS3424" s="911"/>
      <c r="RYT3424" s="911"/>
      <c r="RYU3424" s="911"/>
      <c r="RYV3424" s="911"/>
      <c r="RYW3424" s="32"/>
      <c r="RYX3424" s="911" t="s">
        <v>74</v>
      </c>
      <c r="RYY3424" s="911"/>
      <c r="RYZ3424" s="911"/>
      <c r="RZA3424" s="911"/>
      <c r="RZB3424" s="911"/>
      <c r="RZC3424" s="911"/>
      <c r="RZD3424" s="911"/>
      <c r="RZE3424" s="911"/>
      <c r="RZF3424" s="911"/>
      <c r="RZG3424" s="912"/>
      <c r="RZI3424" s="913" t="s">
        <v>1</v>
      </c>
      <c r="RZJ3424" s="31"/>
      <c r="RZK3424" s="909" t="s">
        <v>0</v>
      </c>
      <c r="RZL3424" s="909"/>
      <c r="RZM3424" s="909"/>
      <c r="RZN3424" s="909"/>
      <c r="RZO3424" s="909"/>
      <c r="RZP3424" s="909"/>
      <c r="RZQ3424" s="907" t="s">
        <v>79</v>
      </c>
      <c r="RZR3424" s="909" t="s">
        <v>68</v>
      </c>
      <c r="RZS3424" s="910" t="s">
        <v>75</v>
      </c>
      <c r="RZT3424" s="911"/>
      <c r="RZU3424" s="911"/>
      <c r="RZV3424" s="911"/>
      <c r="RZW3424" s="911"/>
      <c r="RZX3424" s="911"/>
      <c r="RZY3424" s="911"/>
      <c r="RZZ3424" s="911"/>
      <c r="SAA3424" s="911"/>
      <c r="SAB3424" s="911"/>
      <c r="SAC3424" s="32"/>
      <c r="SAD3424" s="911" t="s">
        <v>74</v>
      </c>
      <c r="SAE3424" s="911"/>
      <c r="SAF3424" s="911"/>
      <c r="SAG3424" s="911"/>
      <c r="SAH3424" s="911"/>
      <c r="SAI3424" s="911"/>
      <c r="SAJ3424" s="911"/>
      <c r="SAK3424" s="911"/>
      <c r="SAL3424" s="911"/>
      <c r="SAM3424" s="912"/>
      <c r="SAO3424" s="913" t="s">
        <v>1</v>
      </c>
      <c r="SAP3424" s="31"/>
      <c r="SAQ3424" s="909" t="s">
        <v>0</v>
      </c>
      <c r="SAR3424" s="909"/>
      <c r="SAS3424" s="909"/>
      <c r="SAT3424" s="909"/>
      <c r="SAU3424" s="909"/>
      <c r="SAV3424" s="909"/>
      <c r="SAW3424" s="907" t="s">
        <v>79</v>
      </c>
      <c r="SAX3424" s="909" t="s">
        <v>68</v>
      </c>
      <c r="SAY3424" s="910" t="s">
        <v>75</v>
      </c>
      <c r="SAZ3424" s="911"/>
      <c r="SBA3424" s="911"/>
      <c r="SBB3424" s="911"/>
      <c r="SBC3424" s="911"/>
      <c r="SBD3424" s="911"/>
      <c r="SBE3424" s="911"/>
      <c r="SBF3424" s="911"/>
      <c r="SBG3424" s="911"/>
      <c r="SBH3424" s="911"/>
      <c r="SBI3424" s="32"/>
      <c r="SBJ3424" s="911" t="s">
        <v>74</v>
      </c>
      <c r="SBK3424" s="911"/>
      <c r="SBL3424" s="911"/>
      <c r="SBM3424" s="911"/>
      <c r="SBN3424" s="911"/>
      <c r="SBO3424" s="911"/>
      <c r="SBP3424" s="911"/>
      <c r="SBQ3424" s="911"/>
      <c r="SBR3424" s="911"/>
      <c r="SBS3424" s="912"/>
      <c r="SBU3424" s="913" t="s">
        <v>1</v>
      </c>
      <c r="SBV3424" s="31"/>
      <c r="SBW3424" s="909" t="s">
        <v>0</v>
      </c>
      <c r="SBX3424" s="909"/>
      <c r="SBY3424" s="909"/>
      <c r="SBZ3424" s="909"/>
      <c r="SCA3424" s="909"/>
      <c r="SCB3424" s="909"/>
      <c r="SCC3424" s="907" t="s">
        <v>79</v>
      </c>
      <c r="SCD3424" s="909" t="s">
        <v>68</v>
      </c>
      <c r="SCE3424" s="910" t="s">
        <v>75</v>
      </c>
      <c r="SCF3424" s="911"/>
      <c r="SCG3424" s="911"/>
      <c r="SCH3424" s="911"/>
      <c r="SCI3424" s="911"/>
      <c r="SCJ3424" s="911"/>
      <c r="SCK3424" s="911"/>
      <c r="SCL3424" s="911"/>
      <c r="SCM3424" s="911"/>
      <c r="SCN3424" s="911"/>
      <c r="SCO3424" s="32"/>
      <c r="SCP3424" s="911" t="s">
        <v>74</v>
      </c>
      <c r="SCQ3424" s="911"/>
      <c r="SCR3424" s="911"/>
      <c r="SCS3424" s="911"/>
      <c r="SCT3424" s="911"/>
      <c r="SCU3424" s="911"/>
      <c r="SCV3424" s="911"/>
      <c r="SCW3424" s="911"/>
      <c r="SCX3424" s="911"/>
      <c r="SCY3424" s="912"/>
      <c r="SDA3424" s="913" t="s">
        <v>1</v>
      </c>
      <c r="SDB3424" s="31"/>
      <c r="SDC3424" s="909" t="s">
        <v>0</v>
      </c>
      <c r="SDD3424" s="909"/>
      <c r="SDE3424" s="909"/>
      <c r="SDF3424" s="909"/>
      <c r="SDG3424" s="909"/>
      <c r="SDH3424" s="909"/>
      <c r="SDI3424" s="907" t="s">
        <v>79</v>
      </c>
      <c r="SDJ3424" s="909" t="s">
        <v>68</v>
      </c>
      <c r="SDK3424" s="910" t="s">
        <v>75</v>
      </c>
      <c r="SDL3424" s="911"/>
      <c r="SDM3424" s="911"/>
      <c r="SDN3424" s="911"/>
      <c r="SDO3424" s="911"/>
      <c r="SDP3424" s="911"/>
      <c r="SDQ3424" s="911"/>
      <c r="SDR3424" s="911"/>
      <c r="SDS3424" s="911"/>
      <c r="SDT3424" s="911"/>
      <c r="SDU3424" s="32"/>
      <c r="SDV3424" s="911" t="s">
        <v>74</v>
      </c>
      <c r="SDW3424" s="911"/>
      <c r="SDX3424" s="911"/>
      <c r="SDY3424" s="911"/>
      <c r="SDZ3424" s="911"/>
      <c r="SEA3424" s="911"/>
      <c r="SEB3424" s="911"/>
      <c r="SEC3424" s="911"/>
      <c r="SED3424" s="911"/>
      <c r="SEE3424" s="912"/>
      <c r="SEG3424" s="913" t="s">
        <v>1</v>
      </c>
      <c r="SEH3424" s="31"/>
      <c r="SEI3424" s="909" t="s">
        <v>0</v>
      </c>
      <c r="SEJ3424" s="909"/>
      <c r="SEK3424" s="909"/>
      <c r="SEL3424" s="909"/>
      <c r="SEM3424" s="909"/>
      <c r="SEN3424" s="909"/>
      <c r="SEO3424" s="907" t="s">
        <v>79</v>
      </c>
      <c r="SEP3424" s="909" t="s">
        <v>68</v>
      </c>
      <c r="SEQ3424" s="910" t="s">
        <v>75</v>
      </c>
      <c r="SER3424" s="911"/>
      <c r="SES3424" s="911"/>
      <c r="SET3424" s="911"/>
      <c r="SEU3424" s="911"/>
      <c r="SEV3424" s="911"/>
      <c r="SEW3424" s="911"/>
      <c r="SEX3424" s="911"/>
      <c r="SEY3424" s="911"/>
      <c r="SEZ3424" s="911"/>
      <c r="SFA3424" s="32"/>
      <c r="SFB3424" s="911" t="s">
        <v>74</v>
      </c>
      <c r="SFC3424" s="911"/>
      <c r="SFD3424" s="911"/>
      <c r="SFE3424" s="911"/>
      <c r="SFF3424" s="911"/>
      <c r="SFG3424" s="911"/>
      <c r="SFH3424" s="911"/>
      <c r="SFI3424" s="911"/>
      <c r="SFJ3424" s="911"/>
      <c r="SFK3424" s="912"/>
      <c r="SFM3424" s="913" t="s">
        <v>1</v>
      </c>
      <c r="SFN3424" s="31"/>
      <c r="SFO3424" s="909" t="s">
        <v>0</v>
      </c>
      <c r="SFP3424" s="909"/>
      <c r="SFQ3424" s="909"/>
      <c r="SFR3424" s="909"/>
      <c r="SFS3424" s="909"/>
      <c r="SFT3424" s="909"/>
      <c r="SFU3424" s="907" t="s">
        <v>79</v>
      </c>
      <c r="SFV3424" s="909" t="s">
        <v>68</v>
      </c>
      <c r="SFW3424" s="910" t="s">
        <v>75</v>
      </c>
      <c r="SFX3424" s="911"/>
      <c r="SFY3424" s="911"/>
      <c r="SFZ3424" s="911"/>
      <c r="SGA3424" s="911"/>
      <c r="SGB3424" s="911"/>
      <c r="SGC3424" s="911"/>
      <c r="SGD3424" s="911"/>
      <c r="SGE3424" s="911"/>
      <c r="SGF3424" s="911"/>
      <c r="SGG3424" s="32"/>
      <c r="SGH3424" s="911" t="s">
        <v>74</v>
      </c>
      <c r="SGI3424" s="911"/>
      <c r="SGJ3424" s="911"/>
      <c r="SGK3424" s="911"/>
      <c r="SGL3424" s="911"/>
      <c r="SGM3424" s="911"/>
      <c r="SGN3424" s="911"/>
      <c r="SGO3424" s="911"/>
      <c r="SGP3424" s="911"/>
      <c r="SGQ3424" s="912"/>
      <c r="SGS3424" s="913" t="s">
        <v>1</v>
      </c>
      <c r="SGT3424" s="31"/>
      <c r="SGU3424" s="909" t="s">
        <v>0</v>
      </c>
      <c r="SGV3424" s="909"/>
      <c r="SGW3424" s="909"/>
      <c r="SGX3424" s="909"/>
      <c r="SGY3424" s="909"/>
      <c r="SGZ3424" s="909"/>
      <c r="SHA3424" s="907" t="s">
        <v>79</v>
      </c>
      <c r="SHB3424" s="909" t="s">
        <v>68</v>
      </c>
      <c r="SHC3424" s="910" t="s">
        <v>75</v>
      </c>
      <c r="SHD3424" s="911"/>
      <c r="SHE3424" s="911"/>
      <c r="SHF3424" s="911"/>
      <c r="SHG3424" s="911"/>
      <c r="SHH3424" s="911"/>
      <c r="SHI3424" s="911"/>
      <c r="SHJ3424" s="911"/>
      <c r="SHK3424" s="911"/>
      <c r="SHL3424" s="911"/>
      <c r="SHM3424" s="32"/>
      <c r="SHN3424" s="911" t="s">
        <v>74</v>
      </c>
      <c r="SHO3424" s="911"/>
      <c r="SHP3424" s="911"/>
      <c r="SHQ3424" s="911"/>
      <c r="SHR3424" s="911"/>
      <c r="SHS3424" s="911"/>
      <c r="SHT3424" s="911"/>
      <c r="SHU3424" s="911"/>
      <c r="SHV3424" s="911"/>
      <c r="SHW3424" s="912"/>
      <c r="SHY3424" s="913" t="s">
        <v>1</v>
      </c>
      <c r="SHZ3424" s="31"/>
      <c r="SIA3424" s="909" t="s">
        <v>0</v>
      </c>
      <c r="SIB3424" s="909"/>
      <c r="SIC3424" s="909"/>
      <c r="SID3424" s="909"/>
      <c r="SIE3424" s="909"/>
      <c r="SIF3424" s="909"/>
      <c r="SIG3424" s="907" t="s">
        <v>79</v>
      </c>
      <c r="SIH3424" s="909" t="s">
        <v>68</v>
      </c>
      <c r="SII3424" s="910" t="s">
        <v>75</v>
      </c>
      <c r="SIJ3424" s="911"/>
      <c r="SIK3424" s="911"/>
      <c r="SIL3424" s="911"/>
      <c r="SIM3424" s="911"/>
      <c r="SIN3424" s="911"/>
      <c r="SIO3424" s="911"/>
      <c r="SIP3424" s="911"/>
      <c r="SIQ3424" s="911"/>
      <c r="SIR3424" s="911"/>
      <c r="SIS3424" s="32"/>
      <c r="SIT3424" s="911" t="s">
        <v>74</v>
      </c>
      <c r="SIU3424" s="911"/>
      <c r="SIV3424" s="911"/>
      <c r="SIW3424" s="911"/>
      <c r="SIX3424" s="911"/>
      <c r="SIY3424" s="911"/>
      <c r="SIZ3424" s="911"/>
      <c r="SJA3424" s="911"/>
      <c r="SJB3424" s="911"/>
      <c r="SJC3424" s="912"/>
      <c r="SJE3424" s="913" t="s">
        <v>1</v>
      </c>
      <c r="SJF3424" s="31"/>
      <c r="SJG3424" s="909" t="s">
        <v>0</v>
      </c>
      <c r="SJH3424" s="909"/>
      <c r="SJI3424" s="909"/>
      <c r="SJJ3424" s="909"/>
      <c r="SJK3424" s="909"/>
      <c r="SJL3424" s="909"/>
      <c r="SJM3424" s="907" t="s">
        <v>79</v>
      </c>
      <c r="SJN3424" s="909" t="s">
        <v>68</v>
      </c>
      <c r="SJO3424" s="910" t="s">
        <v>75</v>
      </c>
      <c r="SJP3424" s="911"/>
      <c r="SJQ3424" s="911"/>
      <c r="SJR3424" s="911"/>
      <c r="SJS3424" s="911"/>
      <c r="SJT3424" s="911"/>
      <c r="SJU3424" s="911"/>
      <c r="SJV3424" s="911"/>
      <c r="SJW3424" s="911"/>
      <c r="SJX3424" s="911"/>
      <c r="SJY3424" s="32"/>
      <c r="SJZ3424" s="911" t="s">
        <v>74</v>
      </c>
      <c r="SKA3424" s="911"/>
      <c r="SKB3424" s="911"/>
      <c r="SKC3424" s="911"/>
      <c r="SKD3424" s="911"/>
      <c r="SKE3424" s="911"/>
      <c r="SKF3424" s="911"/>
      <c r="SKG3424" s="911"/>
      <c r="SKH3424" s="911"/>
      <c r="SKI3424" s="912"/>
      <c r="SKK3424" s="913" t="s">
        <v>1</v>
      </c>
      <c r="SKL3424" s="31"/>
      <c r="SKM3424" s="909" t="s">
        <v>0</v>
      </c>
      <c r="SKN3424" s="909"/>
      <c r="SKO3424" s="909"/>
      <c r="SKP3424" s="909"/>
      <c r="SKQ3424" s="909"/>
      <c r="SKR3424" s="909"/>
      <c r="SKS3424" s="907" t="s">
        <v>79</v>
      </c>
      <c r="SKT3424" s="909" t="s">
        <v>68</v>
      </c>
      <c r="SKU3424" s="910" t="s">
        <v>75</v>
      </c>
      <c r="SKV3424" s="911"/>
      <c r="SKW3424" s="911"/>
      <c r="SKX3424" s="911"/>
      <c r="SKY3424" s="911"/>
      <c r="SKZ3424" s="911"/>
      <c r="SLA3424" s="911"/>
      <c r="SLB3424" s="911"/>
      <c r="SLC3424" s="911"/>
      <c r="SLD3424" s="911"/>
      <c r="SLE3424" s="32"/>
      <c r="SLF3424" s="911" t="s">
        <v>74</v>
      </c>
      <c r="SLG3424" s="911"/>
      <c r="SLH3424" s="911"/>
      <c r="SLI3424" s="911"/>
      <c r="SLJ3424" s="911"/>
      <c r="SLK3424" s="911"/>
      <c r="SLL3424" s="911"/>
      <c r="SLM3424" s="911"/>
      <c r="SLN3424" s="911"/>
      <c r="SLO3424" s="912"/>
      <c r="SLQ3424" s="913" t="s">
        <v>1</v>
      </c>
      <c r="SLR3424" s="31"/>
      <c r="SLS3424" s="909" t="s">
        <v>0</v>
      </c>
      <c r="SLT3424" s="909"/>
      <c r="SLU3424" s="909"/>
      <c r="SLV3424" s="909"/>
      <c r="SLW3424" s="909"/>
      <c r="SLX3424" s="909"/>
      <c r="SLY3424" s="907" t="s">
        <v>79</v>
      </c>
      <c r="SLZ3424" s="909" t="s">
        <v>68</v>
      </c>
      <c r="SMA3424" s="910" t="s">
        <v>75</v>
      </c>
      <c r="SMB3424" s="911"/>
      <c r="SMC3424" s="911"/>
      <c r="SMD3424" s="911"/>
      <c r="SME3424" s="911"/>
      <c r="SMF3424" s="911"/>
      <c r="SMG3424" s="911"/>
      <c r="SMH3424" s="911"/>
      <c r="SMI3424" s="911"/>
      <c r="SMJ3424" s="911"/>
      <c r="SMK3424" s="32"/>
      <c r="SML3424" s="911" t="s">
        <v>74</v>
      </c>
      <c r="SMM3424" s="911"/>
      <c r="SMN3424" s="911"/>
      <c r="SMO3424" s="911"/>
      <c r="SMP3424" s="911"/>
      <c r="SMQ3424" s="911"/>
      <c r="SMR3424" s="911"/>
      <c r="SMS3424" s="911"/>
      <c r="SMT3424" s="911"/>
      <c r="SMU3424" s="912"/>
      <c r="SMW3424" s="913" t="s">
        <v>1</v>
      </c>
      <c r="SMX3424" s="31"/>
      <c r="SMY3424" s="909" t="s">
        <v>0</v>
      </c>
      <c r="SMZ3424" s="909"/>
      <c r="SNA3424" s="909"/>
      <c r="SNB3424" s="909"/>
      <c r="SNC3424" s="909"/>
      <c r="SND3424" s="909"/>
      <c r="SNE3424" s="907" t="s">
        <v>79</v>
      </c>
      <c r="SNF3424" s="909" t="s">
        <v>68</v>
      </c>
      <c r="SNG3424" s="910" t="s">
        <v>75</v>
      </c>
      <c r="SNH3424" s="911"/>
      <c r="SNI3424" s="911"/>
      <c r="SNJ3424" s="911"/>
      <c r="SNK3424" s="911"/>
      <c r="SNL3424" s="911"/>
      <c r="SNM3424" s="911"/>
      <c r="SNN3424" s="911"/>
      <c r="SNO3424" s="911"/>
      <c r="SNP3424" s="911"/>
      <c r="SNQ3424" s="32"/>
      <c r="SNR3424" s="911" t="s">
        <v>74</v>
      </c>
      <c r="SNS3424" s="911"/>
      <c r="SNT3424" s="911"/>
      <c r="SNU3424" s="911"/>
      <c r="SNV3424" s="911"/>
      <c r="SNW3424" s="911"/>
      <c r="SNX3424" s="911"/>
      <c r="SNY3424" s="911"/>
      <c r="SNZ3424" s="911"/>
      <c r="SOA3424" s="912"/>
      <c r="SOC3424" s="913" t="s">
        <v>1</v>
      </c>
      <c r="SOD3424" s="31"/>
      <c r="SOE3424" s="909" t="s">
        <v>0</v>
      </c>
      <c r="SOF3424" s="909"/>
      <c r="SOG3424" s="909"/>
      <c r="SOH3424" s="909"/>
      <c r="SOI3424" s="909"/>
      <c r="SOJ3424" s="909"/>
      <c r="SOK3424" s="907" t="s">
        <v>79</v>
      </c>
      <c r="SOL3424" s="909" t="s">
        <v>68</v>
      </c>
      <c r="SOM3424" s="910" t="s">
        <v>75</v>
      </c>
      <c r="SON3424" s="911"/>
      <c r="SOO3424" s="911"/>
      <c r="SOP3424" s="911"/>
      <c r="SOQ3424" s="911"/>
      <c r="SOR3424" s="911"/>
      <c r="SOS3424" s="911"/>
      <c r="SOT3424" s="911"/>
      <c r="SOU3424" s="911"/>
      <c r="SOV3424" s="911"/>
      <c r="SOW3424" s="32"/>
      <c r="SOX3424" s="911" t="s">
        <v>74</v>
      </c>
      <c r="SOY3424" s="911"/>
      <c r="SOZ3424" s="911"/>
      <c r="SPA3424" s="911"/>
      <c r="SPB3424" s="911"/>
      <c r="SPC3424" s="911"/>
      <c r="SPD3424" s="911"/>
      <c r="SPE3424" s="911"/>
      <c r="SPF3424" s="911"/>
      <c r="SPG3424" s="912"/>
      <c r="SPI3424" s="913" t="s">
        <v>1</v>
      </c>
      <c r="SPJ3424" s="31"/>
      <c r="SPK3424" s="909" t="s">
        <v>0</v>
      </c>
      <c r="SPL3424" s="909"/>
      <c r="SPM3424" s="909"/>
      <c r="SPN3424" s="909"/>
      <c r="SPO3424" s="909"/>
      <c r="SPP3424" s="909"/>
      <c r="SPQ3424" s="907" t="s">
        <v>79</v>
      </c>
      <c r="SPR3424" s="909" t="s">
        <v>68</v>
      </c>
      <c r="SPS3424" s="910" t="s">
        <v>75</v>
      </c>
      <c r="SPT3424" s="911"/>
      <c r="SPU3424" s="911"/>
      <c r="SPV3424" s="911"/>
      <c r="SPW3424" s="911"/>
      <c r="SPX3424" s="911"/>
      <c r="SPY3424" s="911"/>
      <c r="SPZ3424" s="911"/>
      <c r="SQA3424" s="911"/>
      <c r="SQB3424" s="911"/>
      <c r="SQC3424" s="32"/>
      <c r="SQD3424" s="911" t="s">
        <v>74</v>
      </c>
      <c r="SQE3424" s="911"/>
      <c r="SQF3424" s="911"/>
      <c r="SQG3424" s="911"/>
      <c r="SQH3424" s="911"/>
      <c r="SQI3424" s="911"/>
      <c r="SQJ3424" s="911"/>
      <c r="SQK3424" s="911"/>
      <c r="SQL3424" s="911"/>
      <c r="SQM3424" s="912"/>
      <c r="SQO3424" s="913" t="s">
        <v>1</v>
      </c>
      <c r="SQP3424" s="31"/>
      <c r="SQQ3424" s="909" t="s">
        <v>0</v>
      </c>
      <c r="SQR3424" s="909"/>
      <c r="SQS3424" s="909"/>
      <c r="SQT3424" s="909"/>
      <c r="SQU3424" s="909"/>
      <c r="SQV3424" s="909"/>
      <c r="SQW3424" s="907" t="s">
        <v>79</v>
      </c>
      <c r="SQX3424" s="909" t="s">
        <v>68</v>
      </c>
      <c r="SQY3424" s="910" t="s">
        <v>75</v>
      </c>
      <c r="SQZ3424" s="911"/>
      <c r="SRA3424" s="911"/>
      <c r="SRB3424" s="911"/>
      <c r="SRC3424" s="911"/>
      <c r="SRD3424" s="911"/>
      <c r="SRE3424" s="911"/>
      <c r="SRF3424" s="911"/>
      <c r="SRG3424" s="911"/>
      <c r="SRH3424" s="911"/>
      <c r="SRI3424" s="32"/>
      <c r="SRJ3424" s="911" t="s">
        <v>74</v>
      </c>
      <c r="SRK3424" s="911"/>
      <c r="SRL3424" s="911"/>
      <c r="SRM3424" s="911"/>
      <c r="SRN3424" s="911"/>
      <c r="SRO3424" s="911"/>
      <c r="SRP3424" s="911"/>
      <c r="SRQ3424" s="911"/>
      <c r="SRR3424" s="911"/>
      <c r="SRS3424" s="912"/>
      <c r="SRU3424" s="913" t="s">
        <v>1</v>
      </c>
      <c r="SRV3424" s="31"/>
      <c r="SRW3424" s="909" t="s">
        <v>0</v>
      </c>
      <c r="SRX3424" s="909"/>
      <c r="SRY3424" s="909"/>
      <c r="SRZ3424" s="909"/>
      <c r="SSA3424" s="909"/>
      <c r="SSB3424" s="909"/>
      <c r="SSC3424" s="907" t="s">
        <v>79</v>
      </c>
      <c r="SSD3424" s="909" t="s">
        <v>68</v>
      </c>
      <c r="SSE3424" s="910" t="s">
        <v>75</v>
      </c>
      <c r="SSF3424" s="911"/>
      <c r="SSG3424" s="911"/>
      <c r="SSH3424" s="911"/>
      <c r="SSI3424" s="911"/>
      <c r="SSJ3424" s="911"/>
      <c r="SSK3424" s="911"/>
      <c r="SSL3424" s="911"/>
      <c r="SSM3424" s="911"/>
      <c r="SSN3424" s="911"/>
      <c r="SSO3424" s="32"/>
      <c r="SSP3424" s="911" t="s">
        <v>74</v>
      </c>
      <c r="SSQ3424" s="911"/>
      <c r="SSR3424" s="911"/>
      <c r="SSS3424" s="911"/>
      <c r="SST3424" s="911"/>
      <c r="SSU3424" s="911"/>
      <c r="SSV3424" s="911"/>
      <c r="SSW3424" s="911"/>
      <c r="SSX3424" s="911"/>
      <c r="SSY3424" s="912"/>
      <c r="STA3424" s="913" t="s">
        <v>1</v>
      </c>
      <c r="STB3424" s="31"/>
      <c r="STC3424" s="909" t="s">
        <v>0</v>
      </c>
      <c r="STD3424" s="909"/>
      <c r="STE3424" s="909"/>
      <c r="STF3424" s="909"/>
      <c r="STG3424" s="909"/>
      <c r="STH3424" s="909"/>
      <c r="STI3424" s="907" t="s">
        <v>79</v>
      </c>
      <c r="STJ3424" s="909" t="s">
        <v>68</v>
      </c>
      <c r="STK3424" s="910" t="s">
        <v>75</v>
      </c>
      <c r="STL3424" s="911"/>
      <c r="STM3424" s="911"/>
      <c r="STN3424" s="911"/>
      <c r="STO3424" s="911"/>
      <c r="STP3424" s="911"/>
      <c r="STQ3424" s="911"/>
      <c r="STR3424" s="911"/>
      <c r="STS3424" s="911"/>
      <c r="STT3424" s="911"/>
      <c r="STU3424" s="32"/>
      <c r="STV3424" s="911" t="s">
        <v>74</v>
      </c>
      <c r="STW3424" s="911"/>
      <c r="STX3424" s="911"/>
      <c r="STY3424" s="911"/>
      <c r="STZ3424" s="911"/>
      <c r="SUA3424" s="911"/>
      <c r="SUB3424" s="911"/>
      <c r="SUC3424" s="911"/>
      <c r="SUD3424" s="911"/>
      <c r="SUE3424" s="912"/>
      <c r="SUG3424" s="913" t="s">
        <v>1</v>
      </c>
      <c r="SUH3424" s="31"/>
      <c r="SUI3424" s="909" t="s">
        <v>0</v>
      </c>
      <c r="SUJ3424" s="909"/>
      <c r="SUK3424" s="909"/>
      <c r="SUL3424" s="909"/>
      <c r="SUM3424" s="909"/>
      <c r="SUN3424" s="909"/>
      <c r="SUO3424" s="907" t="s">
        <v>79</v>
      </c>
      <c r="SUP3424" s="909" t="s">
        <v>68</v>
      </c>
      <c r="SUQ3424" s="910" t="s">
        <v>75</v>
      </c>
      <c r="SUR3424" s="911"/>
      <c r="SUS3424" s="911"/>
      <c r="SUT3424" s="911"/>
      <c r="SUU3424" s="911"/>
      <c r="SUV3424" s="911"/>
      <c r="SUW3424" s="911"/>
      <c r="SUX3424" s="911"/>
      <c r="SUY3424" s="911"/>
      <c r="SUZ3424" s="911"/>
      <c r="SVA3424" s="32"/>
      <c r="SVB3424" s="911" t="s">
        <v>74</v>
      </c>
      <c r="SVC3424" s="911"/>
      <c r="SVD3424" s="911"/>
      <c r="SVE3424" s="911"/>
      <c r="SVF3424" s="911"/>
      <c r="SVG3424" s="911"/>
      <c r="SVH3424" s="911"/>
      <c r="SVI3424" s="911"/>
      <c r="SVJ3424" s="911"/>
      <c r="SVK3424" s="912"/>
      <c r="SVM3424" s="913" t="s">
        <v>1</v>
      </c>
      <c r="SVN3424" s="31"/>
      <c r="SVO3424" s="909" t="s">
        <v>0</v>
      </c>
      <c r="SVP3424" s="909"/>
      <c r="SVQ3424" s="909"/>
      <c r="SVR3424" s="909"/>
      <c r="SVS3424" s="909"/>
      <c r="SVT3424" s="909"/>
      <c r="SVU3424" s="907" t="s">
        <v>79</v>
      </c>
      <c r="SVV3424" s="909" t="s">
        <v>68</v>
      </c>
      <c r="SVW3424" s="910" t="s">
        <v>75</v>
      </c>
      <c r="SVX3424" s="911"/>
      <c r="SVY3424" s="911"/>
      <c r="SVZ3424" s="911"/>
      <c r="SWA3424" s="911"/>
      <c r="SWB3424" s="911"/>
      <c r="SWC3424" s="911"/>
      <c r="SWD3424" s="911"/>
      <c r="SWE3424" s="911"/>
      <c r="SWF3424" s="911"/>
      <c r="SWG3424" s="32"/>
      <c r="SWH3424" s="911" t="s">
        <v>74</v>
      </c>
      <c r="SWI3424" s="911"/>
      <c r="SWJ3424" s="911"/>
      <c r="SWK3424" s="911"/>
      <c r="SWL3424" s="911"/>
      <c r="SWM3424" s="911"/>
      <c r="SWN3424" s="911"/>
      <c r="SWO3424" s="911"/>
      <c r="SWP3424" s="911"/>
      <c r="SWQ3424" s="912"/>
      <c r="SWS3424" s="913" t="s">
        <v>1</v>
      </c>
      <c r="SWT3424" s="31"/>
      <c r="SWU3424" s="909" t="s">
        <v>0</v>
      </c>
      <c r="SWV3424" s="909"/>
      <c r="SWW3424" s="909"/>
      <c r="SWX3424" s="909"/>
      <c r="SWY3424" s="909"/>
      <c r="SWZ3424" s="909"/>
      <c r="SXA3424" s="907" t="s">
        <v>79</v>
      </c>
      <c r="SXB3424" s="909" t="s">
        <v>68</v>
      </c>
      <c r="SXC3424" s="910" t="s">
        <v>75</v>
      </c>
      <c r="SXD3424" s="911"/>
      <c r="SXE3424" s="911"/>
      <c r="SXF3424" s="911"/>
      <c r="SXG3424" s="911"/>
      <c r="SXH3424" s="911"/>
      <c r="SXI3424" s="911"/>
      <c r="SXJ3424" s="911"/>
      <c r="SXK3424" s="911"/>
      <c r="SXL3424" s="911"/>
      <c r="SXM3424" s="32"/>
      <c r="SXN3424" s="911" t="s">
        <v>74</v>
      </c>
      <c r="SXO3424" s="911"/>
      <c r="SXP3424" s="911"/>
      <c r="SXQ3424" s="911"/>
      <c r="SXR3424" s="911"/>
      <c r="SXS3424" s="911"/>
      <c r="SXT3424" s="911"/>
      <c r="SXU3424" s="911"/>
      <c r="SXV3424" s="911"/>
      <c r="SXW3424" s="912"/>
      <c r="SXY3424" s="913" t="s">
        <v>1</v>
      </c>
      <c r="SXZ3424" s="31"/>
      <c r="SYA3424" s="909" t="s">
        <v>0</v>
      </c>
      <c r="SYB3424" s="909"/>
      <c r="SYC3424" s="909"/>
      <c r="SYD3424" s="909"/>
      <c r="SYE3424" s="909"/>
      <c r="SYF3424" s="909"/>
      <c r="SYG3424" s="907" t="s">
        <v>79</v>
      </c>
      <c r="SYH3424" s="909" t="s">
        <v>68</v>
      </c>
      <c r="SYI3424" s="910" t="s">
        <v>75</v>
      </c>
      <c r="SYJ3424" s="911"/>
      <c r="SYK3424" s="911"/>
      <c r="SYL3424" s="911"/>
      <c r="SYM3424" s="911"/>
      <c r="SYN3424" s="911"/>
      <c r="SYO3424" s="911"/>
      <c r="SYP3424" s="911"/>
      <c r="SYQ3424" s="911"/>
      <c r="SYR3424" s="911"/>
      <c r="SYS3424" s="32"/>
      <c r="SYT3424" s="911" t="s">
        <v>74</v>
      </c>
      <c r="SYU3424" s="911"/>
      <c r="SYV3424" s="911"/>
      <c r="SYW3424" s="911"/>
      <c r="SYX3424" s="911"/>
      <c r="SYY3424" s="911"/>
      <c r="SYZ3424" s="911"/>
      <c r="SZA3424" s="911"/>
      <c r="SZB3424" s="911"/>
      <c r="SZC3424" s="912"/>
      <c r="SZE3424" s="913" t="s">
        <v>1</v>
      </c>
      <c r="SZF3424" s="31"/>
      <c r="SZG3424" s="909" t="s">
        <v>0</v>
      </c>
      <c r="SZH3424" s="909"/>
      <c r="SZI3424" s="909"/>
      <c r="SZJ3424" s="909"/>
      <c r="SZK3424" s="909"/>
      <c r="SZL3424" s="909"/>
      <c r="SZM3424" s="907" t="s">
        <v>79</v>
      </c>
      <c r="SZN3424" s="909" t="s">
        <v>68</v>
      </c>
      <c r="SZO3424" s="910" t="s">
        <v>75</v>
      </c>
      <c r="SZP3424" s="911"/>
      <c r="SZQ3424" s="911"/>
      <c r="SZR3424" s="911"/>
      <c r="SZS3424" s="911"/>
      <c r="SZT3424" s="911"/>
      <c r="SZU3424" s="911"/>
      <c r="SZV3424" s="911"/>
      <c r="SZW3424" s="911"/>
      <c r="SZX3424" s="911"/>
      <c r="SZY3424" s="32"/>
      <c r="SZZ3424" s="911" t="s">
        <v>74</v>
      </c>
      <c r="TAA3424" s="911"/>
      <c r="TAB3424" s="911"/>
      <c r="TAC3424" s="911"/>
      <c r="TAD3424" s="911"/>
      <c r="TAE3424" s="911"/>
      <c r="TAF3424" s="911"/>
      <c r="TAG3424" s="911"/>
      <c r="TAH3424" s="911"/>
      <c r="TAI3424" s="912"/>
      <c r="TAK3424" s="913" t="s">
        <v>1</v>
      </c>
      <c r="TAL3424" s="31"/>
      <c r="TAM3424" s="909" t="s">
        <v>0</v>
      </c>
      <c r="TAN3424" s="909"/>
      <c r="TAO3424" s="909"/>
      <c r="TAP3424" s="909"/>
      <c r="TAQ3424" s="909"/>
      <c r="TAR3424" s="909"/>
      <c r="TAS3424" s="907" t="s">
        <v>79</v>
      </c>
      <c r="TAT3424" s="909" t="s">
        <v>68</v>
      </c>
      <c r="TAU3424" s="910" t="s">
        <v>75</v>
      </c>
      <c r="TAV3424" s="911"/>
      <c r="TAW3424" s="911"/>
      <c r="TAX3424" s="911"/>
      <c r="TAY3424" s="911"/>
      <c r="TAZ3424" s="911"/>
      <c r="TBA3424" s="911"/>
      <c r="TBB3424" s="911"/>
      <c r="TBC3424" s="911"/>
      <c r="TBD3424" s="911"/>
      <c r="TBE3424" s="32"/>
      <c r="TBF3424" s="911" t="s">
        <v>74</v>
      </c>
      <c r="TBG3424" s="911"/>
      <c r="TBH3424" s="911"/>
      <c r="TBI3424" s="911"/>
      <c r="TBJ3424" s="911"/>
      <c r="TBK3424" s="911"/>
      <c r="TBL3424" s="911"/>
      <c r="TBM3424" s="911"/>
      <c r="TBN3424" s="911"/>
      <c r="TBO3424" s="912"/>
      <c r="TBQ3424" s="913" t="s">
        <v>1</v>
      </c>
      <c r="TBR3424" s="31"/>
      <c r="TBS3424" s="909" t="s">
        <v>0</v>
      </c>
      <c r="TBT3424" s="909"/>
      <c r="TBU3424" s="909"/>
      <c r="TBV3424" s="909"/>
      <c r="TBW3424" s="909"/>
      <c r="TBX3424" s="909"/>
      <c r="TBY3424" s="907" t="s">
        <v>79</v>
      </c>
      <c r="TBZ3424" s="909" t="s">
        <v>68</v>
      </c>
      <c r="TCA3424" s="910" t="s">
        <v>75</v>
      </c>
      <c r="TCB3424" s="911"/>
      <c r="TCC3424" s="911"/>
      <c r="TCD3424" s="911"/>
      <c r="TCE3424" s="911"/>
      <c r="TCF3424" s="911"/>
      <c r="TCG3424" s="911"/>
      <c r="TCH3424" s="911"/>
      <c r="TCI3424" s="911"/>
      <c r="TCJ3424" s="911"/>
      <c r="TCK3424" s="32"/>
      <c r="TCL3424" s="911" t="s">
        <v>74</v>
      </c>
      <c r="TCM3424" s="911"/>
      <c r="TCN3424" s="911"/>
      <c r="TCO3424" s="911"/>
      <c r="TCP3424" s="911"/>
      <c r="TCQ3424" s="911"/>
      <c r="TCR3424" s="911"/>
      <c r="TCS3424" s="911"/>
      <c r="TCT3424" s="911"/>
      <c r="TCU3424" s="912"/>
      <c r="TCW3424" s="913" t="s">
        <v>1</v>
      </c>
      <c r="TCX3424" s="31"/>
      <c r="TCY3424" s="909" t="s">
        <v>0</v>
      </c>
      <c r="TCZ3424" s="909"/>
      <c r="TDA3424" s="909"/>
      <c r="TDB3424" s="909"/>
      <c r="TDC3424" s="909"/>
      <c r="TDD3424" s="909"/>
      <c r="TDE3424" s="907" t="s">
        <v>79</v>
      </c>
      <c r="TDF3424" s="909" t="s">
        <v>68</v>
      </c>
      <c r="TDG3424" s="910" t="s">
        <v>75</v>
      </c>
      <c r="TDH3424" s="911"/>
      <c r="TDI3424" s="911"/>
      <c r="TDJ3424" s="911"/>
      <c r="TDK3424" s="911"/>
      <c r="TDL3424" s="911"/>
      <c r="TDM3424" s="911"/>
      <c r="TDN3424" s="911"/>
      <c r="TDO3424" s="911"/>
      <c r="TDP3424" s="911"/>
      <c r="TDQ3424" s="32"/>
      <c r="TDR3424" s="911" t="s">
        <v>74</v>
      </c>
      <c r="TDS3424" s="911"/>
      <c r="TDT3424" s="911"/>
      <c r="TDU3424" s="911"/>
      <c r="TDV3424" s="911"/>
      <c r="TDW3424" s="911"/>
      <c r="TDX3424" s="911"/>
      <c r="TDY3424" s="911"/>
      <c r="TDZ3424" s="911"/>
      <c r="TEA3424" s="912"/>
      <c r="TEC3424" s="913" t="s">
        <v>1</v>
      </c>
      <c r="TED3424" s="31"/>
      <c r="TEE3424" s="909" t="s">
        <v>0</v>
      </c>
      <c r="TEF3424" s="909"/>
      <c r="TEG3424" s="909"/>
      <c r="TEH3424" s="909"/>
      <c r="TEI3424" s="909"/>
      <c r="TEJ3424" s="909"/>
      <c r="TEK3424" s="907" t="s">
        <v>79</v>
      </c>
      <c r="TEL3424" s="909" t="s">
        <v>68</v>
      </c>
      <c r="TEM3424" s="910" t="s">
        <v>75</v>
      </c>
      <c r="TEN3424" s="911"/>
      <c r="TEO3424" s="911"/>
      <c r="TEP3424" s="911"/>
      <c r="TEQ3424" s="911"/>
      <c r="TER3424" s="911"/>
      <c r="TES3424" s="911"/>
      <c r="TET3424" s="911"/>
      <c r="TEU3424" s="911"/>
      <c r="TEV3424" s="911"/>
      <c r="TEW3424" s="32"/>
      <c r="TEX3424" s="911" t="s">
        <v>74</v>
      </c>
      <c r="TEY3424" s="911"/>
      <c r="TEZ3424" s="911"/>
      <c r="TFA3424" s="911"/>
      <c r="TFB3424" s="911"/>
      <c r="TFC3424" s="911"/>
      <c r="TFD3424" s="911"/>
      <c r="TFE3424" s="911"/>
      <c r="TFF3424" s="911"/>
      <c r="TFG3424" s="912"/>
      <c r="TFI3424" s="913" t="s">
        <v>1</v>
      </c>
      <c r="TFJ3424" s="31"/>
      <c r="TFK3424" s="909" t="s">
        <v>0</v>
      </c>
      <c r="TFL3424" s="909"/>
      <c r="TFM3424" s="909"/>
      <c r="TFN3424" s="909"/>
      <c r="TFO3424" s="909"/>
      <c r="TFP3424" s="909"/>
      <c r="TFQ3424" s="907" t="s">
        <v>79</v>
      </c>
      <c r="TFR3424" s="909" t="s">
        <v>68</v>
      </c>
      <c r="TFS3424" s="910" t="s">
        <v>75</v>
      </c>
      <c r="TFT3424" s="911"/>
      <c r="TFU3424" s="911"/>
      <c r="TFV3424" s="911"/>
      <c r="TFW3424" s="911"/>
      <c r="TFX3424" s="911"/>
      <c r="TFY3424" s="911"/>
      <c r="TFZ3424" s="911"/>
      <c r="TGA3424" s="911"/>
      <c r="TGB3424" s="911"/>
      <c r="TGC3424" s="32"/>
      <c r="TGD3424" s="911" t="s">
        <v>74</v>
      </c>
      <c r="TGE3424" s="911"/>
      <c r="TGF3424" s="911"/>
      <c r="TGG3424" s="911"/>
      <c r="TGH3424" s="911"/>
      <c r="TGI3424" s="911"/>
      <c r="TGJ3424" s="911"/>
      <c r="TGK3424" s="911"/>
      <c r="TGL3424" s="911"/>
      <c r="TGM3424" s="912"/>
      <c r="TGO3424" s="913" t="s">
        <v>1</v>
      </c>
      <c r="TGP3424" s="31"/>
      <c r="TGQ3424" s="909" t="s">
        <v>0</v>
      </c>
      <c r="TGR3424" s="909"/>
      <c r="TGS3424" s="909"/>
      <c r="TGT3424" s="909"/>
      <c r="TGU3424" s="909"/>
      <c r="TGV3424" s="909"/>
      <c r="TGW3424" s="907" t="s">
        <v>79</v>
      </c>
      <c r="TGX3424" s="909" t="s">
        <v>68</v>
      </c>
      <c r="TGY3424" s="910" t="s">
        <v>75</v>
      </c>
      <c r="TGZ3424" s="911"/>
      <c r="THA3424" s="911"/>
      <c r="THB3424" s="911"/>
      <c r="THC3424" s="911"/>
      <c r="THD3424" s="911"/>
      <c r="THE3424" s="911"/>
      <c r="THF3424" s="911"/>
      <c r="THG3424" s="911"/>
      <c r="THH3424" s="911"/>
      <c r="THI3424" s="32"/>
      <c r="THJ3424" s="911" t="s">
        <v>74</v>
      </c>
      <c r="THK3424" s="911"/>
      <c r="THL3424" s="911"/>
      <c r="THM3424" s="911"/>
      <c r="THN3424" s="911"/>
      <c r="THO3424" s="911"/>
      <c r="THP3424" s="911"/>
      <c r="THQ3424" s="911"/>
      <c r="THR3424" s="911"/>
      <c r="THS3424" s="912"/>
      <c r="THU3424" s="913" t="s">
        <v>1</v>
      </c>
      <c r="THV3424" s="31"/>
      <c r="THW3424" s="909" t="s">
        <v>0</v>
      </c>
      <c r="THX3424" s="909"/>
      <c r="THY3424" s="909"/>
      <c r="THZ3424" s="909"/>
      <c r="TIA3424" s="909"/>
      <c r="TIB3424" s="909"/>
      <c r="TIC3424" s="907" t="s">
        <v>79</v>
      </c>
      <c r="TID3424" s="909" t="s">
        <v>68</v>
      </c>
      <c r="TIE3424" s="910" t="s">
        <v>75</v>
      </c>
      <c r="TIF3424" s="911"/>
      <c r="TIG3424" s="911"/>
      <c r="TIH3424" s="911"/>
      <c r="TII3424" s="911"/>
      <c r="TIJ3424" s="911"/>
      <c r="TIK3424" s="911"/>
      <c r="TIL3424" s="911"/>
      <c r="TIM3424" s="911"/>
      <c r="TIN3424" s="911"/>
      <c r="TIO3424" s="32"/>
      <c r="TIP3424" s="911" t="s">
        <v>74</v>
      </c>
      <c r="TIQ3424" s="911"/>
      <c r="TIR3424" s="911"/>
      <c r="TIS3424" s="911"/>
      <c r="TIT3424" s="911"/>
      <c r="TIU3424" s="911"/>
      <c r="TIV3424" s="911"/>
      <c r="TIW3424" s="911"/>
      <c r="TIX3424" s="911"/>
      <c r="TIY3424" s="912"/>
      <c r="TJA3424" s="913" t="s">
        <v>1</v>
      </c>
      <c r="TJB3424" s="31"/>
      <c r="TJC3424" s="909" t="s">
        <v>0</v>
      </c>
      <c r="TJD3424" s="909"/>
      <c r="TJE3424" s="909"/>
      <c r="TJF3424" s="909"/>
      <c r="TJG3424" s="909"/>
      <c r="TJH3424" s="909"/>
      <c r="TJI3424" s="907" t="s">
        <v>79</v>
      </c>
      <c r="TJJ3424" s="909" t="s">
        <v>68</v>
      </c>
      <c r="TJK3424" s="910" t="s">
        <v>75</v>
      </c>
      <c r="TJL3424" s="911"/>
      <c r="TJM3424" s="911"/>
      <c r="TJN3424" s="911"/>
      <c r="TJO3424" s="911"/>
      <c r="TJP3424" s="911"/>
      <c r="TJQ3424" s="911"/>
      <c r="TJR3424" s="911"/>
      <c r="TJS3424" s="911"/>
      <c r="TJT3424" s="911"/>
      <c r="TJU3424" s="32"/>
      <c r="TJV3424" s="911" t="s">
        <v>74</v>
      </c>
      <c r="TJW3424" s="911"/>
      <c r="TJX3424" s="911"/>
      <c r="TJY3424" s="911"/>
      <c r="TJZ3424" s="911"/>
      <c r="TKA3424" s="911"/>
      <c r="TKB3424" s="911"/>
      <c r="TKC3424" s="911"/>
      <c r="TKD3424" s="911"/>
      <c r="TKE3424" s="912"/>
      <c r="TKG3424" s="913" t="s">
        <v>1</v>
      </c>
      <c r="TKH3424" s="31"/>
      <c r="TKI3424" s="909" t="s">
        <v>0</v>
      </c>
      <c r="TKJ3424" s="909"/>
      <c r="TKK3424" s="909"/>
      <c r="TKL3424" s="909"/>
      <c r="TKM3424" s="909"/>
      <c r="TKN3424" s="909"/>
      <c r="TKO3424" s="907" t="s">
        <v>79</v>
      </c>
      <c r="TKP3424" s="909" t="s">
        <v>68</v>
      </c>
      <c r="TKQ3424" s="910" t="s">
        <v>75</v>
      </c>
      <c r="TKR3424" s="911"/>
      <c r="TKS3424" s="911"/>
      <c r="TKT3424" s="911"/>
      <c r="TKU3424" s="911"/>
      <c r="TKV3424" s="911"/>
      <c r="TKW3424" s="911"/>
      <c r="TKX3424" s="911"/>
      <c r="TKY3424" s="911"/>
      <c r="TKZ3424" s="911"/>
      <c r="TLA3424" s="32"/>
      <c r="TLB3424" s="911" t="s">
        <v>74</v>
      </c>
      <c r="TLC3424" s="911"/>
      <c r="TLD3424" s="911"/>
      <c r="TLE3424" s="911"/>
      <c r="TLF3424" s="911"/>
      <c r="TLG3424" s="911"/>
      <c r="TLH3424" s="911"/>
      <c r="TLI3424" s="911"/>
      <c r="TLJ3424" s="911"/>
      <c r="TLK3424" s="912"/>
      <c r="TLM3424" s="913" t="s">
        <v>1</v>
      </c>
      <c r="TLN3424" s="31"/>
      <c r="TLO3424" s="909" t="s">
        <v>0</v>
      </c>
      <c r="TLP3424" s="909"/>
      <c r="TLQ3424" s="909"/>
      <c r="TLR3424" s="909"/>
      <c r="TLS3424" s="909"/>
      <c r="TLT3424" s="909"/>
      <c r="TLU3424" s="907" t="s">
        <v>79</v>
      </c>
      <c r="TLV3424" s="909" t="s">
        <v>68</v>
      </c>
      <c r="TLW3424" s="910" t="s">
        <v>75</v>
      </c>
      <c r="TLX3424" s="911"/>
      <c r="TLY3424" s="911"/>
      <c r="TLZ3424" s="911"/>
      <c r="TMA3424" s="911"/>
      <c r="TMB3424" s="911"/>
      <c r="TMC3424" s="911"/>
      <c r="TMD3424" s="911"/>
      <c r="TME3424" s="911"/>
      <c r="TMF3424" s="911"/>
      <c r="TMG3424" s="32"/>
      <c r="TMH3424" s="911" t="s">
        <v>74</v>
      </c>
      <c r="TMI3424" s="911"/>
      <c r="TMJ3424" s="911"/>
      <c r="TMK3424" s="911"/>
      <c r="TML3424" s="911"/>
      <c r="TMM3424" s="911"/>
      <c r="TMN3424" s="911"/>
      <c r="TMO3424" s="911"/>
      <c r="TMP3424" s="911"/>
      <c r="TMQ3424" s="912"/>
      <c r="TMS3424" s="913" t="s">
        <v>1</v>
      </c>
      <c r="TMT3424" s="31"/>
      <c r="TMU3424" s="909" t="s">
        <v>0</v>
      </c>
      <c r="TMV3424" s="909"/>
      <c r="TMW3424" s="909"/>
      <c r="TMX3424" s="909"/>
      <c r="TMY3424" s="909"/>
      <c r="TMZ3424" s="909"/>
      <c r="TNA3424" s="907" t="s">
        <v>79</v>
      </c>
      <c r="TNB3424" s="909" t="s">
        <v>68</v>
      </c>
      <c r="TNC3424" s="910" t="s">
        <v>75</v>
      </c>
      <c r="TND3424" s="911"/>
      <c r="TNE3424" s="911"/>
      <c r="TNF3424" s="911"/>
      <c r="TNG3424" s="911"/>
      <c r="TNH3424" s="911"/>
      <c r="TNI3424" s="911"/>
      <c r="TNJ3424" s="911"/>
      <c r="TNK3424" s="911"/>
      <c r="TNL3424" s="911"/>
      <c r="TNM3424" s="32"/>
      <c r="TNN3424" s="911" t="s">
        <v>74</v>
      </c>
      <c r="TNO3424" s="911"/>
      <c r="TNP3424" s="911"/>
      <c r="TNQ3424" s="911"/>
      <c r="TNR3424" s="911"/>
      <c r="TNS3424" s="911"/>
      <c r="TNT3424" s="911"/>
      <c r="TNU3424" s="911"/>
      <c r="TNV3424" s="911"/>
      <c r="TNW3424" s="912"/>
      <c r="TNY3424" s="913" t="s">
        <v>1</v>
      </c>
      <c r="TNZ3424" s="31"/>
      <c r="TOA3424" s="909" t="s">
        <v>0</v>
      </c>
      <c r="TOB3424" s="909"/>
      <c r="TOC3424" s="909"/>
      <c r="TOD3424" s="909"/>
      <c r="TOE3424" s="909"/>
      <c r="TOF3424" s="909"/>
      <c r="TOG3424" s="907" t="s">
        <v>79</v>
      </c>
      <c r="TOH3424" s="909" t="s">
        <v>68</v>
      </c>
      <c r="TOI3424" s="910" t="s">
        <v>75</v>
      </c>
      <c r="TOJ3424" s="911"/>
      <c r="TOK3424" s="911"/>
      <c r="TOL3424" s="911"/>
      <c r="TOM3424" s="911"/>
      <c r="TON3424" s="911"/>
      <c r="TOO3424" s="911"/>
      <c r="TOP3424" s="911"/>
      <c r="TOQ3424" s="911"/>
      <c r="TOR3424" s="911"/>
      <c r="TOS3424" s="32"/>
      <c r="TOT3424" s="911" t="s">
        <v>74</v>
      </c>
      <c r="TOU3424" s="911"/>
      <c r="TOV3424" s="911"/>
      <c r="TOW3424" s="911"/>
      <c r="TOX3424" s="911"/>
      <c r="TOY3424" s="911"/>
      <c r="TOZ3424" s="911"/>
      <c r="TPA3424" s="911"/>
      <c r="TPB3424" s="911"/>
      <c r="TPC3424" s="912"/>
      <c r="TPE3424" s="913" t="s">
        <v>1</v>
      </c>
      <c r="TPF3424" s="31"/>
      <c r="TPG3424" s="909" t="s">
        <v>0</v>
      </c>
      <c r="TPH3424" s="909"/>
      <c r="TPI3424" s="909"/>
      <c r="TPJ3424" s="909"/>
      <c r="TPK3424" s="909"/>
      <c r="TPL3424" s="909"/>
      <c r="TPM3424" s="907" t="s">
        <v>79</v>
      </c>
      <c r="TPN3424" s="909" t="s">
        <v>68</v>
      </c>
      <c r="TPO3424" s="910" t="s">
        <v>75</v>
      </c>
      <c r="TPP3424" s="911"/>
      <c r="TPQ3424" s="911"/>
      <c r="TPR3424" s="911"/>
      <c r="TPS3424" s="911"/>
      <c r="TPT3424" s="911"/>
      <c r="TPU3424" s="911"/>
      <c r="TPV3424" s="911"/>
      <c r="TPW3424" s="911"/>
      <c r="TPX3424" s="911"/>
      <c r="TPY3424" s="32"/>
      <c r="TPZ3424" s="911" t="s">
        <v>74</v>
      </c>
      <c r="TQA3424" s="911"/>
      <c r="TQB3424" s="911"/>
      <c r="TQC3424" s="911"/>
      <c r="TQD3424" s="911"/>
      <c r="TQE3424" s="911"/>
      <c r="TQF3424" s="911"/>
      <c r="TQG3424" s="911"/>
      <c r="TQH3424" s="911"/>
      <c r="TQI3424" s="912"/>
      <c r="TQK3424" s="913" t="s">
        <v>1</v>
      </c>
      <c r="TQL3424" s="31"/>
      <c r="TQM3424" s="909" t="s">
        <v>0</v>
      </c>
      <c r="TQN3424" s="909"/>
      <c r="TQO3424" s="909"/>
      <c r="TQP3424" s="909"/>
      <c r="TQQ3424" s="909"/>
      <c r="TQR3424" s="909"/>
      <c r="TQS3424" s="907" t="s">
        <v>79</v>
      </c>
      <c r="TQT3424" s="909" t="s">
        <v>68</v>
      </c>
      <c r="TQU3424" s="910" t="s">
        <v>75</v>
      </c>
      <c r="TQV3424" s="911"/>
      <c r="TQW3424" s="911"/>
      <c r="TQX3424" s="911"/>
      <c r="TQY3424" s="911"/>
      <c r="TQZ3424" s="911"/>
      <c r="TRA3424" s="911"/>
      <c r="TRB3424" s="911"/>
      <c r="TRC3424" s="911"/>
      <c r="TRD3424" s="911"/>
      <c r="TRE3424" s="32"/>
      <c r="TRF3424" s="911" t="s">
        <v>74</v>
      </c>
      <c r="TRG3424" s="911"/>
      <c r="TRH3424" s="911"/>
      <c r="TRI3424" s="911"/>
      <c r="TRJ3424" s="911"/>
      <c r="TRK3424" s="911"/>
      <c r="TRL3424" s="911"/>
      <c r="TRM3424" s="911"/>
      <c r="TRN3424" s="911"/>
      <c r="TRO3424" s="912"/>
      <c r="TRQ3424" s="913" t="s">
        <v>1</v>
      </c>
      <c r="TRR3424" s="31"/>
      <c r="TRS3424" s="909" t="s">
        <v>0</v>
      </c>
      <c r="TRT3424" s="909"/>
      <c r="TRU3424" s="909"/>
      <c r="TRV3424" s="909"/>
      <c r="TRW3424" s="909"/>
      <c r="TRX3424" s="909"/>
      <c r="TRY3424" s="907" t="s">
        <v>79</v>
      </c>
      <c r="TRZ3424" s="909" t="s">
        <v>68</v>
      </c>
      <c r="TSA3424" s="910" t="s">
        <v>75</v>
      </c>
      <c r="TSB3424" s="911"/>
      <c r="TSC3424" s="911"/>
      <c r="TSD3424" s="911"/>
      <c r="TSE3424" s="911"/>
      <c r="TSF3424" s="911"/>
      <c r="TSG3424" s="911"/>
      <c r="TSH3424" s="911"/>
      <c r="TSI3424" s="911"/>
      <c r="TSJ3424" s="911"/>
      <c r="TSK3424" s="32"/>
      <c r="TSL3424" s="911" t="s">
        <v>74</v>
      </c>
      <c r="TSM3424" s="911"/>
      <c r="TSN3424" s="911"/>
      <c r="TSO3424" s="911"/>
      <c r="TSP3424" s="911"/>
      <c r="TSQ3424" s="911"/>
      <c r="TSR3424" s="911"/>
      <c r="TSS3424" s="911"/>
      <c r="TST3424" s="911"/>
      <c r="TSU3424" s="912"/>
      <c r="TSW3424" s="913" t="s">
        <v>1</v>
      </c>
      <c r="TSX3424" s="31"/>
      <c r="TSY3424" s="909" t="s">
        <v>0</v>
      </c>
      <c r="TSZ3424" s="909"/>
      <c r="TTA3424" s="909"/>
      <c r="TTB3424" s="909"/>
      <c r="TTC3424" s="909"/>
      <c r="TTD3424" s="909"/>
      <c r="TTE3424" s="907" t="s">
        <v>79</v>
      </c>
      <c r="TTF3424" s="909" t="s">
        <v>68</v>
      </c>
      <c r="TTG3424" s="910" t="s">
        <v>75</v>
      </c>
      <c r="TTH3424" s="911"/>
      <c r="TTI3424" s="911"/>
      <c r="TTJ3424" s="911"/>
      <c r="TTK3424" s="911"/>
      <c r="TTL3424" s="911"/>
      <c r="TTM3424" s="911"/>
      <c r="TTN3424" s="911"/>
      <c r="TTO3424" s="911"/>
      <c r="TTP3424" s="911"/>
      <c r="TTQ3424" s="32"/>
      <c r="TTR3424" s="911" t="s">
        <v>74</v>
      </c>
      <c r="TTS3424" s="911"/>
      <c r="TTT3424" s="911"/>
      <c r="TTU3424" s="911"/>
      <c r="TTV3424" s="911"/>
      <c r="TTW3424" s="911"/>
      <c r="TTX3424" s="911"/>
      <c r="TTY3424" s="911"/>
      <c r="TTZ3424" s="911"/>
      <c r="TUA3424" s="912"/>
      <c r="TUC3424" s="913" t="s">
        <v>1</v>
      </c>
      <c r="TUD3424" s="31"/>
      <c r="TUE3424" s="909" t="s">
        <v>0</v>
      </c>
      <c r="TUF3424" s="909"/>
      <c r="TUG3424" s="909"/>
      <c r="TUH3424" s="909"/>
      <c r="TUI3424" s="909"/>
      <c r="TUJ3424" s="909"/>
      <c r="TUK3424" s="907" t="s">
        <v>79</v>
      </c>
      <c r="TUL3424" s="909" t="s">
        <v>68</v>
      </c>
      <c r="TUM3424" s="910" t="s">
        <v>75</v>
      </c>
      <c r="TUN3424" s="911"/>
      <c r="TUO3424" s="911"/>
      <c r="TUP3424" s="911"/>
      <c r="TUQ3424" s="911"/>
      <c r="TUR3424" s="911"/>
      <c r="TUS3424" s="911"/>
      <c r="TUT3424" s="911"/>
      <c r="TUU3424" s="911"/>
      <c r="TUV3424" s="911"/>
      <c r="TUW3424" s="32"/>
      <c r="TUX3424" s="911" t="s">
        <v>74</v>
      </c>
      <c r="TUY3424" s="911"/>
      <c r="TUZ3424" s="911"/>
      <c r="TVA3424" s="911"/>
      <c r="TVB3424" s="911"/>
      <c r="TVC3424" s="911"/>
      <c r="TVD3424" s="911"/>
      <c r="TVE3424" s="911"/>
      <c r="TVF3424" s="911"/>
      <c r="TVG3424" s="912"/>
      <c r="TVI3424" s="913" t="s">
        <v>1</v>
      </c>
      <c r="TVJ3424" s="31"/>
      <c r="TVK3424" s="909" t="s">
        <v>0</v>
      </c>
      <c r="TVL3424" s="909"/>
      <c r="TVM3424" s="909"/>
      <c r="TVN3424" s="909"/>
      <c r="TVO3424" s="909"/>
      <c r="TVP3424" s="909"/>
      <c r="TVQ3424" s="907" t="s">
        <v>79</v>
      </c>
      <c r="TVR3424" s="909" t="s">
        <v>68</v>
      </c>
      <c r="TVS3424" s="910" t="s">
        <v>75</v>
      </c>
      <c r="TVT3424" s="911"/>
      <c r="TVU3424" s="911"/>
      <c r="TVV3424" s="911"/>
      <c r="TVW3424" s="911"/>
      <c r="TVX3424" s="911"/>
      <c r="TVY3424" s="911"/>
      <c r="TVZ3424" s="911"/>
      <c r="TWA3424" s="911"/>
      <c r="TWB3424" s="911"/>
      <c r="TWC3424" s="32"/>
      <c r="TWD3424" s="911" t="s">
        <v>74</v>
      </c>
      <c r="TWE3424" s="911"/>
      <c r="TWF3424" s="911"/>
      <c r="TWG3424" s="911"/>
      <c r="TWH3424" s="911"/>
      <c r="TWI3424" s="911"/>
      <c r="TWJ3424" s="911"/>
      <c r="TWK3424" s="911"/>
      <c r="TWL3424" s="911"/>
      <c r="TWM3424" s="912"/>
      <c r="TWO3424" s="913" t="s">
        <v>1</v>
      </c>
      <c r="TWP3424" s="31"/>
      <c r="TWQ3424" s="909" t="s">
        <v>0</v>
      </c>
      <c r="TWR3424" s="909"/>
      <c r="TWS3424" s="909"/>
      <c r="TWT3424" s="909"/>
      <c r="TWU3424" s="909"/>
      <c r="TWV3424" s="909"/>
      <c r="TWW3424" s="907" t="s">
        <v>79</v>
      </c>
      <c r="TWX3424" s="909" t="s">
        <v>68</v>
      </c>
      <c r="TWY3424" s="910" t="s">
        <v>75</v>
      </c>
      <c r="TWZ3424" s="911"/>
      <c r="TXA3424" s="911"/>
      <c r="TXB3424" s="911"/>
      <c r="TXC3424" s="911"/>
      <c r="TXD3424" s="911"/>
      <c r="TXE3424" s="911"/>
      <c r="TXF3424" s="911"/>
      <c r="TXG3424" s="911"/>
      <c r="TXH3424" s="911"/>
      <c r="TXI3424" s="32"/>
      <c r="TXJ3424" s="911" t="s">
        <v>74</v>
      </c>
      <c r="TXK3424" s="911"/>
      <c r="TXL3424" s="911"/>
      <c r="TXM3424" s="911"/>
      <c r="TXN3424" s="911"/>
      <c r="TXO3424" s="911"/>
      <c r="TXP3424" s="911"/>
      <c r="TXQ3424" s="911"/>
      <c r="TXR3424" s="911"/>
      <c r="TXS3424" s="912"/>
      <c r="TXU3424" s="913" t="s">
        <v>1</v>
      </c>
      <c r="TXV3424" s="31"/>
      <c r="TXW3424" s="909" t="s">
        <v>0</v>
      </c>
      <c r="TXX3424" s="909"/>
      <c r="TXY3424" s="909"/>
      <c r="TXZ3424" s="909"/>
      <c r="TYA3424" s="909"/>
      <c r="TYB3424" s="909"/>
      <c r="TYC3424" s="907" t="s">
        <v>79</v>
      </c>
      <c r="TYD3424" s="909" t="s">
        <v>68</v>
      </c>
      <c r="TYE3424" s="910" t="s">
        <v>75</v>
      </c>
      <c r="TYF3424" s="911"/>
      <c r="TYG3424" s="911"/>
      <c r="TYH3424" s="911"/>
      <c r="TYI3424" s="911"/>
      <c r="TYJ3424" s="911"/>
      <c r="TYK3424" s="911"/>
      <c r="TYL3424" s="911"/>
      <c r="TYM3424" s="911"/>
      <c r="TYN3424" s="911"/>
      <c r="TYO3424" s="32"/>
      <c r="TYP3424" s="911" t="s">
        <v>74</v>
      </c>
      <c r="TYQ3424" s="911"/>
      <c r="TYR3424" s="911"/>
      <c r="TYS3424" s="911"/>
      <c r="TYT3424" s="911"/>
      <c r="TYU3424" s="911"/>
      <c r="TYV3424" s="911"/>
      <c r="TYW3424" s="911"/>
      <c r="TYX3424" s="911"/>
      <c r="TYY3424" s="912"/>
      <c r="TZA3424" s="913" t="s">
        <v>1</v>
      </c>
      <c r="TZB3424" s="31"/>
      <c r="TZC3424" s="909" t="s">
        <v>0</v>
      </c>
      <c r="TZD3424" s="909"/>
      <c r="TZE3424" s="909"/>
      <c r="TZF3424" s="909"/>
      <c r="TZG3424" s="909"/>
      <c r="TZH3424" s="909"/>
      <c r="TZI3424" s="907" t="s">
        <v>79</v>
      </c>
      <c r="TZJ3424" s="909" t="s">
        <v>68</v>
      </c>
      <c r="TZK3424" s="910" t="s">
        <v>75</v>
      </c>
      <c r="TZL3424" s="911"/>
      <c r="TZM3424" s="911"/>
      <c r="TZN3424" s="911"/>
      <c r="TZO3424" s="911"/>
      <c r="TZP3424" s="911"/>
      <c r="TZQ3424" s="911"/>
      <c r="TZR3424" s="911"/>
      <c r="TZS3424" s="911"/>
      <c r="TZT3424" s="911"/>
      <c r="TZU3424" s="32"/>
      <c r="TZV3424" s="911" t="s">
        <v>74</v>
      </c>
      <c r="TZW3424" s="911"/>
      <c r="TZX3424" s="911"/>
      <c r="TZY3424" s="911"/>
      <c r="TZZ3424" s="911"/>
      <c r="UAA3424" s="911"/>
      <c r="UAB3424" s="911"/>
      <c r="UAC3424" s="911"/>
      <c r="UAD3424" s="911"/>
      <c r="UAE3424" s="912"/>
      <c r="UAG3424" s="913" t="s">
        <v>1</v>
      </c>
      <c r="UAH3424" s="31"/>
      <c r="UAI3424" s="909" t="s">
        <v>0</v>
      </c>
      <c r="UAJ3424" s="909"/>
      <c r="UAK3424" s="909"/>
      <c r="UAL3424" s="909"/>
      <c r="UAM3424" s="909"/>
      <c r="UAN3424" s="909"/>
      <c r="UAO3424" s="907" t="s">
        <v>79</v>
      </c>
      <c r="UAP3424" s="909" t="s">
        <v>68</v>
      </c>
      <c r="UAQ3424" s="910" t="s">
        <v>75</v>
      </c>
      <c r="UAR3424" s="911"/>
      <c r="UAS3424" s="911"/>
      <c r="UAT3424" s="911"/>
      <c r="UAU3424" s="911"/>
      <c r="UAV3424" s="911"/>
      <c r="UAW3424" s="911"/>
      <c r="UAX3424" s="911"/>
      <c r="UAY3424" s="911"/>
      <c r="UAZ3424" s="911"/>
      <c r="UBA3424" s="32"/>
      <c r="UBB3424" s="911" t="s">
        <v>74</v>
      </c>
      <c r="UBC3424" s="911"/>
      <c r="UBD3424" s="911"/>
      <c r="UBE3424" s="911"/>
      <c r="UBF3424" s="911"/>
      <c r="UBG3424" s="911"/>
      <c r="UBH3424" s="911"/>
      <c r="UBI3424" s="911"/>
      <c r="UBJ3424" s="911"/>
      <c r="UBK3424" s="912"/>
      <c r="UBM3424" s="913" t="s">
        <v>1</v>
      </c>
      <c r="UBN3424" s="31"/>
      <c r="UBO3424" s="909" t="s">
        <v>0</v>
      </c>
      <c r="UBP3424" s="909"/>
      <c r="UBQ3424" s="909"/>
      <c r="UBR3424" s="909"/>
      <c r="UBS3424" s="909"/>
      <c r="UBT3424" s="909"/>
      <c r="UBU3424" s="907" t="s">
        <v>79</v>
      </c>
      <c r="UBV3424" s="909" t="s">
        <v>68</v>
      </c>
      <c r="UBW3424" s="910" t="s">
        <v>75</v>
      </c>
      <c r="UBX3424" s="911"/>
      <c r="UBY3424" s="911"/>
      <c r="UBZ3424" s="911"/>
      <c r="UCA3424" s="911"/>
      <c r="UCB3424" s="911"/>
      <c r="UCC3424" s="911"/>
      <c r="UCD3424" s="911"/>
      <c r="UCE3424" s="911"/>
      <c r="UCF3424" s="911"/>
      <c r="UCG3424" s="32"/>
      <c r="UCH3424" s="911" t="s">
        <v>74</v>
      </c>
      <c r="UCI3424" s="911"/>
      <c r="UCJ3424" s="911"/>
      <c r="UCK3424" s="911"/>
      <c r="UCL3424" s="911"/>
      <c r="UCM3424" s="911"/>
      <c r="UCN3424" s="911"/>
      <c r="UCO3424" s="911"/>
      <c r="UCP3424" s="911"/>
      <c r="UCQ3424" s="912"/>
      <c r="UCS3424" s="913" t="s">
        <v>1</v>
      </c>
      <c r="UCT3424" s="31"/>
      <c r="UCU3424" s="909" t="s">
        <v>0</v>
      </c>
      <c r="UCV3424" s="909"/>
      <c r="UCW3424" s="909"/>
      <c r="UCX3424" s="909"/>
      <c r="UCY3424" s="909"/>
      <c r="UCZ3424" s="909"/>
      <c r="UDA3424" s="907" t="s">
        <v>79</v>
      </c>
      <c r="UDB3424" s="909" t="s">
        <v>68</v>
      </c>
      <c r="UDC3424" s="910" t="s">
        <v>75</v>
      </c>
      <c r="UDD3424" s="911"/>
      <c r="UDE3424" s="911"/>
      <c r="UDF3424" s="911"/>
      <c r="UDG3424" s="911"/>
      <c r="UDH3424" s="911"/>
      <c r="UDI3424" s="911"/>
      <c r="UDJ3424" s="911"/>
      <c r="UDK3424" s="911"/>
      <c r="UDL3424" s="911"/>
      <c r="UDM3424" s="32"/>
      <c r="UDN3424" s="911" t="s">
        <v>74</v>
      </c>
      <c r="UDO3424" s="911"/>
      <c r="UDP3424" s="911"/>
      <c r="UDQ3424" s="911"/>
      <c r="UDR3424" s="911"/>
      <c r="UDS3424" s="911"/>
      <c r="UDT3424" s="911"/>
      <c r="UDU3424" s="911"/>
      <c r="UDV3424" s="911"/>
      <c r="UDW3424" s="912"/>
      <c r="UDY3424" s="913" t="s">
        <v>1</v>
      </c>
      <c r="UDZ3424" s="31"/>
      <c r="UEA3424" s="909" t="s">
        <v>0</v>
      </c>
      <c r="UEB3424" s="909"/>
      <c r="UEC3424" s="909"/>
      <c r="UED3424" s="909"/>
      <c r="UEE3424" s="909"/>
      <c r="UEF3424" s="909"/>
      <c r="UEG3424" s="907" t="s">
        <v>79</v>
      </c>
      <c r="UEH3424" s="909" t="s">
        <v>68</v>
      </c>
      <c r="UEI3424" s="910" t="s">
        <v>75</v>
      </c>
      <c r="UEJ3424" s="911"/>
      <c r="UEK3424" s="911"/>
      <c r="UEL3424" s="911"/>
      <c r="UEM3424" s="911"/>
      <c r="UEN3424" s="911"/>
      <c r="UEO3424" s="911"/>
      <c r="UEP3424" s="911"/>
      <c r="UEQ3424" s="911"/>
      <c r="UER3424" s="911"/>
      <c r="UES3424" s="32"/>
      <c r="UET3424" s="911" t="s">
        <v>74</v>
      </c>
      <c r="UEU3424" s="911"/>
      <c r="UEV3424" s="911"/>
      <c r="UEW3424" s="911"/>
      <c r="UEX3424" s="911"/>
      <c r="UEY3424" s="911"/>
      <c r="UEZ3424" s="911"/>
      <c r="UFA3424" s="911"/>
      <c r="UFB3424" s="911"/>
      <c r="UFC3424" s="912"/>
      <c r="UFE3424" s="913" t="s">
        <v>1</v>
      </c>
      <c r="UFF3424" s="31"/>
      <c r="UFG3424" s="909" t="s">
        <v>0</v>
      </c>
      <c r="UFH3424" s="909"/>
      <c r="UFI3424" s="909"/>
      <c r="UFJ3424" s="909"/>
      <c r="UFK3424" s="909"/>
      <c r="UFL3424" s="909"/>
      <c r="UFM3424" s="907" t="s">
        <v>79</v>
      </c>
      <c r="UFN3424" s="909" t="s">
        <v>68</v>
      </c>
      <c r="UFO3424" s="910" t="s">
        <v>75</v>
      </c>
      <c r="UFP3424" s="911"/>
      <c r="UFQ3424" s="911"/>
      <c r="UFR3424" s="911"/>
      <c r="UFS3424" s="911"/>
      <c r="UFT3424" s="911"/>
      <c r="UFU3424" s="911"/>
      <c r="UFV3424" s="911"/>
      <c r="UFW3424" s="911"/>
      <c r="UFX3424" s="911"/>
      <c r="UFY3424" s="32"/>
      <c r="UFZ3424" s="911" t="s">
        <v>74</v>
      </c>
      <c r="UGA3424" s="911"/>
      <c r="UGB3424" s="911"/>
      <c r="UGC3424" s="911"/>
      <c r="UGD3424" s="911"/>
      <c r="UGE3424" s="911"/>
      <c r="UGF3424" s="911"/>
      <c r="UGG3424" s="911"/>
      <c r="UGH3424" s="911"/>
      <c r="UGI3424" s="912"/>
      <c r="UGK3424" s="913" t="s">
        <v>1</v>
      </c>
      <c r="UGL3424" s="31"/>
      <c r="UGM3424" s="909" t="s">
        <v>0</v>
      </c>
      <c r="UGN3424" s="909"/>
      <c r="UGO3424" s="909"/>
      <c r="UGP3424" s="909"/>
      <c r="UGQ3424" s="909"/>
      <c r="UGR3424" s="909"/>
      <c r="UGS3424" s="907" t="s">
        <v>79</v>
      </c>
      <c r="UGT3424" s="909" t="s">
        <v>68</v>
      </c>
      <c r="UGU3424" s="910" t="s">
        <v>75</v>
      </c>
      <c r="UGV3424" s="911"/>
      <c r="UGW3424" s="911"/>
      <c r="UGX3424" s="911"/>
      <c r="UGY3424" s="911"/>
      <c r="UGZ3424" s="911"/>
      <c r="UHA3424" s="911"/>
      <c r="UHB3424" s="911"/>
      <c r="UHC3424" s="911"/>
      <c r="UHD3424" s="911"/>
      <c r="UHE3424" s="32"/>
      <c r="UHF3424" s="911" t="s">
        <v>74</v>
      </c>
      <c r="UHG3424" s="911"/>
      <c r="UHH3424" s="911"/>
      <c r="UHI3424" s="911"/>
      <c r="UHJ3424" s="911"/>
      <c r="UHK3424" s="911"/>
      <c r="UHL3424" s="911"/>
      <c r="UHM3424" s="911"/>
      <c r="UHN3424" s="911"/>
      <c r="UHO3424" s="912"/>
      <c r="UHQ3424" s="913" t="s">
        <v>1</v>
      </c>
      <c r="UHR3424" s="31"/>
      <c r="UHS3424" s="909" t="s">
        <v>0</v>
      </c>
      <c r="UHT3424" s="909"/>
      <c r="UHU3424" s="909"/>
      <c r="UHV3424" s="909"/>
      <c r="UHW3424" s="909"/>
      <c r="UHX3424" s="909"/>
      <c r="UHY3424" s="907" t="s">
        <v>79</v>
      </c>
      <c r="UHZ3424" s="909" t="s">
        <v>68</v>
      </c>
      <c r="UIA3424" s="910" t="s">
        <v>75</v>
      </c>
      <c r="UIB3424" s="911"/>
      <c r="UIC3424" s="911"/>
      <c r="UID3424" s="911"/>
      <c r="UIE3424" s="911"/>
      <c r="UIF3424" s="911"/>
      <c r="UIG3424" s="911"/>
      <c r="UIH3424" s="911"/>
      <c r="UII3424" s="911"/>
      <c r="UIJ3424" s="911"/>
      <c r="UIK3424" s="32"/>
      <c r="UIL3424" s="911" t="s">
        <v>74</v>
      </c>
      <c r="UIM3424" s="911"/>
      <c r="UIN3424" s="911"/>
      <c r="UIO3424" s="911"/>
      <c r="UIP3424" s="911"/>
      <c r="UIQ3424" s="911"/>
      <c r="UIR3424" s="911"/>
      <c r="UIS3424" s="911"/>
      <c r="UIT3424" s="911"/>
      <c r="UIU3424" s="912"/>
      <c r="UIW3424" s="913" t="s">
        <v>1</v>
      </c>
      <c r="UIX3424" s="31"/>
      <c r="UIY3424" s="909" t="s">
        <v>0</v>
      </c>
      <c r="UIZ3424" s="909"/>
      <c r="UJA3424" s="909"/>
      <c r="UJB3424" s="909"/>
      <c r="UJC3424" s="909"/>
      <c r="UJD3424" s="909"/>
      <c r="UJE3424" s="907" t="s">
        <v>79</v>
      </c>
      <c r="UJF3424" s="909" t="s">
        <v>68</v>
      </c>
      <c r="UJG3424" s="910" t="s">
        <v>75</v>
      </c>
      <c r="UJH3424" s="911"/>
      <c r="UJI3424" s="911"/>
      <c r="UJJ3424" s="911"/>
      <c r="UJK3424" s="911"/>
      <c r="UJL3424" s="911"/>
      <c r="UJM3424" s="911"/>
      <c r="UJN3424" s="911"/>
      <c r="UJO3424" s="911"/>
      <c r="UJP3424" s="911"/>
      <c r="UJQ3424" s="32"/>
      <c r="UJR3424" s="911" t="s">
        <v>74</v>
      </c>
      <c r="UJS3424" s="911"/>
      <c r="UJT3424" s="911"/>
      <c r="UJU3424" s="911"/>
      <c r="UJV3424" s="911"/>
      <c r="UJW3424" s="911"/>
      <c r="UJX3424" s="911"/>
      <c r="UJY3424" s="911"/>
      <c r="UJZ3424" s="911"/>
      <c r="UKA3424" s="912"/>
      <c r="UKC3424" s="913" t="s">
        <v>1</v>
      </c>
      <c r="UKD3424" s="31"/>
      <c r="UKE3424" s="909" t="s">
        <v>0</v>
      </c>
      <c r="UKF3424" s="909"/>
      <c r="UKG3424" s="909"/>
      <c r="UKH3424" s="909"/>
      <c r="UKI3424" s="909"/>
      <c r="UKJ3424" s="909"/>
      <c r="UKK3424" s="907" t="s">
        <v>79</v>
      </c>
      <c r="UKL3424" s="909" t="s">
        <v>68</v>
      </c>
      <c r="UKM3424" s="910" t="s">
        <v>75</v>
      </c>
      <c r="UKN3424" s="911"/>
      <c r="UKO3424" s="911"/>
      <c r="UKP3424" s="911"/>
      <c r="UKQ3424" s="911"/>
      <c r="UKR3424" s="911"/>
      <c r="UKS3424" s="911"/>
      <c r="UKT3424" s="911"/>
      <c r="UKU3424" s="911"/>
      <c r="UKV3424" s="911"/>
      <c r="UKW3424" s="32"/>
      <c r="UKX3424" s="911" t="s">
        <v>74</v>
      </c>
      <c r="UKY3424" s="911"/>
      <c r="UKZ3424" s="911"/>
      <c r="ULA3424" s="911"/>
      <c r="ULB3424" s="911"/>
      <c r="ULC3424" s="911"/>
      <c r="ULD3424" s="911"/>
      <c r="ULE3424" s="911"/>
      <c r="ULF3424" s="911"/>
      <c r="ULG3424" s="912"/>
      <c r="ULI3424" s="913" t="s">
        <v>1</v>
      </c>
      <c r="ULJ3424" s="31"/>
      <c r="ULK3424" s="909" t="s">
        <v>0</v>
      </c>
      <c r="ULL3424" s="909"/>
      <c r="ULM3424" s="909"/>
      <c r="ULN3424" s="909"/>
      <c r="ULO3424" s="909"/>
      <c r="ULP3424" s="909"/>
      <c r="ULQ3424" s="907" t="s">
        <v>79</v>
      </c>
      <c r="ULR3424" s="909" t="s">
        <v>68</v>
      </c>
      <c r="ULS3424" s="910" t="s">
        <v>75</v>
      </c>
      <c r="ULT3424" s="911"/>
      <c r="ULU3424" s="911"/>
      <c r="ULV3424" s="911"/>
      <c r="ULW3424" s="911"/>
      <c r="ULX3424" s="911"/>
      <c r="ULY3424" s="911"/>
      <c r="ULZ3424" s="911"/>
      <c r="UMA3424" s="911"/>
      <c r="UMB3424" s="911"/>
      <c r="UMC3424" s="32"/>
      <c r="UMD3424" s="911" t="s">
        <v>74</v>
      </c>
      <c r="UME3424" s="911"/>
      <c r="UMF3424" s="911"/>
      <c r="UMG3424" s="911"/>
      <c r="UMH3424" s="911"/>
      <c r="UMI3424" s="911"/>
      <c r="UMJ3424" s="911"/>
      <c r="UMK3424" s="911"/>
      <c r="UML3424" s="911"/>
      <c r="UMM3424" s="912"/>
      <c r="UMO3424" s="913" t="s">
        <v>1</v>
      </c>
      <c r="UMP3424" s="31"/>
      <c r="UMQ3424" s="909" t="s">
        <v>0</v>
      </c>
      <c r="UMR3424" s="909"/>
      <c r="UMS3424" s="909"/>
      <c r="UMT3424" s="909"/>
      <c r="UMU3424" s="909"/>
      <c r="UMV3424" s="909"/>
      <c r="UMW3424" s="907" t="s">
        <v>79</v>
      </c>
      <c r="UMX3424" s="909" t="s">
        <v>68</v>
      </c>
      <c r="UMY3424" s="910" t="s">
        <v>75</v>
      </c>
      <c r="UMZ3424" s="911"/>
      <c r="UNA3424" s="911"/>
      <c r="UNB3424" s="911"/>
      <c r="UNC3424" s="911"/>
      <c r="UND3424" s="911"/>
      <c r="UNE3424" s="911"/>
      <c r="UNF3424" s="911"/>
      <c r="UNG3424" s="911"/>
      <c r="UNH3424" s="911"/>
      <c r="UNI3424" s="32"/>
      <c r="UNJ3424" s="911" t="s">
        <v>74</v>
      </c>
      <c r="UNK3424" s="911"/>
      <c r="UNL3424" s="911"/>
      <c r="UNM3424" s="911"/>
      <c r="UNN3424" s="911"/>
      <c r="UNO3424" s="911"/>
      <c r="UNP3424" s="911"/>
      <c r="UNQ3424" s="911"/>
      <c r="UNR3424" s="911"/>
      <c r="UNS3424" s="912"/>
      <c r="UNU3424" s="913" t="s">
        <v>1</v>
      </c>
      <c r="UNV3424" s="31"/>
      <c r="UNW3424" s="909" t="s">
        <v>0</v>
      </c>
      <c r="UNX3424" s="909"/>
      <c r="UNY3424" s="909"/>
      <c r="UNZ3424" s="909"/>
      <c r="UOA3424" s="909"/>
      <c r="UOB3424" s="909"/>
      <c r="UOC3424" s="907" t="s">
        <v>79</v>
      </c>
      <c r="UOD3424" s="909" t="s">
        <v>68</v>
      </c>
      <c r="UOE3424" s="910" t="s">
        <v>75</v>
      </c>
      <c r="UOF3424" s="911"/>
      <c r="UOG3424" s="911"/>
      <c r="UOH3424" s="911"/>
      <c r="UOI3424" s="911"/>
      <c r="UOJ3424" s="911"/>
      <c r="UOK3424" s="911"/>
      <c r="UOL3424" s="911"/>
      <c r="UOM3424" s="911"/>
      <c r="UON3424" s="911"/>
      <c r="UOO3424" s="32"/>
      <c r="UOP3424" s="911" t="s">
        <v>74</v>
      </c>
      <c r="UOQ3424" s="911"/>
      <c r="UOR3424" s="911"/>
      <c r="UOS3424" s="911"/>
      <c r="UOT3424" s="911"/>
      <c r="UOU3424" s="911"/>
      <c r="UOV3424" s="911"/>
      <c r="UOW3424" s="911"/>
      <c r="UOX3424" s="911"/>
      <c r="UOY3424" s="912"/>
      <c r="UPA3424" s="913" t="s">
        <v>1</v>
      </c>
      <c r="UPB3424" s="31"/>
      <c r="UPC3424" s="909" t="s">
        <v>0</v>
      </c>
      <c r="UPD3424" s="909"/>
      <c r="UPE3424" s="909"/>
      <c r="UPF3424" s="909"/>
      <c r="UPG3424" s="909"/>
      <c r="UPH3424" s="909"/>
      <c r="UPI3424" s="907" t="s">
        <v>79</v>
      </c>
      <c r="UPJ3424" s="909" t="s">
        <v>68</v>
      </c>
      <c r="UPK3424" s="910" t="s">
        <v>75</v>
      </c>
      <c r="UPL3424" s="911"/>
      <c r="UPM3424" s="911"/>
      <c r="UPN3424" s="911"/>
      <c r="UPO3424" s="911"/>
      <c r="UPP3424" s="911"/>
      <c r="UPQ3424" s="911"/>
      <c r="UPR3424" s="911"/>
      <c r="UPS3424" s="911"/>
      <c r="UPT3424" s="911"/>
      <c r="UPU3424" s="32"/>
      <c r="UPV3424" s="911" t="s">
        <v>74</v>
      </c>
      <c r="UPW3424" s="911"/>
      <c r="UPX3424" s="911"/>
      <c r="UPY3424" s="911"/>
      <c r="UPZ3424" s="911"/>
      <c r="UQA3424" s="911"/>
      <c r="UQB3424" s="911"/>
      <c r="UQC3424" s="911"/>
      <c r="UQD3424" s="911"/>
      <c r="UQE3424" s="912"/>
      <c r="UQG3424" s="913" t="s">
        <v>1</v>
      </c>
      <c r="UQH3424" s="31"/>
      <c r="UQI3424" s="909" t="s">
        <v>0</v>
      </c>
      <c r="UQJ3424" s="909"/>
      <c r="UQK3424" s="909"/>
      <c r="UQL3424" s="909"/>
      <c r="UQM3424" s="909"/>
      <c r="UQN3424" s="909"/>
      <c r="UQO3424" s="907" t="s">
        <v>79</v>
      </c>
      <c r="UQP3424" s="909" t="s">
        <v>68</v>
      </c>
      <c r="UQQ3424" s="910" t="s">
        <v>75</v>
      </c>
      <c r="UQR3424" s="911"/>
      <c r="UQS3424" s="911"/>
      <c r="UQT3424" s="911"/>
      <c r="UQU3424" s="911"/>
      <c r="UQV3424" s="911"/>
      <c r="UQW3424" s="911"/>
      <c r="UQX3424" s="911"/>
      <c r="UQY3424" s="911"/>
      <c r="UQZ3424" s="911"/>
      <c r="URA3424" s="32"/>
      <c r="URB3424" s="911" t="s">
        <v>74</v>
      </c>
      <c r="URC3424" s="911"/>
      <c r="URD3424" s="911"/>
      <c r="URE3424" s="911"/>
      <c r="URF3424" s="911"/>
      <c r="URG3424" s="911"/>
      <c r="URH3424" s="911"/>
      <c r="URI3424" s="911"/>
      <c r="URJ3424" s="911"/>
      <c r="URK3424" s="912"/>
      <c r="URM3424" s="913" t="s">
        <v>1</v>
      </c>
      <c r="URN3424" s="31"/>
      <c r="URO3424" s="909" t="s">
        <v>0</v>
      </c>
      <c r="URP3424" s="909"/>
      <c r="URQ3424" s="909"/>
      <c r="URR3424" s="909"/>
      <c r="URS3424" s="909"/>
      <c r="URT3424" s="909"/>
      <c r="URU3424" s="907" t="s">
        <v>79</v>
      </c>
      <c r="URV3424" s="909" t="s">
        <v>68</v>
      </c>
      <c r="URW3424" s="910" t="s">
        <v>75</v>
      </c>
      <c r="URX3424" s="911"/>
      <c r="URY3424" s="911"/>
      <c r="URZ3424" s="911"/>
      <c r="USA3424" s="911"/>
      <c r="USB3424" s="911"/>
      <c r="USC3424" s="911"/>
      <c r="USD3424" s="911"/>
      <c r="USE3424" s="911"/>
      <c r="USF3424" s="911"/>
      <c r="USG3424" s="32"/>
      <c r="USH3424" s="911" t="s">
        <v>74</v>
      </c>
      <c r="USI3424" s="911"/>
      <c r="USJ3424" s="911"/>
      <c r="USK3424" s="911"/>
      <c r="USL3424" s="911"/>
      <c r="USM3424" s="911"/>
      <c r="USN3424" s="911"/>
      <c r="USO3424" s="911"/>
      <c r="USP3424" s="911"/>
      <c r="USQ3424" s="912"/>
      <c r="USS3424" s="913" t="s">
        <v>1</v>
      </c>
      <c r="UST3424" s="31"/>
      <c r="USU3424" s="909" t="s">
        <v>0</v>
      </c>
      <c r="USV3424" s="909"/>
      <c r="USW3424" s="909"/>
      <c r="USX3424" s="909"/>
      <c r="USY3424" s="909"/>
      <c r="USZ3424" s="909"/>
      <c r="UTA3424" s="907" t="s">
        <v>79</v>
      </c>
      <c r="UTB3424" s="909" t="s">
        <v>68</v>
      </c>
      <c r="UTC3424" s="910" t="s">
        <v>75</v>
      </c>
      <c r="UTD3424" s="911"/>
      <c r="UTE3424" s="911"/>
      <c r="UTF3424" s="911"/>
      <c r="UTG3424" s="911"/>
      <c r="UTH3424" s="911"/>
      <c r="UTI3424" s="911"/>
      <c r="UTJ3424" s="911"/>
      <c r="UTK3424" s="911"/>
      <c r="UTL3424" s="911"/>
      <c r="UTM3424" s="32"/>
      <c r="UTN3424" s="911" t="s">
        <v>74</v>
      </c>
      <c r="UTO3424" s="911"/>
      <c r="UTP3424" s="911"/>
      <c r="UTQ3424" s="911"/>
      <c r="UTR3424" s="911"/>
      <c r="UTS3424" s="911"/>
      <c r="UTT3424" s="911"/>
      <c r="UTU3424" s="911"/>
      <c r="UTV3424" s="911"/>
      <c r="UTW3424" s="912"/>
      <c r="UTY3424" s="913" t="s">
        <v>1</v>
      </c>
      <c r="UTZ3424" s="31"/>
      <c r="UUA3424" s="909" t="s">
        <v>0</v>
      </c>
      <c r="UUB3424" s="909"/>
      <c r="UUC3424" s="909"/>
      <c r="UUD3424" s="909"/>
      <c r="UUE3424" s="909"/>
      <c r="UUF3424" s="909"/>
      <c r="UUG3424" s="907" t="s">
        <v>79</v>
      </c>
      <c r="UUH3424" s="909" t="s">
        <v>68</v>
      </c>
      <c r="UUI3424" s="910" t="s">
        <v>75</v>
      </c>
      <c r="UUJ3424" s="911"/>
      <c r="UUK3424" s="911"/>
      <c r="UUL3424" s="911"/>
      <c r="UUM3424" s="911"/>
      <c r="UUN3424" s="911"/>
      <c r="UUO3424" s="911"/>
      <c r="UUP3424" s="911"/>
      <c r="UUQ3424" s="911"/>
      <c r="UUR3424" s="911"/>
      <c r="UUS3424" s="32"/>
      <c r="UUT3424" s="911" t="s">
        <v>74</v>
      </c>
      <c r="UUU3424" s="911"/>
      <c r="UUV3424" s="911"/>
      <c r="UUW3424" s="911"/>
      <c r="UUX3424" s="911"/>
      <c r="UUY3424" s="911"/>
      <c r="UUZ3424" s="911"/>
      <c r="UVA3424" s="911"/>
      <c r="UVB3424" s="911"/>
      <c r="UVC3424" s="912"/>
      <c r="UVE3424" s="913" t="s">
        <v>1</v>
      </c>
      <c r="UVF3424" s="31"/>
      <c r="UVG3424" s="909" t="s">
        <v>0</v>
      </c>
      <c r="UVH3424" s="909"/>
      <c r="UVI3424" s="909"/>
      <c r="UVJ3424" s="909"/>
      <c r="UVK3424" s="909"/>
      <c r="UVL3424" s="909"/>
      <c r="UVM3424" s="907" t="s">
        <v>79</v>
      </c>
      <c r="UVN3424" s="909" t="s">
        <v>68</v>
      </c>
      <c r="UVO3424" s="910" t="s">
        <v>75</v>
      </c>
      <c r="UVP3424" s="911"/>
      <c r="UVQ3424" s="911"/>
      <c r="UVR3424" s="911"/>
      <c r="UVS3424" s="911"/>
      <c r="UVT3424" s="911"/>
      <c r="UVU3424" s="911"/>
      <c r="UVV3424" s="911"/>
      <c r="UVW3424" s="911"/>
      <c r="UVX3424" s="911"/>
      <c r="UVY3424" s="32"/>
      <c r="UVZ3424" s="911" t="s">
        <v>74</v>
      </c>
      <c r="UWA3424" s="911"/>
      <c r="UWB3424" s="911"/>
      <c r="UWC3424" s="911"/>
      <c r="UWD3424" s="911"/>
      <c r="UWE3424" s="911"/>
      <c r="UWF3424" s="911"/>
      <c r="UWG3424" s="911"/>
      <c r="UWH3424" s="911"/>
      <c r="UWI3424" s="912"/>
      <c r="UWK3424" s="913" t="s">
        <v>1</v>
      </c>
      <c r="UWL3424" s="31"/>
      <c r="UWM3424" s="909" t="s">
        <v>0</v>
      </c>
      <c r="UWN3424" s="909"/>
      <c r="UWO3424" s="909"/>
      <c r="UWP3424" s="909"/>
      <c r="UWQ3424" s="909"/>
      <c r="UWR3424" s="909"/>
      <c r="UWS3424" s="907" t="s">
        <v>79</v>
      </c>
      <c r="UWT3424" s="909" t="s">
        <v>68</v>
      </c>
      <c r="UWU3424" s="910" t="s">
        <v>75</v>
      </c>
      <c r="UWV3424" s="911"/>
      <c r="UWW3424" s="911"/>
      <c r="UWX3424" s="911"/>
      <c r="UWY3424" s="911"/>
      <c r="UWZ3424" s="911"/>
      <c r="UXA3424" s="911"/>
      <c r="UXB3424" s="911"/>
      <c r="UXC3424" s="911"/>
      <c r="UXD3424" s="911"/>
      <c r="UXE3424" s="32"/>
      <c r="UXF3424" s="911" t="s">
        <v>74</v>
      </c>
      <c r="UXG3424" s="911"/>
      <c r="UXH3424" s="911"/>
      <c r="UXI3424" s="911"/>
      <c r="UXJ3424" s="911"/>
      <c r="UXK3424" s="911"/>
      <c r="UXL3424" s="911"/>
      <c r="UXM3424" s="911"/>
      <c r="UXN3424" s="911"/>
      <c r="UXO3424" s="912"/>
      <c r="UXQ3424" s="913" t="s">
        <v>1</v>
      </c>
      <c r="UXR3424" s="31"/>
      <c r="UXS3424" s="909" t="s">
        <v>0</v>
      </c>
      <c r="UXT3424" s="909"/>
      <c r="UXU3424" s="909"/>
      <c r="UXV3424" s="909"/>
      <c r="UXW3424" s="909"/>
      <c r="UXX3424" s="909"/>
      <c r="UXY3424" s="907" t="s">
        <v>79</v>
      </c>
      <c r="UXZ3424" s="909" t="s">
        <v>68</v>
      </c>
      <c r="UYA3424" s="910" t="s">
        <v>75</v>
      </c>
      <c r="UYB3424" s="911"/>
      <c r="UYC3424" s="911"/>
      <c r="UYD3424" s="911"/>
      <c r="UYE3424" s="911"/>
      <c r="UYF3424" s="911"/>
      <c r="UYG3424" s="911"/>
      <c r="UYH3424" s="911"/>
      <c r="UYI3424" s="911"/>
      <c r="UYJ3424" s="911"/>
      <c r="UYK3424" s="32"/>
      <c r="UYL3424" s="911" t="s">
        <v>74</v>
      </c>
      <c r="UYM3424" s="911"/>
      <c r="UYN3424" s="911"/>
      <c r="UYO3424" s="911"/>
      <c r="UYP3424" s="911"/>
      <c r="UYQ3424" s="911"/>
      <c r="UYR3424" s="911"/>
      <c r="UYS3424" s="911"/>
      <c r="UYT3424" s="911"/>
      <c r="UYU3424" s="912"/>
      <c r="UYW3424" s="913" t="s">
        <v>1</v>
      </c>
      <c r="UYX3424" s="31"/>
      <c r="UYY3424" s="909" t="s">
        <v>0</v>
      </c>
      <c r="UYZ3424" s="909"/>
      <c r="UZA3424" s="909"/>
      <c r="UZB3424" s="909"/>
      <c r="UZC3424" s="909"/>
      <c r="UZD3424" s="909"/>
      <c r="UZE3424" s="907" t="s">
        <v>79</v>
      </c>
      <c r="UZF3424" s="909" t="s">
        <v>68</v>
      </c>
      <c r="UZG3424" s="910" t="s">
        <v>75</v>
      </c>
      <c r="UZH3424" s="911"/>
      <c r="UZI3424" s="911"/>
      <c r="UZJ3424" s="911"/>
      <c r="UZK3424" s="911"/>
      <c r="UZL3424" s="911"/>
      <c r="UZM3424" s="911"/>
      <c r="UZN3424" s="911"/>
      <c r="UZO3424" s="911"/>
      <c r="UZP3424" s="911"/>
      <c r="UZQ3424" s="32"/>
      <c r="UZR3424" s="911" t="s">
        <v>74</v>
      </c>
      <c r="UZS3424" s="911"/>
      <c r="UZT3424" s="911"/>
      <c r="UZU3424" s="911"/>
      <c r="UZV3424" s="911"/>
      <c r="UZW3424" s="911"/>
      <c r="UZX3424" s="911"/>
      <c r="UZY3424" s="911"/>
      <c r="UZZ3424" s="911"/>
      <c r="VAA3424" s="912"/>
      <c r="VAC3424" s="913" t="s">
        <v>1</v>
      </c>
      <c r="VAD3424" s="31"/>
      <c r="VAE3424" s="909" t="s">
        <v>0</v>
      </c>
      <c r="VAF3424" s="909"/>
      <c r="VAG3424" s="909"/>
      <c r="VAH3424" s="909"/>
      <c r="VAI3424" s="909"/>
      <c r="VAJ3424" s="909"/>
      <c r="VAK3424" s="907" t="s">
        <v>79</v>
      </c>
      <c r="VAL3424" s="909" t="s">
        <v>68</v>
      </c>
      <c r="VAM3424" s="910" t="s">
        <v>75</v>
      </c>
      <c r="VAN3424" s="911"/>
      <c r="VAO3424" s="911"/>
      <c r="VAP3424" s="911"/>
      <c r="VAQ3424" s="911"/>
      <c r="VAR3424" s="911"/>
      <c r="VAS3424" s="911"/>
      <c r="VAT3424" s="911"/>
      <c r="VAU3424" s="911"/>
      <c r="VAV3424" s="911"/>
      <c r="VAW3424" s="32"/>
      <c r="VAX3424" s="911" t="s">
        <v>74</v>
      </c>
      <c r="VAY3424" s="911"/>
      <c r="VAZ3424" s="911"/>
      <c r="VBA3424" s="911"/>
      <c r="VBB3424" s="911"/>
      <c r="VBC3424" s="911"/>
      <c r="VBD3424" s="911"/>
      <c r="VBE3424" s="911"/>
      <c r="VBF3424" s="911"/>
      <c r="VBG3424" s="912"/>
      <c r="VBI3424" s="913" t="s">
        <v>1</v>
      </c>
      <c r="VBJ3424" s="31"/>
      <c r="VBK3424" s="909" t="s">
        <v>0</v>
      </c>
      <c r="VBL3424" s="909"/>
      <c r="VBM3424" s="909"/>
      <c r="VBN3424" s="909"/>
      <c r="VBO3424" s="909"/>
      <c r="VBP3424" s="909"/>
      <c r="VBQ3424" s="907" t="s">
        <v>79</v>
      </c>
      <c r="VBR3424" s="909" t="s">
        <v>68</v>
      </c>
      <c r="VBS3424" s="910" t="s">
        <v>75</v>
      </c>
      <c r="VBT3424" s="911"/>
      <c r="VBU3424" s="911"/>
      <c r="VBV3424" s="911"/>
      <c r="VBW3424" s="911"/>
      <c r="VBX3424" s="911"/>
      <c r="VBY3424" s="911"/>
      <c r="VBZ3424" s="911"/>
      <c r="VCA3424" s="911"/>
      <c r="VCB3424" s="911"/>
      <c r="VCC3424" s="32"/>
      <c r="VCD3424" s="911" t="s">
        <v>74</v>
      </c>
      <c r="VCE3424" s="911"/>
      <c r="VCF3424" s="911"/>
      <c r="VCG3424" s="911"/>
      <c r="VCH3424" s="911"/>
      <c r="VCI3424" s="911"/>
      <c r="VCJ3424" s="911"/>
      <c r="VCK3424" s="911"/>
      <c r="VCL3424" s="911"/>
      <c r="VCM3424" s="912"/>
      <c r="VCO3424" s="913" t="s">
        <v>1</v>
      </c>
      <c r="VCP3424" s="31"/>
      <c r="VCQ3424" s="909" t="s">
        <v>0</v>
      </c>
      <c r="VCR3424" s="909"/>
      <c r="VCS3424" s="909"/>
      <c r="VCT3424" s="909"/>
      <c r="VCU3424" s="909"/>
      <c r="VCV3424" s="909"/>
      <c r="VCW3424" s="907" t="s">
        <v>79</v>
      </c>
      <c r="VCX3424" s="909" t="s">
        <v>68</v>
      </c>
      <c r="VCY3424" s="910" t="s">
        <v>75</v>
      </c>
      <c r="VCZ3424" s="911"/>
      <c r="VDA3424" s="911"/>
      <c r="VDB3424" s="911"/>
      <c r="VDC3424" s="911"/>
      <c r="VDD3424" s="911"/>
      <c r="VDE3424" s="911"/>
      <c r="VDF3424" s="911"/>
      <c r="VDG3424" s="911"/>
      <c r="VDH3424" s="911"/>
      <c r="VDI3424" s="32"/>
      <c r="VDJ3424" s="911" t="s">
        <v>74</v>
      </c>
      <c r="VDK3424" s="911"/>
      <c r="VDL3424" s="911"/>
      <c r="VDM3424" s="911"/>
      <c r="VDN3424" s="911"/>
      <c r="VDO3424" s="911"/>
      <c r="VDP3424" s="911"/>
      <c r="VDQ3424" s="911"/>
      <c r="VDR3424" s="911"/>
      <c r="VDS3424" s="912"/>
      <c r="VDU3424" s="913" t="s">
        <v>1</v>
      </c>
      <c r="VDV3424" s="31"/>
      <c r="VDW3424" s="909" t="s">
        <v>0</v>
      </c>
      <c r="VDX3424" s="909"/>
      <c r="VDY3424" s="909"/>
      <c r="VDZ3424" s="909"/>
      <c r="VEA3424" s="909"/>
      <c r="VEB3424" s="909"/>
      <c r="VEC3424" s="907" t="s">
        <v>79</v>
      </c>
      <c r="VED3424" s="909" t="s">
        <v>68</v>
      </c>
      <c r="VEE3424" s="910" t="s">
        <v>75</v>
      </c>
      <c r="VEF3424" s="911"/>
      <c r="VEG3424" s="911"/>
      <c r="VEH3424" s="911"/>
      <c r="VEI3424" s="911"/>
      <c r="VEJ3424" s="911"/>
      <c r="VEK3424" s="911"/>
      <c r="VEL3424" s="911"/>
      <c r="VEM3424" s="911"/>
      <c r="VEN3424" s="911"/>
      <c r="VEO3424" s="32"/>
      <c r="VEP3424" s="911" t="s">
        <v>74</v>
      </c>
      <c r="VEQ3424" s="911"/>
      <c r="VER3424" s="911"/>
      <c r="VES3424" s="911"/>
      <c r="VET3424" s="911"/>
      <c r="VEU3424" s="911"/>
      <c r="VEV3424" s="911"/>
      <c r="VEW3424" s="911"/>
      <c r="VEX3424" s="911"/>
      <c r="VEY3424" s="912"/>
      <c r="VFA3424" s="913" t="s">
        <v>1</v>
      </c>
      <c r="VFB3424" s="31"/>
      <c r="VFC3424" s="909" t="s">
        <v>0</v>
      </c>
      <c r="VFD3424" s="909"/>
      <c r="VFE3424" s="909"/>
      <c r="VFF3424" s="909"/>
      <c r="VFG3424" s="909"/>
      <c r="VFH3424" s="909"/>
      <c r="VFI3424" s="907" t="s">
        <v>79</v>
      </c>
      <c r="VFJ3424" s="909" t="s">
        <v>68</v>
      </c>
      <c r="VFK3424" s="910" t="s">
        <v>75</v>
      </c>
      <c r="VFL3424" s="911"/>
      <c r="VFM3424" s="911"/>
      <c r="VFN3424" s="911"/>
      <c r="VFO3424" s="911"/>
      <c r="VFP3424" s="911"/>
      <c r="VFQ3424" s="911"/>
      <c r="VFR3424" s="911"/>
      <c r="VFS3424" s="911"/>
      <c r="VFT3424" s="911"/>
      <c r="VFU3424" s="32"/>
      <c r="VFV3424" s="911" t="s">
        <v>74</v>
      </c>
      <c r="VFW3424" s="911"/>
      <c r="VFX3424" s="911"/>
      <c r="VFY3424" s="911"/>
      <c r="VFZ3424" s="911"/>
      <c r="VGA3424" s="911"/>
      <c r="VGB3424" s="911"/>
      <c r="VGC3424" s="911"/>
      <c r="VGD3424" s="911"/>
      <c r="VGE3424" s="912"/>
      <c r="VGG3424" s="913" t="s">
        <v>1</v>
      </c>
      <c r="VGH3424" s="31"/>
      <c r="VGI3424" s="909" t="s">
        <v>0</v>
      </c>
      <c r="VGJ3424" s="909"/>
      <c r="VGK3424" s="909"/>
      <c r="VGL3424" s="909"/>
      <c r="VGM3424" s="909"/>
      <c r="VGN3424" s="909"/>
      <c r="VGO3424" s="907" t="s">
        <v>79</v>
      </c>
      <c r="VGP3424" s="909" t="s">
        <v>68</v>
      </c>
      <c r="VGQ3424" s="910" t="s">
        <v>75</v>
      </c>
      <c r="VGR3424" s="911"/>
      <c r="VGS3424" s="911"/>
      <c r="VGT3424" s="911"/>
      <c r="VGU3424" s="911"/>
      <c r="VGV3424" s="911"/>
      <c r="VGW3424" s="911"/>
      <c r="VGX3424" s="911"/>
      <c r="VGY3424" s="911"/>
      <c r="VGZ3424" s="911"/>
      <c r="VHA3424" s="32"/>
      <c r="VHB3424" s="911" t="s">
        <v>74</v>
      </c>
      <c r="VHC3424" s="911"/>
      <c r="VHD3424" s="911"/>
      <c r="VHE3424" s="911"/>
      <c r="VHF3424" s="911"/>
      <c r="VHG3424" s="911"/>
      <c r="VHH3424" s="911"/>
      <c r="VHI3424" s="911"/>
      <c r="VHJ3424" s="911"/>
      <c r="VHK3424" s="912"/>
      <c r="VHM3424" s="913" t="s">
        <v>1</v>
      </c>
      <c r="VHN3424" s="31"/>
      <c r="VHO3424" s="909" t="s">
        <v>0</v>
      </c>
      <c r="VHP3424" s="909"/>
      <c r="VHQ3424" s="909"/>
      <c r="VHR3424" s="909"/>
      <c r="VHS3424" s="909"/>
      <c r="VHT3424" s="909"/>
      <c r="VHU3424" s="907" t="s">
        <v>79</v>
      </c>
      <c r="VHV3424" s="909" t="s">
        <v>68</v>
      </c>
      <c r="VHW3424" s="910" t="s">
        <v>75</v>
      </c>
      <c r="VHX3424" s="911"/>
      <c r="VHY3424" s="911"/>
      <c r="VHZ3424" s="911"/>
      <c r="VIA3424" s="911"/>
      <c r="VIB3424" s="911"/>
      <c r="VIC3424" s="911"/>
      <c r="VID3424" s="911"/>
      <c r="VIE3424" s="911"/>
      <c r="VIF3424" s="911"/>
      <c r="VIG3424" s="32"/>
      <c r="VIH3424" s="911" t="s">
        <v>74</v>
      </c>
      <c r="VII3424" s="911"/>
      <c r="VIJ3424" s="911"/>
      <c r="VIK3424" s="911"/>
      <c r="VIL3424" s="911"/>
      <c r="VIM3424" s="911"/>
      <c r="VIN3424" s="911"/>
      <c r="VIO3424" s="911"/>
      <c r="VIP3424" s="911"/>
      <c r="VIQ3424" s="912"/>
      <c r="VIS3424" s="913" t="s">
        <v>1</v>
      </c>
      <c r="VIT3424" s="31"/>
      <c r="VIU3424" s="909" t="s">
        <v>0</v>
      </c>
      <c r="VIV3424" s="909"/>
      <c r="VIW3424" s="909"/>
      <c r="VIX3424" s="909"/>
      <c r="VIY3424" s="909"/>
      <c r="VIZ3424" s="909"/>
      <c r="VJA3424" s="907" t="s">
        <v>79</v>
      </c>
      <c r="VJB3424" s="909" t="s">
        <v>68</v>
      </c>
      <c r="VJC3424" s="910" t="s">
        <v>75</v>
      </c>
      <c r="VJD3424" s="911"/>
      <c r="VJE3424" s="911"/>
      <c r="VJF3424" s="911"/>
      <c r="VJG3424" s="911"/>
      <c r="VJH3424" s="911"/>
      <c r="VJI3424" s="911"/>
      <c r="VJJ3424" s="911"/>
      <c r="VJK3424" s="911"/>
      <c r="VJL3424" s="911"/>
      <c r="VJM3424" s="32"/>
      <c r="VJN3424" s="911" t="s">
        <v>74</v>
      </c>
      <c r="VJO3424" s="911"/>
      <c r="VJP3424" s="911"/>
      <c r="VJQ3424" s="911"/>
      <c r="VJR3424" s="911"/>
      <c r="VJS3424" s="911"/>
      <c r="VJT3424" s="911"/>
      <c r="VJU3424" s="911"/>
      <c r="VJV3424" s="911"/>
      <c r="VJW3424" s="912"/>
      <c r="VJY3424" s="913" t="s">
        <v>1</v>
      </c>
      <c r="VJZ3424" s="31"/>
      <c r="VKA3424" s="909" t="s">
        <v>0</v>
      </c>
      <c r="VKB3424" s="909"/>
      <c r="VKC3424" s="909"/>
      <c r="VKD3424" s="909"/>
      <c r="VKE3424" s="909"/>
      <c r="VKF3424" s="909"/>
      <c r="VKG3424" s="907" t="s">
        <v>79</v>
      </c>
      <c r="VKH3424" s="909" t="s">
        <v>68</v>
      </c>
      <c r="VKI3424" s="910" t="s">
        <v>75</v>
      </c>
      <c r="VKJ3424" s="911"/>
      <c r="VKK3424" s="911"/>
      <c r="VKL3424" s="911"/>
      <c r="VKM3424" s="911"/>
      <c r="VKN3424" s="911"/>
      <c r="VKO3424" s="911"/>
      <c r="VKP3424" s="911"/>
      <c r="VKQ3424" s="911"/>
      <c r="VKR3424" s="911"/>
      <c r="VKS3424" s="32"/>
      <c r="VKT3424" s="911" t="s">
        <v>74</v>
      </c>
      <c r="VKU3424" s="911"/>
      <c r="VKV3424" s="911"/>
      <c r="VKW3424" s="911"/>
      <c r="VKX3424" s="911"/>
      <c r="VKY3424" s="911"/>
      <c r="VKZ3424" s="911"/>
      <c r="VLA3424" s="911"/>
      <c r="VLB3424" s="911"/>
      <c r="VLC3424" s="912"/>
      <c r="VLE3424" s="913" t="s">
        <v>1</v>
      </c>
      <c r="VLF3424" s="31"/>
      <c r="VLG3424" s="909" t="s">
        <v>0</v>
      </c>
      <c r="VLH3424" s="909"/>
      <c r="VLI3424" s="909"/>
      <c r="VLJ3424" s="909"/>
      <c r="VLK3424" s="909"/>
      <c r="VLL3424" s="909"/>
      <c r="VLM3424" s="907" t="s">
        <v>79</v>
      </c>
      <c r="VLN3424" s="909" t="s">
        <v>68</v>
      </c>
      <c r="VLO3424" s="910" t="s">
        <v>75</v>
      </c>
      <c r="VLP3424" s="911"/>
      <c r="VLQ3424" s="911"/>
      <c r="VLR3424" s="911"/>
      <c r="VLS3424" s="911"/>
      <c r="VLT3424" s="911"/>
      <c r="VLU3424" s="911"/>
      <c r="VLV3424" s="911"/>
      <c r="VLW3424" s="911"/>
      <c r="VLX3424" s="911"/>
      <c r="VLY3424" s="32"/>
      <c r="VLZ3424" s="911" t="s">
        <v>74</v>
      </c>
      <c r="VMA3424" s="911"/>
      <c r="VMB3424" s="911"/>
      <c r="VMC3424" s="911"/>
      <c r="VMD3424" s="911"/>
      <c r="VME3424" s="911"/>
      <c r="VMF3424" s="911"/>
      <c r="VMG3424" s="911"/>
      <c r="VMH3424" s="911"/>
      <c r="VMI3424" s="912"/>
      <c r="VMK3424" s="913" t="s">
        <v>1</v>
      </c>
      <c r="VML3424" s="31"/>
      <c r="VMM3424" s="909" t="s">
        <v>0</v>
      </c>
      <c r="VMN3424" s="909"/>
      <c r="VMO3424" s="909"/>
      <c r="VMP3424" s="909"/>
      <c r="VMQ3424" s="909"/>
      <c r="VMR3424" s="909"/>
      <c r="VMS3424" s="907" t="s">
        <v>79</v>
      </c>
      <c r="VMT3424" s="909" t="s">
        <v>68</v>
      </c>
      <c r="VMU3424" s="910" t="s">
        <v>75</v>
      </c>
      <c r="VMV3424" s="911"/>
      <c r="VMW3424" s="911"/>
      <c r="VMX3424" s="911"/>
      <c r="VMY3424" s="911"/>
      <c r="VMZ3424" s="911"/>
      <c r="VNA3424" s="911"/>
      <c r="VNB3424" s="911"/>
      <c r="VNC3424" s="911"/>
      <c r="VND3424" s="911"/>
      <c r="VNE3424" s="32"/>
      <c r="VNF3424" s="911" t="s">
        <v>74</v>
      </c>
      <c r="VNG3424" s="911"/>
      <c r="VNH3424" s="911"/>
      <c r="VNI3424" s="911"/>
      <c r="VNJ3424" s="911"/>
      <c r="VNK3424" s="911"/>
      <c r="VNL3424" s="911"/>
      <c r="VNM3424" s="911"/>
      <c r="VNN3424" s="911"/>
      <c r="VNO3424" s="912"/>
      <c r="VNQ3424" s="913" t="s">
        <v>1</v>
      </c>
      <c r="VNR3424" s="31"/>
      <c r="VNS3424" s="909" t="s">
        <v>0</v>
      </c>
      <c r="VNT3424" s="909"/>
      <c r="VNU3424" s="909"/>
      <c r="VNV3424" s="909"/>
      <c r="VNW3424" s="909"/>
      <c r="VNX3424" s="909"/>
      <c r="VNY3424" s="907" t="s">
        <v>79</v>
      </c>
      <c r="VNZ3424" s="909" t="s">
        <v>68</v>
      </c>
      <c r="VOA3424" s="910" t="s">
        <v>75</v>
      </c>
      <c r="VOB3424" s="911"/>
      <c r="VOC3424" s="911"/>
      <c r="VOD3424" s="911"/>
      <c r="VOE3424" s="911"/>
      <c r="VOF3424" s="911"/>
      <c r="VOG3424" s="911"/>
      <c r="VOH3424" s="911"/>
      <c r="VOI3424" s="911"/>
      <c r="VOJ3424" s="911"/>
      <c r="VOK3424" s="32"/>
      <c r="VOL3424" s="911" t="s">
        <v>74</v>
      </c>
      <c r="VOM3424" s="911"/>
      <c r="VON3424" s="911"/>
      <c r="VOO3424" s="911"/>
      <c r="VOP3424" s="911"/>
      <c r="VOQ3424" s="911"/>
      <c r="VOR3424" s="911"/>
      <c r="VOS3424" s="911"/>
      <c r="VOT3424" s="911"/>
      <c r="VOU3424" s="912"/>
      <c r="VOW3424" s="913" t="s">
        <v>1</v>
      </c>
      <c r="VOX3424" s="31"/>
      <c r="VOY3424" s="909" t="s">
        <v>0</v>
      </c>
      <c r="VOZ3424" s="909"/>
      <c r="VPA3424" s="909"/>
      <c r="VPB3424" s="909"/>
      <c r="VPC3424" s="909"/>
      <c r="VPD3424" s="909"/>
      <c r="VPE3424" s="907" t="s">
        <v>79</v>
      </c>
      <c r="VPF3424" s="909" t="s">
        <v>68</v>
      </c>
      <c r="VPG3424" s="910" t="s">
        <v>75</v>
      </c>
      <c r="VPH3424" s="911"/>
      <c r="VPI3424" s="911"/>
      <c r="VPJ3424" s="911"/>
      <c r="VPK3424" s="911"/>
      <c r="VPL3424" s="911"/>
      <c r="VPM3424" s="911"/>
      <c r="VPN3424" s="911"/>
      <c r="VPO3424" s="911"/>
      <c r="VPP3424" s="911"/>
      <c r="VPQ3424" s="32"/>
      <c r="VPR3424" s="911" t="s">
        <v>74</v>
      </c>
      <c r="VPS3424" s="911"/>
      <c r="VPT3424" s="911"/>
      <c r="VPU3424" s="911"/>
      <c r="VPV3424" s="911"/>
      <c r="VPW3424" s="911"/>
      <c r="VPX3424" s="911"/>
      <c r="VPY3424" s="911"/>
      <c r="VPZ3424" s="911"/>
      <c r="VQA3424" s="912"/>
      <c r="VQC3424" s="913" t="s">
        <v>1</v>
      </c>
      <c r="VQD3424" s="31"/>
      <c r="VQE3424" s="909" t="s">
        <v>0</v>
      </c>
      <c r="VQF3424" s="909"/>
      <c r="VQG3424" s="909"/>
      <c r="VQH3424" s="909"/>
      <c r="VQI3424" s="909"/>
      <c r="VQJ3424" s="909"/>
      <c r="VQK3424" s="907" t="s">
        <v>79</v>
      </c>
      <c r="VQL3424" s="909" t="s">
        <v>68</v>
      </c>
      <c r="VQM3424" s="910" t="s">
        <v>75</v>
      </c>
      <c r="VQN3424" s="911"/>
      <c r="VQO3424" s="911"/>
      <c r="VQP3424" s="911"/>
      <c r="VQQ3424" s="911"/>
      <c r="VQR3424" s="911"/>
      <c r="VQS3424" s="911"/>
      <c r="VQT3424" s="911"/>
      <c r="VQU3424" s="911"/>
      <c r="VQV3424" s="911"/>
      <c r="VQW3424" s="32"/>
      <c r="VQX3424" s="911" t="s">
        <v>74</v>
      </c>
      <c r="VQY3424" s="911"/>
      <c r="VQZ3424" s="911"/>
      <c r="VRA3424" s="911"/>
      <c r="VRB3424" s="911"/>
      <c r="VRC3424" s="911"/>
      <c r="VRD3424" s="911"/>
      <c r="VRE3424" s="911"/>
      <c r="VRF3424" s="911"/>
      <c r="VRG3424" s="912"/>
      <c r="VRI3424" s="913" t="s">
        <v>1</v>
      </c>
      <c r="VRJ3424" s="31"/>
      <c r="VRK3424" s="909" t="s">
        <v>0</v>
      </c>
      <c r="VRL3424" s="909"/>
      <c r="VRM3424" s="909"/>
      <c r="VRN3424" s="909"/>
      <c r="VRO3424" s="909"/>
      <c r="VRP3424" s="909"/>
      <c r="VRQ3424" s="907" t="s">
        <v>79</v>
      </c>
      <c r="VRR3424" s="909" t="s">
        <v>68</v>
      </c>
      <c r="VRS3424" s="910" t="s">
        <v>75</v>
      </c>
      <c r="VRT3424" s="911"/>
      <c r="VRU3424" s="911"/>
      <c r="VRV3424" s="911"/>
      <c r="VRW3424" s="911"/>
      <c r="VRX3424" s="911"/>
      <c r="VRY3424" s="911"/>
      <c r="VRZ3424" s="911"/>
      <c r="VSA3424" s="911"/>
      <c r="VSB3424" s="911"/>
      <c r="VSC3424" s="32"/>
      <c r="VSD3424" s="911" t="s">
        <v>74</v>
      </c>
      <c r="VSE3424" s="911"/>
      <c r="VSF3424" s="911"/>
      <c r="VSG3424" s="911"/>
      <c r="VSH3424" s="911"/>
      <c r="VSI3424" s="911"/>
      <c r="VSJ3424" s="911"/>
      <c r="VSK3424" s="911"/>
      <c r="VSL3424" s="911"/>
      <c r="VSM3424" s="912"/>
      <c r="VSO3424" s="913" t="s">
        <v>1</v>
      </c>
      <c r="VSP3424" s="31"/>
      <c r="VSQ3424" s="909" t="s">
        <v>0</v>
      </c>
      <c r="VSR3424" s="909"/>
      <c r="VSS3424" s="909"/>
      <c r="VST3424" s="909"/>
      <c r="VSU3424" s="909"/>
      <c r="VSV3424" s="909"/>
      <c r="VSW3424" s="907" t="s">
        <v>79</v>
      </c>
      <c r="VSX3424" s="909" t="s">
        <v>68</v>
      </c>
      <c r="VSY3424" s="910" t="s">
        <v>75</v>
      </c>
      <c r="VSZ3424" s="911"/>
      <c r="VTA3424" s="911"/>
      <c r="VTB3424" s="911"/>
      <c r="VTC3424" s="911"/>
      <c r="VTD3424" s="911"/>
      <c r="VTE3424" s="911"/>
      <c r="VTF3424" s="911"/>
      <c r="VTG3424" s="911"/>
      <c r="VTH3424" s="911"/>
      <c r="VTI3424" s="32"/>
      <c r="VTJ3424" s="911" t="s">
        <v>74</v>
      </c>
      <c r="VTK3424" s="911"/>
      <c r="VTL3424" s="911"/>
      <c r="VTM3424" s="911"/>
      <c r="VTN3424" s="911"/>
      <c r="VTO3424" s="911"/>
      <c r="VTP3424" s="911"/>
      <c r="VTQ3424" s="911"/>
      <c r="VTR3424" s="911"/>
      <c r="VTS3424" s="912"/>
      <c r="VTU3424" s="913" t="s">
        <v>1</v>
      </c>
      <c r="VTV3424" s="31"/>
      <c r="VTW3424" s="909" t="s">
        <v>0</v>
      </c>
      <c r="VTX3424" s="909"/>
      <c r="VTY3424" s="909"/>
      <c r="VTZ3424" s="909"/>
      <c r="VUA3424" s="909"/>
      <c r="VUB3424" s="909"/>
      <c r="VUC3424" s="907" t="s">
        <v>79</v>
      </c>
      <c r="VUD3424" s="909" t="s">
        <v>68</v>
      </c>
      <c r="VUE3424" s="910" t="s">
        <v>75</v>
      </c>
      <c r="VUF3424" s="911"/>
      <c r="VUG3424" s="911"/>
      <c r="VUH3424" s="911"/>
      <c r="VUI3424" s="911"/>
      <c r="VUJ3424" s="911"/>
      <c r="VUK3424" s="911"/>
      <c r="VUL3424" s="911"/>
      <c r="VUM3424" s="911"/>
      <c r="VUN3424" s="911"/>
      <c r="VUO3424" s="32"/>
      <c r="VUP3424" s="911" t="s">
        <v>74</v>
      </c>
      <c r="VUQ3424" s="911"/>
      <c r="VUR3424" s="911"/>
      <c r="VUS3424" s="911"/>
      <c r="VUT3424" s="911"/>
      <c r="VUU3424" s="911"/>
      <c r="VUV3424" s="911"/>
      <c r="VUW3424" s="911"/>
      <c r="VUX3424" s="911"/>
      <c r="VUY3424" s="912"/>
      <c r="VVA3424" s="913" t="s">
        <v>1</v>
      </c>
      <c r="VVB3424" s="31"/>
      <c r="VVC3424" s="909" t="s">
        <v>0</v>
      </c>
      <c r="VVD3424" s="909"/>
      <c r="VVE3424" s="909"/>
      <c r="VVF3424" s="909"/>
      <c r="VVG3424" s="909"/>
      <c r="VVH3424" s="909"/>
      <c r="VVI3424" s="907" t="s">
        <v>79</v>
      </c>
      <c r="VVJ3424" s="909" t="s">
        <v>68</v>
      </c>
      <c r="VVK3424" s="910" t="s">
        <v>75</v>
      </c>
      <c r="VVL3424" s="911"/>
      <c r="VVM3424" s="911"/>
      <c r="VVN3424" s="911"/>
      <c r="VVO3424" s="911"/>
      <c r="VVP3424" s="911"/>
      <c r="VVQ3424" s="911"/>
      <c r="VVR3424" s="911"/>
      <c r="VVS3424" s="911"/>
      <c r="VVT3424" s="911"/>
      <c r="VVU3424" s="32"/>
      <c r="VVV3424" s="911" t="s">
        <v>74</v>
      </c>
      <c r="VVW3424" s="911"/>
      <c r="VVX3424" s="911"/>
      <c r="VVY3424" s="911"/>
      <c r="VVZ3424" s="911"/>
      <c r="VWA3424" s="911"/>
      <c r="VWB3424" s="911"/>
      <c r="VWC3424" s="911"/>
      <c r="VWD3424" s="911"/>
      <c r="VWE3424" s="912"/>
      <c r="VWG3424" s="913" t="s">
        <v>1</v>
      </c>
      <c r="VWH3424" s="31"/>
      <c r="VWI3424" s="909" t="s">
        <v>0</v>
      </c>
      <c r="VWJ3424" s="909"/>
      <c r="VWK3424" s="909"/>
      <c r="VWL3424" s="909"/>
      <c r="VWM3424" s="909"/>
      <c r="VWN3424" s="909"/>
      <c r="VWO3424" s="907" t="s">
        <v>79</v>
      </c>
      <c r="VWP3424" s="909" t="s">
        <v>68</v>
      </c>
      <c r="VWQ3424" s="910" t="s">
        <v>75</v>
      </c>
      <c r="VWR3424" s="911"/>
      <c r="VWS3424" s="911"/>
      <c r="VWT3424" s="911"/>
      <c r="VWU3424" s="911"/>
      <c r="VWV3424" s="911"/>
      <c r="VWW3424" s="911"/>
      <c r="VWX3424" s="911"/>
      <c r="VWY3424" s="911"/>
      <c r="VWZ3424" s="911"/>
      <c r="VXA3424" s="32"/>
      <c r="VXB3424" s="911" t="s">
        <v>74</v>
      </c>
      <c r="VXC3424" s="911"/>
      <c r="VXD3424" s="911"/>
      <c r="VXE3424" s="911"/>
      <c r="VXF3424" s="911"/>
      <c r="VXG3424" s="911"/>
      <c r="VXH3424" s="911"/>
      <c r="VXI3424" s="911"/>
      <c r="VXJ3424" s="911"/>
      <c r="VXK3424" s="912"/>
      <c r="VXM3424" s="913" t="s">
        <v>1</v>
      </c>
      <c r="VXN3424" s="31"/>
      <c r="VXO3424" s="909" t="s">
        <v>0</v>
      </c>
      <c r="VXP3424" s="909"/>
      <c r="VXQ3424" s="909"/>
      <c r="VXR3424" s="909"/>
      <c r="VXS3424" s="909"/>
      <c r="VXT3424" s="909"/>
      <c r="VXU3424" s="907" t="s">
        <v>79</v>
      </c>
      <c r="VXV3424" s="909" t="s">
        <v>68</v>
      </c>
      <c r="VXW3424" s="910" t="s">
        <v>75</v>
      </c>
      <c r="VXX3424" s="911"/>
      <c r="VXY3424" s="911"/>
      <c r="VXZ3424" s="911"/>
      <c r="VYA3424" s="911"/>
      <c r="VYB3424" s="911"/>
      <c r="VYC3424" s="911"/>
      <c r="VYD3424" s="911"/>
      <c r="VYE3424" s="911"/>
      <c r="VYF3424" s="911"/>
      <c r="VYG3424" s="32"/>
      <c r="VYH3424" s="911" t="s">
        <v>74</v>
      </c>
      <c r="VYI3424" s="911"/>
      <c r="VYJ3424" s="911"/>
      <c r="VYK3424" s="911"/>
      <c r="VYL3424" s="911"/>
      <c r="VYM3424" s="911"/>
      <c r="VYN3424" s="911"/>
      <c r="VYO3424" s="911"/>
      <c r="VYP3424" s="911"/>
      <c r="VYQ3424" s="912"/>
      <c r="VYS3424" s="913" t="s">
        <v>1</v>
      </c>
      <c r="VYT3424" s="31"/>
      <c r="VYU3424" s="909" t="s">
        <v>0</v>
      </c>
      <c r="VYV3424" s="909"/>
      <c r="VYW3424" s="909"/>
      <c r="VYX3424" s="909"/>
      <c r="VYY3424" s="909"/>
      <c r="VYZ3424" s="909"/>
      <c r="VZA3424" s="907" t="s">
        <v>79</v>
      </c>
      <c r="VZB3424" s="909" t="s">
        <v>68</v>
      </c>
      <c r="VZC3424" s="910" t="s">
        <v>75</v>
      </c>
      <c r="VZD3424" s="911"/>
      <c r="VZE3424" s="911"/>
      <c r="VZF3424" s="911"/>
      <c r="VZG3424" s="911"/>
      <c r="VZH3424" s="911"/>
      <c r="VZI3424" s="911"/>
      <c r="VZJ3424" s="911"/>
      <c r="VZK3424" s="911"/>
      <c r="VZL3424" s="911"/>
      <c r="VZM3424" s="32"/>
      <c r="VZN3424" s="911" t="s">
        <v>74</v>
      </c>
      <c r="VZO3424" s="911"/>
      <c r="VZP3424" s="911"/>
      <c r="VZQ3424" s="911"/>
      <c r="VZR3424" s="911"/>
      <c r="VZS3424" s="911"/>
      <c r="VZT3424" s="911"/>
      <c r="VZU3424" s="911"/>
      <c r="VZV3424" s="911"/>
      <c r="VZW3424" s="912"/>
      <c r="VZY3424" s="913" t="s">
        <v>1</v>
      </c>
      <c r="VZZ3424" s="31"/>
      <c r="WAA3424" s="909" t="s">
        <v>0</v>
      </c>
      <c r="WAB3424" s="909"/>
      <c r="WAC3424" s="909"/>
      <c r="WAD3424" s="909"/>
      <c r="WAE3424" s="909"/>
      <c r="WAF3424" s="909"/>
      <c r="WAG3424" s="907" t="s">
        <v>79</v>
      </c>
      <c r="WAH3424" s="909" t="s">
        <v>68</v>
      </c>
      <c r="WAI3424" s="910" t="s">
        <v>75</v>
      </c>
      <c r="WAJ3424" s="911"/>
      <c r="WAK3424" s="911"/>
      <c r="WAL3424" s="911"/>
      <c r="WAM3424" s="911"/>
      <c r="WAN3424" s="911"/>
      <c r="WAO3424" s="911"/>
      <c r="WAP3424" s="911"/>
      <c r="WAQ3424" s="911"/>
      <c r="WAR3424" s="911"/>
      <c r="WAS3424" s="32"/>
      <c r="WAT3424" s="911" t="s">
        <v>74</v>
      </c>
      <c r="WAU3424" s="911"/>
      <c r="WAV3424" s="911"/>
      <c r="WAW3424" s="911"/>
      <c r="WAX3424" s="911"/>
      <c r="WAY3424" s="911"/>
      <c r="WAZ3424" s="911"/>
      <c r="WBA3424" s="911"/>
      <c r="WBB3424" s="911"/>
      <c r="WBC3424" s="912"/>
      <c r="WBE3424" s="913" t="s">
        <v>1</v>
      </c>
      <c r="WBF3424" s="31"/>
      <c r="WBG3424" s="909" t="s">
        <v>0</v>
      </c>
      <c r="WBH3424" s="909"/>
      <c r="WBI3424" s="909"/>
      <c r="WBJ3424" s="909"/>
      <c r="WBK3424" s="909"/>
      <c r="WBL3424" s="909"/>
      <c r="WBM3424" s="907" t="s">
        <v>79</v>
      </c>
      <c r="WBN3424" s="909" t="s">
        <v>68</v>
      </c>
      <c r="WBO3424" s="910" t="s">
        <v>75</v>
      </c>
      <c r="WBP3424" s="911"/>
      <c r="WBQ3424" s="911"/>
      <c r="WBR3424" s="911"/>
      <c r="WBS3424" s="911"/>
      <c r="WBT3424" s="911"/>
      <c r="WBU3424" s="911"/>
      <c r="WBV3424" s="911"/>
      <c r="WBW3424" s="911"/>
      <c r="WBX3424" s="911"/>
      <c r="WBY3424" s="32"/>
      <c r="WBZ3424" s="911" t="s">
        <v>74</v>
      </c>
      <c r="WCA3424" s="911"/>
      <c r="WCB3424" s="911"/>
      <c r="WCC3424" s="911"/>
      <c r="WCD3424" s="911"/>
      <c r="WCE3424" s="911"/>
      <c r="WCF3424" s="911"/>
      <c r="WCG3424" s="911"/>
      <c r="WCH3424" s="911"/>
      <c r="WCI3424" s="912"/>
      <c r="WCK3424" s="913" t="s">
        <v>1</v>
      </c>
      <c r="WCL3424" s="31"/>
      <c r="WCM3424" s="909" t="s">
        <v>0</v>
      </c>
      <c r="WCN3424" s="909"/>
      <c r="WCO3424" s="909"/>
      <c r="WCP3424" s="909"/>
      <c r="WCQ3424" s="909"/>
      <c r="WCR3424" s="909"/>
      <c r="WCS3424" s="907" t="s">
        <v>79</v>
      </c>
      <c r="WCT3424" s="909" t="s">
        <v>68</v>
      </c>
      <c r="WCU3424" s="910" t="s">
        <v>75</v>
      </c>
      <c r="WCV3424" s="911"/>
      <c r="WCW3424" s="911"/>
      <c r="WCX3424" s="911"/>
      <c r="WCY3424" s="911"/>
      <c r="WCZ3424" s="911"/>
      <c r="WDA3424" s="911"/>
      <c r="WDB3424" s="911"/>
      <c r="WDC3424" s="911"/>
      <c r="WDD3424" s="911"/>
      <c r="WDE3424" s="32"/>
      <c r="WDF3424" s="911" t="s">
        <v>74</v>
      </c>
      <c r="WDG3424" s="911"/>
      <c r="WDH3424" s="911"/>
      <c r="WDI3424" s="911"/>
      <c r="WDJ3424" s="911"/>
      <c r="WDK3424" s="911"/>
      <c r="WDL3424" s="911"/>
      <c r="WDM3424" s="911"/>
      <c r="WDN3424" s="911"/>
      <c r="WDO3424" s="912"/>
      <c r="WDQ3424" s="913" t="s">
        <v>1</v>
      </c>
      <c r="WDR3424" s="31"/>
      <c r="WDS3424" s="909" t="s">
        <v>0</v>
      </c>
      <c r="WDT3424" s="909"/>
      <c r="WDU3424" s="909"/>
      <c r="WDV3424" s="909"/>
      <c r="WDW3424" s="909"/>
      <c r="WDX3424" s="909"/>
      <c r="WDY3424" s="907" t="s">
        <v>79</v>
      </c>
      <c r="WDZ3424" s="909" t="s">
        <v>68</v>
      </c>
      <c r="WEA3424" s="910" t="s">
        <v>75</v>
      </c>
      <c r="WEB3424" s="911"/>
      <c r="WEC3424" s="911"/>
      <c r="WED3424" s="911"/>
      <c r="WEE3424" s="911"/>
      <c r="WEF3424" s="911"/>
      <c r="WEG3424" s="911"/>
      <c r="WEH3424" s="911"/>
      <c r="WEI3424" s="911"/>
      <c r="WEJ3424" s="911"/>
      <c r="WEK3424" s="32"/>
      <c r="WEL3424" s="911" t="s">
        <v>74</v>
      </c>
      <c r="WEM3424" s="911"/>
      <c r="WEN3424" s="911"/>
      <c r="WEO3424" s="911"/>
      <c r="WEP3424" s="911"/>
      <c r="WEQ3424" s="911"/>
      <c r="WER3424" s="911"/>
      <c r="WES3424" s="911"/>
      <c r="WET3424" s="911"/>
      <c r="WEU3424" s="912"/>
      <c r="WEW3424" s="913" t="s">
        <v>1</v>
      </c>
      <c r="WEX3424" s="31"/>
      <c r="WEY3424" s="909" t="s">
        <v>0</v>
      </c>
      <c r="WEZ3424" s="909"/>
      <c r="WFA3424" s="909"/>
      <c r="WFB3424" s="909"/>
      <c r="WFC3424" s="909"/>
      <c r="WFD3424" s="909"/>
      <c r="WFE3424" s="907" t="s">
        <v>79</v>
      </c>
      <c r="WFF3424" s="909" t="s">
        <v>68</v>
      </c>
      <c r="WFG3424" s="910" t="s">
        <v>75</v>
      </c>
      <c r="WFH3424" s="911"/>
      <c r="WFI3424" s="911"/>
      <c r="WFJ3424" s="911"/>
      <c r="WFK3424" s="911"/>
      <c r="WFL3424" s="911"/>
      <c r="WFM3424" s="911"/>
      <c r="WFN3424" s="911"/>
      <c r="WFO3424" s="911"/>
      <c r="WFP3424" s="911"/>
      <c r="WFQ3424" s="32"/>
      <c r="WFR3424" s="911" t="s">
        <v>74</v>
      </c>
      <c r="WFS3424" s="911"/>
      <c r="WFT3424" s="911"/>
      <c r="WFU3424" s="911"/>
      <c r="WFV3424" s="911"/>
      <c r="WFW3424" s="911"/>
      <c r="WFX3424" s="911"/>
      <c r="WFY3424" s="911"/>
      <c r="WFZ3424" s="911"/>
      <c r="WGA3424" s="912"/>
      <c r="WGC3424" s="913" t="s">
        <v>1</v>
      </c>
      <c r="WGD3424" s="31"/>
      <c r="WGE3424" s="909" t="s">
        <v>0</v>
      </c>
      <c r="WGF3424" s="909"/>
      <c r="WGG3424" s="909"/>
      <c r="WGH3424" s="909"/>
      <c r="WGI3424" s="909"/>
      <c r="WGJ3424" s="909"/>
      <c r="WGK3424" s="907" t="s">
        <v>79</v>
      </c>
      <c r="WGL3424" s="909" t="s">
        <v>68</v>
      </c>
      <c r="WGM3424" s="910" t="s">
        <v>75</v>
      </c>
      <c r="WGN3424" s="911"/>
      <c r="WGO3424" s="911"/>
      <c r="WGP3424" s="911"/>
      <c r="WGQ3424" s="911"/>
      <c r="WGR3424" s="911"/>
      <c r="WGS3424" s="911"/>
      <c r="WGT3424" s="911"/>
      <c r="WGU3424" s="911"/>
      <c r="WGV3424" s="911"/>
      <c r="WGW3424" s="32"/>
      <c r="WGX3424" s="911" t="s">
        <v>74</v>
      </c>
      <c r="WGY3424" s="911"/>
      <c r="WGZ3424" s="911"/>
      <c r="WHA3424" s="911"/>
      <c r="WHB3424" s="911"/>
      <c r="WHC3424" s="911"/>
      <c r="WHD3424" s="911"/>
      <c r="WHE3424" s="911"/>
      <c r="WHF3424" s="911"/>
      <c r="WHG3424" s="912"/>
      <c r="WHI3424" s="913" t="s">
        <v>1</v>
      </c>
      <c r="WHJ3424" s="31"/>
      <c r="WHK3424" s="909" t="s">
        <v>0</v>
      </c>
      <c r="WHL3424" s="909"/>
      <c r="WHM3424" s="909"/>
      <c r="WHN3424" s="909"/>
      <c r="WHO3424" s="909"/>
      <c r="WHP3424" s="909"/>
      <c r="WHQ3424" s="907" t="s">
        <v>79</v>
      </c>
      <c r="WHR3424" s="909" t="s">
        <v>68</v>
      </c>
      <c r="WHS3424" s="910" t="s">
        <v>75</v>
      </c>
      <c r="WHT3424" s="911"/>
      <c r="WHU3424" s="911"/>
      <c r="WHV3424" s="911"/>
      <c r="WHW3424" s="911"/>
      <c r="WHX3424" s="911"/>
      <c r="WHY3424" s="911"/>
      <c r="WHZ3424" s="911"/>
      <c r="WIA3424" s="911"/>
      <c r="WIB3424" s="911"/>
      <c r="WIC3424" s="32"/>
      <c r="WID3424" s="911" t="s">
        <v>74</v>
      </c>
      <c r="WIE3424" s="911"/>
      <c r="WIF3424" s="911"/>
      <c r="WIG3424" s="911"/>
      <c r="WIH3424" s="911"/>
      <c r="WII3424" s="911"/>
      <c r="WIJ3424" s="911"/>
      <c r="WIK3424" s="911"/>
      <c r="WIL3424" s="911"/>
      <c r="WIM3424" s="912"/>
      <c r="WIO3424" s="913" t="s">
        <v>1</v>
      </c>
      <c r="WIP3424" s="31"/>
      <c r="WIQ3424" s="909" t="s">
        <v>0</v>
      </c>
      <c r="WIR3424" s="909"/>
      <c r="WIS3424" s="909"/>
      <c r="WIT3424" s="909"/>
      <c r="WIU3424" s="909"/>
      <c r="WIV3424" s="909"/>
      <c r="WIW3424" s="907" t="s">
        <v>79</v>
      </c>
      <c r="WIX3424" s="909" t="s">
        <v>68</v>
      </c>
      <c r="WIY3424" s="910" t="s">
        <v>75</v>
      </c>
      <c r="WIZ3424" s="911"/>
      <c r="WJA3424" s="911"/>
      <c r="WJB3424" s="911"/>
      <c r="WJC3424" s="911"/>
      <c r="WJD3424" s="911"/>
      <c r="WJE3424" s="911"/>
      <c r="WJF3424" s="911"/>
      <c r="WJG3424" s="911"/>
      <c r="WJH3424" s="911"/>
      <c r="WJI3424" s="32"/>
      <c r="WJJ3424" s="911" t="s">
        <v>74</v>
      </c>
      <c r="WJK3424" s="911"/>
      <c r="WJL3424" s="911"/>
      <c r="WJM3424" s="911"/>
      <c r="WJN3424" s="911"/>
      <c r="WJO3424" s="911"/>
      <c r="WJP3424" s="911"/>
      <c r="WJQ3424" s="911"/>
      <c r="WJR3424" s="911"/>
      <c r="WJS3424" s="912"/>
      <c r="WJU3424" s="913" t="s">
        <v>1</v>
      </c>
      <c r="WJV3424" s="31"/>
      <c r="WJW3424" s="909" t="s">
        <v>0</v>
      </c>
      <c r="WJX3424" s="909"/>
      <c r="WJY3424" s="909"/>
      <c r="WJZ3424" s="909"/>
      <c r="WKA3424" s="909"/>
      <c r="WKB3424" s="909"/>
      <c r="WKC3424" s="907" t="s">
        <v>79</v>
      </c>
      <c r="WKD3424" s="909" t="s">
        <v>68</v>
      </c>
      <c r="WKE3424" s="910" t="s">
        <v>75</v>
      </c>
      <c r="WKF3424" s="911"/>
      <c r="WKG3424" s="911"/>
      <c r="WKH3424" s="911"/>
      <c r="WKI3424" s="911"/>
      <c r="WKJ3424" s="911"/>
      <c r="WKK3424" s="911"/>
      <c r="WKL3424" s="911"/>
      <c r="WKM3424" s="911"/>
      <c r="WKN3424" s="911"/>
      <c r="WKO3424" s="32"/>
      <c r="WKP3424" s="911" t="s">
        <v>74</v>
      </c>
      <c r="WKQ3424" s="911"/>
      <c r="WKR3424" s="911"/>
      <c r="WKS3424" s="911"/>
      <c r="WKT3424" s="911"/>
      <c r="WKU3424" s="911"/>
      <c r="WKV3424" s="911"/>
      <c r="WKW3424" s="911"/>
      <c r="WKX3424" s="911"/>
      <c r="WKY3424" s="912"/>
      <c r="WLA3424" s="913" t="s">
        <v>1</v>
      </c>
      <c r="WLB3424" s="31"/>
      <c r="WLC3424" s="909" t="s">
        <v>0</v>
      </c>
      <c r="WLD3424" s="909"/>
      <c r="WLE3424" s="909"/>
      <c r="WLF3424" s="909"/>
      <c r="WLG3424" s="909"/>
      <c r="WLH3424" s="909"/>
      <c r="WLI3424" s="907" t="s">
        <v>79</v>
      </c>
      <c r="WLJ3424" s="909" t="s">
        <v>68</v>
      </c>
      <c r="WLK3424" s="910" t="s">
        <v>75</v>
      </c>
      <c r="WLL3424" s="911"/>
      <c r="WLM3424" s="911"/>
      <c r="WLN3424" s="911"/>
      <c r="WLO3424" s="911"/>
      <c r="WLP3424" s="911"/>
      <c r="WLQ3424" s="911"/>
      <c r="WLR3424" s="911"/>
      <c r="WLS3424" s="911"/>
      <c r="WLT3424" s="911"/>
      <c r="WLU3424" s="32"/>
      <c r="WLV3424" s="911" t="s">
        <v>74</v>
      </c>
      <c r="WLW3424" s="911"/>
      <c r="WLX3424" s="911"/>
      <c r="WLY3424" s="911"/>
      <c r="WLZ3424" s="911"/>
      <c r="WMA3424" s="911"/>
      <c r="WMB3424" s="911"/>
      <c r="WMC3424" s="911"/>
      <c r="WMD3424" s="911"/>
      <c r="WME3424" s="912"/>
      <c r="WMG3424" s="913" t="s">
        <v>1</v>
      </c>
      <c r="WMH3424" s="31"/>
      <c r="WMI3424" s="909" t="s">
        <v>0</v>
      </c>
      <c r="WMJ3424" s="909"/>
      <c r="WMK3424" s="909"/>
      <c r="WML3424" s="909"/>
      <c r="WMM3424" s="909"/>
      <c r="WMN3424" s="909"/>
      <c r="WMO3424" s="907" t="s">
        <v>79</v>
      </c>
      <c r="WMP3424" s="909" t="s">
        <v>68</v>
      </c>
      <c r="WMQ3424" s="910" t="s">
        <v>75</v>
      </c>
      <c r="WMR3424" s="911"/>
      <c r="WMS3424" s="911"/>
      <c r="WMT3424" s="911"/>
      <c r="WMU3424" s="911"/>
      <c r="WMV3424" s="911"/>
      <c r="WMW3424" s="911"/>
      <c r="WMX3424" s="911"/>
      <c r="WMY3424" s="911"/>
      <c r="WMZ3424" s="911"/>
      <c r="WNA3424" s="32"/>
      <c r="WNB3424" s="911" t="s">
        <v>74</v>
      </c>
      <c r="WNC3424" s="911"/>
      <c r="WND3424" s="911"/>
      <c r="WNE3424" s="911"/>
      <c r="WNF3424" s="911"/>
      <c r="WNG3424" s="911"/>
      <c r="WNH3424" s="911"/>
      <c r="WNI3424" s="911"/>
      <c r="WNJ3424" s="911"/>
      <c r="WNK3424" s="912"/>
      <c r="WNM3424" s="913" t="s">
        <v>1</v>
      </c>
      <c r="WNN3424" s="31"/>
      <c r="WNO3424" s="909" t="s">
        <v>0</v>
      </c>
      <c r="WNP3424" s="909"/>
      <c r="WNQ3424" s="909"/>
      <c r="WNR3424" s="909"/>
      <c r="WNS3424" s="909"/>
      <c r="WNT3424" s="909"/>
      <c r="WNU3424" s="907" t="s">
        <v>79</v>
      </c>
      <c r="WNV3424" s="909" t="s">
        <v>68</v>
      </c>
      <c r="WNW3424" s="910" t="s">
        <v>75</v>
      </c>
      <c r="WNX3424" s="911"/>
      <c r="WNY3424" s="911"/>
      <c r="WNZ3424" s="911"/>
      <c r="WOA3424" s="911"/>
      <c r="WOB3424" s="911"/>
      <c r="WOC3424" s="911"/>
      <c r="WOD3424" s="911"/>
      <c r="WOE3424" s="911"/>
      <c r="WOF3424" s="911"/>
      <c r="WOG3424" s="32"/>
      <c r="WOH3424" s="911" t="s">
        <v>74</v>
      </c>
      <c r="WOI3424" s="911"/>
      <c r="WOJ3424" s="911"/>
      <c r="WOK3424" s="911"/>
      <c r="WOL3424" s="911"/>
      <c r="WOM3424" s="911"/>
      <c r="WON3424" s="911"/>
      <c r="WOO3424" s="911"/>
      <c r="WOP3424" s="911"/>
      <c r="WOQ3424" s="912"/>
      <c r="WOS3424" s="913" t="s">
        <v>1</v>
      </c>
      <c r="WOT3424" s="31"/>
      <c r="WOU3424" s="909" t="s">
        <v>0</v>
      </c>
      <c r="WOV3424" s="909"/>
      <c r="WOW3424" s="909"/>
      <c r="WOX3424" s="909"/>
      <c r="WOY3424" s="909"/>
      <c r="WOZ3424" s="909"/>
      <c r="WPA3424" s="907" t="s">
        <v>79</v>
      </c>
      <c r="WPB3424" s="909" t="s">
        <v>68</v>
      </c>
      <c r="WPC3424" s="910" t="s">
        <v>75</v>
      </c>
      <c r="WPD3424" s="911"/>
      <c r="WPE3424" s="911"/>
      <c r="WPF3424" s="911"/>
      <c r="WPG3424" s="911"/>
      <c r="WPH3424" s="911"/>
      <c r="WPI3424" s="911"/>
      <c r="WPJ3424" s="911"/>
      <c r="WPK3424" s="911"/>
      <c r="WPL3424" s="911"/>
      <c r="WPM3424" s="32"/>
      <c r="WPN3424" s="911" t="s">
        <v>74</v>
      </c>
      <c r="WPO3424" s="911"/>
      <c r="WPP3424" s="911"/>
      <c r="WPQ3424" s="911"/>
      <c r="WPR3424" s="911"/>
      <c r="WPS3424" s="911"/>
      <c r="WPT3424" s="911"/>
      <c r="WPU3424" s="911"/>
      <c r="WPV3424" s="911"/>
      <c r="WPW3424" s="912"/>
      <c r="WPY3424" s="913" t="s">
        <v>1</v>
      </c>
      <c r="WPZ3424" s="31"/>
      <c r="WQA3424" s="909" t="s">
        <v>0</v>
      </c>
      <c r="WQB3424" s="909"/>
      <c r="WQC3424" s="909"/>
      <c r="WQD3424" s="909"/>
      <c r="WQE3424" s="909"/>
      <c r="WQF3424" s="909"/>
      <c r="WQG3424" s="907" t="s">
        <v>79</v>
      </c>
      <c r="WQH3424" s="909" t="s">
        <v>68</v>
      </c>
      <c r="WQI3424" s="910" t="s">
        <v>75</v>
      </c>
      <c r="WQJ3424" s="911"/>
      <c r="WQK3424" s="911"/>
      <c r="WQL3424" s="911"/>
      <c r="WQM3424" s="911"/>
      <c r="WQN3424" s="911"/>
      <c r="WQO3424" s="911"/>
      <c r="WQP3424" s="911"/>
      <c r="WQQ3424" s="911"/>
      <c r="WQR3424" s="911"/>
      <c r="WQS3424" s="32"/>
      <c r="WQT3424" s="911" t="s">
        <v>74</v>
      </c>
      <c r="WQU3424" s="911"/>
      <c r="WQV3424" s="911"/>
      <c r="WQW3424" s="911"/>
      <c r="WQX3424" s="911"/>
      <c r="WQY3424" s="911"/>
      <c r="WQZ3424" s="911"/>
      <c r="WRA3424" s="911"/>
      <c r="WRB3424" s="911"/>
      <c r="WRC3424" s="912"/>
      <c r="WRE3424" s="913" t="s">
        <v>1</v>
      </c>
      <c r="WRF3424" s="31"/>
      <c r="WRG3424" s="909" t="s">
        <v>0</v>
      </c>
      <c r="WRH3424" s="909"/>
      <c r="WRI3424" s="909"/>
      <c r="WRJ3424" s="909"/>
      <c r="WRK3424" s="909"/>
      <c r="WRL3424" s="909"/>
      <c r="WRM3424" s="907" t="s">
        <v>79</v>
      </c>
      <c r="WRN3424" s="909" t="s">
        <v>68</v>
      </c>
      <c r="WRO3424" s="910" t="s">
        <v>75</v>
      </c>
      <c r="WRP3424" s="911"/>
      <c r="WRQ3424" s="911"/>
      <c r="WRR3424" s="911"/>
      <c r="WRS3424" s="911"/>
      <c r="WRT3424" s="911"/>
      <c r="WRU3424" s="911"/>
      <c r="WRV3424" s="911"/>
      <c r="WRW3424" s="911"/>
      <c r="WRX3424" s="911"/>
      <c r="WRY3424" s="32"/>
      <c r="WRZ3424" s="911" t="s">
        <v>74</v>
      </c>
      <c r="WSA3424" s="911"/>
      <c r="WSB3424" s="911"/>
      <c r="WSC3424" s="911"/>
      <c r="WSD3424" s="911"/>
      <c r="WSE3424" s="911"/>
      <c r="WSF3424" s="911"/>
      <c r="WSG3424" s="911"/>
      <c r="WSH3424" s="911"/>
      <c r="WSI3424" s="912"/>
      <c r="WSK3424" s="913" t="s">
        <v>1</v>
      </c>
      <c r="WSL3424" s="31"/>
      <c r="WSM3424" s="909" t="s">
        <v>0</v>
      </c>
      <c r="WSN3424" s="909"/>
      <c r="WSO3424" s="909"/>
      <c r="WSP3424" s="909"/>
      <c r="WSQ3424" s="909"/>
      <c r="WSR3424" s="909"/>
      <c r="WSS3424" s="907" t="s">
        <v>79</v>
      </c>
      <c r="WST3424" s="909" t="s">
        <v>68</v>
      </c>
      <c r="WSU3424" s="910" t="s">
        <v>75</v>
      </c>
      <c r="WSV3424" s="911"/>
      <c r="WSW3424" s="911"/>
      <c r="WSX3424" s="911"/>
      <c r="WSY3424" s="911"/>
      <c r="WSZ3424" s="911"/>
      <c r="WTA3424" s="911"/>
      <c r="WTB3424" s="911"/>
      <c r="WTC3424" s="911"/>
      <c r="WTD3424" s="911"/>
      <c r="WTE3424" s="32"/>
      <c r="WTF3424" s="911" t="s">
        <v>74</v>
      </c>
      <c r="WTG3424" s="911"/>
      <c r="WTH3424" s="911"/>
      <c r="WTI3424" s="911"/>
      <c r="WTJ3424" s="911"/>
      <c r="WTK3424" s="911"/>
      <c r="WTL3424" s="911"/>
      <c r="WTM3424" s="911"/>
      <c r="WTN3424" s="911"/>
      <c r="WTO3424" s="912"/>
      <c r="WTQ3424" s="913" t="s">
        <v>1</v>
      </c>
      <c r="WTR3424" s="31"/>
      <c r="WTS3424" s="909" t="s">
        <v>0</v>
      </c>
      <c r="WTT3424" s="909"/>
      <c r="WTU3424" s="909"/>
      <c r="WTV3424" s="909"/>
      <c r="WTW3424" s="909"/>
      <c r="WTX3424" s="909"/>
      <c r="WTY3424" s="907" t="s">
        <v>79</v>
      </c>
      <c r="WTZ3424" s="909" t="s">
        <v>68</v>
      </c>
      <c r="WUA3424" s="910" t="s">
        <v>75</v>
      </c>
      <c r="WUB3424" s="911"/>
      <c r="WUC3424" s="911"/>
      <c r="WUD3424" s="911"/>
      <c r="WUE3424" s="911"/>
      <c r="WUF3424" s="911"/>
      <c r="WUG3424" s="911"/>
      <c r="WUH3424" s="911"/>
      <c r="WUI3424" s="911"/>
      <c r="WUJ3424" s="911"/>
      <c r="WUK3424" s="32"/>
      <c r="WUL3424" s="911" t="s">
        <v>74</v>
      </c>
      <c r="WUM3424" s="911"/>
      <c r="WUN3424" s="911"/>
      <c r="WUO3424" s="911"/>
      <c r="WUP3424" s="911"/>
      <c r="WUQ3424" s="911"/>
      <c r="WUR3424" s="911"/>
      <c r="WUS3424" s="911"/>
      <c r="WUT3424" s="911"/>
      <c r="WUU3424" s="912"/>
      <c r="WUW3424" s="913" t="s">
        <v>1</v>
      </c>
      <c r="WUX3424" s="31"/>
      <c r="WUY3424" s="909" t="s">
        <v>0</v>
      </c>
      <c r="WUZ3424" s="909"/>
      <c r="WVA3424" s="909"/>
      <c r="WVB3424" s="909"/>
      <c r="WVC3424" s="909"/>
      <c r="WVD3424" s="909"/>
      <c r="WVE3424" s="907" t="s">
        <v>79</v>
      </c>
      <c r="WVF3424" s="909" t="s">
        <v>68</v>
      </c>
      <c r="WVG3424" s="910" t="s">
        <v>75</v>
      </c>
      <c r="WVH3424" s="911"/>
      <c r="WVI3424" s="911"/>
      <c r="WVJ3424" s="911"/>
      <c r="WVK3424" s="911"/>
      <c r="WVL3424" s="911"/>
      <c r="WVM3424" s="911"/>
      <c r="WVN3424" s="911"/>
      <c r="WVO3424" s="911"/>
      <c r="WVP3424" s="911"/>
      <c r="WVQ3424" s="32"/>
      <c r="WVR3424" s="911" t="s">
        <v>74</v>
      </c>
      <c r="WVS3424" s="911"/>
      <c r="WVT3424" s="911"/>
      <c r="WVU3424" s="911"/>
      <c r="WVV3424" s="911"/>
      <c r="WVW3424" s="911"/>
      <c r="WVX3424" s="911"/>
      <c r="WVY3424" s="911"/>
      <c r="WVZ3424" s="911"/>
      <c r="WWA3424" s="912"/>
      <c r="WWC3424" s="913" t="s">
        <v>1</v>
      </c>
      <c r="WWD3424" s="31"/>
      <c r="WWE3424" s="909" t="s">
        <v>0</v>
      </c>
      <c r="WWF3424" s="909"/>
      <c r="WWG3424" s="909"/>
      <c r="WWH3424" s="909"/>
      <c r="WWI3424" s="909"/>
      <c r="WWJ3424" s="909"/>
      <c r="WWK3424" s="907" t="s">
        <v>79</v>
      </c>
      <c r="WWL3424" s="909" t="s">
        <v>68</v>
      </c>
      <c r="WWM3424" s="910" t="s">
        <v>75</v>
      </c>
      <c r="WWN3424" s="911"/>
      <c r="WWO3424" s="911"/>
      <c r="WWP3424" s="911"/>
      <c r="WWQ3424" s="911"/>
      <c r="WWR3424" s="911"/>
      <c r="WWS3424" s="911"/>
      <c r="WWT3424" s="911"/>
      <c r="WWU3424" s="911"/>
      <c r="WWV3424" s="911"/>
      <c r="WWW3424" s="32"/>
      <c r="WWX3424" s="911" t="s">
        <v>74</v>
      </c>
      <c r="WWY3424" s="911"/>
      <c r="WWZ3424" s="911"/>
      <c r="WXA3424" s="911"/>
      <c r="WXB3424" s="911"/>
      <c r="WXC3424" s="911"/>
      <c r="WXD3424" s="911"/>
      <c r="WXE3424" s="911"/>
      <c r="WXF3424" s="911"/>
      <c r="WXG3424" s="912"/>
      <c r="WXI3424" s="913" t="s">
        <v>1</v>
      </c>
      <c r="WXJ3424" s="31"/>
      <c r="WXK3424" s="909" t="s">
        <v>0</v>
      </c>
      <c r="WXL3424" s="909"/>
      <c r="WXM3424" s="909"/>
      <c r="WXN3424" s="909"/>
      <c r="WXO3424" s="909"/>
      <c r="WXP3424" s="909"/>
      <c r="WXQ3424" s="907" t="s">
        <v>79</v>
      </c>
      <c r="WXR3424" s="909" t="s">
        <v>68</v>
      </c>
      <c r="WXS3424" s="910" t="s">
        <v>75</v>
      </c>
      <c r="WXT3424" s="911"/>
      <c r="WXU3424" s="911"/>
      <c r="WXV3424" s="911"/>
      <c r="WXW3424" s="911"/>
      <c r="WXX3424" s="911"/>
      <c r="WXY3424" s="911"/>
      <c r="WXZ3424" s="911"/>
      <c r="WYA3424" s="911"/>
      <c r="WYB3424" s="911"/>
      <c r="WYC3424" s="32"/>
      <c r="WYD3424" s="911" t="s">
        <v>74</v>
      </c>
      <c r="WYE3424" s="911"/>
      <c r="WYF3424" s="911"/>
      <c r="WYG3424" s="911"/>
      <c r="WYH3424" s="911"/>
      <c r="WYI3424" s="911"/>
      <c r="WYJ3424" s="911"/>
      <c r="WYK3424" s="911"/>
      <c r="WYL3424" s="911"/>
      <c r="WYM3424" s="912"/>
      <c r="WYO3424" s="913" t="s">
        <v>1</v>
      </c>
      <c r="WYP3424" s="31"/>
      <c r="WYQ3424" s="909" t="s">
        <v>0</v>
      </c>
      <c r="WYR3424" s="909"/>
      <c r="WYS3424" s="909"/>
      <c r="WYT3424" s="909"/>
      <c r="WYU3424" s="909"/>
      <c r="WYV3424" s="909"/>
      <c r="WYW3424" s="907" t="s">
        <v>79</v>
      </c>
      <c r="WYX3424" s="909" t="s">
        <v>68</v>
      </c>
      <c r="WYY3424" s="910" t="s">
        <v>75</v>
      </c>
      <c r="WYZ3424" s="911"/>
      <c r="WZA3424" s="911"/>
      <c r="WZB3424" s="911"/>
      <c r="WZC3424" s="911"/>
      <c r="WZD3424" s="911"/>
      <c r="WZE3424" s="911"/>
      <c r="WZF3424" s="911"/>
      <c r="WZG3424" s="911"/>
      <c r="WZH3424" s="911"/>
      <c r="WZI3424" s="32"/>
      <c r="WZJ3424" s="911" t="s">
        <v>74</v>
      </c>
      <c r="WZK3424" s="911"/>
      <c r="WZL3424" s="911"/>
      <c r="WZM3424" s="911"/>
      <c r="WZN3424" s="911"/>
      <c r="WZO3424" s="911"/>
      <c r="WZP3424" s="911"/>
      <c r="WZQ3424" s="911"/>
      <c r="WZR3424" s="911"/>
      <c r="WZS3424" s="912"/>
      <c r="WZU3424" s="913" t="s">
        <v>1</v>
      </c>
      <c r="WZV3424" s="31"/>
      <c r="WZW3424" s="909" t="s">
        <v>0</v>
      </c>
      <c r="WZX3424" s="909"/>
      <c r="WZY3424" s="909"/>
      <c r="WZZ3424" s="909"/>
      <c r="XAA3424" s="909"/>
      <c r="XAB3424" s="909"/>
      <c r="XAC3424" s="907" t="s">
        <v>79</v>
      </c>
      <c r="XAD3424" s="909" t="s">
        <v>68</v>
      </c>
      <c r="XAE3424" s="910" t="s">
        <v>75</v>
      </c>
      <c r="XAF3424" s="911"/>
      <c r="XAG3424" s="911"/>
      <c r="XAH3424" s="911"/>
      <c r="XAI3424" s="911"/>
      <c r="XAJ3424" s="911"/>
      <c r="XAK3424" s="911"/>
      <c r="XAL3424" s="911"/>
      <c r="XAM3424" s="911"/>
      <c r="XAN3424" s="911"/>
      <c r="XAO3424" s="32"/>
      <c r="XAP3424" s="911" t="s">
        <v>74</v>
      </c>
      <c r="XAQ3424" s="911"/>
      <c r="XAR3424" s="911"/>
      <c r="XAS3424" s="911"/>
      <c r="XAT3424" s="911"/>
      <c r="XAU3424" s="911"/>
      <c r="XAV3424" s="911"/>
      <c r="XAW3424" s="911"/>
      <c r="XAX3424" s="911"/>
      <c r="XAY3424" s="912"/>
      <c r="XBA3424" s="913" t="s">
        <v>1</v>
      </c>
      <c r="XBB3424" s="31"/>
      <c r="XBC3424" s="909" t="s">
        <v>0</v>
      </c>
      <c r="XBD3424" s="909"/>
      <c r="XBE3424" s="909"/>
      <c r="XBF3424" s="909"/>
      <c r="XBG3424" s="909"/>
      <c r="XBH3424" s="909"/>
      <c r="XBI3424" s="907" t="s">
        <v>79</v>
      </c>
      <c r="XBJ3424" s="909" t="s">
        <v>68</v>
      </c>
      <c r="XBK3424" s="910" t="s">
        <v>75</v>
      </c>
      <c r="XBL3424" s="911"/>
      <c r="XBM3424" s="911"/>
      <c r="XBN3424" s="911"/>
      <c r="XBO3424" s="911"/>
      <c r="XBP3424" s="911"/>
      <c r="XBQ3424" s="911"/>
      <c r="XBR3424" s="911"/>
      <c r="XBS3424" s="911"/>
      <c r="XBT3424" s="911"/>
      <c r="XBU3424" s="32"/>
      <c r="XBV3424" s="911" t="s">
        <v>74</v>
      </c>
      <c r="XBW3424" s="911"/>
      <c r="XBX3424" s="911"/>
      <c r="XBY3424" s="911"/>
      <c r="XBZ3424" s="911"/>
      <c r="XCA3424" s="911"/>
      <c r="XCB3424" s="911"/>
      <c r="XCC3424" s="911"/>
      <c r="XCD3424" s="911"/>
      <c r="XCE3424" s="912"/>
      <c r="XCG3424" s="913" t="s">
        <v>1</v>
      </c>
      <c r="XCH3424" s="31"/>
      <c r="XCI3424" s="909" t="s">
        <v>0</v>
      </c>
      <c r="XCJ3424" s="909"/>
      <c r="XCK3424" s="909"/>
      <c r="XCL3424" s="909"/>
      <c r="XCM3424" s="909"/>
      <c r="XCN3424" s="909"/>
      <c r="XCO3424" s="907" t="s">
        <v>79</v>
      </c>
      <c r="XCP3424" s="909" t="s">
        <v>68</v>
      </c>
      <c r="XCQ3424" s="910" t="s">
        <v>75</v>
      </c>
      <c r="XCR3424" s="911"/>
      <c r="XCS3424" s="911"/>
      <c r="XCT3424" s="911"/>
      <c r="XCU3424" s="911"/>
      <c r="XCV3424" s="911"/>
      <c r="XCW3424" s="911"/>
      <c r="XCX3424" s="911"/>
      <c r="XCY3424" s="911"/>
      <c r="XCZ3424" s="911"/>
      <c r="XDA3424" s="32"/>
      <c r="XDB3424" s="911" t="s">
        <v>74</v>
      </c>
      <c r="XDC3424" s="911"/>
      <c r="XDD3424" s="911"/>
      <c r="XDE3424" s="911"/>
      <c r="XDF3424" s="911"/>
      <c r="XDG3424" s="911"/>
      <c r="XDH3424" s="911"/>
      <c r="XDI3424" s="911"/>
      <c r="XDJ3424" s="911"/>
      <c r="XDK3424" s="912"/>
      <c r="XDM3424" s="913" t="s">
        <v>1</v>
      </c>
      <c r="XDN3424" s="31"/>
      <c r="XDO3424" s="909" t="s">
        <v>0</v>
      </c>
      <c r="XDP3424" s="909"/>
      <c r="XDQ3424" s="909"/>
      <c r="XDR3424" s="909"/>
      <c r="XDS3424" s="909"/>
      <c r="XDT3424" s="909"/>
      <c r="XDU3424" s="907" t="s">
        <v>79</v>
      </c>
      <c r="XDV3424" s="909" t="s">
        <v>68</v>
      </c>
      <c r="XDW3424" s="910" t="s">
        <v>75</v>
      </c>
      <c r="XDX3424" s="911"/>
      <c r="XDY3424" s="911"/>
      <c r="XDZ3424" s="911"/>
      <c r="XEA3424" s="911"/>
      <c r="XEB3424" s="911"/>
      <c r="XEC3424" s="911"/>
      <c r="XED3424" s="911"/>
      <c r="XEE3424" s="911"/>
      <c r="XEF3424" s="911"/>
      <c r="XEG3424" s="32"/>
      <c r="XEH3424" s="911" t="s">
        <v>74</v>
      </c>
      <c r="XEI3424" s="911"/>
      <c r="XEJ3424" s="911"/>
      <c r="XEK3424" s="911"/>
      <c r="XEL3424" s="911"/>
      <c r="XEM3424" s="911"/>
      <c r="XEN3424" s="911"/>
      <c r="XEO3424" s="911"/>
      <c r="XEP3424" s="911"/>
      <c r="XEQ3424" s="912"/>
    </row>
    <row r="3425" spans="1:16371">
      <c r="A3425" s="1">
        <v>100</v>
      </c>
      <c r="B3425" s="1">
        <v>3.492</v>
      </c>
      <c r="C3425" s="1">
        <v>3.6560000000000001</v>
      </c>
      <c r="D3425" s="1">
        <v>3.75</v>
      </c>
      <c r="E3425" s="1">
        <v>3.85</v>
      </c>
      <c r="F3425" s="1">
        <v>3.9630000000000001</v>
      </c>
      <c r="G3425" s="1">
        <v>4.0839999999999996</v>
      </c>
      <c r="H3425" s="1">
        <v>4.3529999999999998</v>
      </c>
      <c r="I3425" s="1">
        <v>4.6550000000000002</v>
      </c>
      <c r="J3425" s="21">
        <v>2450</v>
      </c>
      <c r="K3425" s="1">
        <v>200</v>
      </c>
      <c r="L3425" s="1">
        <v>-118.51600000000001</v>
      </c>
      <c r="M3425" s="1">
        <v>-95.123000000000005</v>
      </c>
      <c r="N3425" s="1">
        <v>-68.903999999999996</v>
      </c>
      <c r="O3425" s="1">
        <v>-37.137999999999998</v>
      </c>
      <c r="P3425" s="365">
        <v>0</v>
      </c>
      <c r="Q3425" s="1">
        <v>37.578000000000003</v>
      </c>
      <c r="R3425" s="1">
        <v>80.078999999999994</v>
      </c>
      <c r="S3425" s="1">
        <v>125.029</v>
      </c>
      <c r="T3425" s="1">
        <v>172.15899999999999</v>
      </c>
      <c r="U3425" s="25"/>
      <c r="V3425" s="1">
        <f>trim</f>
        <v>0.36</v>
      </c>
      <c r="AA3425" s="30"/>
      <c r="AB3425" s="42"/>
      <c r="AC3425" s="919"/>
      <c r="AD3425" s="918"/>
      <c r="AE3425" s="33"/>
      <c r="AF3425" s="33"/>
      <c r="AG3425" s="33"/>
      <c r="AH3425" s="33"/>
      <c r="AI3425" s="33"/>
      <c r="AJ3425" s="33"/>
      <c r="AK3425" s="33"/>
      <c r="AL3425" s="33"/>
      <c r="AM3425" s="33"/>
      <c r="AN3425" s="33"/>
      <c r="AO3425" s="33"/>
      <c r="AP3425" s="33"/>
      <c r="AQ3425" s="33"/>
      <c r="AR3425" s="33"/>
      <c r="AS3425" s="33"/>
      <c r="AT3425" s="33"/>
      <c r="AU3425" s="33"/>
      <c r="AV3425" s="33"/>
      <c r="AW3425" s="33"/>
      <c r="AX3425" s="33"/>
      <c r="AY3425" s="33"/>
      <c r="BA3425" s="913"/>
      <c r="BB3425" s="31">
        <v>1</v>
      </c>
      <c r="BC3425" s="34">
        <v>0</v>
      </c>
      <c r="BD3425" s="34">
        <v>-1</v>
      </c>
      <c r="BE3425" s="34">
        <v>-2</v>
      </c>
      <c r="BF3425" s="34">
        <v>-3</v>
      </c>
      <c r="BG3425" s="34">
        <v>-4</v>
      </c>
      <c r="BH3425" s="34">
        <v>-5</v>
      </c>
      <c r="BI3425" s="908"/>
      <c r="BJ3425" s="909"/>
      <c r="BK3425" s="34">
        <v>-5</v>
      </c>
      <c r="BL3425" s="34">
        <v>-4.5</v>
      </c>
      <c r="BM3425" s="34">
        <v>-4</v>
      </c>
      <c r="BN3425" s="34">
        <v>-3.5</v>
      </c>
      <c r="BO3425" s="34">
        <v>-3</v>
      </c>
      <c r="BP3425" s="34">
        <v>-2.5</v>
      </c>
      <c r="BQ3425" s="34">
        <v>-2</v>
      </c>
      <c r="BR3425" s="34">
        <v>-1.5</v>
      </c>
      <c r="BS3425" s="34">
        <v>-1</v>
      </c>
      <c r="BT3425" s="34">
        <v>-0.5</v>
      </c>
      <c r="BU3425" s="34">
        <v>0</v>
      </c>
      <c r="BV3425" s="34">
        <v>0.5</v>
      </c>
      <c r="BW3425" s="34">
        <v>1</v>
      </c>
      <c r="BX3425" s="34">
        <v>1.5</v>
      </c>
      <c r="BY3425" s="34">
        <v>2</v>
      </c>
      <c r="BZ3425" s="34">
        <v>2.5</v>
      </c>
      <c r="CA3425" s="34">
        <v>3</v>
      </c>
      <c r="CB3425" s="34">
        <v>3.5</v>
      </c>
      <c r="CC3425" s="34">
        <v>4</v>
      </c>
      <c r="CD3425" s="34">
        <v>4.5</v>
      </c>
      <c r="CE3425" s="34">
        <v>5</v>
      </c>
      <c r="CG3425" s="913"/>
      <c r="CH3425" s="31">
        <v>1</v>
      </c>
      <c r="CI3425" s="34">
        <v>0</v>
      </c>
      <c r="CJ3425" s="34">
        <v>-1</v>
      </c>
      <c r="CK3425" s="34">
        <v>-2</v>
      </c>
      <c r="CL3425" s="34">
        <v>-3</v>
      </c>
      <c r="CM3425" s="34">
        <v>-4</v>
      </c>
      <c r="CN3425" s="34">
        <v>-5</v>
      </c>
      <c r="CO3425" s="908"/>
      <c r="CP3425" s="909"/>
      <c r="CQ3425" s="34">
        <v>-5</v>
      </c>
      <c r="CR3425" s="34">
        <v>-4.5</v>
      </c>
      <c r="CS3425" s="34">
        <v>-4</v>
      </c>
      <c r="CT3425" s="34">
        <v>-3.5</v>
      </c>
      <c r="CU3425" s="34">
        <v>-3</v>
      </c>
      <c r="CV3425" s="34">
        <v>-2.5</v>
      </c>
      <c r="CW3425" s="34">
        <v>-2</v>
      </c>
      <c r="CX3425" s="34">
        <v>-1.5</v>
      </c>
      <c r="CY3425" s="34">
        <v>-1</v>
      </c>
      <c r="CZ3425" s="34">
        <v>-0.5</v>
      </c>
      <c r="DA3425" s="34">
        <v>0</v>
      </c>
      <c r="DB3425" s="34">
        <v>0.5</v>
      </c>
      <c r="DC3425" s="34">
        <v>1</v>
      </c>
      <c r="DD3425" s="34">
        <v>1.5</v>
      </c>
      <c r="DE3425" s="34">
        <v>2</v>
      </c>
      <c r="DF3425" s="34">
        <v>2.5</v>
      </c>
      <c r="DG3425" s="34">
        <v>3</v>
      </c>
      <c r="DH3425" s="34">
        <v>3.5</v>
      </c>
      <c r="DI3425" s="34">
        <v>4</v>
      </c>
      <c r="DJ3425" s="34">
        <v>4.5</v>
      </c>
      <c r="DK3425" s="34">
        <v>5</v>
      </c>
      <c r="DM3425" s="913"/>
      <c r="DN3425" s="31">
        <v>1</v>
      </c>
      <c r="DO3425" s="34">
        <v>0</v>
      </c>
      <c r="DP3425" s="34">
        <v>-1</v>
      </c>
      <c r="DQ3425" s="34">
        <v>-2</v>
      </c>
      <c r="DR3425" s="34">
        <v>-3</v>
      </c>
      <c r="DS3425" s="34">
        <v>-4</v>
      </c>
      <c r="DT3425" s="34">
        <v>-5</v>
      </c>
      <c r="DU3425" s="908"/>
      <c r="DV3425" s="909"/>
      <c r="DW3425" s="34">
        <v>-5</v>
      </c>
      <c r="DX3425" s="34">
        <v>-4.5</v>
      </c>
      <c r="DY3425" s="34">
        <v>-4</v>
      </c>
      <c r="DZ3425" s="34">
        <v>-3.5</v>
      </c>
      <c r="EA3425" s="34">
        <v>-3</v>
      </c>
      <c r="EB3425" s="34">
        <v>-2.5</v>
      </c>
      <c r="EC3425" s="34">
        <v>-2</v>
      </c>
      <c r="ED3425" s="34">
        <v>-1.5</v>
      </c>
      <c r="EE3425" s="34">
        <v>-1</v>
      </c>
      <c r="EF3425" s="34">
        <v>-0.5</v>
      </c>
      <c r="EG3425" s="34">
        <v>0</v>
      </c>
      <c r="EH3425" s="34">
        <v>0.5</v>
      </c>
      <c r="EI3425" s="34">
        <v>1</v>
      </c>
      <c r="EJ3425" s="34">
        <v>1.5</v>
      </c>
      <c r="EK3425" s="34">
        <v>2</v>
      </c>
      <c r="EL3425" s="34">
        <v>2.5</v>
      </c>
      <c r="EM3425" s="34">
        <v>3</v>
      </c>
      <c r="EN3425" s="34">
        <v>3.5</v>
      </c>
      <c r="EO3425" s="34">
        <v>4</v>
      </c>
      <c r="EP3425" s="34">
        <v>4.5</v>
      </c>
      <c r="EQ3425" s="34">
        <v>5</v>
      </c>
      <c r="ES3425" s="913"/>
      <c r="ET3425" s="31">
        <v>1</v>
      </c>
      <c r="EU3425" s="34">
        <v>0</v>
      </c>
      <c r="EV3425" s="34">
        <v>-1</v>
      </c>
      <c r="EW3425" s="34">
        <v>-2</v>
      </c>
      <c r="EX3425" s="34">
        <v>-3</v>
      </c>
      <c r="EY3425" s="34">
        <v>-4</v>
      </c>
      <c r="EZ3425" s="34">
        <v>-5</v>
      </c>
      <c r="FA3425" s="908"/>
      <c r="FB3425" s="909"/>
      <c r="FC3425" s="34">
        <v>-5</v>
      </c>
      <c r="FD3425" s="34">
        <v>-4.5</v>
      </c>
      <c r="FE3425" s="34">
        <v>-4</v>
      </c>
      <c r="FF3425" s="34">
        <v>-3.5</v>
      </c>
      <c r="FG3425" s="34">
        <v>-3</v>
      </c>
      <c r="FH3425" s="34">
        <v>-2.5</v>
      </c>
      <c r="FI3425" s="34">
        <v>-2</v>
      </c>
      <c r="FJ3425" s="34">
        <v>-1.5</v>
      </c>
      <c r="FK3425" s="34">
        <v>-1</v>
      </c>
      <c r="FL3425" s="34">
        <v>-0.5</v>
      </c>
      <c r="FM3425" s="34">
        <v>0</v>
      </c>
      <c r="FN3425" s="34">
        <v>0.5</v>
      </c>
      <c r="FO3425" s="34">
        <v>1</v>
      </c>
      <c r="FP3425" s="34">
        <v>1.5</v>
      </c>
      <c r="FQ3425" s="34">
        <v>2</v>
      </c>
      <c r="FR3425" s="34">
        <v>2.5</v>
      </c>
      <c r="FS3425" s="34">
        <v>3</v>
      </c>
      <c r="FT3425" s="34">
        <v>3.5</v>
      </c>
      <c r="FU3425" s="34">
        <v>4</v>
      </c>
      <c r="FV3425" s="34">
        <v>4.5</v>
      </c>
      <c r="FW3425" s="34">
        <v>5</v>
      </c>
      <c r="FY3425" s="913"/>
      <c r="FZ3425" s="31">
        <v>1</v>
      </c>
      <c r="GA3425" s="34">
        <v>0</v>
      </c>
      <c r="GB3425" s="34">
        <v>-1</v>
      </c>
      <c r="GC3425" s="34">
        <v>-2</v>
      </c>
      <c r="GD3425" s="34">
        <v>-3</v>
      </c>
      <c r="GE3425" s="34">
        <v>-4</v>
      </c>
      <c r="GF3425" s="34">
        <v>-5</v>
      </c>
      <c r="GG3425" s="908"/>
      <c r="GH3425" s="909"/>
      <c r="GI3425" s="34">
        <v>-5</v>
      </c>
      <c r="GJ3425" s="34">
        <v>-4.5</v>
      </c>
      <c r="GK3425" s="34">
        <v>-4</v>
      </c>
      <c r="GL3425" s="34">
        <v>-3.5</v>
      </c>
      <c r="GM3425" s="34">
        <v>-3</v>
      </c>
      <c r="GN3425" s="34">
        <v>-2.5</v>
      </c>
      <c r="GO3425" s="34">
        <v>-2</v>
      </c>
      <c r="GP3425" s="34">
        <v>-1.5</v>
      </c>
      <c r="GQ3425" s="34">
        <v>-1</v>
      </c>
      <c r="GR3425" s="34">
        <v>-0.5</v>
      </c>
      <c r="GS3425" s="34">
        <v>0</v>
      </c>
      <c r="GT3425" s="34">
        <v>0.5</v>
      </c>
      <c r="GU3425" s="34">
        <v>1</v>
      </c>
      <c r="GV3425" s="34">
        <v>1.5</v>
      </c>
      <c r="GW3425" s="34">
        <v>2</v>
      </c>
      <c r="GX3425" s="34">
        <v>2.5</v>
      </c>
      <c r="GY3425" s="34">
        <v>3</v>
      </c>
      <c r="GZ3425" s="34">
        <v>3.5</v>
      </c>
      <c r="HA3425" s="34">
        <v>4</v>
      </c>
      <c r="HB3425" s="34">
        <v>4.5</v>
      </c>
      <c r="HC3425" s="34">
        <v>5</v>
      </c>
      <c r="HE3425" s="913"/>
      <c r="HF3425" s="31">
        <v>1</v>
      </c>
      <c r="HG3425" s="34">
        <v>0</v>
      </c>
      <c r="HH3425" s="34">
        <v>-1</v>
      </c>
      <c r="HI3425" s="34">
        <v>-2</v>
      </c>
      <c r="HJ3425" s="34">
        <v>-3</v>
      </c>
      <c r="HK3425" s="34">
        <v>-4</v>
      </c>
      <c r="HL3425" s="34">
        <v>-5</v>
      </c>
      <c r="HM3425" s="908"/>
      <c r="HN3425" s="909"/>
      <c r="HO3425" s="34">
        <v>-5</v>
      </c>
      <c r="HP3425" s="34">
        <v>-4.5</v>
      </c>
      <c r="HQ3425" s="34">
        <v>-4</v>
      </c>
      <c r="HR3425" s="34">
        <v>-3.5</v>
      </c>
      <c r="HS3425" s="34">
        <v>-3</v>
      </c>
      <c r="HT3425" s="34">
        <v>-2.5</v>
      </c>
      <c r="HU3425" s="34">
        <v>-2</v>
      </c>
      <c r="HV3425" s="34">
        <v>-1.5</v>
      </c>
      <c r="HW3425" s="34">
        <v>-1</v>
      </c>
      <c r="HX3425" s="34">
        <v>-0.5</v>
      </c>
      <c r="HY3425" s="34">
        <v>0</v>
      </c>
      <c r="HZ3425" s="34">
        <v>0.5</v>
      </c>
      <c r="IA3425" s="34">
        <v>1</v>
      </c>
      <c r="IB3425" s="34">
        <v>1.5</v>
      </c>
      <c r="IC3425" s="34">
        <v>2</v>
      </c>
      <c r="ID3425" s="34">
        <v>2.5</v>
      </c>
      <c r="IE3425" s="34">
        <v>3</v>
      </c>
      <c r="IF3425" s="34">
        <v>3.5</v>
      </c>
      <c r="IG3425" s="34">
        <v>4</v>
      </c>
      <c r="IH3425" s="34">
        <v>4.5</v>
      </c>
      <c r="II3425" s="34">
        <v>5</v>
      </c>
      <c r="IK3425" s="913"/>
      <c r="IL3425" s="31">
        <v>1</v>
      </c>
      <c r="IM3425" s="34">
        <v>0</v>
      </c>
      <c r="IN3425" s="34">
        <v>-1</v>
      </c>
      <c r="IO3425" s="34">
        <v>-2</v>
      </c>
      <c r="IP3425" s="34">
        <v>-3</v>
      </c>
      <c r="IQ3425" s="34">
        <v>-4</v>
      </c>
      <c r="IR3425" s="34">
        <v>-5</v>
      </c>
      <c r="IS3425" s="908"/>
      <c r="IT3425" s="909"/>
      <c r="IU3425" s="34">
        <v>-5</v>
      </c>
      <c r="IV3425" s="34">
        <v>-4.5</v>
      </c>
      <c r="IW3425" s="34">
        <v>-4</v>
      </c>
      <c r="IX3425" s="34">
        <v>-3.5</v>
      </c>
      <c r="IY3425" s="34">
        <v>-3</v>
      </c>
      <c r="IZ3425" s="34">
        <v>-2.5</v>
      </c>
      <c r="JA3425" s="34">
        <v>-2</v>
      </c>
      <c r="JB3425" s="34">
        <v>-1.5</v>
      </c>
      <c r="JC3425" s="34">
        <v>-1</v>
      </c>
      <c r="JD3425" s="34">
        <v>-0.5</v>
      </c>
      <c r="JE3425" s="34">
        <v>0</v>
      </c>
      <c r="JF3425" s="34">
        <v>0.5</v>
      </c>
      <c r="JG3425" s="34">
        <v>1</v>
      </c>
      <c r="JH3425" s="34">
        <v>1.5</v>
      </c>
      <c r="JI3425" s="34">
        <v>2</v>
      </c>
      <c r="JJ3425" s="34">
        <v>2.5</v>
      </c>
      <c r="JK3425" s="34">
        <v>3</v>
      </c>
      <c r="JL3425" s="34">
        <v>3.5</v>
      </c>
      <c r="JM3425" s="34">
        <v>4</v>
      </c>
      <c r="JN3425" s="34">
        <v>4.5</v>
      </c>
      <c r="JO3425" s="34">
        <v>5</v>
      </c>
      <c r="JQ3425" s="913"/>
      <c r="JR3425" s="31">
        <v>1</v>
      </c>
      <c r="JS3425" s="34">
        <v>0</v>
      </c>
      <c r="JT3425" s="34">
        <v>-1</v>
      </c>
      <c r="JU3425" s="34">
        <v>-2</v>
      </c>
      <c r="JV3425" s="34">
        <v>-3</v>
      </c>
      <c r="JW3425" s="34">
        <v>-4</v>
      </c>
      <c r="JX3425" s="34">
        <v>-5</v>
      </c>
      <c r="JY3425" s="908"/>
      <c r="JZ3425" s="909"/>
      <c r="KA3425" s="34">
        <v>-5</v>
      </c>
      <c r="KB3425" s="34">
        <v>-4.5</v>
      </c>
      <c r="KC3425" s="34">
        <v>-4</v>
      </c>
      <c r="KD3425" s="34">
        <v>-3.5</v>
      </c>
      <c r="KE3425" s="34">
        <v>-3</v>
      </c>
      <c r="KF3425" s="34">
        <v>-2.5</v>
      </c>
      <c r="KG3425" s="34">
        <v>-2</v>
      </c>
      <c r="KH3425" s="34">
        <v>-1.5</v>
      </c>
      <c r="KI3425" s="34">
        <v>-1</v>
      </c>
      <c r="KJ3425" s="34">
        <v>-0.5</v>
      </c>
      <c r="KK3425" s="34">
        <v>0</v>
      </c>
      <c r="KL3425" s="34">
        <v>0.5</v>
      </c>
      <c r="KM3425" s="34">
        <v>1</v>
      </c>
      <c r="KN3425" s="34">
        <v>1.5</v>
      </c>
      <c r="KO3425" s="34">
        <v>2</v>
      </c>
      <c r="KP3425" s="34">
        <v>2.5</v>
      </c>
      <c r="KQ3425" s="34">
        <v>3</v>
      </c>
      <c r="KR3425" s="34">
        <v>3.5</v>
      </c>
      <c r="KS3425" s="34">
        <v>4</v>
      </c>
      <c r="KT3425" s="34">
        <v>4.5</v>
      </c>
      <c r="KU3425" s="34">
        <v>5</v>
      </c>
      <c r="KW3425" s="913"/>
      <c r="KX3425" s="31">
        <v>1</v>
      </c>
      <c r="KY3425" s="34">
        <v>0</v>
      </c>
      <c r="KZ3425" s="34">
        <v>-1</v>
      </c>
      <c r="LA3425" s="34">
        <v>-2</v>
      </c>
      <c r="LB3425" s="34">
        <v>-3</v>
      </c>
      <c r="LC3425" s="34">
        <v>-4</v>
      </c>
      <c r="LD3425" s="34">
        <v>-5</v>
      </c>
      <c r="LE3425" s="908"/>
      <c r="LF3425" s="909"/>
      <c r="LG3425" s="34">
        <v>-5</v>
      </c>
      <c r="LH3425" s="34">
        <v>-4.5</v>
      </c>
      <c r="LI3425" s="34">
        <v>-4</v>
      </c>
      <c r="LJ3425" s="34">
        <v>-3.5</v>
      </c>
      <c r="LK3425" s="34">
        <v>-3</v>
      </c>
      <c r="LL3425" s="34">
        <v>-2.5</v>
      </c>
      <c r="LM3425" s="34">
        <v>-2</v>
      </c>
      <c r="LN3425" s="34">
        <v>-1.5</v>
      </c>
      <c r="LO3425" s="34">
        <v>-1</v>
      </c>
      <c r="LP3425" s="34">
        <v>-0.5</v>
      </c>
      <c r="LQ3425" s="34">
        <v>0</v>
      </c>
      <c r="LR3425" s="34">
        <v>0.5</v>
      </c>
      <c r="LS3425" s="34">
        <v>1</v>
      </c>
      <c r="LT3425" s="34">
        <v>1.5</v>
      </c>
      <c r="LU3425" s="34">
        <v>2</v>
      </c>
      <c r="LV3425" s="34">
        <v>2.5</v>
      </c>
      <c r="LW3425" s="34">
        <v>3</v>
      </c>
      <c r="LX3425" s="34">
        <v>3.5</v>
      </c>
      <c r="LY3425" s="34">
        <v>4</v>
      </c>
      <c r="LZ3425" s="34">
        <v>4.5</v>
      </c>
      <c r="MA3425" s="34">
        <v>5</v>
      </c>
      <c r="MC3425" s="913"/>
      <c r="MD3425" s="31">
        <v>1</v>
      </c>
      <c r="ME3425" s="34">
        <v>0</v>
      </c>
      <c r="MF3425" s="34">
        <v>-1</v>
      </c>
      <c r="MG3425" s="34">
        <v>-2</v>
      </c>
      <c r="MH3425" s="34">
        <v>-3</v>
      </c>
      <c r="MI3425" s="34">
        <v>-4</v>
      </c>
      <c r="MJ3425" s="34">
        <v>-5</v>
      </c>
      <c r="MK3425" s="908"/>
      <c r="ML3425" s="909"/>
      <c r="MM3425" s="34">
        <v>-5</v>
      </c>
      <c r="MN3425" s="34">
        <v>-4.5</v>
      </c>
      <c r="MO3425" s="34">
        <v>-4</v>
      </c>
      <c r="MP3425" s="34">
        <v>-3.5</v>
      </c>
      <c r="MQ3425" s="34">
        <v>-3</v>
      </c>
      <c r="MR3425" s="34">
        <v>-2.5</v>
      </c>
      <c r="MS3425" s="34">
        <v>-2</v>
      </c>
      <c r="MT3425" s="34">
        <v>-1.5</v>
      </c>
      <c r="MU3425" s="34">
        <v>-1</v>
      </c>
      <c r="MV3425" s="34">
        <v>-0.5</v>
      </c>
      <c r="MW3425" s="34">
        <v>0</v>
      </c>
      <c r="MX3425" s="34">
        <v>0.5</v>
      </c>
      <c r="MY3425" s="34">
        <v>1</v>
      </c>
      <c r="MZ3425" s="34">
        <v>1.5</v>
      </c>
      <c r="NA3425" s="34">
        <v>2</v>
      </c>
      <c r="NB3425" s="34">
        <v>2.5</v>
      </c>
      <c r="NC3425" s="34">
        <v>3</v>
      </c>
      <c r="ND3425" s="34">
        <v>3.5</v>
      </c>
      <c r="NE3425" s="34">
        <v>4</v>
      </c>
      <c r="NF3425" s="34">
        <v>4.5</v>
      </c>
      <c r="NG3425" s="34">
        <v>5</v>
      </c>
      <c r="NI3425" s="913"/>
      <c r="NJ3425" s="31">
        <v>1</v>
      </c>
      <c r="NK3425" s="34">
        <v>0</v>
      </c>
      <c r="NL3425" s="34">
        <v>-1</v>
      </c>
      <c r="NM3425" s="34">
        <v>-2</v>
      </c>
      <c r="NN3425" s="34">
        <v>-3</v>
      </c>
      <c r="NO3425" s="34">
        <v>-4</v>
      </c>
      <c r="NP3425" s="34">
        <v>-5</v>
      </c>
      <c r="NQ3425" s="908"/>
      <c r="NR3425" s="909"/>
      <c r="NS3425" s="34">
        <v>-5</v>
      </c>
      <c r="NT3425" s="34">
        <v>-4.5</v>
      </c>
      <c r="NU3425" s="34">
        <v>-4</v>
      </c>
      <c r="NV3425" s="34">
        <v>-3.5</v>
      </c>
      <c r="NW3425" s="34">
        <v>-3</v>
      </c>
      <c r="NX3425" s="34">
        <v>-2.5</v>
      </c>
      <c r="NY3425" s="34">
        <v>-2</v>
      </c>
      <c r="NZ3425" s="34">
        <v>-1.5</v>
      </c>
      <c r="OA3425" s="34">
        <v>-1</v>
      </c>
      <c r="OB3425" s="34">
        <v>-0.5</v>
      </c>
      <c r="OC3425" s="34">
        <v>0</v>
      </c>
      <c r="OD3425" s="34">
        <v>0.5</v>
      </c>
      <c r="OE3425" s="34">
        <v>1</v>
      </c>
      <c r="OF3425" s="34">
        <v>1.5</v>
      </c>
      <c r="OG3425" s="34">
        <v>2</v>
      </c>
      <c r="OH3425" s="34">
        <v>2.5</v>
      </c>
      <c r="OI3425" s="34">
        <v>3</v>
      </c>
      <c r="OJ3425" s="34">
        <v>3.5</v>
      </c>
      <c r="OK3425" s="34">
        <v>4</v>
      </c>
      <c r="OL3425" s="34">
        <v>4.5</v>
      </c>
      <c r="OM3425" s="34">
        <v>5</v>
      </c>
      <c r="OO3425" s="913"/>
      <c r="OP3425" s="31">
        <v>1</v>
      </c>
      <c r="OQ3425" s="34">
        <v>0</v>
      </c>
      <c r="OR3425" s="34">
        <v>-1</v>
      </c>
      <c r="OS3425" s="34">
        <v>-2</v>
      </c>
      <c r="OT3425" s="34">
        <v>-3</v>
      </c>
      <c r="OU3425" s="34">
        <v>-4</v>
      </c>
      <c r="OV3425" s="34">
        <v>-5</v>
      </c>
      <c r="OW3425" s="908"/>
      <c r="OX3425" s="909"/>
      <c r="OY3425" s="34">
        <v>-5</v>
      </c>
      <c r="OZ3425" s="34">
        <v>-4.5</v>
      </c>
      <c r="PA3425" s="34">
        <v>-4</v>
      </c>
      <c r="PB3425" s="34">
        <v>-3.5</v>
      </c>
      <c r="PC3425" s="34">
        <v>-3</v>
      </c>
      <c r="PD3425" s="34">
        <v>-2.5</v>
      </c>
      <c r="PE3425" s="34">
        <v>-2</v>
      </c>
      <c r="PF3425" s="34">
        <v>-1.5</v>
      </c>
      <c r="PG3425" s="34">
        <v>-1</v>
      </c>
      <c r="PH3425" s="34">
        <v>-0.5</v>
      </c>
      <c r="PI3425" s="34">
        <v>0</v>
      </c>
      <c r="PJ3425" s="34">
        <v>0.5</v>
      </c>
      <c r="PK3425" s="34">
        <v>1</v>
      </c>
      <c r="PL3425" s="34">
        <v>1.5</v>
      </c>
      <c r="PM3425" s="34">
        <v>2</v>
      </c>
      <c r="PN3425" s="34">
        <v>2.5</v>
      </c>
      <c r="PO3425" s="34">
        <v>3</v>
      </c>
      <c r="PP3425" s="34">
        <v>3.5</v>
      </c>
      <c r="PQ3425" s="34">
        <v>4</v>
      </c>
      <c r="PR3425" s="34">
        <v>4.5</v>
      </c>
      <c r="PS3425" s="34">
        <v>5</v>
      </c>
      <c r="PU3425" s="913"/>
      <c r="PV3425" s="31">
        <v>1</v>
      </c>
      <c r="PW3425" s="34">
        <v>0</v>
      </c>
      <c r="PX3425" s="34">
        <v>-1</v>
      </c>
      <c r="PY3425" s="34">
        <v>-2</v>
      </c>
      <c r="PZ3425" s="34">
        <v>-3</v>
      </c>
      <c r="QA3425" s="34">
        <v>-4</v>
      </c>
      <c r="QB3425" s="34">
        <v>-5</v>
      </c>
      <c r="QC3425" s="908"/>
      <c r="QD3425" s="909"/>
      <c r="QE3425" s="34">
        <v>-5</v>
      </c>
      <c r="QF3425" s="34">
        <v>-4.5</v>
      </c>
      <c r="QG3425" s="34">
        <v>-4</v>
      </c>
      <c r="QH3425" s="34">
        <v>-3.5</v>
      </c>
      <c r="QI3425" s="34">
        <v>-3</v>
      </c>
      <c r="QJ3425" s="34">
        <v>-2.5</v>
      </c>
      <c r="QK3425" s="34">
        <v>-2</v>
      </c>
      <c r="QL3425" s="34">
        <v>-1.5</v>
      </c>
      <c r="QM3425" s="34">
        <v>-1</v>
      </c>
      <c r="QN3425" s="34">
        <v>-0.5</v>
      </c>
      <c r="QO3425" s="34">
        <v>0</v>
      </c>
      <c r="QP3425" s="34">
        <v>0.5</v>
      </c>
      <c r="QQ3425" s="34">
        <v>1</v>
      </c>
      <c r="QR3425" s="34">
        <v>1.5</v>
      </c>
      <c r="QS3425" s="34">
        <v>2</v>
      </c>
      <c r="QT3425" s="34">
        <v>2.5</v>
      </c>
      <c r="QU3425" s="34">
        <v>3</v>
      </c>
      <c r="QV3425" s="34">
        <v>3.5</v>
      </c>
      <c r="QW3425" s="34">
        <v>4</v>
      </c>
      <c r="QX3425" s="34">
        <v>4.5</v>
      </c>
      <c r="QY3425" s="34">
        <v>5</v>
      </c>
      <c r="RA3425" s="913"/>
      <c r="RB3425" s="31">
        <v>1</v>
      </c>
      <c r="RC3425" s="34">
        <v>0</v>
      </c>
      <c r="RD3425" s="34">
        <v>-1</v>
      </c>
      <c r="RE3425" s="34">
        <v>-2</v>
      </c>
      <c r="RF3425" s="34">
        <v>-3</v>
      </c>
      <c r="RG3425" s="34">
        <v>-4</v>
      </c>
      <c r="RH3425" s="34">
        <v>-5</v>
      </c>
      <c r="RI3425" s="908"/>
      <c r="RJ3425" s="909"/>
      <c r="RK3425" s="34">
        <v>-5</v>
      </c>
      <c r="RL3425" s="34">
        <v>-4.5</v>
      </c>
      <c r="RM3425" s="34">
        <v>-4</v>
      </c>
      <c r="RN3425" s="34">
        <v>-3.5</v>
      </c>
      <c r="RO3425" s="34">
        <v>-3</v>
      </c>
      <c r="RP3425" s="34">
        <v>-2.5</v>
      </c>
      <c r="RQ3425" s="34">
        <v>-2</v>
      </c>
      <c r="RR3425" s="34">
        <v>-1.5</v>
      </c>
      <c r="RS3425" s="34">
        <v>-1</v>
      </c>
      <c r="RT3425" s="34">
        <v>-0.5</v>
      </c>
      <c r="RU3425" s="34">
        <v>0</v>
      </c>
      <c r="RV3425" s="34">
        <v>0.5</v>
      </c>
      <c r="RW3425" s="34">
        <v>1</v>
      </c>
      <c r="RX3425" s="34">
        <v>1.5</v>
      </c>
      <c r="RY3425" s="34">
        <v>2</v>
      </c>
      <c r="RZ3425" s="34">
        <v>2.5</v>
      </c>
      <c r="SA3425" s="34">
        <v>3</v>
      </c>
      <c r="SB3425" s="34">
        <v>3.5</v>
      </c>
      <c r="SC3425" s="34">
        <v>4</v>
      </c>
      <c r="SD3425" s="34">
        <v>4.5</v>
      </c>
      <c r="SE3425" s="34">
        <v>5</v>
      </c>
      <c r="SG3425" s="913"/>
      <c r="SH3425" s="31">
        <v>1</v>
      </c>
      <c r="SI3425" s="34">
        <v>0</v>
      </c>
      <c r="SJ3425" s="34">
        <v>-1</v>
      </c>
      <c r="SK3425" s="34">
        <v>-2</v>
      </c>
      <c r="SL3425" s="34">
        <v>-3</v>
      </c>
      <c r="SM3425" s="34">
        <v>-4</v>
      </c>
      <c r="SN3425" s="34">
        <v>-5</v>
      </c>
      <c r="SO3425" s="908"/>
      <c r="SP3425" s="909"/>
      <c r="SQ3425" s="34">
        <v>-5</v>
      </c>
      <c r="SR3425" s="34">
        <v>-4.5</v>
      </c>
      <c r="SS3425" s="34">
        <v>-4</v>
      </c>
      <c r="ST3425" s="34">
        <v>-3.5</v>
      </c>
      <c r="SU3425" s="34">
        <v>-3</v>
      </c>
      <c r="SV3425" s="34">
        <v>-2.5</v>
      </c>
      <c r="SW3425" s="34">
        <v>-2</v>
      </c>
      <c r="SX3425" s="34">
        <v>-1.5</v>
      </c>
      <c r="SY3425" s="34">
        <v>-1</v>
      </c>
      <c r="SZ3425" s="34">
        <v>-0.5</v>
      </c>
      <c r="TA3425" s="34">
        <v>0</v>
      </c>
      <c r="TB3425" s="34">
        <v>0.5</v>
      </c>
      <c r="TC3425" s="34">
        <v>1</v>
      </c>
      <c r="TD3425" s="34">
        <v>1.5</v>
      </c>
      <c r="TE3425" s="34">
        <v>2</v>
      </c>
      <c r="TF3425" s="34">
        <v>2.5</v>
      </c>
      <c r="TG3425" s="34">
        <v>3</v>
      </c>
      <c r="TH3425" s="34">
        <v>3.5</v>
      </c>
      <c r="TI3425" s="34">
        <v>4</v>
      </c>
      <c r="TJ3425" s="34">
        <v>4.5</v>
      </c>
      <c r="TK3425" s="34">
        <v>5</v>
      </c>
      <c r="TM3425" s="913"/>
      <c r="TN3425" s="31">
        <v>1</v>
      </c>
      <c r="TO3425" s="34">
        <v>0</v>
      </c>
      <c r="TP3425" s="34">
        <v>-1</v>
      </c>
      <c r="TQ3425" s="34">
        <v>-2</v>
      </c>
      <c r="TR3425" s="34">
        <v>-3</v>
      </c>
      <c r="TS3425" s="34">
        <v>-4</v>
      </c>
      <c r="TT3425" s="34">
        <v>-5</v>
      </c>
      <c r="TU3425" s="908"/>
      <c r="TV3425" s="909"/>
      <c r="TW3425" s="34">
        <v>-5</v>
      </c>
      <c r="TX3425" s="34">
        <v>-4.5</v>
      </c>
      <c r="TY3425" s="34">
        <v>-4</v>
      </c>
      <c r="TZ3425" s="34">
        <v>-3.5</v>
      </c>
      <c r="UA3425" s="34">
        <v>-3</v>
      </c>
      <c r="UB3425" s="34">
        <v>-2.5</v>
      </c>
      <c r="UC3425" s="34">
        <v>-2</v>
      </c>
      <c r="UD3425" s="34">
        <v>-1.5</v>
      </c>
      <c r="UE3425" s="34">
        <v>-1</v>
      </c>
      <c r="UF3425" s="34">
        <v>-0.5</v>
      </c>
      <c r="UG3425" s="34">
        <v>0</v>
      </c>
      <c r="UH3425" s="34">
        <v>0.5</v>
      </c>
      <c r="UI3425" s="34">
        <v>1</v>
      </c>
      <c r="UJ3425" s="34">
        <v>1.5</v>
      </c>
      <c r="UK3425" s="34">
        <v>2</v>
      </c>
      <c r="UL3425" s="34">
        <v>2.5</v>
      </c>
      <c r="UM3425" s="34">
        <v>3</v>
      </c>
      <c r="UN3425" s="34">
        <v>3.5</v>
      </c>
      <c r="UO3425" s="34">
        <v>4</v>
      </c>
      <c r="UP3425" s="34">
        <v>4.5</v>
      </c>
      <c r="UQ3425" s="34">
        <v>5</v>
      </c>
      <c r="US3425" s="913"/>
      <c r="UT3425" s="31">
        <v>1</v>
      </c>
      <c r="UU3425" s="34">
        <v>0</v>
      </c>
      <c r="UV3425" s="34">
        <v>-1</v>
      </c>
      <c r="UW3425" s="34">
        <v>-2</v>
      </c>
      <c r="UX3425" s="34">
        <v>-3</v>
      </c>
      <c r="UY3425" s="34">
        <v>-4</v>
      </c>
      <c r="UZ3425" s="34">
        <v>-5</v>
      </c>
      <c r="VA3425" s="908"/>
      <c r="VB3425" s="909"/>
      <c r="VC3425" s="34">
        <v>-5</v>
      </c>
      <c r="VD3425" s="34">
        <v>-4.5</v>
      </c>
      <c r="VE3425" s="34">
        <v>-4</v>
      </c>
      <c r="VF3425" s="34">
        <v>-3.5</v>
      </c>
      <c r="VG3425" s="34">
        <v>-3</v>
      </c>
      <c r="VH3425" s="34">
        <v>-2.5</v>
      </c>
      <c r="VI3425" s="34">
        <v>-2</v>
      </c>
      <c r="VJ3425" s="34">
        <v>-1.5</v>
      </c>
      <c r="VK3425" s="34">
        <v>-1</v>
      </c>
      <c r="VL3425" s="34">
        <v>-0.5</v>
      </c>
      <c r="VM3425" s="34">
        <v>0</v>
      </c>
      <c r="VN3425" s="34">
        <v>0.5</v>
      </c>
      <c r="VO3425" s="34">
        <v>1</v>
      </c>
      <c r="VP3425" s="34">
        <v>1.5</v>
      </c>
      <c r="VQ3425" s="34">
        <v>2</v>
      </c>
      <c r="VR3425" s="34">
        <v>2.5</v>
      </c>
      <c r="VS3425" s="34">
        <v>3</v>
      </c>
      <c r="VT3425" s="34">
        <v>3.5</v>
      </c>
      <c r="VU3425" s="34">
        <v>4</v>
      </c>
      <c r="VV3425" s="34">
        <v>4.5</v>
      </c>
      <c r="VW3425" s="34">
        <v>5</v>
      </c>
      <c r="VY3425" s="913"/>
      <c r="VZ3425" s="31">
        <v>1</v>
      </c>
      <c r="WA3425" s="34">
        <v>0</v>
      </c>
      <c r="WB3425" s="34">
        <v>-1</v>
      </c>
      <c r="WC3425" s="34">
        <v>-2</v>
      </c>
      <c r="WD3425" s="34">
        <v>-3</v>
      </c>
      <c r="WE3425" s="34">
        <v>-4</v>
      </c>
      <c r="WF3425" s="34">
        <v>-5</v>
      </c>
      <c r="WG3425" s="908"/>
      <c r="WH3425" s="909"/>
      <c r="WI3425" s="34">
        <v>-5</v>
      </c>
      <c r="WJ3425" s="34">
        <v>-4.5</v>
      </c>
      <c r="WK3425" s="34">
        <v>-4</v>
      </c>
      <c r="WL3425" s="34">
        <v>-3.5</v>
      </c>
      <c r="WM3425" s="34">
        <v>-3</v>
      </c>
      <c r="WN3425" s="34">
        <v>-2.5</v>
      </c>
      <c r="WO3425" s="34">
        <v>-2</v>
      </c>
      <c r="WP3425" s="34">
        <v>-1.5</v>
      </c>
      <c r="WQ3425" s="34">
        <v>-1</v>
      </c>
      <c r="WR3425" s="34">
        <v>-0.5</v>
      </c>
      <c r="WS3425" s="34">
        <v>0</v>
      </c>
      <c r="WT3425" s="34">
        <v>0.5</v>
      </c>
      <c r="WU3425" s="34">
        <v>1</v>
      </c>
      <c r="WV3425" s="34">
        <v>1.5</v>
      </c>
      <c r="WW3425" s="34">
        <v>2</v>
      </c>
      <c r="WX3425" s="34">
        <v>2.5</v>
      </c>
      <c r="WY3425" s="34">
        <v>3</v>
      </c>
      <c r="WZ3425" s="34">
        <v>3.5</v>
      </c>
      <c r="XA3425" s="34">
        <v>4</v>
      </c>
      <c r="XB3425" s="34">
        <v>4.5</v>
      </c>
      <c r="XC3425" s="34">
        <v>5</v>
      </c>
      <c r="XE3425" s="913"/>
      <c r="XF3425" s="31">
        <v>1</v>
      </c>
      <c r="XG3425" s="34">
        <v>0</v>
      </c>
      <c r="XH3425" s="34">
        <v>-1</v>
      </c>
      <c r="XI3425" s="34">
        <v>-2</v>
      </c>
      <c r="XJ3425" s="34">
        <v>-3</v>
      </c>
      <c r="XK3425" s="34">
        <v>-4</v>
      </c>
      <c r="XL3425" s="34">
        <v>-5</v>
      </c>
      <c r="XM3425" s="908"/>
      <c r="XN3425" s="909"/>
      <c r="XO3425" s="34">
        <v>-5</v>
      </c>
      <c r="XP3425" s="34">
        <v>-4.5</v>
      </c>
      <c r="XQ3425" s="34">
        <v>-4</v>
      </c>
      <c r="XR3425" s="34">
        <v>-3.5</v>
      </c>
      <c r="XS3425" s="34">
        <v>-3</v>
      </c>
      <c r="XT3425" s="34">
        <v>-2.5</v>
      </c>
      <c r="XU3425" s="34">
        <v>-2</v>
      </c>
      <c r="XV3425" s="34">
        <v>-1.5</v>
      </c>
      <c r="XW3425" s="34">
        <v>-1</v>
      </c>
      <c r="XX3425" s="34">
        <v>-0.5</v>
      </c>
      <c r="XY3425" s="34">
        <v>0</v>
      </c>
      <c r="XZ3425" s="34">
        <v>0.5</v>
      </c>
      <c r="YA3425" s="34">
        <v>1</v>
      </c>
      <c r="YB3425" s="34">
        <v>1.5</v>
      </c>
      <c r="YC3425" s="34">
        <v>2</v>
      </c>
      <c r="YD3425" s="34">
        <v>2.5</v>
      </c>
      <c r="YE3425" s="34">
        <v>3</v>
      </c>
      <c r="YF3425" s="34">
        <v>3.5</v>
      </c>
      <c r="YG3425" s="34">
        <v>4</v>
      </c>
      <c r="YH3425" s="34">
        <v>4.5</v>
      </c>
      <c r="YI3425" s="34">
        <v>5</v>
      </c>
      <c r="YK3425" s="913"/>
      <c r="YL3425" s="31">
        <v>1</v>
      </c>
      <c r="YM3425" s="34">
        <v>0</v>
      </c>
      <c r="YN3425" s="34">
        <v>-1</v>
      </c>
      <c r="YO3425" s="34">
        <v>-2</v>
      </c>
      <c r="YP3425" s="34">
        <v>-3</v>
      </c>
      <c r="YQ3425" s="34">
        <v>-4</v>
      </c>
      <c r="YR3425" s="34">
        <v>-5</v>
      </c>
      <c r="YS3425" s="908"/>
      <c r="YT3425" s="909"/>
      <c r="YU3425" s="34">
        <v>-5</v>
      </c>
      <c r="YV3425" s="34">
        <v>-4.5</v>
      </c>
      <c r="YW3425" s="34">
        <v>-4</v>
      </c>
      <c r="YX3425" s="34">
        <v>-3.5</v>
      </c>
      <c r="YY3425" s="34">
        <v>-3</v>
      </c>
      <c r="YZ3425" s="34">
        <v>-2.5</v>
      </c>
      <c r="ZA3425" s="34">
        <v>-2</v>
      </c>
      <c r="ZB3425" s="34">
        <v>-1.5</v>
      </c>
      <c r="ZC3425" s="34">
        <v>-1</v>
      </c>
      <c r="ZD3425" s="34">
        <v>-0.5</v>
      </c>
      <c r="ZE3425" s="34">
        <v>0</v>
      </c>
      <c r="ZF3425" s="34">
        <v>0.5</v>
      </c>
      <c r="ZG3425" s="34">
        <v>1</v>
      </c>
      <c r="ZH3425" s="34">
        <v>1.5</v>
      </c>
      <c r="ZI3425" s="34">
        <v>2</v>
      </c>
      <c r="ZJ3425" s="34">
        <v>2.5</v>
      </c>
      <c r="ZK3425" s="34">
        <v>3</v>
      </c>
      <c r="ZL3425" s="34">
        <v>3.5</v>
      </c>
      <c r="ZM3425" s="34">
        <v>4</v>
      </c>
      <c r="ZN3425" s="34">
        <v>4.5</v>
      </c>
      <c r="ZO3425" s="34">
        <v>5</v>
      </c>
      <c r="ZQ3425" s="913"/>
      <c r="ZR3425" s="31">
        <v>1</v>
      </c>
      <c r="ZS3425" s="34">
        <v>0</v>
      </c>
      <c r="ZT3425" s="34">
        <v>-1</v>
      </c>
      <c r="ZU3425" s="34">
        <v>-2</v>
      </c>
      <c r="ZV3425" s="34">
        <v>-3</v>
      </c>
      <c r="ZW3425" s="34">
        <v>-4</v>
      </c>
      <c r="ZX3425" s="34">
        <v>-5</v>
      </c>
      <c r="ZY3425" s="908"/>
      <c r="ZZ3425" s="909"/>
      <c r="AAA3425" s="34">
        <v>-5</v>
      </c>
      <c r="AAB3425" s="34">
        <v>-4.5</v>
      </c>
      <c r="AAC3425" s="34">
        <v>-4</v>
      </c>
      <c r="AAD3425" s="34">
        <v>-3.5</v>
      </c>
      <c r="AAE3425" s="34">
        <v>-3</v>
      </c>
      <c r="AAF3425" s="34">
        <v>-2.5</v>
      </c>
      <c r="AAG3425" s="34">
        <v>-2</v>
      </c>
      <c r="AAH3425" s="34">
        <v>-1.5</v>
      </c>
      <c r="AAI3425" s="34">
        <v>-1</v>
      </c>
      <c r="AAJ3425" s="34">
        <v>-0.5</v>
      </c>
      <c r="AAK3425" s="34">
        <v>0</v>
      </c>
      <c r="AAL3425" s="34">
        <v>0.5</v>
      </c>
      <c r="AAM3425" s="34">
        <v>1</v>
      </c>
      <c r="AAN3425" s="34">
        <v>1.5</v>
      </c>
      <c r="AAO3425" s="34">
        <v>2</v>
      </c>
      <c r="AAP3425" s="34">
        <v>2.5</v>
      </c>
      <c r="AAQ3425" s="34">
        <v>3</v>
      </c>
      <c r="AAR3425" s="34">
        <v>3.5</v>
      </c>
      <c r="AAS3425" s="34">
        <v>4</v>
      </c>
      <c r="AAT3425" s="34">
        <v>4.5</v>
      </c>
      <c r="AAU3425" s="34">
        <v>5</v>
      </c>
      <c r="AAW3425" s="913"/>
      <c r="AAX3425" s="31">
        <v>1</v>
      </c>
      <c r="AAY3425" s="34">
        <v>0</v>
      </c>
      <c r="AAZ3425" s="34">
        <v>-1</v>
      </c>
      <c r="ABA3425" s="34">
        <v>-2</v>
      </c>
      <c r="ABB3425" s="34">
        <v>-3</v>
      </c>
      <c r="ABC3425" s="34">
        <v>-4</v>
      </c>
      <c r="ABD3425" s="34">
        <v>-5</v>
      </c>
      <c r="ABE3425" s="908"/>
      <c r="ABF3425" s="909"/>
      <c r="ABG3425" s="34">
        <v>-5</v>
      </c>
      <c r="ABH3425" s="34">
        <v>-4.5</v>
      </c>
      <c r="ABI3425" s="34">
        <v>-4</v>
      </c>
      <c r="ABJ3425" s="34">
        <v>-3.5</v>
      </c>
      <c r="ABK3425" s="34">
        <v>-3</v>
      </c>
      <c r="ABL3425" s="34">
        <v>-2.5</v>
      </c>
      <c r="ABM3425" s="34">
        <v>-2</v>
      </c>
      <c r="ABN3425" s="34">
        <v>-1.5</v>
      </c>
      <c r="ABO3425" s="34">
        <v>-1</v>
      </c>
      <c r="ABP3425" s="34">
        <v>-0.5</v>
      </c>
      <c r="ABQ3425" s="34">
        <v>0</v>
      </c>
      <c r="ABR3425" s="34">
        <v>0.5</v>
      </c>
      <c r="ABS3425" s="34">
        <v>1</v>
      </c>
      <c r="ABT3425" s="34">
        <v>1.5</v>
      </c>
      <c r="ABU3425" s="34">
        <v>2</v>
      </c>
      <c r="ABV3425" s="34">
        <v>2.5</v>
      </c>
      <c r="ABW3425" s="34">
        <v>3</v>
      </c>
      <c r="ABX3425" s="34">
        <v>3.5</v>
      </c>
      <c r="ABY3425" s="34">
        <v>4</v>
      </c>
      <c r="ABZ3425" s="34">
        <v>4.5</v>
      </c>
      <c r="ACA3425" s="34">
        <v>5</v>
      </c>
      <c r="ACC3425" s="913"/>
      <c r="ACD3425" s="31">
        <v>1</v>
      </c>
      <c r="ACE3425" s="34">
        <v>0</v>
      </c>
      <c r="ACF3425" s="34">
        <v>-1</v>
      </c>
      <c r="ACG3425" s="34">
        <v>-2</v>
      </c>
      <c r="ACH3425" s="34">
        <v>-3</v>
      </c>
      <c r="ACI3425" s="34">
        <v>-4</v>
      </c>
      <c r="ACJ3425" s="34">
        <v>-5</v>
      </c>
      <c r="ACK3425" s="908"/>
      <c r="ACL3425" s="909"/>
      <c r="ACM3425" s="34">
        <v>-5</v>
      </c>
      <c r="ACN3425" s="34">
        <v>-4.5</v>
      </c>
      <c r="ACO3425" s="34">
        <v>-4</v>
      </c>
      <c r="ACP3425" s="34">
        <v>-3.5</v>
      </c>
      <c r="ACQ3425" s="34">
        <v>-3</v>
      </c>
      <c r="ACR3425" s="34">
        <v>-2.5</v>
      </c>
      <c r="ACS3425" s="34">
        <v>-2</v>
      </c>
      <c r="ACT3425" s="34">
        <v>-1.5</v>
      </c>
      <c r="ACU3425" s="34">
        <v>-1</v>
      </c>
      <c r="ACV3425" s="34">
        <v>-0.5</v>
      </c>
      <c r="ACW3425" s="34">
        <v>0</v>
      </c>
      <c r="ACX3425" s="34">
        <v>0.5</v>
      </c>
      <c r="ACY3425" s="34">
        <v>1</v>
      </c>
      <c r="ACZ3425" s="34">
        <v>1.5</v>
      </c>
      <c r="ADA3425" s="34">
        <v>2</v>
      </c>
      <c r="ADB3425" s="34">
        <v>2.5</v>
      </c>
      <c r="ADC3425" s="34">
        <v>3</v>
      </c>
      <c r="ADD3425" s="34">
        <v>3.5</v>
      </c>
      <c r="ADE3425" s="34">
        <v>4</v>
      </c>
      <c r="ADF3425" s="34">
        <v>4.5</v>
      </c>
      <c r="ADG3425" s="34">
        <v>5</v>
      </c>
      <c r="ADI3425" s="913"/>
      <c r="ADJ3425" s="31">
        <v>1</v>
      </c>
      <c r="ADK3425" s="34">
        <v>0</v>
      </c>
      <c r="ADL3425" s="34">
        <v>-1</v>
      </c>
      <c r="ADM3425" s="34">
        <v>-2</v>
      </c>
      <c r="ADN3425" s="34">
        <v>-3</v>
      </c>
      <c r="ADO3425" s="34">
        <v>-4</v>
      </c>
      <c r="ADP3425" s="34">
        <v>-5</v>
      </c>
      <c r="ADQ3425" s="908"/>
      <c r="ADR3425" s="909"/>
      <c r="ADS3425" s="34">
        <v>-5</v>
      </c>
      <c r="ADT3425" s="34">
        <v>-4.5</v>
      </c>
      <c r="ADU3425" s="34">
        <v>-4</v>
      </c>
      <c r="ADV3425" s="34">
        <v>-3.5</v>
      </c>
      <c r="ADW3425" s="34">
        <v>-3</v>
      </c>
      <c r="ADX3425" s="34">
        <v>-2.5</v>
      </c>
      <c r="ADY3425" s="34">
        <v>-2</v>
      </c>
      <c r="ADZ3425" s="34">
        <v>-1.5</v>
      </c>
      <c r="AEA3425" s="34">
        <v>-1</v>
      </c>
      <c r="AEB3425" s="34">
        <v>-0.5</v>
      </c>
      <c r="AEC3425" s="34">
        <v>0</v>
      </c>
      <c r="AED3425" s="34">
        <v>0.5</v>
      </c>
      <c r="AEE3425" s="34">
        <v>1</v>
      </c>
      <c r="AEF3425" s="34">
        <v>1.5</v>
      </c>
      <c r="AEG3425" s="34">
        <v>2</v>
      </c>
      <c r="AEH3425" s="34">
        <v>2.5</v>
      </c>
      <c r="AEI3425" s="34">
        <v>3</v>
      </c>
      <c r="AEJ3425" s="34">
        <v>3.5</v>
      </c>
      <c r="AEK3425" s="34">
        <v>4</v>
      </c>
      <c r="AEL3425" s="34">
        <v>4.5</v>
      </c>
      <c r="AEM3425" s="34">
        <v>5</v>
      </c>
      <c r="AEO3425" s="913"/>
      <c r="AEP3425" s="31">
        <v>1</v>
      </c>
      <c r="AEQ3425" s="34">
        <v>0</v>
      </c>
      <c r="AER3425" s="34">
        <v>-1</v>
      </c>
      <c r="AES3425" s="34">
        <v>-2</v>
      </c>
      <c r="AET3425" s="34">
        <v>-3</v>
      </c>
      <c r="AEU3425" s="34">
        <v>-4</v>
      </c>
      <c r="AEV3425" s="34">
        <v>-5</v>
      </c>
      <c r="AEW3425" s="908"/>
      <c r="AEX3425" s="909"/>
      <c r="AEY3425" s="34">
        <v>-5</v>
      </c>
      <c r="AEZ3425" s="34">
        <v>-4.5</v>
      </c>
      <c r="AFA3425" s="34">
        <v>-4</v>
      </c>
      <c r="AFB3425" s="34">
        <v>-3.5</v>
      </c>
      <c r="AFC3425" s="34">
        <v>-3</v>
      </c>
      <c r="AFD3425" s="34">
        <v>-2.5</v>
      </c>
      <c r="AFE3425" s="34">
        <v>-2</v>
      </c>
      <c r="AFF3425" s="34">
        <v>-1.5</v>
      </c>
      <c r="AFG3425" s="34">
        <v>-1</v>
      </c>
      <c r="AFH3425" s="34">
        <v>-0.5</v>
      </c>
      <c r="AFI3425" s="34">
        <v>0</v>
      </c>
      <c r="AFJ3425" s="34">
        <v>0.5</v>
      </c>
      <c r="AFK3425" s="34">
        <v>1</v>
      </c>
      <c r="AFL3425" s="34">
        <v>1.5</v>
      </c>
      <c r="AFM3425" s="34">
        <v>2</v>
      </c>
      <c r="AFN3425" s="34">
        <v>2.5</v>
      </c>
      <c r="AFO3425" s="34">
        <v>3</v>
      </c>
      <c r="AFP3425" s="34">
        <v>3.5</v>
      </c>
      <c r="AFQ3425" s="34">
        <v>4</v>
      </c>
      <c r="AFR3425" s="34">
        <v>4.5</v>
      </c>
      <c r="AFS3425" s="34">
        <v>5</v>
      </c>
      <c r="AFU3425" s="913"/>
      <c r="AFV3425" s="31">
        <v>1</v>
      </c>
      <c r="AFW3425" s="34">
        <v>0</v>
      </c>
      <c r="AFX3425" s="34">
        <v>-1</v>
      </c>
      <c r="AFY3425" s="34">
        <v>-2</v>
      </c>
      <c r="AFZ3425" s="34">
        <v>-3</v>
      </c>
      <c r="AGA3425" s="34">
        <v>-4</v>
      </c>
      <c r="AGB3425" s="34">
        <v>-5</v>
      </c>
      <c r="AGC3425" s="908"/>
      <c r="AGD3425" s="909"/>
      <c r="AGE3425" s="34">
        <v>-5</v>
      </c>
      <c r="AGF3425" s="34">
        <v>-4.5</v>
      </c>
      <c r="AGG3425" s="34">
        <v>-4</v>
      </c>
      <c r="AGH3425" s="34">
        <v>-3.5</v>
      </c>
      <c r="AGI3425" s="34">
        <v>-3</v>
      </c>
      <c r="AGJ3425" s="34">
        <v>-2.5</v>
      </c>
      <c r="AGK3425" s="34">
        <v>-2</v>
      </c>
      <c r="AGL3425" s="34">
        <v>-1.5</v>
      </c>
      <c r="AGM3425" s="34">
        <v>-1</v>
      </c>
      <c r="AGN3425" s="34">
        <v>-0.5</v>
      </c>
      <c r="AGO3425" s="34">
        <v>0</v>
      </c>
      <c r="AGP3425" s="34">
        <v>0.5</v>
      </c>
      <c r="AGQ3425" s="34">
        <v>1</v>
      </c>
      <c r="AGR3425" s="34">
        <v>1.5</v>
      </c>
      <c r="AGS3425" s="34">
        <v>2</v>
      </c>
      <c r="AGT3425" s="34">
        <v>2.5</v>
      </c>
      <c r="AGU3425" s="34">
        <v>3</v>
      </c>
      <c r="AGV3425" s="34">
        <v>3.5</v>
      </c>
      <c r="AGW3425" s="34">
        <v>4</v>
      </c>
      <c r="AGX3425" s="34">
        <v>4.5</v>
      </c>
      <c r="AGY3425" s="34">
        <v>5</v>
      </c>
      <c r="AHA3425" s="913"/>
      <c r="AHB3425" s="31">
        <v>1</v>
      </c>
      <c r="AHC3425" s="34">
        <v>0</v>
      </c>
      <c r="AHD3425" s="34">
        <v>-1</v>
      </c>
      <c r="AHE3425" s="34">
        <v>-2</v>
      </c>
      <c r="AHF3425" s="34">
        <v>-3</v>
      </c>
      <c r="AHG3425" s="34">
        <v>-4</v>
      </c>
      <c r="AHH3425" s="34">
        <v>-5</v>
      </c>
      <c r="AHI3425" s="908"/>
      <c r="AHJ3425" s="909"/>
      <c r="AHK3425" s="34">
        <v>-5</v>
      </c>
      <c r="AHL3425" s="34">
        <v>-4.5</v>
      </c>
      <c r="AHM3425" s="34">
        <v>-4</v>
      </c>
      <c r="AHN3425" s="34">
        <v>-3.5</v>
      </c>
      <c r="AHO3425" s="34">
        <v>-3</v>
      </c>
      <c r="AHP3425" s="34">
        <v>-2.5</v>
      </c>
      <c r="AHQ3425" s="34">
        <v>-2</v>
      </c>
      <c r="AHR3425" s="34">
        <v>-1.5</v>
      </c>
      <c r="AHS3425" s="34">
        <v>-1</v>
      </c>
      <c r="AHT3425" s="34">
        <v>-0.5</v>
      </c>
      <c r="AHU3425" s="34">
        <v>0</v>
      </c>
      <c r="AHV3425" s="34">
        <v>0.5</v>
      </c>
      <c r="AHW3425" s="34">
        <v>1</v>
      </c>
      <c r="AHX3425" s="34">
        <v>1.5</v>
      </c>
      <c r="AHY3425" s="34">
        <v>2</v>
      </c>
      <c r="AHZ3425" s="34">
        <v>2.5</v>
      </c>
      <c r="AIA3425" s="34">
        <v>3</v>
      </c>
      <c r="AIB3425" s="34">
        <v>3.5</v>
      </c>
      <c r="AIC3425" s="34">
        <v>4</v>
      </c>
      <c r="AID3425" s="34">
        <v>4.5</v>
      </c>
      <c r="AIE3425" s="34">
        <v>5</v>
      </c>
      <c r="AIG3425" s="913"/>
      <c r="AIH3425" s="31">
        <v>1</v>
      </c>
      <c r="AII3425" s="34">
        <v>0</v>
      </c>
      <c r="AIJ3425" s="34">
        <v>-1</v>
      </c>
      <c r="AIK3425" s="34">
        <v>-2</v>
      </c>
      <c r="AIL3425" s="34">
        <v>-3</v>
      </c>
      <c r="AIM3425" s="34">
        <v>-4</v>
      </c>
      <c r="AIN3425" s="34">
        <v>-5</v>
      </c>
      <c r="AIO3425" s="908"/>
      <c r="AIP3425" s="909"/>
      <c r="AIQ3425" s="34">
        <v>-5</v>
      </c>
      <c r="AIR3425" s="34">
        <v>-4.5</v>
      </c>
      <c r="AIS3425" s="34">
        <v>-4</v>
      </c>
      <c r="AIT3425" s="34">
        <v>-3.5</v>
      </c>
      <c r="AIU3425" s="34">
        <v>-3</v>
      </c>
      <c r="AIV3425" s="34">
        <v>-2.5</v>
      </c>
      <c r="AIW3425" s="34">
        <v>-2</v>
      </c>
      <c r="AIX3425" s="34">
        <v>-1.5</v>
      </c>
      <c r="AIY3425" s="34">
        <v>-1</v>
      </c>
      <c r="AIZ3425" s="34">
        <v>-0.5</v>
      </c>
      <c r="AJA3425" s="34">
        <v>0</v>
      </c>
      <c r="AJB3425" s="34">
        <v>0.5</v>
      </c>
      <c r="AJC3425" s="34">
        <v>1</v>
      </c>
      <c r="AJD3425" s="34">
        <v>1.5</v>
      </c>
      <c r="AJE3425" s="34">
        <v>2</v>
      </c>
      <c r="AJF3425" s="34">
        <v>2.5</v>
      </c>
      <c r="AJG3425" s="34">
        <v>3</v>
      </c>
      <c r="AJH3425" s="34">
        <v>3.5</v>
      </c>
      <c r="AJI3425" s="34">
        <v>4</v>
      </c>
      <c r="AJJ3425" s="34">
        <v>4.5</v>
      </c>
      <c r="AJK3425" s="34">
        <v>5</v>
      </c>
      <c r="AJM3425" s="913"/>
      <c r="AJN3425" s="31">
        <v>1</v>
      </c>
      <c r="AJO3425" s="34">
        <v>0</v>
      </c>
      <c r="AJP3425" s="34">
        <v>-1</v>
      </c>
      <c r="AJQ3425" s="34">
        <v>-2</v>
      </c>
      <c r="AJR3425" s="34">
        <v>-3</v>
      </c>
      <c r="AJS3425" s="34">
        <v>-4</v>
      </c>
      <c r="AJT3425" s="34">
        <v>-5</v>
      </c>
      <c r="AJU3425" s="908"/>
      <c r="AJV3425" s="909"/>
      <c r="AJW3425" s="34">
        <v>-5</v>
      </c>
      <c r="AJX3425" s="34">
        <v>-4.5</v>
      </c>
      <c r="AJY3425" s="34">
        <v>-4</v>
      </c>
      <c r="AJZ3425" s="34">
        <v>-3.5</v>
      </c>
      <c r="AKA3425" s="34">
        <v>-3</v>
      </c>
      <c r="AKB3425" s="34">
        <v>-2.5</v>
      </c>
      <c r="AKC3425" s="34">
        <v>-2</v>
      </c>
      <c r="AKD3425" s="34">
        <v>-1.5</v>
      </c>
      <c r="AKE3425" s="34">
        <v>-1</v>
      </c>
      <c r="AKF3425" s="34">
        <v>-0.5</v>
      </c>
      <c r="AKG3425" s="34">
        <v>0</v>
      </c>
      <c r="AKH3425" s="34">
        <v>0.5</v>
      </c>
      <c r="AKI3425" s="34">
        <v>1</v>
      </c>
      <c r="AKJ3425" s="34">
        <v>1.5</v>
      </c>
      <c r="AKK3425" s="34">
        <v>2</v>
      </c>
      <c r="AKL3425" s="34">
        <v>2.5</v>
      </c>
      <c r="AKM3425" s="34">
        <v>3</v>
      </c>
      <c r="AKN3425" s="34">
        <v>3.5</v>
      </c>
      <c r="AKO3425" s="34">
        <v>4</v>
      </c>
      <c r="AKP3425" s="34">
        <v>4.5</v>
      </c>
      <c r="AKQ3425" s="34">
        <v>5</v>
      </c>
      <c r="AKS3425" s="913"/>
      <c r="AKT3425" s="31">
        <v>1</v>
      </c>
      <c r="AKU3425" s="34">
        <v>0</v>
      </c>
      <c r="AKV3425" s="34">
        <v>-1</v>
      </c>
      <c r="AKW3425" s="34">
        <v>-2</v>
      </c>
      <c r="AKX3425" s="34">
        <v>-3</v>
      </c>
      <c r="AKY3425" s="34">
        <v>-4</v>
      </c>
      <c r="AKZ3425" s="34">
        <v>-5</v>
      </c>
      <c r="ALA3425" s="908"/>
      <c r="ALB3425" s="909"/>
      <c r="ALC3425" s="34">
        <v>-5</v>
      </c>
      <c r="ALD3425" s="34">
        <v>-4.5</v>
      </c>
      <c r="ALE3425" s="34">
        <v>-4</v>
      </c>
      <c r="ALF3425" s="34">
        <v>-3.5</v>
      </c>
      <c r="ALG3425" s="34">
        <v>-3</v>
      </c>
      <c r="ALH3425" s="34">
        <v>-2.5</v>
      </c>
      <c r="ALI3425" s="34">
        <v>-2</v>
      </c>
      <c r="ALJ3425" s="34">
        <v>-1.5</v>
      </c>
      <c r="ALK3425" s="34">
        <v>-1</v>
      </c>
      <c r="ALL3425" s="34">
        <v>-0.5</v>
      </c>
      <c r="ALM3425" s="34">
        <v>0</v>
      </c>
      <c r="ALN3425" s="34">
        <v>0.5</v>
      </c>
      <c r="ALO3425" s="34">
        <v>1</v>
      </c>
      <c r="ALP3425" s="34">
        <v>1.5</v>
      </c>
      <c r="ALQ3425" s="34">
        <v>2</v>
      </c>
      <c r="ALR3425" s="34">
        <v>2.5</v>
      </c>
      <c r="ALS3425" s="34">
        <v>3</v>
      </c>
      <c r="ALT3425" s="34">
        <v>3.5</v>
      </c>
      <c r="ALU3425" s="34">
        <v>4</v>
      </c>
      <c r="ALV3425" s="34">
        <v>4.5</v>
      </c>
      <c r="ALW3425" s="34">
        <v>5</v>
      </c>
      <c r="ALY3425" s="913"/>
      <c r="ALZ3425" s="31">
        <v>1</v>
      </c>
      <c r="AMA3425" s="34">
        <v>0</v>
      </c>
      <c r="AMB3425" s="34">
        <v>-1</v>
      </c>
      <c r="AMC3425" s="34">
        <v>-2</v>
      </c>
      <c r="AMD3425" s="34">
        <v>-3</v>
      </c>
      <c r="AME3425" s="34">
        <v>-4</v>
      </c>
      <c r="AMF3425" s="34">
        <v>-5</v>
      </c>
      <c r="AMG3425" s="908"/>
      <c r="AMH3425" s="909"/>
      <c r="AMI3425" s="34">
        <v>-5</v>
      </c>
      <c r="AMJ3425" s="34">
        <v>-4.5</v>
      </c>
      <c r="AMK3425" s="34">
        <v>-4</v>
      </c>
      <c r="AML3425" s="34">
        <v>-3.5</v>
      </c>
      <c r="AMM3425" s="34">
        <v>-3</v>
      </c>
      <c r="AMN3425" s="34">
        <v>-2.5</v>
      </c>
      <c r="AMO3425" s="34">
        <v>-2</v>
      </c>
      <c r="AMP3425" s="34">
        <v>-1.5</v>
      </c>
      <c r="AMQ3425" s="34">
        <v>-1</v>
      </c>
      <c r="AMR3425" s="34">
        <v>-0.5</v>
      </c>
      <c r="AMS3425" s="34">
        <v>0</v>
      </c>
      <c r="AMT3425" s="34">
        <v>0.5</v>
      </c>
      <c r="AMU3425" s="34">
        <v>1</v>
      </c>
      <c r="AMV3425" s="34">
        <v>1.5</v>
      </c>
      <c r="AMW3425" s="34">
        <v>2</v>
      </c>
      <c r="AMX3425" s="34">
        <v>2.5</v>
      </c>
      <c r="AMY3425" s="34">
        <v>3</v>
      </c>
      <c r="AMZ3425" s="34">
        <v>3.5</v>
      </c>
      <c r="ANA3425" s="34">
        <v>4</v>
      </c>
      <c r="ANB3425" s="34">
        <v>4.5</v>
      </c>
      <c r="ANC3425" s="34">
        <v>5</v>
      </c>
      <c r="ANE3425" s="913"/>
      <c r="ANF3425" s="31">
        <v>1</v>
      </c>
      <c r="ANG3425" s="34">
        <v>0</v>
      </c>
      <c r="ANH3425" s="34">
        <v>-1</v>
      </c>
      <c r="ANI3425" s="34">
        <v>-2</v>
      </c>
      <c r="ANJ3425" s="34">
        <v>-3</v>
      </c>
      <c r="ANK3425" s="34">
        <v>-4</v>
      </c>
      <c r="ANL3425" s="34">
        <v>-5</v>
      </c>
      <c r="ANM3425" s="908"/>
      <c r="ANN3425" s="909"/>
      <c r="ANO3425" s="34">
        <v>-5</v>
      </c>
      <c r="ANP3425" s="34">
        <v>-4.5</v>
      </c>
      <c r="ANQ3425" s="34">
        <v>-4</v>
      </c>
      <c r="ANR3425" s="34">
        <v>-3.5</v>
      </c>
      <c r="ANS3425" s="34">
        <v>-3</v>
      </c>
      <c r="ANT3425" s="34">
        <v>-2.5</v>
      </c>
      <c r="ANU3425" s="34">
        <v>-2</v>
      </c>
      <c r="ANV3425" s="34">
        <v>-1.5</v>
      </c>
      <c r="ANW3425" s="34">
        <v>-1</v>
      </c>
      <c r="ANX3425" s="34">
        <v>-0.5</v>
      </c>
      <c r="ANY3425" s="34">
        <v>0</v>
      </c>
      <c r="ANZ3425" s="34">
        <v>0.5</v>
      </c>
      <c r="AOA3425" s="34">
        <v>1</v>
      </c>
      <c r="AOB3425" s="34">
        <v>1.5</v>
      </c>
      <c r="AOC3425" s="34">
        <v>2</v>
      </c>
      <c r="AOD3425" s="34">
        <v>2.5</v>
      </c>
      <c r="AOE3425" s="34">
        <v>3</v>
      </c>
      <c r="AOF3425" s="34">
        <v>3.5</v>
      </c>
      <c r="AOG3425" s="34">
        <v>4</v>
      </c>
      <c r="AOH3425" s="34">
        <v>4.5</v>
      </c>
      <c r="AOI3425" s="34">
        <v>5</v>
      </c>
      <c r="AOK3425" s="913"/>
      <c r="AOL3425" s="31">
        <v>1</v>
      </c>
      <c r="AOM3425" s="34">
        <v>0</v>
      </c>
      <c r="AON3425" s="34">
        <v>-1</v>
      </c>
      <c r="AOO3425" s="34">
        <v>-2</v>
      </c>
      <c r="AOP3425" s="34">
        <v>-3</v>
      </c>
      <c r="AOQ3425" s="34">
        <v>-4</v>
      </c>
      <c r="AOR3425" s="34">
        <v>-5</v>
      </c>
      <c r="AOS3425" s="908"/>
      <c r="AOT3425" s="909"/>
      <c r="AOU3425" s="34">
        <v>-5</v>
      </c>
      <c r="AOV3425" s="34">
        <v>-4.5</v>
      </c>
      <c r="AOW3425" s="34">
        <v>-4</v>
      </c>
      <c r="AOX3425" s="34">
        <v>-3.5</v>
      </c>
      <c r="AOY3425" s="34">
        <v>-3</v>
      </c>
      <c r="AOZ3425" s="34">
        <v>-2.5</v>
      </c>
      <c r="APA3425" s="34">
        <v>-2</v>
      </c>
      <c r="APB3425" s="34">
        <v>-1.5</v>
      </c>
      <c r="APC3425" s="34">
        <v>-1</v>
      </c>
      <c r="APD3425" s="34">
        <v>-0.5</v>
      </c>
      <c r="APE3425" s="34">
        <v>0</v>
      </c>
      <c r="APF3425" s="34">
        <v>0.5</v>
      </c>
      <c r="APG3425" s="34">
        <v>1</v>
      </c>
      <c r="APH3425" s="34">
        <v>1.5</v>
      </c>
      <c r="API3425" s="34">
        <v>2</v>
      </c>
      <c r="APJ3425" s="34">
        <v>2.5</v>
      </c>
      <c r="APK3425" s="34">
        <v>3</v>
      </c>
      <c r="APL3425" s="34">
        <v>3.5</v>
      </c>
      <c r="APM3425" s="34">
        <v>4</v>
      </c>
      <c r="APN3425" s="34">
        <v>4.5</v>
      </c>
      <c r="APO3425" s="34">
        <v>5</v>
      </c>
      <c r="APQ3425" s="913"/>
      <c r="APR3425" s="31">
        <v>1</v>
      </c>
      <c r="APS3425" s="34">
        <v>0</v>
      </c>
      <c r="APT3425" s="34">
        <v>-1</v>
      </c>
      <c r="APU3425" s="34">
        <v>-2</v>
      </c>
      <c r="APV3425" s="34">
        <v>-3</v>
      </c>
      <c r="APW3425" s="34">
        <v>-4</v>
      </c>
      <c r="APX3425" s="34">
        <v>-5</v>
      </c>
      <c r="APY3425" s="908"/>
      <c r="APZ3425" s="909"/>
      <c r="AQA3425" s="34">
        <v>-5</v>
      </c>
      <c r="AQB3425" s="34">
        <v>-4.5</v>
      </c>
      <c r="AQC3425" s="34">
        <v>-4</v>
      </c>
      <c r="AQD3425" s="34">
        <v>-3.5</v>
      </c>
      <c r="AQE3425" s="34">
        <v>-3</v>
      </c>
      <c r="AQF3425" s="34">
        <v>-2.5</v>
      </c>
      <c r="AQG3425" s="34">
        <v>-2</v>
      </c>
      <c r="AQH3425" s="34">
        <v>-1.5</v>
      </c>
      <c r="AQI3425" s="34">
        <v>-1</v>
      </c>
      <c r="AQJ3425" s="34">
        <v>-0.5</v>
      </c>
      <c r="AQK3425" s="34">
        <v>0</v>
      </c>
      <c r="AQL3425" s="34">
        <v>0.5</v>
      </c>
      <c r="AQM3425" s="34">
        <v>1</v>
      </c>
      <c r="AQN3425" s="34">
        <v>1.5</v>
      </c>
      <c r="AQO3425" s="34">
        <v>2</v>
      </c>
      <c r="AQP3425" s="34">
        <v>2.5</v>
      </c>
      <c r="AQQ3425" s="34">
        <v>3</v>
      </c>
      <c r="AQR3425" s="34">
        <v>3.5</v>
      </c>
      <c r="AQS3425" s="34">
        <v>4</v>
      </c>
      <c r="AQT3425" s="34">
        <v>4.5</v>
      </c>
      <c r="AQU3425" s="34">
        <v>5</v>
      </c>
      <c r="AQW3425" s="913"/>
      <c r="AQX3425" s="31">
        <v>1</v>
      </c>
      <c r="AQY3425" s="34">
        <v>0</v>
      </c>
      <c r="AQZ3425" s="34">
        <v>-1</v>
      </c>
      <c r="ARA3425" s="34">
        <v>-2</v>
      </c>
      <c r="ARB3425" s="34">
        <v>-3</v>
      </c>
      <c r="ARC3425" s="34">
        <v>-4</v>
      </c>
      <c r="ARD3425" s="34">
        <v>-5</v>
      </c>
      <c r="ARE3425" s="908"/>
      <c r="ARF3425" s="909"/>
      <c r="ARG3425" s="34">
        <v>-5</v>
      </c>
      <c r="ARH3425" s="34">
        <v>-4.5</v>
      </c>
      <c r="ARI3425" s="34">
        <v>-4</v>
      </c>
      <c r="ARJ3425" s="34">
        <v>-3.5</v>
      </c>
      <c r="ARK3425" s="34">
        <v>-3</v>
      </c>
      <c r="ARL3425" s="34">
        <v>-2.5</v>
      </c>
      <c r="ARM3425" s="34">
        <v>-2</v>
      </c>
      <c r="ARN3425" s="34">
        <v>-1.5</v>
      </c>
      <c r="ARO3425" s="34">
        <v>-1</v>
      </c>
      <c r="ARP3425" s="34">
        <v>-0.5</v>
      </c>
      <c r="ARQ3425" s="34">
        <v>0</v>
      </c>
      <c r="ARR3425" s="34">
        <v>0.5</v>
      </c>
      <c r="ARS3425" s="34">
        <v>1</v>
      </c>
      <c r="ART3425" s="34">
        <v>1.5</v>
      </c>
      <c r="ARU3425" s="34">
        <v>2</v>
      </c>
      <c r="ARV3425" s="34">
        <v>2.5</v>
      </c>
      <c r="ARW3425" s="34">
        <v>3</v>
      </c>
      <c r="ARX3425" s="34">
        <v>3.5</v>
      </c>
      <c r="ARY3425" s="34">
        <v>4</v>
      </c>
      <c r="ARZ3425" s="34">
        <v>4.5</v>
      </c>
      <c r="ASA3425" s="34">
        <v>5</v>
      </c>
      <c r="ASC3425" s="913"/>
      <c r="ASD3425" s="31">
        <v>1</v>
      </c>
      <c r="ASE3425" s="34">
        <v>0</v>
      </c>
      <c r="ASF3425" s="34">
        <v>-1</v>
      </c>
      <c r="ASG3425" s="34">
        <v>-2</v>
      </c>
      <c r="ASH3425" s="34">
        <v>-3</v>
      </c>
      <c r="ASI3425" s="34">
        <v>-4</v>
      </c>
      <c r="ASJ3425" s="34">
        <v>-5</v>
      </c>
      <c r="ASK3425" s="908"/>
      <c r="ASL3425" s="909"/>
      <c r="ASM3425" s="34">
        <v>-5</v>
      </c>
      <c r="ASN3425" s="34">
        <v>-4.5</v>
      </c>
      <c r="ASO3425" s="34">
        <v>-4</v>
      </c>
      <c r="ASP3425" s="34">
        <v>-3.5</v>
      </c>
      <c r="ASQ3425" s="34">
        <v>-3</v>
      </c>
      <c r="ASR3425" s="34">
        <v>-2.5</v>
      </c>
      <c r="ASS3425" s="34">
        <v>-2</v>
      </c>
      <c r="AST3425" s="34">
        <v>-1.5</v>
      </c>
      <c r="ASU3425" s="34">
        <v>-1</v>
      </c>
      <c r="ASV3425" s="34">
        <v>-0.5</v>
      </c>
      <c r="ASW3425" s="34">
        <v>0</v>
      </c>
      <c r="ASX3425" s="34">
        <v>0.5</v>
      </c>
      <c r="ASY3425" s="34">
        <v>1</v>
      </c>
      <c r="ASZ3425" s="34">
        <v>1.5</v>
      </c>
      <c r="ATA3425" s="34">
        <v>2</v>
      </c>
      <c r="ATB3425" s="34">
        <v>2.5</v>
      </c>
      <c r="ATC3425" s="34">
        <v>3</v>
      </c>
      <c r="ATD3425" s="34">
        <v>3.5</v>
      </c>
      <c r="ATE3425" s="34">
        <v>4</v>
      </c>
      <c r="ATF3425" s="34">
        <v>4.5</v>
      </c>
      <c r="ATG3425" s="34">
        <v>5</v>
      </c>
      <c r="ATI3425" s="913"/>
      <c r="ATJ3425" s="31">
        <v>1</v>
      </c>
      <c r="ATK3425" s="34">
        <v>0</v>
      </c>
      <c r="ATL3425" s="34">
        <v>-1</v>
      </c>
      <c r="ATM3425" s="34">
        <v>-2</v>
      </c>
      <c r="ATN3425" s="34">
        <v>-3</v>
      </c>
      <c r="ATO3425" s="34">
        <v>-4</v>
      </c>
      <c r="ATP3425" s="34">
        <v>-5</v>
      </c>
      <c r="ATQ3425" s="908"/>
      <c r="ATR3425" s="909"/>
      <c r="ATS3425" s="34">
        <v>-5</v>
      </c>
      <c r="ATT3425" s="34">
        <v>-4.5</v>
      </c>
      <c r="ATU3425" s="34">
        <v>-4</v>
      </c>
      <c r="ATV3425" s="34">
        <v>-3.5</v>
      </c>
      <c r="ATW3425" s="34">
        <v>-3</v>
      </c>
      <c r="ATX3425" s="34">
        <v>-2.5</v>
      </c>
      <c r="ATY3425" s="34">
        <v>-2</v>
      </c>
      <c r="ATZ3425" s="34">
        <v>-1.5</v>
      </c>
      <c r="AUA3425" s="34">
        <v>-1</v>
      </c>
      <c r="AUB3425" s="34">
        <v>-0.5</v>
      </c>
      <c r="AUC3425" s="34">
        <v>0</v>
      </c>
      <c r="AUD3425" s="34">
        <v>0.5</v>
      </c>
      <c r="AUE3425" s="34">
        <v>1</v>
      </c>
      <c r="AUF3425" s="34">
        <v>1.5</v>
      </c>
      <c r="AUG3425" s="34">
        <v>2</v>
      </c>
      <c r="AUH3425" s="34">
        <v>2.5</v>
      </c>
      <c r="AUI3425" s="34">
        <v>3</v>
      </c>
      <c r="AUJ3425" s="34">
        <v>3.5</v>
      </c>
      <c r="AUK3425" s="34">
        <v>4</v>
      </c>
      <c r="AUL3425" s="34">
        <v>4.5</v>
      </c>
      <c r="AUM3425" s="34">
        <v>5</v>
      </c>
      <c r="AUO3425" s="913"/>
      <c r="AUP3425" s="31">
        <v>1</v>
      </c>
      <c r="AUQ3425" s="34">
        <v>0</v>
      </c>
      <c r="AUR3425" s="34">
        <v>-1</v>
      </c>
      <c r="AUS3425" s="34">
        <v>-2</v>
      </c>
      <c r="AUT3425" s="34">
        <v>-3</v>
      </c>
      <c r="AUU3425" s="34">
        <v>-4</v>
      </c>
      <c r="AUV3425" s="34">
        <v>-5</v>
      </c>
      <c r="AUW3425" s="908"/>
      <c r="AUX3425" s="909"/>
      <c r="AUY3425" s="34">
        <v>-5</v>
      </c>
      <c r="AUZ3425" s="34">
        <v>-4.5</v>
      </c>
      <c r="AVA3425" s="34">
        <v>-4</v>
      </c>
      <c r="AVB3425" s="34">
        <v>-3.5</v>
      </c>
      <c r="AVC3425" s="34">
        <v>-3</v>
      </c>
      <c r="AVD3425" s="34">
        <v>-2.5</v>
      </c>
      <c r="AVE3425" s="34">
        <v>-2</v>
      </c>
      <c r="AVF3425" s="34">
        <v>-1.5</v>
      </c>
      <c r="AVG3425" s="34">
        <v>-1</v>
      </c>
      <c r="AVH3425" s="34">
        <v>-0.5</v>
      </c>
      <c r="AVI3425" s="34">
        <v>0</v>
      </c>
      <c r="AVJ3425" s="34">
        <v>0.5</v>
      </c>
      <c r="AVK3425" s="34">
        <v>1</v>
      </c>
      <c r="AVL3425" s="34">
        <v>1.5</v>
      </c>
      <c r="AVM3425" s="34">
        <v>2</v>
      </c>
      <c r="AVN3425" s="34">
        <v>2.5</v>
      </c>
      <c r="AVO3425" s="34">
        <v>3</v>
      </c>
      <c r="AVP3425" s="34">
        <v>3.5</v>
      </c>
      <c r="AVQ3425" s="34">
        <v>4</v>
      </c>
      <c r="AVR3425" s="34">
        <v>4.5</v>
      </c>
      <c r="AVS3425" s="34">
        <v>5</v>
      </c>
      <c r="AVU3425" s="913"/>
      <c r="AVV3425" s="31">
        <v>1</v>
      </c>
      <c r="AVW3425" s="34">
        <v>0</v>
      </c>
      <c r="AVX3425" s="34">
        <v>-1</v>
      </c>
      <c r="AVY3425" s="34">
        <v>-2</v>
      </c>
      <c r="AVZ3425" s="34">
        <v>-3</v>
      </c>
      <c r="AWA3425" s="34">
        <v>-4</v>
      </c>
      <c r="AWB3425" s="34">
        <v>-5</v>
      </c>
      <c r="AWC3425" s="908"/>
      <c r="AWD3425" s="909"/>
      <c r="AWE3425" s="34">
        <v>-5</v>
      </c>
      <c r="AWF3425" s="34">
        <v>-4.5</v>
      </c>
      <c r="AWG3425" s="34">
        <v>-4</v>
      </c>
      <c r="AWH3425" s="34">
        <v>-3.5</v>
      </c>
      <c r="AWI3425" s="34">
        <v>-3</v>
      </c>
      <c r="AWJ3425" s="34">
        <v>-2.5</v>
      </c>
      <c r="AWK3425" s="34">
        <v>-2</v>
      </c>
      <c r="AWL3425" s="34">
        <v>-1.5</v>
      </c>
      <c r="AWM3425" s="34">
        <v>-1</v>
      </c>
      <c r="AWN3425" s="34">
        <v>-0.5</v>
      </c>
      <c r="AWO3425" s="34">
        <v>0</v>
      </c>
      <c r="AWP3425" s="34">
        <v>0.5</v>
      </c>
      <c r="AWQ3425" s="34">
        <v>1</v>
      </c>
      <c r="AWR3425" s="34">
        <v>1.5</v>
      </c>
      <c r="AWS3425" s="34">
        <v>2</v>
      </c>
      <c r="AWT3425" s="34">
        <v>2.5</v>
      </c>
      <c r="AWU3425" s="34">
        <v>3</v>
      </c>
      <c r="AWV3425" s="34">
        <v>3.5</v>
      </c>
      <c r="AWW3425" s="34">
        <v>4</v>
      </c>
      <c r="AWX3425" s="34">
        <v>4.5</v>
      </c>
      <c r="AWY3425" s="34">
        <v>5</v>
      </c>
      <c r="AXA3425" s="913"/>
      <c r="AXB3425" s="31">
        <v>1</v>
      </c>
      <c r="AXC3425" s="34">
        <v>0</v>
      </c>
      <c r="AXD3425" s="34">
        <v>-1</v>
      </c>
      <c r="AXE3425" s="34">
        <v>-2</v>
      </c>
      <c r="AXF3425" s="34">
        <v>-3</v>
      </c>
      <c r="AXG3425" s="34">
        <v>-4</v>
      </c>
      <c r="AXH3425" s="34">
        <v>-5</v>
      </c>
      <c r="AXI3425" s="908"/>
      <c r="AXJ3425" s="909"/>
      <c r="AXK3425" s="34">
        <v>-5</v>
      </c>
      <c r="AXL3425" s="34">
        <v>-4.5</v>
      </c>
      <c r="AXM3425" s="34">
        <v>-4</v>
      </c>
      <c r="AXN3425" s="34">
        <v>-3.5</v>
      </c>
      <c r="AXO3425" s="34">
        <v>-3</v>
      </c>
      <c r="AXP3425" s="34">
        <v>-2.5</v>
      </c>
      <c r="AXQ3425" s="34">
        <v>-2</v>
      </c>
      <c r="AXR3425" s="34">
        <v>-1.5</v>
      </c>
      <c r="AXS3425" s="34">
        <v>-1</v>
      </c>
      <c r="AXT3425" s="34">
        <v>-0.5</v>
      </c>
      <c r="AXU3425" s="34">
        <v>0</v>
      </c>
      <c r="AXV3425" s="34">
        <v>0.5</v>
      </c>
      <c r="AXW3425" s="34">
        <v>1</v>
      </c>
      <c r="AXX3425" s="34">
        <v>1.5</v>
      </c>
      <c r="AXY3425" s="34">
        <v>2</v>
      </c>
      <c r="AXZ3425" s="34">
        <v>2.5</v>
      </c>
      <c r="AYA3425" s="34">
        <v>3</v>
      </c>
      <c r="AYB3425" s="34">
        <v>3.5</v>
      </c>
      <c r="AYC3425" s="34">
        <v>4</v>
      </c>
      <c r="AYD3425" s="34">
        <v>4.5</v>
      </c>
      <c r="AYE3425" s="34">
        <v>5</v>
      </c>
      <c r="AYG3425" s="913"/>
      <c r="AYH3425" s="31">
        <v>1</v>
      </c>
      <c r="AYI3425" s="34">
        <v>0</v>
      </c>
      <c r="AYJ3425" s="34">
        <v>-1</v>
      </c>
      <c r="AYK3425" s="34">
        <v>-2</v>
      </c>
      <c r="AYL3425" s="34">
        <v>-3</v>
      </c>
      <c r="AYM3425" s="34">
        <v>-4</v>
      </c>
      <c r="AYN3425" s="34">
        <v>-5</v>
      </c>
      <c r="AYO3425" s="908"/>
      <c r="AYP3425" s="909"/>
      <c r="AYQ3425" s="34">
        <v>-5</v>
      </c>
      <c r="AYR3425" s="34">
        <v>-4.5</v>
      </c>
      <c r="AYS3425" s="34">
        <v>-4</v>
      </c>
      <c r="AYT3425" s="34">
        <v>-3.5</v>
      </c>
      <c r="AYU3425" s="34">
        <v>-3</v>
      </c>
      <c r="AYV3425" s="34">
        <v>-2.5</v>
      </c>
      <c r="AYW3425" s="34">
        <v>-2</v>
      </c>
      <c r="AYX3425" s="34">
        <v>-1.5</v>
      </c>
      <c r="AYY3425" s="34">
        <v>-1</v>
      </c>
      <c r="AYZ3425" s="34">
        <v>-0.5</v>
      </c>
      <c r="AZA3425" s="34">
        <v>0</v>
      </c>
      <c r="AZB3425" s="34">
        <v>0.5</v>
      </c>
      <c r="AZC3425" s="34">
        <v>1</v>
      </c>
      <c r="AZD3425" s="34">
        <v>1.5</v>
      </c>
      <c r="AZE3425" s="34">
        <v>2</v>
      </c>
      <c r="AZF3425" s="34">
        <v>2.5</v>
      </c>
      <c r="AZG3425" s="34">
        <v>3</v>
      </c>
      <c r="AZH3425" s="34">
        <v>3.5</v>
      </c>
      <c r="AZI3425" s="34">
        <v>4</v>
      </c>
      <c r="AZJ3425" s="34">
        <v>4.5</v>
      </c>
      <c r="AZK3425" s="34">
        <v>5</v>
      </c>
      <c r="AZM3425" s="913"/>
      <c r="AZN3425" s="31">
        <v>1</v>
      </c>
      <c r="AZO3425" s="34">
        <v>0</v>
      </c>
      <c r="AZP3425" s="34">
        <v>-1</v>
      </c>
      <c r="AZQ3425" s="34">
        <v>-2</v>
      </c>
      <c r="AZR3425" s="34">
        <v>-3</v>
      </c>
      <c r="AZS3425" s="34">
        <v>-4</v>
      </c>
      <c r="AZT3425" s="34">
        <v>-5</v>
      </c>
      <c r="AZU3425" s="908"/>
      <c r="AZV3425" s="909"/>
      <c r="AZW3425" s="34">
        <v>-5</v>
      </c>
      <c r="AZX3425" s="34">
        <v>-4.5</v>
      </c>
      <c r="AZY3425" s="34">
        <v>-4</v>
      </c>
      <c r="AZZ3425" s="34">
        <v>-3.5</v>
      </c>
      <c r="BAA3425" s="34">
        <v>-3</v>
      </c>
      <c r="BAB3425" s="34">
        <v>-2.5</v>
      </c>
      <c r="BAC3425" s="34">
        <v>-2</v>
      </c>
      <c r="BAD3425" s="34">
        <v>-1.5</v>
      </c>
      <c r="BAE3425" s="34">
        <v>-1</v>
      </c>
      <c r="BAF3425" s="34">
        <v>-0.5</v>
      </c>
      <c r="BAG3425" s="34">
        <v>0</v>
      </c>
      <c r="BAH3425" s="34">
        <v>0.5</v>
      </c>
      <c r="BAI3425" s="34">
        <v>1</v>
      </c>
      <c r="BAJ3425" s="34">
        <v>1.5</v>
      </c>
      <c r="BAK3425" s="34">
        <v>2</v>
      </c>
      <c r="BAL3425" s="34">
        <v>2.5</v>
      </c>
      <c r="BAM3425" s="34">
        <v>3</v>
      </c>
      <c r="BAN3425" s="34">
        <v>3.5</v>
      </c>
      <c r="BAO3425" s="34">
        <v>4</v>
      </c>
      <c r="BAP3425" s="34">
        <v>4.5</v>
      </c>
      <c r="BAQ3425" s="34">
        <v>5</v>
      </c>
      <c r="BAS3425" s="913"/>
      <c r="BAT3425" s="31">
        <v>1</v>
      </c>
      <c r="BAU3425" s="34">
        <v>0</v>
      </c>
      <c r="BAV3425" s="34">
        <v>-1</v>
      </c>
      <c r="BAW3425" s="34">
        <v>-2</v>
      </c>
      <c r="BAX3425" s="34">
        <v>-3</v>
      </c>
      <c r="BAY3425" s="34">
        <v>-4</v>
      </c>
      <c r="BAZ3425" s="34">
        <v>-5</v>
      </c>
      <c r="BBA3425" s="908"/>
      <c r="BBB3425" s="909"/>
      <c r="BBC3425" s="34">
        <v>-5</v>
      </c>
      <c r="BBD3425" s="34">
        <v>-4.5</v>
      </c>
      <c r="BBE3425" s="34">
        <v>-4</v>
      </c>
      <c r="BBF3425" s="34">
        <v>-3.5</v>
      </c>
      <c r="BBG3425" s="34">
        <v>-3</v>
      </c>
      <c r="BBH3425" s="34">
        <v>-2.5</v>
      </c>
      <c r="BBI3425" s="34">
        <v>-2</v>
      </c>
      <c r="BBJ3425" s="34">
        <v>-1.5</v>
      </c>
      <c r="BBK3425" s="34">
        <v>-1</v>
      </c>
      <c r="BBL3425" s="34">
        <v>-0.5</v>
      </c>
      <c r="BBM3425" s="34">
        <v>0</v>
      </c>
      <c r="BBN3425" s="34">
        <v>0.5</v>
      </c>
      <c r="BBO3425" s="34">
        <v>1</v>
      </c>
      <c r="BBP3425" s="34">
        <v>1.5</v>
      </c>
      <c r="BBQ3425" s="34">
        <v>2</v>
      </c>
      <c r="BBR3425" s="34">
        <v>2.5</v>
      </c>
      <c r="BBS3425" s="34">
        <v>3</v>
      </c>
      <c r="BBT3425" s="34">
        <v>3.5</v>
      </c>
      <c r="BBU3425" s="34">
        <v>4</v>
      </c>
      <c r="BBV3425" s="34">
        <v>4.5</v>
      </c>
      <c r="BBW3425" s="34">
        <v>5</v>
      </c>
      <c r="BBY3425" s="913"/>
      <c r="BBZ3425" s="31">
        <v>1</v>
      </c>
      <c r="BCA3425" s="34">
        <v>0</v>
      </c>
      <c r="BCB3425" s="34">
        <v>-1</v>
      </c>
      <c r="BCC3425" s="34">
        <v>-2</v>
      </c>
      <c r="BCD3425" s="34">
        <v>-3</v>
      </c>
      <c r="BCE3425" s="34">
        <v>-4</v>
      </c>
      <c r="BCF3425" s="34">
        <v>-5</v>
      </c>
      <c r="BCG3425" s="908"/>
      <c r="BCH3425" s="909"/>
      <c r="BCI3425" s="34">
        <v>-5</v>
      </c>
      <c r="BCJ3425" s="34">
        <v>-4.5</v>
      </c>
      <c r="BCK3425" s="34">
        <v>-4</v>
      </c>
      <c r="BCL3425" s="34">
        <v>-3.5</v>
      </c>
      <c r="BCM3425" s="34">
        <v>-3</v>
      </c>
      <c r="BCN3425" s="34">
        <v>-2.5</v>
      </c>
      <c r="BCO3425" s="34">
        <v>-2</v>
      </c>
      <c r="BCP3425" s="34">
        <v>-1.5</v>
      </c>
      <c r="BCQ3425" s="34">
        <v>-1</v>
      </c>
      <c r="BCR3425" s="34">
        <v>-0.5</v>
      </c>
      <c r="BCS3425" s="34">
        <v>0</v>
      </c>
      <c r="BCT3425" s="34">
        <v>0.5</v>
      </c>
      <c r="BCU3425" s="34">
        <v>1</v>
      </c>
      <c r="BCV3425" s="34">
        <v>1.5</v>
      </c>
      <c r="BCW3425" s="34">
        <v>2</v>
      </c>
      <c r="BCX3425" s="34">
        <v>2.5</v>
      </c>
      <c r="BCY3425" s="34">
        <v>3</v>
      </c>
      <c r="BCZ3425" s="34">
        <v>3.5</v>
      </c>
      <c r="BDA3425" s="34">
        <v>4</v>
      </c>
      <c r="BDB3425" s="34">
        <v>4.5</v>
      </c>
      <c r="BDC3425" s="34">
        <v>5</v>
      </c>
      <c r="BDE3425" s="913"/>
      <c r="BDF3425" s="31">
        <v>1</v>
      </c>
      <c r="BDG3425" s="34">
        <v>0</v>
      </c>
      <c r="BDH3425" s="34">
        <v>-1</v>
      </c>
      <c r="BDI3425" s="34">
        <v>-2</v>
      </c>
      <c r="BDJ3425" s="34">
        <v>-3</v>
      </c>
      <c r="BDK3425" s="34">
        <v>-4</v>
      </c>
      <c r="BDL3425" s="34">
        <v>-5</v>
      </c>
      <c r="BDM3425" s="908"/>
      <c r="BDN3425" s="909"/>
      <c r="BDO3425" s="34">
        <v>-5</v>
      </c>
      <c r="BDP3425" s="34">
        <v>-4.5</v>
      </c>
      <c r="BDQ3425" s="34">
        <v>-4</v>
      </c>
      <c r="BDR3425" s="34">
        <v>-3.5</v>
      </c>
      <c r="BDS3425" s="34">
        <v>-3</v>
      </c>
      <c r="BDT3425" s="34">
        <v>-2.5</v>
      </c>
      <c r="BDU3425" s="34">
        <v>-2</v>
      </c>
      <c r="BDV3425" s="34">
        <v>-1.5</v>
      </c>
      <c r="BDW3425" s="34">
        <v>-1</v>
      </c>
      <c r="BDX3425" s="34">
        <v>-0.5</v>
      </c>
      <c r="BDY3425" s="34">
        <v>0</v>
      </c>
      <c r="BDZ3425" s="34">
        <v>0.5</v>
      </c>
      <c r="BEA3425" s="34">
        <v>1</v>
      </c>
      <c r="BEB3425" s="34">
        <v>1.5</v>
      </c>
      <c r="BEC3425" s="34">
        <v>2</v>
      </c>
      <c r="BED3425" s="34">
        <v>2.5</v>
      </c>
      <c r="BEE3425" s="34">
        <v>3</v>
      </c>
      <c r="BEF3425" s="34">
        <v>3.5</v>
      </c>
      <c r="BEG3425" s="34">
        <v>4</v>
      </c>
      <c r="BEH3425" s="34">
        <v>4.5</v>
      </c>
      <c r="BEI3425" s="34">
        <v>5</v>
      </c>
      <c r="BEK3425" s="913"/>
      <c r="BEL3425" s="31">
        <v>1</v>
      </c>
      <c r="BEM3425" s="34">
        <v>0</v>
      </c>
      <c r="BEN3425" s="34">
        <v>-1</v>
      </c>
      <c r="BEO3425" s="34">
        <v>-2</v>
      </c>
      <c r="BEP3425" s="34">
        <v>-3</v>
      </c>
      <c r="BEQ3425" s="34">
        <v>-4</v>
      </c>
      <c r="BER3425" s="34">
        <v>-5</v>
      </c>
      <c r="BES3425" s="908"/>
      <c r="BET3425" s="909"/>
      <c r="BEU3425" s="34">
        <v>-5</v>
      </c>
      <c r="BEV3425" s="34">
        <v>-4.5</v>
      </c>
      <c r="BEW3425" s="34">
        <v>-4</v>
      </c>
      <c r="BEX3425" s="34">
        <v>-3.5</v>
      </c>
      <c r="BEY3425" s="34">
        <v>-3</v>
      </c>
      <c r="BEZ3425" s="34">
        <v>-2.5</v>
      </c>
      <c r="BFA3425" s="34">
        <v>-2</v>
      </c>
      <c r="BFB3425" s="34">
        <v>-1.5</v>
      </c>
      <c r="BFC3425" s="34">
        <v>-1</v>
      </c>
      <c r="BFD3425" s="34">
        <v>-0.5</v>
      </c>
      <c r="BFE3425" s="34">
        <v>0</v>
      </c>
      <c r="BFF3425" s="34">
        <v>0.5</v>
      </c>
      <c r="BFG3425" s="34">
        <v>1</v>
      </c>
      <c r="BFH3425" s="34">
        <v>1.5</v>
      </c>
      <c r="BFI3425" s="34">
        <v>2</v>
      </c>
      <c r="BFJ3425" s="34">
        <v>2.5</v>
      </c>
      <c r="BFK3425" s="34">
        <v>3</v>
      </c>
      <c r="BFL3425" s="34">
        <v>3.5</v>
      </c>
      <c r="BFM3425" s="34">
        <v>4</v>
      </c>
      <c r="BFN3425" s="34">
        <v>4.5</v>
      </c>
      <c r="BFO3425" s="34">
        <v>5</v>
      </c>
      <c r="BFQ3425" s="913"/>
      <c r="BFR3425" s="31">
        <v>1</v>
      </c>
      <c r="BFS3425" s="34">
        <v>0</v>
      </c>
      <c r="BFT3425" s="34">
        <v>-1</v>
      </c>
      <c r="BFU3425" s="34">
        <v>-2</v>
      </c>
      <c r="BFV3425" s="34">
        <v>-3</v>
      </c>
      <c r="BFW3425" s="34">
        <v>-4</v>
      </c>
      <c r="BFX3425" s="34">
        <v>-5</v>
      </c>
      <c r="BFY3425" s="908"/>
      <c r="BFZ3425" s="909"/>
      <c r="BGA3425" s="34">
        <v>-5</v>
      </c>
      <c r="BGB3425" s="34">
        <v>-4.5</v>
      </c>
      <c r="BGC3425" s="34">
        <v>-4</v>
      </c>
      <c r="BGD3425" s="34">
        <v>-3.5</v>
      </c>
      <c r="BGE3425" s="34">
        <v>-3</v>
      </c>
      <c r="BGF3425" s="34">
        <v>-2.5</v>
      </c>
      <c r="BGG3425" s="34">
        <v>-2</v>
      </c>
      <c r="BGH3425" s="34">
        <v>-1.5</v>
      </c>
      <c r="BGI3425" s="34">
        <v>-1</v>
      </c>
      <c r="BGJ3425" s="34">
        <v>-0.5</v>
      </c>
      <c r="BGK3425" s="34">
        <v>0</v>
      </c>
      <c r="BGL3425" s="34">
        <v>0.5</v>
      </c>
      <c r="BGM3425" s="34">
        <v>1</v>
      </c>
      <c r="BGN3425" s="34">
        <v>1.5</v>
      </c>
      <c r="BGO3425" s="34">
        <v>2</v>
      </c>
      <c r="BGP3425" s="34">
        <v>2.5</v>
      </c>
      <c r="BGQ3425" s="34">
        <v>3</v>
      </c>
      <c r="BGR3425" s="34">
        <v>3.5</v>
      </c>
      <c r="BGS3425" s="34">
        <v>4</v>
      </c>
      <c r="BGT3425" s="34">
        <v>4.5</v>
      </c>
      <c r="BGU3425" s="34">
        <v>5</v>
      </c>
      <c r="BGW3425" s="913"/>
      <c r="BGX3425" s="31">
        <v>1</v>
      </c>
      <c r="BGY3425" s="34">
        <v>0</v>
      </c>
      <c r="BGZ3425" s="34">
        <v>-1</v>
      </c>
      <c r="BHA3425" s="34">
        <v>-2</v>
      </c>
      <c r="BHB3425" s="34">
        <v>-3</v>
      </c>
      <c r="BHC3425" s="34">
        <v>-4</v>
      </c>
      <c r="BHD3425" s="34">
        <v>-5</v>
      </c>
      <c r="BHE3425" s="908"/>
      <c r="BHF3425" s="909"/>
      <c r="BHG3425" s="34">
        <v>-5</v>
      </c>
      <c r="BHH3425" s="34">
        <v>-4.5</v>
      </c>
      <c r="BHI3425" s="34">
        <v>-4</v>
      </c>
      <c r="BHJ3425" s="34">
        <v>-3.5</v>
      </c>
      <c r="BHK3425" s="34">
        <v>-3</v>
      </c>
      <c r="BHL3425" s="34">
        <v>-2.5</v>
      </c>
      <c r="BHM3425" s="34">
        <v>-2</v>
      </c>
      <c r="BHN3425" s="34">
        <v>-1.5</v>
      </c>
      <c r="BHO3425" s="34">
        <v>-1</v>
      </c>
      <c r="BHP3425" s="34">
        <v>-0.5</v>
      </c>
      <c r="BHQ3425" s="34">
        <v>0</v>
      </c>
      <c r="BHR3425" s="34">
        <v>0.5</v>
      </c>
      <c r="BHS3425" s="34">
        <v>1</v>
      </c>
      <c r="BHT3425" s="34">
        <v>1.5</v>
      </c>
      <c r="BHU3425" s="34">
        <v>2</v>
      </c>
      <c r="BHV3425" s="34">
        <v>2.5</v>
      </c>
      <c r="BHW3425" s="34">
        <v>3</v>
      </c>
      <c r="BHX3425" s="34">
        <v>3.5</v>
      </c>
      <c r="BHY3425" s="34">
        <v>4</v>
      </c>
      <c r="BHZ3425" s="34">
        <v>4.5</v>
      </c>
      <c r="BIA3425" s="34">
        <v>5</v>
      </c>
      <c r="BIC3425" s="913"/>
      <c r="BID3425" s="31">
        <v>1</v>
      </c>
      <c r="BIE3425" s="34">
        <v>0</v>
      </c>
      <c r="BIF3425" s="34">
        <v>-1</v>
      </c>
      <c r="BIG3425" s="34">
        <v>-2</v>
      </c>
      <c r="BIH3425" s="34">
        <v>-3</v>
      </c>
      <c r="BII3425" s="34">
        <v>-4</v>
      </c>
      <c r="BIJ3425" s="34">
        <v>-5</v>
      </c>
      <c r="BIK3425" s="908"/>
      <c r="BIL3425" s="909"/>
      <c r="BIM3425" s="34">
        <v>-5</v>
      </c>
      <c r="BIN3425" s="34">
        <v>-4.5</v>
      </c>
      <c r="BIO3425" s="34">
        <v>-4</v>
      </c>
      <c r="BIP3425" s="34">
        <v>-3.5</v>
      </c>
      <c r="BIQ3425" s="34">
        <v>-3</v>
      </c>
      <c r="BIR3425" s="34">
        <v>-2.5</v>
      </c>
      <c r="BIS3425" s="34">
        <v>-2</v>
      </c>
      <c r="BIT3425" s="34">
        <v>-1.5</v>
      </c>
      <c r="BIU3425" s="34">
        <v>-1</v>
      </c>
      <c r="BIV3425" s="34">
        <v>-0.5</v>
      </c>
      <c r="BIW3425" s="34">
        <v>0</v>
      </c>
      <c r="BIX3425" s="34">
        <v>0.5</v>
      </c>
      <c r="BIY3425" s="34">
        <v>1</v>
      </c>
      <c r="BIZ3425" s="34">
        <v>1.5</v>
      </c>
      <c r="BJA3425" s="34">
        <v>2</v>
      </c>
      <c r="BJB3425" s="34">
        <v>2.5</v>
      </c>
      <c r="BJC3425" s="34">
        <v>3</v>
      </c>
      <c r="BJD3425" s="34">
        <v>3.5</v>
      </c>
      <c r="BJE3425" s="34">
        <v>4</v>
      </c>
      <c r="BJF3425" s="34">
        <v>4.5</v>
      </c>
      <c r="BJG3425" s="34">
        <v>5</v>
      </c>
      <c r="BJI3425" s="913"/>
      <c r="BJJ3425" s="31">
        <v>1</v>
      </c>
      <c r="BJK3425" s="34">
        <v>0</v>
      </c>
      <c r="BJL3425" s="34">
        <v>-1</v>
      </c>
      <c r="BJM3425" s="34">
        <v>-2</v>
      </c>
      <c r="BJN3425" s="34">
        <v>-3</v>
      </c>
      <c r="BJO3425" s="34">
        <v>-4</v>
      </c>
      <c r="BJP3425" s="34">
        <v>-5</v>
      </c>
      <c r="BJQ3425" s="908"/>
      <c r="BJR3425" s="909"/>
      <c r="BJS3425" s="34">
        <v>-5</v>
      </c>
      <c r="BJT3425" s="34">
        <v>-4.5</v>
      </c>
      <c r="BJU3425" s="34">
        <v>-4</v>
      </c>
      <c r="BJV3425" s="34">
        <v>-3.5</v>
      </c>
      <c r="BJW3425" s="34">
        <v>-3</v>
      </c>
      <c r="BJX3425" s="34">
        <v>-2.5</v>
      </c>
      <c r="BJY3425" s="34">
        <v>-2</v>
      </c>
      <c r="BJZ3425" s="34">
        <v>-1.5</v>
      </c>
      <c r="BKA3425" s="34">
        <v>-1</v>
      </c>
      <c r="BKB3425" s="34">
        <v>-0.5</v>
      </c>
      <c r="BKC3425" s="34">
        <v>0</v>
      </c>
      <c r="BKD3425" s="34">
        <v>0.5</v>
      </c>
      <c r="BKE3425" s="34">
        <v>1</v>
      </c>
      <c r="BKF3425" s="34">
        <v>1.5</v>
      </c>
      <c r="BKG3425" s="34">
        <v>2</v>
      </c>
      <c r="BKH3425" s="34">
        <v>2.5</v>
      </c>
      <c r="BKI3425" s="34">
        <v>3</v>
      </c>
      <c r="BKJ3425" s="34">
        <v>3.5</v>
      </c>
      <c r="BKK3425" s="34">
        <v>4</v>
      </c>
      <c r="BKL3425" s="34">
        <v>4.5</v>
      </c>
      <c r="BKM3425" s="34">
        <v>5</v>
      </c>
      <c r="BKO3425" s="913"/>
      <c r="BKP3425" s="31">
        <v>1</v>
      </c>
      <c r="BKQ3425" s="34">
        <v>0</v>
      </c>
      <c r="BKR3425" s="34">
        <v>-1</v>
      </c>
      <c r="BKS3425" s="34">
        <v>-2</v>
      </c>
      <c r="BKT3425" s="34">
        <v>-3</v>
      </c>
      <c r="BKU3425" s="34">
        <v>-4</v>
      </c>
      <c r="BKV3425" s="34">
        <v>-5</v>
      </c>
      <c r="BKW3425" s="908"/>
      <c r="BKX3425" s="909"/>
      <c r="BKY3425" s="34">
        <v>-5</v>
      </c>
      <c r="BKZ3425" s="34">
        <v>-4.5</v>
      </c>
      <c r="BLA3425" s="34">
        <v>-4</v>
      </c>
      <c r="BLB3425" s="34">
        <v>-3.5</v>
      </c>
      <c r="BLC3425" s="34">
        <v>-3</v>
      </c>
      <c r="BLD3425" s="34">
        <v>-2.5</v>
      </c>
      <c r="BLE3425" s="34">
        <v>-2</v>
      </c>
      <c r="BLF3425" s="34">
        <v>-1.5</v>
      </c>
      <c r="BLG3425" s="34">
        <v>-1</v>
      </c>
      <c r="BLH3425" s="34">
        <v>-0.5</v>
      </c>
      <c r="BLI3425" s="34">
        <v>0</v>
      </c>
      <c r="BLJ3425" s="34">
        <v>0.5</v>
      </c>
      <c r="BLK3425" s="34">
        <v>1</v>
      </c>
      <c r="BLL3425" s="34">
        <v>1.5</v>
      </c>
      <c r="BLM3425" s="34">
        <v>2</v>
      </c>
      <c r="BLN3425" s="34">
        <v>2.5</v>
      </c>
      <c r="BLO3425" s="34">
        <v>3</v>
      </c>
      <c r="BLP3425" s="34">
        <v>3.5</v>
      </c>
      <c r="BLQ3425" s="34">
        <v>4</v>
      </c>
      <c r="BLR3425" s="34">
        <v>4.5</v>
      </c>
      <c r="BLS3425" s="34">
        <v>5</v>
      </c>
      <c r="BLU3425" s="913"/>
      <c r="BLV3425" s="31">
        <v>1</v>
      </c>
      <c r="BLW3425" s="34">
        <v>0</v>
      </c>
      <c r="BLX3425" s="34">
        <v>-1</v>
      </c>
      <c r="BLY3425" s="34">
        <v>-2</v>
      </c>
      <c r="BLZ3425" s="34">
        <v>-3</v>
      </c>
      <c r="BMA3425" s="34">
        <v>-4</v>
      </c>
      <c r="BMB3425" s="34">
        <v>-5</v>
      </c>
      <c r="BMC3425" s="908"/>
      <c r="BMD3425" s="909"/>
      <c r="BME3425" s="34">
        <v>-5</v>
      </c>
      <c r="BMF3425" s="34">
        <v>-4.5</v>
      </c>
      <c r="BMG3425" s="34">
        <v>-4</v>
      </c>
      <c r="BMH3425" s="34">
        <v>-3.5</v>
      </c>
      <c r="BMI3425" s="34">
        <v>-3</v>
      </c>
      <c r="BMJ3425" s="34">
        <v>-2.5</v>
      </c>
      <c r="BMK3425" s="34">
        <v>-2</v>
      </c>
      <c r="BML3425" s="34">
        <v>-1.5</v>
      </c>
      <c r="BMM3425" s="34">
        <v>-1</v>
      </c>
      <c r="BMN3425" s="34">
        <v>-0.5</v>
      </c>
      <c r="BMO3425" s="34">
        <v>0</v>
      </c>
      <c r="BMP3425" s="34">
        <v>0.5</v>
      </c>
      <c r="BMQ3425" s="34">
        <v>1</v>
      </c>
      <c r="BMR3425" s="34">
        <v>1.5</v>
      </c>
      <c r="BMS3425" s="34">
        <v>2</v>
      </c>
      <c r="BMT3425" s="34">
        <v>2.5</v>
      </c>
      <c r="BMU3425" s="34">
        <v>3</v>
      </c>
      <c r="BMV3425" s="34">
        <v>3.5</v>
      </c>
      <c r="BMW3425" s="34">
        <v>4</v>
      </c>
      <c r="BMX3425" s="34">
        <v>4.5</v>
      </c>
      <c r="BMY3425" s="34">
        <v>5</v>
      </c>
      <c r="BNA3425" s="913"/>
      <c r="BNB3425" s="31">
        <v>1</v>
      </c>
      <c r="BNC3425" s="34">
        <v>0</v>
      </c>
      <c r="BND3425" s="34">
        <v>-1</v>
      </c>
      <c r="BNE3425" s="34">
        <v>-2</v>
      </c>
      <c r="BNF3425" s="34">
        <v>-3</v>
      </c>
      <c r="BNG3425" s="34">
        <v>-4</v>
      </c>
      <c r="BNH3425" s="34">
        <v>-5</v>
      </c>
      <c r="BNI3425" s="908"/>
      <c r="BNJ3425" s="909"/>
      <c r="BNK3425" s="34">
        <v>-5</v>
      </c>
      <c r="BNL3425" s="34">
        <v>-4.5</v>
      </c>
      <c r="BNM3425" s="34">
        <v>-4</v>
      </c>
      <c r="BNN3425" s="34">
        <v>-3.5</v>
      </c>
      <c r="BNO3425" s="34">
        <v>-3</v>
      </c>
      <c r="BNP3425" s="34">
        <v>-2.5</v>
      </c>
      <c r="BNQ3425" s="34">
        <v>-2</v>
      </c>
      <c r="BNR3425" s="34">
        <v>-1.5</v>
      </c>
      <c r="BNS3425" s="34">
        <v>-1</v>
      </c>
      <c r="BNT3425" s="34">
        <v>-0.5</v>
      </c>
      <c r="BNU3425" s="34">
        <v>0</v>
      </c>
      <c r="BNV3425" s="34">
        <v>0.5</v>
      </c>
      <c r="BNW3425" s="34">
        <v>1</v>
      </c>
      <c r="BNX3425" s="34">
        <v>1.5</v>
      </c>
      <c r="BNY3425" s="34">
        <v>2</v>
      </c>
      <c r="BNZ3425" s="34">
        <v>2.5</v>
      </c>
      <c r="BOA3425" s="34">
        <v>3</v>
      </c>
      <c r="BOB3425" s="34">
        <v>3.5</v>
      </c>
      <c r="BOC3425" s="34">
        <v>4</v>
      </c>
      <c r="BOD3425" s="34">
        <v>4.5</v>
      </c>
      <c r="BOE3425" s="34">
        <v>5</v>
      </c>
      <c r="BOG3425" s="913"/>
      <c r="BOH3425" s="31">
        <v>1</v>
      </c>
      <c r="BOI3425" s="34">
        <v>0</v>
      </c>
      <c r="BOJ3425" s="34">
        <v>-1</v>
      </c>
      <c r="BOK3425" s="34">
        <v>-2</v>
      </c>
      <c r="BOL3425" s="34">
        <v>-3</v>
      </c>
      <c r="BOM3425" s="34">
        <v>-4</v>
      </c>
      <c r="BON3425" s="34">
        <v>-5</v>
      </c>
      <c r="BOO3425" s="908"/>
      <c r="BOP3425" s="909"/>
      <c r="BOQ3425" s="34">
        <v>-5</v>
      </c>
      <c r="BOR3425" s="34">
        <v>-4.5</v>
      </c>
      <c r="BOS3425" s="34">
        <v>-4</v>
      </c>
      <c r="BOT3425" s="34">
        <v>-3.5</v>
      </c>
      <c r="BOU3425" s="34">
        <v>-3</v>
      </c>
      <c r="BOV3425" s="34">
        <v>-2.5</v>
      </c>
      <c r="BOW3425" s="34">
        <v>-2</v>
      </c>
      <c r="BOX3425" s="34">
        <v>-1.5</v>
      </c>
      <c r="BOY3425" s="34">
        <v>-1</v>
      </c>
      <c r="BOZ3425" s="34">
        <v>-0.5</v>
      </c>
      <c r="BPA3425" s="34">
        <v>0</v>
      </c>
      <c r="BPB3425" s="34">
        <v>0.5</v>
      </c>
      <c r="BPC3425" s="34">
        <v>1</v>
      </c>
      <c r="BPD3425" s="34">
        <v>1.5</v>
      </c>
      <c r="BPE3425" s="34">
        <v>2</v>
      </c>
      <c r="BPF3425" s="34">
        <v>2.5</v>
      </c>
      <c r="BPG3425" s="34">
        <v>3</v>
      </c>
      <c r="BPH3425" s="34">
        <v>3.5</v>
      </c>
      <c r="BPI3425" s="34">
        <v>4</v>
      </c>
      <c r="BPJ3425" s="34">
        <v>4.5</v>
      </c>
      <c r="BPK3425" s="34">
        <v>5</v>
      </c>
      <c r="BPM3425" s="913"/>
      <c r="BPN3425" s="31">
        <v>1</v>
      </c>
      <c r="BPO3425" s="34">
        <v>0</v>
      </c>
      <c r="BPP3425" s="34">
        <v>-1</v>
      </c>
      <c r="BPQ3425" s="34">
        <v>-2</v>
      </c>
      <c r="BPR3425" s="34">
        <v>-3</v>
      </c>
      <c r="BPS3425" s="34">
        <v>-4</v>
      </c>
      <c r="BPT3425" s="34">
        <v>-5</v>
      </c>
      <c r="BPU3425" s="908"/>
      <c r="BPV3425" s="909"/>
      <c r="BPW3425" s="34">
        <v>-5</v>
      </c>
      <c r="BPX3425" s="34">
        <v>-4.5</v>
      </c>
      <c r="BPY3425" s="34">
        <v>-4</v>
      </c>
      <c r="BPZ3425" s="34">
        <v>-3.5</v>
      </c>
      <c r="BQA3425" s="34">
        <v>-3</v>
      </c>
      <c r="BQB3425" s="34">
        <v>-2.5</v>
      </c>
      <c r="BQC3425" s="34">
        <v>-2</v>
      </c>
      <c r="BQD3425" s="34">
        <v>-1.5</v>
      </c>
      <c r="BQE3425" s="34">
        <v>-1</v>
      </c>
      <c r="BQF3425" s="34">
        <v>-0.5</v>
      </c>
      <c r="BQG3425" s="34">
        <v>0</v>
      </c>
      <c r="BQH3425" s="34">
        <v>0.5</v>
      </c>
      <c r="BQI3425" s="34">
        <v>1</v>
      </c>
      <c r="BQJ3425" s="34">
        <v>1.5</v>
      </c>
      <c r="BQK3425" s="34">
        <v>2</v>
      </c>
      <c r="BQL3425" s="34">
        <v>2.5</v>
      </c>
      <c r="BQM3425" s="34">
        <v>3</v>
      </c>
      <c r="BQN3425" s="34">
        <v>3.5</v>
      </c>
      <c r="BQO3425" s="34">
        <v>4</v>
      </c>
      <c r="BQP3425" s="34">
        <v>4.5</v>
      </c>
      <c r="BQQ3425" s="34">
        <v>5</v>
      </c>
      <c r="BQS3425" s="913"/>
      <c r="BQT3425" s="31">
        <v>1</v>
      </c>
      <c r="BQU3425" s="34">
        <v>0</v>
      </c>
      <c r="BQV3425" s="34">
        <v>-1</v>
      </c>
      <c r="BQW3425" s="34">
        <v>-2</v>
      </c>
      <c r="BQX3425" s="34">
        <v>-3</v>
      </c>
      <c r="BQY3425" s="34">
        <v>-4</v>
      </c>
      <c r="BQZ3425" s="34">
        <v>-5</v>
      </c>
      <c r="BRA3425" s="908"/>
      <c r="BRB3425" s="909"/>
      <c r="BRC3425" s="34">
        <v>-5</v>
      </c>
      <c r="BRD3425" s="34">
        <v>-4.5</v>
      </c>
      <c r="BRE3425" s="34">
        <v>-4</v>
      </c>
      <c r="BRF3425" s="34">
        <v>-3.5</v>
      </c>
      <c r="BRG3425" s="34">
        <v>-3</v>
      </c>
      <c r="BRH3425" s="34">
        <v>-2.5</v>
      </c>
      <c r="BRI3425" s="34">
        <v>-2</v>
      </c>
      <c r="BRJ3425" s="34">
        <v>-1.5</v>
      </c>
      <c r="BRK3425" s="34">
        <v>-1</v>
      </c>
      <c r="BRL3425" s="34">
        <v>-0.5</v>
      </c>
      <c r="BRM3425" s="34">
        <v>0</v>
      </c>
      <c r="BRN3425" s="34">
        <v>0.5</v>
      </c>
      <c r="BRO3425" s="34">
        <v>1</v>
      </c>
      <c r="BRP3425" s="34">
        <v>1.5</v>
      </c>
      <c r="BRQ3425" s="34">
        <v>2</v>
      </c>
      <c r="BRR3425" s="34">
        <v>2.5</v>
      </c>
      <c r="BRS3425" s="34">
        <v>3</v>
      </c>
      <c r="BRT3425" s="34">
        <v>3.5</v>
      </c>
      <c r="BRU3425" s="34">
        <v>4</v>
      </c>
      <c r="BRV3425" s="34">
        <v>4.5</v>
      </c>
      <c r="BRW3425" s="34">
        <v>5</v>
      </c>
      <c r="BRY3425" s="913"/>
      <c r="BRZ3425" s="31">
        <v>1</v>
      </c>
      <c r="BSA3425" s="34">
        <v>0</v>
      </c>
      <c r="BSB3425" s="34">
        <v>-1</v>
      </c>
      <c r="BSC3425" s="34">
        <v>-2</v>
      </c>
      <c r="BSD3425" s="34">
        <v>-3</v>
      </c>
      <c r="BSE3425" s="34">
        <v>-4</v>
      </c>
      <c r="BSF3425" s="34">
        <v>-5</v>
      </c>
      <c r="BSG3425" s="908"/>
      <c r="BSH3425" s="909"/>
      <c r="BSI3425" s="34">
        <v>-5</v>
      </c>
      <c r="BSJ3425" s="34">
        <v>-4.5</v>
      </c>
      <c r="BSK3425" s="34">
        <v>-4</v>
      </c>
      <c r="BSL3425" s="34">
        <v>-3.5</v>
      </c>
      <c r="BSM3425" s="34">
        <v>-3</v>
      </c>
      <c r="BSN3425" s="34">
        <v>-2.5</v>
      </c>
      <c r="BSO3425" s="34">
        <v>-2</v>
      </c>
      <c r="BSP3425" s="34">
        <v>-1.5</v>
      </c>
      <c r="BSQ3425" s="34">
        <v>-1</v>
      </c>
      <c r="BSR3425" s="34">
        <v>-0.5</v>
      </c>
      <c r="BSS3425" s="34">
        <v>0</v>
      </c>
      <c r="BST3425" s="34">
        <v>0.5</v>
      </c>
      <c r="BSU3425" s="34">
        <v>1</v>
      </c>
      <c r="BSV3425" s="34">
        <v>1.5</v>
      </c>
      <c r="BSW3425" s="34">
        <v>2</v>
      </c>
      <c r="BSX3425" s="34">
        <v>2.5</v>
      </c>
      <c r="BSY3425" s="34">
        <v>3</v>
      </c>
      <c r="BSZ3425" s="34">
        <v>3.5</v>
      </c>
      <c r="BTA3425" s="34">
        <v>4</v>
      </c>
      <c r="BTB3425" s="34">
        <v>4.5</v>
      </c>
      <c r="BTC3425" s="34">
        <v>5</v>
      </c>
      <c r="BTE3425" s="913"/>
      <c r="BTF3425" s="31">
        <v>1</v>
      </c>
      <c r="BTG3425" s="34">
        <v>0</v>
      </c>
      <c r="BTH3425" s="34">
        <v>-1</v>
      </c>
      <c r="BTI3425" s="34">
        <v>-2</v>
      </c>
      <c r="BTJ3425" s="34">
        <v>-3</v>
      </c>
      <c r="BTK3425" s="34">
        <v>-4</v>
      </c>
      <c r="BTL3425" s="34">
        <v>-5</v>
      </c>
      <c r="BTM3425" s="908"/>
      <c r="BTN3425" s="909"/>
      <c r="BTO3425" s="34">
        <v>-5</v>
      </c>
      <c r="BTP3425" s="34">
        <v>-4.5</v>
      </c>
      <c r="BTQ3425" s="34">
        <v>-4</v>
      </c>
      <c r="BTR3425" s="34">
        <v>-3.5</v>
      </c>
      <c r="BTS3425" s="34">
        <v>-3</v>
      </c>
      <c r="BTT3425" s="34">
        <v>-2.5</v>
      </c>
      <c r="BTU3425" s="34">
        <v>-2</v>
      </c>
      <c r="BTV3425" s="34">
        <v>-1.5</v>
      </c>
      <c r="BTW3425" s="34">
        <v>-1</v>
      </c>
      <c r="BTX3425" s="34">
        <v>-0.5</v>
      </c>
      <c r="BTY3425" s="34">
        <v>0</v>
      </c>
      <c r="BTZ3425" s="34">
        <v>0.5</v>
      </c>
      <c r="BUA3425" s="34">
        <v>1</v>
      </c>
      <c r="BUB3425" s="34">
        <v>1.5</v>
      </c>
      <c r="BUC3425" s="34">
        <v>2</v>
      </c>
      <c r="BUD3425" s="34">
        <v>2.5</v>
      </c>
      <c r="BUE3425" s="34">
        <v>3</v>
      </c>
      <c r="BUF3425" s="34">
        <v>3.5</v>
      </c>
      <c r="BUG3425" s="34">
        <v>4</v>
      </c>
      <c r="BUH3425" s="34">
        <v>4.5</v>
      </c>
      <c r="BUI3425" s="34">
        <v>5</v>
      </c>
      <c r="BUK3425" s="913"/>
      <c r="BUL3425" s="31">
        <v>1</v>
      </c>
      <c r="BUM3425" s="34">
        <v>0</v>
      </c>
      <c r="BUN3425" s="34">
        <v>-1</v>
      </c>
      <c r="BUO3425" s="34">
        <v>-2</v>
      </c>
      <c r="BUP3425" s="34">
        <v>-3</v>
      </c>
      <c r="BUQ3425" s="34">
        <v>-4</v>
      </c>
      <c r="BUR3425" s="34">
        <v>-5</v>
      </c>
      <c r="BUS3425" s="908"/>
      <c r="BUT3425" s="909"/>
      <c r="BUU3425" s="34">
        <v>-5</v>
      </c>
      <c r="BUV3425" s="34">
        <v>-4.5</v>
      </c>
      <c r="BUW3425" s="34">
        <v>-4</v>
      </c>
      <c r="BUX3425" s="34">
        <v>-3.5</v>
      </c>
      <c r="BUY3425" s="34">
        <v>-3</v>
      </c>
      <c r="BUZ3425" s="34">
        <v>-2.5</v>
      </c>
      <c r="BVA3425" s="34">
        <v>-2</v>
      </c>
      <c r="BVB3425" s="34">
        <v>-1.5</v>
      </c>
      <c r="BVC3425" s="34">
        <v>-1</v>
      </c>
      <c r="BVD3425" s="34">
        <v>-0.5</v>
      </c>
      <c r="BVE3425" s="34">
        <v>0</v>
      </c>
      <c r="BVF3425" s="34">
        <v>0.5</v>
      </c>
      <c r="BVG3425" s="34">
        <v>1</v>
      </c>
      <c r="BVH3425" s="34">
        <v>1.5</v>
      </c>
      <c r="BVI3425" s="34">
        <v>2</v>
      </c>
      <c r="BVJ3425" s="34">
        <v>2.5</v>
      </c>
      <c r="BVK3425" s="34">
        <v>3</v>
      </c>
      <c r="BVL3425" s="34">
        <v>3.5</v>
      </c>
      <c r="BVM3425" s="34">
        <v>4</v>
      </c>
      <c r="BVN3425" s="34">
        <v>4.5</v>
      </c>
      <c r="BVO3425" s="34">
        <v>5</v>
      </c>
      <c r="BVQ3425" s="913"/>
      <c r="BVR3425" s="31">
        <v>1</v>
      </c>
      <c r="BVS3425" s="34">
        <v>0</v>
      </c>
      <c r="BVT3425" s="34">
        <v>-1</v>
      </c>
      <c r="BVU3425" s="34">
        <v>-2</v>
      </c>
      <c r="BVV3425" s="34">
        <v>-3</v>
      </c>
      <c r="BVW3425" s="34">
        <v>-4</v>
      </c>
      <c r="BVX3425" s="34">
        <v>-5</v>
      </c>
      <c r="BVY3425" s="908"/>
      <c r="BVZ3425" s="909"/>
      <c r="BWA3425" s="34">
        <v>-5</v>
      </c>
      <c r="BWB3425" s="34">
        <v>-4.5</v>
      </c>
      <c r="BWC3425" s="34">
        <v>-4</v>
      </c>
      <c r="BWD3425" s="34">
        <v>-3.5</v>
      </c>
      <c r="BWE3425" s="34">
        <v>-3</v>
      </c>
      <c r="BWF3425" s="34">
        <v>-2.5</v>
      </c>
      <c r="BWG3425" s="34">
        <v>-2</v>
      </c>
      <c r="BWH3425" s="34">
        <v>-1.5</v>
      </c>
      <c r="BWI3425" s="34">
        <v>-1</v>
      </c>
      <c r="BWJ3425" s="34">
        <v>-0.5</v>
      </c>
      <c r="BWK3425" s="34">
        <v>0</v>
      </c>
      <c r="BWL3425" s="34">
        <v>0.5</v>
      </c>
      <c r="BWM3425" s="34">
        <v>1</v>
      </c>
      <c r="BWN3425" s="34">
        <v>1.5</v>
      </c>
      <c r="BWO3425" s="34">
        <v>2</v>
      </c>
      <c r="BWP3425" s="34">
        <v>2.5</v>
      </c>
      <c r="BWQ3425" s="34">
        <v>3</v>
      </c>
      <c r="BWR3425" s="34">
        <v>3.5</v>
      </c>
      <c r="BWS3425" s="34">
        <v>4</v>
      </c>
      <c r="BWT3425" s="34">
        <v>4.5</v>
      </c>
      <c r="BWU3425" s="34">
        <v>5</v>
      </c>
      <c r="BWW3425" s="913"/>
      <c r="BWX3425" s="31">
        <v>1</v>
      </c>
      <c r="BWY3425" s="34">
        <v>0</v>
      </c>
      <c r="BWZ3425" s="34">
        <v>-1</v>
      </c>
      <c r="BXA3425" s="34">
        <v>-2</v>
      </c>
      <c r="BXB3425" s="34">
        <v>-3</v>
      </c>
      <c r="BXC3425" s="34">
        <v>-4</v>
      </c>
      <c r="BXD3425" s="34">
        <v>-5</v>
      </c>
      <c r="BXE3425" s="908"/>
      <c r="BXF3425" s="909"/>
      <c r="BXG3425" s="34">
        <v>-5</v>
      </c>
      <c r="BXH3425" s="34">
        <v>-4.5</v>
      </c>
      <c r="BXI3425" s="34">
        <v>-4</v>
      </c>
      <c r="BXJ3425" s="34">
        <v>-3.5</v>
      </c>
      <c r="BXK3425" s="34">
        <v>-3</v>
      </c>
      <c r="BXL3425" s="34">
        <v>-2.5</v>
      </c>
      <c r="BXM3425" s="34">
        <v>-2</v>
      </c>
      <c r="BXN3425" s="34">
        <v>-1.5</v>
      </c>
      <c r="BXO3425" s="34">
        <v>-1</v>
      </c>
      <c r="BXP3425" s="34">
        <v>-0.5</v>
      </c>
      <c r="BXQ3425" s="34">
        <v>0</v>
      </c>
      <c r="BXR3425" s="34">
        <v>0.5</v>
      </c>
      <c r="BXS3425" s="34">
        <v>1</v>
      </c>
      <c r="BXT3425" s="34">
        <v>1.5</v>
      </c>
      <c r="BXU3425" s="34">
        <v>2</v>
      </c>
      <c r="BXV3425" s="34">
        <v>2.5</v>
      </c>
      <c r="BXW3425" s="34">
        <v>3</v>
      </c>
      <c r="BXX3425" s="34">
        <v>3.5</v>
      </c>
      <c r="BXY3425" s="34">
        <v>4</v>
      </c>
      <c r="BXZ3425" s="34">
        <v>4.5</v>
      </c>
      <c r="BYA3425" s="34">
        <v>5</v>
      </c>
      <c r="BYC3425" s="913"/>
      <c r="BYD3425" s="31">
        <v>1</v>
      </c>
      <c r="BYE3425" s="34">
        <v>0</v>
      </c>
      <c r="BYF3425" s="34">
        <v>-1</v>
      </c>
      <c r="BYG3425" s="34">
        <v>-2</v>
      </c>
      <c r="BYH3425" s="34">
        <v>-3</v>
      </c>
      <c r="BYI3425" s="34">
        <v>-4</v>
      </c>
      <c r="BYJ3425" s="34">
        <v>-5</v>
      </c>
      <c r="BYK3425" s="908"/>
      <c r="BYL3425" s="909"/>
      <c r="BYM3425" s="34">
        <v>-5</v>
      </c>
      <c r="BYN3425" s="34">
        <v>-4.5</v>
      </c>
      <c r="BYO3425" s="34">
        <v>-4</v>
      </c>
      <c r="BYP3425" s="34">
        <v>-3.5</v>
      </c>
      <c r="BYQ3425" s="34">
        <v>-3</v>
      </c>
      <c r="BYR3425" s="34">
        <v>-2.5</v>
      </c>
      <c r="BYS3425" s="34">
        <v>-2</v>
      </c>
      <c r="BYT3425" s="34">
        <v>-1.5</v>
      </c>
      <c r="BYU3425" s="34">
        <v>-1</v>
      </c>
      <c r="BYV3425" s="34">
        <v>-0.5</v>
      </c>
      <c r="BYW3425" s="34">
        <v>0</v>
      </c>
      <c r="BYX3425" s="34">
        <v>0.5</v>
      </c>
      <c r="BYY3425" s="34">
        <v>1</v>
      </c>
      <c r="BYZ3425" s="34">
        <v>1.5</v>
      </c>
      <c r="BZA3425" s="34">
        <v>2</v>
      </c>
      <c r="BZB3425" s="34">
        <v>2.5</v>
      </c>
      <c r="BZC3425" s="34">
        <v>3</v>
      </c>
      <c r="BZD3425" s="34">
        <v>3.5</v>
      </c>
      <c r="BZE3425" s="34">
        <v>4</v>
      </c>
      <c r="BZF3425" s="34">
        <v>4.5</v>
      </c>
      <c r="BZG3425" s="34">
        <v>5</v>
      </c>
      <c r="BZI3425" s="913"/>
      <c r="BZJ3425" s="31">
        <v>1</v>
      </c>
      <c r="BZK3425" s="34">
        <v>0</v>
      </c>
      <c r="BZL3425" s="34">
        <v>-1</v>
      </c>
      <c r="BZM3425" s="34">
        <v>-2</v>
      </c>
      <c r="BZN3425" s="34">
        <v>-3</v>
      </c>
      <c r="BZO3425" s="34">
        <v>-4</v>
      </c>
      <c r="BZP3425" s="34">
        <v>-5</v>
      </c>
      <c r="BZQ3425" s="908"/>
      <c r="BZR3425" s="909"/>
      <c r="BZS3425" s="34">
        <v>-5</v>
      </c>
      <c r="BZT3425" s="34">
        <v>-4.5</v>
      </c>
      <c r="BZU3425" s="34">
        <v>-4</v>
      </c>
      <c r="BZV3425" s="34">
        <v>-3.5</v>
      </c>
      <c r="BZW3425" s="34">
        <v>-3</v>
      </c>
      <c r="BZX3425" s="34">
        <v>-2.5</v>
      </c>
      <c r="BZY3425" s="34">
        <v>-2</v>
      </c>
      <c r="BZZ3425" s="34">
        <v>-1.5</v>
      </c>
      <c r="CAA3425" s="34">
        <v>-1</v>
      </c>
      <c r="CAB3425" s="34">
        <v>-0.5</v>
      </c>
      <c r="CAC3425" s="34">
        <v>0</v>
      </c>
      <c r="CAD3425" s="34">
        <v>0.5</v>
      </c>
      <c r="CAE3425" s="34">
        <v>1</v>
      </c>
      <c r="CAF3425" s="34">
        <v>1.5</v>
      </c>
      <c r="CAG3425" s="34">
        <v>2</v>
      </c>
      <c r="CAH3425" s="34">
        <v>2.5</v>
      </c>
      <c r="CAI3425" s="34">
        <v>3</v>
      </c>
      <c r="CAJ3425" s="34">
        <v>3.5</v>
      </c>
      <c r="CAK3425" s="34">
        <v>4</v>
      </c>
      <c r="CAL3425" s="34">
        <v>4.5</v>
      </c>
      <c r="CAM3425" s="34">
        <v>5</v>
      </c>
      <c r="CAO3425" s="913"/>
      <c r="CAP3425" s="31">
        <v>1</v>
      </c>
      <c r="CAQ3425" s="34">
        <v>0</v>
      </c>
      <c r="CAR3425" s="34">
        <v>-1</v>
      </c>
      <c r="CAS3425" s="34">
        <v>-2</v>
      </c>
      <c r="CAT3425" s="34">
        <v>-3</v>
      </c>
      <c r="CAU3425" s="34">
        <v>-4</v>
      </c>
      <c r="CAV3425" s="34">
        <v>-5</v>
      </c>
      <c r="CAW3425" s="908"/>
      <c r="CAX3425" s="909"/>
      <c r="CAY3425" s="34">
        <v>-5</v>
      </c>
      <c r="CAZ3425" s="34">
        <v>-4.5</v>
      </c>
      <c r="CBA3425" s="34">
        <v>-4</v>
      </c>
      <c r="CBB3425" s="34">
        <v>-3.5</v>
      </c>
      <c r="CBC3425" s="34">
        <v>-3</v>
      </c>
      <c r="CBD3425" s="34">
        <v>-2.5</v>
      </c>
      <c r="CBE3425" s="34">
        <v>-2</v>
      </c>
      <c r="CBF3425" s="34">
        <v>-1.5</v>
      </c>
      <c r="CBG3425" s="34">
        <v>-1</v>
      </c>
      <c r="CBH3425" s="34">
        <v>-0.5</v>
      </c>
      <c r="CBI3425" s="34">
        <v>0</v>
      </c>
      <c r="CBJ3425" s="34">
        <v>0.5</v>
      </c>
      <c r="CBK3425" s="34">
        <v>1</v>
      </c>
      <c r="CBL3425" s="34">
        <v>1.5</v>
      </c>
      <c r="CBM3425" s="34">
        <v>2</v>
      </c>
      <c r="CBN3425" s="34">
        <v>2.5</v>
      </c>
      <c r="CBO3425" s="34">
        <v>3</v>
      </c>
      <c r="CBP3425" s="34">
        <v>3.5</v>
      </c>
      <c r="CBQ3425" s="34">
        <v>4</v>
      </c>
      <c r="CBR3425" s="34">
        <v>4.5</v>
      </c>
      <c r="CBS3425" s="34">
        <v>5</v>
      </c>
      <c r="CBU3425" s="913"/>
      <c r="CBV3425" s="31">
        <v>1</v>
      </c>
      <c r="CBW3425" s="34">
        <v>0</v>
      </c>
      <c r="CBX3425" s="34">
        <v>-1</v>
      </c>
      <c r="CBY3425" s="34">
        <v>-2</v>
      </c>
      <c r="CBZ3425" s="34">
        <v>-3</v>
      </c>
      <c r="CCA3425" s="34">
        <v>-4</v>
      </c>
      <c r="CCB3425" s="34">
        <v>-5</v>
      </c>
      <c r="CCC3425" s="908"/>
      <c r="CCD3425" s="909"/>
      <c r="CCE3425" s="34">
        <v>-5</v>
      </c>
      <c r="CCF3425" s="34">
        <v>-4.5</v>
      </c>
      <c r="CCG3425" s="34">
        <v>-4</v>
      </c>
      <c r="CCH3425" s="34">
        <v>-3.5</v>
      </c>
      <c r="CCI3425" s="34">
        <v>-3</v>
      </c>
      <c r="CCJ3425" s="34">
        <v>-2.5</v>
      </c>
      <c r="CCK3425" s="34">
        <v>-2</v>
      </c>
      <c r="CCL3425" s="34">
        <v>-1.5</v>
      </c>
      <c r="CCM3425" s="34">
        <v>-1</v>
      </c>
      <c r="CCN3425" s="34">
        <v>-0.5</v>
      </c>
      <c r="CCO3425" s="34">
        <v>0</v>
      </c>
      <c r="CCP3425" s="34">
        <v>0.5</v>
      </c>
      <c r="CCQ3425" s="34">
        <v>1</v>
      </c>
      <c r="CCR3425" s="34">
        <v>1.5</v>
      </c>
      <c r="CCS3425" s="34">
        <v>2</v>
      </c>
      <c r="CCT3425" s="34">
        <v>2.5</v>
      </c>
      <c r="CCU3425" s="34">
        <v>3</v>
      </c>
      <c r="CCV3425" s="34">
        <v>3.5</v>
      </c>
      <c r="CCW3425" s="34">
        <v>4</v>
      </c>
      <c r="CCX3425" s="34">
        <v>4.5</v>
      </c>
      <c r="CCY3425" s="34">
        <v>5</v>
      </c>
      <c r="CDA3425" s="913"/>
      <c r="CDB3425" s="31">
        <v>1</v>
      </c>
      <c r="CDC3425" s="34">
        <v>0</v>
      </c>
      <c r="CDD3425" s="34">
        <v>-1</v>
      </c>
      <c r="CDE3425" s="34">
        <v>-2</v>
      </c>
      <c r="CDF3425" s="34">
        <v>-3</v>
      </c>
      <c r="CDG3425" s="34">
        <v>-4</v>
      </c>
      <c r="CDH3425" s="34">
        <v>-5</v>
      </c>
      <c r="CDI3425" s="908"/>
      <c r="CDJ3425" s="909"/>
      <c r="CDK3425" s="34">
        <v>-5</v>
      </c>
      <c r="CDL3425" s="34">
        <v>-4.5</v>
      </c>
      <c r="CDM3425" s="34">
        <v>-4</v>
      </c>
      <c r="CDN3425" s="34">
        <v>-3.5</v>
      </c>
      <c r="CDO3425" s="34">
        <v>-3</v>
      </c>
      <c r="CDP3425" s="34">
        <v>-2.5</v>
      </c>
      <c r="CDQ3425" s="34">
        <v>-2</v>
      </c>
      <c r="CDR3425" s="34">
        <v>-1.5</v>
      </c>
      <c r="CDS3425" s="34">
        <v>-1</v>
      </c>
      <c r="CDT3425" s="34">
        <v>-0.5</v>
      </c>
      <c r="CDU3425" s="34">
        <v>0</v>
      </c>
      <c r="CDV3425" s="34">
        <v>0.5</v>
      </c>
      <c r="CDW3425" s="34">
        <v>1</v>
      </c>
      <c r="CDX3425" s="34">
        <v>1.5</v>
      </c>
      <c r="CDY3425" s="34">
        <v>2</v>
      </c>
      <c r="CDZ3425" s="34">
        <v>2.5</v>
      </c>
      <c r="CEA3425" s="34">
        <v>3</v>
      </c>
      <c r="CEB3425" s="34">
        <v>3.5</v>
      </c>
      <c r="CEC3425" s="34">
        <v>4</v>
      </c>
      <c r="CED3425" s="34">
        <v>4.5</v>
      </c>
      <c r="CEE3425" s="34">
        <v>5</v>
      </c>
      <c r="CEG3425" s="913"/>
      <c r="CEH3425" s="31">
        <v>1</v>
      </c>
      <c r="CEI3425" s="34">
        <v>0</v>
      </c>
      <c r="CEJ3425" s="34">
        <v>-1</v>
      </c>
      <c r="CEK3425" s="34">
        <v>-2</v>
      </c>
      <c r="CEL3425" s="34">
        <v>-3</v>
      </c>
      <c r="CEM3425" s="34">
        <v>-4</v>
      </c>
      <c r="CEN3425" s="34">
        <v>-5</v>
      </c>
      <c r="CEO3425" s="908"/>
      <c r="CEP3425" s="909"/>
      <c r="CEQ3425" s="34">
        <v>-5</v>
      </c>
      <c r="CER3425" s="34">
        <v>-4.5</v>
      </c>
      <c r="CES3425" s="34">
        <v>-4</v>
      </c>
      <c r="CET3425" s="34">
        <v>-3.5</v>
      </c>
      <c r="CEU3425" s="34">
        <v>-3</v>
      </c>
      <c r="CEV3425" s="34">
        <v>-2.5</v>
      </c>
      <c r="CEW3425" s="34">
        <v>-2</v>
      </c>
      <c r="CEX3425" s="34">
        <v>-1.5</v>
      </c>
      <c r="CEY3425" s="34">
        <v>-1</v>
      </c>
      <c r="CEZ3425" s="34">
        <v>-0.5</v>
      </c>
      <c r="CFA3425" s="34">
        <v>0</v>
      </c>
      <c r="CFB3425" s="34">
        <v>0.5</v>
      </c>
      <c r="CFC3425" s="34">
        <v>1</v>
      </c>
      <c r="CFD3425" s="34">
        <v>1.5</v>
      </c>
      <c r="CFE3425" s="34">
        <v>2</v>
      </c>
      <c r="CFF3425" s="34">
        <v>2.5</v>
      </c>
      <c r="CFG3425" s="34">
        <v>3</v>
      </c>
      <c r="CFH3425" s="34">
        <v>3.5</v>
      </c>
      <c r="CFI3425" s="34">
        <v>4</v>
      </c>
      <c r="CFJ3425" s="34">
        <v>4.5</v>
      </c>
      <c r="CFK3425" s="34">
        <v>5</v>
      </c>
      <c r="CFM3425" s="913"/>
      <c r="CFN3425" s="31">
        <v>1</v>
      </c>
      <c r="CFO3425" s="34">
        <v>0</v>
      </c>
      <c r="CFP3425" s="34">
        <v>-1</v>
      </c>
      <c r="CFQ3425" s="34">
        <v>-2</v>
      </c>
      <c r="CFR3425" s="34">
        <v>-3</v>
      </c>
      <c r="CFS3425" s="34">
        <v>-4</v>
      </c>
      <c r="CFT3425" s="34">
        <v>-5</v>
      </c>
      <c r="CFU3425" s="908"/>
      <c r="CFV3425" s="909"/>
      <c r="CFW3425" s="34">
        <v>-5</v>
      </c>
      <c r="CFX3425" s="34">
        <v>-4.5</v>
      </c>
      <c r="CFY3425" s="34">
        <v>-4</v>
      </c>
      <c r="CFZ3425" s="34">
        <v>-3.5</v>
      </c>
      <c r="CGA3425" s="34">
        <v>-3</v>
      </c>
      <c r="CGB3425" s="34">
        <v>-2.5</v>
      </c>
      <c r="CGC3425" s="34">
        <v>-2</v>
      </c>
      <c r="CGD3425" s="34">
        <v>-1.5</v>
      </c>
      <c r="CGE3425" s="34">
        <v>-1</v>
      </c>
      <c r="CGF3425" s="34">
        <v>-0.5</v>
      </c>
      <c r="CGG3425" s="34">
        <v>0</v>
      </c>
      <c r="CGH3425" s="34">
        <v>0.5</v>
      </c>
      <c r="CGI3425" s="34">
        <v>1</v>
      </c>
      <c r="CGJ3425" s="34">
        <v>1.5</v>
      </c>
      <c r="CGK3425" s="34">
        <v>2</v>
      </c>
      <c r="CGL3425" s="34">
        <v>2.5</v>
      </c>
      <c r="CGM3425" s="34">
        <v>3</v>
      </c>
      <c r="CGN3425" s="34">
        <v>3.5</v>
      </c>
      <c r="CGO3425" s="34">
        <v>4</v>
      </c>
      <c r="CGP3425" s="34">
        <v>4.5</v>
      </c>
      <c r="CGQ3425" s="34">
        <v>5</v>
      </c>
      <c r="CGS3425" s="913"/>
      <c r="CGT3425" s="31">
        <v>1</v>
      </c>
      <c r="CGU3425" s="34">
        <v>0</v>
      </c>
      <c r="CGV3425" s="34">
        <v>-1</v>
      </c>
      <c r="CGW3425" s="34">
        <v>-2</v>
      </c>
      <c r="CGX3425" s="34">
        <v>-3</v>
      </c>
      <c r="CGY3425" s="34">
        <v>-4</v>
      </c>
      <c r="CGZ3425" s="34">
        <v>-5</v>
      </c>
      <c r="CHA3425" s="908"/>
      <c r="CHB3425" s="909"/>
      <c r="CHC3425" s="34">
        <v>-5</v>
      </c>
      <c r="CHD3425" s="34">
        <v>-4.5</v>
      </c>
      <c r="CHE3425" s="34">
        <v>-4</v>
      </c>
      <c r="CHF3425" s="34">
        <v>-3.5</v>
      </c>
      <c r="CHG3425" s="34">
        <v>-3</v>
      </c>
      <c r="CHH3425" s="34">
        <v>-2.5</v>
      </c>
      <c r="CHI3425" s="34">
        <v>-2</v>
      </c>
      <c r="CHJ3425" s="34">
        <v>-1.5</v>
      </c>
      <c r="CHK3425" s="34">
        <v>-1</v>
      </c>
      <c r="CHL3425" s="34">
        <v>-0.5</v>
      </c>
      <c r="CHM3425" s="34">
        <v>0</v>
      </c>
      <c r="CHN3425" s="34">
        <v>0.5</v>
      </c>
      <c r="CHO3425" s="34">
        <v>1</v>
      </c>
      <c r="CHP3425" s="34">
        <v>1.5</v>
      </c>
      <c r="CHQ3425" s="34">
        <v>2</v>
      </c>
      <c r="CHR3425" s="34">
        <v>2.5</v>
      </c>
      <c r="CHS3425" s="34">
        <v>3</v>
      </c>
      <c r="CHT3425" s="34">
        <v>3.5</v>
      </c>
      <c r="CHU3425" s="34">
        <v>4</v>
      </c>
      <c r="CHV3425" s="34">
        <v>4.5</v>
      </c>
      <c r="CHW3425" s="34">
        <v>5</v>
      </c>
      <c r="CHY3425" s="913"/>
      <c r="CHZ3425" s="31">
        <v>1</v>
      </c>
      <c r="CIA3425" s="34">
        <v>0</v>
      </c>
      <c r="CIB3425" s="34">
        <v>-1</v>
      </c>
      <c r="CIC3425" s="34">
        <v>-2</v>
      </c>
      <c r="CID3425" s="34">
        <v>-3</v>
      </c>
      <c r="CIE3425" s="34">
        <v>-4</v>
      </c>
      <c r="CIF3425" s="34">
        <v>-5</v>
      </c>
      <c r="CIG3425" s="908"/>
      <c r="CIH3425" s="909"/>
      <c r="CII3425" s="34">
        <v>-5</v>
      </c>
      <c r="CIJ3425" s="34">
        <v>-4.5</v>
      </c>
      <c r="CIK3425" s="34">
        <v>-4</v>
      </c>
      <c r="CIL3425" s="34">
        <v>-3.5</v>
      </c>
      <c r="CIM3425" s="34">
        <v>-3</v>
      </c>
      <c r="CIN3425" s="34">
        <v>-2.5</v>
      </c>
      <c r="CIO3425" s="34">
        <v>-2</v>
      </c>
      <c r="CIP3425" s="34">
        <v>-1.5</v>
      </c>
      <c r="CIQ3425" s="34">
        <v>-1</v>
      </c>
      <c r="CIR3425" s="34">
        <v>-0.5</v>
      </c>
      <c r="CIS3425" s="34">
        <v>0</v>
      </c>
      <c r="CIT3425" s="34">
        <v>0.5</v>
      </c>
      <c r="CIU3425" s="34">
        <v>1</v>
      </c>
      <c r="CIV3425" s="34">
        <v>1.5</v>
      </c>
      <c r="CIW3425" s="34">
        <v>2</v>
      </c>
      <c r="CIX3425" s="34">
        <v>2.5</v>
      </c>
      <c r="CIY3425" s="34">
        <v>3</v>
      </c>
      <c r="CIZ3425" s="34">
        <v>3.5</v>
      </c>
      <c r="CJA3425" s="34">
        <v>4</v>
      </c>
      <c r="CJB3425" s="34">
        <v>4.5</v>
      </c>
      <c r="CJC3425" s="34">
        <v>5</v>
      </c>
      <c r="CJE3425" s="913"/>
      <c r="CJF3425" s="31">
        <v>1</v>
      </c>
      <c r="CJG3425" s="34">
        <v>0</v>
      </c>
      <c r="CJH3425" s="34">
        <v>-1</v>
      </c>
      <c r="CJI3425" s="34">
        <v>-2</v>
      </c>
      <c r="CJJ3425" s="34">
        <v>-3</v>
      </c>
      <c r="CJK3425" s="34">
        <v>-4</v>
      </c>
      <c r="CJL3425" s="34">
        <v>-5</v>
      </c>
      <c r="CJM3425" s="908"/>
      <c r="CJN3425" s="909"/>
      <c r="CJO3425" s="34">
        <v>-5</v>
      </c>
      <c r="CJP3425" s="34">
        <v>-4.5</v>
      </c>
      <c r="CJQ3425" s="34">
        <v>-4</v>
      </c>
      <c r="CJR3425" s="34">
        <v>-3.5</v>
      </c>
      <c r="CJS3425" s="34">
        <v>-3</v>
      </c>
      <c r="CJT3425" s="34">
        <v>-2.5</v>
      </c>
      <c r="CJU3425" s="34">
        <v>-2</v>
      </c>
      <c r="CJV3425" s="34">
        <v>-1.5</v>
      </c>
      <c r="CJW3425" s="34">
        <v>-1</v>
      </c>
      <c r="CJX3425" s="34">
        <v>-0.5</v>
      </c>
      <c r="CJY3425" s="34">
        <v>0</v>
      </c>
      <c r="CJZ3425" s="34">
        <v>0.5</v>
      </c>
      <c r="CKA3425" s="34">
        <v>1</v>
      </c>
      <c r="CKB3425" s="34">
        <v>1.5</v>
      </c>
      <c r="CKC3425" s="34">
        <v>2</v>
      </c>
      <c r="CKD3425" s="34">
        <v>2.5</v>
      </c>
      <c r="CKE3425" s="34">
        <v>3</v>
      </c>
      <c r="CKF3425" s="34">
        <v>3.5</v>
      </c>
      <c r="CKG3425" s="34">
        <v>4</v>
      </c>
      <c r="CKH3425" s="34">
        <v>4.5</v>
      </c>
      <c r="CKI3425" s="34">
        <v>5</v>
      </c>
      <c r="CKK3425" s="913"/>
      <c r="CKL3425" s="31">
        <v>1</v>
      </c>
      <c r="CKM3425" s="34">
        <v>0</v>
      </c>
      <c r="CKN3425" s="34">
        <v>-1</v>
      </c>
      <c r="CKO3425" s="34">
        <v>-2</v>
      </c>
      <c r="CKP3425" s="34">
        <v>-3</v>
      </c>
      <c r="CKQ3425" s="34">
        <v>-4</v>
      </c>
      <c r="CKR3425" s="34">
        <v>-5</v>
      </c>
      <c r="CKS3425" s="908"/>
      <c r="CKT3425" s="909"/>
      <c r="CKU3425" s="34">
        <v>-5</v>
      </c>
      <c r="CKV3425" s="34">
        <v>-4.5</v>
      </c>
      <c r="CKW3425" s="34">
        <v>-4</v>
      </c>
      <c r="CKX3425" s="34">
        <v>-3.5</v>
      </c>
      <c r="CKY3425" s="34">
        <v>-3</v>
      </c>
      <c r="CKZ3425" s="34">
        <v>-2.5</v>
      </c>
      <c r="CLA3425" s="34">
        <v>-2</v>
      </c>
      <c r="CLB3425" s="34">
        <v>-1.5</v>
      </c>
      <c r="CLC3425" s="34">
        <v>-1</v>
      </c>
      <c r="CLD3425" s="34">
        <v>-0.5</v>
      </c>
      <c r="CLE3425" s="34">
        <v>0</v>
      </c>
      <c r="CLF3425" s="34">
        <v>0.5</v>
      </c>
      <c r="CLG3425" s="34">
        <v>1</v>
      </c>
      <c r="CLH3425" s="34">
        <v>1.5</v>
      </c>
      <c r="CLI3425" s="34">
        <v>2</v>
      </c>
      <c r="CLJ3425" s="34">
        <v>2.5</v>
      </c>
      <c r="CLK3425" s="34">
        <v>3</v>
      </c>
      <c r="CLL3425" s="34">
        <v>3.5</v>
      </c>
      <c r="CLM3425" s="34">
        <v>4</v>
      </c>
      <c r="CLN3425" s="34">
        <v>4.5</v>
      </c>
      <c r="CLO3425" s="34">
        <v>5</v>
      </c>
      <c r="CLQ3425" s="913"/>
      <c r="CLR3425" s="31">
        <v>1</v>
      </c>
      <c r="CLS3425" s="34">
        <v>0</v>
      </c>
      <c r="CLT3425" s="34">
        <v>-1</v>
      </c>
      <c r="CLU3425" s="34">
        <v>-2</v>
      </c>
      <c r="CLV3425" s="34">
        <v>-3</v>
      </c>
      <c r="CLW3425" s="34">
        <v>-4</v>
      </c>
      <c r="CLX3425" s="34">
        <v>-5</v>
      </c>
      <c r="CLY3425" s="908"/>
      <c r="CLZ3425" s="909"/>
      <c r="CMA3425" s="34">
        <v>-5</v>
      </c>
      <c r="CMB3425" s="34">
        <v>-4.5</v>
      </c>
      <c r="CMC3425" s="34">
        <v>-4</v>
      </c>
      <c r="CMD3425" s="34">
        <v>-3.5</v>
      </c>
      <c r="CME3425" s="34">
        <v>-3</v>
      </c>
      <c r="CMF3425" s="34">
        <v>-2.5</v>
      </c>
      <c r="CMG3425" s="34">
        <v>-2</v>
      </c>
      <c r="CMH3425" s="34">
        <v>-1.5</v>
      </c>
      <c r="CMI3425" s="34">
        <v>-1</v>
      </c>
      <c r="CMJ3425" s="34">
        <v>-0.5</v>
      </c>
      <c r="CMK3425" s="34">
        <v>0</v>
      </c>
      <c r="CML3425" s="34">
        <v>0.5</v>
      </c>
      <c r="CMM3425" s="34">
        <v>1</v>
      </c>
      <c r="CMN3425" s="34">
        <v>1.5</v>
      </c>
      <c r="CMO3425" s="34">
        <v>2</v>
      </c>
      <c r="CMP3425" s="34">
        <v>2.5</v>
      </c>
      <c r="CMQ3425" s="34">
        <v>3</v>
      </c>
      <c r="CMR3425" s="34">
        <v>3.5</v>
      </c>
      <c r="CMS3425" s="34">
        <v>4</v>
      </c>
      <c r="CMT3425" s="34">
        <v>4.5</v>
      </c>
      <c r="CMU3425" s="34">
        <v>5</v>
      </c>
      <c r="CMW3425" s="913"/>
      <c r="CMX3425" s="31">
        <v>1</v>
      </c>
      <c r="CMY3425" s="34">
        <v>0</v>
      </c>
      <c r="CMZ3425" s="34">
        <v>-1</v>
      </c>
      <c r="CNA3425" s="34">
        <v>-2</v>
      </c>
      <c r="CNB3425" s="34">
        <v>-3</v>
      </c>
      <c r="CNC3425" s="34">
        <v>-4</v>
      </c>
      <c r="CND3425" s="34">
        <v>-5</v>
      </c>
      <c r="CNE3425" s="908"/>
      <c r="CNF3425" s="909"/>
      <c r="CNG3425" s="34">
        <v>-5</v>
      </c>
      <c r="CNH3425" s="34">
        <v>-4.5</v>
      </c>
      <c r="CNI3425" s="34">
        <v>-4</v>
      </c>
      <c r="CNJ3425" s="34">
        <v>-3.5</v>
      </c>
      <c r="CNK3425" s="34">
        <v>-3</v>
      </c>
      <c r="CNL3425" s="34">
        <v>-2.5</v>
      </c>
      <c r="CNM3425" s="34">
        <v>-2</v>
      </c>
      <c r="CNN3425" s="34">
        <v>-1.5</v>
      </c>
      <c r="CNO3425" s="34">
        <v>-1</v>
      </c>
      <c r="CNP3425" s="34">
        <v>-0.5</v>
      </c>
      <c r="CNQ3425" s="34">
        <v>0</v>
      </c>
      <c r="CNR3425" s="34">
        <v>0.5</v>
      </c>
      <c r="CNS3425" s="34">
        <v>1</v>
      </c>
      <c r="CNT3425" s="34">
        <v>1.5</v>
      </c>
      <c r="CNU3425" s="34">
        <v>2</v>
      </c>
      <c r="CNV3425" s="34">
        <v>2.5</v>
      </c>
      <c r="CNW3425" s="34">
        <v>3</v>
      </c>
      <c r="CNX3425" s="34">
        <v>3.5</v>
      </c>
      <c r="CNY3425" s="34">
        <v>4</v>
      </c>
      <c r="CNZ3425" s="34">
        <v>4.5</v>
      </c>
      <c r="COA3425" s="34">
        <v>5</v>
      </c>
      <c r="COC3425" s="913"/>
      <c r="COD3425" s="31">
        <v>1</v>
      </c>
      <c r="COE3425" s="34">
        <v>0</v>
      </c>
      <c r="COF3425" s="34">
        <v>-1</v>
      </c>
      <c r="COG3425" s="34">
        <v>-2</v>
      </c>
      <c r="COH3425" s="34">
        <v>-3</v>
      </c>
      <c r="COI3425" s="34">
        <v>-4</v>
      </c>
      <c r="COJ3425" s="34">
        <v>-5</v>
      </c>
      <c r="COK3425" s="908"/>
      <c r="COL3425" s="909"/>
      <c r="COM3425" s="34">
        <v>-5</v>
      </c>
      <c r="CON3425" s="34">
        <v>-4.5</v>
      </c>
      <c r="COO3425" s="34">
        <v>-4</v>
      </c>
      <c r="COP3425" s="34">
        <v>-3.5</v>
      </c>
      <c r="COQ3425" s="34">
        <v>-3</v>
      </c>
      <c r="COR3425" s="34">
        <v>-2.5</v>
      </c>
      <c r="COS3425" s="34">
        <v>-2</v>
      </c>
      <c r="COT3425" s="34">
        <v>-1.5</v>
      </c>
      <c r="COU3425" s="34">
        <v>-1</v>
      </c>
      <c r="COV3425" s="34">
        <v>-0.5</v>
      </c>
      <c r="COW3425" s="34">
        <v>0</v>
      </c>
      <c r="COX3425" s="34">
        <v>0.5</v>
      </c>
      <c r="COY3425" s="34">
        <v>1</v>
      </c>
      <c r="COZ3425" s="34">
        <v>1.5</v>
      </c>
      <c r="CPA3425" s="34">
        <v>2</v>
      </c>
      <c r="CPB3425" s="34">
        <v>2.5</v>
      </c>
      <c r="CPC3425" s="34">
        <v>3</v>
      </c>
      <c r="CPD3425" s="34">
        <v>3.5</v>
      </c>
      <c r="CPE3425" s="34">
        <v>4</v>
      </c>
      <c r="CPF3425" s="34">
        <v>4.5</v>
      </c>
      <c r="CPG3425" s="34">
        <v>5</v>
      </c>
      <c r="CPI3425" s="913"/>
      <c r="CPJ3425" s="31">
        <v>1</v>
      </c>
      <c r="CPK3425" s="34">
        <v>0</v>
      </c>
      <c r="CPL3425" s="34">
        <v>-1</v>
      </c>
      <c r="CPM3425" s="34">
        <v>-2</v>
      </c>
      <c r="CPN3425" s="34">
        <v>-3</v>
      </c>
      <c r="CPO3425" s="34">
        <v>-4</v>
      </c>
      <c r="CPP3425" s="34">
        <v>-5</v>
      </c>
      <c r="CPQ3425" s="908"/>
      <c r="CPR3425" s="909"/>
      <c r="CPS3425" s="34">
        <v>-5</v>
      </c>
      <c r="CPT3425" s="34">
        <v>-4.5</v>
      </c>
      <c r="CPU3425" s="34">
        <v>-4</v>
      </c>
      <c r="CPV3425" s="34">
        <v>-3.5</v>
      </c>
      <c r="CPW3425" s="34">
        <v>-3</v>
      </c>
      <c r="CPX3425" s="34">
        <v>-2.5</v>
      </c>
      <c r="CPY3425" s="34">
        <v>-2</v>
      </c>
      <c r="CPZ3425" s="34">
        <v>-1.5</v>
      </c>
      <c r="CQA3425" s="34">
        <v>-1</v>
      </c>
      <c r="CQB3425" s="34">
        <v>-0.5</v>
      </c>
      <c r="CQC3425" s="34">
        <v>0</v>
      </c>
      <c r="CQD3425" s="34">
        <v>0.5</v>
      </c>
      <c r="CQE3425" s="34">
        <v>1</v>
      </c>
      <c r="CQF3425" s="34">
        <v>1.5</v>
      </c>
      <c r="CQG3425" s="34">
        <v>2</v>
      </c>
      <c r="CQH3425" s="34">
        <v>2.5</v>
      </c>
      <c r="CQI3425" s="34">
        <v>3</v>
      </c>
      <c r="CQJ3425" s="34">
        <v>3.5</v>
      </c>
      <c r="CQK3425" s="34">
        <v>4</v>
      </c>
      <c r="CQL3425" s="34">
        <v>4.5</v>
      </c>
      <c r="CQM3425" s="34">
        <v>5</v>
      </c>
      <c r="CQO3425" s="913"/>
      <c r="CQP3425" s="31">
        <v>1</v>
      </c>
      <c r="CQQ3425" s="34">
        <v>0</v>
      </c>
      <c r="CQR3425" s="34">
        <v>-1</v>
      </c>
      <c r="CQS3425" s="34">
        <v>-2</v>
      </c>
      <c r="CQT3425" s="34">
        <v>-3</v>
      </c>
      <c r="CQU3425" s="34">
        <v>-4</v>
      </c>
      <c r="CQV3425" s="34">
        <v>-5</v>
      </c>
      <c r="CQW3425" s="908"/>
      <c r="CQX3425" s="909"/>
      <c r="CQY3425" s="34">
        <v>-5</v>
      </c>
      <c r="CQZ3425" s="34">
        <v>-4.5</v>
      </c>
      <c r="CRA3425" s="34">
        <v>-4</v>
      </c>
      <c r="CRB3425" s="34">
        <v>-3.5</v>
      </c>
      <c r="CRC3425" s="34">
        <v>-3</v>
      </c>
      <c r="CRD3425" s="34">
        <v>-2.5</v>
      </c>
      <c r="CRE3425" s="34">
        <v>-2</v>
      </c>
      <c r="CRF3425" s="34">
        <v>-1.5</v>
      </c>
      <c r="CRG3425" s="34">
        <v>-1</v>
      </c>
      <c r="CRH3425" s="34">
        <v>-0.5</v>
      </c>
      <c r="CRI3425" s="34">
        <v>0</v>
      </c>
      <c r="CRJ3425" s="34">
        <v>0.5</v>
      </c>
      <c r="CRK3425" s="34">
        <v>1</v>
      </c>
      <c r="CRL3425" s="34">
        <v>1.5</v>
      </c>
      <c r="CRM3425" s="34">
        <v>2</v>
      </c>
      <c r="CRN3425" s="34">
        <v>2.5</v>
      </c>
      <c r="CRO3425" s="34">
        <v>3</v>
      </c>
      <c r="CRP3425" s="34">
        <v>3.5</v>
      </c>
      <c r="CRQ3425" s="34">
        <v>4</v>
      </c>
      <c r="CRR3425" s="34">
        <v>4.5</v>
      </c>
      <c r="CRS3425" s="34">
        <v>5</v>
      </c>
      <c r="CRU3425" s="913"/>
      <c r="CRV3425" s="31">
        <v>1</v>
      </c>
      <c r="CRW3425" s="34">
        <v>0</v>
      </c>
      <c r="CRX3425" s="34">
        <v>-1</v>
      </c>
      <c r="CRY3425" s="34">
        <v>-2</v>
      </c>
      <c r="CRZ3425" s="34">
        <v>-3</v>
      </c>
      <c r="CSA3425" s="34">
        <v>-4</v>
      </c>
      <c r="CSB3425" s="34">
        <v>-5</v>
      </c>
      <c r="CSC3425" s="908"/>
      <c r="CSD3425" s="909"/>
      <c r="CSE3425" s="34">
        <v>-5</v>
      </c>
      <c r="CSF3425" s="34">
        <v>-4.5</v>
      </c>
      <c r="CSG3425" s="34">
        <v>-4</v>
      </c>
      <c r="CSH3425" s="34">
        <v>-3.5</v>
      </c>
      <c r="CSI3425" s="34">
        <v>-3</v>
      </c>
      <c r="CSJ3425" s="34">
        <v>-2.5</v>
      </c>
      <c r="CSK3425" s="34">
        <v>-2</v>
      </c>
      <c r="CSL3425" s="34">
        <v>-1.5</v>
      </c>
      <c r="CSM3425" s="34">
        <v>-1</v>
      </c>
      <c r="CSN3425" s="34">
        <v>-0.5</v>
      </c>
      <c r="CSO3425" s="34">
        <v>0</v>
      </c>
      <c r="CSP3425" s="34">
        <v>0.5</v>
      </c>
      <c r="CSQ3425" s="34">
        <v>1</v>
      </c>
      <c r="CSR3425" s="34">
        <v>1.5</v>
      </c>
      <c r="CSS3425" s="34">
        <v>2</v>
      </c>
      <c r="CST3425" s="34">
        <v>2.5</v>
      </c>
      <c r="CSU3425" s="34">
        <v>3</v>
      </c>
      <c r="CSV3425" s="34">
        <v>3.5</v>
      </c>
      <c r="CSW3425" s="34">
        <v>4</v>
      </c>
      <c r="CSX3425" s="34">
        <v>4.5</v>
      </c>
      <c r="CSY3425" s="34">
        <v>5</v>
      </c>
      <c r="CTA3425" s="913"/>
      <c r="CTB3425" s="31">
        <v>1</v>
      </c>
      <c r="CTC3425" s="34">
        <v>0</v>
      </c>
      <c r="CTD3425" s="34">
        <v>-1</v>
      </c>
      <c r="CTE3425" s="34">
        <v>-2</v>
      </c>
      <c r="CTF3425" s="34">
        <v>-3</v>
      </c>
      <c r="CTG3425" s="34">
        <v>-4</v>
      </c>
      <c r="CTH3425" s="34">
        <v>-5</v>
      </c>
      <c r="CTI3425" s="908"/>
      <c r="CTJ3425" s="909"/>
      <c r="CTK3425" s="34">
        <v>-5</v>
      </c>
      <c r="CTL3425" s="34">
        <v>-4.5</v>
      </c>
      <c r="CTM3425" s="34">
        <v>-4</v>
      </c>
      <c r="CTN3425" s="34">
        <v>-3.5</v>
      </c>
      <c r="CTO3425" s="34">
        <v>-3</v>
      </c>
      <c r="CTP3425" s="34">
        <v>-2.5</v>
      </c>
      <c r="CTQ3425" s="34">
        <v>-2</v>
      </c>
      <c r="CTR3425" s="34">
        <v>-1.5</v>
      </c>
      <c r="CTS3425" s="34">
        <v>-1</v>
      </c>
      <c r="CTT3425" s="34">
        <v>-0.5</v>
      </c>
      <c r="CTU3425" s="34">
        <v>0</v>
      </c>
      <c r="CTV3425" s="34">
        <v>0.5</v>
      </c>
      <c r="CTW3425" s="34">
        <v>1</v>
      </c>
      <c r="CTX3425" s="34">
        <v>1.5</v>
      </c>
      <c r="CTY3425" s="34">
        <v>2</v>
      </c>
      <c r="CTZ3425" s="34">
        <v>2.5</v>
      </c>
      <c r="CUA3425" s="34">
        <v>3</v>
      </c>
      <c r="CUB3425" s="34">
        <v>3.5</v>
      </c>
      <c r="CUC3425" s="34">
        <v>4</v>
      </c>
      <c r="CUD3425" s="34">
        <v>4.5</v>
      </c>
      <c r="CUE3425" s="34">
        <v>5</v>
      </c>
      <c r="CUG3425" s="913"/>
      <c r="CUH3425" s="31">
        <v>1</v>
      </c>
      <c r="CUI3425" s="34">
        <v>0</v>
      </c>
      <c r="CUJ3425" s="34">
        <v>-1</v>
      </c>
      <c r="CUK3425" s="34">
        <v>-2</v>
      </c>
      <c r="CUL3425" s="34">
        <v>-3</v>
      </c>
      <c r="CUM3425" s="34">
        <v>-4</v>
      </c>
      <c r="CUN3425" s="34">
        <v>-5</v>
      </c>
      <c r="CUO3425" s="908"/>
      <c r="CUP3425" s="909"/>
      <c r="CUQ3425" s="34">
        <v>-5</v>
      </c>
      <c r="CUR3425" s="34">
        <v>-4.5</v>
      </c>
      <c r="CUS3425" s="34">
        <v>-4</v>
      </c>
      <c r="CUT3425" s="34">
        <v>-3.5</v>
      </c>
      <c r="CUU3425" s="34">
        <v>-3</v>
      </c>
      <c r="CUV3425" s="34">
        <v>-2.5</v>
      </c>
      <c r="CUW3425" s="34">
        <v>-2</v>
      </c>
      <c r="CUX3425" s="34">
        <v>-1.5</v>
      </c>
      <c r="CUY3425" s="34">
        <v>-1</v>
      </c>
      <c r="CUZ3425" s="34">
        <v>-0.5</v>
      </c>
      <c r="CVA3425" s="34">
        <v>0</v>
      </c>
      <c r="CVB3425" s="34">
        <v>0.5</v>
      </c>
      <c r="CVC3425" s="34">
        <v>1</v>
      </c>
      <c r="CVD3425" s="34">
        <v>1.5</v>
      </c>
      <c r="CVE3425" s="34">
        <v>2</v>
      </c>
      <c r="CVF3425" s="34">
        <v>2.5</v>
      </c>
      <c r="CVG3425" s="34">
        <v>3</v>
      </c>
      <c r="CVH3425" s="34">
        <v>3.5</v>
      </c>
      <c r="CVI3425" s="34">
        <v>4</v>
      </c>
      <c r="CVJ3425" s="34">
        <v>4.5</v>
      </c>
      <c r="CVK3425" s="34">
        <v>5</v>
      </c>
      <c r="CVM3425" s="913"/>
      <c r="CVN3425" s="31">
        <v>1</v>
      </c>
      <c r="CVO3425" s="34">
        <v>0</v>
      </c>
      <c r="CVP3425" s="34">
        <v>-1</v>
      </c>
      <c r="CVQ3425" s="34">
        <v>-2</v>
      </c>
      <c r="CVR3425" s="34">
        <v>-3</v>
      </c>
      <c r="CVS3425" s="34">
        <v>-4</v>
      </c>
      <c r="CVT3425" s="34">
        <v>-5</v>
      </c>
      <c r="CVU3425" s="908"/>
      <c r="CVV3425" s="909"/>
      <c r="CVW3425" s="34">
        <v>-5</v>
      </c>
      <c r="CVX3425" s="34">
        <v>-4.5</v>
      </c>
      <c r="CVY3425" s="34">
        <v>-4</v>
      </c>
      <c r="CVZ3425" s="34">
        <v>-3.5</v>
      </c>
      <c r="CWA3425" s="34">
        <v>-3</v>
      </c>
      <c r="CWB3425" s="34">
        <v>-2.5</v>
      </c>
      <c r="CWC3425" s="34">
        <v>-2</v>
      </c>
      <c r="CWD3425" s="34">
        <v>-1.5</v>
      </c>
      <c r="CWE3425" s="34">
        <v>-1</v>
      </c>
      <c r="CWF3425" s="34">
        <v>-0.5</v>
      </c>
      <c r="CWG3425" s="34">
        <v>0</v>
      </c>
      <c r="CWH3425" s="34">
        <v>0.5</v>
      </c>
      <c r="CWI3425" s="34">
        <v>1</v>
      </c>
      <c r="CWJ3425" s="34">
        <v>1.5</v>
      </c>
      <c r="CWK3425" s="34">
        <v>2</v>
      </c>
      <c r="CWL3425" s="34">
        <v>2.5</v>
      </c>
      <c r="CWM3425" s="34">
        <v>3</v>
      </c>
      <c r="CWN3425" s="34">
        <v>3.5</v>
      </c>
      <c r="CWO3425" s="34">
        <v>4</v>
      </c>
      <c r="CWP3425" s="34">
        <v>4.5</v>
      </c>
      <c r="CWQ3425" s="34">
        <v>5</v>
      </c>
      <c r="CWS3425" s="913"/>
      <c r="CWT3425" s="31">
        <v>1</v>
      </c>
      <c r="CWU3425" s="34">
        <v>0</v>
      </c>
      <c r="CWV3425" s="34">
        <v>-1</v>
      </c>
      <c r="CWW3425" s="34">
        <v>-2</v>
      </c>
      <c r="CWX3425" s="34">
        <v>-3</v>
      </c>
      <c r="CWY3425" s="34">
        <v>-4</v>
      </c>
      <c r="CWZ3425" s="34">
        <v>-5</v>
      </c>
      <c r="CXA3425" s="908"/>
      <c r="CXB3425" s="909"/>
      <c r="CXC3425" s="34">
        <v>-5</v>
      </c>
      <c r="CXD3425" s="34">
        <v>-4.5</v>
      </c>
      <c r="CXE3425" s="34">
        <v>-4</v>
      </c>
      <c r="CXF3425" s="34">
        <v>-3.5</v>
      </c>
      <c r="CXG3425" s="34">
        <v>-3</v>
      </c>
      <c r="CXH3425" s="34">
        <v>-2.5</v>
      </c>
      <c r="CXI3425" s="34">
        <v>-2</v>
      </c>
      <c r="CXJ3425" s="34">
        <v>-1.5</v>
      </c>
      <c r="CXK3425" s="34">
        <v>-1</v>
      </c>
      <c r="CXL3425" s="34">
        <v>-0.5</v>
      </c>
      <c r="CXM3425" s="34">
        <v>0</v>
      </c>
      <c r="CXN3425" s="34">
        <v>0.5</v>
      </c>
      <c r="CXO3425" s="34">
        <v>1</v>
      </c>
      <c r="CXP3425" s="34">
        <v>1.5</v>
      </c>
      <c r="CXQ3425" s="34">
        <v>2</v>
      </c>
      <c r="CXR3425" s="34">
        <v>2.5</v>
      </c>
      <c r="CXS3425" s="34">
        <v>3</v>
      </c>
      <c r="CXT3425" s="34">
        <v>3.5</v>
      </c>
      <c r="CXU3425" s="34">
        <v>4</v>
      </c>
      <c r="CXV3425" s="34">
        <v>4.5</v>
      </c>
      <c r="CXW3425" s="34">
        <v>5</v>
      </c>
      <c r="CXY3425" s="913"/>
      <c r="CXZ3425" s="31">
        <v>1</v>
      </c>
      <c r="CYA3425" s="34">
        <v>0</v>
      </c>
      <c r="CYB3425" s="34">
        <v>-1</v>
      </c>
      <c r="CYC3425" s="34">
        <v>-2</v>
      </c>
      <c r="CYD3425" s="34">
        <v>-3</v>
      </c>
      <c r="CYE3425" s="34">
        <v>-4</v>
      </c>
      <c r="CYF3425" s="34">
        <v>-5</v>
      </c>
      <c r="CYG3425" s="908"/>
      <c r="CYH3425" s="909"/>
      <c r="CYI3425" s="34">
        <v>-5</v>
      </c>
      <c r="CYJ3425" s="34">
        <v>-4.5</v>
      </c>
      <c r="CYK3425" s="34">
        <v>-4</v>
      </c>
      <c r="CYL3425" s="34">
        <v>-3.5</v>
      </c>
      <c r="CYM3425" s="34">
        <v>-3</v>
      </c>
      <c r="CYN3425" s="34">
        <v>-2.5</v>
      </c>
      <c r="CYO3425" s="34">
        <v>-2</v>
      </c>
      <c r="CYP3425" s="34">
        <v>-1.5</v>
      </c>
      <c r="CYQ3425" s="34">
        <v>-1</v>
      </c>
      <c r="CYR3425" s="34">
        <v>-0.5</v>
      </c>
      <c r="CYS3425" s="34">
        <v>0</v>
      </c>
      <c r="CYT3425" s="34">
        <v>0.5</v>
      </c>
      <c r="CYU3425" s="34">
        <v>1</v>
      </c>
      <c r="CYV3425" s="34">
        <v>1.5</v>
      </c>
      <c r="CYW3425" s="34">
        <v>2</v>
      </c>
      <c r="CYX3425" s="34">
        <v>2.5</v>
      </c>
      <c r="CYY3425" s="34">
        <v>3</v>
      </c>
      <c r="CYZ3425" s="34">
        <v>3.5</v>
      </c>
      <c r="CZA3425" s="34">
        <v>4</v>
      </c>
      <c r="CZB3425" s="34">
        <v>4.5</v>
      </c>
      <c r="CZC3425" s="34">
        <v>5</v>
      </c>
      <c r="CZE3425" s="913"/>
      <c r="CZF3425" s="31">
        <v>1</v>
      </c>
      <c r="CZG3425" s="34">
        <v>0</v>
      </c>
      <c r="CZH3425" s="34">
        <v>-1</v>
      </c>
      <c r="CZI3425" s="34">
        <v>-2</v>
      </c>
      <c r="CZJ3425" s="34">
        <v>-3</v>
      </c>
      <c r="CZK3425" s="34">
        <v>-4</v>
      </c>
      <c r="CZL3425" s="34">
        <v>-5</v>
      </c>
      <c r="CZM3425" s="908"/>
      <c r="CZN3425" s="909"/>
      <c r="CZO3425" s="34">
        <v>-5</v>
      </c>
      <c r="CZP3425" s="34">
        <v>-4.5</v>
      </c>
      <c r="CZQ3425" s="34">
        <v>-4</v>
      </c>
      <c r="CZR3425" s="34">
        <v>-3.5</v>
      </c>
      <c r="CZS3425" s="34">
        <v>-3</v>
      </c>
      <c r="CZT3425" s="34">
        <v>-2.5</v>
      </c>
      <c r="CZU3425" s="34">
        <v>-2</v>
      </c>
      <c r="CZV3425" s="34">
        <v>-1.5</v>
      </c>
      <c r="CZW3425" s="34">
        <v>-1</v>
      </c>
      <c r="CZX3425" s="34">
        <v>-0.5</v>
      </c>
      <c r="CZY3425" s="34">
        <v>0</v>
      </c>
      <c r="CZZ3425" s="34">
        <v>0.5</v>
      </c>
      <c r="DAA3425" s="34">
        <v>1</v>
      </c>
      <c r="DAB3425" s="34">
        <v>1.5</v>
      </c>
      <c r="DAC3425" s="34">
        <v>2</v>
      </c>
      <c r="DAD3425" s="34">
        <v>2.5</v>
      </c>
      <c r="DAE3425" s="34">
        <v>3</v>
      </c>
      <c r="DAF3425" s="34">
        <v>3.5</v>
      </c>
      <c r="DAG3425" s="34">
        <v>4</v>
      </c>
      <c r="DAH3425" s="34">
        <v>4.5</v>
      </c>
      <c r="DAI3425" s="34">
        <v>5</v>
      </c>
      <c r="DAK3425" s="913"/>
      <c r="DAL3425" s="31">
        <v>1</v>
      </c>
      <c r="DAM3425" s="34">
        <v>0</v>
      </c>
      <c r="DAN3425" s="34">
        <v>-1</v>
      </c>
      <c r="DAO3425" s="34">
        <v>-2</v>
      </c>
      <c r="DAP3425" s="34">
        <v>-3</v>
      </c>
      <c r="DAQ3425" s="34">
        <v>-4</v>
      </c>
      <c r="DAR3425" s="34">
        <v>-5</v>
      </c>
      <c r="DAS3425" s="908"/>
      <c r="DAT3425" s="909"/>
      <c r="DAU3425" s="34">
        <v>-5</v>
      </c>
      <c r="DAV3425" s="34">
        <v>-4.5</v>
      </c>
      <c r="DAW3425" s="34">
        <v>-4</v>
      </c>
      <c r="DAX3425" s="34">
        <v>-3.5</v>
      </c>
      <c r="DAY3425" s="34">
        <v>-3</v>
      </c>
      <c r="DAZ3425" s="34">
        <v>-2.5</v>
      </c>
      <c r="DBA3425" s="34">
        <v>-2</v>
      </c>
      <c r="DBB3425" s="34">
        <v>-1.5</v>
      </c>
      <c r="DBC3425" s="34">
        <v>-1</v>
      </c>
      <c r="DBD3425" s="34">
        <v>-0.5</v>
      </c>
      <c r="DBE3425" s="34">
        <v>0</v>
      </c>
      <c r="DBF3425" s="34">
        <v>0.5</v>
      </c>
      <c r="DBG3425" s="34">
        <v>1</v>
      </c>
      <c r="DBH3425" s="34">
        <v>1.5</v>
      </c>
      <c r="DBI3425" s="34">
        <v>2</v>
      </c>
      <c r="DBJ3425" s="34">
        <v>2.5</v>
      </c>
      <c r="DBK3425" s="34">
        <v>3</v>
      </c>
      <c r="DBL3425" s="34">
        <v>3.5</v>
      </c>
      <c r="DBM3425" s="34">
        <v>4</v>
      </c>
      <c r="DBN3425" s="34">
        <v>4.5</v>
      </c>
      <c r="DBO3425" s="34">
        <v>5</v>
      </c>
      <c r="DBQ3425" s="913"/>
      <c r="DBR3425" s="31">
        <v>1</v>
      </c>
      <c r="DBS3425" s="34">
        <v>0</v>
      </c>
      <c r="DBT3425" s="34">
        <v>-1</v>
      </c>
      <c r="DBU3425" s="34">
        <v>-2</v>
      </c>
      <c r="DBV3425" s="34">
        <v>-3</v>
      </c>
      <c r="DBW3425" s="34">
        <v>-4</v>
      </c>
      <c r="DBX3425" s="34">
        <v>-5</v>
      </c>
      <c r="DBY3425" s="908"/>
      <c r="DBZ3425" s="909"/>
      <c r="DCA3425" s="34">
        <v>-5</v>
      </c>
      <c r="DCB3425" s="34">
        <v>-4.5</v>
      </c>
      <c r="DCC3425" s="34">
        <v>-4</v>
      </c>
      <c r="DCD3425" s="34">
        <v>-3.5</v>
      </c>
      <c r="DCE3425" s="34">
        <v>-3</v>
      </c>
      <c r="DCF3425" s="34">
        <v>-2.5</v>
      </c>
      <c r="DCG3425" s="34">
        <v>-2</v>
      </c>
      <c r="DCH3425" s="34">
        <v>-1.5</v>
      </c>
      <c r="DCI3425" s="34">
        <v>-1</v>
      </c>
      <c r="DCJ3425" s="34">
        <v>-0.5</v>
      </c>
      <c r="DCK3425" s="34">
        <v>0</v>
      </c>
      <c r="DCL3425" s="34">
        <v>0.5</v>
      </c>
      <c r="DCM3425" s="34">
        <v>1</v>
      </c>
      <c r="DCN3425" s="34">
        <v>1.5</v>
      </c>
      <c r="DCO3425" s="34">
        <v>2</v>
      </c>
      <c r="DCP3425" s="34">
        <v>2.5</v>
      </c>
      <c r="DCQ3425" s="34">
        <v>3</v>
      </c>
      <c r="DCR3425" s="34">
        <v>3.5</v>
      </c>
      <c r="DCS3425" s="34">
        <v>4</v>
      </c>
      <c r="DCT3425" s="34">
        <v>4.5</v>
      </c>
      <c r="DCU3425" s="34">
        <v>5</v>
      </c>
      <c r="DCW3425" s="913"/>
      <c r="DCX3425" s="31">
        <v>1</v>
      </c>
      <c r="DCY3425" s="34">
        <v>0</v>
      </c>
      <c r="DCZ3425" s="34">
        <v>-1</v>
      </c>
      <c r="DDA3425" s="34">
        <v>-2</v>
      </c>
      <c r="DDB3425" s="34">
        <v>-3</v>
      </c>
      <c r="DDC3425" s="34">
        <v>-4</v>
      </c>
      <c r="DDD3425" s="34">
        <v>-5</v>
      </c>
      <c r="DDE3425" s="908"/>
      <c r="DDF3425" s="909"/>
      <c r="DDG3425" s="34">
        <v>-5</v>
      </c>
      <c r="DDH3425" s="34">
        <v>-4.5</v>
      </c>
      <c r="DDI3425" s="34">
        <v>-4</v>
      </c>
      <c r="DDJ3425" s="34">
        <v>-3.5</v>
      </c>
      <c r="DDK3425" s="34">
        <v>-3</v>
      </c>
      <c r="DDL3425" s="34">
        <v>-2.5</v>
      </c>
      <c r="DDM3425" s="34">
        <v>-2</v>
      </c>
      <c r="DDN3425" s="34">
        <v>-1.5</v>
      </c>
      <c r="DDO3425" s="34">
        <v>-1</v>
      </c>
      <c r="DDP3425" s="34">
        <v>-0.5</v>
      </c>
      <c r="DDQ3425" s="34">
        <v>0</v>
      </c>
      <c r="DDR3425" s="34">
        <v>0.5</v>
      </c>
      <c r="DDS3425" s="34">
        <v>1</v>
      </c>
      <c r="DDT3425" s="34">
        <v>1.5</v>
      </c>
      <c r="DDU3425" s="34">
        <v>2</v>
      </c>
      <c r="DDV3425" s="34">
        <v>2.5</v>
      </c>
      <c r="DDW3425" s="34">
        <v>3</v>
      </c>
      <c r="DDX3425" s="34">
        <v>3.5</v>
      </c>
      <c r="DDY3425" s="34">
        <v>4</v>
      </c>
      <c r="DDZ3425" s="34">
        <v>4.5</v>
      </c>
      <c r="DEA3425" s="34">
        <v>5</v>
      </c>
      <c r="DEC3425" s="913"/>
      <c r="DED3425" s="31">
        <v>1</v>
      </c>
      <c r="DEE3425" s="34">
        <v>0</v>
      </c>
      <c r="DEF3425" s="34">
        <v>-1</v>
      </c>
      <c r="DEG3425" s="34">
        <v>-2</v>
      </c>
      <c r="DEH3425" s="34">
        <v>-3</v>
      </c>
      <c r="DEI3425" s="34">
        <v>-4</v>
      </c>
      <c r="DEJ3425" s="34">
        <v>-5</v>
      </c>
      <c r="DEK3425" s="908"/>
      <c r="DEL3425" s="909"/>
      <c r="DEM3425" s="34">
        <v>-5</v>
      </c>
      <c r="DEN3425" s="34">
        <v>-4.5</v>
      </c>
      <c r="DEO3425" s="34">
        <v>-4</v>
      </c>
      <c r="DEP3425" s="34">
        <v>-3.5</v>
      </c>
      <c r="DEQ3425" s="34">
        <v>-3</v>
      </c>
      <c r="DER3425" s="34">
        <v>-2.5</v>
      </c>
      <c r="DES3425" s="34">
        <v>-2</v>
      </c>
      <c r="DET3425" s="34">
        <v>-1.5</v>
      </c>
      <c r="DEU3425" s="34">
        <v>-1</v>
      </c>
      <c r="DEV3425" s="34">
        <v>-0.5</v>
      </c>
      <c r="DEW3425" s="34">
        <v>0</v>
      </c>
      <c r="DEX3425" s="34">
        <v>0.5</v>
      </c>
      <c r="DEY3425" s="34">
        <v>1</v>
      </c>
      <c r="DEZ3425" s="34">
        <v>1.5</v>
      </c>
      <c r="DFA3425" s="34">
        <v>2</v>
      </c>
      <c r="DFB3425" s="34">
        <v>2.5</v>
      </c>
      <c r="DFC3425" s="34">
        <v>3</v>
      </c>
      <c r="DFD3425" s="34">
        <v>3.5</v>
      </c>
      <c r="DFE3425" s="34">
        <v>4</v>
      </c>
      <c r="DFF3425" s="34">
        <v>4.5</v>
      </c>
      <c r="DFG3425" s="34">
        <v>5</v>
      </c>
      <c r="DFI3425" s="913"/>
      <c r="DFJ3425" s="31">
        <v>1</v>
      </c>
      <c r="DFK3425" s="34">
        <v>0</v>
      </c>
      <c r="DFL3425" s="34">
        <v>-1</v>
      </c>
      <c r="DFM3425" s="34">
        <v>-2</v>
      </c>
      <c r="DFN3425" s="34">
        <v>-3</v>
      </c>
      <c r="DFO3425" s="34">
        <v>-4</v>
      </c>
      <c r="DFP3425" s="34">
        <v>-5</v>
      </c>
      <c r="DFQ3425" s="908"/>
      <c r="DFR3425" s="909"/>
      <c r="DFS3425" s="34">
        <v>-5</v>
      </c>
      <c r="DFT3425" s="34">
        <v>-4.5</v>
      </c>
      <c r="DFU3425" s="34">
        <v>-4</v>
      </c>
      <c r="DFV3425" s="34">
        <v>-3.5</v>
      </c>
      <c r="DFW3425" s="34">
        <v>-3</v>
      </c>
      <c r="DFX3425" s="34">
        <v>-2.5</v>
      </c>
      <c r="DFY3425" s="34">
        <v>-2</v>
      </c>
      <c r="DFZ3425" s="34">
        <v>-1.5</v>
      </c>
      <c r="DGA3425" s="34">
        <v>-1</v>
      </c>
      <c r="DGB3425" s="34">
        <v>-0.5</v>
      </c>
      <c r="DGC3425" s="34">
        <v>0</v>
      </c>
      <c r="DGD3425" s="34">
        <v>0.5</v>
      </c>
      <c r="DGE3425" s="34">
        <v>1</v>
      </c>
      <c r="DGF3425" s="34">
        <v>1.5</v>
      </c>
      <c r="DGG3425" s="34">
        <v>2</v>
      </c>
      <c r="DGH3425" s="34">
        <v>2.5</v>
      </c>
      <c r="DGI3425" s="34">
        <v>3</v>
      </c>
      <c r="DGJ3425" s="34">
        <v>3.5</v>
      </c>
      <c r="DGK3425" s="34">
        <v>4</v>
      </c>
      <c r="DGL3425" s="34">
        <v>4.5</v>
      </c>
      <c r="DGM3425" s="34">
        <v>5</v>
      </c>
      <c r="DGO3425" s="913"/>
      <c r="DGP3425" s="31">
        <v>1</v>
      </c>
      <c r="DGQ3425" s="34">
        <v>0</v>
      </c>
      <c r="DGR3425" s="34">
        <v>-1</v>
      </c>
      <c r="DGS3425" s="34">
        <v>-2</v>
      </c>
      <c r="DGT3425" s="34">
        <v>-3</v>
      </c>
      <c r="DGU3425" s="34">
        <v>-4</v>
      </c>
      <c r="DGV3425" s="34">
        <v>-5</v>
      </c>
      <c r="DGW3425" s="908"/>
      <c r="DGX3425" s="909"/>
      <c r="DGY3425" s="34">
        <v>-5</v>
      </c>
      <c r="DGZ3425" s="34">
        <v>-4.5</v>
      </c>
      <c r="DHA3425" s="34">
        <v>-4</v>
      </c>
      <c r="DHB3425" s="34">
        <v>-3.5</v>
      </c>
      <c r="DHC3425" s="34">
        <v>-3</v>
      </c>
      <c r="DHD3425" s="34">
        <v>-2.5</v>
      </c>
      <c r="DHE3425" s="34">
        <v>-2</v>
      </c>
      <c r="DHF3425" s="34">
        <v>-1.5</v>
      </c>
      <c r="DHG3425" s="34">
        <v>-1</v>
      </c>
      <c r="DHH3425" s="34">
        <v>-0.5</v>
      </c>
      <c r="DHI3425" s="34">
        <v>0</v>
      </c>
      <c r="DHJ3425" s="34">
        <v>0.5</v>
      </c>
      <c r="DHK3425" s="34">
        <v>1</v>
      </c>
      <c r="DHL3425" s="34">
        <v>1.5</v>
      </c>
      <c r="DHM3425" s="34">
        <v>2</v>
      </c>
      <c r="DHN3425" s="34">
        <v>2.5</v>
      </c>
      <c r="DHO3425" s="34">
        <v>3</v>
      </c>
      <c r="DHP3425" s="34">
        <v>3.5</v>
      </c>
      <c r="DHQ3425" s="34">
        <v>4</v>
      </c>
      <c r="DHR3425" s="34">
        <v>4.5</v>
      </c>
      <c r="DHS3425" s="34">
        <v>5</v>
      </c>
      <c r="DHU3425" s="913"/>
      <c r="DHV3425" s="31">
        <v>1</v>
      </c>
      <c r="DHW3425" s="34">
        <v>0</v>
      </c>
      <c r="DHX3425" s="34">
        <v>-1</v>
      </c>
      <c r="DHY3425" s="34">
        <v>-2</v>
      </c>
      <c r="DHZ3425" s="34">
        <v>-3</v>
      </c>
      <c r="DIA3425" s="34">
        <v>-4</v>
      </c>
      <c r="DIB3425" s="34">
        <v>-5</v>
      </c>
      <c r="DIC3425" s="908"/>
      <c r="DID3425" s="909"/>
      <c r="DIE3425" s="34">
        <v>-5</v>
      </c>
      <c r="DIF3425" s="34">
        <v>-4.5</v>
      </c>
      <c r="DIG3425" s="34">
        <v>-4</v>
      </c>
      <c r="DIH3425" s="34">
        <v>-3.5</v>
      </c>
      <c r="DII3425" s="34">
        <v>-3</v>
      </c>
      <c r="DIJ3425" s="34">
        <v>-2.5</v>
      </c>
      <c r="DIK3425" s="34">
        <v>-2</v>
      </c>
      <c r="DIL3425" s="34">
        <v>-1.5</v>
      </c>
      <c r="DIM3425" s="34">
        <v>-1</v>
      </c>
      <c r="DIN3425" s="34">
        <v>-0.5</v>
      </c>
      <c r="DIO3425" s="34">
        <v>0</v>
      </c>
      <c r="DIP3425" s="34">
        <v>0.5</v>
      </c>
      <c r="DIQ3425" s="34">
        <v>1</v>
      </c>
      <c r="DIR3425" s="34">
        <v>1.5</v>
      </c>
      <c r="DIS3425" s="34">
        <v>2</v>
      </c>
      <c r="DIT3425" s="34">
        <v>2.5</v>
      </c>
      <c r="DIU3425" s="34">
        <v>3</v>
      </c>
      <c r="DIV3425" s="34">
        <v>3.5</v>
      </c>
      <c r="DIW3425" s="34">
        <v>4</v>
      </c>
      <c r="DIX3425" s="34">
        <v>4.5</v>
      </c>
      <c r="DIY3425" s="34">
        <v>5</v>
      </c>
      <c r="DJA3425" s="913"/>
      <c r="DJB3425" s="31">
        <v>1</v>
      </c>
      <c r="DJC3425" s="34">
        <v>0</v>
      </c>
      <c r="DJD3425" s="34">
        <v>-1</v>
      </c>
      <c r="DJE3425" s="34">
        <v>-2</v>
      </c>
      <c r="DJF3425" s="34">
        <v>-3</v>
      </c>
      <c r="DJG3425" s="34">
        <v>-4</v>
      </c>
      <c r="DJH3425" s="34">
        <v>-5</v>
      </c>
      <c r="DJI3425" s="908"/>
      <c r="DJJ3425" s="909"/>
      <c r="DJK3425" s="34">
        <v>-5</v>
      </c>
      <c r="DJL3425" s="34">
        <v>-4.5</v>
      </c>
      <c r="DJM3425" s="34">
        <v>-4</v>
      </c>
      <c r="DJN3425" s="34">
        <v>-3.5</v>
      </c>
      <c r="DJO3425" s="34">
        <v>-3</v>
      </c>
      <c r="DJP3425" s="34">
        <v>-2.5</v>
      </c>
      <c r="DJQ3425" s="34">
        <v>-2</v>
      </c>
      <c r="DJR3425" s="34">
        <v>-1.5</v>
      </c>
      <c r="DJS3425" s="34">
        <v>-1</v>
      </c>
      <c r="DJT3425" s="34">
        <v>-0.5</v>
      </c>
      <c r="DJU3425" s="34">
        <v>0</v>
      </c>
      <c r="DJV3425" s="34">
        <v>0.5</v>
      </c>
      <c r="DJW3425" s="34">
        <v>1</v>
      </c>
      <c r="DJX3425" s="34">
        <v>1.5</v>
      </c>
      <c r="DJY3425" s="34">
        <v>2</v>
      </c>
      <c r="DJZ3425" s="34">
        <v>2.5</v>
      </c>
      <c r="DKA3425" s="34">
        <v>3</v>
      </c>
      <c r="DKB3425" s="34">
        <v>3.5</v>
      </c>
      <c r="DKC3425" s="34">
        <v>4</v>
      </c>
      <c r="DKD3425" s="34">
        <v>4.5</v>
      </c>
      <c r="DKE3425" s="34">
        <v>5</v>
      </c>
      <c r="DKG3425" s="913"/>
      <c r="DKH3425" s="31">
        <v>1</v>
      </c>
      <c r="DKI3425" s="34">
        <v>0</v>
      </c>
      <c r="DKJ3425" s="34">
        <v>-1</v>
      </c>
      <c r="DKK3425" s="34">
        <v>-2</v>
      </c>
      <c r="DKL3425" s="34">
        <v>-3</v>
      </c>
      <c r="DKM3425" s="34">
        <v>-4</v>
      </c>
      <c r="DKN3425" s="34">
        <v>-5</v>
      </c>
      <c r="DKO3425" s="908"/>
      <c r="DKP3425" s="909"/>
      <c r="DKQ3425" s="34">
        <v>-5</v>
      </c>
      <c r="DKR3425" s="34">
        <v>-4.5</v>
      </c>
      <c r="DKS3425" s="34">
        <v>-4</v>
      </c>
      <c r="DKT3425" s="34">
        <v>-3.5</v>
      </c>
      <c r="DKU3425" s="34">
        <v>-3</v>
      </c>
      <c r="DKV3425" s="34">
        <v>-2.5</v>
      </c>
      <c r="DKW3425" s="34">
        <v>-2</v>
      </c>
      <c r="DKX3425" s="34">
        <v>-1.5</v>
      </c>
      <c r="DKY3425" s="34">
        <v>-1</v>
      </c>
      <c r="DKZ3425" s="34">
        <v>-0.5</v>
      </c>
      <c r="DLA3425" s="34">
        <v>0</v>
      </c>
      <c r="DLB3425" s="34">
        <v>0.5</v>
      </c>
      <c r="DLC3425" s="34">
        <v>1</v>
      </c>
      <c r="DLD3425" s="34">
        <v>1.5</v>
      </c>
      <c r="DLE3425" s="34">
        <v>2</v>
      </c>
      <c r="DLF3425" s="34">
        <v>2.5</v>
      </c>
      <c r="DLG3425" s="34">
        <v>3</v>
      </c>
      <c r="DLH3425" s="34">
        <v>3.5</v>
      </c>
      <c r="DLI3425" s="34">
        <v>4</v>
      </c>
      <c r="DLJ3425" s="34">
        <v>4.5</v>
      </c>
      <c r="DLK3425" s="34">
        <v>5</v>
      </c>
      <c r="DLM3425" s="913"/>
      <c r="DLN3425" s="31">
        <v>1</v>
      </c>
      <c r="DLO3425" s="34">
        <v>0</v>
      </c>
      <c r="DLP3425" s="34">
        <v>-1</v>
      </c>
      <c r="DLQ3425" s="34">
        <v>-2</v>
      </c>
      <c r="DLR3425" s="34">
        <v>-3</v>
      </c>
      <c r="DLS3425" s="34">
        <v>-4</v>
      </c>
      <c r="DLT3425" s="34">
        <v>-5</v>
      </c>
      <c r="DLU3425" s="908"/>
      <c r="DLV3425" s="909"/>
      <c r="DLW3425" s="34">
        <v>-5</v>
      </c>
      <c r="DLX3425" s="34">
        <v>-4.5</v>
      </c>
      <c r="DLY3425" s="34">
        <v>-4</v>
      </c>
      <c r="DLZ3425" s="34">
        <v>-3.5</v>
      </c>
      <c r="DMA3425" s="34">
        <v>-3</v>
      </c>
      <c r="DMB3425" s="34">
        <v>-2.5</v>
      </c>
      <c r="DMC3425" s="34">
        <v>-2</v>
      </c>
      <c r="DMD3425" s="34">
        <v>-1.5</v>
      </c>
      <c r="DME3425" s="34">
        <v>-1</v>
      </c>
      <c r="DMF3425" s="34">
        <v>-0.5</v>
      </c>
      <c r="DMG3425" s="34">
        <v>0</v>
      </c>
      <c r="DMH3425" s="34">
        <v>0.5</v>
      </c>
      <c r="DMI3425" s="34">
        <v>1</v>
      </c>
      <c r="DMJ3425" s="34">
        <v>1.5</v>
      </c>
      <c r="DMK3425" s="34">
        <v>2</v>
      </c>
      <c r="DML3425" s="34">
        <v>2.5</v>
      </c>
      <c r="DMM3425" s="34">
        <v>3</v>
      </c>
      <c r="DMN3425" s="34">
        <v>3.5</v>
      </c>
      <c r="DMO3425" s="34">
        <v>4</v>
      </c>
      <c r="DMP3425" s="34">
        <v>4.5</v>
      </c>
      <c r="DMQ3425" s="34">
        <v>5</v>
      </c>
      <c r="DMS3425" s="913"/>
      <c r="DMT3425" s="31">
        <v>1</v>
      </c>
      <c r="DMU3425" s="34">
        <v>0</v>
      </c>
      <c r="DMV3425" s="34">
        <v>-1</v>
      </c>
      <c r="DMW3425" s="34">
        <v>-2</v>
      </c>
      <c r="DMX3425" s="34">
        <v>-3</v>
      </c>
      <c r="DMY3425" s="34">
        <v>-4</v>
      </c>
      <c r="DMZ3425" s="34">
        <v>-5</v>
      </c>
      <c r="DNA3425" s="908"/>
      <c r="DNB3425" s="909"/>
      <c r="DNC3425" s="34">
        <v>-5</v>
      </c>
      <c r="DND3425" s="34">
        <v>-4.5</v>
      </c>
      <c r="DNE3425" s="34">
        <v>-4</v>
      </c>
      <c r="DNF3425" s="34">
        <v>-3.5</v>
      </c>
      <c r="DNG3425" s="34">
        <v>-3</v>
      </c>
      <c r="DNH3425" s="34">
        <v>-2.5</v>
      </c>
      <c r="DNI3425" s="34">
        <v>-2</v>
      </c>
      <c r="DNJ3425" s="34">
        <v>-1.5</v>
      </c>
      <c r="DNK3425" s="34">
        <v>-1</v>
      </c>
      <c r="DNL3425" s="34">
        <v>-0.5</v>
      </c>
      <c r="DNM3425" s="34">
        <v>0</v>
      </c>
      <c r="DNN3425" s="34">
        <v>0.5</v>
      </c>
      <c r="DNO3425" s="34">
        <v>1</v>
      </c>
      <c r="DNP3425" s="34">
        <v>1.5</v>
      </c>
      <c r="DNQ3425" s="34">
        <v>2</v>
      </c>
      <c r="DNR3425" s="34">
        <v>2.5</v>
      </c>
      <c r="DNS3425" s="34">
        <v>3</v>
      </c>
      <c r="DNT3425" s="34">
        <v>3.5</v>
      </c>
      <c r="DNU3425" s="34">
        <v>4</v>
      </c>
      <c r="DNV3425" s="34">
        <v>4.5</v>
      </c>
      <c r="DNW3425" s="34">
        <v>5</v>
      </c>
      <c r="DNY3425" s="913"/>
      <c r="DNZ3425" s="31">
        <v>1</v>
      </c>
      <c r="DOA3425" s="34">
        <v>0</v>
      </c>
      <c r="DOB3425" s="34">
        <v>-1</v>
      </c>
      <c r="DOC3425" s="34">
        <v>-2</v>
      </c>
      <c r="DOD3425" s="34">
        <v>-3</v>
      </c>
      <c r="DOE3425" s="34">
        <v>-4</v>
      </c>
      <c r="DOF3425" s="34">
        <v>-5</v>
      </c>
      <c r="DOG3425" s="908"/>
      <c r="DOH3425" s="909"/>
      <c r="DOI3425" s="34">
        <v>-5</v>
      </c>
      <c r="DOJ3425" s="34">
        <v>-4.5</v>
      </c>
      <c r="DOK3425" s="34">
        <v>-4</v>
      </c>
      <c r="DOL3425" s="34">
        <v>-3.5</v>
      </c>
      <c r="DOM3425" s="34">
        <v>-3</v>
      </c>
      <c r="DON3425" s="34">
        <v>-2.5</v>
      </c>
      <c r="DOO3425" s="34">
        <v>-2</v>
      </c>
      <c r="DOP3425" s="34">
        <v>-1.5</v>
      </c>
      <c r="DOQ3425" s="34">
        <v>-1</v>
      </c>
      <c r="DOR3425" s="34">
        <v>-0.5</v>
      </c>
      <c r="DOS3425" s="34">
        <v>0</v>
      </c>
      <c r="DOT3425" s="34">
        <v>0.5</v>
      </c>
      <c r="DOU3425" s="34">
        <v>1</v>
      </c>
      <c r="DOV3425" s="34">
        <v>1.5</v>
      </c>
      <c r="DOW3425" s="34">
        <v>2</v>
      </c>
      <c r="DOX3425" s="34">
        <v>2.5</v>
      </c>
      <c r="DOY3425" s="34">
        <v>3</v>
      </c>
      <c r="DOZ3425" s="34">
        <v>3.5</v>
      </c>
      <c r="DPA3425" s="34">
        <v>4</v>
      </c>
      <c r="DPB3425" s="34">
        <v>4.5</v>
      </c>
      <c r="DPC3425" s="34">
        <v>5</v>
      </c>
      <c r="DPE3425" s="913"/>
      <c r="DPF3425" s="31">
        <v>1</v>
      </c>
      <c r="DPG3425" s="34">
        <v>0</v>
      </c>
      <c r="DPH3425" s="34">
        <v>-1</v>
      </c>
      <c r="DPI3425" s="34">
        <v>-2</v>
      </c>
      <c r="DPJ3425" s="34">
        <v>-3</v>
      </c>
      <c r="DPK3425" s="34">
        <v>-4</v>
      </c>
      <c r="DPL3425" s="34">
        <v>-5</v>
      </c>
      <c r="DPM3425" s="908"/>
      <c r="DPN3425" s="909"/>
      <c r="DPO3425" s="34">
        <v>-5</v>
      </c>
      <c r="DPP3425" s="34">
        <v>-4.5</v>
      </c>
      <c r="DPQ3425" s="34">
        <v>-4</v>
      </c>
      <c r="DPR3425" s="34">
        <v>-3.5</v>
      </c>
      <c r="DPS3425" s="34">
        <v>-3</v>
      </c>
      <c r="DPT3425" s="34">
        <v>-2.5</v>
      </c>
      <c r="DPU3425" s="34">
        <v>-2</v>
      </c>
      <c r="DPV3425" s="34">
        <v>-1.5</v>
      </c>
      <c r="DPW3425" s="34">
        <v>-1</v>
      </c>
      <c r="DPX3425" s="34">
        <v>-0.5</v>
      </c>
      <c r="DPY3425" s="34">
        <v>0</v>
      </c>
      <c r="DPZ3425" s="34">
        <v>0.5</v>
      </c>
      <c r="DQA3425" s="34">
        <v>1</v>
      </c>
      <c r="DQB3425" s="34">
        <v>1.5</v>
      </c>
      <c r="DQC3425" s="34">
        <v>2</v>
      </c>
      <c r="DQD3425" s="34">
        <v>2.5</v>
      </c>
      <c r="DQE3425" s="34">
        <v>3</v>
      </c>
      <c r="DQF3425" s="34">
        <v>3.5</v>
      </c>
      <c r="DQG3425" s="34">
        <v>4</v>
      </c>
      <c r="DQH3425" s="34">
        <v>4.5</v>
      </c>
      <c r="DQI3425" s="34">
        <v>5</v>
      </c>
      <c r="DQK3425" s="913"/>
      <c r="DQL3425" s="31">
        <v>1</v>
      </c>
      <c r="DQM3425" s="34">
        <v>0</v>
      </c>
      <c r="DQN3425" s="34">
        <v>-1</v>
      </c>
      <c r="DQO3425" s="34">
        <v>-2</v>
      </c>
      <c r="DQP3425" s="34">
        <v>-3</v>
      </c>
      <c r="DQQ3425" s="34">
        <v>-4</v>
      </c>
      <c r="DQR3425" s="34">
        <v>-5</v>
      </c>
      <c r="DQS3425" s="908"/>
      <c r="DQT3425" s="909"/>
      <c r="DQU3425" s="34">
        <v>-5</v>
      </c>
      <c r="DQV3425" s="34">
        <v>-4.5</v>
      </c>
      <c r="DQW3425" s="34">
        <v>-4</v>
      </c>
      <c r="DQX3425" s="34">
        <v>-3.5</v>
      </c>
      <c r="DQY3425" s="34">
        <v>-3</v>
      </c>
      <c r="DQZ3425" s="34">
        <v>-2.5</v>
      </c>
      <c r="DRA3425" s="34">
        <v>-2</v>
      </c>
      <c r="DRB3425" s="34">
        <v>-1.5</v>
      </c>
      <c r="DRC3425" s="34">
        <v>-1</v>
      </c>
      <c r="DRD3425" s="34">
        <v>-0.5</v>
      </c>
      <c r="DRE3425" s="34">
        <v>0</v>
      </c>
      <c r="DRF3425" s="34">
        <v>0.5</v>
      </c>
      <c r="DRG3425" s="34">
        <v>1</v>
      </c>
      <c r="DRH3425" s="34">
        <v>1.5</v>
      </c>
      <c r="DRI3425" s="34">
        <v>2</v>
      </c>
      <c r="DRJ3425" s="34">
        <v>2.5</v>
      </c>
      <c r="DRK3425" s="34">
        <v>3</v>
      </c>
      <c r="DRL3425" s="34">
        <v>3.5</v>
      </c>
      <c r="DRM3425" s="34">
        <v>4</v>
      </c>
      <c r="DRN3425" s="34">
        <v>4.5</v>
      </c>
      <c r="DRO3425" s="34">
        <v>5</v>
      </c>
      <c r="DRQ3425" s="913"/>
      <c r="DRR3425" s="31">
        <v>1</v>
      </c>
      <c r="DRS3425" s="34">
        <v>0</v>
      </c>
      <c r="DRT3425" s="34">
        <v>-1</v>
      </c>
      <c r="DRU3425" s="34">
        <v>-2</v>
      </c>
      <c r="DRV3425" s="34">
        <v>-3</v>
      </c>
      <c r="DRW3425" s="34">
        <v>-4</v>
      </c>
      <c r="DRX3425" s="34">
        <v>-5</v>
      </c>
      <c r="DRY3425" s="908"/>
      <c r="DRZ3425" s="909"/>
      <c r="DSA3425" s="34">
        <v>-5</v>
      </c>
      <c r="DSB3425" s="34">
        <v>-4.5</v>
      </c>
      <c r="DSC3425" s="34">
        <v>-4</v>
      </c>
      <c r="DSD3425" s="34">
        <v>-3.5</v>
      </c>
      <c r="DSE3425" s="34">
        <v>-3</v>
      </c>
      <c r="DSF3425" s="34">
        <v>-2.5</v>
      </c>
      <c r="DSG3425" s="34">
        <v>-2</v>
      </c>
      <c r="DSH3425" s="34">
        <v>-1.5</v>
      </c>
      <c r="DSI3425" s="34">
        <v>-1</v>
      </c>
      <c r="DSJ3425" s="34">
        <v>-0.5</v>
      </c>
      <c r="DSK3425" s="34">
        <v>0</v>
      </c>
      <c r="DSL3425" s="34">
        <v>0.5</v>
      </c>
      <c r="DSM3425" s="34">
        <v>1</v>
      </c>
      <c r="DSN3425" s="34">
        <v>1.5</v>
      </c>
      <c r="DSO3425" s="34">
        <v>2</v>
      </c>
      <c r="DSP3425" s="34">
        <v>2.5</v>
      </c>
      <c r="DSQ3425" s="34">
        <v>3</v>
      </c>
      <c r="DSR3425" s="34">
        <v>3.5</v>
      </c>
      <c r="DSS3425" s="34">
        <v>4</v>
      </c>
      <c r="DST3425" s="34">
        <v>4.5</v>
      </c>
      <c r="DSU3425" s="34">
        <v>5</v>
      </c>
      <c r="DSW3425" s="913"/>
      <c r="DSX3425" s="31">
        <v>1</v>
      </c>
      <c r="DSY3425" s="34">
        <v>0</v>
      </c>
      <c r="DSZ3425" s="34">
        <v>-1</v>
      </c>
      <c r="DTA3425" s="34">
        <v>-2</v>
      </c>
      <c r="DTB3425" s="34">
        <v>-3</v>
      </c>
      <c r="DTC3425" s="34">
        <v>-4</v>
      </c>
      <c r="DTD3425" s="34">
        <v>-5</v>
      </c>
      <c r="DTE3425" s="908"/>
      <c r="DTF3425" s="909"/>
      <c r="DTG3425" s="34">
        <v>-5</v>
      </c>
      <c r="DTH3425" s="34">
        <v>-4.5</v>
      </c>
      <c r="DTI3425" s="34">
        <v>-4</v>
      </c>
      <c r="DTJ3425" s="34">
        <v>-3.5</v>
      </c>
      <c r="DTK3425" s="34">
        <v>-3</v>
      </c>
      <c r="DTL3425" s="34">
        <v>-2.5</v>
      </c>
      <c r="DTM3425" s="34">
        <v>-2</v>
      </c>
      <c r="DTN3425" s="34">
        <v>-1.5</v>
      </c>
      <c r="DTO3425" s="34">
        <v>-1</v>
      </c>
      <c r="DTP3425" s="34">
        <v>-0.5</v>
      </c>
      <c r="DTQ3425" s="34">
        <v>0</v>
      </c>
      <c r="DTR3425" s="34">
        <v>0.5</v>
      </c>
      <c r="DTS3425" s="34">
        <v>1</v>
      </c>
      <c r="DTT3425" s="34">
        <v>1.5</v>
      </c>
      <c r="DTU3425" s="34">
        <v>2</v>
      </c>
      <c r="DTV3425" s="34">
        <v>2.5</v>
      </c>
      <c r="DTW3425" s="34">
        <v>3</v>
      </c>
      <c r="DTX3425" s="34">
        <v>3.5</v>
      </c>
      <c r="DTY3425" s="34">
        <v>4</v>
      </c>
      <c r="DTZ3425" s="34">
        <v>4.5</v>
      </c>
      <c r="DUA3425" s="34">
        <v>5</v>
      </c>
      <c r="DUC3425" s="913"/>
      <c r="DUD3425" s="31">
        <v>1</v>
      </c>
      <c r="DUE3425" s="34">
        <v>0</v>
      </c>
      <c r="DUF3425" s="34">
        <v>-1</v>
      </c>
      <c r="DUG3425" s="34">
        <v>-2</v>
      </c>
      <c r="DUH3425" s="34">
        <v>-3</v>
      </c>
      <c r="DUI3425" s="34">
        <v>-4</v>
      </c>
      <c r="DUJ3425" s="34">
        <v>-5</v>
      </c>
      <c r="DUK3425" s="908"/>
      <c r="DUL3425" s="909"/>
      <c r="DUM3425" s="34">
        <v>-5</v>
      </c>
      <c r="DUN3425" s="34">
        <v>-4.5</v>
      </c>
      <c r="DUO3425" s="34">
        <v>-4</v>
      </c>
      <c r="DUP3425" s="34">
        <v>-3.5</v>
      </c>
      <c r="DUQ3425" s="34">
        <v>-3</v>
      </c>
      <c r="DUR3425" s="34">
        <v>-2.5</v>
      </c>
      <c r="DUS3425" s="34">
        <v>-2</v>
      </c>
      <c r="DUT3425" s="34">
        <v>-1.5</v>
      </c>
      <c r="DUU3425" s="34">
        <v>-1</v>
      </c>
      <c r="DUV3425" s="34">
        <v>-0.5</v>
      </c>
      <c r="DUW3425" s="34">
        <v>0</v>
      </c>
      <c r="DUX3425" s="34">
        <v>0.5</v>
      </c>
      <c r="DUY3425" s="34">
        <v>1</v>
      </c>
      <c r="DUZ3425" s="34">
        <v>1.5</v>
      </c>
      <c r="DVA3425" s="34">
        <v>2</v>
      </c>
      <c r="DVB3425" s="34">
        <v>2.5</v>
      </c>
      <c r="DVC3425" s="34">
        <v>3</v>
      </c>
      <c r="DVD3425" s="34">
        <v>3.5</v>
      </c>
      <c r="DVE3425" s="34">
        <v>4</v>
      </c>
      <c r="DVF3425" s="34">
        <v>4.5</v>
      </c>
      <c r="DVG3425" s="34">
        <v>5</v>
      </c>
      <c r="DVI3425" s="913"/>
      <c r="DVJ3425" s="31">
        <v>1</v>
      </c>
      <c r="DVK3425" s="34">
        <v>0</v>
      </c>
      <c r="DVL3425" s="34">
        <v>-1</v>
      </c>
      <c r="DVM3425" s="34">
        <v>-2</v>
      </c>
      <c r="DVN3425" s="34">
        <v>-3</v>
      </c>
      <c r="DVO3425" s="34">
        <v>-4</v>
      </c>
      <c r="DVP3425" s="34">
        <v>-5</v>
      </c>
      <c r="DVQ3425" s="908"/>
      <c r="DVR3425" s="909"/>
      <c r="DVS3425" s="34">
        <v>-5</v>
      </c>
      <c r="DVT3425" s="34">
        <v>-4.5</v>
      </c>
      <c r="DVU3425" s="34">
        <v>-4</v>
      </c>
      <c r="DVV3425" s="34">
        <v>-3.5</v>
      </c>
      <c r="DVW3425" s="34">
        <v>-3</v>
      </c>
      <c r="DVX3425" s="34">
        <v>-2.5</v>
      </c>
      <c r="DVY3425" s="34">
        <v>-2</v>
      </c>
      <c r="DVZ3425" s="34">
        <v>-1.5</v>
      </c>
      <c r="DWA3425" s="34">
        <v>-1</v>
      </c>
      <c r="DWB3425" s="34">
        <v>-0.5</v>
      </c>
      <c r="DWC3425" s="34">
        <v>0</v>
      </c>
      <c r="DWD3425" s="34">
        <v>0.5</v>
      </c>
      <c r="DWE3425" s="34">
        <v>1</v>
      </c>
      <c r="DWF3425" s="34">
        <v>1.5</v>
      </c>
      <c r="DWG3425" s="34">
        <v>2</v>
      </c>
      <c r="DWH3425" s="34">
        <v>2.5</v>
      </c>
      <c r="DWI3425" s="34">
        <v>3</v>
      </c>
      <c r="DWJ3425" s="34">
        <v>3.5</v>
      </c>
      <c r="DWK3425" s="34">
        <v>4</v>
      </c>
      <c r="DWL3425" s="34">
        <v>4.5</v>
      </c>
      <c r="DWM3425" s="34">
        <v>5</v>
      </c>
      <c r="DWO3425" s="913"/>
      <c r="DWP3425" s="31">
        <v>1</v>
      </c>
      <c r="DWQ3425" s="34">
        <v>0</v>
      </c>
      <c r="DWR3425" s="34">
        <v>-1</v>
      </c>
      <c r="DWS3425" s="34">
        <v>-2</v>
      </c>
      <c r="DWT3425" s="34">
        <v>-3</v>
      </c>
      <c r="DWU3425" s="34">
        <v>-4</v>
      </c>
      <c r="DWV3425" s="34">
        <v>-5</v>
      </c>
      <c r="DWW3425" s="908"/>
      <c r="DWX3425" s="909"/>
      <c r="DWY3425" s="34">
        <v>-5</v>
      </c>
      <c r="DWZ3425" s="34">
        <v>-4.5</v>
      </c>
      <c r="DXA3425" s="34">
        <v>-4</v>
      </c>
      <c r="DXB3425" s="34">
        <v>-3.5</v>
      </c>
      <c r="DXC3425" s="34">
        <v>-3</v>
      </c>
      <c r="DXD3425" s="34">
        <v>-2.5</v>
      </c>
      <c r="DXE3425" s="34">
        <v>-2</v>
      </c>
      <c r="DXF3425" s="34">
        <v>-1.5</v>
      </c>
      <c r="DXG3425" s="34">
        <v>-1</v>
      </c>
      <c r="DXH3425" s="34">
        <v>-0.5</v>
      </c>
      <c r="DXI3425" s="34">
        <v>0</v>
      </c>
      <c r="DXJ3425" s="34">
        <v>0.5</v>
      </c>
      <c r="DXK3425" s="34">
        <v>1</v>
      </c>
      <c r="DXL3425" s="34">
        <v>1.5</v>
      </c>
      <c r="DXM3425" s="34">
        <v>2</v>
      </c>
      <c r="DXN3425" s="34">
        <v>2.5</v>
      </c>
      <c r="DXO3425" s="34">
        <v>3</v>
      </c>
      <c r="DXP3425" s="34">
        <v>3.5</v>
      </c>
      <c r="DXQ3425" s="34">
        <v>4</v>
      </c>
      <c r="DXR3425" s="34">
        <v>4.5</v>
      </c>
      <c r="DXS3425" s="34">
        <v>5</v>
      </c>
      <c r="DXU3425" s="913"/>
      <c r="DXV3425" s="31">
        <v>1</v>
      </c>
      <c r="DXW3425" s="34">
        <v>0</v>
      </c>
      <c r="DXX3425" s="34">
        <v>-1</v>
      </c>
      <c r="DXY3425" s="34">
        <v>-2</v>
      </c>
      <c r="DXZ3425" s="34">
        <v>-3</v>
      </c>
      <c r="DYA3425" s="34">
        <v>-4</v>
      </c>
      <c r="DYB3425" s="34">
        <v>-5</v>
      </c>
      <c r="DYC3425" s="908"/>
      <c r="DYD3425" s="909"/>
      <c r="DYE3425" s="34">
        <v>-5</v>
      </c>
      <c r="DYF3425" s="34">
        <v>-4.5</v>
      </c>
      <c r="DYG3425" s="34">
        <v>-4</v>
      </c>
      <c r="DYH3425" s="34">
        <v>-3.5</v>
      </c>
      <c r="DYI3425" s="34">
        <v>-3</v>
      </c>
      <c r="DYJ3425" s="34">
        <v>-2.5</v>
      </c>
      <c r="DYK3425" s="34">
        <v>-2</v>
      </c>
      <c r="DYL3425" s="34">
        <v>-1.5</v>
      </c>
      <c r="DYM3425" s="34">
        <v>-1</v>
      </c>
      <c r="DYN3425" s="34">
        <v>-0.5</v>
      </c>
      <c r="DYO3425" s="34">
        <v>0</v>
      </c>
      <c r="DYP3425" s="34">
        <v>0.5</v>
      </c>
      <c r="DYQ3425" s="34">
        <v>1</v>
      </c>
      <c r="DYR3425" s="34">
        <v>1.5</v>
      </c>
      <c r="DYS3425" s="34">
        <v>2</v>
      </c>
      <c r="DYT3425" s="34">
        <v>2.5</v>
      </c>
      <c r="DYU3425" s="34">
        <v>3</v>
      </c>
      <c r="DYV3425" s="34">
        <v>3.5</v>
      </c>
      <c r="DYW3425" s="34">
        <v>4</v>
      </c>
      <c r="DYX3425" s="34">
        <v>4.5</v>
      </c>
      <c r="DYY3425" s="34">
        <v>5</v>
      </c>
      <c r="DZA3425" s="913"/>
      <c r="DZB3425" s="31">
        <v>1</v>
      </c>
      <c r="DZC3425" s="34">
        <v>0</v>
      </c>
      <c r="DZD3425" s="34">
        <v>-1</v>
      </c>
      <c r="DZE3425" s="34">
        <v>-2</v>
      </c>
      <c r="DZF3425" s="34">
        <v>-3</v>
      </c>
      <c r="DZG3425" s="34">
        <v>-4</v>
      </c>
      <c r="DZH3425" s="34">
        <v>-5</v>
      </c>
      <c r="DZI3425" s="908"/>
      <c r="DZJ3425" s="909"/>
      <c r="DZK3425" s="34">
        <v>-5</v>
      </c>
      <c r="DZL3425" s="34">
        <v>-4.5</v>
      </c>
      <c r="DZM3425" s="34">
        <v>-4</v>
      </c>
      <c r="DZN3425" s="34">
        <v>-3.5</v>
      </c>
      <c r="DZO3425" s="34">
        <v>-3</v>
      </c>
      <c r="DZP3425" s="34">
        <v>-2.5</v>
      </c>
      <c r="DZQ3425" s="34">
        <v>-2</v>
      </c>
      <c r="DZR3425" s="34">
        <v>-1.5</v>
      </c>
      <c r="DZS3425" s="34">
        <v>-1</v>
      </c>
      <c r="DZT3425" s="34">
        <v>-0.5</v>
      </c>
      <c r="DZU3425" s="34">
        <v>0</v>
      </c>
      <c r="DZV3425" s="34">
        <v>0.5</v>
      </c>
      <c r="DZW3425" s="34">
        <v>1</v>
      </c>
      <c r="DZX3425" s="34">
        <v>1.5</v>
      </c>
      <c r="DZY3425" s="34">
        <v>2</v>
      </c>
      <c r="DZZ3425" s="34">
        <v>2.5</v>
      </c>
      <c r="EAA3425" s="34">
        <v>3</v>
      </c>
      <c r="EAB3425" s="34">
        <v>3.5</v>
      </c>
      <c r="EAC3425" s="34">
        <v>4</v>
      </c>
      <c r="EAD3425" s="34">
        <v>4.5</v>
      </c>
      <c r="EAE3425" s="34">
        <v>5</v>
      </c>
      <c r="EAG3425" s="913"/>
      <c r="EAH3425" s="31">
        <v>1</v>
      </c>
      <c r="EAI3425" s="34">
        <v>0</v>
      </c>
      <c r="EAJ3425" s="34">
        <v>-1</v>
      </c>
      <c r="EAK3425" s="34">
        <v>-2</v>
      </c>
      <c r="EAL3425" s="34">
        <v>-3</v>
      </c>
      <c r="EAM3425" s="34">
        <v>-4</v>
      </c>
      <c r="EAN3425" s="34">
        <v>-5</v>
      </c>
      <c r="EAO3425" s="908"/>
      <c r="EAP3425" s="909"/>
      <c r="EAQ3425" s="34">
        <v>-5</v>
      </c>
      <c r="EAR3425" s="34">
        <v>-4.5</v>
      </c>
      <c r="EAS3425" s="34">
        <v>-4</v>
      </c>
      <c r="EAT3425" s="34">
        <v>-3.5</v>
      </c>
      <c r="EAU3425" s="34">
        <v>-3</v>
      </c>
      <c r="EAV3425" s="34">
        <v>-2.5</v>
      </c>
      <c r="EAW3425" s="34">
        <v>-2</v>
      </c>
      <c r="EAX3425" s="34">
        <v>-1.5</v>
      </c>
      <c r="EAY3425" s="34">
        <v>-1</v>
      </c>
      <c r="EAZ3425" s="34">
        <v>-0.5</v>
      </c>
      <c r="EBA3425" s="34">
        <v>0</v>
      </c>
      <c r="EBB3425" s="34">
        <v>0.5</v>
      </c>
      <c r="EBC3425" s="34">
        <v>1</v>
      </c>
      <c r="EBD3425" s="34">
        <v>1.5</v>
      </c>
      <c r="EBE3425" s="34">
        <v>2</v>
      </c>
      <c r="EBF3425" s="34">
        <v>2.5</v>
      </c>
      <c r="EBG3425" s="34">
        <v>3</v>
      </c>
      <c r="EBH3425" s="34">
        <v>3.5</v>
      </c>
      <c r="EBI3425" s="34">
        <v>4</v>
      </c>
      <c r="EBJ3425" s="34">
        <v>4.5</v>
      </c>
      <c r="EBK3425" s="34">
        <v>5</v>
      </c>
      <c r="EBM3425" s="913"/>
      <c r="EBN3425" s="31">
        <v>1</v>
      </c>
      <c r="EBO3425" s="34">
        <v>0</v>
      </c>
      <c r="EBP3425" s="34">
        <v>-1</v>
      </c>
      <c r="EBQ3425" s="34">
        <v>-2</v>
      </c>
      <c r="EBR3425" s="34">
        <v>-3</v>
      </c>
      <c r="EBS3425" s="34">
        <v>-4</v>
      </c>
      <c r="EBT3425" s="34">
        <v>-5</v>
      </c>
      <c r="EBU3425" s="908"/>
      <c r="EBV3425" s="909"/>
      <c r="EBW3425" s="34">
        <v>-5</v>
      </c>
      <c r="EBX3425" s="34">
        <v>-4.5</v>
      </c>
      <c r="EBY3425" s="34">
        <v>-4</v>
      </c>
      <c r="EBZ3425" s="34">
        <v>-3.5</v>
      </c>
      <c r="ECA3425" s="34">
        <v>-3</v>
      </c>
      <c r="ECB3425" s="34">
        <v>-2.5</v>
      </c>
      <c r="ECC3425" s="34">
        <v>-2</v>
      </c>
      <c r="ECD3425" s="34">
        <v>-1.5</v>
      </c>
      <c r="ECE3425" s="34">
        <v>-1</v>
      </c>
      <c r="ECF3425" s="34">
        <v>-0.5</v>
      </c>
      <c r="ECG3425" s="34">
        <v>0</v>
      </c>
      <c r="ECH3425" s="34">
        <v>0.5</v>
      </c>
      <c r="ECI3425" s="34">
        <v>1</v>
      </c>
      <c r="ECJ3425" s="34">
        <v>1.5</v>
      </c>
      <c r="ECK3425" s="34">
        <v>2</v>
      </c>
      <c r="ECL3425" s="34">
        <v>2.5</v>
      </c>
      <c r="ECM3425" s="34">
        <v>3</v>
      </c>
      <c r="ECN3425" s="34">
        <v>3.5</v>
      </c>
      <c r="ECO3425" s="34">
        <v>4</v>
      </c>
      <c r="ECP3425" s="34">
        <v>4.5</v>
      </c>
      <c r="ECQ3425" s="34">
        <v>5</v>
      </c>
      <c r="ECS3425" s="913"/>
      <c r="ECT3425" s="31">
        <v>1</v>
      </c>
      <c r="ECU3425" s="34">
        <v>0</v>
      </c>
      <c r="ECV3425" s="34">
        <v>-1</v>
      </c>
      <c r="ECW3425" s="34">
        <v>-2</v>
      </c>
      <c r="ECX3425" s="34">
        <v>-3</v>
      </c>
      <c r="ECY3425" s="34">
        <v>-4</v>
      </c>
      <c r="ECZ3425" s="34">
        <v>-5</v>
      </c>
      <c r="EDA3425" s="908"/>
      <c r="EDB3425" s="909"/>
      <c r="EDC3425" s="34">
        <v>-5</v>
      </c>
      <c r="EDD3425" s="34">
        <v>-4.5</v>
      </c>
      <c r="EDE3425" s="34">
        <v>-4</v>
      </c>
      <c r="EDF3425" s="34">
        <v>-3.5</v>
      </c>
      <c r="EDG3425" s="34">
        <v>-3</v>
      </c>
      <c r="EDH3425" s="34">
        <v>-2.5</v>
      </c>
      <c r="EDI3425" s="34">
        <v>-2</v>
      </c>
      <c r="EDJ3425" s="34">
        <v>-1.5</v>
      </c>
      <c r="EDK3425" s="34">
        <v>-1</v>
      </c>
      <c r="EDL3425" s="34">
        <v>-0.5</v>
      </c>
      <c r="EDM3425" s="34">
        <v>0</v>
      </c>
      <c r="EDN3425" s="34">
        <v>0.5</v>
      </c>
      <c r="EDO3425" s="34">
        <v>1</v>
      </c>
      <c r="EDP3425" s="34">
        <v>1.5</v>
      </c>
      <c r="EDQ3425" s="34">
        <v>2</v>
      </c>
      <c r="EDR3425" s="34">
        <v>2.5</v>
      </c>
      <c r="EDS3425" s="34">
        <v>3</v>
      </c>
      <c r="EDT3425" s="34">
        <v>3.5</v>
      </c>
      <c r="EDU3425" s="34">
        <v>4</v>
      </c>
      <c r="EDV3425" s="34">
        <v>4.5</v>
      </c>
      <c r="EDW3425" s="34">
        <v>5</v>
      </c>
      <c r="EDY3425" s="913"/>
      <c r="EDZ3425" s="31">
        <v>1</v>
      </c>
      <c r="EEA3425" s="34">
        <v>0</v>
      </c>
      <c r="EEB3425" s="34">
        <v>-1</v>
      </c>
      <c r="EEC3425" s="34">
        <v>-2</v>
      </c>
      <c r="EED3425" s="34">
        <v>-3</v>
      </c>
      <c r="EEE3425" s="34">
        <v>-4</v>
      </c>
      <c r="EEF3425" s="34">
        <v>-5</v>
      </c>
      <c r="EEG3425" s="908"/>
      <c r="EEH3425" s="909"/>
      <c r="EEI3425" s="34">
        <v>-5</v>
      </c>
      <c r="EEJ3425" s="34">
        <v>-4.5</v>
      </c>
      <c r="EEK3425" s="34">
        <v>-4</v>
      </c>
      <c r="EEL3425" s="34">
        <v>-3.5</v>
      </c>
      <c r="EEM3425" s="34">
        <v>-3</v>
      </c>
      <c r="EEN3425" s="34">
        <v>-2.5</v>
      </c>
      <c r="EEO3425" s="34">
        <v>-2</v>
      </c>
      <c r="EEP3425" s="34">
        <v>-1.5</v>
      </c>
      <c r="EEQ3425" s="34">
        <v>-1</v>
      </c>
      <c r="EER3425" s="34">
        <v>-0.5</v>
      </c>
      <c r="EES3425" s="34">
        <v>0</v>
      </c>
      <c r="EET3425" s="34">
        <v>0.5</v>
      </c>
      <c r="EEU3425" s="34">
        <v>1</v>
      </c>
      <c r="EEV3425" s="34">
        <v>1.5</v>
      </c>
      <c r="EEW3425" s="34">
        <v>2</v>
      </c>
      <c r="EEX3425" s="34">
        <v>2.5</v>
      </c>
      <c r="EEY3425" s="34">
        <v>3</v>
      </c>
      <c r="EEZ3425" s="34">
        <v>3.5</v>
      </c>
      <c r="EFA3425" s="34">
        <v>4</v>
      </c>
      <c r="EFB3425" s="34">
        <v>4.5</v>
      </c>
      <c r="EFC3425" s="34">
        <v>5</v>
      </c>
      <c r="EFE3425" s="913"/>
      <c r="EFF3425" s="31">
        <v>1</v>
      </c>
      <c r="EFG3425" s="34">
        <v>0</v>
      </c>
      <c r="EFH3425" s="34">
        <v>-1</v>
      </c>
      <c r="EFI3425" s="34">
        <v>-2</v>
      </c>
      <c r="EFJ3425" s="34">
        <v>-3</v>
      </c>
      <c r="EFK3425" s="34">
        <v>-4</v>
      </c>
      <c r="EFL3425" s="34">
        <v>-5</v>
      </c>
      <c r="EFM3425" s="908"/>
      <c r="EFN3425" s="909"/>
      <c r="EFO3425" s="34">
        <v>-5</v>
      </c>
      <c r="EFP3425" s="34">
        <v>-4.5</v>
      </c>
      <c r="EFQ3425" s="34">
        <v>-4</v>
      </c>
      <c r="EFR3425" s="34">
        <v>-3.5</v>
      </c>
      <c r="EFS3425" s="34">
        <v>-3</v>
      </c>
      <c r="EFT3425" s="34">
        <v>-2.5</v>
      </c>
      <c r="EFU3425" s="34">
        <v>-2</v>
      </c>
      <c r="EFV3425" s="34">
        <v>-1.5</v>
      </c>
      <c r="EFW3425" s="34">
        <v>-1</v>
      </c>
      <c r="EFX3425" s="34">
        <v>-0.5</v>
      </c>
      <c r="EFY3425" s="34">
        <v>0</v>
      </c>
      <c r="EFZ3425" s="34">
        <v>0.5</v>
      </c>
      <c r="EGA3425" s="34">
        <v>1</v>
      </c>
      <c r="EGB3425" s="34">
        <v>1.5</v>
      </c>
      <c r="EGC3425" s="34">
        <v>2</v>
      </c>
      <c r="EGD3425" s="34">
        <v>2.5</v>
      </c>
      <c r="EGE3425" s="34">
        <v>3</v>
      </c>
      <c r="EGF3425" s="34">
        <v>3.5</v>
      </c>
      <c r="EGG3425" s="34">
        <v>4</v>
      </c>
      <c r="EGH3425" s="34">
        <v>4.5</v>
      </c>
      <c r="EGI3425" s="34">
        <v>5</v>
      </c>
      <c r="EGK3425" s="913"/>
      <c r="EGL3425" s="31">
        <v>1</v>
      </c>
      <c r="EGM3425" s="34">
        <v>0</v>
      </c>
      <c r="EGN3425" s="34">
        <v>-1</v>
      </c>
      <c r="EGO3425" s="34">
        <v>-2</v>
      </c>
      <c r="EGP3425" s="34">
        <v>-3</v>
      </c>
      <c r="EGQ3425" s="34">
        <v>-4</v>
      </c>
      <c r="EGR3425" s="34">
        <v>-5</v>
      </c>
      <c r="EGS3425" s="908"/>
      <c r="EGT3425" s="909"/>
      <c r="EGU3425" s="34">
        <v>-5</v>
      </c>
      <c r="EGV3425" s="34">
        <v>-4.5</v>
      </c>
      <c r="EGW3425" s="34">
        <v>-4</v>
      </c>
      <c r="EGX3425" s="34">
        <v>-3.5</v>
      </c>
      <c r="EGY3425" s="34">
        <v>-3</v>
      </c>
      <c r="EGZ3425" s="34">
        <v>-2.5</v>
      </c>
      <c r="EHA3425" s="34">
        <v>-2</v>
      </c>
      <c r="EHB3425" s="34">
        <v>-1.5</v>
      </c>
      <c r="EHC3425" s="34">
        <v>-1</v>
      </c>
      <c r="EHD3425" s="34">
        <v>-0.5</v>
      </c>
      <c r="EHE3425" s="34">
        <v>0</v>
      </c>
      <c r="EHF3425" s="34">
        <v>0.5</v>
      </c>
      <c r="EHG3425" s="34">
        <v>1</v>
      </c>
      <c r="EHH3425" s="34">
        <v>1.5</v>
      </c>
      <c r="EHI3425" s="34">
        <v>2</v>
      </c>
      <c r="EHJ3425" s="34">
        <v>2.5</v>
      </c>
      <c r="EHK3425" s="34">
        <v>3</v>
      </c>
      <c r="EHL3425" s="34">
        <v>3.5</v>
      </c>
      <c r="EHM3425" s="34">
        <v>4</v>
      </c>
      <c r="EHN3425" s="34">
        <v>4.5</v>
      </c>
      <c r="EHO3425" s="34">
        <v>5</v>
      </c>
      <c r="EHQ3425" s="913"/>
      <c r="EHR3425" s="31">
        <v>1</v>
      </c>
      <c r="EHS3425" s="34">
        <v>0</v>
      </c>
      <c r="EHT3425" s="34">
        <v>-1</v>
      </c>
      <c r="EHU3425" s="34">
        <v>-2</v>
      </c>
      <c r="EHV3425" s="34">
        <v>-3</v>
      </c>
      <c r="EHW3425" s="34">
        <v>-4</v>
      </c>
      <c r="EHX3425" s="34">
        <v>-5</v>
      </c>
      <c r="EHY3425" s="908"/>
      <c r="EHZ3425" s="909"/>
      <c r="EIA3425" s="34">
        <v>-5</v>
      </c>
      <c r="EIB3425" s="34">
        <v>-4.5</v>
      </c>
      <c r="EIC3425" s="34">
        <v>-4</v>
      </c>
      <c r="EID3425" s="34">
        <v>-3.5</v>
      </c>
      <c r="EIE3425" s="34">
        <v>-3</v>
      </c>
      <c r="EIF3425" s="34">
        <v>-2.5</v>
      </c>
      <c r="EIG3425" s="34">
        <v>-2</v>
      </c>
      <c r="EIH3425" s="34">
        <v>-1.5</v>
      </c>
      <c r="EII3425" s="34">
        <v>-1</v>
      </c>
      <c r="EIJ3425" s="34">
        <v>-0.5</v>
      </c>
      <c r="EIK3425" s="34">
        <v>0</v>
      </c>
      <c r="EIL3425" s="34">
        <v>0.5</v>
      </c>
      <c r="EIM3425" s="34">
        <v>1</v>
      </c>
      <c r="EIN3425" s="34">
        <v>1.5</v>
      </c>
      <c r="EIO3425" s="34">
        <v>2</v>
      </c>
      <c r="EIP3425" s="34">
        <v>2.5</v>
      </c>
      <c r="EIQ3425" s="34">
        <v>3</v>
      </c>
      <c r="EIR3425" s="34">
        <v>3.5</v>
      </c>
      <c r="EIS3425" s="34">
        <v>4</v>
      </c>
      <c r="EIT3425" s="34">
        <v>4.5</v>
      </c>
      <c r="EIU3425" s="34">
        <v>5</v>
      </c>
      <c r="EIW3425" s="913"/>
      <c r="EIX3425" s="31">
        <v>1</v>
      </c>
      <c r="EIY3425" s="34">
        <v>0</v>
      </c>
      <c r="EIZ3425" s="34">
        <v>-1</v>
      </c>
      <c r="EJA3425" s="34">
        <v>-2</v>
      </c>
      <c r="EJB3425" s="34">
        <v>-3</v>
      </c>
      <c r="EJC3425" s="34">
        <v>-4</v>
      </c>
      <c r="EJD3425" s="34">
        <v>-5</v>
      </c>
      <c r="EJE3425" s="908"/>
      <c r="EJF3425" s="909"/>
      <c r="EJG3425" s="34">
        <v>-5</v>
      </c>
      <c r="EJH3425" s="34">
        <v>-4.5</v>
      </c>
      <c r="EJI3425" s="34">
        <v>-4</v>
      </c>
      <c r="EJJ3425" s="34">
        <v>-3.5</v>
      </c>
      <c r="EJK3425" s="34">
        <v>-3</v>
      </c>
      <c r="EJL3425" s="34">
        <v>-2.5</v>
      </c>
      <c r="EJM3425" s="34">
        <v>-2</v>
      </c>
      <c r="EJN3425" s="34">
        <v>-1.5</v>
      </c>
      <c r="EJO3425" s="34">
        <v>-1</v>
      </c>
      <c r="EJP3425" s="34">
        <v>-0.5</v>
      </c>
      <c r="EJQ3425" s="34">
        <v>0</v>
      </c>
      <c r="EJR3425" s="34">
        <v>0.5</v>
      </c>
      <c r="EJS3425" s="34">
        <v>1</v>
      </c>
      <c r="EJT3425" s="34">
        <v>1.5</v>
      </c>
      <c r="EJU3425" s="34">
        <v>2</v>
      </c>
      <c r="EJV3425" s="34">
        <v>2.5</v>
      </c>
      <c r="EJW3425" s="34">
        <v>3</v>
      </c>
      <c r="EJX3425" s="34">
        <v>3.5</v>
      </c>
      <c r="EJY3425" s="34">
        <v>4</v>
      </c>
      <c r="EJZ3425" s="34">
        <v>4.5</v>
      </c>
      <c r="EKA3425" s="34">
        <v>5</v>
      </c>
      <c r="EKC3425" s="913"/>
      <c r="EKD3425" s="31">
        <v>1</v>
      </c>
      <c r="EKE3425" s="34">
        <v>0</v>
      </c>
      <c r="EKF3425" s="34">
        <v>-1</v>
      </c>
      <c r="EKG3425" s="34">
        <v>-2</v>
      </c>
      <c r="EKH3425" s="34">
        <v>-3</v>
      </c>
      <c r="EKI3425" s="34">
        <v>-4</v>
      </c>
      <c r="EKJ3425" s="34">
        <v>-5</v>
      </c>
      <c r="EKK3425" s="908"/>
      <c r="EKL3425" s="909"/>
      <c r="EKM3425" s="34">
        <v>-5</v>
      </c>
      <c r="EKN3425" s="34">
        <v>-4.5</v>
      </c>
      <c r="EKO3425" s="34">
        <v>-4</v>
      </c>
      <c r="EKP3425" s="34">
        <v>-3.5</v>
      </c>
      <c r="EKQ3425" s="34">
        <v>-3</v>
      </c>
      <c r="EKR3425" s="34">
        <v>-2.5</v>
      </c>
      <c r="EKS3425" s="34">
        <v>-2</v>
      </c>
      <c r="EKT3425" s="34">
        <v>-1.5</v>
      </c>
      <c r="EKU3425" s="34">
        <v>-1</v>
      </c>
      <c r="EKV3425" s="34">
        <v>-0.5</v>
      </c>
      <c r="EKW3425" s="34">
        <v>0</v>
      </c>
      <c r="EKX3425" s="34">
        <v>0.5</v>
      </c>
      <c r="EKY3425" s="34">
        <v>1</v>
      </c>
      <c r="EKZ3425" s="34">
        <v>1.5</v>
      </c>
      <c r="ELA3425" s="34">
        <v>2</v>
      </c>
      <c r="ELB3425" s="34">
        <v>2.5</v>
      </c>
      <c r="ELC3425" s="34">
        <v>3</v>
      </c>
      <c r="ELD3425" s="34">
        <v>3.5</v>
      </c>
      <c r="ELE3425" s="34">
        <v>4</v>
      </c>
      <c r="ELF3425" s="34">
        <v>4.5</v>
      </c>
      <c r="ELG3425" s="34">
        <v>5</v>
      </c>
      <c r="ELI3425" s="913"/>
      <c r="ELJ3425" s="31">
        <v>1</v>
      </c>
      <c r="ELK3425" s="34">
        <v>0</v>
      </c>
      <c r="ELL3425" s="34">
        <v>-1</v>
      </c>
      <c r="ELM3425" s="34">
        <v>-2</v>
      </c>
      <c r="ELN3425" s="34">
        <v>-3</v>
      </c>
      <c r="ELO3425" s="34">
        <v>-4</v>
      </c>
      <c r="ELP3425" s="34">
        <v>-5</v>
      </c>
      <c r="ELQ3425" s="908"/>
      <c r="ELR3425" s="909"/>
      <c r="ELS3425" s="34">
        <v>-5</v>
      </c>
      <c r="ELT3425" s="34">
        <v>-4.5</v>
      </c>
      <c r="ELU3425" s="34">
        <v>-4</v>
      </c>
      <c r="ELV3425" s="34">
        <v>-3.5</v>
      </c>
      <c r="ELW3425" s="34">
        <v>-3</v>
      </c>
      <c r="ELX3425" s="34">
        <v>-2.5</v>
      </c>
      <c r="ELY3425" s="34">
        <v>-2</v>
      </c>
      <c r="ELZ3425" s="34">
        <v>-1.5</v>
      </c>
      <c r="EMA3425" s="34">
        <v>-1</v>
      </c>
      <c r="EMB3425" s="34">
        <v>-0.5</v>
      </c>
      <c r="EMC3425" s="34">
        <v>0</v>
      </c>
      <c r="EMD3425" s="34">
        <v>0.5</v>
      </c>
      <c r="EME3425" s="34">
        <v>1</v>
      </c>
      <c r="EMF3425" s="34">
        <v>1.5</v>
      </c>
      <c r="EMG3425" s="34">
        <v>2</v>
      </c>
      <c r="EMH3425" s="34">
        <v>2.5</v>
      </c>
      <c r="EMI3425" s="34">
        <v>3</v>
      </c>
      <c r="EMJ3425" s="34">
        <v>3.5</v>
      </c>
      <c r="EMK3425" s="34">
        <v>4</v>
      </c>
      <c r="EML3425" s="34">
        <v>4.5</v>
      </c>
      <c r="EMM3425" s="34">
        <v>5</v>
      </c>
      <c r="EMO3425" s="913"/>
      <c r="EMP3425" s="31">
        <v>1</v>
      </c>
      <c r="EMQ3425" s="34">
        <v>0</v>
      </c>
      <c r="EMR3425" s="34">
        <v>-1</v>
      </c>
      <c r="EMS3425" s="34">
        <v>-2</v>
      </c>
      <c r="EMT3425" s="34">
        <v>-3</v>
      </c>
      <c r="EMU3425" s="34">
        <v>-4</v>
      </c>
      <c r="EMV3425" s="34">
        <v>-5</v>
      </c>
      <c r="EMW3425" s="908"/>
      <c r="EMX3425" s="909"/>
      <c r="EMY3425" s="34">
        <v>-5</v>
      </c>
      <c r="EMZ3425" s="34">
        <v>-4.5</v>
      </c>
      <c r="ENA3425" s="34">
        <v>-4</v>
      </c>
      <c r="ENB3425" s="34">
        <v>-3.5</v>
      </c>
      <c r="ENC3425" s="34">
        <v>-3</v>
      </c>
      <c r="END3425" s="34">
        <v>-2.5</v>
      </c>
      <c r="ENE3425" s="34">
        <v>-2</v>
      </c>
      <c r="ENF3425" s="34">
        <v>-1.5</v>
      </c>
      <c r="ENG3425" s="34">
        <v>-1</v>
      </c>
      <c r="ENH3425" s="34">
        <v>-0.5</v>
      </c>
      <c r="ENI3425" s="34">
        <v>0</v>
      </c>
      <c r="ENJ3425" s="34">
        <v>0.5</v>
      </c>
      <c r="ENK3425" s="34">
        <v>1</v>
      </c>
      <c r="ENL3425" s="34">
        <v>1.5</v>
      </c>
      <c r="ENM3425" s="34">
        <v>2</v>
      </c>
      <c r="ENN3425" s="34">
        <v>2.5</v>
      </c>
      <c r="ENO3425" s="34">
        <v>3</v>
      </c>
      <c r="ENP3425" s="34">
        <v>3.5</v>
      </c>
      <c r="ENQ3425" s="34">
        <v>4</v>
      </c>
      <c r="ENR3425" s="34">
        <v>4.5</v>
      </c>
      <c r="ENS3425" s="34">
        <v>5</v>
      </c>
      <c r="ENU3425" s="913"/>
      <c r="ENV3425" s="31">
        <v>1</v>
      </c>
      <c r="ENW3425" s="34">
        <v>0</v>
      </c>
      <c r="ENX3425" s="34">
        <v>-1</v>
      </c>
      <c r="ENY3425" s="34">
        <v>-2</v>
      </c>
      <c r="ENZ3425" s="34">
        <v>-3</v>
      </c>
      <c r="EOA3425" s="34">
        <v>-4</v>
      </c>
      <c r="EOB3425" s="34">
        <v>-5</v>
      </c>
      <c r="EOC3425" s="908"/>
      <c r="EOD3425" s="909"/>
      <c r="EOE3425" s="34">
        <v>-5</v>
      </c>
      <c r="EOF3425" s="34">
        <v>-4.5</v>
      </c>
      <c r="EOG3425" s="34">
        <v>-4</v>
      </c>
      <c r="EOH3425" s="34">
        <v>-3.5</v>
      </c>
      <c r="EOI3425" s="34">
        <v>-3</v>
      </c>
      <c r="EOJ3425" s="34">
        <v>-2.5</v>
      </c>
      <c r="EOK3425" s="34">
        <v>-2</v>
      </c>
      <c r="EOL3425" s="34">
        <v>-1.5</v>
      </c>
      <c r="EOM3425" s="34">
        <v>-1</v>
      </c>
      <c r="EON3425" s="34">
        <v>-0.5</v>
      </c>
      <c r="EOO3425" s="34">
        <v>0</v>
      </c>
      <c r="EOP3425" s="34">
        <v>0.5</v>
      </c>
      <c r="EOQ3425" s="34">
        <v>1</v>
      </c>
      <c r="EOR3425" s="34">
        <v>1.5</v>
      </c>
      <c r="EOS3425" s="34">
        <v>2</v>
      </c>
      <c r="EOT3425" s="34">
        <v>2.5</v>
      </c>
      <c r="EOU3425" s="34">
        <v>3</v>
      </c>
      <c r="EOV3425" s="34">
        <v>3.5</v>
      </c>
      <c r="EOW3425" s="34">
        <v>4</v>
      </c>
      <c r="EOX3425" s="34">
        <v>4.5</v>
      </c>
      <c r="EOY3425" s="34">
        <v>5</v>
      </c>
      <c r="EPA3425" s="913"/>
      <c r="EPB3425" s="31">
        <v>1</v>
      </c>
      <c r="EPC3425" s="34">
        <v>0</v>
      </c>
      <c r="EPD3425" s="34">
        <v>-1</v>
      </c>
      <c r="EPE3425" s="34">
        <v>-2</v>
      </c>
      <c r="EPF3425" s="34">
        <v>-3</v>
      </c>
      <c r="EPG3425" s="34">
        <v>-4</v>
      </c>
      <c r="EPH3425" s="34">
        <v>-5</v>
      </c>
      <c r="EPI3425" s="908"/>
      <c r="EPJ3425" s="909"/>
      <c r="EPK3425" s="34">
        <v>-5</v>
      </c>
      <c r="EPL3425" s="34">
        <v>-4.5</v>
      </c>
      <c r="EPM3425" s="34">
        <v>-4</v>
      </c>
      <c r="EPN3425" s="34">
        <v>-3.5</v>
      </c>
      <c r="EPO3425" s="34">
        <v>-3</v>
      </c>
      <c r="EPP3425" s="34">
        <v>-2.5</v>
      </c>
      <c r="EPQ3425" s="34">
        <v>-2</v>
      </c>
      <c r="EPR3425" s="34">
        <v>-1.5</v>
      </c>
      <c r="EPS3425" s="34">
        <v>-1</v>
      </c>
      <c r="EPT3425" s="34">
        <v>-0.5</v>
      </c>
      <c r="EPU3425" s="34">
        <v>0</v>
      </c>
      <c r="EPV3425" s="34">
        <v>0.5</v>
      </c>
      <c r="EPW3425" s="34">
        <v>1</v>
      </c>
      <c r="EPX3425" s="34">
        <v>1.5</v>
      </c>
      <c r="EPY3425" s="34">
        <v>2</v>
      </c>
      <c r="EPZ3425" s="34">
        <v>2.5</v>
      </c>
      <c r="EQA3425" s="34">
        <v>3</v>
      </c>
      <c r="EQB3425" s="34">
        <v>3.5</v>
      </c>
      <c r="EQC3425" s="34">
        <v>4</v>
      </c>
      <c r="EQD3425" s="34">
        <v>4.5</v>
      </c>
      <c r="EQE3425" s="34">
        <v>5</v>
      </c>
      <c r="EQG3425" s="913"/>
      <c r="EQH3425" s="31">
        <v>1</v>
      </c>
      <c r="EQI3425" s="34">
        <v>0</v>
      </c>
      <c r="EQJ3425" s="34">
        <v>-1</v>
      </c>
      <c r="EQK3425" s="34">
        <v>-2</v>
      </c>
      <c r="EQL3425" s="34">
        <v>-3</v>
      </c>
      <c r="EQM3425" s="34">
        <v>-4</v>
      </c>
      <c r="EQN3425" s="34">
        <v>-5</v>
      </c>
      <c r="EQO3425" s="908"/>
      <c r="EQP3425" s="909"/>
      <c r="EQQ3425" s="34">
        <v>-5</v>
      </c>
      <c r="EQR3425" s="34">
        <v>-4.5</v>
      </c>
      <c r="EQS3425" s="34">
        <v>-4</v>
      </c>
      <c r="EQT3425" s="34">
        <v>-3.5</v>
      </c>
      <c r="EQU3425" s="34">
        <v>-3</v>
      </c>
      <c r="EQV3425" s="34">
        <v>-2.5</v>
      </c>
      <c r="EQW3425" s="34">
        <v>-2</v>
      </c>
      <c r="EQX3425" s="34">
        <v>-1.5</v>
      </c>
      <c r="EQY3425" s="34">
        <v>-1</v>
      </c>
      <c r="EQZ3425" s="34">
        <v>-0.5</v>
      </c>
      <c r="ERA3425" s="34">
        <v>0</v>
      </c>
      <c r="ERB3425" s="34">
        <v>0.5</v>
      </c>
      <c r="ERC3425" s="34">
        <v>1</v>
      </c>
      <c r="ERD3425" s="34">
        <v>1.5</v>
      </c>
      <c r="ERE3425" s="34">
        <v>2</v>
      </c>
      <c r="ERF3425" s="34">
        <v>2.5</v>
      </c>
      <c r="ERG3425" s="34">
        <v>3</v>
      </c>
      <c r="ERH3425" s="34">
        <v>3.5</v>
      </c>
      <c r="ERI3425" s="34">
        <v>4</v>
      </c>
      <c r="ERJ3425" s="34">
        <v>4.5</v>
      </c>
      <c r="ERK3425" s="34">
        <v>5</v>
      </c>
      <c r="ERM3425" s="913"/>
      <c r="ERN3425" s="31">
        <v>1</v>
      </c>
      <c r="ERO3425" s="34">
        <v>0</v>
      </c>
      <c r="ERP3425" s="34">
        <v>-1</v>
      </c>
      <c r="ERQ3425" s="34">
        <v>-2</v>
      </c>
      <c r="ERR3425" s="34">
        <v>-3</v>
      </c>
      <c r="ERS3425" s="34">
        <v>-4</v>
      </c>
      <c r="ERT3425" s="34">
        <v>-5</v>
      </c>
      <c r="ERU3425" s="908"/>
      <c r="ERV3425" s="909"/>
      <c r="ERW3425" s="34">
        <v>-5</v>
      </c>
      <c r="ERX3425" s="34">
        <v>-4.5</v>
      </c>
      <c r="ERY3425" s="34">
        <v>-4</v>
      </c>
      <c r="ERZ3425" s="34">
        <v>-3.5</v>
      </c>
      <c r="ESA3425" s="34">
        <v>-3</v>
      </c>
      <c r="ESB3425" s="34">
        <v>-2.5</v>
      </c>
      <c r="ESC3425" s="34">
        <v>-2</v>
      </c>
      <c r="ESD3425" s="34">
        <v>-1.5</v>
      </c>
      <c r="ESE3425" s="34">
        <v>-1</v>
      </c>
      <c r="ESF3425" s="34">
        <v>-0.5</v>
      </c>
      <c r="ESG3425" s="34">
        <v>0</v>
      </c>
      <c r="ESH3425" s="34">
        <v>0.5</v>
      </c>
      <c r="ESI3425" s="34">
        <v>1</v>
      </c>
      <c r="ESJ3425" s="34">
        <v>1.5</v>
      </c>
      <c r="ESK3425" s="34">
        <v>2</v>
      </c>
      <c r="ESL3425" s="34">
        <v>2.5</v>
      </c>
      <c r="ESM3425" s="34">
        <v>3</v>
      </c>
      <c r="ESN3425" s="34">
        <v>3.5</v>
      </c>
      <c r="ESO3425" s="34">
        <v>4</v>
      </c>
      <c r="ESP3425" s="34">
        <v>4.5</v>
      </c>
      <c r="ESQ3425" s="34">
        <v>5</v>
      </c>
      <c r="ESS3425" s="913"/>
      <c r="EST3425" s="31">
        <v>1</v>
      </c>
      <c r="ESU3425" s="34">
        <v>0</v>
      </c>
      <c r="ESV3425" s="34">
        <v>-1</v>
      </c>
      <c r="ESW3425" s="34">
        <v>-2</v>
      </c>
      <c r="ESX3425" s="34">
        <v>-3</v>
      </c>
      <c r="ESY3425" s="34">
        <v>-4</v>
      </c>
      <c r="ESZ3425" s="34">
        <v>-5</v>
      </c>
      <c r="ETA3425" s="908"/>
      <c r="ETB3425" s="909"/>
      <c r="ETC3425" s="34">
        <v>-5</v>
      </c>
      <c r="ETD3425" s="34">
        <v>-4.5</v>
      </c>
      <c r="ETE3425" s="34">
        <v>-4</v>
      </c>
      <c r="ETF3425" s="34">
        <v>-3.5</v>
      </c>
      <c r="ETG3425" s="34">
        <v>-3</v>
      </c>
      <c r="ETH3425" s="34">
        <v>-2.5</v>
      </c>
      <c r="ETI3425" s="34">
        <v>-2</v>
      </c>
      <c r="ETJ3425" s="34">
        <v>-1.5</v>
      </c>
      <c r="ETK3425" s="34">
        <v>-1</v>
      </c>
      <c r="ETL3425" s="34">
        <v>-0.5</v>
      </c>
      <c r="ETM3425" s="34">
        <v>0</v>
      </c>
      <c r="ETN3425" s="34">
        <v>0.5</v>
      </c>
      <c r="ETO3425" s="34">
        <v>1</v>
      </c>
      <c r="ETP3425" s="34">
        <v>1.5</v>
      </c>
      <c r="ETQ3425" s="34">
        <v>2</v>
      </c>
      <c r="ETR3425" s="34">
        <v>2.5</v>
      </c>
      <c r="ETS3425" s="34">
        <v>3</v>
      </c>
      <c r="ETT3425" s="34">
        <v>3.5</v>
      </c>
      <c r="ETU3425" s="34">
        <v>4</v>
      </c>
      <c r="ETV3425" s="34">
        <v>4.5</v>
      </c>
      <c r="ETW3425" s="34">
        <v>5</v>
      </c>
      <c r="ETY3425" s="913"/>
      <c r="ETZ3425" s="31">
        <v>1</v>
      </c>
      <c r="EUA3425" s="34">
        <v>0</v>
      </c>
      <c r="EUB3425" s="34">
        <v>-1</v>
      </c>
      <c r="EUC3425" s="34">
        <v>-2</v>
      </c>
      <c r="EUD3425" s="34">
        <v>-3</v>
      </c>
      <c r="EUE3425" s="34">
        <v>-4</v>
      </c>
      <c r="EUF3425" s="34">
        <v>-5</v>
      </c>
      <c r="EUG3425" s="908"/>
      <c r="EUH3425" s="909"/>
      <c r="EUI3425" s="34">
        <v>-5</v>
      </c>
      <c r="EUJ3425" s="34">
        <v>-4.5</v>
      </c>
      <c r="EUK3425" s="34">
        <v>-4</v>
      </c>
      <c r="EUL3425" s="34">
        <v>-3.5</v>
      </c>
      <c r="EUM3425" s="34">
        <v>-3</v>
      </c>
      <c r="EUN3425" s="34">
        <v>-2.5</v>
      </c>
      <c r="EUO3425" s="34">
        <v>-2</v>
      </c>
      <c r="EUP3425" s="34">
        <v>-1.5</v>
      </c>
      <c r="EUQ3425" s="34">
        <v>-1</v>
      </c>
      <c r="EUR3425" s="34">
        <v>-0.5</v>
      </c>
      <c r="EUS3425" s="34">
        <v>0</v>
      </c>
      <c r="EUT3425" s="34">
        <v>0.5</v>
      </c>
      <c r="EUU3425" s="34">
        <v>1</v>
      </c>
      <c r="EUV3425" s="34">
        <v>1.5</v>
      </c>
      <c r="EUW3425" s="34">
        <v>2</v>
      </c>
      <c r="EUX3425" s="34">
        <v>2.5</v>
      </c>
      <c r="EUY3425" s="34">
        <v>3</v>
      </c>
      <c r="EUZ3425" s="34">
        <v>3.5</v>
      </c>
      <c r="EVA3425" s="34">
        <v>4</v>
      </c>
      <c r="EVB3425" s="34">
        <v>4.5</v>
      </c>
      <c r="EVC3425" s="34">
        <v>5</v>
      </c>
      <c r="EVE3425" s="913"/>
      <c r="EVF3425" s="31">
        <v>1</v>
      </c>
      <c r="EVG3425" s="34">
        <v>0</v>
      </c>
      <c r="EVH3425" s="34">
        <v>-1</v>
      </c>
      <c r="EVI3425" s="34">
        <v>-2</v>
      </c>
      <c r="EVJ3425" s="34">
        <v>-3</v>
      </c>
      <c r="EVK3425" s="34">
        <v>-4</v>
      </c>
      <c r="EVL3425" s="34">
        <v>-5</v>
      </c>
      <c r="EVM3425" s="908"/>
      <c r="EVN3425" s="909"/>
      <c r="EVO3425" s="34">
        <v>-5</v>
      </c>
      <c r="EVP3425" s="34">
        <v>-4.5</v>
      </c>
      <c r="EVQ3425" s="34">
        <v>-4</v>
      </c>
      <c r="EVR3425" s="34">
        <v>-3.5</v>
      </c>
      <c r="EVS3425" s="34">
        <v>-3</v>
      </c>
      <c r="EVT3425" s="34">
        <v>-2.5</v>
      </c>
      <c r="EVU3425" s="34">
        <v>-2</v>
      </c>
      <c r="EVV3425" s="34">
        <v>-1.5</v>
      </c>
      <c r="EVW3425" s="34">
        <v>-1</v>
      </c>
      <c r="EVX3425" s="34">
        <v>-0.5</v>
      </c>
      <c r="EVY3425" s="34">
        <v>0</v>
      </c>
      <c r="EVZ3425" s="34">
        <v>0.5</v>
      </c>
      <c r="EWA3425" s="34">
        <v>1</v>
      </c>
      <c r="EWB3425" s="34">
        <v>1.5</v>
      </c>
      <c r="EWC3425" s="34">
        <v>2</v>
      </c>
      <c r="EWD3425" s="34">
        <v>2.5</v>
      </c>
      <c r="EWE3425" s="34">
        <v>3</v>
      </c>
      <c r="EWF3425" s="34">
        <v>3.5</v>
      </c>
      <c r="EWG3425" s="34">
        <v>4</v>
      </c>
      <c r="EWH3425" s="34">
        <v>4.5</v>
      </c>
      <c r="EWI3425" s="34">
        <v>5</v>
      </c>
      <c r="EWK3425" s="913"/>
      <c r="EWL3425" s="31">
        <v>1</v>
      </c>
      <c r="EWM3425" s="34">
        <v>0</v>
      </c>
      <c r="EWN3425" s="34">
        <v>-1</v>
      </c>
      <c r="EWO3425" s="34">
        <v>-2</v>
      </c>
      <c r="EWP3425" s="34">
        <v>-3</v>
      </c>
      <c r="EWQ3425" s="34">
        <v>-4</v>
      </c>
      <c r="EWR3425" s="34">
        <v>-5</v>
      </c>
      <c r="EWS3425" s="908"/>
      <c r="EWT3425" s="909"/>
      <c r="EWU3425" s="34">
        <v>-5</v>
      </c>
      <c r="EWV3425" s="34">
        <v>-4.5</v>
      </c>
      <c r="EWW3425" s="34">
        <v>-4</v>
      </c>
      <c r="EWX3425" s="34">
        <v>-3.5</v>
      </c>
      <c r="EWY3425" s="34">
        <v>-3</v>
      </c>
      <c r="EWZ3425" s="34">
        <v>-2.5</v>
      </c>
      <c r="EXA3425" s="34">
        <v>-2</v>
      </c>
      <c r="EXB3425" s="34">
        <v>-1.5</v>
      </c>
      <c r="EXC3425" s="34">
        <v>-1</v>
      </c>
      <c r="EXD3425" s="34">
        <v>-0.5</v>
      </c>
      <c r="EXE3425" s="34">
        <v>0</v>
      </c>
      <c r="EXF3425" s="34">
        <v>0.5</v>
      </c>
      <c r="EXG3425" s="34">
        <v>1</v>
      </c>
      <c r="EXH3425" s="34">
        <v>1.5</v>
      </c>
      <c r="EXI3425" s="34">
        <v>2</v>
      </c>
      <c r="EXJ3425" s="34">
        <v>2.5</v>
      </c>
      <c r="EXK3425" s="34">
        <v>3</v>
      </c>
      <c r="EXL3425" s="34">
        <v>3.5</v>
      </c>
      <c r="EXM3425" s="34">
        <v>4</v>
      </c>
      <c r="EXN3425" s="34">
        <v>4.5</v>
      </c>
      <c r="EXO3425" s="34">
        <v>5</v>
      </c>
      <c r="EXQ3425" s="913"/>
      <c r="EXR3425" s="31">
        <v>1</v>
      </c>
      <c r="EXS3425" s="34">
        <v>0</v>
      </c>
      <c r="EXT3425" s="34">
        <v>-1</v>
      </c>
      <c r="EXU3425" s="34">
        <v>-2</v>
      </c>
      <c r="EXV3425" s="34">
        <v>-3</v>
      </c>
      <c r="EXW3425" s="34">
        <v>-4</v>
      </c>
      <c r="EXX3425" s="34">
        <v>-5</v>
      </c>
      <c r="EXY3425" s="908"/>
      <c r="EXZ3425" s="909"/>
      <c r="EYA3425" s="34">
        <v>-5</v>
      </c>
      <c r="EYB3425" s="34">
        <v>-4.5</v>
      </c>
      <c r="EYC3425" s="34">
        <v>-4</v>
      </c>
      <c r="EYD3425" s="34">
        <v>-3.5</v>
      </c>
      <c r="EYE3425" s="34">
        <v>-3</v>
      </c>
      <c r="EYF3425" s="34">
        <v>-2.5</v>
      </c>
      <c r="EYG3425" s="34">
        <v>-2</v>
      </c>
      <c r="EYH3425" s="34">
        <v>-1.5</v>
      </c>
      <c r="EYI3425" s="34">
        <v>-1</v>
      </c>
      <c r="EYJ3425" s="34">
        <v>-0.5</v>
      </c>
      <c r="EYK3425" s="34">
        <v>0</v>
      </c>
      <c r="EYL3425" s="34">
        <v>0.5</v>
      </c>
      <c r="EYM3425" s="34">
        <v>1</v>
      </c>
      <c r="EYN3425" s="34">
        <v>1.5</v>
      </c>
      <c r="EYO3425" s="34">
        <v>2</v>
      </c>
      <c r="EYP3425" s="34">
        <v>2.5</v>
      </c>
      <c r="EYQ3425" s="34">
        <v>3</v>
      </c>
      <c r="EYR3425" s="34">
        <v>3.5</v>
      </c>
      <c r="EYS3425" s="34">
        <v>4</v>
      </c>
      <c r="EYT3425" s="34">
        <v>4.5</v>
      </c>
      <c r="EYU3425" s="34">
        <v>5</v>
      </c>
      <c r="EYW3425" s="913"/>
      <c r="EYX3425" s="31">
        <v>1</v>
      </c>
      <c r="EYY3425" s="34">
        <v>0</v>
      </c>
      <c r="EYZ3425" s="34">
        <v>-1</v>
      </c>
      <c r="EZA3425" s="34">
        <v>-2</v>
      </c>
      <c r="EZB3425" s="34">
        <v>-3</v>
      </c>
      <c r="EZC3425" s="34">
        <v>-4</v>
      </c>
      <c r="EZD3425" s="34">
        <v>-5</v>
      </c>
      <c r="EZE3425" s="908"/>
      <c r="EZF3425" s="909"/>
      <c r="EZG3425" s="34">
        <v>-5</v>
      </c>
      <c r="EZH3425" s="34">
        <v>-4.5</v>
      </c>
      <c r="EZI3425" s="34">
        <v>-4</v>
      </c>
      <c r="EZJ3425" s="34">
        <v>-3.5</v>
      </c>
      <c r="EZK3425" s="34">
        <v>-3</v>
      </c>
      <c r="EZL3425" s="34">
        <v>-2.5</v>
      </c>
      <c r="EZM3425" s="34">
        <v>-2</v>
      </c>
      <c r="EZN3425" s="34">
        <v>-1.5</v>
      </c>
      <c r="EZO3425" s="34">
        <v>-1</v>
      </c>
      <c r="EZP3425" s="34">
        <v>-0.5</v>
      </c>
      <c r="EZQ3425" s="34">
        <v>0</v>
      </c>
      <c r="EZR3425" s="34">
        <v>0.5</v>
      </c>
      <c r="EZS3425" s="34">
        <v>1</v>
      </c>
      <c r="EZT3425" s="34">
        <v>1.5</v>
      </c>
      <c r="EZU3425" s="34">
        <v>2</v>
      </c>
      <c r="EZV3425" s="34">
        <v>2.5</v>
      </c>
      <c r="EZW3425" s="34">
        <v>3</v>
      </c>
      <c r="EZX3425" s="34">
        <v>3.5</v>
      </c>
      <c r="EZY3425" s="34">
        <v>4</v>
      </c>
      <c r="EZZ3425" s="34">
        <v>4.5</v>
      </c>
      <c r="FAA3425" s="34">
        <v>5</v>
      </c>
      <c r="FAC3425" s="913"/>
      <c r="FAD3425" s="31">
        <v>1</v>
      </c>
      <c r="FAE3425" s="34">
        <v>0</v>
      </c>
      <c r="FAF3425" s="34">
        <v>-1</v>
      </c>
      <c r="FAG3425" s="34">
        <v>-2</v>
      </c>
      <c r="FAH3425" s="34">
        <v>-3</v>
      </c>
      <c r="FAI3425" s="34">
        <v>-4</v>
      </c>
      <c r="FAJ3425" s="34">
        <v>-5</v>
      </c>
      <c r="FAK3425" s="908"/>
      <c r="FAL3425" s="909"/>
      <c r="FAM3425" s="34">
        <v>-5</v>
      </c>
      <c r="FAN3425" s="34">
        <v>-4.5</v>
      </c>
      <c r="FAO3425" s="34">
        <v>-4</v>
      </c>
      <c r="FAP3425" s="34">
        <v>-3.5</v>
      </c>
      <c r="FAQ3425" s="34">
        <v>-3</v>
      </c>
      <c r="FAR3425" s="34">
        <v>-2.5</v>
      </c>
      <c r="FAS3425" s="34">
        <v>-2</v>
      </c>
      <c r="FAT3425" s="34">
        <v>-1.5</v>
      </c>
      <c r="FAU3425" s="34">
        <v>-1</v>
      </c>
      <c r="FAV3425" s="34">
        <v>-0.5</v>
      </c>
      <c r="FAW3425" s="34">
        <v>0</v>
      </c>
      <c r="FAX3425" s="34">
        <v>0.5</v>
      </c>
      <c r="FAY3425" s="34">
        <v>1</v>
      </c>
      <c r="FAZ3425" s="34">
        <v>1.5</v>
      </c>
      <c r="FBA3425" s="34">
        <v>2</v>
      </c>
      <c r="FBB3425" s="34">
        <v>2.5</v>
      </c>
      <c r="FBC3425" s="34">
        <v>3</v>
      </c>
      <c r="FBD3425" s="34">
        <v>3.5</v>
      </c>
      <c r="FBE3425" s="34">
        <v>4</v>
      </c>
      <c r="FBF3425" s="34">
        <v>4.5</v>
      </c>
      <c r="FBG3425" s="34">
        <v>5</v>
      </c>
      <c r="FBI3425" s="913"/>
      <c r="FBJ3425" s="31">
        <v>1</v>
      </c>
      <c r="FBK3425" s="34">
        <v>0</v>
      </c>
      <c r="FBL3425" s="34">
        <v>-1</v>
      </c>
      <c r="FBM3425" s="34">
        <v>-2</v>
      </c>
      <c r="FBN3425" s="34">
        <v>-3</v>
      </c>
      <c r="FBO3425" s="34">
        <v>-4</v>
      </c>
      <c r="FBP3425" s="34">
        <v>-5</v>
      </c>
      <c r="FBQ3425" s="908"/>
      <c r="FBR3425" s="909"/>
      <c r="FBS3425" s="34">
        <v>-5</v>
      </c>
      <c r="FBT3425" s="34">
        <v>-4.5</v>
      </c>
      <c r="FBU3425" s="34">
        <v>-4</v>
      </c>
      <c r="FBV3425" s="34">
        <v>-3.5</v>
      </c>
      <c r="FBW3425" s="34">
        <v>-3</v>
      </c>
      <c r="FBX3425" s="34">
        <v>-2.5</v>
      </c>
      <c r="FBY3425" s="34">
        <v>-2</v>
      </c>
      <c r="FBZ3425" s="34">
        <v>-1.5</v>
      </c>
      <c r="FCA3425" s="34">
        <v>-1</v>
      </c>
      <c r="FCB3425" s="34">
        <v>-0.5</v>
      </c>
      <c r="FCC3425" s="34">
        <v>0</v>
      </c>
      <c r="FCD3425" s="34">
        <v>0.5</v>
      </c>
      <c r="FCE3425" s="34">
        <v>1</v>
      </c>
      <c r="FCF3425" s="34">
        <v>1.5</v>
      </c>
      <c r="FCG3425" s="34">
        <v>2</v>
      </c>
      <c r="FCH3425" s="34">
        <v>2.5</v>
      </c>
      <c r="FCI3425" s="34">
        <v>3</v>
      </c>
      <c r="FCJ3425" s="34">
        <v>3.5</v>
      </c>
      <c r="FCK3425" s="34">
        <v>4</v>
      </c>
      <c r="FCL3425" s="34">
        <v>4.5</v>
      </c>
      <c r="FCM3425" s="34">
        <v>5</v>
      </c>
      <c r="FCO3425" s="913"/>
      <c r="FCP3425" s="31">
        <v>1</v>
      </c>
      <c r="FCQ3425" s="34">
        <v>0</v>
      </c>
      <c r="FCR3425" s="34">
        <v>-1</v>
      </c>
      <c r="FCS3425" s="34">
        <v>-2</v>
      </c>
      <c r="FCT3425" s="34">
        <v>-3</v>
      </c>
      <c r="FCU3425" s="34">
        <v>-4</v>
      </c>
      <c r="FCV3425" s="34">
        <v>-5</v>
      </c>
      <c r="FCW3425" s="908"/>
      <c r="FCX3425" s="909"/>
      <c r="FCY3425" s="34">
        <v>-5</v>
      </c>
      <c r="FCZ3425" s="34">
        <v>-4.5</v>
      </c>
      <c r="FDA3425" s="34">
        <v>-4</v>
      </c>
      <c r="FDB3425" s="34">
        <v>-3.5</v>
      </c>
      <c r="FDC3425" s="34">
        <v>-3</v>
      </c>
      <c r="FDD3425" s="34">
        <v>-2.5</v>
      </c>
      <c r="FDE3425" s="34">
        <v>-2</v>
      </c>
      <c r="FDF3425" s="34">
        <v>-1.5</v>
      </c>
      <c r="FDG3425" s="34">
        <v>-1</v>
      </c>
      <c r="FDH3425" s="34">
        <v>-0.5</v>
      </c>
      <c r="FDI3425" s="34">
        <v>0</v>
      </c>
      <c r="FDJ3425" s="34">
        <v>0.5</v>
      </c>
      <c r="FDK3425" s="34">
        <v>1</v>
      </c>
      <c r="FDL3425" s="34">
        <v>1.5</v>
      </c>
      <c r="FDM3425" s="34">
        <v>2</v>
      </c>
      <c r="FDN3425" s="34">
        <v>2.5</v>
      </c>
      <c r="FDO3425" s="34">
        <v>3</v>
      </c>
      <c r="FDP3425" s="34">
        <v>3.5</v>
      </c>
      <c r="FDQ3425" s="34">
        <v>4</v>
      </c>
      <c r="FDR3425" s="34">
        <v>4.5</v>
      </c>
      <c r="FDS3425" s="34">
        <v>5</v>
      </c>
      <c r="FDU3425" s="913"/>
      <c r="FDV3425" s="31">
        <v>1</v>
      </c>
      <c r="FDW3425" s="34">
        <v>0</v>
      </c>
      <c r="FDX3425" s="34">
        <v>-1</v>
      </c>
      <c r="FDY3425" s="34">
        <v>-2</v>
      </c>
      <c r="FDZ3425" s="34">
        <v>-3</v>
      </c>
      <c r="FEA3425" s="34">
        <v>-4</v>
      </c>
      <c r="FEB3425" s="34">
        <v>-5</v>
      </c>
      <c r="FEC3425" s="908"/>
      <c r="FED3425" s="909"/>
      <c r="FEE3425" s="34">
        <v>-5</v>
      </c>
      <c r="FEF3425" s="34">
        <v>-4.5</v>
      </c>
      <c r="FEG3425" s="34">
        <v>-4</v>
      </c>
      <c r="FEH3425" s="34">
        <v>-3.5</v>
      </c>
      <c r="FEI3425" s="34">
        <v>-3</v>
      </c>
      <c r="FEJ3425" s="34">
        <v>-2.5</v>
      </c>
      <c r="FEK3425" s="34">
        <v>-2</v>
      </c>
      <c r="FEL3425" s="34">
        <v>-1.5</v>
      </c>
      <c r="FEM3425" s="34">
        <v>-1</v>
      </c>
      <c r="FEN3425" s="34">
        <v>-0.5</v>
      </c>
      <c r="FEO3425" s="34">
        <v>0</v>
      </c>
      <c r="FEP3425" s="34">
        <v>0.5</v>
      </c>
      <c r="FEQ3425" s="34">
        <v>1</v>
      </c>
      <c r="FER3425" s="34">
        <v>1.5</v>
      </c>
      <c r="FES3425" s="34">
        <v>2</v>
      </c>
      <c r="FET3425" s="34">
        <v>2.5</v>
      </c>
      <c r="FEU3425" s="34">
        <v>3</v>
      </c>
      <c r="FEV3425" s="34">
        <v>3.5</v>
      </c>
      <c r="FEW3425" s="34">
        <v>4</v>
      </c>
      <c r="FEX3425" s="34">
        <v>4.5</v>
      </c>
      <c r="FEY3425" s="34">
        <v>5</v>
      </c>
      <c r="FFA3425" s="913"/>
      <c r="FFB3425" s="31">
        <v>1</v>
      </c>
      <c r="FFC3425" s="34">
        <v>0</v>
      </c>
      <c r="FFD3425" s="34">
        <v>-1</v>
      </c>
      <c r="FFE3425" s="34">
        <v>-2</v>
      </c>
      <c r="FFF3425" s="34">
        <v>-3</v>
      </c>
      <c r="FFG3425" s="34">
        <v>-4</v>
      </c>
      <c r="FFH3425" s="34">
        <v>-5</v>
      </c>
      <c r="FFI3425" s="908"/>
      <c r="FFJ3425" s="909"/>
      <c r="FFK3425" s="34">
        <v>-5</v>
      </c>
      <c r="FFL3425" s="34">
        <v>-4.5</v>
      </c>
      <c r="FFM3425" s="34">
        <v>-4</v>
      </c>
      <c r="FFN3425" s="34">
        <v>-3.5</v>
      </c>
      <c r="FFO3425" s="34">
        <v>-3</v>
      </c>
      <c r="FFP3425" s="34">
        <v>-2.5</v>
      </c>
      <c r="FFQ3425" s="34">
        <v>-2</v>
      </c>
      <c r="FFR3425" s="34">
        <v>-1.5</v>
      </c>
      <c r="FFS3425" s="34">
        <v>-1</v>
      </c>
      <c r="FFT3425" s="34">
        <v>-0.5</v>
      </c>
      <c r="FFU3425" s="34">
        <v>0</v>
      </c>
      <c r="FFV3425" s="34">
        <v>0.5</v>
      </c>
      <c r="FFW3425" s="34">
        <v>1</v>
      </c>
      <c r="FFX3425" s="34">
        <v>1.5</v>
      </c>
      <c r="FFY3425" s="34">
        <v>2</v>
      </c>
      <c r="FFZ3425" s="34">
        <v>2.5</v>
      </c>
      <c r="FGA3425" s="34">
        <v>3</v>
      </c>
      <c r="FGB3425" s="34">
        <v>3.5</v>
      </c>
      <c r="FGC3425" s="34">
        <v>4</v>
      </c>
      <c r="FGD3425" s="34">
        <v>4.5</v>
      </c>
      <c r="FGE3425" s="34">
        <v>5</v>
      </c>
      <c r="FGG3425" s="913"/>
      <c r="FGH3425" s="31">
        <v>1</v>
      </c>
      <c r="FGI3425" s="34">
        <v>0</v>
      </c>
      <c r="FGJ3425" s="34">
        <v>-1</v>
      </c>
      <c r="FGK3425" s="34">
        <v>-2</v>
      </c>
      <c r="FGL3425" s="34">
        <v>-3</v>
      </c>
      <c r="FGM3425" s="34">
        <v>-4</v>
      </c>
      <c r="FGN3425" s="34">
        <v>-5</v>
      </c>
      <c r="FGO3425" s="908"/>
      <c r="FGP3425" s="909"/>
      <c r="FGQ3425" s="34">
        <v>-5</v>
      </c>
      <c r="FGR3425" s="34">
        <v>-4.5</v>
      </c>
      <c r="FGS3425" s="34">
        <v>-4</v>
      </c>
      <c r="FGT3425" s="34">
        <v>-3.5</v>
      </c>
      <c r="FGU3425" s="34">
        <v>-3</v>
      </c>
      <c r="FGV3425" s="34">
        <v>-2.5</v>
      </c>
      <c r="FGW3425" s="34">
        <v>-2</v>
      </c>
      <c r="FGX3425" s="34">
        <v>-1.5</v>
      </c>
      <c r="FGY3425" s="34">
        <v>-1</v>
      </c>
      <c r="FGZ3425" s="34">
        <v>-0.5</v>
      </c>
      <c r="FHA3425" s="34">
        <v>0</v>
      </c>
      <c r="FHB3425" s="34">
        <v>0.5</v>
      </c>
      <c r="FHC3425" s="34">
        <v>1</v>
      </c>
      <c r="FHD3425" s="34">
        <v>1.5</v>
      </c>
      <c r="FHE3425" s="34">
        <v>2</v>
      </c>
      <c r="FHF3425" s="34">
        <v>2.5</v>
      </c>
      <c r="FHG3425" s="34">
        <v>3</v>
      </c>
      <c r="FHH3425" s="34">
        <v>3.5</v>
      </c>
      <c r="FHI3425" s="34">
        <v>4</v>
      </c>
      <c r="FHJ3425" s="34">
        <v>4.5</v>
      </c>
      <c r="FHK3425" s="34">
        <v>5</v>
      </c>
      <c r="FHM3425" s="913"/>
      <c r="FHN3425" s="31">
        <v>1</v>
      </c>
      <c r="FHO3425" s="34">
        <v>0</v>
      </c>
      <c r="FHP3425" s="34">
        <v>-1</v>
      </c>
      <c r="FHQ3425" s="34">
        <v>-2</v>
      </c>
      <c r="FHR3425" s="34">
        <v>-3</v>
      </c>
      <c r="FHS3425" s="34">
        <v>-4</v>
      </c>
      <c r="FHT3425" s="34">
        <v>-5</v>
      </c>
      <c r="FHU3425" s="908"/>
      <c r="FHV3425" s="909"/>
      <c r="FHW3425" s="34">
        <v>-5</v>
      </c>
      <c r="FHX3425" s="34">
        <v>-4.5</v>
      </c>
      <c r="FHY3425" s="34">
        <v>-4</v>
      </c>
      <c r="FHZ3425" s="34">
        <v>-3.5</v>
      </c>
      <c r="FIA3425" s="34">
        <v>-3</v>
      </c>
      <c r="FIB3425" s="34">
        <v>-2.5</v>
      </c>
      <c r="FIC3425" s="34">
        <v>-2</v>
      </c>
      <c r="FID3425" s="34">
        <v>-1.5</v>
      </c>
      <c r="FIE3425" s="34">
        <v>-1</v>
      </c>
      <c r="FIF3425" s="34">
        <v>-0.5</v>
      </c>
      <c r="FIG3425" s="34">
        <v>0</v>
      </c>
      <c r="FIH3425" s="34">
        <v>0.5</v>
      </c>
      <c r="FII3425" s="34">
        <v>1</v>
      </c>
      <c r="FIJ3425" s="34">
        <v>1.5</v>
      </c>
      <c r="FIK3425" s="34">
        <v>2</v>
      </c>
      <c r="FIL3425" s="34">
        <v>2.5</v>
      </c>
      <c r="FIM3425" s="34">
        <v>3</v>
      </c>
      <c r="FIN3425" s="34">
        <v>3.5</v>
      </c>
      <c r="FIO3425" s="34">
        <v>4</v>
      </c>
      <c r="FIP3425" s="34">
        <v>4.5</v>
      </c>
      <c r="FIQ3425" s="34">
        <v>5</v>
      </c>
      <c r="FIS3425" s="913"/>
      <c r="FIT3425" s="31">
        <v>1</v>
      </c>
      <c r="FIU3425" s="34">
        <v>0</v>
      </c>
      <c r="FIV3425" s="34">
        <v>-1</v>
      </c>
      <c r="FIW3425" s="34">
        <v>-2</v>
      </c>
      <c r="FIX3425" s="34">
        <v>-3</v>
      </c>
      <c r="FIY3425" s="34">
        <v>-4</v>
      </c>
      <c r="FIZ3425" s="34">
        <v>-5</v>
      </c>
      <c r="FJA3425" s="908"/>
      <c r="FJB3425" s="909"/>
      <c r="FJC3425" s="34">
        <v>-5</v>
      </c>
      <c r="FJD3425" s="34">
        <v>-4.5</v>
      </c>
      <c r="FJE3425" s="34">
        <v>-4</v>
      </c>
      <c r="FJF3425" s="34">
        <v>-3.5</v>
      </c>
      <c r="FJG3425" s="34">
        <v>-3</v>
      </c>
      <c r="FJH3425" s="34">
        <v>-2.5</v>
      </c>
      <c r="FJI3425" s="34">
        <v>-2</v>
      </c>
      <c r="FJJ3425" s="34">
        <v>-1.5</v>
      </c>
      <c r="FJK3425" s="34">
        <v>-1</v>
      </c>
      <c r="FJL3425" s="34">
        <v>-0.5</v>
      </c>
      <c r="FJM3425" s="34">
        <v>0</v>
      </c>
      <c r="FJN3425" s="34">
        <v>0.5</v>
      </c>
      <c r="FJO3425" s="34">
        <v>1</v>
      </c>
      <c r="FJP3425" s="34">
        <v>1.5</v>
      </c>
      <c r="FJQ3425" s="34">
        <v>2</v>
      </c>
      <c r="FJR3425" s="34">
        <v>2.5</v>
      </c>
      <c r="FJS3425" s="34">
        <v>3</v>
      </c>
      <c r="FJT3425" s="34">
        <v>3.5</v>
      </c>
      <c r="FJU3425" s="34">
        <v>4</v>
      </c>
      <c r="FJV3425" s="34">
        <v>4.5</v>
      </c>
      <c r="FJW3425" s="34">
        <v>5</v>
      </c>
      <c r="FJY3425" s="913"/>
      <c r="FJZ3425" s="31">
        <v>1</v>
      </c>
      <c r="FKA3425" s="34">
        <v>0</v>
      </c>
      <c r="FKB3425" s="34">
        <v>-1</v>
      </c>
      <c r="FKC3425" s="34">
        <v>-2</v>
      </c>
      <c r="FKD3425" s="34">
        <v>-3</v>
      </c>
      <c r="FKE3425" s="34">
        <v>-4</v>
      </c>
      <c r="FKF3425" s="34">
        <v>-5</v>
      </c>
      <c r="FKG3425" s="908"/>
      <c r="FKH3425" s="909"/>
      <c r="FKI3425" s="34">
        <v>-5</v>
      </c>
      <c r="FKJ3425" s="34">
        <v>-4.5</v>
      </c>
      <c r="FKK3425" s="34">
        <v>-4</v>
      </c>
      <c r="FKL3425" s="34">
        <v>-3.5</v>
      </c>
      <c r="FKM3425" s="34">
        <v>-3</v>
      </c>
      <c r="FKN3425" s="34">
        <v>-2.5</v>
      </c>
      <c r="FKO3425" s="34">
        <v>-2</v>
      </c>
      <c r="FKP3425" s="34">
        <v>-1.5</v>
      </c>
      <c r="FKQ3425" s="34">
        <v>-1</v>
      </c>
      <c r="FKR3425" s="34">
        <v>-0.5</v>
      </c>
      <c r="FKS3425" s="34">
        <v>0</v>
      </c>
      <c r="FKT3425" s="34">
        <v>0.5</v>
      </c>
      <c r="FKU3425" s="34">
        <v>1</v>
      </c>
      <c r="FKV3425" s="34">
        <v>1.5</v>
      </c>
      <c r="FKW3425" s="34">
        <v>2</v>
      </c>
      <c r="FKX3425" s="34">
        <v>2.5</v>
      </c>
      <c r="FKY3425" s="34">
        <v>3</v>
      </c>
      <c r="FKZ3425" s="34">
        <v>3.5</v>
      </c>
      <c r="FLA3425" s="34">
        <v>4</v>
      </c>
      <c r="FLB3425" s="34">
        <v>4.5</v>
      </c>
      <c r="FLC3425" s="34">
        <v>5</v>
      </c>
      <c r="FLE3425" s="913"/>
      <c r="FLF3425" s="31">
        <v>1</v>
      </c>
      <c r="FLG3425" s="34">
        <v>0</v>
      </c>
      <c r="FLH3425" s="34">
        <v>-1</v>
      </c>
      <c r="FLI3425" s="34">
        <v>-2</v>
      </c>
      <c r="FLJ3425" s="34">
        <v>-3</v>
      </c>
      <c r="FLK3425" s="34">
        <v>-4</v>
      </c>
      <c r="FLL3425" s="34">
        <v>-5</v>
      </c>
      <c r="FLM3425" s="908"/>
      <c r="FLN3425" s="909"/>
      <c r="FLO3425" s="34">
        <v>-5</v>
      </c>
      <c r="FLP3425" s="34">
        <v>-4.5</v>
      </c>
      <c r="FLQ3425" s="34">
        <v>-4</v>
      </c>
      <c r="FLR3425" s="34">
        <v>-3.5</v>
      </c>
      <c r="FLS3425" s="34">
        <v>-3</v>
      </c>
      <c r="FLT3425" s="34">
        <v>-2.5</v>
      </c>
      <c r="FLU3425" s="34">
        <v>-2</v>
      </c>
      <c r="FLV3425" s="34">
        <v>-1.5</v>
      </c>
      <c r="FLW3425" s="34">
        <v>-1</v>
      </c>
      <c r="FLX3425" s="34">
        <v>-0.5</v>
      </c>
      <c r="FLY3425" s="34">
        <v>0</v>
      </c>
      <c r="FLZ3425" s="34">
        <v>0.5</v>
      </c>
      <c r="FMA3425" s="34">
        <v>1</v>
      </c>
      <c r="FMB3425" s="34">
        <v>1.5</v>
      </c>
      <c r="FMC3425" s="34">
        <v>2</v>
      </c>
      <c r="FMD3425" s="34">
        <v>2.5</v>
      </c>
      <c r="FME3425" s="34">
        <v>3</v>
      </c>
      <c r="FMF3425" s="34">
        <v>3.5</v>
      </c>
      <c r="FMG3425" s="34">
        <v>4</v>
      </c>
      <c r="FMH3425" s="34">
        <v>4.5</v>
      </c>
      <c r="FMI3425" s="34">
        <v>5</v>
      </c>
      <c r="FMK3425" s="913"/>
      <c r="FML3425" s="31">
        <v>1</v>
      </c>
      <c r="FMM3425" s="34">
        <v>0</v>
      </c>
      <c r="FMN3425" s="34">
        <v>-1</v>
      </c>
      <c r="FMO3425" s="34">
        <v>-2</v>
      </c>
      <c r="FMP3425" s="34">
        <v>-3</v>
      </c>
      <c r="FMQ3425" s="34">
        <v>-4</v>
      </c>
      <c r="FMR3425" s="34">
        <v>-5</v>
      </c>
      <c r="FMS3425" s="908"/>
      <c r="FMT3425" s="909"/>
      <c r="FMU3425" s="34">
        <v>-5</v>
      </c>
      <c r="FMV3425" s="34">
        <v>-4.5</v>
      </c>
      <c r="FMW3425" s="34">
        <v>-4</v>
      </c>
      <c r="FMX3425" s="34">
        <v>-3.5</v>
      </c>
      <c r="FMY3425" s="34">
        <v>-3</v>
      </c>
      <c r="FMZ3425" s="34">
        <v>-2.5</v>
      </c>
      <c r="FNA3425" s="34">
        <v>-2</v>
      </c>
      <c r="FNB3425" s="34">
        <v>-1.5</v>
      </c>
      <c r="FNC3425" s="34">
        <v>-1</v>
      </c>
      <c r="FND3425" s="34">
        <v>-0.5</v>
      </c>
      <c r="FNE3425" s="34">
        <v>0</v>
      </c>
      <c r="FNF3425" s="34">
        <v>0.5</v>
      </c>
      <c r="FNG3425" s="34">
        <v>1</v>
      </c>
      <c r="FNH3425" s="34">
        <v>1.5</v>
      </c>
      <c r="FNI3425" s="34">
        <v>2</v>
      </c>
      <c r="FNJ3425" s="34">
        <v>2.5</v>
      </c>
      <c r="FNK3425" s="34">
        <v>3</v>
      </c>
      <c r="FNL3425" s="34">
        <v>3.5</v>
      </c>
      <c r="FNM3425" s="34">
        <v>4</v>
      </c>
      <c r="FNN3425" s="34">
        <v>4.5</v>
      </c>
      <c r="FNO3425" s="34">
        <v>5</v>
      </c>
      <c r="FNQ3425" s="913"/>
      <c r="FNR3425" s="31">
        <v>1</v>
      </c>
      <c r="FNS3425" s="34">
        <v>0</v>
      </c>
      <c r="FNT3425" s="34">
        <v>-1</v>
      </c>
      <c r="FNU3425" s="34">
        <v>-2</v>
      </c>
      <c r="FNV3425" s="34">
        <v>-3</v>
      </c>
      <c r="FNW3425" s="34">
        <v>-4</v>
      </c>
      <c r="FNX3425" s="34">
        <v>-5</v>
      </c>
      <c r="FNY3425" s="908"/>
      <c r="FNZ3425" s="909"/>
      <c r="FOA3425" s="34">
        <v>-5</v>
      </c>
      <c r="FOB3425" s="34">
        <v>-4.5</v>
      </c>
      <c r="FOC3425" s="34">
        <v>-4</v>
      </c>
      <c r="FOD3425" s="34">
        <v>-3.5</v>
      </c>
      <c r="FOE3425" s="34">
        <v>-3</v>
      </c>
      <c r="FOF3425" s="34">
        <v>-2.5</v>
      </c>
      <c r="FOG3425" s="34">
        <v>-2</v>
      </c>
      <c r="FOH3425" s="34">
        <v>-1.5</v>
      </c>
      <c r="FOI3425" s="34">
        <v>-1</v>
      </c>
      <c r="FOJ3425" s="34">
        <v>-0.5</v>
      </c>
      <c r="FOK3425" s="34">
        <v>0</v>
      </c>
      <c r="FOL3425" s="34">
        <v>0.5</v>
      </c>
      <c r="FOM3425" s="34">
        <v>1</v>
      </c>
      <c r="FON3425" s="34">
        <v>1.5</v>
      </c>
      <c r="FOO3425" s="34">
        <v>2</v>
      </c>
      <c r="FOP3425" s="34">
        <v>2.5</v>
      </c>
      <c r="FOQ3425" s="34">
        <v>3</v>
      </c>
      <c r="FOR3425" s="34">
        <v>3.5</v>
      </c>
      <c r="FOS3425" s="34">
        <v>4</v>
      </c>
      <c r="FOT3425" s="34">
        <v>4.5</v>
      </c>
      <c r="FOU3425" s="34">
        <v>5</v>
      </c>
      <c r="FOW3425" s="913"/>
      <c r="FOX3425" s="31">
        <v>1</v>
      </c>
      <c r="FOY3425" s="34">
        <v>0</v>
      </c>
      <c r="FOZ3425" s="34">
        <v>-1</v>
      </c>
      <c r="FPA3425" s="34">
        <v>-2</v>
      </c>
      <c r="FPB3425" s="34">
        <v>-3</v>
      </c>
      <c r="FPC3425" s="34">
        <v>-4</v>
      </c>
      <c r="FPD3425" s="34">
        <v>-5</v>
      </c>
      <c r="FPE3425" s="908"/>
      <c r="FPF3425" s="909"/>
      <c r="FPG3425" s="34">
        <v>-5</v>
      </c>
      <c r="FPH3425" s="34">
        <v>-4.5</v>
      </c>
      <c r="FPI3425" s="34">
        <v>-4</v>
      </c>
      <c r="FPJ3425" s="34">
        <v>-3.5</v>
      </c>
      <c r="FPK3425" s="34">
        <v>-3</v>
      </c>
      <c r="FPL3425" s="34">
        <v>-2.5</v>
      </c>
      <c r="FPM3425" s="34">
        <v>-2</v>
      </c>
      <c r="FPN3425" s="34">
        <v>-1.5</v>
      </c>
      <c r="FPO3425" s="34">
        <v>-1</v>
      </c>
      <c r="FPP3425" s="34">
        <v>-0.5</v>
      </c>
      <c r="FPQ3425" s="34">
        <v>0</v>
      </c>
      <c r="FPR3425" s="34">
        <v>0.5</v>
      </c>
      <c r="FPS3425" s="34">
        <v>1</v>
      </c>
      <c r="FPT3425" s="34">
        <v>1.5</v>
      </c>
      <c r="FPU3425" s="34">
        <v>2</v>
      </c>
      <c r="FPV3425" s="34">
        <v>2.5</v>
      </c>
      <c r="FPW3425" s="34">
        <v>3</v>
      </c>
      <c r="FPX3425" s="34">
        <v>3.5</v>
      </c>
      <c r="FPY3425" s="34">
        <v>4</v>
      </c>
      <c r="FPZ3425" s="34">
        <v>4.5</v>
      </c>
      <c r="FQA3425" s="34">
        <v>5</v>
      </c>
      <c r="FQC3425" s="913"/>
      <c r="FQD3425" s="31">
        <v>1</v>
      </c>
      <c r="FQE3425" s="34">
        <v>0</v>
      </c>
      <c r="FQF3425" s="34">
        <v>-1</v>
      </c>
      <c r="FQG3425" s="34">
        <v>-2</v>
      </c>
      <c r="FQH3425" s="34">
        <v>-3</v>
      </c>
      <c r="FQI3425" s="34">
        <v>-4</v>
      </c>
      <c r="FQJ3425" s="34">
        <v>-5</v>
      </c>
      <c r="FQK3425" s="908"/>
      <c r="FQL3425" s="909"/>
      <c r="FQM3425" s="34">
        <v>-5</v>
      </c>
      <c r="FQN3425" s="34">
        <v>-4.5</v>
      </c>
      <c r="FQO3425" s="34">
        <v>-4</v>
      </c>
      <c r="FQP3425" s="34">
        <v>-3.5</v>
      </c>
      <c r="FQQ3425" s="34">
        <v>-3</v>
      </c>
      <c r="FQR3425" s="34">
        <v>-2.5</v>
      </c>
      <c r="FQS3425" s="34">
        <v>-2</v>
      </c>
      <c r="FQT3425" s="34">
        <v>-1.5</v>
      </c>
      <c r="FQU3425" s="34">
        <v>-1</v>
      </c>
      <c r="FQV3425" s="34">
        <v>-0.5</v>
      </c>
      <c r="FQW3425" s="34">
        <v>0</v>
      </c>
      <c r="FQX3425" s="34">
        <v>0.5</v>
      </c>
      <c r="FQY3425" s="34">
        <v>1</v>
      </c>
      <c r="FQZ3425" s="34">
        <v>1.5</v>
      </c>
      <c r="FRA3425" s="34">
        <v>2</v>
      </c>
      <c r="FRB3425" s="34">
        <v>2.5</v>
      </c>
      <c r="FRC3425" s="34">
        <v>3</v>
      </c>
      <c r="FRD3425" s="34">
        <v>3.5</v>
      </c>
      <c r="FRE3425" s="34">
        <v>4</v>
      </c>
      <c r="FRF3425" s="34">
        <v>4.5</v>
      </c>
      <c r="FRG3425" s="34">
        <v>5</v>
      </c>
      <c r="FRI3425" s="913"/>
      <c r="FRJ3425" s="31">
        <v>1</v>
      </c>
      <c r="FRK3425" s="34">
        <v>0</v>
      </c>
      <c r="FRL3425" s="34">
        <v>-1</v>
      </c>
      <c r="FRM3425" s="34">
        <v>-2</v>
      </c>
      <c r="FRN3425" s="34">
        <v>-3</v>
      </c>
      <c r="FRO3425" s="34">
        <v>-4</v>
      </c>
      <c r="FRP3425" s="34">
        <v>-5</v>
      </c>
      <c r="FRQ3425" s="908"/>
      <c r="FRR3425" s="909"/>
      <c r="FRS3425" s="34">
        <v>-5</v>
      </c>
      <c r="FRT3425" s="34">
        <v>-4.5</v>
      </c>
      <c r="FRU3425" s="34">
        <v>-4</v>
      </c>
      <c r="FRV3425" s="34">
        <v>-3.5</v>
      </c>
      <c r="FRW3425" s="34">
        <v>-3</v>
      </c>
      <c r="FRX3425" s="34">
        <v>-2.5</v>
      </c>
      <c r="FRY3425" s="34">
        <v>-2</v>
      </c>
      <c r="FRZ3425" s="34">
        <v>-1.5</v>
      </c>
      <c r="FSA3425" s="34">
        <v>-1</v>
      </c>
      <c r="FSB3425" s="34">
        <v>-0.5</v>
      </c>
      <c r="FSC3425" s="34">
        <v>0</v>
      </c>
      <c r="FSD3425" s="34">
        <v>0.5</v>
      </c>
      <c r="FSE3425" s="34">
        <v>1</v>
      </c>
      <c r="FSF3425" s="34">
        <v>1.5</v>
      </c>
      <c r="FSG3425" s="34">
        <v>2</v>
      </c>
      <c r="FSH3425" s="34">
        <v>2.5</v>
      </c>
      <c r="FSI3425" s="34">
        <v>3</v>
      </c>
      <c r="FSJ3425" s="34">
        <v>3.5</v>
      </c>
      <c r="FSK3425" s="34">
        <v>4</v>
      </c>
      <c r="FSL3425" s="34">
        <v>4.5</v>
      </c>
      <c r="FSM3425" s="34">
        <v>5</v>
      </c>
      <c r="FSO3425" s="913"/>
      <c r="FSP3425" s="31">
        <v>1</v>
      </c>
      <c r="FSQ3425" s="34">
        <v>0</v>
      </c>
      <c r="FSR3425" s="34">
        <v>-1</v>
      </c>
      <c r="FSS3425" s="34">
        <v>-2</v>
      </c>
      <c r="FST3425" s="34">
        <v>-3</v>
      </c>
      <c r="FSU3425" s="34">
        <v>-4</v>
      </c>
      <c r="FSV3425" s="34">
        <v>-5</v>
      </c>
      <c r="FSW3425" s="908"/>
      <c r="FSX3425" s="909"/>
      <c r="FSY3425" s="34">
        <v>-5</v>
      </c>
      <c r="FSZ3425" s="34">
        <v>-4.5</v>
      </c>
      <c r="FTA3425" s="34">
        <v>-4</v>
      </c>
      <c r="FTB3425" s="34">
        <v>-3.5</v>
      </c>
      <c r="FTC3425" s="34">
        <v>-3</v>
      </c>
      <c r="FTD3425" s="34">
        <v>-2.5</v>
      </c>
      <c r="FTE3425" s="34">
        <v>-2</v>
      </c>
      <c r="FTF3425" s="34">
        <v>-1.5</v>
      </c>
      <c r="FTG3425" s="34">
        <v>-1</v>
      </c>
      <c r="FTH3425" s="34">
        <v>-0.5</v>
      </c>
      <c r="FTI3425" s="34">
        <v>0</v>
      </c>
      <c r="FTJ3425" s="34">
        <v>0.5</v>
      </c>
      <c r="FTK3425" s="34">
        <v>1</v>
      </c>
      <c r="FTL3425" s="34">
        <v>1.5</v>
      </c>
      <c r="FTM3425" s="34">
        <v>2</v>
      </c>
      <c r="FTN3425" s="34">
        <v>2.5</v>
      </c>
      <c r="FTO3425" s="34">
        <v>3</v>
      </c>
      <c r="FTP3425" s="34">
        <v>3.5</v>
      </c>
      <c r="FTQ3425" s="34">
        <v>4</v>
      </c>
      <c r="FTR3425" s="34">
        <v>4.5</v>
      </c>
      <c r="FTS3425" s="34">
        <v>5</v>
      </c>
      <c r="FTU3425" s="913"/>
      <c r="FTV3425" s="31">
        <v>1</v>
      </c>
      <c r="FTW3425" s="34">
        <v>0</v>
      </c>
      <c r="FTX3425" s="34">
        <v>-1</v>
      </c>
      <c r="FTY3425" s="34">
        <v>-2</v>
      </c>
      <c r="FTZ3425" s="34">
        <v>-3</v>
      </c>
      <c r="FUA3425" s="34">
        <v>-4</v>
      </c>
      <c r="FUB3425" s="34">
        <v>-5</v>
      </c>
      <c r="FUC3425" s="908"/>
      <c r="FUD3425" s="909"/>
      <c r="FUE3425" s="34">
        <v>-5</v>
      </c>
      <c r="FUF3425" s="34">
        <v>-4.5</v>
      </c>
      <c r="FUG3425" s="34">
        <v>-4</v>
      </c>
      <c r="FUH3425" s="34">
        <v>-3.5</v>
      </c>
      <c r="FUI3425" s="34">
        <v>-3</v>
      </c>
      <c r="FUJ3425" s="34">
        <v>-2.5</v>
      </c>
      <c r="FUK3425" s="34">
        <v>-2</v>
      </c>
      <c r="FUL3425" s="34">
        <v>-1.5</v>
      </c>
      <c r="FUM3425" s="34">
        <v>-1</v>
      </c>
      <c r="FUN3425" s="34">
        <v>-0.5</v>
      </c>
      <c r="FUO3425" s="34">
        <v>0</v>
      </c>
      <c r="FUP3425" s="34">
        <v>0.5</v>
      </c>
      <c r="FUQ3425" s="34">
        <v>1</v>
      </c>
      <c r="FUR3425" s="34">
        <v>1.5</v>
      </c>
      <c r="FUS3425" s="34">
        <v>2</v>
      </c>
      <c r="FUT3425" s="34">
        <v>2.5</v>
      </c>
      <c r="FUU3425" s="34">
        <v>3</v>
      </c>
      <c r="FUV3425" s="34">
        <v>3.5</v>
      </c>
      <c r="FUW3425" s="34">
        <v>4</v>
      </c>
      <c r="FUX3425" s="34">
        <v>4.5</v>
      </c>
      <c r="FUY3425" s="34">
        <v>5</v>
      </c>
      <c r="FVA3425" s="913"/>
      <c r="FVB3425" s="31">
        <v>1</v>
      </c>
      <c r="FVC3425" s="34">
        <v>0</v>
      </c>
      <c r="FVD3425" s="34">
        <v>-1</v>
      </c>
      <c r="FVE3425" s="34">
        <v>-2</v>
      </c>
      <c r="FVF3425" s="34">
        <v>-3</v>
      </c>
      <c r="FVG3425" s="34">
        <v>-4</v>
      </c>
      <c r="FVH3425" s="34">
        <v>-5</v>
      </c>
      <c r="FVI3425" s="908"/>
      <c r="FVJ3425" s="909"/>
      <c r="FVK3425" s="34">
        <v>-5</v>
      </c>
      <c r="FVL3425" s="34">
        <v>-4.5</v>
      </c>
      <c r="FVM3425" s="34">
        <v>-4</v>
      </c>
      <c r="FVN3425" s="34">
        <v>-3.5</v>
      </c>
      <c r="FVO3425" s="34">
        <v>-3</v>
      </c>
      <c r="FVP3425" s="34">
        <v>-2.5</v>
      </c>
      <c r="FVQ3425" s="34">
        <v>-2</v>
      </c>
      <c r="FVR3425" s="34">
        <v>-1.5</v>
      </c>
      <c r="FVS3425" s="34">
        <v>-1</v>
      </c>
      <c r="FVT3425" s="34">
        <v>-0.5</v>
      </c>
      <c r="FVU3425" s="34">
        <v>0</v>
      </c>
      <c r="FVV3425" s="34">
        <v>0.5</v>
      </c>
      <c r="FVW3425" s="34">
        <v>1</v>
      </c>
      <c r="FVX3425" s="34">
        <v>1.5</v>
      </c>
      <c r="FVY3425" s="34">
        <v>2</v>
      </c>
      <c r="FVZ3425" s="34">
        <v>2.5</v>
      </c>
      <c r="FWA3425" s="34">
        <v>3</v>
      </c>
      <c r="FWB3425" s="34">
        <v>3.5</v>
      </c>
      <c r="FWC3425" s="34">
        <v>4</v>
      </c>
      <c r="FWD3425" s="34">
        <v>4.5</v>
      </c>
      <c r="FWE3425" s="34">
        <v>5</v>
      </c>
      <c r="FWG3425" s="913"/>
      <c r="FWH3425" s="31">
        <v>1</v>
      </c>
      <c r="FWI3425" s="34">
        <v>0</v>
      </c>
      <c r="FWJ3425" s="34">
        <v>-1</v>
      </c>
      <c r="FWK3425" s="34">
        <v>-2</v>
      </c>
      <c r="FWL3425" s="34">
        <v>-3</v>
      </c>
      <c r="FWM3425" s="34">
        <v>-4</v>
      </c>
      <c r="FWN3425" s="34">
        <v>-5</v>
      </c>
      <c r="FWO3425" s="908"/>
      <c r="FWP3425" s="909"/>
      <c r="FWQ3425" s="34">
        <v>-5</v>
      </c>
      <c r="FWR3425" s="34">
        <v>-4.5</v>
      </c>
      <c r="FWS3425" s="34">
        <v>-4</v>
      </c>
      <c r="FWT3425" s="34">
        <v>-3.5</v>
      </c>
      <c r="FWU3425" s="34">
        <v>-3</v>
      </c>
      <c r="FWV3425" s="34">
        <v>-2.5</v>
      </c>
      <c r="FWW3425" s="34">
        <v>-2</v>
      </c>
      <c r="FWX3425" s="34">
        <v>-1.5</v>
      </c>
      <c r="FWY3425" s="34">
        <v>-1</v>
      </c>
      <c r="FWZ3425" s="34">
        <v>-0.5</v>
      </c>
      <c r="FXA3425" s="34">
        <v>0</v>
      </c>
      <c r="FXB3425" s="34">
        <v>0.5</v>
      </c>
      <c r="FXC3425" s="34">
        <v>1</v>
      </c>
      <c r="FXD3425" s="34">
        <v>1.5</v>
      </c>
      <c r="FXE3425" s="34">
        <v>2</v>
      </c>
      <c r="FXF3425" s="34">
        <v>2.5</v>
      </c>
      <c r="FXG3425" s="34">
        <v>3</v>
      </c>
      <c r="FXH3425" s="34">
        <v>3.5</v>
      </c>
      <c r="FXI3425" s="34">
        <v>4</v>
      </c>
      <c r="FXJ3425" s="34">
        <v>4.5</v>
      </c>
      <c r="FXK3425" s="34">
        <v>5</v>
      </c>
      <c r="FXM3425" s="913"/>
      <c r="FXN3425" s="31">
        <v>1</v>
      </c>
      <c r="FXO3425" s="34">
        <v>0</v>
      </c>
      <c r="FXP3425" s="34">
        <v>-1</v>
      </c>
      <c r="FXQ3425" s="34">
        <v>-2</v>
      </c>
      <c r="FXR3425" s="34">
        <v>-3</v>
      </c>
      <c r="FXS3425" s="34">
        <v>-4</v>
      </c>
      <c r="FXT3425" s="34">
        <v>-5</v>
      </c>
      <c r="FXU3425" s="908"/>
      <c r="FXV3425" s="909"/>
      <c r="FXW3425" s="34">
        <v>-5</v>
      </c>
      <c r="FXX3425" s="34">
        <v>-4.5</v>
      </c>
      <c r="FXY3425" s="34">
        <v>-4</v>
      </c>
      <c r="FXZ3425" s="34">
        <v>-3.5</v>
      </c>
      <c r="FYA3425" s="34">
        <v>-3</v>
      </c>
      <c r="FYB3425" s="34">
        <v>-2.5</v>
      </c>
      <c r="FYC3425" s="34">
        <v>-2</v>
      </c>
      <c r="FYD3425" s="34">
        <v>-1.5</v>
      </c>
      <c r="FYE3425" s="34">
        <v>-1</v>
      </c>
      <c r="FYF3425" s="34">
        <v>-0.5</v>
      </c>
      <c r="FYG3425" s="34">
        <v>0</v>
      </c>
      <c r="FYH3425" s="34">
        <v>0.5</v>
      </c>
      <c r="FYI3425" s="34">
        <v>1</v>
      </c>
      <c r="FYJ3425" s="34">
        <v>1.5</v>
      </c>
      <c r="FYK3425" s="34">
        <v>2</v>
      </c>
      <c r="FYL3425" s="34">
        <v>2.5</v>
      </c>
      <c r="FYM3425" s="34">
        <v>3</v>
      </c>
      <c r="FYN3425" s="34">
        <v>3.5</v>
      </c>
      <c r="FYO3425" s="34">
        <v>4</v>
      </c>
      <c r="FYP3425" s="34">
        <v>4.5</v>
      </c>
      <c r="FYQ3425" s="34">
        <v>5</v>
      </c>
      <c r="FYS3425" s="913"/>
      <c r="FYT3425" s="31">
        <v>1</v>
      </c>
      <c r="FYU3425" s="34">
        <v>0</v>
      </c>
      <c r="FYV3425" s="34">
        <v>-1</v>
      </c>
      <c r="FYW3425" s="34">
        <v>-2</v>
      </c>
      <c r="FYX3425" s="34">
        <v>-3</v>
      </c>
      <c r="FYY3425" s="34">
        <v>-4</v>
      </c>
      <c r="FYZ3425" s="34">
        <v>-5</v>
      </c>
      <c r="FZA3425" s="908"/>
      <c r="FZB3425" s="909"/>
      <c r="FZC3425" s="34">
        <v>-5</v>
      </c>
      <c r="FZD3425" s="34">
        <v>-4.5</v>
      </c>
      <c r="FZE3425" s="34">
        <v>-4</v>
      </c>
      <c r="FZF3425" s="34">
        <v>-3.5</v>
      </c>
      <c r="FZG3425" s="34">
        <v>-3</v>
      </c>
      <c r="FZH3425" s="34">
        <v>-2.5</v>
      </c>
      <c r="FZI3425" s="34">
        <v>-2</v>
      </c>
      <c r="FZJ3425" s="34">
        <v>-1.5</v>
      </c>
      <c r="FZK3425" s="34">
        <v>-1</v>
      </c>
      <c r="FZL3425" s="34">
        <v>-0.5</v>
      </c>
      <c r="FZM3425" s="34">
        <v>0</v>
      </c>
      <c r="FZN3425" s="34">
        <v>0.5</v>
      </c>
      <c r="FZO3425" s="34">
        <v>1</v>
      </c>
      <c r="FZP3425" s="34">
        <v>1.5</v>
      </c>
      <c r="FZQ3425" s="34">
        <v>2</v>
      </c>
      <c r="FZR3425" s="34">
        <v>2.5</v>
      </c>
      <c r="FZS3425" s="34">
        <v>3</v>
      </c>
      <c r="FZT3425" s="34">
        <v>3.5</v>
      </c>
      <c r="FZU3425" s="34">
        <v>4</v>
      </c>
      <c r="FZV3425" s="34">
        <v>4.5</v>
      </c>
      <c r="FZW3425" s="34">
        <v>5</v>
      </c>
      <c r="FZY3425" s="913"/>
      <c r="FZZ3425" s="31">
        <v>1</v>
      </c>
      <c r="GAA3425" s="34">
        <v>0</v>
      </c>
      <c r="GAB3425" s="34">
        <v>-1</v>
      </c>
      <c r="GAC3425" s="34">
        <v>-2</v>
      </c>
      <c r="GAD3425" s="34">
        <v>-3</v>
      </c>
      <c r="GAE3425" s="34">
        <v>-4</v>
      </c>
      <c r="GAF3425" s="34">
        <v>-5</v>
      </c>
      <c r="GAG3425" s="908"/>
      <c r="GAH3425" s="909"/>
      <c r="GAI3425" s="34">
        <v>-5</v>
      </c>
      <c r="GAJ3425" s="34">
        <v>-4.5</v>
      </c>
      <c r="GAK3425" s="34">
        <v>-4</v>
      </c>
      <c r="GAL3425" s="34">
        <v>-3.5</v>
      </c>
      <c r="GAM3425" s="34">
        <v>-3</v>
      </c>
      <c r="GAN3425" s="34">
        <v>-2.5</v>
      </c>
      <c r="GAO3425" s="34">
        <v>-2</v>
      </c>
      <c r="GAP3425" s="34">
        <v>-1.5</v>
      </c>
      <c r="GAQ3425" s="34">
        <v>-1</v>
      </c>
      <c r="GAR3425" s="34">
        <v>-0.5</v>
      </c>
      <c r="GAS3425" s="34">
        <v>0</v>
      </c>
      <c r="GAT3425" s="34">
        <v>0.5</v>
      </c>
      <c r="GAU3425" s="34">
        <v>1</v>
      </c>
      <c r="GAV3425" s="34">
        <v>1.5</v>
      </c>
      <c r="GAW3425" s="34">
        <v>2</v>
      </c>
      <c r="GAX3425" s="34">
        <v>2.5</v>
      </c>
      <c r="GAY3425" s="34">
        <v>3</v>
      </c>
      <c r="GAZ3425" s="34">
        <v>3.5</v>
      </c>
      <c r="GBA3425" s="34">
        <v>4</v>
      </c>
      <c r="GBB3425" s="34">
        <v>4.5</v>
      </c>
      <c r="GBC3425" s="34">
        <v>5</v>
      </c>
      <c r="GBE3425" s="913"/>
      <c r="GBF3425" s="31">
        <v>1</v>
      </c>
      <c r="GBG3425" s="34">
        <v>0</v>
      </c>
      <c r="GBH3425" s="34">
        <v>-1</v>
      </c>
      <c r="GBI3425" s="34">
        <v>-2</v>
      </c>
      <c r="GBJ3425" s="34">
        <v>-3</v>
      </c>
      <c r="GBK3425" s="34">
        <v>-4</v>
      </c>
      <c r="GBL3425" s="34">
        <v>-5</v>
      </c>
      <c r="GBM3425" s="908"/>
      <c r="GBN3425" s="909"/>
      <c r="GBO3425" s="34">
        <v>-5</v>
      </c>
      <c r="GBP3425" s="34">
        <v>-4.5</v>
      </c>
      <c r="GBQ3425" s="34">
        <v>-4</v>
      </c>
      <c r="GBR3425" s="34">
        <v>-3.5</v>
      </c>
      <c r="GBS3425" s="34">
        <v>-3</v>
      </c>
      <c r="GBT3425" s="34">
        <v>-2.5</v>
      </c>
      <c r="GBU3425" s="34">
        <v>-2</v>
      </c>
      <c r="GBV3425" s="34">
        <v>-1.5</v>
      </c>
      <c r="GBW3425" s="34">
        <v>-1</v>
      </c>
      <c r="GBX3425" s="34">
        <v>-0.5</v>
      </c>
      <c r="GBY3425" s="34">
        <v>0</v>
      </c>
      <c r="GBZ3425" s="34">
        <v>0.5</v>
      </c>
      <c r="GCA3425" s="34">
        <v>1</v>
      </c>
      <c r="GCB3425" s="34">
        <v>1.5</v>
      </c>
      <c r="GCC3425" s="34">
        <v>2</v>
      </c>
      <c r="GCD3425" s="34">
        <v>2.5</v>
      </c>
      <c r="GCE3425" s="34">
        <v>3</v>
      </c>
      <c r="GCF3425" s="34">
        <v>3.5</v>
      </c>
      <c r="GCG3425" s="34">
        <v>4</v>
      </c>
      <c r="GCH3425" s="34">
        <v>4.5</v>
      </c>
      <c r="GCI3425" s="34">
        <v>5</v>
      </c>
      <c r="GCK3425" s="913"/>
      <c r="GCL3425" s="31">
        <v>1</v>
      </c>
      <c r="GCM3425" s="34">
        <v>0</v>
      </c>
      <c r="GCN3425" s="34">
        <v>-1</v>
      </c>
      <c r="GCO3425" s="34">
        <v>-2</v>
      </c>
      <c r="GCP3425" s="34">
        <v>-3</v>
      </c>
      <c r="GCQ3425" s="34">
        <v>-4</v>
      </c>
      <c r="GCR3425" s="34">
        <v>-5</v>
      </c>
      <c r="GCS3425" s="908"/>
      <c r="GCT3425" s="909"/>
      <c r="GCU3425" s="34">
        <v>-5</v>
      </c>
      <c r="GCV3425" s="34">
        <v>-4.5</v>
      </c>
      <c r="GCW3425" s="34">
        <v>-4</v>
      </c>
      <c r="GCX3425" s="34">
        <v>-3.5</v>
      </c>
      <c r="GCY3425" s="34">
        <v>-3</v>
      </c>
      <c r="GCZ3425" s="34">
        <v>-2.5</v>
      </c>
      <c r="GDA3425" s="34">
        <v>-2</v>
      </c>
      <c r="GDB3425" s="34">
        <v>-1.5</v>
      </c>
      <c r="GDC3425" s="34">
        <v>-1</v>
      </c>
      <c r="GDD3425" s="34">
        <v>-0.5</v>
      </c>
      <c r="GDE3425" s="34">
        <v>0</v>
      </c>
      <c r="GDF3425" s="34">
        <v>0.5</v>
      </c>
      <c r="GDG3425" s="34">
        <v>1</v>
      </c>
      <c r="GDH3425" s="34">
        <v>1.5</v>
      </c>
      <c r="GDI3425" s="34">
        <v>2</v>
      </c>
      <c r="GDJ3425" s="34">
        <v>2.5</v>
      </c>
      <c r="GDK3425" s="34">
        <v>3</v>
      </c>
      <c r="GDL3425" s="34">
        <v>3.5</v>
      </c>
      <c r="GDM3425" s="34">
        <v>4</v>
      </c>
      <c r="GDN3425" s="34">
        <v>4.5</v>
      </c>
      <c r="GDO3425" s="34">
        <v>5</v>
      </c>
      <c r="GDQ3425" s="913"/>
      <c r="GDR3425" s="31">
        <v>1</v>
      </c>
      <c r="GDS3425" s="34">
        <v>0</v>
      </c>
      <c r="GDT3425" s="34">
        <v>-1</v>
      </c>
      <c r="GDU3425" s="34">
        <v>-2</v>
      </c>
      <c r="GDV3425" s="34">
        <v>-3</v>
      </c>
      <c r="GDW3425" s="34">
        <v>-4</v>
      </c>
      <c r="GDX3425" s="34">
        <v>-5</v>
      </c>
      <c r="GDY3425" s="908"/>
      <c r="GDZ3425" s="909"/>
      <c r="GEA3425" s="34">
        <v>-5</v>
      </c>
      <c r="GEB3425" s="34">
        <v>-4.5</v>
      </c>
      <c r="GEC3425" s="34">
        <v>-4</v>
      </c>
      <c r="GED3425" s="34">
        <v>-3.5</v>
      </c>
      <c r="GEE3425" s="34">
        <v>-3</v>
      </c>
      <c r="GEF3425" s="34">
        <v>-2.5</v>
      </c>
      <c r="GEG3425" s="34">
        <v>-2</v>
      </c>
      <c r="GEH3425" s="34">
        <v>-1.5</v>
      </c>
      <c r="GEI3425" s="34">
        <v>-1</v>
      </c>
      <c r="GEJ3425" s="34">
        <v>-0.5</v>
      </c>
      <c r="GEK3425" s="34">
        <v>0</v>
      </c>
      <c r="GEL3425" s="34">
        <v>0.5</v>
      </c>
      <c r="GEM3425" s="34">
        <v>1</v>
      </c>
      <c r="GEN3425" s="34">
        <v>1.5</v>
      </c>
      <c r="GEO3425" s="34">
        <v>2</v>
      </c>
      <c r="GEP3425" s="34">
        <v>2.5</v>
      </c>
      <c r="GEQ3425" s="34">
        <v>3</v>
      </c>
      <c r="GER3425" s="34">
        <v>3.5</v>
      </c>
      <c r="GES3425" s="34">
        <v>4</v>
      </c>
      <c r="GET3425" s="34">
        <v>4.5</v>
      </c>
      <c r="GEU3425" s="34">
        <v>5</v>
      </c>
      <c r="GEW3425" s="913"/>
      <c r="GEX3425" s="31">
        <v>1</v>
      </c>
      <c r="GEY3425" s="34">
        <v>0</v>
      </c>
      <c r="GEZ3425" s="34">
        <v>-1</v>
      </c>
      <c r="GFA3425" s="34">
        <v>-2</v>
      </c>
      <c r="GFB3425" s="34">
        <v>-3</v>
      </c>
      <c r="GFC3425" s="34">
        <v>-4</v>
      </c>
      <c r="GFD3425" s="34">
        <v>-5</v>
      </c>
      <c r="GFE3425" s="908"/>
      <c r="GFF3425" s="909"/>
      <c r="GFG3425" s="34">
        <v>-5</v>
      </c>
      <c r="GFH3425" s="34">
        <v>-4.5</v>
      </c>
      <c r="GFI3425" s="34">
        <v>-4</v>
      </c>
      <c r="GFJ3425" s="34">
        <v>-3.5</v>
      </c>
      <c r="GFK3425" s="34">
        <v>-3</v>
      </c>
      <c r="GFL3425" s="34">
        <v>-2.5</v>
      </c>
      <c r="GFM3425" s="34">
        <v>-2</v>
      </c>
      <c r="GFN3425" s="34">
        <v>-1.5</v>
      </c>
      <c r="GFO3425" s="34">
        <v>-1</v>
      </c>
      <c r="GFP3425" s="34">
        <v>-0.5</v>
      </c>
      <c r="GFQ3425" s="34">
        <v>0</v>
      </c>
      <c r="GFR3425" s="34">
        <v>0.5</v>
      </c>
      <c r="GFS3425" s="34">
        <v>1</v>
      </c>
      <c r="GFT3425" s="34">
        <v>1.5</v>
      </c>
      <c r="GFU3425" s="34">
        <v>2</v>
      </c>
      <c r="GFV3425" s="34">
        <v>2.5</v>
      </c>
      <c r="GFW3425" s="34">
        <v>3</v>
      </c>
      <c r="GFX3425" s="34">
        <v>3.5</v>
      </c>
      <c r="GFY3425" s="34">
        <v>4</v>
      </c>
      <c r="GFZ3425" s="34">
        <v>4.5</v>
      </c>
      <c r="GGA3425" s="34">
        <v>5</v>
      </c>
      <c r="GGC3425" s="913"/>
      <c r="GGD3425" s="31">
        <v>1</v>
      </c>
      <c r="GGE3425" s="34">
        <v>0</v>
      </c>
      <c r="GGF3425" s="34">
        <v>-1</v>
      </c>
      <c r="GGG3425" s="34">
        <v>-2</v>
      </c>
      <c r="GGH3425" s="34">
        <v>-3</v>
      </c>
      <c r="GGI3425" s="34">
        <v>-4</v>
      </c>
      <c r="GGJ3425" s="34">
        <v>-5</v>
      </c>
      <c r="GGK3425" s="908"/>
      <c r="GGL3425" s="909"/>
      <c r="GGM3425" s="34">
        <v>-5</v>
      </c>
      <c r="GGN3425" s="34">
        <v>-4.5</v>
      </c>
      <c r="GGO3425" s="34">
        <v>-4</v>
      </c>
      <c r="GGP3425" s="34">
        <v>-3.5</v>
      </c>
      <c r="GGQ3425" s="34">
        <v>-3</v>
      </c>
      <c r="GGR3425" s="34">
        <v>-2.5</v>
      </c>
      <c r="GGS3425" s="34">
        <v>-2</v>
      </c>
      <c r="GGT3425" s="34">
        <v>-1.5</v>
      </c>
      <c r="GGU3425" s="34">
        <v>-1</v>
      </c>
      <c r="GGV3425" s="34">
        <v>-0.5</v>
      </c>
      <c r="GGW3425" s="34">
        <v>0</v>
      </c>
      <c r="GGX3425" s="34">
        <v>0.5</v>
      </c>
      <c r="GGY3425" s="34">
        <v>1</v>
      </c>
      <c r="GGZ3425" s="34">
        <v>1.5</v>
      </c>
      <c r="GHA3425" s="34">
        <v>2</v>
      </c>
      <c r="GHB3425" s="34">
        <v>2.5</v>
      </c>
      <c r="GHC3425" s="34">
        <v>3</v>
      </c>
      <c r="GHD3425" s="34">
        <v>3.5</v>
      </c>
      <c r="GHE3425" s="34">
        <v>4</v>
      </c>
      <c r="GHF3425" s="34">
        <v>4.5</v>
      </c>
      <c r="GHG3425" s="34">
        <v>5</v>
      </c>
      <c r="GHI3425" s="913"/>
      <c r="GHJ3425" s="31">
        <v>1</v>
      </c>
      <c r="GHK3425" s="34">
        <v>0</v>
      </c>
      <c r="GHL3425" s="34">
        <v>-1</v>
      </c>
      <c r="GHM3425" s="34">
        <v>-2</v>
      </c>
      <c r="GHN3425" s="34">
        <v>-3</v>
      </c>
      <c r="GHO3425" s="34">
        <v>-4</v>
      </c>
      <c r="GHP3425" s="34">
        <v>-5</v>
      </c>
      <c r="GHQ3425" s="908"/>
      <c r="GHR3425" s="909"/>
      <c r="GHS3425" s="34">
        <v>-5</v>
      </c>
      <c r="GHT3425" s="34">
        <v>-4.5</v>
      </c>
      <c r="GHU3425" s="34">
        <v>-4</v>
      </c>
      <c r="GHV3425" s="34">
        <v>-3.5</v>
      </c>
      <c r="GHW3425" s="34">
        <v>-3</v>
      </c>
      <c r="GHX3425" s="34">
        <v>-2.5</v>
      </c>
      <c r="GHY3425" s="34">
        <v>-2</v>
      </c>
      <c r="GHZ3425" s="34">
        <v>-1.5</v>
      </c>
      <c r="GIA3425" s="34">
        <v>-1</v>
      </c>
      <c r="GIB3425" s="34">
        <v>-0.5</v>
      </c>
      <c r="GIC3425" s="34">
        <v>0</v>
      </c>
      <c r="GID3425" s="34">
        <v>0.5</v>
      </c>
      <c r="GIE3425" s="34">
        <v>1</v>
      </c>
      <c r="GIF3425" s="34">
        <v>1.5</v>
      </c>
      <c r="GIG3425" s="34">
        <v>2</v>
      </c>
      <c r="GIH3425" s="34">
        <v>2.5</v>
      </c>
      <c r="GII3425" s="34">
        <v>3</v>
      </c>
      <c r="GIJ3425" s="34">
        <v>3.5</v>
      </c>
      <c r="GIK3425" s="34">
        <v>4</v>
      </c>
      <c r="GIL3425" s="34">
        <v>4.5</v>
      </c>
      <c r="GIM3425" s="34">
        <v>5</v>
      </c>
      <c r="GIO3425" s="913"/>
      <c r="GIP3425" s="31">
        <v>1</v>
      </c>
      <c r="GIQ3425" s="34">
        <v>0</v>
      </c>
      <c r="GIR3425" s="34">
        <v>-1</v>
      </c>
      <c r="GIS3425" s="34">
        <v>-2</v>
      </c>
      <c r="GIT3425" s="34">
        <v>-3</v>
      </c>
      <c r="GIU3425" s="34">
        <v>-4</v>
      </c>
      <c r="GIV3425" s="34">
        <v>-5</v>
      </c>
      <c r="GIW3425" s="908"/>
      <c r="GIX3425" s="909"/>
      <c r="GIY3425" s="34">
        <v>-5</v>
      </c>
      <c r="GIZ3425" s="34">
        <v>-4.5</v>
      </c>
      <c r="GJA3425" s="34">
        <v>-4</v>
      </c>
      <c r="GJB3425" s="34">
        <v>-3.5</v>
      </c>
      <c r="GJC3425" s="34">
        <v>-3</v>
      </c>
      <c r="GJD3425" s="34">
        <v>-2.5</v>
      </c>
      <c r="GJE3425" s="34">
        <v>-2</v>
      </c>
      <c r="GJF3425" s="34">
        <v>-1.5</v>
      </c>
      <c r="GJG3425" s="34">
        <v>-1</v>
      </c>
      <c r="GJH3425" s="34">
        <v>-0.5</v>
      </c>
      <c r="GJI3425" s="34">
        <v>0</v>
      </c>
      <c r="GJJ3425" s="34">
        <v>0.5</v>
      </c>
      <c r="GJK3425" s="34">
        <v>1</v>
      </c>
      <c r="GJL3425" s="34">
        <v>1.5</v>
      </c>
      <c r="GJM3425" s="34">
        <v>2</v>
      </c>
      <c r="GJN3425" s="34">
        <v>2.5</v>
      </c>
      <c r="GJO3425" s="34">
        <v>3</v>
      </c>
      <c r="GJP3425" s="34">
        <v>3.5</v>
      </c>
      <c r="GJQ3425" s="34">
        <v>4</v>
      </c>
      <c r="GJR3425" s="34">
        <v>4.5</v>
      </c>
      <c r="GJS3425" s="34">
        <v>5</v>
      </c>
      <c r="GJU3425" s="913"/>
      <c r="GJV3425" s="31">
        <v>1</v>
      </c>
      <c r="GJW3425" s="34">
        <v>0</v>
      </c>
      <c r="GJX3425" s="34">
        <v>-1</v>
      </c>
      <c r="GJY3425" s="34">
        <v>-2</v>
      </c>
      <c r="GJZ3425" s="34">
        <v>-3</v>
      </c>
      <c r="GKA3425" s="34">
        <v>-4</v>
      </c>
      <c r="GKB3425" s="34">
        <v>-5</v>
      </c>
      <c r="GKC3425" s="908"/>
      <c r="GKD3425" s="909"/>
      <c r="GKE3425" s="34">
        <v>-5</v>
      </c>
      <c r="GKF3425" s="34">
        <v>-4.5</v>
      </c>
      <c r="GKG3425" s="34">
        <v>-4</v>
      </c>
      <c r="GKH3425" s="34">
        <v>-3.5</v>
      </c>
      <c r="GKI3425" s="34">
        <v>-3</v>
      </c>
      <c r="GKJ3425" s="34">
        <v>-2.5</v>
      </c>
      <c r="GKK3425" s="34">
        <v>-2</v>
      </c>
      <c r="GKL3425" s="34">
        <v>-1.5</v>
      </c>
      <c r="GKM3425" s="34">
        <v>-1</v>
      </c>
      <c r="GKN3425" s="34">
        <v>-0.5</v>
      </c>
      <c r="GKO3425" s="34">
        <v>0</v>
      </c>
      <c r="GKP3425" s="34">
        <v>0.5</v>
      </c>
      <c r="GKQ3425" s="34">
        <v>1</v>
      </c>
      <c r="GKR3425" s="34">
        <v>1.5</v>
      </c>
      <c r="GKS3425" s="34">
        <v>2</v>
      </c>
      <c r="GKT3425" s="34">
        <v>2.5</v>
      </c>
      <c r="GKU3425" s="34">
        <v>3</v>
      </c>
      <c r="GKV3425" s="34">
        <v>3.5</v>
      </c>
      <c r="GKW3425" s="34">
        <v>4</v>
      </c>
      <c r="GKX3425" s="34">
        <v>4.5</v>
      </c>
      <c r="GKY3425" s="34">
        <v>5</v>
      </c>
      <c r="GLA3425" s="913"/>
      <c r="GLB3425" s="31">
        <v>1</v>
      </c>
      <c r="GLC3425" s="34">
        <v>0</v>
      </c>
      <c r="GLD3425" s="34">
        <v>-1</v>
      </c>
      <c r="GLE3425" s="34">
        <v>-2</v>
      </c>
      <c r="GLF3425" s="34">
        <v>-3</v>
      </c>
      <c r="GLG3425" s="34">
        <v>-4</v>
      </c>
      <c r="GLH3425" s="34">
        <v>-5</v>
      </c>
      <c r="GLI3425" s="908"/>
      <c r="GLJ3425" s="909"/>
      <c r="GLK3425" s="34">
        <v>-5</v>
      </c>
      <c r="GLL3425" s="34">
        <v>-4.5</v>
      </c>
      <c r="GLM3425" s="34">
        <v>-4</v>
      </c>
      <c r="GLN3425" s="34">
        <v>-3.5</v>
      </c>
      <c r="GLO3425" s="34">
        <v>-3</v>
      </c>
      <c r="GLP3425" s="34">
        <v>-2.5</v>
      </c>
      <c r="GLQ3425" s="34">
        <v>-2</v>
      </c>
      <c r="GLR3425" s="34">
        <v>-1.5</v>
      </c>
      <c r="GLS3425" s="34">
        <v>-1</v>
      </c>
      <c r="GLT3425" s="34">
        <v>-0.5</v>
      </c>
      <c r="GLU3425" s="34">
        <v>0</v>
      </c>
      <c r="GLV3425" s="34">
        <v>0.5</v>
      </c>
      <c r="GLW3425" s="34">
        <v>1</v>
      </c>
      <c r="GLX3425" s="34">
        <v>1.5</v>
      </c>
      <c r="GLY3425" s="34">
        <v>2</v>
      </c>
      <c r="GLZ3425" s="34">
        <v>2.5</v>
      </c>
      <c r="GMA3425" s="34">
        <v>3</v>
      </c>
      <c r="GMB3425" s="34">
        <v>3.5</v>
      </c>
      <c r="GMC3425" s="34">
        <v>4</v>
      </c>
      <c r="GMD3425" s="34">
        <v>4.5</v>
      </c>
      <c r="GME3425" s="34">
        <v>5</v>
      </c>
      <c r="GMG3425" s="913"/>
      <c r="GMH3425" s="31">
        <v>1</v>
      </c>
      <c r="GMI3425" s="34">
        <v>0</v>
      </c>
      <c r="GMJ3425" s="34">
        <v>-1</v>
      </c>
      <c r="GMK3425" s="34">
        <v>-2</v>
      </c>
      <c r="GML3425" s="34">
        <v>-3</v>
      </c>
      <c r="GMM3425" s="34">
        <v>-4</v>
      </c>
      <c r="GMN3425" s="34">
        <v>-5</v>
      </c>
      <c r="GMO3425" s="908"/>
      <c r="GMP3425" s="909"/>
      <c r="GMQ3425" s="34">
        <v>-5</v>
      </c>
      <c r="GMR3425" s="34">
        <v>-4.5</v>
      </c>
      <c r="GMS3425" s="34">
        <v>-4</v>
      </c>
      <c r="GMT3425" s="34">
        <v>-3.5</v>
      </c>
      <c r="GMU3425" s="34">
        <v>-3</v>
      </c>
      <c r="GMV3425" s="34">
        <v>-2.5</v>
      </c>
      <c r="GMW3425" s="34">
        <v>-2</v>
      </c>
      <c r="GMX3425" s="34">
        <v>-1.5</v>
      </c>
      <c r="GMY3425" s="34">
        <v>-1</v>
      </c>
      <c r="GMZ3425" s="34">
        <v>-0.5</v>
      </c>
      <c r="GNA3425" s="34">
        <v>0</v>
      </c>
      <c r="GNB3425" s="34">
        <v>0.5</v>
      </c>
      <c r="GNC3425" s="34">
        <v>1</v>
      </c>
      <c r="GND3425" s="34">
        <v>1.5</v>
      </c>
      <c r="GNE3425" s="34">
        <v>2</v>
      </c>
      <c r="GNF3425" s="34">
        <v>2.5</v>
      </c>
      <c r="GNG3425" s="34">
        <v>3</v>
      </c>
      <c r="GNH3425" s="34">
        <v>3.5</v>
      </c>
      <c r="GNI3425" s="34">
        <v>4</v>
      </c>
      <c r="GNJ3425" s="34">
        <v>4.5</v>
      </c>
      <c r="GNK3425" s="34">
        <v>5</v>
      </c>
      <c r="GNM3425" s="913"/>
      <c r="GNN3425" s="31">
        <v>1</v>
      </c>
      <c r="GNO3425" s="34">
        <v>0</v>
      </c>
      <c r="GNP3425" s="34">
        <v>-1</v>
      </c>
      <c r="GNQ3425" s="34">
        <v>-2</v>
      </c>
      <c r="GNR3425" s="34">
        <v>-3</v>
      </c>
      <c r="GNS3425" s="34">
        <v>-4</v>
      </c>
      <c r="GNT3425" s="34">
        <v>-5</v>
      </c>
      <c r="GNU3425" s="908"/>
      <c r="GNV3425" s="909"/>
      <c r="GNW3425" s="34">
        <v>-5</v>
      </c>
      <c r="GNX3425" s="34">
        <v>-4.5</v>
      </c>
      <c r="GNY3425" s="34">
        <v>-4</v>
      </c>
      <c r="GNZ3425" s="34">
        <v>-3.5</v>
      </c>
      <c r="GOA3425" s="34">
        <v>-3</v>
      </c>
      <c r="GOB3425" s="34">
        <v>-2.5</v>
      </c>
      <c r="GOC3425" s="34">
        <v>-2</v>
      </c>
      <c r="GOD3425" s="34">
        <v>-1.5</v>
      </c>
      <c r="GOE3425" s="34">
        <v>-1</v>
      </c>
      <c r="GOF3425" s="34">
        <v>-0.5</v>
      </c>
      <c r="GOG3425" s="34">
        <v>0</v>
      </c>
      <c r="GOH3425" s="34">
        <v>0.5</v>
      </c>
      <c r="GOI3425" s="34">
        <v>1</v>
      </c>
      <c r="GOJ3425" s="34">
        <v>1.5</v>
      </c>
      <c r="GOK3425" s="34">
        <v>2</v>
      </c>
      <c r="GOL3425" s="34">
        <v>2.5</v>
      </c>
      <c r="GOM3425" s="34">
        <v>3</v>
      </c>
      <c r="GON3425" s="34">
        <v>3.5</v>
      </c>
      <c r="GOO3425" s="34">
        <v>4</v>
      </c>
      <c r="GOP3425" s="34">
        <v>4.5</v>
      </c>
      <c r="GOQ3425" s="34">
        <v>5</v>
      </c>
      <c r="GOS3425" s="913"/>
      <c r="GOT3425" s="31">
        <v>1</v>
      </c>
      <c r="GOU3425" s="34">
        <v>0</v>
      </c>
      <c r="GOV3425" s="34">
        <v>-1</v>
      </c>
      <c r="GOW3425" s="34">
        <v>-2</v>
      </c>
      <c r="GOX3425" s="34">
        <v>-3</v>
      </c>
      <c r="GOY3425" s="34">
        <v>-4</v>
      </c>
      <c r="GOZ3425" s="34">
        <v>-5</v>
      </c>
      <c r="GPA3425" s="908"/>
      <c r="GPB3425" s="909"/>
      <c r="GPC3425" s="34">
        <v>-5</v>
      </c>
      <c r="GPD3425" s="34">
        <v>-4.5</v>
      </c>
      <c r="GPE3425" s="34">
        <v>-4</v>
      </c>
      <c r="GPF3425" s="34">
        <v>-3.5</v>
      </c>
      <c r="GPG3425" s="34">
        <v>-3</v>
      </c>
      <c r="GPH3425" s="34">
        <v>-2.5</v>
      </c>
      <c r="GPI3425" s="34">
        <v>-2</v>
      </c>
      <c r="GPJ3425" s="34">
        <v>-1.5</v>
      </c>
      <c r="GPK3425" s="34">
        <v>-1</v>
      </c>
      <c r="GPL3425" s="34">
        <v>-0.5</v>
      </c>
      <c r="GPM3425" s="34">
        <v>0</v>
      </c>
      <c r="GPN3425" s="34">
        <v>0.5</v>
      </c>
      <c r="GPO3425" s="34">
        <v>1</v>
      </c>
      <c r="GPP3425" s="34">
        <v>1.5</v>
      </c>
      <c r="GPQ3425" s="34">
        <v>2</v>
      </c>
      <c r="GPR3425" s="34">
        <v>2.5</v>
      </c>
      <c r="GPS3425" s="34">
        <v>3</v>
      </c>
      <c r="GPT3425" s="34">
        <v>3.5</v>
      </c>
      <c r="GPU3425" s="34">
        <v>4</v>
      </c>
      <c r="GPV3425" s="34">
        <v>4.5</v>
      </c>
      <c r="GPW3425" s="34">
        <v>5</v>
      </c>
      <c r="GPY3425" s="913"/>
      <c r="GPZ3425" s="31">
        <v>1</v>
      </c>
      <c r="GQA3425" s="34">
        <v>0</v>
      </c>
      <c r="GQB3425" s="34">
        <v>-1</v>
      </c>
      <c r="GQC3425" s="34">
        <v>-2</v>
      </c>
      <c r="GQD3425" s="34">
        <v>-3</v>
      </c>
      <c r="GQE3425" s="34">
        <v>-4</v>
      </c>
      <c r="GQF3425" s="34">
        <v>-5</v>
      </c>
      <c r="GQG3425" s="908"/>
      <c r="GQH3425" s="909"/>
      <c r="GQI3425" s="34">
        <v>-5</v>
      </c>
      <c r="GQJ3425" s="34">
        <v>-4.5</v>
      </c>
      <c r="GQK3425" s="34">
        <v>-4</v>
      </c>
      <c r="GQL3425" s="34">
        <v>-3.5</v>
      </c>
      <c r="GQM3425" s="34">
        <v>-3</v>
      </c>
      <c r="GQN3425" s="34">
        <v>-2.5</v>
      </c>
      <c r="GQO3425" s="34">
        <v>-2</v>
      </c>
      <c r="GQP3425" s="34">
        <v>-1.5</v>
      </c>
      <c r="GQQ3425" s="34">
        <v>-1</v>
      </c>
      <c r="GQR3425" s="34">
        <v>-0.5</v>
      </c>
      <c r="GQS3425" s="34">
        <v>0</v>
      </c>
      <c r="GQT3425" s="34">
        <v>0.5</v>
      </c>
      <c r="GQU3425" s="34">
        <v>1</v>
      </c>
      <c r="GQV3425" s="34">
        <v>1.5</v>
      </c>
      <c r="GQW3425" s="34">
        <v>2</v>
      </c>
      <c r="GQX3425" s="34">
        <v>2.5</v>
      </c>
      <c r="GQY3425" s="34">
        <v>3</v>
      </c>
      <c r="GQZ3425" s="34">
        <v>3.5</v>
      </c>
      <c r="GRA3425" s="34">
        <v>4</v>
      </c>
      <c r="GRB3425" s="34">
        <v>4.5</v>
      </c>
      <c r="GRC3425" s="34">
        <v>5</v>
      </c>
      <c r="GRE3425" s="913"/>
      <c r="GRF3425" s="31">
        <v>1</v>
      </c>
      <c r="GRG3425" s="34">
        <v>0</v>
      </c>
      <c r="GRH3425" s="34">
        <v>-1</v>
      </c>
      <c r="GRI3425" s="34">
        <v>-2</v>
      </c>
      <c r="GRJ3425" s="34">
        <v>-3</v>
      </c>
      <c r="GRK3425" s="34">
        <v>-4</v>
      </c>
      <c r="GRL3425" s="34">
        <v>-5</v>
      </c>
      <c r="GRM3425" s="908"/>
      <c r="GRN3425" s="909"/>
      <c r="GRO3425" s="34">
        <v>-5</v>
      </c>
      <c r="GRP3425" s="34">
        <v>-4.5</v>
      </c>
      <c r="GRQ3425" s="34">
        <v>-4</v>
      </c>
      <c r="GRR3425" s="34">
        <v>-3.5</v>
      </c>
      <c r="GRS3425" s="34">
        <v>-3</v>
      </c>
      <c r="GRT3425" s="34">
        <v>-2.5</v>
      </c>
      <c r="GRU3425" s="34">
        <v>-2</v>
      </c>
      <c r="GRV3425" s="34">
        <v>-1.5</v>
      </c>
      <c r="GRW3425" s="34">
        <v>-1</v>
      </c>
      <c r="GRX3425" s="34">
        <v>-0.5</v>
      </c>
      <c r="GRY3425" s="34">
        <v>0</v>
      </c>
      <c r="GRZ3425" s="34">
        <v>0.5</v>
      </c>
      <c r="GSA3425" s="34">
        <v>1</v>
      </c>
      <c r="GSB3425" s="34">
        <v>1.5</v>
      </c>
      <c r="GSC3425" s="34">
        <v>2</v>
      </c>
      <c r="GSD3425" s="34">
        <v>2.5</v>
      </c>
      <c r="GSE3425" s="34">
        <v>3</v>
      </c>
      <c r="GSF3425" s="34">
        <v>3.5</v>
      </c>
      <c r="GSG3425" s="34">
        <v>4</v>
      </c>
      <c r="GSH3425" s="34">
        <v>4.5</v>
      </c>
      <c r="GSI3425" s="34">
        <v>5</v>
      </c>
      <c r="GSK3425" s="913"/>
      <c r="GSL3425" s="31">
        <v>1</v>
      </c>
      <c r="GSM3425" s="34">
        <v>0</v>
      </c>
      <c r="GSN3425" s="34">
        <v>-1</v>
      </c>
      <c r="GSO3425" s="34">
        <v>-2</v>
      </c>
      <c r="GSP3425" s="34">
        <v>-3</v>
      </c>
      <c r="GSQ3425" s="34">
        <v>-4</v>
      </c>
      <c r="GSR3425" s="34">
        <v>-5</v>
      </c>
      <c r="GSS3425" s="908"/>
      <c r="GST3425" s="909"/>
      <c r="GSU3425" s="34">
        <v>-5</v>
      </c>
      <c r="GSV3425" s="34">
        <v>-4.5</v>
      </c>
      <c r="GSW3425" s="34">
        <v>-4</v>
      </c>
      <c r="GSX3425" s="34">
        <v>-3.5</v>
      </c>
      <c r="GSY3425" s="34">
        <v>-3</v>
      </c>
      <c r="GSZ3425" s="34">
        <v>-2.5</v>
      </c>
      <c r="GTA3425" s="34">
        <v>-2</v>
      </c>
      <c r="GTB3425" s="34">
        <v>-1.5</v>
      </c>
      <c r="GTC3425" s="34">
        <v>-1</v>
      </c>
      <c r="GTD3425" s="34">
        <v>-0.5</v>
      </c>
      <c r="GTE3425" s="34">
        <v>0</v>
      </c>
      <c r="GTF3425" s="34">
        <v>0.5</v>
      </c>
      <c r="GTG3425" s="34">
        <v>1</v>
      </c>
      <c r="GTH3425" s="34">
        <v>1.5</v>
      </c>
      <c r="GTI3425" s="34">
        <v>2</v>
      </c>
      <c r="GTJ3425" s="34">
        <v>2.5</v>
      </c>
      <c r="GTK3425" s="34">
        <v>3</v>
      </c>
      <c r="GTL3425" s="34">
        <v>3.5</v>
      </c>
      <c r="GTM3425" s="34">
        <v>4</v>
      </c>
      <c r="GTN3425" s="34">
        <v>4.5</v>
      </c>
      <c r="GTO3425" s="34">
        <v>5</v>
      </c>
      <c r="GTQ3425" s="913"/>
      <c r="GTR3425" s="31">
        <v>1</v>
      </c>
      <c r="GTS3425" s="34">
        <v>0</v>
      </c>
      <c r="GTT3425" s="34">
        <v>-1</v>
      </c>
      <c r="GTU3425" s="34">
        <v>-2</v>
      </c>
      <c r="GTV3425" s="34">
        <v>-3</v>
      </c>
      <c r="GTW3425" s="34">
        <v>-4</v>
      </c>
      <c r="GTX3425" s="34">
        <v>-5</v>
      </c>
      <c r="GTY3425" s="908"/>
      <c r="GTZ3425" s="909"/>
      <c r="GUA3425" s="34">
        <v>-5</v>
      </c>
      <c r="GUB3425" s="34">
        <v>-4.5</v>
      </c>
      <c r="GUC3425" s="34">
        <v>-4</v>
      </c>
      <c r="GUD3425" s="34">
        <v>-3.5</v>
      </c>
      <c r="GUE3425" s="34">
        <v>-3</v>
      </c>
      <c r="GUF3425" s="34">
        <v>-2.5</v>
      </c>
      <c r="GUG3425" s="34">
        <v>-2</v>
      </c>
      <c r="GUH3425" s="34">
        <v>-1.5</v>
      </c>
      <c r="GUI3425" s="34">
        <v>-1</v>
      </c>
      <c r="GUJ3425" s="34">
        <v>-0.5</v>
      </c>
      <c r="GUK3425" s="34">
        <v>0</v>
      </c>
      <c r="GUL3425" s="34">
        <v>0.5</v>
      </c>
      <c r="GUM3425" s="34">
        <v>1</v>
      </c>
      <c r="GUN3425" s="34">
        <v>1.5</v>
      </c>
      <c r="GUO3425" s="34">
        <v>2</v>
      </c>
      <c r="GUP3425" s="34">
        <v>2.5</v>
      </c>
      <c r="GUQ3425" s="34">
        <v>3</v>
      </c>
      <c r="GUR3425" s="34">
        <v>3.5</v>
      </c>
      <c r="GUS3425" s="34">
        <v>4</v>
      </c>
      <c r="GUT3425" s="34">
        <v>4.5</v>
      </c>
      <c r="GUU3425" s="34">
        <v>5</v>
      </c>
      <c r="GUW3425" s="913"/>
      <c r="GUX3425" s="31">
        <v>1</v>
      </c>
      <c r="GUY3425" s="34">
        <v>0</v>
      </c>
      <c r="GUZ3425" s="34">
        <v>-1</v>
      </c>
      <c r="GVA3425" s="34">
        <v>-2</v>
      </c>
      <c r="GVB3425" s="34">
        <v>-3</v>
      </c>
      <c r="GVC3425" s="34">
        <v>-4</v>
      </c>
      <c r="GVD3425" s="34">
        <v>-5</v>
      </c>
      <c r="GVE3425" s="908"/>
      <c r="GVF3425" s="909"/>
      <c r="GVG3425" s="34">
        <v>-5</v>
      </c>
      <c r="GVH3425" s="34">
        <v>-4.5</v>
      </c>
      <c r="GVI3425" s="34">
        <v>-4</v>
      </c>
      <c r="GVJ3425" s="34">
        <v>-3.5</v>
      </c>
      <c r="GVK3425" s="34">
        <v>-3</v>
      </c>
      <c r="GVL3425" s="34">
        <v>-2.5</v>
      </c>
      <c r="GVM3425" s="34">
        <v>-2</v>
      </c>
      <c r="GVN3425" s="34">
        <v>-1.5</v>
      </c>
      <c r="GVO3425" s="34">
        <v>-1</v>
      </c>
      <c r="GVP3425" s="34">
        <v>-0.5</v>
      </c>
      <c r="GVQ3425" s="34">
        <v>0</v>
      </c>
      <c r="GVR3425" s="34">
        <v>0.5</v>
      </c>
      <c r="GVS3425" s="34">
        <v>1</v>
      </c>
      <c r="GVT3425" s="34">
        <v>1.5</v>
      </c>
      <c r="GVU3425" s="34">
        <v>2</v>
      </c>
      <c r="GVV3425" s="34">
        <v>2.5</v>
      </c>
      <c r="GVW3425" s="34">
        <v>3</v>
      </c>
      <c r="GVX3425" s="34">
        <v>3.5</v>
      </c>
      <c r="GVY3425" s="34">
        <v>4</v>
      </c>
      <c r="GVZ3425" s="34">
        <v>4.5</v>
      </c>
      <c r="GWA3425" s="34">
        <v>5</v>
      </c>
      <c r="GWC3425" s="913"/>
      <c r="GWD3425" s="31">
        <v>1</v>
      </c>
      <c r="GWE3425" s="34">
        <v>0</v>
      </c>
      <c r="GWF3425" s="34">
        <v>-1</v>
      </c>
      <c r="GWG3425" s="34">
        <v>-2</v>
      </c>
      <c r="GWH3425" s="34">
        <v>-3</v>
      </c>
      <c r="GWI3425" s="34">
        <v>-4</v>
      </c>
      <c r="GWJ3425" s="34">
        <v>-5</v>
      </c>
      <c r="GWK3425" s="908"/>
      <c r="GWL3425" s="909"/>
      <c r="GWM3425" s="34">
        <v>-5</v>
      </c>
      <c r="GWN3425" s="34">
        <v>-4.5</v>
      </c>
      <c r="GWO3425" s="34">
        <v>-4</v>
      </c>
      <c r="GWP3425" s="34">
        <v>-3.5</v>
      </c>
      <c r="GWQ3425" s="34">
        <v>-3</v>
      </c>
      <c r="GWR3425" s="34">
        <v>-2.5</v>
      </c>
      <c r="GWS3425" s="34">
        <v>-2</v>
      </c>
      <c r="GWT3425" s="34">
        <v>-1.5</v>
      </c>
      <c r="GWU3425" s="34">
        <v>-1</v>
      </c>
      <c r="GWV3425" s="34">
        <v>-0.5</v>
      </c>
      <c r="GWW3425" s="34">
        <v>0</v>
      </c>
      <c r="GWX3425" s="34">
        <v>0.5</v>
      </c>
      <c r="GWY3425" s="34">
        <v>1</v>
      </c>
      <c r="GWZ3425" s="34">
        <v>1.5</v>
      </c>
      <c r="GXA3425" s="34">
        <v>2</v>
      </c>
      <c r="GXB3425" s="34">
        <v>2.5</v>
      </c>
      <c r="GXC3425" s="34">
        <v>3</v>
      </c>
      <c r="GXD3425" s="34">
        <v>3.5</v>
      </c>
      <c r="GXE3425" s="34">
        <v>4</v>
      </c>
      <c r="GXF3425" s="34">
        <v>4.5</v>
      </c>
      <c r="GXG3425" s="34">
        <v>5</v>
      </c>
      <c r="GXI3425" s="913"/>
      <c r="GXJ3425" s="31">
        <v>1</v>
      </c>
      <c r="GXK3425" s="34">
        <v>0</v>
      </c>
      <c r="GXL3425" s="34">
        <v>-1</v>
      </c>
      <c r="GXM3425" s="34">
        <v>-2</v>
      </c>
      <c r="GXN3425" s="34">
        <v>-3</v>
      </c>
      <c r="GXO3425" s="34">
        <v>-4</v>
      </c>
      <c r="GXP3425" s="34">
        <v>-5</v>
      </c>
      <c r="GXQ3425" s="908"/>
      <c r="GXR3425" s="909"/>
      <c r="GXS3425" s="34">
        <v>-5</v>
      </c>
      <c r="GXT3425" s="34">
        <v>-4.5</v>
      </c>
      <c r="GXU3425" s="34">
        <v>-4</v>
      </c>
      <c r="GXV3425" s="34">
        <v>-3.5</v>
      </c>
      <c r="GXW3425" s="34">
        <v>-3</v>
      </c>
      <c r="GXX3425" s="34">
        <v>-2.5</v>
      </c>
      <c r="GXY3425" s="34">
        <v>-2</v>
      </c>
      <c r="GXZ3425" s="34">
        <v>-1.5</v>
      </c>
      <c r="GYA3425" s="34">
        <v>-1</v>
      </c>
      <c r="GYB3425" s="34">
        <v>-0.5</v>
      </c>
      <c r="GYC3425" s="34">
        <v>0</v>
      </c>
      <c r="GYD3425" s="34">
        <v>0.5</v>
      </c>
      <c r="GYE3425" s="34">
        <v>1</v>
      </c>
      <c r="GYF3425" s="34">
        <v>1.5</v>
      </c>
      <c r="GYG3425" s="34">
        <v>2</v>
      </c>
      <c r="GYH3425" s="34">
        <v>2.5</v>
      </c>
      <c r="GYI3425" s="34">
        <v>3</v>
      </c>
      <c r="GYJ3425" s="34">
        <v>3.5</v>
      </c>
      <c r="GYK3425" s="34">
        <v>4</v>
      </c>
      <c r="GYL3425" s="34">
        <v>4.5</v>
      </c>
      <c r="GYM3425" s="34">
        <v>5</v>
      </c>
      <c r="GYO3425" s="913"/>
      <c r="GYP3425" s="31">
        <v>1</v>
      </c>
      <c r="GYQ3425" s="34">
        <v>0</v>
      </c>
      <c r="GYR3425" s="34">
        <v>-1</v>
      </c>
      <c r="GYS3425" s="34">
        <v>-2</v>
      </c>
      <c r="GYT3425" s="34">
        <v>-3</v>
      </c>
      <c r="GYU3425" s="34">
        <v>-4</v>
      </c>
      <c r="GYV3425" s="34">
        <v>-5</v>
      </c>
      <c r="GYW3425" s="908"/>
      <c r="GYX3425" s="909"/>
      <c r="GYY3425" s="34">
        <v>-5</v>
      </c>
      <c r="GYZ3425" s="34">
        <v>-4.5</v>
      </c>
      <c r="GZA3425" s="34">
        <v>-4</v>
      </c>
      <c r="GZB3425" s="34">
        <v>-3.5</v>
      </c>
      <c r="GZC3425" s="34">
        <v>-3</v>
      </c>
      <c r="GZD3425" s="34">
        <v>-2.5</v>
      </c>
      <c r="GZE3425" s="34">
        <v>-2</v>
      </c>
      <c r="GZF3425" s="34">
        <v>-1.5</v>
      </c>
      <c r="GZG3425" s="34">
        <v>-1</v>
      </c>
      <c r="GZH3425" s="34">
        <v>-0.5</v>
      </c>
      <c r="GZI3425" s="34">
        <v>0</v>
      </c>
      <c r="GZJ3425" s="34">
        <v>0.5</v>
      </c>
      <c r="GZK3425" s="34">
        <v>1</v>
      </c>
      <c r="GZL3425" s="34">
        <v>1.5</v>
      </c>
      <c r="GZM3425" s="34">
        <v>2</v>
      </c>
      <c r="GZN3425" s="34">
        <v>2.5</v>
      </c>
      <c r="GZO3425" s="34">
        <v>3</v>
      </c>
      <c r="GZP3425" s="34">
        <v>3.5</v>
      </c>
      <c r="GZQ3425" s="34">
        <v>4</v>
      </c>
      <c r="GZR3425" s="34">
        <v>4.5</v>
      </c>
      <c r="GZS3425" s="34">
        <v>5</v>
      </c>
      <c r="GZU3425" s="913"/>
      <c r="GZV3425" s="31">
        <v>1</v>
      </c>
      <c r="GZW3425" s="34">
        <v>0</v>
      </c>
      <c r="GZX3425" s="34">
        <v>-1</v>
      </c>
      <c r="GZY3425" s="34">
        <v>-2</v>
      </c>
      <c r="GZZ3425" s="34">
        <v>-3</v>
      </c>
      <c r="HAA3425" s="34">
        <v>-4</v>
      </c>
      <c r="HAB3425" s="34">
        <v>-5</v>
      </c>
      <c r="HAC3425" s="908"/>
      <c r="HAD3425" s="909"/>
      <c r="HAE3425" s="34">
        <v>-5</v>
      </c>
      <c r="HAF3425" s="34">
        <v>-4.5</v>
      </c>
      <c r="HAG3425" s="34">
        <v>-4</v>
      </c>
      <c r="HAH3425" s="34">
        <v>-3.5</v>
      </c>
      <c r="HAI3425" s="34">
        <v>-3</v>
      </c>
      <c r="HAJ3425" s="34">
        <v>-2.5</v>
      </c>
      <c r="HAK3425" s="34">
        <v>-2</v>
      </c>
      <c r="HAL3425" s="34">
        <v>-1.5</v>
      </c>
      <c r="HAM3425" s="34">
        <v>-1</v>
      </c>
      <c r="HAN3425" s="34">
        <v>-0.5</v>
      </c>
      <c r="HAO3425" s="34">
        <v>0</v>
      </c>
      <c r="HAP3425" s="34">
        <v>0.5</v>
      </c>
      <c r="HAQ3425" s="34">
        <v>1</v>
      </c>
      <c r="HAR3425" s="34">
        <v>1.5</v>
      </c>
      <c r="HAS3425" s="34">
        <v>2</v>
      </c>
      <c r="HAT3425" s="34">
        <v>2.5</v>
      </c>
      <c r="HAU3425" s="34">
        <v>3</v>
      </c>
      <c r="HAV3425" s="34">
        <v>3.5</v>
      </c>
      <c r="HAW3425" s="34">
        <v>4</v>
      </c>
      <c r="HAX3425" s="34">
        <v>4.5</v>
      </c>
      <c r="HAY3425" s="34">
        <v>5</v>
      </c>
      <c r="HBA3425" s="913"/>
      <c r="HBB3425" s="31">
        <v>1</v>
      </c>
      <c r="HBC3425" s="34">
        <v>0</v>
      </c>
      <c r="HBD3425" s="34">
        <v>-1</v>
      </c>
      <c r="HBE3425" s="34">
        <v>-2</v>
      </c>
      <c r="HBF3425" s="34">
        <v>-3</v>
      </c>
      <c r="HBG3425" s="34">
        <v>-4</v>
      </c>
      <c r="HBH3425" s="34">
        <v>-5</v>
      </c>
      <c r="HBI3425" s="908"/>
      <c r="HBJ3425" s="909"/>
      <c r="HBK3425" s="34">
        <v>-5</v>
      </c>
      <c r="HBL3425" s="34">
        <v>-4.5</v>
      </c>
      <c r="HBM3425" s="34">
        <v>-4</v>
      </c>
      <c r="HBN3425" s="34">
        <v>-3.5</v>
      </c>
      <c r="HBO3425" s="34">
        <v>-3</v>
      </c>
      <c r="HBP3425" s="34">
        <v>-2.5</v>
      </c>
      <c r="HBQ3425" s="34">
        <v>-2</v>
      </c>
      <c r="HBR3425" s="34">
        <v>-1.5</v>
      </c>
      <c r="HBS3425" s="34">
        <v>-1</v>
      </c>
      <c r="HBT3425" s="34">
        <v>-0.5</v>
      </c>
      <c r="HBU3425" s="34">
        <v>0</v>
      </c>
      <c r="HBV3425" s="34">
        <v>0.5</v>
      </c>
      <c r="HBW3425" s="34">
        <v>1</v>
      </c>
      <c r="HBX3425" s="34">
        <v>1.5</v>
      </c>
      <c r="HBY3425" s="34">
        <v>2</v>
      </c>
      <c r="HBZ3425" s="34">
        <v>2.5</v>
      </c>
      <c r="HCA3425" s="34">
        <v>3</v>
      </c>
      <c r="HCB3425" s="34">
        <v>3.5</v>
      </c>
      <c r="HCC3425" s="34">
        <v>4</v>
      </c>
      <c r="HCD3425" s="34">
        <v>4.5</v>
      </c>
      <c r="HCE3425" s="34">
        <v>5</v>
      </c>
      <c r="HCG3425" s="913"/>
      <c r="HCH3425" s="31">
        <v>1</v>
      </c>
      <c r="HCI3425" s="34">
        <v>0</v>
      </c>
      <c r="HCJ3425" s="34">
        <v>-1</v>
      </c>
      <c r="HCK3425" s="34">
        <v>-2</v>
      </c>
      <c r="HCL3425" s="34">
        <v>-3</v>
      </c>
      <c r="HCM3425" s="34">
        <v>-4</v>
      </c>
      <c r="HCN3425" s="34">
        <v>-5</v>
      </c>
      <c r="HCO3425" s="908"/>
      <c r="HCP3425" s="909"/>
      <c r="HCQ3425" s="34">
        <v>-5</v>
      </c>
      <c r="HCR3425" s="34">
        <v>-4.5</v>
      </c>
      <c r="HCS3425" s="34">
        <v>-4</v>
      </c>
      <c r="HCT3425" s="34">
        <v>-3.5</v>
      </c>
      <c r="HCU3425" s="34">
        <v>-3</v>
      </c>
      <c r="HCV3425" s="34">
        <v>-2.5</v>
      </c>
      <c r="HCW3425" s="34">
        <v>-2</v>
      </c>
      <c r="HCX3425" s="34">
        <v>-1.5</v>
      </c>
      <c r="HCY3425" s="34">
        <v>-1</v>
      </c>
      <c r="HCZ3425" s="34">
        <v>-0.5</v>
      </c>
      <c r="HDA3425" s="34">
        <v>0</v>
      </c>
      <c r="HDB3425" s="34">
        <v>0.5</v>
      </c>
      <c r="HDC3425" s="34">
        <v>1</v>
      </c>
      <c r="HDD3425" s="34">
        <v>1.5</v>
      </c>
      <c r="HDE3425" s="34">
        <v>2</v>
      </c>
      <c r="HDF3425" s="34">
        <v>2.5</v>
      </c>
      <c r="HDG3425" s="34">
        <v>3</v>
      </c>
      <c r="HDH3425" s="34">
        <v>3.5</v>
      </c>
      <c r="HDI3425" s="34">
        <v>4</v>
      </c>
      <c r="HDJ3425" s="34">
        <v>4.5</v>
      </c>
      <c r="HDK3425" s="34">
        <v>5</v>
      </c>
      <c r="HDM3425" s="913"/>
      <c r="HDN3425" s="31">
        <v>1</v>
      </c>
      <c r="HDO3425" s="34">
        <v>0</v>
      </c>
      <c r="HDP3425" s="34">
        <v>-1</v>
      </c>
      <c r="HDQ3425" s="34">
        <v>-2</v>
      </c>
      <c r="HDR3425" s="34">
        <v>-3</v>
      </c>
      <c r="HDS3425" s="34">
        <v>-4</v>
      </c>
      <c r="HDT3425" s="34">
        <v>-5</v>
      </c>
      <c r="HDU3425" s="908"/>
      <c r="HDV3425" s="909"/>
      <c r="HDW3425" s="34">
        <v>-5</v>
      </c>
      <c r="HDX3425" s="34">
        <v>-4.5</v>
      </c>
      <c r="HDY3425" s="34">
        <v>-4</v>
      </c>
      <c r="HDZ3425" s="34">
        <v>-3.5</v>
      </c>
      <c r="HEA3425" s="34">
        <v>-3</v>
      </c>
      <c r="HEB3425" s="34">
        <v>-2.5</v>
      </c>
      <c r="HEC3425" s="34">
        <v>-2</v>
      </c>
      <c r="HED3425" s="34">
        <v>-1.5</v>
      </c>
      <c r="HEE3425" s="34">
        <v>-1</v>
      </c>
      <c r="HEF3425" s="34">
        <v>-0.5</v>
      </c>
      <c r="HEG3425" s="34">
        <v>0</v>
      </c>
      <c r="HEH3425" s="34">
        <v>0.5</v>
      </c>
      <c r="HEI3425" s="34">
        <v>1</v>
      </c>
      <c r="HEJ3425" s="34">
        <v>1.5</v>
      </c>
      <c r="HEK3425" s="34">
        <v>2</v>
      </c>
      <c r="HEL3425" s="34">
        <v>2.5</v>
      </c>
      <c r="HEM3425" s="34">
        <v>3</v>
      </c>
      <c r="HEN3425" s="34">
        <v>3.5</v>
      </c>
      <c r="HEO3425" s="34">
        <v>4</v>
      </c>
      <c r="HEP3425" s="34">
        <v>4.5</v>
      </c>
      <c r="HEQ3425" s="34">
        <v>5</v>
      </c>
      <c r="HES3425" s="913"/>
      <c r="HET3425" s="31">
        <v>1</v>
      </c>
      <c r="HEU3425" s="34">
        <v>0</v>
      </c>
      <c r="HEV3425" s="34">
        <v>-1</v>
      </c>
      <c r="HEW3425" s="34">
        <v>-2</v>
      </c>
      <c r="HEX3425" s="34">
        <v>-3</v>
      </c>
      <c r="HEY3425" s="34">
        <v>-4</v>
      </c>
      <c r="HEZ3425" s="34">
        <v>-5</v>
      </c>
      <c r="HFA3425" s="908"/>
      <c r="HFB3425" s="909"/>
      <c r="HFC3425" s="34">
        <v>-5</v>
      </c>
      <c r="HFD3425" s="34">
        <v>-4.5</v>
      </c>
      <c r="HFE3425" s="34">
        <v>-4</v>
      </c>
      <c r="HFF3425" s="34">
        <v>-3.5</v>
      </c>
      <c r="HFG3425" s="34">
        <v>-3</v>
      </c>
      <c r="HFH3425" s="34">
        <v>-2.5</v>
      </c>
      <c r="HFI3425" s="34">
        <v>-2</v>
      </c>
      <c r="HFJ3425" s="34">
        <v>-1.5</v>
      </c>
      <c r="HFK3425" s="34">
        <v>-1</v>
      </c>
      <c r="HFL3425" s="34">
        <v>-0.5</v>
      </c>
      <c r="HFM3425" s="34">
        <v>0</v>
      </c>
      <c r="HFN3425" s="34">
        <v>0.5</v>
      </c>
      <c r="HFO3425" s="34">
        <v>1</v>
      </c>
      <c r="HFP3425" s="34">
        <v>1.5</v>
      </c>
      <c r="HFQ3425" s="34">
        <v>2</v>
      </c>
      <c r="HFR3425" s="34">
        <v>2.5</v>
      </c>
      <c r="HFS3425" s="34">
        <v>3</v>
      </c>
      <c r="HFT3425" s="34">
        <v>3.5</v>
      </c>
      <c r="HFU3425" s="34">
        <v>4</v>
      </c>
      <c r="HFV3425" s="34">
        <v>4.5</v>
      </c>
      <c r="HFW3425" s="34">
        <v>5</v>
      </c>
      <c r="HFY3425" s="913"/>
      <c r="HFZ3425" s="31">
        <v>1</v>
      </c>
      <c r="HGA3425" s="34">
        <v>0</v>
      </c>
      <c r="HGB3425" s="34">
        <v>-1</v>
      </c>
      <c r="HGC3425" s="34">
        <v>-2</v>
      </c>
      <c r="HGD3425" s="34">
        <v>-3</v>
      </c>
      <c r="HGE3425" s="34">
        <v>-4</v>
      </c>
      <c r="HGF3425" s="34">
        <v>-5</v>
      </c>
      <c r="HGG3425" s="908"/>
      <c r="HGH3425" s="909"/>
      <c r="HGI3425" s="34">
        <v>-5</v>
      </c>
      <c r="HGJ3425" s="34">
        <v>-4.5</v>
      </c>
      <c r="HGK3425" s="34">
        <v>-4</v>
      </c>
      <c r="HGL3425" s="34">
        <v>-3.5</v>
      </c>
      <c r="HGM3425" s="34">
        <v>-3</v>
      </c>
      <c r="HGN3425" s="34">
        <v>-2.5</v>
      </c>
      <c r="HGO3425" s="34">
        <v>-2</v>
      </c>
      <c r="HGP3425" s="34">
        <v>-1.5</v>
      </c>
      <c r="HGQ3425" s="34">
        <v>-1</v>
      </c>
      <c r="HGR3425" s="34">
        <v>-0.5</v>
      </c>
      <c r="HGS3425" s="34">
        <v>0</v>
      </c>
      <c r="HGT3425" s="34">
        <v>0.5</v>
      </c>
      <c r="HGU3425" s="34">
        <v>1</v>
      </c>
      <c r="HGV3425" s="34">
        <v>1.5</v>
      </c>
      <c r="HGW3425" s="34">
        <v>2</v>
      </c>
      <c r="HGX3425" s="34">
        <v>2.5</v>
      </c>
      <c r="HGY3425" s="34">
        <v>3</v>
      </c>
      <c r="HGZ3425" s="34">
        <v>3.5</v>
      </c>
      <c r="HHA3425" s="34">
        <v>4</v>
      </c>
      <c r="HHB3425" s="34">
        <v>4.5</v>
      </c>
      <c r="HHC3425" s="34">
        <v>5</v>
      </c>
      <c r="HHE3425" s="913"/>
      <c r="HHF3425" s="31">
        <v>1</v>
      </c>
      <c r="HHG3425" s="34">
        <v>0</v>
      </c>
      <c r="HHH3425" s="34">
        <v>-1</v>
      </c>
      <c r="HHI3425" s="34">
        <v>-2</v>
      </c>
      <c r="HHJ3425" s="34">
        <v>-3</v>
      </c>
      <c r="HHK3425" s="34">
        <v>-4</v>
      </c>
      <c r="HHL3425" s="34">
        <v>-5</v>
      </c>
      <c r="HHM3425" s="908"/>
      <c r="HHN3425" s="909"/>
      <c r="HHO3425" s="34">
        <v>-5</v>
      </c>
      <c r="HHP3425" s="34">
        <v>-4.5</v>
      </c>
      <c r="HHQ3425" s="34">
        <v>-4</v>
      </c>
      <c r="HHR3425" s="34">
        <v>-3.5</v>
      </c>
      <c r="HHS3425" s="34">
        <v>-3</v>
      </c>
      <c r="HHT3425" s="34">
        <v>-2.5</v>
      </c>
      <c r="HHU3425" s="34">
        <v>-2</v>
      </c>
      <c r="HHV3425" s="34">
        <v>-1.5</v>
      </c>
      <c r="HHW3425" s="34">
        <v>-1</v>
      </c>
      <c r="HHX3425" s="34">
        <v>-0.5</v>
      </c>
      <c r="HHY3425" s="34">
        <v>0</v>
      </c>
      <c r="HHZ3425" s="34">
        <v>0.5</v>
      </c>
      <c r="HIA3425" s="34">
        <v>1</v>
      </c>
      <c r="HIB3425" s="34">
        <v>1.5</v>
      </c>
      <c r="HIC3425" s="34">
        <v>2</v>
      </c>
      <c r="HID3425" s="34">
        <v>2.5</v>
      </c>
      <c r="HIE3425" s="34">
        <v>3</v>
      </c>
      <c r="HIF3425" s="34">
        <v>3.5</v>
      </c>
      <c r="HIG3425" s="34">
        <v>4</v>
      </c>
      <c r="HIH3425" s="34">
        <v>4.5</v>
      </c>
      <c r="HII3425" s="34">
        <v>5</v>
      </c>
      <c r="HIK3425" s="913"/>
      <c r="HIL3425" s="31">
        <v>1</v>
      </c>
      <c r="HIM3425" s="34">
        <v>0</v>
      </c>
      <c r="HIN3425" s="34">
        <v>-1</v>
      </c>
      <c r="HIO3425" s="34">
        <v>-2</v>
      </c>
      <c r="HIP3425" s="34">
        <v>-3</v>
      </c>
      <c r="HIQ3425" s="34">
        <v>-4</v>
      </c>
      <c r="HIR3425" s="34">
        <v>-5</v>
      </c>
      <c r="HIS3425" s="908"/>
      <c r="HIT3425" s="909"/>
      <c r="HIU3425" s="34">
        <v>-5</v>
      </c>
      <c r="HIV3425" s="34">
        <v>-4.5</v>
      </c>
      <c r="HIW3425" s="34">
        <v>-4</v>
      </c>
      <c r="HIX3425" s="34">
        <v>-3.5</v>
      </c>
      <c r="HIY3425" s="34">
        <v>-3</v>
      </c>
      <c r="HIZ3425" s="34">
        <v>-2.5</v>
      </c>
      <c r="HJA3425" s="34">
        <v>-2</v>
      </c>
      <c r="HJB3425" s="34">
        <v>-1.5</v>
      </c>
      <c r="HJC3425" s="34">
        <v>-1</v>
      </c>
      <c r="HJD3425" s="34">
        <v>-0.5</v>
      </c>
      <c r="HJE3425" s="34">
        <v>0</v>
      </c>
      <c r="HJF3425" s="34">
        <v>0.5</v>
      </c>
      <c r="HJG3425" s="34">
        <v>1</v>
      </c>
      <c r="HJH3425" s="34">
        <v>1.5</v>
      </c>
      <c r="HJI3425" s="34">
        <v>2</v>
      </c>
      <c r="HJJ3425" s="34">
        <v>2.5</v>
      </c>
      <c r="HJK3425" s="34">
        <v>3</v>
      </c>
      <c r="HJL3425" s="34">
        <v>3.5</v>
      </c>
      <c r="HJM3425" s="34">
        <v>4</v>
      </c>
      <c r="HJN3425" s="34">
        <v>4.5</v>
      </c>
      <c r="HJO3425" s="34">
        <v>5</v>
      </c>
      <c r="HJQ3425" s="913"/>
      <c r="HJR3425" s="31">
        <v>1</v>
      </c>
      <c r="HJS3425" s="34">
        <v>0</v>
      </c>
      <c r="HJT3425" s="34">
        <v>-1</v>
      </c>
      <c r="HJU3425" s="34">
        <v>-2</v>
      </c>
      <c r="HJV3425" s="34">
        <v>-3</v>
      </c>
      <c r="HJW3425" s="34">
        <v>-4</v>
      </c>
      <c r="HJX3425" s="34">
        <v>-5</v>
      </c>
      <c r="HJY3425" s="908"/>
      <c r="HJZ3425" s="909"/>
      <c r="HKA3425" s="34">
        <v>-5</v>
      </c>
      <c r="HKB3425" s="34">
        <v>-4.5</v>
      </c>
      <c r="HKC3425" s="34">
        <v>-4</v>
      </c>
      <c r="HKD3425" s="34">
        <v>-3.5</v>
      </c>
      <c r="HKE3425" s="34">
        <v>-3</v>
      </c>
      <c r="HKF3425" s="34">
        <v>-2.5</v>
      </c>
      <c r="HKG3425" s="34">
        <v>-2</v>
      </c>
      <c r="HKH3425" s="34">
        <v>-1.5</v>
      </c>
      <c r="HKI3425" s="34">
        <v>-1</v>
      </c>
      <c r="HKJ3425" s="34">
        <v>-0.5</v>
      </c>
      <c r="HKK3425" s="34">
        <v>0</v>
      </c>
      <c r="HKL3425" s="34">
        <v>0.5</v>
      </c>
      <c r="HKM3425" s="34">
        <v>1</v>
      </c>
      <c r="HKN3425" s="34">
        <v>1.5</v>
      </c>
      <c r="HKO3425" s="34">
        <v>2</v>
      </c>
      <c r="HKP3425" s="34">
        <v>2.5</v>
      </c>
      <c r="HKQ3425" s="34">
        <v>3</v>
      </c>
      <c r="HKR3425" s="34">
        <v>3.5</v>
      </c>
      <c r="HKS3425" s="34">
        <v>4</v>
      </c>
      <c r="HKT3425" s="34">
        <v>4.5</v>
      </c>
      <c r="HKU3425" s="34">
        <v>5</v>
      </c>
      <c r="HKW3425" s="913"/>
      <c r="HKX3425" s="31">
        <v>1</v>
      </c>
      <c r="HKY3425" s="34">
        <v>0</v>
      </c>
      <c r="HKZ3425" s="34">
        <v>-1</v>
      </c>
      <c r="HLA3425" s="34">
        <v>-2</v>
      </c>
      <c r="HLB3425" s="34">
        <v>-3</v>
      </c>
      <c r="HLC3425" s="34">
        <v>-4</v>
      </c>
      <c r="HLD3425" s="34">
        <v>-5</v>
      </c>
      <c r="HLE3425" s="908"/>
      <c r="HLF3425" s="909"/>
      <c r="HLG3425" s="34">
        <v>-5</v>
      </c>
      <c r="HLH3425" s="34">
        <v>-4.5</v>
      </c>
      <c r="HLI3425" s="34">
        <v>-4</v>
      </c>
      <c r="HLJ3425" s="34">
        <v>-3.5</v>
      </c>
      <c r="HLK3425" s="34">
        <v>-3</v>
      </c>
      <c r="HLL3425" s="34">
        <v>-2.5</v>
      </c>
      <c r="HLM3425" s="34">
        <v>-2</v>
      </c>
      <c r="HLN3425" s="34">
        <v>-1.5</v>
      </c>
      <c r="HLO3425" s="34">
        <v>-1</v>
      </c>
      <c r="HLP3425" s="34">
        <v>-0.5</v>
      </c>
      <c r="HLQ3425" s="34">
        <v>0</v>
      </c>
      <c r="HLR3425" s="34">
        <v>0.5</v>
      </c>
      <c r="HLS3425" s="34">
        <v>1</v>
      </c>
      <c r="HLT3425" s="34">
        <v>1.5</v>
      </c>
      <c r="HLU3425" s="34">
        <v>2</v>
      </c>
      <c r="HLV3425" s="34">
        <v>2.5</v>
      </c>
      <c r="HLW3425" s="34">
        <v>3</v>
      </c>
      <c r="HLX3425" s="34">
        <v>3.5</v>
      </c>
      <c r="HLY3425" s="34">
        <v>4</v>
      </c>
      <c r="HLZ3425" s="34">
        <v>4.5</v>
      </c>
      <c r="HMA3425" s="34">
        <v>5</v>
      </c>
      <c r="HMC3425" s="913"/>
      <c r="HMD3425" s="31">
        <v>1</v>
      </c>
      <c r="HME3425" s="34">
        <v>0</v>
      </c>
      <c r="HMF3425" s="34">
        <v>-1</v>
      </c>
      <c r="HMG3425" s="34">
        <v>-2</v>
      </c>
      <c r="HMH3425" s="34">
        <v>-3</v>
      </c>
      <c r="HMI3425" s="34">
        <v>-4</v>
      </c>
      <c r="HMJ3425" s="34">
        <v>-5</v>
      </c>
      <c r="HMK3425" s="908"/>
      <c r="HML3425" s="909"/>
      <c r="HMM3425" s="34">
        <v>-5</v>
      </c>
      <c r="HMN3425" s="34">
        <v>-4.5</v>
      </c>
      <c r="HMO3425" s="34">
        <v>-4</v>
      </c>
      <c r="HMP3425" s="34">
        <v>-3.5</v>
      </c>
      <c r="HMQ3425" s="34">
        <v>-3</v>
      </c>
      <c r="HMR3425" s="34">
        <v>-2.5</v>
      </c>
      <c r="HMS3425" s="34">
        <v>-2</v>
      </c>
      <c r="HMT3425" s="34">
        <v>-1.5</v>
      </c>
      <c r="HMU3425" s="34">
        <v>-1</v>
      </c>
      <c r="HMV3425" s="34">
        <v>-0.5</v>
      </c>
      <c r="HMW3425" s="34">
        <v>0</v>
      </c>
      <c r="HMX3425" s="34">
        <v>0.5</v>
      </c>
      <c r="HMY3425" s="34">
        <v>1</v>
      </c>
      <c r="HMZ3425" s="34">
        <v>1.5</v>
      </c>
      <c r="HNA3425" s="34">
        <v>2</v>
      </c>
      <c r="HNB3425" s="34">
        <v>2.5</v>
      </c>
      <c r="HNC3425" s="34">
        <v>3</v>
      </c>
      <c r="HND3425" s="34">
        <v>3.5</v>
      </c>
      <c r="HNE3425" s="34">
        <v>4</v>
      </c>
      <c r="HNF3425" s="34">
        <v>4.5</v>
      </c>
      <c r="HNG3425" s="34">
        <v>5</v>
      </c>
      <c r="HNI3425" s="913"/>
      <c r="HNJ3425" s="31">
        <v>1</v>
      </c>
      <c r="HNK3425" s="34">
        <v>0</v>
      </c>
      <c r="HNL3425" s="34">
        <v>-1</v>
      </c>
      <c r="HNM3425" s="34">
        <v>-2</v>
      </c>
      <c r="HNN3425" s="34">
        <v>-3</v>
      </c>
      <c r="HNO3425" s="34">
        <v>-4</v>
      </c>
      <c r="HNP3425" s="34">
        <v>-5</v>
      </c>
      <c r="HNQ3425" s="908"/>
      <c r="HNR3425" s="909"/>
      <c r="HNS3425" s="34">
        <v>-5</v>
      </c>
      <c r="HNT3425" s="34">
        <v>-4.5</v>
      </c>
      <c r="HNU3425" s="34">
        <v>-4</v>
      </c>
      <c r="HNV3425" s="34">
        <v>-3.5</v>
      </c>
      <c r="HNW3425" s="34">
        <v>-3</v>
      </c>
      <c r="HNX3425" s="34">
        <v>-2.5</v>
      </c>
      <c r="HNY3425" s="34">
        <v>-2</v>
      </c>
      <c r="HNZ3425" s="34">
        <v>-1.5</v>
      </c>
      <c r="HOA3425" s="34">
        <v>-1</v>
      </c>
      <c r="HOB3425" s="34">
        <v>-0.5</v>
      </c>
      <c r="HOC3425" s="34">
        <v>0</v>
      </c>
      <c r="HOD3425" s="34">
        <v>0.5</v>
      </c>
      <c r="HOE3425" s="34">
        <v>1</v>
      </c>
      <c r="HOF3425" s="34">
        <v>1.5</v>
      </c>
      <c r="HOG3425" s="34">
        <v>2</v>
      </c>
      <c r="HOH3425" s="34">
        <v>2.5</v>
      </c>
      <c r="HOI3425" s="34">
        <v>3</v>
      </c>
      <c r="HOJ3425" s="34">
        <v>3.5</v>
      </c>
      <c r="HOK3425" s="34">
        <v>4</v>
      </c>
      <c r="HOL3425" s="34">
        <v>4.5</v>
      </c>
      <c r="HOM3425" s="34">
        <v>5</v>
      </c>
      <c r="HOO3425" s="913"/>
      <c r="HOP3425" s="31">
        <v>1</v>
      </c>
      <c r="HOQ3425" s="34">
        <v>0</v>
      </c>
      <c r="HOR3425" s="34">
        <v>-1</v>
      </c>
      <c r="HOS3425" s="34">
        <v>-2</v>
      </c>
      <c r="HOT3425" s="34">
        <v>-3</v>
      </c>
      <c r="HOU3425" s="34">
        <v>-4</v>
      </c>
      <c r="HOV3425" s="34">
        <v>-5</v>
      </c>
      <c r="HOW3425" s="908"/>
      <c r="HOX3425" s="909"/>
      <c r="HOY3425" s="34">
        <v>-5</v>
      </c>
      <c r="HOZ3425" s="34">
        <v>-4.5</v>
      </c>
      <c r="HPA3425" s="34">
        <v>-4</v>
      </c>
      <c r="HPB3425" s="34">
        <v>-3.5</v>
      </c>
      <c r="HPC3425" s="34">
        <v>-3</v>
      </c>
      <c r="HPD3425" s="34">
        <v>-2.5</v>
      </c>
      <c r="HPE3425" s="34">
        <v>-2</v>
      </c>
      <c r="HPF3425" s="34">
        <v>-1.5</v>
      </c>
      <c r="HPG3425" s="34">
        <v>-1</v>
      </c>
      <c r="HPH3425" s="34">
        <v>-0.5</v>
      </c>
      <c r="HPI3425" s="34">
        <v>0</v>
      </c>
      <c r="HPJ3425" s="34">
        <v>0.5</v>
      </c>
      <c r="HPK3425" s="34">
        <v>1</v>
      </c>
      <c r="HPL3425" s="34">
        <v>1.5</v>
      </c>
      <c r="HPM3425" s="34">
        <v>2</v>
      </c>
      <c r="HPN3425" s="34">
        <v>2.5</v>
      </c>
      <c r="HPO3425" s="34">
        <v>3</v>
      </c>
      <c r="HPP3425" s="34">
        <v>3.5</v>
      </c>
      <c r="HPQ3425" s="34">
        <v>4</v>
      </c>
      <c r="HPR3425" s="34">
        <v>4.5</v>
      </c>
      <c r="HPS3425" s="34">
        <v>5</v>
      </c>
      <c r="HPU3425" s="913"/>
      <c r="HPV3425" s="31">
        <v>1</v>
      </c>
      <c r="HPW3425" s="34">
        <v>0</v>
      </c>
      <c r="HPX3425" s="34">
        <v>-1</v>
      </c>
      <c r="HPY3425" s="34">
        <v>-2</v>
      </c>
      <c r="HPZ3425" s="34">
        <v>-3</v>
      </c>
      <c r="HQA3425" s="34">
        <v>-4</v>
      </c>
      <c r="HQB3425" s="34">
        <v>-5</v>
      </c>
      <c r="HQC3425" s="908"/>
      <c r="HQD3425" s="909"/>
      <c r="HQE3425" s="34">
        <v>-5</v>
      </c>
      <c r="HQF3425" s="34">
        <v>-4.5</v>
      </c>
      <c r="HQG3425" s="34">
        <v>-4</v>
      </c>
      <c r="HQH3425" s="34">
        <v>-3.5</v>
      </c>
      <c r="HQI3425" s="34">
        <v>-3</v>
      </c>
      <c r="HQJ3425" s="34">
        <v>-2.5</v>
      </c>
      <c r="HQK3425" s="34">
        <v>-2</v>
      </c>
      <c r="HQL3425" s="34">
        <v>-1.5</v>
      </c>
      <c r="HQM3425" s="34">
        <v>-1</v>
      </c>
      <c r="HQN3425" s="34">
        <v>-0.5</v>
      </c>
      <c r="HQO3425" s="34">
        <v>0</v>
      </c>
      <c r="HQP3425" s="34">
        <v>0.5</v>
      </c>
      <c r="HQQ3425" s="34">
        <v>1</v>
      </c>
      <c r="HQR3425" s="34">
        <v>1.5</v>
      </c>
      <c r="HQS3425" s="34">
        <v>2</v>
      </c>
      <c r="HQT3425" s="34">
        <v>2.5</v>
      </c>
      <c r="HQU3425" s="34">
        <v>3</v>
      </c>
      <c r="HQV3425" s="34">
        <v>3.5</v>
      </c>
      <c r="HQW3425" s="34">
        <v>4</v>
      </c>
      <c r="HQX3425" s="34">
        <v>4.5</v>
      </c>
      <c r="HQY3425" s="34">
        <v>5</v>
      </c>
      <c r="HRA3425" s="913"/>
      <c r="HRB3425" s="31">
        <v>1</v>
      </c>
      <c r="HRC3425" s="34">
        <v>0</v>
      </c>
      <c r="HRD3425" s="34">
        <v>-1</v>
      </c>
      <c r="HRE3425" s="34">
        <v>-2</v>
      </c>
      <c r="HRF3425" s="34">
        <v>-3</v>
      </c>
      <c r="HRG3425" s="34">
        <v>-4</v>
      </c>
      <c r="HRH3425" s="34">
        <v>-5</v>
      </c>
      <c r="HRI3425" s="908"/>
      <c r="HRJ3425" s="909"/>
      <c r="HRK3425" s="34">
        <v>-5</v>
      </c>
      <c r="HRL3425" s="34">
        <v>-4.5</v>
      </c>
      <c r="HRM3425" s="34">
        <v>-4</v>
      </c>
      <c r="HRN3425" s="34">
        <v>-3.5</v>
      </c>
      <c r="HRO3425" s="34">
        <v>-3</v>
      </c>
      <c r="HRP3425" s="34">
        <v>-2.5</v>
      </c>
      <c r="HRQ3425" s="34">
        <v>-2</v>
      </c>
      <c r="HRR3425" s="34">
        <v>-1.5</v>
      </c>
      <c r="HRS3425" s="34">
        <v>-1</v>
      </c>
      <c r="HRT3425" s="34">
        <v>-0.5</v>
      </c>
      <c r="HRU3425" s="34">
        <v>0</v>
      </c>
      <c r="HRV3425" s="34">
        <v>0.5</v>
      </c>
      <c r="HRW3425" s="34">
        <v>1</v>
      </c>
      <c r="HRX3425" s="34">
        <v>1.5</v>
      </c>
      <c r="HRY3425" s="34">
        <v>2</v>
      </c>
      <c r="HRZ3425" s="34">
        <v>2.5</v>
      </c>
      <c r="HSA3425" s="34">
        <v>3</v>
      </c>
      <c r="HSB3425" s="34">
        <v>3.5</v>
      </c>
      <c r="HSC3425" s="34">
        <v>4</v>
      </c>
      <c r="HSD3425" s="34">
        <v>4.5</v>
      </c>
      <c r="HSE3425" s="34">
        <v>5</v>
      </c>
      <c r="HSG3425" s="913"/>
      <c r="HSH3425" s="31">
        <v>1</v>
      </c>
      <c r="HSI3425" s="34">
        <v>0</v>
      </c>
      <c r="HSJ3425" s="34">
        <v>-1</v>
      </c>
      <c r="HSK3425" s="34">
        <v>-2</v>
      </c>
      <c r="HSL3425" s="34">
        <v>-3</v>
      </c>
      <c r="HSM3425" s="34">
        <v>-4</v>
      </c>
      <c r="HSN3425" s="34">
        <v>-5</v>
      </c>
      <c r="HSO3425" s="908"/>
      <c r="HSP3425" s="909"/>
      <c r="HSQ3425" s="34">
        <v>-5</v>
      </c>
      <c r="HSR3425" s="34">
        <v>-4.5</v>
      </c>
      <c r="HSS3425" s="34">
        <v>-4</v>
      </c>
      <c r="HST3425" s="34">
        <v>-3.5</v>
      </c>
      <c r="HSU3425" s="34">
        <v>-3</v>
      </c>
      <c r="HSV3425" s="34">
        <v>-2.5</v>
      </c>
      <c r="HSW3425" s="34">
        <v>-2</v>
      </c>
      <c r="HSX3425" s="34">
        <v>-1.5</v>
      </c>
      <c r="HSY3425" s="34">
        <v>-1</v>
      </c>
      <c r="HSZ3425" s="34">
        <v>-0.5</v>
      </c>
      <c r="HTA3425" s="34">
        <v>0</v>
      </c>
      <c r="HTB3425" s="34">
        <v>0.5</v>
      </c>
      <c r="HTC3425" s="34">
        <v>1</v>
      </c>
      <c r="HTD3425" s="34">
        <v>1.5</v>
      </c>
      <c r="HTE3425" s="34">
        <v>2</v>
      </c>
      <c r="HTF3425" s="34">
        <v>2.5</v>
      </c>
      <c r="HTG3425" s="34">
        <v>3</v>
      </c>
      <c r="HTH3425" s="34">
        <v>3.5</v>
      </c>
      <c r="HTI3425" s="34">
        <v>4</v>
      </c>
      <c r="HTJ3425" s="34">
        <v>4.5</v>
      </c>
      <c r="HTK3425" s="34">
        <v>5</v>
      </c>
      <c r="HTM3425" s="913"/>
      <c r="HTN3425" s="31">
        <v>1</v>
      </c>
      <c r="HTO3425" s="34">
        <v>0</v>
      </c>
      <c r="HTP3425" s="34">
        <v>-1</v>
      </c>
      <c r="HTQ3425" s="34">
        <v>-2</v>
      </c>
      <c r="HTR3425" s="34">
        <v>-3</v>
      </c>
      <c r="HTS3425" s="34">
        <v>-4</v>
      </c>
      <c r="HTT3425" s="34">
        <v>-5</v>
      </c>
      <c r="HTU3425" s="908"/>
      <c r="HTV3425" s="909"/>
      <c r="HTW3425" s="34">
        <v>-5</v>
      </c>
      <c r="HTX3425" s="34">
        <v>-4.5</v>
      </c>
      <c r="HTY3425" s="34">
        <v>-4</v>
      </c>
      <c r="HTZ3425" s="34">
        <v>-3.5</v>
      </c>
      <c r="HUA3425" s="34">
        <v>-3</v>
      </c>
      <c r="HUB3425" s="34">
        <v>-2.5</v>
      </c>
      <c r="HUC3425" s="34">
        <v>-2</v>
      </c>
      <c r="HUD3425" s="34">
        <v>-1.5</v>
      </c>
      <c r="HUE3425" s="34">
        <v>-1</v>
      </c>
      <c r="HUF3425" s="34">
        <v>-0.5</v>
      </c>
      <c r="HUG3425" s="34">
        <v>0</v>
      </c>
      <c r="HUH3425" s="34">
        <v>0.5</v>
      </c>
      <c r="HUI3425" s="34">
        <v>1</v>
      </c>
      <c r="HUJ3425" s="34">
        <v>1.5</v>
      </c>
      <c r="HUK3425" s="34">
        <v>2</v>
      </c>
      <c r="HUL3425" s="34">
        <v>2.5</v>
      </c>
      <c r="HUM3425" s="34">
        <v>3</v>
      </c>
      <c r="HUN3425" s="34">
        <v>3.5</v>
      </c>
      <c r="HUO3425" s="34">
        <v>4</v>
      </c>
      <c r="HUP3425" s="34">
        <v>4.5</v>
      </c>
      <c r="HUQ3425" s="34">
        <v>5</v>
      </c>
      <c r="HUS3425" s="913"/>
      <c r="HUT3425" s="31">
        <v>1</v>
      </c>
      <c r="HUU3425" s="34">
        <v>0</v>
      </c>
      <c r="HUV3425" s="34">
        <v>-1</v>
      </c>
      <c r="HUW3425" s="34">
        <v>-2</v>
      </c>
      <c r="HUX3425" s="34">
        <v>-3</v>
      </c>
      <c r="HUY3425" s="34">
        <v>-4</v>
      </c>
      <c r="HUZ3425" s="34">
        <v>-5</v>
      </c>
      <c r="HVA3425" s="908"/>
      <c r="HVB3425" s="909"/>
      <c r="HVC3425" s="34">
        <v>-5</v>
      </c>
      <c r="HVD3425" s="34">
        <v>-4.5</v>
      </c>
      <c r="HVE3425" s="34">
        <v>-4</v>
      </c>
      <c r="HVF3425" s="34">
        <v>-3.5</v>
      </c>
      <c r="HVG3425" s="34">
        <v>-3</v>
      </c>
      <c r="HVH3425" s="34">
        <v>-2.5</v>
      </c>
      <c r="HVI3425" s="34">
        <v>-2</v>
      </c>
      <c r="HVJ3425" s="34">
        <v>-1.5</v>
      </c>
      <c r="HVK3425" s="34">
        <v>-1</v>
      </c>
      <c r="HVL3425" s="34">
        <v>-0.5</v>
      </c>
      <c r="HVM3425" s="34">
        <v>0</v>
      </c>
      <c r="HVN3425" s="34">
        <v>0.5</v>
      </c>
      <c r="HVO3425" s="34">
        <v>1</v>
      </c>
      <c r="HVP3425" s="34">
        <v>1.5</v>
      </c>
      <c r="HVQ3425" s="34">
        <v>2</v>
      </c>
      <c r="HVR3425" s="34">
        <v>2.5</v>
      </c>
      <c r="HVS3425" s="34">
        <v>3</v>
      </c>
      <c r="HVT3425" s="34">
        <v>3.5</v>
      </c>
      <c r="HVU3425" s="34">
        <v>4</v>
      </c>
      <c r="HVV3425" s="34">
        <v>4.5</v>
      </c>
      <c r="HVW3425" s="34">
        <v>5</v>
      </c>
      <c r="HVY3425" s="913"/>
      <c r="HVZ3425" s="31">
        <v>1</v>
      </c>
      <c r="HWA3425" s="34">
        <v>0</v>
      </c>
      <c r="HWB3425" s="34">
        <v>-1</v>
      </c>
      <c r="HWC3425" s="34">
        <v>-2</v>
      </c>
      <c r="HWD3425" s="34">
        <v>-3</v>
      </c>
      <c r="HWE3425" s="34">
        <v>-4</v>
      </c>
      <c r="HWF3425" s="34">
        <v>-5</v>
      </c>
      <c r="HWG3425" s="908"/>
      <c r="HWH3425" s="909"/>
      <c r="HWI3425" s="34">
        <v>-5</v>
      </c>
      <c r="HWJ3425" s="34">
        <v>-4.5</v>
      </c>
      <c r="HWK3425" s="34">
        <v>-4</v>
      </c>
      <c r="HWL3425" s="34">
        <v>-3.5</v>
      </c>
      <c r="HWM3425" s="34">
        <v>-3</v>
      </c>
      <c r="HWN3425" s="34">
        <v>-2.5</v>
      </c>
      <c r="HWO3425" s="34">
        <v>-2</v>
      </c>
      <c r="HWP3425" s="34">
        <v>-1.5</v>
      </c>
      <c r="HWQ3425" s="34">
        <v>-1</v>
      </c>
      <c r="HWR3425" s="34">
        <v>-0.5</v>
      </c>
      <c r="HWS3425" s="34">
        <v>0</v>
      </c>
      <c r="HWT3425" s="34">
        <v>0.5</v>
      </c>
      <c r="HWU3425" s="34">
        <v>1</v>
      </c>
      <c r="HWV3425" s="34">
        <v>1.5</v>
      </c>
      <c r="HWW3425" s="34">
        <v>2</v>
      </c>
      <c r="HWX3425" s="34">
        <v>2.5</v>
      </c>
      <c r="HWY3425" s="34">
        <v>3</v>
      </c>
      <c r="HWZ3425" s="34">
        <v>3.5</v>
      </c>
      <c r="HXA3425" s="34">
        <v>4</v>
      </c>
      <c r="HXB3425" s="34">
        <v>4.5</v>
      </c>
      <c r="HXC3425" s="34">
        <v>5</v>
      </c>
      <c r="HXE3425" s="913"/>
      <c r="HXF3425" s="31">
        <v>1</v>
      </c>
      <c r="HXG3425" s="34">
        <v>0</v>
      </c>
      <c r="HXH3425" s="34">
        <v>-1</v>
      </c>
      <c r="HXI3425" s="34">
        <v>-2</v>
      </c>
      <c r="HXJ3425" s="34">
        <v>-3</v>
      </c>
      <c r="HXK3425" s="34">
        <v>-4</v>
      </c>
      <c r="HXL3425" s="34">
        <v>-5</v>
      </c>
      <c r="HXM3425" s="908"/>
      <c r="HXN3425" s="909"/>
      <c r="HXO3425" s="34">
        <v>-5</v>
      </c>
      <c r="HXP3425" s="34">
        <v>-4.5</v>
      </c>
      <c r="HXQ3425" s="34">
        <v>-4</v>
      </c>
      <c r="HXR3425" s="34">
        <v>-3.5</v>
      </c>
      <c r="HXS3425" s="34">
        <v>-3</v>
      </c>
      <c r="HXT3425" s="34">
        <v>-2.5</v>
      </c>
      <c r="HXU3425" s="34">
        <v>-2</v>
      </c>
      <c r="HXV3425" s="34">
        <v>-1.5</v>
      </c>
      <c r="HXW3425" s="34">
        <v>-1</v>
      </c>
      <c r="HXX3425" s="34">
        <v>-0.5</v>
      </c>
      <c r="HXY3425" s="34">
        <v>0</v>
      </c>
      <c r="HXZ3425" s="34">
        <v>0.5</v>
      </c>
      <c r="HYA3425" s="34">
        <v>1</v>
      </c>
      <c r="HYB3425" s="34">
        <v>1.5</v>
      </c>
      <c r="HYC3425" s="34">
        <v>2</v>
      </c>
      <c r="HYD3425" s="34">
        <v>2.5</v>
      </c>
      <c r="HYE3425" s="34">
        <v>3</v>
      </c>
      <c r="HYF3425" s="34">
        <v>3.5</v>
      </c>
      <c r="HYG3425" s="34">
        <v>4</v>
      </c>
      <c r="HYH3425" s="34">
        <v>4.5</v>
      </c>
      <c r="HYI3425" s="34">
        <v>5</v>
      </c>
      <c r="HYK3425" s="913"/>
      <c r="HYL3425" s="31">
        <v>1</v>
      </c>
      <c r="HYM3425" s="34">
        <v>0</v>
      </c>
      <c r="HYN3425" s="34">
        <v>-1</v>
      </c>
      <c r="HYO3425" s="34">
        <v>-2</v>
      </c>
      <c r="HYP3425" s="34">
        <v>-3</v>
      </c>
      <c r="HYQ3425" s="34">
        <v>-4</v>
      </c>
      <c r="HYR3425" s="34">
        <v>-5</v>
      </c>
      <c r="HYS3425" s="908"/>
      <c r="HYT3425" s="909"/>
      <c r="HYU3425" s="34">
        <v>-5</v>
      </c>
      <c r="HYV3425" s="34">
        <v>-4.5</v>
      </c>
      <c r="HYW3425" s="34">
        <v>-4</v>
      </c>
      <c r="HYX3425" s="34">
        <v>-3.5</v>
      </c>
      <c r="HYY3425" s="34">
        <v>-3</v>
      </c>
      <c r="HYZ3425" s="34">
        <v>-2.5</v>
      </c>
      <c r="HZA3425" s="34">
        <v>-2</v>
      </c>
      <c r="HZB3425" s="34">
        <v>-1.5</v>
      </c>
      <c r="HZC3425" s="34">
        <v>-1</v>
      </c>
      <c r="HZD3425" s="34">
        <v>-0.5</v>
      </c>
      <c r="HZE3425" s="34">
        <v>0</v>
      </c>
      <c r="HZF3425" s="34">
        <v>0.5</v>
      </c>
      <c r="HZG3425" s="34">
        <v>1</v>
      </c>
      <c r="HZH3425" s="34">
        <v>1.5</v>
      </c>
      <c r="HZI3425" s="34">
        <v>2</v>
      </c>
      <c r="HZJ3425" s="34">
        <v>2.5</v>
      </c>
      <c r="HZK3425" s="34">
        <v>3</v>
      </c>
      <c r="HZL3425" s="34">
        <v>3.5</v>
      </c>
      <c r="HZM3425" s="34">
        <v>4</v>
      </c>
      <c r="HZN3425" s="34">
        <v>4.5</v>
      </c>
      <c r="HZO3425" s="34">
        <v>5</v>
      </c>
      <c r="HZQ3425" s="913"/>
      <c r="HZR3425" s="31">
        <v>1</v>
      </c>
      <c r="HZS3425" s="34">
        <v>0</v>
      </c>
      <c r="HZT3425" s="34">
        <v>-1</v>
      </c>
      <c r="HZU3425" s="34">
        <v>-2</v>
      </c>
      <c r="HZV3425" s="34">
        <v>-3</v>
      </c>
      <c r="HZW3425" s="34">
        <v>-4</v>
      </c>
      <c r="HZX3425" s="34">
        <v>-5</v>
      </c>
      <c r="HZY3425" s="908"/>
      <c r="HZZ3425" s="909"/>
      <c r="IAA3425" s="34">
        <v>-5</v>
      </c>
      <c r="IAB3425" s="34">
        <v>-4.5</v>
      </c>
      <c r="IAC3425" s="34">
        <v>-4</v>
      </c>
      <c r="IAD3425" s="34">
        <v>-3.5</v>
      </c>
      <c r="IAE3425" s="34">
        <v>-3</v>
      </c>
      <c r="IAF3425" s="34">
        <v>-2.5</v>
      </c>
      <c r="IAG3425" s="34">
        <v>-2</v>
      </c>
      <c r="IAH3425" s="34">
        <v>-1.5</v>
      </c>
      <c r="IAI3425" s="34">
        <v>-1</v>
      </c>
      <c r="IAJ3425" s="34">
        <v>-0.5</v>
      </c>
      <c r="IAK3425" s="34">
        <v>0</v>
      </c>
      <c r="IAL3425" s="34">
        <v>0.5</v>
      </c>
      <c r="IAM3425" s="34">
        <v>1</v>
      </c>
      <c r="IAN3425" s="34">
        <v>1.5</v>
      </c>
      <c r="IAO3425" s="34">
        <v>2</v>
      </c>
      <c r="IAP3425" s="34">
        <v>2.5</v>
      </c>
      <c r="IAQ3425" s="34">
        <v>3</v>
      </c>
      <c r="IAR3425" s="34">
        <v>3.5</v>
      </c>
      <c r="IAS3425" s="34">
        <v>4</v>
      </c>
      <c r="IAT3425" s="34">
        <v>4.5</v>
      </c>
      <c r="IAU3425" s="34">
        <v>5</v>
      </c>
      <c r="IAW3425" s="913"/>
      <c r="IAX3425" s="31">
        <v>1</v>
      </c>
      <c r="IAY3425" s="34">
        <v>0</v>
      </c>
      <c r="IAZ3425" s="34">
        <v>-1</v>
      </c>
      <c r="IBA3425" s="34">
        <v>-2</v>
      </c>
      <c r="IBB3425" s="34">
        <v>-3</v>
      </c>
      <c r="IBC3425" s="34">
        <v>-4</v>
      </c>
      <c r="IBD3425" s="34">
        <v>-5</v>
      </c>
      <c r="IBE3425" s="908"/>
      <c r="IBF3425" s="909"/>
      <c r="IBG3425" s="34">
        <v>-5</v>
      </c>
      <c r="IBH3425" s="34">
        <v>-4.5</v>
      </c>
      <c r="IBI3425" s="34">
        <v>-4</v>
      </c>
      <c r="IBJ3425" s="34">
        <v>-3.5</v>
      </c>
      <c r="IBK3425" s="34">
        <v>-3</v>
      </c>
      <c r="IBL3425" s="34">
        <v>-2.5</v>
      </c>
      <c r="IBM3425" s="34">
        <v>-2</v>
      </c>
      <c r="IBN3425" s="34">
        <v>-1.5</v>
      </c>
      <c r="IBO3425" s="34">
        <v>-1</v>
      </c>
      <c r="IBP3425" s="34">
        <v>-0.5</v>
      </c>
      <c r="IBQ3425" s="34">
        <v>0</v>
      </c>
      <c r="IBR3425" s="34">
        <v>0.5</v>
      </c>
      <c r="IBS3425" s="34">
        <v>1</v>
      </c>
      <c r="IBT3425" s="34">
        <v>1.5</v>
      </c>
      <c r="IBU3425" s="34">
        <v>2</v>
      </c>
      <c r="IBV3425" s="34">
        <v>2.5</v>
      </c>
      <c r="IBW3425" s="34">
        <v>3</v>
      </c>
      <c r="IBX3425" s="34">
        <v>3.5</v>
      </c>
      <c r="IBY3425" s="34">
        <v>4</v>
      </c>
      <c r="IBZ3425" s="34">
        <v>4.5</v>
      </c>
      <c r="ICA3425" s="34">
        <v>5</v>
      </c>
      <c r="ICC3425" s="913"/>
      <c r="ICD3425" s="31">
        <v>1</v>
      </c>
      <c r="ICE3425" s="34">
        <v>0</v>
      </c>
      <c r="ICF3425" s="34">
        <v>-1</v>
      </c>
      <c r="ICG3425" s="34">
        <v>-2</v>
      </c>
      <c r="ICH3425" s="34">
        <v>-3</v>
      </c>
      <c r="ICI3425" s="34">
        <v>-4</v>
      </c>
      <c r="ICJ3425" s="34">
        <v>-5</v>
      </c>
      <c r="ICK3425" s="908"/>
      <c r="ICL3425" s="909"/>
      <c r="ICM3425" s="34">
        <v>-5</v>
      </c>
      <c r="ICN3425" s="34">
        <v>-4.5</v>
      </c>
      <c r="ICO3425" s="34">
        <v>-4</v>
      </c>
      <c r="ICP3425" s="34">
        <v>-3.5</v>
      </c>
      <c r="ICQ3425" s="34">
        <v>-3</v>
      </c>
      <c r="ICR3425" s="34">
        <v>-2.5</v>
      </c>
      <c r="ICS3425" s="34">
        <v>-2</v>
      </c>
      <c r="ICT3425" s="34">
        <v>-1.5</v>
      </c>
      <c r="ICU3425" s="34">
        <v>-1</v>
      </c>
      <c r="ICV3425" s="34">
        <v>-0.5</v>
      </c>
      <c r="ICW3425" s="34">
        <v>0</v>
      </c>
      <c r="ICX3425" s="34">
        <v>0.5</v>
      </c>
      <c r="ICY3425" s="34">
        <v>1</v>
      </c>
      <c r="ICZ3425" s="34">
        <v>1.5</v>
      </c>
      <c r="IDA3425" s="34">
        <v>2</v>
      </c>
      <c r="IDB3425" s="34">
        <v>2.5</v>
      </c>
      <c r="IDC3425" s="34">
        <v>3</v>
      </c>
      <c r="IDD3425" s="34">
        <v>3.5</v>
      </c>
      <c r="IDE3425" s="34">
        <v>4</v>
      </c>
      <c r="IDF3425" s="34">
        <v>4.5</v>
      </c>
      <c r="IDG3425" s="34">
        <v>5</v>
      </c>
      <c r="IDI3425" s="913"/>
      <c r="IDJ3425" s="31">
        <v>1</v>
      </c>
      <c r="IDK3425" s="34">
        <v>0</v>
      </c>
      <c r="IDL3425" s="34">
        <v>-1</v>
      </c>
      <c r="IDM3425" s="34">
        <v>-2</v>
      </c>
      <c r="IDN3425" s="34">
        <v>-3</v>
      </c>
      <c r="IDO3425" s="34">
        <v>-4</v>
      </c>
      <c r="IDP3425" s="34">
        <v>-5</v>
      </c>
      <c r="IDQ3425" s="908"/>
      <c r="IDR3425" s="909"/>
      <c r="IDS3425" s="34">
        <v>-5</v>
      </c>
      <c r="IDT3425" s="34">
        <v>-4.5</v>
      </c>
      <c r="IDU3425" s="34">
        <v>-4</v>
      </c>
      <c r="IDV3425" s="34">
        <v>-3.5</v>
      </c>
      <c r="IDW3425" s="34">
        <v>-3</v>
      </c>
      <c r="IDX3425" s="34">
        <v>-2.5</v>
      </c>
      <c r="IDY3425" s="34">
        <v>-2</v>
      </c>
      <c r="IDZ3425" s="34">
        <v>-1.5</v>
      </c>
      <c r="IEA3425" s="34">
        <v>-1</v>
      </c>
      <c r="IEB3425" s="34">
        <v>-0.5</v>
      </c>
      <c r="IEC3425" s="34">
        <v>0</v>
      </c>
      <c r="IED3425" s="34">
        <v>0.5</v>
      </c>
      <c r="IEE3425" s="34">
        <v>1</v>
      </c>
      <c r="IEF3425" s="34">
        <v>1.5</v>
      </c>
      <c r="IEG3425" s="34">
        <v>2</v>
      </c>
      <c r="IEH3425" s="34">
        <v>2.5</v>
      </c>
      <c r="IEI3425" s="34">
        <v>3</v>
      </c>
      <c r="IEJ3425" s="34">
        <v>3.5</v>
      </c>
      <c r="IEK3425" s="34">
        <v>4</v>
      </c>
      <c r="IEL3425" s="34">
        <v>4.5</v>
      </c>
      <c r="IEM3425" s="34">
        <v>5</v>
      </c>
      <c r="IEO3425" s="913"/>
      <c r="IEP3425" s="31">
        <v>1</v>
      </c>
      <c r="IEQ3425" s="34">
        <v>0</v>
      </c>
      <c r="IER3425" s="34">
        <v>-1</v>
      </c>
      <c r="IES3425" s="34">
        <v>-2</v>
      </c>
      <c r="IET3425" s="34">
        <v>-3</v>
      </c>
      <c r="IEU3425" s="34">
        <v>-4</v>
      </c>
      <c r="IEV3425" s="34">
        <v>-5</v>
      </c>
      <c r="IEW3425" s="908"/>
      <c r="IEX3425" s="909"/>
      <c r="IEY3425" s="34">
        <v>-5</v>
      </c>
      <c r="IEZ3425" s="34">
        <v>-4.5</v>
      </c>
      <c r="IFA3425" s="34">
        <v>-4</v>
      </c>
      <c r="IFB3425" s="34">
        <v>-3.5</v>
      </c>
      <c r="IFC3425" s="34">
        <v>-3</v>
      </c>
      <c r="IFD3425" s="34">
        <v>-2.5</v>
      </c>
      <c r="IFE3425" s="34">
        <v>-2</v>
      </c>
      <c r="IFF3425" s="34">
        <v>-1.5</v>
      </c>
      <c r="IFG3425" s="34">
        <v>-1</v>
      </c>
      <c r="IFH3425" s="34">
        <v>-0.5</v>
      </c>
      <c r="IFI3425" s="34">
        <v>0</v>
      </c>
      <c r="IFJ3425" s="34">
        <v>0.5</v>
      </c>
      <c r="IFK3425" s="34">
        <v>1</v>
      </c>
      <c r="IFL3425" s="34">
        <v>1.5</v>
      </c>
      <c r="IFM3425" s="34">
        <v>2</v>
      </c>
      <c r="IFN3425" s="34">
        <v>2.5</v>
      </c>
      <c r="IFO3425" s="34">
        <v>3</v>
      </c>
      <c r="IFP3425" s="34">
        <v>3.5</v>
      </c>
      <c r="IFQ3425" s="34">
        <v>4</v>
      </c>
      <c r="IFR3425" s="34">
        <v>4.5</v>
      </c>
      <c r="IFS3425" s="34">
        <v>5</v>
      </c>
      <c r="IFU3425" s="913"/>
      <c r="IFV3425" s="31">
        <v>1</v>
      </c>
      <c r="IFW3425" s="34">
        <v>0</v>
      </c>
      <c r="IFX3425" s="34">
        <v>-1</v>
      </c>
      <c r="IFY3425" s="34">
        <v>-2</v>
      </c>
      <c r="IFZ3425" s="34">
        <v>-3</v>
      </c>
      <c r="IGA3425" s="34">
        <v>-4</v>
      </c>
      <c r="IGB3425" s="34">
        <v>-5</v>
      </c>
      <c r="IGC3425" s="908"/>
      <c r="IGD3425" s="909"/>
      <c r="IGE3425" s="34">
        <v>-5</v>
      </c>
      <c r="IGF3425" s="34">
        <v>-4.5</v>
      </c>
      <c r="IGG3425" s="34">
        <v>-4</v>
      </c>
      <c r="IGH3425" s="34">
        <v>-3.5</v>
      </c>
      <c r="IGI3425" s="34">
        <v>-3</v>
      </c>
      <c r="IGJ3425" s="34">
        <v>-2.5</v>
      </c>
      <c r="IGK3425" s="34">
        <v>-2</v>
      </c>
      <c r="IGL3425" s="34">
        <v>-1.5</v>
      </c>
      <c r="IGM3425" s="34">
        <v>-1</v>
      </c>
      <c r="IGN3425" s="34">
        <v>-0.5</v>
      </c>
      <c r="IGO3425" s="34">
        <v>0</v>
      </c>
      <c r="IGP3425" s="34">
        <v>0.5</v>
      </c>
      <c r="IGQ3425" s="34">
        <v>1</v>
      </c>
      <c r="IGR3425" s="34">
        <v>1.5</v>
      </c>
      <c r="IGS3425" s="34">
        <v>2</v>
      </c>
      <c r="IGT3425" s="34">
        <v>2.5</v>
      </c>
      <c r="IGU3425" s="34">
        <v>3</v>
      </c>
      <c r="IGV3425" s="34">
        <v>3.5</v>
      </c>
      <c r="IGW3425" s="34">
        <v>4</v>
      </c>
      <c r="IGX3425" s="34">
        <v>4.5</v>
      </c>
      <c r="IGY3425" s="34">
        <v>5</v>
      </c>
      <c r="IHA3425" s="913"/>
      <c r="IHB3425" s="31">
        <v>1</v>
      </c>
      <c r="IHC3425" s="34">
        <v>0</v>
      </c>
      <c r="IHD3425" s="34">
        <v>-1</v>
      </c>
      <c r="IHE3425" s="34">
        <v>-2</v>
      </c>
      <c r="IHF3425" s="34">
        <v>-3</v>
      </c>
      <c r="IHG3425" s="34">
        <v>-4</v>
      </c>
      <c r="IHH3425" s="34">
        <v>-5</v>
      </c>
      <c r="IHI3425" s="908"/>
      <c r="IHJ3425" s="909"/>
      <c r="IHK3425" s="34">
        <v>-5</v>
      </c>
      <c r="IHL3425" s="34">
        <v>-4.5</v>
      </c>
      <c r="IHM3425" s="34">
        <v>-4</v>
      </c>
      <c r="IHN3425" s="34">
        <v>-3.5</v>
      </c>
      <c r="IHO3425" s="34">
        <v>-3</v>
      </c>
      <c r="IHP3425" s="34">
        <v>-2.5</v>
      </c>
      <c r="IHQ3425" s="34">
        <v>-2</v>
      </c>
      <c r="IHR3425" s="34">
        <v>-1.5</v>
      </c>
      <c r="IHS3425" s="34">
        <v>-1</v>
      </c>
      <c r="IHT3425" s="34">
        <v>-0.5</v>
      </c>
      <c r="IHU3425" s="34">
        <v>0</v>
      </c>
      <c r="IHV3425" s="34">
        <v>0.5</v>
      </c>
      <c r="IHW3425" s="34">
        <v>1</v>
      </c>
      <c r="IHX3425" s="34">
        <v>1.5</v>
      </c>
      <c r="IHY3425" s="34">
        <v>2</v>
      </c>
      <c r="IHZ3425" s="34">
        <v>2.5</v>
      </c>
      <c r="IIA3425" s="34">
        <v>3</v>
      </c>
      <c r="IIB3425" s="34">
        <v>3.5</v>
      </c>
      <c r="IIC3425" s="34">
        <v>4</v>
      </c>
      <c r="IID3425" s="34">
        <v>4.5</v>
      </c>
      <c r="IIE3425" s="34">
        <v>5</v>
      </c>
      <c r="IIG3425" s="913"/>
      <c r="IIH3425" s="31">
        <v>1</v>
      </c>
      <c r="III3425" s="34">
        <v>0</v>
      </c>
      <c r="IIJ3425" s="34">
        <v>-1</v>
      </c>
      <c r="IIK3425" s="34">
        <v>-2</v>
      </c>
      <c r="IIL3425" s="34">
        <v>-3</v>
      </c>
      <c r="IIM3425" s="34">
        <v>-4</v>
      </c>
      <c r="IIN3425" s="34">
        <v>-5</v>
      </c>
      <c r="IIO3425" s="908"/>
      <c r="IIP3425" s="909"/>
      <c r="IIQ3425" s="34">
        <v>-5</v>
      </c>
      <c r="IIR3425" s="34">
        <v>-4.5</v>
      </c>
      <c r="IIS3425" s="34">
        <v>-4</v>
      </c>
      <c r="IIT3425" s="34">
        <v>-3.5</v>
      </c>
      <c r="IIU3425" s="34">
        <v>-3</v>
      </c>
      <c r="IIV3425" s="34">
        <v>-2.5</v>
      </c>
      <c r="IIW3425" s="34">
        <v>-2</v>
      </c>
      <c r="IIX3425" s="34">
        <v>-1.5</v>
      </c>
      <c r="IIY3425" s="34">
        <v>-1</v>
      </c>
      <c r="IIZ3425" s="34">
        <v>-0.5</v>
      </c>
      <c r="IJA3425" s="34">
        <v>0</v>
      </c>
      <c r="IJB3425" s="34">
        <v>0.5</v>
      </c>
      <c r="IJC3425" s="34">
        <v>1</v>
      </c>
      <c r="IJD3425" s="34">
        <v>1.5</v>
      </c>
      <c r="IJE3425" s="34">
        <v>2</v>
      </c>
      <c r="IJF3425" s="34">
        <v>2.5</v>
      </c>
      <c r="IJG3425" s="34">
        <v>3</v>
      </c>
      <c r="IJH3425" s="34">
        <v>3.5</v>
      </c>
      <c r="IJI3425" s="34">
        <v>4</v>
      </c>
      <c r="IJJ3425" s="34">
        <v>4.5</v>
      </c>
      <c r="IJK3425" s="34">
        <v>5</v>
      </c>
      <c r="IJM3425" s="913"/>
      <c r="IJN3425" s="31">
        <v>1</v>
      </c>
      <c r="IJO3425" s="34">
        <v>0</v>
      </c>
      <c r="IJP3425" s="34">
        <v>-1</v>
      </c>
      <c r="IJQ3425" s="34">
        <v>-2</v>
      </c>
      <c r="IJR3425" s="34">
        <v>-3</v>
      </c>
      <c r="IJS3425" s="34">
        <v>-4</v>
      </c>
      <c r="IJT3425" s="34">
        <v>-5</v>
      </c>
      <c r="IJU3425" s="908"/>
      <c r="IJV3425" s="909"/>
      <c r="IJW3425" s="34">
        <v>-5</v>
      </c>
      <c r="IJX3425" s="34">
        <v>-4.5</v>
      </c>
      <c r="IJY3425" s="34">
        <v>-4</v>
      </c>
      <c r="IJZ3425" s="34">
        <v>-3.5</v>
      </c>
      <c r="IKA3425" s="34">
        <v>-3</v>
      </c>
      <c r="IKB3425" s="34">
        <v>-2.5</v>
      </c>
      <c r="IKC3425" s="34">
        <v>-2</v>
      </c>
      <c r="IKD3425" s="34">
        <v>-1.5</v>
      </c>
      <c r="IKE3425" s="34">
        <v>-1</v>
      </c>
      <c r="IKF3425" s="34">
        <v>-0.5</v>
      </c>
      <c r="IKG3425" s="34">
        <v>0</v>
      </c>
      <c r="IKH3425" s="34">
        <v>0.5</v>
      </c>
      <c r="IKI3425" s="34">
        <v>1</v>
      </c>
      <c r="IKJ3425" s="34">
        <v>1.5</v>
      </c>
      <c r="IKK3425" s="34">
        <v>2</v>
      </c>
      <c r="IKL3425" s="34">
        <v>2.5</v>
      </c>
      <c r="IKM3425" s="34">
        <v>3</v>
      </c>
      <c r="IKN3425" s="34">
        <v>3.5</v>
      </c>
      <c r="IKO3425" s="34">
        <v>4</v>
      </c>
      <c r="IKP3425" s="34">
        <v>4.5</v>
      </c>
      <c r="IKQ3425" s="34">
        <v>5</v>
      </c>
      <c r="IKS3425" s="913"/>
      <c r="IKT3425" s="31">
        <v>1</v>
      </c>
      <c r="IKU3425" s="34">
        <v>0</v>
      </c>
      <c r="IKV3425" s="34">
        <v>-1</v>
      </c>
      <c r="IKW3425" s="34">
        <v>-2</v>
      </c>
      <c r="IKX3425" s="34">
        <v>-3</v>
      </c>
      <c r="IKY3425" s="34">
        <v>-4</v>
      </c>
      <c r="IKZ3425" s="34">
        <v>-5</v>
      </c>
      <c r="ILA3425" s="908"/>
      <c r="ILB3425" s="909"/>
      <c r="ILC3425" s="34">
        <v>-5</v>
      </c>
      <c r="ILD3425" s="34">
        <v>-4.5</v>
      </c>
      <c r="ILE3425" s="34">
        <v>-4</v>
      </c>
      <c r="ILF3425" s="34">
        <v>-3.5</v>
      </c>
      <c r="ILG3425" s="34">
        <v>-3</v>
      </c>
      <c r="ILH3425" s="34">
        <v>-2.5</v>
      </c>
      <c r="ILI3425" s="34">
        <v>-2</v>
      </c>
      <c r="ILJ3425" s="34">
        <v>-1.5</v>
      </c>
      <c r="ILK3425" s="34">
        <v>-1</v>
      </c>
      <c r="ILL3425" s="34">
        <v>-0.5</v>
      </c>
      <c r="ILM3425" s="34">
        <v>0</v>
      </c>
      <c r="ILN3425" s="34">
        <v>0.5</v>
      </c>
      <c r="ILO3425" s="34">
        <v>1</v>
      </c>
      <c r="ILP3425" s="34">
        <v>1.5</v>
      </c>
      <c r="ILQ3425" s="34">
        <v>2</v>
      </c>
      <c r="ILR3425" s="34">
        <v>2.5</v>
      </c>
      <c r="ILS3425" s="34">
        <v>3</v>
      </c>
      <c r="ILT3425" s="34">
        <v>3.5</v>
      </c>
      <c r="ILU3425" s="34">
        <v>4</v>
      </c>
      <c r="ILV3425" s="34">
        <v>4.5</v>
      </c>
      <c r="ILW3425" s="34">
        <v>5</v>
      </c>
      <c r="ILY3425" s="913"/>
      <c r="ILZ3425" s="31">
        <v>1</v>
      </c>
      <c r="IMA3425" s="34">
        <v>0</v>
      </c>
      <c r="IMB3425" s="34">
        <v>-1</v>
      </c>
      <c r="IMC3425" s="34">
        <v>-2</v>
      </c>
      <c r="IMD3425" s="34">
        <v>-3</v>
      </c>
      <c r="IME3425" s="34">
        <v>-4</v>
      </c>
      <c r="IMF3425" s="34">
        <v>-5</v>
      </c>
      <c r="IMG3425" s="908"/>
      <c r="IMH3425" s="909"/>
      <c r="IMI3425" s="34">
        <v>-5</v>
      </c>
      <c r="IMJ3425" s="34">
        <v>-4.5</v>
      </c>
      <c r="IMK3425" s="34">
        <v>-4</v>
      </c>
      <c r="IML3425" s="34">
        <v>-3.5</v>
      </c>
      <c r="IMM3425" s="34">
        <v>-3</v>
      </c>
      <c r="IMN3425" s="34">
        <v>-2.5</v>
      </c>
      <c r="IMO3425" s="34">
        <v>-2</v>
      </c>
      <c r="IMP3425" s="34">
        <v>-1.5</v>
      </c>
      <c r="IMQ3425" s="34">
        <v>-1</v>
      </c>
      <c r="IMR3425" s="34">
        <v>-0.5</v>
      </c>
      <c r="IMS3425" s="34">
        <v>0</v>
      </c>
      <c r="IMT3425" s="34">
        <v>0.5</v>
      </c>
      <c r="IMU3425" s="34">
        <v>1</v>
      </c>
      <c r="IMV3425" s="34">
        <v>1.5</v>
      </c>
      <c r="IMW3425" s="34">
        <v>2</v>
      </c>
      <c r="IMX3425" s="34">
        <v>2.5</v>
      </c>
      <c r="IMY3425" s="34">
        <v>3</v>
      </c>
      <c r="IMZ3425" s="34">
        <v>3.5</v>
      </c>
      <c r="INA3425" s="34">
        <v>4</v>
      </c>
      <c r="INB3425" s="34">
        <v>4.5</v>
      </c>
      <c r="INC3425" s="34">
        <v>5</v>
      </c>
      <c r="INE3425" s="913"/>
      <c r="INF3425" s="31">
        <v>1</v>
      </c>
      <c r="ING3425" s="34">
        <v>0</v>
      </c>
      <c r="INH3425" s="34">
        <v>-1</v>
      </c>
      <c r="INI3425" s="34">
        <v>-2</v>
      </c>
      <c r="INJ3425" s="34">
        <v>-3</v>
      </c>
      <c r="INK3425" s="34">
        <v>-4</v>
      </c>
      <c r="INL3425" s="34">
        <v>-5</v>
      </c>
      <c r="INM3425" s="908"/>
      <c r="INN3425" s="909"/>
      <c r="INO3425" s="34">
        <v>-5</v>
      </c>
      <c r="INP3425" s="34">
        <v>-4.5</v>
      </c>
      <c r="INQ3425" s="34">
        <v>-4</v>
      </c>
      <c r="INR3425" s="34">
        <v>-3.5</v>
      </c>
      <c r="INS3425" s="34">
        <v>-3</v>
      </c>
      <c r="INT3425" s="34">
        <v>-2.5</v>
      </c>
      <c r="INU3425" s="34">
        <v>-2</v>
      </c>
      <c r="INV3425" s="34">
        <v>-1.5</v>
      </c>
      <c r="INW3425" s="34">
        <v>-1</v>
      </c>
      <c r="INX3425" s="34">
        <v>-0.5</v>
      </c>
      <c r="INY3425" s="34">
        <v>0</v>
      </c>
      <c r="INZ3425" s="34">
        <v>0.5</v>
      </c>
      <c r="IOA3425" s="34">
        <v>1</v>
      </c>
      <c r="IOB3425" s="34">
        <v>1.5</v>
      </c>
      <c r="IOC3425" s="34">
        <v>2</v>
      </c>
      <c r="IOD3425" s="34">
        <v>2.5</v>
      </c>
      <c r="IOE3425" s="34">
        <v>3</v>
      </c>
      <c r="IOF3425" s="34">
        <v>3.5</v>
      </c>
      <c r="IOG3425" s="34">
        <v>4</v>
      </c>
      <c r="IOH3425" s="34">
        <v>4.5</v>
      </c>
      <c r="IOI3425" s="34">
        <v>5</v>
      </c>
      <c r="IOK3425" s="913"/>
      <c r="IOL3425" s="31">
        <v>1</v>
      </c>
      <c r="IOM3425" s="34">
        <v>0</v>
      </c>
      <c r="ION3425" s="34">
        <v>-1</v>
      </c>
      <c r="IOO3425" s="34">
        <v>-2</v>
      </c>
      <c r="IOP3425" s="34">
        <v>-3</v>
      </c>
      <c r="IOQ3425" s="34">
        <v>-4</v>
      </c>
      <c r="IOR3425" s="34">
        <v>-5</v>
      </c>
      <c r="IOS3425" s="908"/>
      <c r="IOT3425" s="909"/>
      <c r="IOU3425" s="34">
        <v>-5</v>
      </c>
      <c r="IOV3425" s="34">
        <v>-4.5</v>
      </c>
      <c r="IOW3425" s="34">
        <v>-4</v>
      </c>
      <c r="IOX3425" s="34">
        <v>-3.5</v>
      </c>
      <c r="IOY3425" s="34">
        <v>-3</v>
      </c>
      <c r="IOZ3425" s="34">
        <v>-2.5</v>
      </c>
      <c r="IPA3425" s="34">
        <v>-2</v>
      </c>
      <c r="IPB3425" s="34">
        <v>-1.5</v>
      </c>
      <c r="IPC3425" s="34">
        <v>-1</v>
      </c>
      <c r="IPD3425" s="34">
        <v>-0.5</v>
      </c>
      <c r="IPE3425" s="34">
        <v>0</v>
      </c>
      <c r="IPF3425" s="34">
        <v>0.5</v>
      </c>
      <c r="IPG3425" s="34">
        <v>1</v>
      </c>
      <c r="IPH3425" s="34">
        <v>1.5</v>
      </c>
      <c r="IPI3425" s="34">
        <v>2</v>
      </c>
      <c r="IPJ3425" s="34">
        <v>2.5</v>
      </c>
      <c r="IPK3425" s="34">
        <v>3</v>
      </c>
      <c r="IPL3425" s="34">
        <v>3.5</v>
      </c>
      <c r="IPM3425" s="34">
        <v>4</v>
      </c>
      <c r="IPN3425" s="34">
        <v>4.5</v>
      </c>
      <c r="IPO3425" s="34">
        <v>5</v>
      </c>
      <c r="IPQ3425" s="913"/>
      <c r="IPR3425" s="31">
        <v>1</v>
      </c>
      <c r="IPS3425" s="34">
        <v>0</v>
      </c>
      <c r="IPT3425" s="34">
        <v>-1</v>
      </c>
      <c r="IPU3425" s="34">
        <v>-2</v>
      </c>
      <c r="IPV3425" s="34">
        <v>-3</v>
      </c>
      <c r="IPW3425" s="34">
        <v>-4</v>
      </c>
      <c r="IPX3425" s="34">
        <v>-5</v>
      </c>
      <c r="IPY3425" s="908"/>
      <c r="IPZ3425" s="909"/>
      <c r="IQA3425" s="34">
        <v>-5</v>
      </c>
      <c r="IQB3425" s="34">
        <v>-4.5</v>
      </c>
      <c r="IQC3425" s="34">
        <v>-4</v>
      </c>
      <c r="IQD3425" s="34">
        <v>-3.5</v>
      </c>
      <c r="IQE3425" s="34">
        <v>-3</v>
      </c>
      <c r="IQF3425" s="34">
        <v>-2.5</v>
      </c>
      <c r="IQG3425" s="34">
        <v>-2</v>
      </c>
      <c r="IQH3425" s="34">
        <v>-1.5</v>
      </c>
      <c r="IQI3425" s="34">
        <v>-1</v>
      </c>
      <c r="IQJ3425" s="34">
        <v>-0.5</v>
      </c>
      <c r="IQK3425" s="34">
        <v>0</v>
      </c>
      <c r="IQL3425" s="34">
        <v>0.5</v>
      </c>
      <c r="IQM3425" s="34">
        <v>1</v>
      </c>
      <c r="IQN3425" s="34">
        <v>1.5</v>
      </c>
      <c r="IQO3425" s="34">
        <v>2</v>
      </c>
      <c r="IQP3425" s="34">
        <v>2.5</v>
      </c>
      <c r="IQQ3425" s="34">
        <v>3</v>
      </c>
      <c r="IQR3425" s="34">
        <v>3.5</v>
      </c>
      <c r="IQS3425" s="34">
        <v>4</v>
      </c>
      <c r="IQT3425" s="34">
        <v>4.5</v>
      </c>
      <c r="IQU3425" s="34">
        <v>5</v>
      </c>
      <c r="IQW3425" s="913"/>
      <c r="IQX3425" s="31">
        <v>1</v>
      </c>
      <c r="IQY3425" s="34">
        <v>0</v>
      </c>
      <c r="IQZ3425" s="34">
        <v>-1</v>
      </c>
      <c r="IRA3425" s="34">
        <v>-2</v>
      </c>
      <c r="IRB3425" s="34">
        <v>-3</v>
      </c>
      <c r="IRC3425" s="34">
        <v>-4</v>
      </c>
      <c r="IRD3425" s="34">
        <v>-5</v>
      </c>
      <c r="IRE3425" s="908"/>
      <c r="IRF3425" s="909"/>
      <c r="IRG3425" s="34">
        <v>-5</v>
      </c>
      <c r="IRH3425" s="34">
        <v>-4.5</v>
      </c>
      <c r="IRI3425" s="34">
        <v>-4</v>
      </c>
      <c r="IRJ3425" s="34">
        <v>-3.5</v>
      </c>
      <c r="IRK3425" s="34">
        <v>-3</v>
      </c>
      <c r="IRL3425" s="34">
        <v>-2.5</v>
      </c>
      <c r="IRM3425" s="34">
        <v>-2</v>
      </c>
      <c r="IRN3425" s="34">
        <v>-1.5</v>
      </c>
      <c r="IRO3425" s="34">
        <v>-1</v>
      </c>
      <c r="IRP3425" s="34">
        <v>-0.5</v>
      </c>
      <c r="IRQ3425" s="34">
        <v>0</v>
      </c>
      <c r="IRR3425" s="34">
        <v>0.5</v>
      </c>
      <c r="IRS3425" s="34">
        <v>1</v>
      </c>
      <c r="IRT3425" s="34">
        <v>1.5</v>
      </c>
      <c r="IRU3425" s="34">
        <v>2</v>
      </c>
      <c r="IRV3425" s="34">
        <v>2.5</v>
      </c>
      <c r="IRW3425" s="34">
        <v>3</v>
      </c>
      <c r="IRX3425" s="34">
        <v>3.5</v>
      </c>
      <c r="IRY3425" s="34">
        <v>4</v>
      </c>
      <c r="IRZ3425" s="34">
        <v>4.5</v>
      </c>
      <c r="ISA3425" s="34">
        <v>5</v>
      </c>
      <c r="ISC3425" s="913"/>
      <c r="ISD3425" s="31">
        <v>1</v>
      </c>
      <c r="ISE3425" s="34">
        <v>0</v>
      </c>
      <c r="ISF3425" s="34">
        <v>-1</v>
      </c>
      <c r="ISG3425" s="34">
        <v>-2</v>
      </c>
      <c r="ISH3425" s="34">
        <v>-3</v>
      </c>
      <c r="ISI3425" s="34">
        <v>-4</v>
      </c>
      <c r="ISJ3425" s="34">
        <v>-5</v>
      </c>
      <c r="ISK3425" s="908"/>
      <c r="ISL3425" s="909"/>
      <c r="ISM3425" s="34">
        <v>-5</v>
      </c>
      <c r="ISN3425" s="34">
        <v>-4.5</v>
      </c>
      <c r="ISO3425" s="34">
        <v>-4</v>
      </c>
      <c r="ISP3425" s="34">
        <v>-3.5</v>
      </c>
      <c r="ISQ3425" s="34">
        <v>-3</v>
      </c>
      <c r="ISR3425" s="34">
        <v>-2.5</v>
      </c>
      <c r="ISS3425" s="34">
        <v>-2</v>
      </c>
      <c r="IST3425" s="34">
        <v>-1.5</v>
      </c>
      <c r="ISU3425" s="34">
        <v>-1</v>
      </c>
      <c r="ISV3425" s="34">
        <v>-0.5</v>
      </c>
      <c r="ISW3425" s="34">
        <v>0</v>
      </c>
      <c r="ISX3425" s="34">
        <v>0.5</v>
      </c>
      <c r="ISY3425" s="34">
        <v>1</v>
      </c>
      <c r="ISZ3425" s="34">
        <v>1.5</v>
      </c>
      <c r="ITA3425" s="34">
        <v>2</v>
      </c>
      <c r="ITB3425" s="34">
        <v>2.5</v>
      </c>
      <c r="ITC3425" s="34">
        <v>3</v>
      </c>
      <c r="ITD3425" s="34">
        <v>3.5</v>
      </c>
      <c r="ITE3425" s="34">
        <v>4</v>
      </c>
      <c r="ITF3425" s="34">
        <v>4.5</v>
      </c>
      <c r="ITG3425" s="34">
        <v>5</v>
      </c>
      <c r="ITI3425" s="913"/>
      <c r="ITJ3425" s="31">
        <v>1</v>
      </c>
      <c r="ITK3425" s="34">
        <v>0</v>
      </c>
      <c r="ITL3425" s="34">
        <v>-1</v>
      </c>
      <c r="ITM3425" s="34">
        <v>-2</v>
      </c>
      <c r="ITN3425" s="34">
        <v>-3</v>
      </c>
      <c r="ITO3425" s="34">
        <v>-4</v>
      </c>
      <c r="ITP3425" s="34">
        <v>-5</v>
      </c>
      <c r="ITQ3425" s="908"/>
      <c r="ITR3425" s="909"/>
      <c r="ITS3425" s="34">
        <v>-5</v>
      </c>
      <c r="ITT3425" s="34">
        <v>-4.5</v>
      </c>
      <c r="ITU3425" s="34">
        <v>-4</v>
      </c>
      <c r="ITV3425" s="34">
        <v>-3.5</v>
      </c>
      <c r="ITW3425" s="34">
        <v>-3</v>
      </c>
      <c r="ITX3425" s="34">
        <v>-2.5</v>
      </c>
      <c r="ITY3425" s="34">
        <v>-2</v>
      </c>
      <c r="ITZ3425" s="34">
        <v>-1.5</v>
      </c>
      <c r="IUA3425" s="34">
        <v>-1</v>
      </c>
      <c r="IUB3425" s="34">
        <v>-0.5</v>
      </c>
      <c r="IUC3425" s="34">
        <v>0</v>
      </c>
      <c r="IUD3425" s="34">
        <v>0.5</v>
      </c>
      <c r="IUE3425" s="34">
        <v>1</v>
      </c>
      <c r="IUF3425" s="34">
        <v>1.5</v>
      </c>
      <c r="IUG3425" s="34">
        <v>2</v>
      </c>
      <c r="IUH3425" s="34">
        <v>2.5</v>
      </c>
      <c r="IUI3425" s="34">
        <v>3</v>
      </c>
      <c r="IUJ3425" s="34">
        <v>3.5</v>
      </c>
      <c r="IUK3425" s="34">
        <v>4</v>
      </c>
      <c r="IUL3425" s="34">
        <v>4.5</v>
      </c>
      <c r="IUM3425" s="34">
        <v>5</v>
      </c>
      <c r="IUO3425" s="913"/>
      <c r="IUP3425" s="31">
        <v>1</v>
      </c>
      <c r="IUQ3425" s="34">
        <v>0</v>
      </c>
      <c r="IUR3425" s="34">
        <v>-1</v>
      </c>
      <c r="IUS3425" s="34">
        <v>-2</v>
      </c>
      <c r="IUT3425" s="34">
        <v>-3</v>
      </c>
      <c r="IUU3425" s="34">
        <v>-4</v>
      </c>
      <c r="IUV3425" s="34">
        <v>-5</v>
      </c>
      <c r="IUW3425" s="908"/>
      <c r="IUX3425" s="909"/>
      <c r="IUY3425" s="34">
        <v>-5</v>
      </c>
      <c r="IUZ3425" s="34">
        <v>-4.5</v>
      </c>
      <c r="IVA3425" s="34">
        <v>-4</v>
      </c>
      <c r="IVB3425" s="34">
        <v>-3.5</v>
      </c>
      <c r="IVC3425" s="34">
        <v>-3</v>
      </c>
      <c r="IVD3425" s="34">
        <v>-2.5</v>
      </c>
      <c r="IVE3425" s="34">
        <v>-2</v>
      </c>
      <c r="IVF3425" s="34">
        <v>-1.5</v>
      </c>
      <c r="IVG3425" s="34">
        <v>-1</v>
      </c>
      <c r="IVH3425" s="34">
        <v>-0.5</v>
      </c>
      <c r="IVI3425" s="34">
        <v>0</v>
      </c>
      <c r="IVJ3425" s="34">
        <v>0.5</v>
      </c>
      <c r="IVK3425" s="34">
        <v>1</v>
      </c>
      <c r="IVL3425" s="34">
        <v>1.5</v>
      </c>
      <c r="IVM3425" s="34">
        <v>2</v>
      </c>
      <c r="IVN3425" s="34">
        <v>2.5</v>
      </c>
      <c r="IVO3425" s="34">
        <v>3</v>
      </c>
      <c r="IVP3425" s="34">
        <v>3.5</v>
      </c>
      <c r="IVQ3425" s="34">
        <v>4</v>
      </c>
      <c r="IVR3425" s="34">
        <v>4.5</v>
      </c>
      <c r="IVS3425" s="34">
        <v>5</v>
      </c>
      <c r="IVU3425" s="913"/>
      <c r="IVV3425" s="31">
        <v>1</v>
      </c>
      <c r="IVW3425" s="34">
        <v>0</v>
      </c>
      <c r="IVX3425" s="34">
        <v>-1</v>
      </c>
      <c r="IVY3425" s="34">
        <v>-2</v>
      </c>
      <c r="IVZ3425" s="34">
        <v>-3</v>
      </c>
      <c r="IWA3425" s="34">
        <v>-4</v>
      </c>
      <c r="IWB3425" s="34">
        <v>-5</v>
      </c>
      <c r="IWC3425" s="908"/>
      <c r="IWD3425" s="909"/>
      <c r="IWE3425" s="34">
        <v>-5</v>
      </c>
      <c r="IWF3425" s="34">
        <v>-4.5</v>
      </c>
      <c r="IWG3425" s="34">
        <v>-4</v>
      </c>
      <c r="IWH3425" s="34">
        <v>-3.5</v>
      </c>
      <c r="IWI3425" s="34">
        <v>-3</v>
      </c>
      <c r="IWJ3425" s="34">
        <v>-2.5</v>
      </c>
      <c r="IWK3425" s="34">
        <v>-2</v>
      </c>
      <c r="IWL3425" s="34">
        <v>-1.5</v>
      </c>
      <c r="IWM3425" s="34">
        <v>-1</v>
      </c>
      <c r="IWN3425" s="34">
        <v>-0.5</v>
      </c>
      <c r="IWO3425" s="34">
        <v>0</v>
      </c>
      <c r="IWP3425" s="34">
        <v>0.5</v>
      </c>
      <c r="IWQ3425" s="34">
        <v>1</v>
      </c>
      <c r="IWR3425" s="34">
        <v>1.5</v>
      </c>
      <c r="IWS3425" s="34">
        <v>2</v>
      </c>
      <c r="IWT3425" s="34">
        <v>2.5</v>
      </c>
      <c r="IWU3425" s="34">
        <v>3</v>
      </c>
      <c r="IWV3425" s="34">
        <v>3.5</v>
      </c>
      <c r="IWW3425" s="34">
        <v>4</v>
      </c>
      <c r="IWX3425" s="34">
        <v>4.5</v>
      </c>
      <c r="IWY3425" s="34">
        <v>5</v>
      </c>
      <c r="IXA3425" s="913"/>
      <c r="IXB3425" s="31">
        <v>1</v>
      </c>
      <c r="IXC3425" s="34">
        <v>0</v>
      </c>
      <c r="IXD3425" s="34">
        <v>-1</v>
      </c>
      <c r="IXE3425" s="34">
        <v>-2</v>
      </c>
      <c r="IXF3425" s="34">
        <v>-3</v>
      </c>
      <c r="IXG3425" s="34">
        <v>-4</v>
      </c>
      <c r="IXH3425" s="34">
        <v>-5</v>
      </c>
      <c r="IXI3425" s="908"/>
      <c r="IXJ3425" s="909"/>
      <c r="IXK3425" s="34">
        <v>-5</v>
      </c>
      <c r="IXL3425" s="34">
        <v>-4.5</v>
      </c>
      <c r="IXM3425" s="34">
        <v>-4</v>
      </c>
      <c r="IXN3425" s="34">
        <v>-3.5</v>
      </c>
      <c r="IXO3425" s="34">
        <v>-3</v>
      </c>
      <c r="IXP3425" s="34">
        <v>-2.5</v>
      </c>
      <c r="IXQ3425" s="34">
        <v>-2</v>
      </c>
      <c r="IXR3425" s="34">
        <v>-1.5</v>
      </c>
      <c r="IXS3425" s="34">
        <v>-1</v>
      </c>
      <c r="IXT3425" s="34">
        <v>-0.5</v>
      </c>
      <c r="IXU3425" s="34">
        <v>0</v>
      </c>
      <c r="IXV3425" s="34">
        <v>0.5</v>
      </c>
      <c r="IXW3425" s="34">
        <v>1</v>
      </c>
      <c r="IXX3425" s="34">
        <v>1.5</v>
      </c>
      <c r="IXY3425" s="34">
        <v>2</v>
      </c>
      <c r="IXZ3425" s="34">
        <v>2.5</v>
      </c>
      <c r="IYA3425" s="34">
        <v>3</v>
      </c>
      <c r="IYB3425" s="34">
        <v>3.5</v>
      </c>
      <c r="IYC3425" s="34">
        <v>4</v>
      </c>
      <c r="IYD3425" s="34">
        <v>4.5</v>
      </c>
      <c r="IYE3425" s="34">
        <v>5</v>
      </c>
      <c r="IYG3425" s="913"/>
      <c r="IYH3425" s="31">
        <v>1</v>
      </c>
      <c r="IYI3425" s="34">
        <v>0</v>
      </c>
      <c r="IYJ3425" s="34">
        <v>-1</v>
      </c>
      <c r="IYK3425" s="34">
        <v>-2</v>
      </c>
      <c r="IYL3425" s="34">
        <v>-3</v>
      </c>
      <c r="IYM3425" s="34">
        <v>-4</v>
      </c>
      <c r="IYN3425" s="34">
        <v>-5</v>
      </c>
      <c r="IYO3425" s="908"/>
      <c r="IYP3425" s="909"/>
      <c r="IYQ3425" s="34">
        <v>-5</v>
      </c>
      <c r="IYR3425" s="34">
        <v>-4.5</v>
      </c>
      <c r="IYS3425" s="34">
        <v>-4</v>
      </c>
      <c r="IYT3425" s="34">
        <v>-3.5</v>
      </c>
      <c r="IYU3425" s="34">
        <v>-3</v>
      </c>
      <c r="IYV3425" s="34">
        <v>-2.5</v>
      </c>
      <c r="IYW3425" s="34">
        <v>-2</v>
      </c>
      <c r="IYX3425" s="34">
        <v>-1.5</v>
      </c>
      <c r="IYY3425" s="34">
        <v>-1</v>
      </c>
      <c r="IYZ3425" s="34">
        <v>-0.5</v>
      </c>
      <c r="IZA3425" s="34">
        <v>0</v>
      </c>
      <c r="IZB3425" s="34">
        <v>0.5</v>
      </c>
      <c r="IZC3425" s="34">
        <v>1</v>
      </c>
      <c r="IZD3425" s="34">
        <v>1.5</v>
      </c>
      <c r="IZE3425" s="34">
        <v>2</v>
      </c>
      <c r="IZF3425" s="34">
        <v>2.5</v>
      </c>
      <c r="IZG3425" s="34">
        <v>3</v>
      </c>
      <c r="IZH3425" s="34">
        <v>3.5</v>
      </c>
      <c r="IZI3425" s="34">
        <v>4</v>
      </c>
      <c r="IZJ3425" s="34">
        <v>4.5</v>
      </c>
      <c r="IZK3425" s="34">
        <v>5</v>
      </c>
      <c r="IZM3425" s="913"/>
      <c r="IZN3425" s="31">
        <v>1</v>
      </c>
      <c r="IZO3425" s="34">
        <v>0</v>
      </c>
      <c r="IZP3425" s="34">
        <v>-1</v>
      </c>
      <c r="IZQ3425" s="34">
        <v>-2</v>
      </c>
      <c r="IZR3425" s="34">
        <v>-3</v>
      </c>
      <c r="IZS3425" s="34">
        <v>-4</v>
      </c>
      <c r="IZT3425" s="34">
        <v>-5</v>
      </c>
      <c r="IZU3425" s="908"/>
      <c r="IZV3425" s="909"/>
      <c r="IZW3425" s="34">
        <v>-5</v>
      </c>
      <c r="IZX3425" s="34">
        <v>-4.5</v>
      </c>
      <c r="IZY3425" s="34">
        <v>-4</v>
      </c>
      <c r="IZZ3425" s="34">
        <v>-3.5</v>
      </c>
      <c r="JAA3425" s="34">
        <v>-3</v>
      </c>
      <c r="JAB3425" s="34">
        <v>-2.5</v>
      </c>
      <c r="JAC3425" s="34">
        <v>-2</v>
      </c>
      <c r="JAD3425" s="34">
        <v>-1.5</v>
      </c>
      <c r="JAE3425" s="34">
        <v>-1</v>
      </c>
      <c r="JAF3425" s="34">
        <v>-0.5</v>
      </c>
      <c r="JAG3425" s="34">
        <v>0</v>
      </c>
      <c r="JAH3425" s="34">
        <v>0.5</v>
      </c>
      <c r="JAI3425" s="34">
        <v>1</v>
      </c>
      <c r="JAJ3425" s="34">
        <v>1.5</v>
      </c>
      <c r="JAK3425" s="34">
        <v>2</v>
      </c>
      <c r="JAL3425" s="34">
        <v>2.5</v>
      </c>
      <c r="JAM3425" s="34">
        <v>3</v>
      </c>
      <c r="JAN3425" s="34">
        <v>3.5</v>
      </c>
      <c r="JAO3425" s="34">
        <v>4</v>
      </c>
      <c r="JAP3425" s="34">
        <v>4.5</v>
      </c>
      <c r="JAQ3425" s="34">
        <v>5</v>
      </c>
      <c r="JAS3425" s="913"/>
      <c r="JAT3425" s="31">
        <v>1</v>
      </c>
      <c r="JAU3425" s="34">
        <v>0</v>
      </c>
      <c r="JAV3425" s="34">
        <v>-1</v>
      </c>
      <c r="JAW3425" s="34">
        <v>-2</v>
      </c>
      <c r="JAX3425" s="34">
        <v>-3</v>
      </c>
      <c r="JAY3425" s="34">
        <v>-4</v>
      </c>
      <c r="JAZ3425" s="34">
        <v>-5</v>
      </c>
      <c r="JBA3425" s="908"/>
      <c r="JBB3425" s="909"/>
      <c r="JBC3425" s="34">
        <v>-5</v>
      </c>
      <c r="JBD3425" s="34">
        <v>-4.5</v>
      </c>
      <c r="JBE3425" s="34">
        <v>-4</v>
      </c>
      <c r="JBF3425" s="34">
        <v>-3.5</v>
      </c>
      <c r="JBG3425" s="34">
        <v>-3</v>
      </c>
      <c r="JBH3425" s="34">
        <v>-2.5</v>
      </c>
      <c r="JBI3425" s="34">
        <v>-2</v>
      </c>
      <c r="JBJ3425" s="34">
        <v>-1.5</v>
      </c>
      <c r="JBK3425" s="34">
        <v>-1</v>
      </c>
      <c r="JBL3425" s="34">
        <v>-0.5</v>
      </c>
      <c r="JBM3425" s="34">
        <v>0</v>
      </c>
      <c r="JBN3425" s="34">
        <v>0.5</v>
      </c>
      <c r="JBO3425" s="34">
        <v>1</v>
      </c>
      <c r="JBP3425" s="34">
        <v>1.5</v>
      </c>
      <c r="JBQ3425" s="34">
        <v>2</v>
      </c>
      <c r="JBR3425" s="34">
        <v>2.5</v>
      </c>
      <c r="JBS3425" s="34">
        <v>3</v>
      </c>
      <c r="JBT3425" s="34">
        <v>3.5</v>
      </c>
      <c r="JBU3425" s="34">
        <v>4</v>
      </c>
      <c r="JBV3425" s="34">
        <v>4.5</v>
      </c>
      <c r="JBW3425" s="34">
        <v>5</v>
      </c>
      <c r="JBY3425" s="913"/>
      <c r="JBZ3425" s="31">
        <v>1</v>
      </c>
      <c r="JCA3425" s="34">
        <v>0</v>
      </c>
      <c r="JCB3425" s="34">
        <v>-1</v>
      </c>
      <c r="JCC3425" s="34">
        <v>-2</v>
      </c>
      <c r="JCD3425" s="34">
        <v>-3</v>
      </c>
      <c r="JCE3425" s="34">
        <v>-4</v>
      </c>
      <c r="JCF3425" s="34">
        <v>-5</v>
      </c>
      <c r="JCG3425" s="908"/>
      <c r="JCH3425" s="909"/>
      <c r="JCI3425" s="34">
        <v>-5</v>
      </c>
      <c r="JCJ3425" s="34">
        <v>-4.5</v>
      </c>
      <c r="JCK3425" s="34">
        <v>-4</v>
      </c>
      <c r="JCL3425" s="34">
        <v>-3.5</v>
      </c>
      <c r="JCM3425" s="34">
        <v>-3</v>
      </c>
      <c r="JCN3425" s="34">
        <v>-2.5</v>
      </c>
      <c r="JCO3425" s="34">
        <v>-2</v>
      </c>
      <c r="JCP3425" s="34">
        <v>-1.5</v>
      </c>
      <c r="JCQ3425" s="34">
        <v>-1</v>
      </c>
      <c r="JCR3425" s="34">
        <v>-0.5</v>
      </c>
      <c r="JCS3425" s="34">
        <v>0</v>
      </c>
      <c r="JCT3425" s="34">
        <v>0.5</v>
      </c>
      <c r="JCU3425" s="34">
        <v>1</v>
      </c>
      <c r="JCV3425" s="34">
        <v>1.5</v>
      </c>
      <c r="JCW3425" s="34">
        <v>2</v>
      </c>
      <c r="JCX3425" s="34">
        <v>2.5</v>
      </c>
      <c r="JCY3425" s="34">
        <v>3</v>
      </c>
      <c r="JCZ3425" s="34">
        <v>3.5</v>
      </c>
      <c r="JDA3425" s="34">
        <v>4</v>
      </c>
      <c r="JDB3425" s="34">
        <v>4.5</v>
      </c>
      <c r="JDC3425" s="34">
        <v>5</v>
      </c>
      <c r="JDE3425" s="913"/>
      <c r="JDF3425" s="31">
        <v>1</v>
      </c>
      <c r="JDG3425" s="34">
        <v>0</v>
      </c>
      <c r="JDH3425" s="34">
        <v>-1</v>
      </c>
      <c r="JDI3425" s="34">
        <v>-2</v>
      </c>
      <c r="JDJ3425" s="34">
        <v>-3</v>
      </c>
      <c r="JDK3425" s="34">
        <v>-4</v>
      </c>
      <c r="JDL3425" s="34">
        <v>-5</v>
      </c>
      <c r="JDM3425" s="908"/>
      <c r="JDN3425" s="909"/>
      <c r="JDO3425" s="34">
        <v>-5</v>
      </c>
      <c r="JDP3425" s="34">
        <v>-4.5</v>
      </c>
      <c r="JDQ3425" s="34">
        <v>-4</v>
      </c>
      <c r="JDR3425" s="34">
        <v>-3.5</v>
      </c>
      <c r="JDS3425" s="34">
        <v>-3</v>
      </c>
      <c r="JDT3425" s="34">
        <v>-2.5</v>
      </c>
      <c r="JDU3425" s="34">
        <v>-2</v>
      </c>
      <c r="JDV3425" s="34">
        <v>-1.5</v>
      </c>
      <c r="JDW3425" s="34">
        <v>-1</v>
      </c>
      <c r="JDX3425" s="34">
        <v>-0.5</v>
      </c>
      <c r="JDY3425" s="34">
        <v>0</v>
      </c>
      <c r="JDZ3425" s="34">
        <v>0.5</v>
      </c>
      <c r="JEA3425" s="34">
        <v>1</v>
      </c>
      <c r="JEB3425" s="34">
        <v>1.5</v>
      </c>
      <c r="JEC3425" s="34">
        <v>2</v>
      </c>
      <c r="JED3425" s="34">
        <v>2.5</v>
      </c>
      <c r="JEE3425" s="34">
        <v>3</v>
      </c>
      <c r="JEF3425" s="34">
        <v>3.5</v>
      </c>
      <c r="JEG3425" s="34">
        <v>4</v>
      </c>
      <c r="JEH3425" s="34">
        <v>4.5</v>
      </c>
      <c r="JEI3425" s="34">
        <v>5</v>
      </c>
      <c r="JEK3425" s="913"/>
      <c r="JEL3425" s="31">
        <v>1</v>
      </c>
      <c r="JEM3425" s="34">
        <v>0</v>
      </c>
      <c r="JEN3425" s="34">
        <v>-1</v>
      </c>
      <c r="JEO3425" s="34">
        <v>-2</v>
      </c>
      <c r="JEP3425" s="34">
        <v>-3</v>
      </c>
      <c r="JEQ3425" s="34">
        <v>-4</v>
      </c>
      <c r="JER3425" s="34">
        <v>-5</v>
      </c>
      <c r="JES3425" s="908"/>
      <c r="JET3425" s="909"/>
      <c r="JEU3425" s="34">
        <v>-5</v>
      </c>
      <c r="JEV3425" s="34">
        <v>-4.5</v>
      </c>
      <c r="JEW3425" s="34">
        <v>-4</v>
      </c>
      <c r="JEX3425" s="34">
        <v>-3.5</v>
      </c>
      <c r="JEY3425" s="34">
        <v>-3</v>
      </c>
      <c r="JEZ3425" s="34">
        <v>-2.5</v>
      </c>
      <c r="JFA3425" s="34">
        <v>-2</v>
      </c>
      <c r="JFB3425" s="34">
        <v>-1.5</v>
      </c>
      <c r="JFC3425" s="34">
        <v>-1</v>
      </c>
      <c r="JFD3425" s="34">
        <v>-0.5</v>
      </c>
      <c r="JFE3425" s="34">
        <v>0</v>
      </c>
      <c r="JFF3425" s="34">
        <v>0.5</v>
      </c>
      <c r="JFG3425" s="34">
        <v>1</v>
      </c>
      <c r="JFH3425" s="34">
        <v>1.5</v>
      </c>
      <c r="JFI3425" s="34">
        <v>2</v>
      </c>
      <c r="JFJ3425" s="34">
        <v>2.5</v>
      </c>
      <c r="JFK3425" s="34">
        <v>3</v>
      </c>
      <c r="JFL3425" s="34">
        <v>3.5</v>
      </c>
      <c r="JFM3425" s="34">
        <v>4</v>
      </c>
      <c r="JFN3425" s="34">
        <v>4.5</v>
      </c>
      <c r="JFO3425" s="34">
        <v>5</v>
      </c>
      <c r="JFQ3425" s="913"/>
      <c r="JFR3425" s="31">
        <v>1</v>
      </c>
      <c r="JFS3425" s="34">
        <v>0</v>
      </c>
      <c r="JFT3425" s="34">
        <v>-1</v>
      </c>
      <c r="JFU3425" s="34">
        <v>-2</v>
      </c>
      <c r="JFV3425" s="34">
        <v>-3</v>
      </c>
      <c r="JFW3425" s="34">
        <v>-4</v>
      </c>
      <c r="JFX3425" s="34">
        <v>-5</v>
      </c>
      <c r="JFY3425" s="908"/>
      <c r="JFZ3425" s="909"/>
      <c r="JGA3425" s="34">
        <v>-5</v>
      </c>
      <c r="JGB3425" s="34">
        <v>-4.5</v>
      </c>
      <c r="JGC3425" s="34">
        <v>-4</v>
      </c>
      <c r="JGD3425" s="34">
        <v>-3.5</v>
      </c>
      <c r="JGE3425" s="34">
        <v>-3</v>
      </c>
      <c r="JGF3425" s="34">
        <v>-2.5</v>
      </c>
      <c r="JGG3425" s="34">
        <v>-2</v>
      </c>
      <c r="JGH3425" s="34">
        <v>-1.5</v>
      </c>
      <c r="JGI3425" s="34">
        <v>-1</v>
      </c>
      <c r="JGJ3425" s="34">
        <v>-0.5</v>
      </c>
      <c r="JGK3425" s="34">
        <v>0</v>
      </c>
      <c r="JGL3425" s="34">
        <v>0.5</v>
      </c>
      <c r="JGM3425" s="34">
        <v>1</v>
      </c>
      <c r="JGN3425" s="34">
        <v>1.5</v>
      </c>
      <c r="JGO3425" s="34">
        <v>2</v>
      </c>
      <c r="JGP3425" s="34">
        <v>2.5</v>
      </c>
      <c r="JGQ3425" s="34">
        <v>3</v>
      </c>
      <c r="JGR3425" s="34">
        <v>3.5</v>
      </c>
      <c r="JGS3425" s="34">
        <v>4</v>
      </c>
      <c r="JGT3425" s="34">
        <v>4.5</v>
      </c>
      <c r="JGU3425" s="34">
        <v>5</v>
      </c>
      <c r="JGW3425" s="913"/>
      <c r="JGX3425" s="31">
        <v>1</v>
      </c>
      <c r="JGY3425" s="34">
        <v>0</v>
      </c>
      <c r="JGZ3425" s="34">
        <v>-1</v>
      </c>
      <c r="JHA3425" s="34">
        <v>-2</v>
      </c>
      <c r="JHB3425" s="34">
        <v>-3</v>
      </c>
      <c r="JHC3425" s="34">
        <v>-4</v>
      </c>
      <c r="JHD3425" s="34">
        <v>-5</v>
      </c>
      <c r="JHE3425" s="908"/>
      <c r="JHF3425" s="909"/>
      <c r="JHG3425" s="34">
        <v>-5</v>
      </c>
      <c r="JHH3425" s="34">
        <v>-4.5</v>
      </c>
      <c r="JHI3425" s="34">
        <v>-4</v>
      </c>
      <c r="JHJ3425" s="34">
        <v>-3.5</v>
      </c>
      <c r="JHK3425" s="34">
        <v>-3</v>
      </c>
      <c r="JHL3425" s="34">
        <v>-2.5</v>
      </c>
      <c r="JHM3425" s="34">
        <v>-2</v>
      </c>
      <c r="JHN3425" s="34">
        <v>-1.5</v>
      </c>
      <c r="JHO3425" s="34">
        <v>-1</v>
      </c>
      <c r="JHP3425" s="34">
        <v>-0.5</v>
      </c>
      <c r="JHQ3425" s="34">
        <v>0</v>
      </c>
      <c r="JHR3425" s="34">
        <v>0.5</v>
      </c>
      <c r="JHS3425" s="34">
        <v>1</v>
      </c>
      <c r="JHT3425" s="34">
        <v>1.5</v>
      </c>
      <c r="JHU3425" s="34">
        <v>2</v>
      </c>
      <c r="JHV3425" s="34">
        <v>2.5</v>
      </c>
      <c r="JHW3425" s="34">
        <v>3</v>
      </c>
      <c r="JHX3425" s="34">
        <v>3.5</v>
      </c>
      <c r="JHY3425" s="34">
        <v>4</v>
      </c>
      <c r="JHZ3425" s="34">
        <v>4.5</v>
      </c>
      <c r="JIA3425" s="34">
        <v>5</v>
      </c>
      <c r="JIC3425" s="913"/>
      <c r="JID3425" s="31">
        <v>1</v>
      </c>
      <c r="JIE3425" s="34">
        <v>0</v>
      </c>
      <c r="JIF3425" s="34">
        <v>-1</v>
      </c>
      <c r="JIG3425" s="34">
        <v>-2</v>
      </c>
      <c r="JIH3425" s="34">
        <v>-3</v>
      </c>
      <c r="JII3425" s="34">
        <v>-4</v>
      </c>
      <c r="JIJ3425" s="34">
        <v>-5</v>
      </c>
      <c r="JIK3425" s="908"/>
      <c r="JIL3425" s="909"/>
      <c r="JIM3425" s="34">
        <v>-5</v>
      </c>
      <c r="JIN3425" s="34">
        <v>-4.5</v>
      </c>
      <c r="JIO3425" s="34">
        <v>-4</v>
      </c>
      <c r="JIP3425" s="34">
        <v>-3.5</v>
      </c>
      <c r="JIQ3425" s="34">
        <v>-3</v>
      </c>
      <c r="JIR3425" s="34">
        <v>-2.5</v>
      </c>
      <c r="JIS3425" s="34">
        <v>-2</v>
      </c>
      <c r="JIT3425" s="34">
        <v>-1.5</v>
      </c>
      <c r="JIU3425" s="34">
        <v>-1</v>
      </c>
      <c r="JIV3425" s="34">
        <v>-0.5</v>
      </c>
      <c r="JIW3425" s="34">
        <v>0</v>
      </c>
      <c r="JIX3425" s="34">
        <v>0.5</v>
      </c>
      <c r="JIY3425" s="34">
        <v>1</v>
      </c>
      <c r="JIZ3425" s="34">
        <v>1.5</v>
      </c>
      <c r="JJA3425" s="34">
        <v>2</v>
      </c>
      <c r="JJB3425" s="34">
        <v>2.5</v>
      </c>
      <c r="JJC3425" s="34">
        <v>3</v>
      </c>
      <c r="JJD3425" s="34">
        <v>3.5</v>
      </c>
      <c r="JJE3425" s="34">
        <v>4</v>
      </c>
      <c r="JJF3425" s="34">
        <v>4.5</v>
      </c>
      <c r="JJG3425" s="34">
        <v>5</v>
      </c>
      <c r="JJI3425" s="913"/>
      <c r="JJJ3425" s="31">
        <v>1</v>
      </c>
      <c r="JJK3425" s="34">
        <v>0</v>
      </c>
      <c r="JJL3425" s="34">
        <v>-1</v>
      </c>
      <c r="JJM3425" s="34">
        <v>-2</v>
      </c>
      <c r="JJN3425" s="34">
        <v>-3</v>
      </c>
      <c r="JJO3425" s="34">
        <v>-4</v>
      </c>
      <c r="JJP3425" s="34">
        <v>-5</v>
      </c>
      <c r="JJQ3425" s="908"/>
      <c r="JJR3425" s="909"/>
      <c r="JJS3425" s="34">
        <v>-5</v>
      </c>
      <c r="JJT3425" s="34">
        <v>-4.5</v>
      </c>
      <c r="JJU3425" s="34">
        <v>-4</v>
      </c>
      <c r="JJV3425" s="34">
        <v>-3.5</v>
      </c>
      <c r="JJW3425" s="34">
        <v>-3</v>
      </c>
      <c r="JJX3425" s="34">
        <v>-2.5</v>
      </c>
      <c r="JJY3425" s="34">
        <v>-2</v>
      </c>
      <c r="JJZ3425" s="34">
        <v>-1.5</v>
      </c>
      <c r="JKA3425" s="34">
        <v>-1</v>
      </c>
      <c r="JKB3425" s="34">
        <v>-0.5</v>
      </c>
      <c r="JKC3425" s="34">
        <v>0</v>
      </c>
      <c r="JKD3425" s="34">
        <v>0.5</v>
      </c>
      <c r="JKE3425" s="34">
        <v>1</v>
      </c>
      <c r="JKF3425" s="34">
        <v>1.5</v>
      </c>
      <c r="JKG3425" s="34">
        <v>2</v>
      </c>
      <c r="JKH3425" s="34">
        <v>2.5</v>
      </c>
      <c r="JKI3425" s="34">
        <v>3</v>
      </c>
      <c r="JKJ3425" s="34">
        <v>3.5</v>
      </c>
      <c r="JKK3425" s="34">
        <v>4</v>
      </c>
      <c r="JKL3425" s="34">
        <v>4.5</v>
      </c>
      <c r="JKM3425" s="34">
        <v>5</v>
      </c>
      <c r="JKO3425" s="913"/>
      <c r="JKP3425" s="31">
        <v>1</v>
      </c>
      <c r="JKQ3425" s="34">
        <v>0</v>
      </c>
      <c r="JKR3425" s="34">
        <v>-1</v>
      </c>
      <c r="JKS3425" s="34">
        <v>-2</v>
      </c>
      <c r="JKT3425" s="34">
        <v>-3</v>
      </c>
      <c r="JKU3425" s="34">
        <v>-4</v>
      </c>
      <c r="JKV3425" s="34">
        <v>-5</v>
      </c>
      <c r="JKW3425" s="908"/>
      <c r="JKX3425" s="909"/>
      <c r="JKY3425" s="34">
        <v>-5</v>
      </c>
      <c r="JKZ3425" s="34">
        <v>-4.5</v>
      </c>
      <c r="JLA3425" s="34">
        <v>-4</v>
      </c>
      <c r="JLB3425" s="34">
        <v>-3.5</v>
      </c>
      <c r="JLC3425" s="34">
        <v>-3</v>
      </c>
      <c r="JLD3425" s="34">
        <v>-2.5</v>
      </c>
      <c r="JLE3425" s="34">
        <v>-2</v>
      </c>
      <c r="JLF3425" s="34">
        <v>-1.5</v>
      </c>
      <c r="JLG3425" s="34">
        <v>-1</v>
      </c>
      <c r="JLH3425" s="34">
        <v>-0.5</v>
      </c>
      <c r="JLI3425" s="34">
        <v>0</v>
      </c>
      <c r="JLJ3425" s="34">
        <v>0.5</v>
      </c>
      <c r="JLK3425" s="34">
        <v>1</v>
      </c>
      <c r="JLL3425" s="34">
        <v>1.5</v>
      </c>
      <c r="JLM3425" s="34">
        <v>2</v>
      </c>
      <c r="JLN3425" s="34">
        <v>2.5</v>
      </c>
      <c r="JLO3425" s="34">
        <v>3</v>
      </c>
      <c r="JLP3425" s="34">
        <v>3.5</v>
      </c>
      <c r="JLQ3425" s="34">
        <v>4</v>
      </c>
      <c r="JLR3425" s="34">
        <v>4.5</v>
      </c>
      <c r="JLS3425" s="34">
        <v>5</v>
      </c>
      <c r="JLU3425" s="913"/>
      <c r="JLV3425" s="31">
        <v>1</v>
      </c>
      <c r="JLW3425" s="34">
        <v>0</v>
      </c>
      <c r="JLX3425" s="34">
        <v>-1</v>
      </c>
      <c r="JLY3425" s="34">
        <v>-2</v>
      </c>
      <c r="JLZ3425" s="34">
        <v>-3</v>
      </c>
      <c r="JMA3425" s="34">
        <v>-4</v>
      </c>
      <c r="JMB3425" s="34">
        <v>-5</v>
      </c>
      <c r="JMC3425" s="908"/>
      <c r="JMD3425" s="909"/>
      <c r="JME3425" s="34">
        <v>-5</v>
      </c>
      <c r="JMF3425" s="34">
        <v>-4.5</v>
      </c>
      <c r="JMG3425" s="34">
        <v>-4</v>
      </c>
      <c r="JMH3425" s="34">
        <v>-3.5</v>
      </c>
      <c r="JMI3425" s="34">
        <v>-3</v>
      </c>
      <c r="JMJ3425" s="34">
        <v>-2.5</v>
      </c>
      <c r="JMK3425" s="34">
        <v>-2</v>
      </c>
      <c r="JML3425" s="34">
        <v>-1.5</v>
      </c>
      <c r="JMM3425" s="34">
        <v>-1</v>
      </c>
      <c r="JMN3425" s="34">
        <v>-0.5</v>
      </c>
      <c r="JMO3425" s="34">
        <v>0</v>
      </c>
      <c r="JMP3425" s="34">
        <v>0.5</v>
      </c>
      <c r="JMQ3425" s="34">
        <v>1</v>
      </c>
      <c r="JMR3425" s="34">
        <v>1.5</v>
      </c>
      <c r="JMS3425" s="34">
        <v>2</v>
      </c>
      <c r="JMT3425" s="34">
        <v>2.5</v>
      </c>
      <c r="JMU3425" s="34">
        <v>3</v>
      </c>
      <c r="JMV3425" s="34">
        <v>3.5</v>
      </c>
      <c r="JMW3425" s="34">
        <v>4</v>
      </c>
      <c r="JMX3425" s="34">
        <v>4.5</v>
      </c>
      <c r="JMY3425" s="34">
        <v>5</v>
      </c>
      <c r="JNA3425" s="913"/>
      <c r="JNB3425" s="31">
        <v>1</v>
      </c>
      <c r="JNC3425" s="34">
        <v>0</v>
      </c>
      <c r="JND3425" s="34">
        <v>-1</v>
      </c>
      <c r="JNE3425" s="34">
        <v>-2</v>
      </c>
      <c r="JNF3425" s="34">
        <v>-3</v>
      </c>
      <c r="JNG3425" s="34">
        <v>-4</v>
      </c>
      <c r="JNH3425" s="34">
        <v>-5</v>
      </c>
      <c r="JNI3425" s="908"/>
      <c r="JNJ3425" s="909"/>
      <c r="JNK3425" s="34">
        <v>-5</v>
      </c>
      <c r="JNL3425" s="34">
        <v>-4.5</v>
      </c>
      <c r="JNM3425" s="34">
        <v>-4</v>
      </c>
      <c r="JNN3425" s="34">
        <v>-3.5</v>
      </c>
      <c r="JNO3425" s="34">
        <v>-3</v>
      </c>
      <c r="JNP3425" s="34">
        <v>-2.5</v>
      </c>
      <c r="JNQ3425" s="34">
        <v>-2</v>
      </c>
      <c r="JNR3425" s="34">
        <v>-1.5</v>
      </c>
      <c r="JNS3425" s="34">
        <v>-1</v>
      </c>
      <c r="JNT3425" s="34">
        <v>-0.5</v>
      </c>
      <c r="JNU3425" s="34">
        <v>0</v>
      </c>
      <c r="JNV3425" s="34">
        <v>0.5</v>
      </c>
      <c r="JNW3425" s="34">
        <v>1</v>
      </c>
      <c r="JNX3425" s="34">
        <v>1.5</v>
      </c>
      <c r="JNY3425" s="34">
        <v>2</v>
      </c>
      <c r="JNZ3425" s="34">
        <v>2.5</v>
      </c>
      <c r="JOA3425" s="34">
        <v>3</v>
      </c>
      <c r="JOB3425" s="34">
        <v>3.5</v>
      </c>
      <c r="JOC3425" s="34">
        <v>4</v>
      </c>
      <c r="JOD3425" s="34">
        <v>4.5</v>
      </c>
      <c r="JOE3425" s="34">
        <v>5</v>
      </c>
      <c r="JOG3425" s="913"/>
      <c r="JOH3425" s="31">
        <v>1</v>
      </c>
      <c r="JOI3425" s="34">
        <v>0</v>
      </c>
      <c r="JOJ3425" s="34">
        <v>-1</v>
      </c>
      <c r="JOK3425" s="34">
        <v>-2</v>
      </c>
      <c r="JOL3425" s="34">
        <v>-3</v>
      </c>
      <c r="JOM3425" s="34">
        <v>-4</v>
      </c>
      <c r="JON3425" s="34">
        <v>-5</v>
      </c>
      <c r="JOO3425" s="908"/>
      <c r="JOP3425" s="909"/>
      <c r="JOQ3425" s="34">
        <v>-5</v>
      </c>
      <c r="JOR3425" s="34">
        <v>-4.5</v>
      </c>
      <c r="JOS3425" s="34">
        <v>-4</v>
      </c>
      <c r="JOT3425" s="34">
        <v>-3.5</v>
      </c>
      <c r="JOU3425" s="34">
        <v>-3</v>
      </c>
      <c r="JOV3425" s="34">
        <v>-2.5</v>
      </c>
      <c r="JOW3425" s="34">
        <v>-2</v>
      </c>
      <c r="JOX3425" s="34">
        <v>-1.5</v>
      </c>
      <c r="JOY3425" s="34">
        <v>-1</v>
      </c>
      <c r="JOZ3425" s="34">
        <v>-0.5</v>
      </c>
      <c r="JPA3425" s="34">
        <v>0</v>
      </c>
      <c r="JPB3425" s="34">
        <v>0.5</v>
      </c>
      <c r="JPC3425" s="34">
        <v>1</v>
      </c>
      <c r="JPD3425" s="34">
        <v>1.5</v>
      </c>
      <c r="JPE3425" s="34">
        <v>2</v>
      </c>
      <c r="JPF3425" s="34">
        <v>2.5</v>
      </c>
      <c r="JPG3425" s="34">
        <v>3</v>
      </c>
      <c r="JPH3425" s="34">
        <v>3.5</v>
      </c>
      <c r="JPI3425" s="34">
        <v>4</v>
      </c>
      <c r="JPJ3425" s="34">
        <v>4.5</v>
      </c>
      <c r="JPK3425" s="34">
        <v>5</v>
      </c>
      <c r="JPM3425" s="913"/>
      <c r="JPN3425" s="31">
        <v>1</v>
      </c>
      <c r="JPO3425" s="34">
        <v>0</v>
      </c>
      <c r="JPP3425" s="34">
        <v>-1</v>
      </c>
      <c r="JPQ3425" s="34">
        <v>-2</v>
      </c>
      <c r="JPR3425" s="34">
        <v>-3</v>
      </c>
      <c r="JPS3425" s="34">
        <v>-4</v>
      </c>
      <c r="JPT3425" s="34">
        <v>-5</v>
      </c>
      <c r="JPU3425" s="908"/>
      <c r="JPV3425" s="909"/>
      <c r="JPW3425" s="34">
        <v>-5</v>
      </c>
      <c r="JPX3425" s="34">
        <v>-4.5</v>
      </c>
      <c r="JPY3425" s="34">
        <v>-4</v>
      </c>
      <c r="JPZ3425" s="34">
        <v>-3.5</v>
      </c>
      <c r="JQA3425" s="34">
        <v>-3</v>
      </c>
      <c r="JQB3425" s="34">
        <v>-2.5</v>
      </c>
      <c r="JQC3425" s="34">
        <v>-2</v>
      </c>
      <c r="JQD3425" s="34">
        <v>-1.5</v>
      </c>
      <c r="JQE3425" s="34">
        <v>-1</v>
      </c>
      <c r="JQF3425" s="34">
        <v>-0.5</v>
      </c>
      <c r="JQG3425" s="34">
        <v>0</v>
      </c>
      <c r="JQH3425" s="34">
        <v>0.5</v>
      </c>
      <c r="JQI3425" s="34">
        <v>1</v>
      </c>
      <c r="JQJ3425" s="34">
        <v>1.5</v>
      </c>
      <c r="JQK3425" s="34">
        <v>2</v>
      </c>
      <c r="JQL3425" s="34">
        <v>2.5</v>
      </c>
      <c r="JQM3425" s="34">
        <v>3</v>
      </c>
      <c r="JQN3425" s="34">
        <v>3.5</v>
      </c>
      <c r="JQO3425" s="34">
        <v>4</v>
      </c>
      <c r="JQP3425" s="34">
        <v>4.5</v>
      </c>
      <c r="JQQ3425" s="34">
        <v>5</v>
      </c>
      <c r="JQS3425" s="913"/>
      <c r="JQT3425" s="31">
        <v>1</v>
      </c>
      <c r="JQU3425" s="34">
        <v>0</v>
      </c>
      <c r="JQV3425" s="34">
        <v>-1</v>
      </c>
      <c r="JQW3425" s="34">
        <v>-2</v>
      </c>
      <c r="JQX3425" s="34">
        <v>-3</v>
      </c>
      <c r="JQY3425" s="34">
        <v>-4</v>
      </c>
      <c r="JQZ3425" s="34">
        <v>-5</v>
      </c>
      <c r="JRA3425" s="908"/>
      <c r="JRB3425" s="909"/>
      <c r="JRC3425" s="34">
        <v>-5</v>
      </c>
      <c r="JRD3425" s="34">
        <v>-4.5</v>
      </c>
      <c r="JRE3425" s="34">
        <v>-4</v>
      </c>
      <c r="JRF3425" s="34">
        <v>-3.5</v>
      </c>
      <c r="JRG3425" s="34">
        <v>-3</v>
      </c>
      <c r="JRH3425" s="34">
        <v>-2.5</v>
      </c>
      <c r="JRI3425" s="34">
        <v>-2</v>
      </c>
      <c r="JRJ3425" s="34">
        <v>-1.5</v>
      </c>
      <c r="JRK3425" s="34">
        <v>-1</v>
      </c>
      <c r="JRL3425" s="34">
        <v>-0.5</v>
      </c>
      <c r="JRM3425" s="34">
        <v>0</v>
      </c>
      <c r="JRN3425" s="34">
        <v>0.5</v>
      </c>
      <c r="JRO3425" s="34">
        <v>1</v>
      </c>
      <c r="JRP3425" s="34">
        <v>1.5</v>
      </c>
      <c r="JRQ3425" s="34">
        <v>2</v>
      </c>
      <c r="JRR3425" s="34">
        <v>2.5</v>
      </c>
      <c r="JRS3425" s="34">
        <v>3</v>
      </c>
      <c r="JRT3425" s="34">
        <v>3.5</v>
      </c>
      <c r="JRU3425" s="34">
        <v>4</v>
      </c>
      <c r="JRV3425" s="34">
        <v>4.5</v>
      </c>
      <c r="JRW3425" s="34">
        <v>5</v>
      </c>
      <c r="JRY3425" s="913"/>
      <c r="JRZ3425" s="31">
        <v>1</v>
      </c>
      <c r="JSA3425" s="34">
        <v>0</v>
      </c>
      <c r="JSB3425" s="34">
        <v>-1</v>
      </c>
      <c r="JSC3425" s="34">
        <v>-2</v>
      </c>
      <c r="JSD3425" s="34">
        <v>-3</v>
      </c>
      <c r="JSE3425" s="34">
        <v>-4</v>
      </c>
      <c r="JSF3425" s="34">
        <v>-5</v>
      </c>
      <c r="JSG3425" s="908"/>
      <c r="JSH3425" s="909"/>
      <c r="JSI3425" s="34">
        <v>-5</v>
      </c>
      <c r="JSJ3425" s="34">
        <v>-4.5</v>
      </c>
      <c r="JSK3425" s="34">
        <v>-4</v>
      </c>
      <c r="JSL3425" s="34">
        <v>-3.5</v>
      </c>
      <c r="JSM3425" s="34">
        <v>-3</v>
      </c>
      <c r="JSN3425" s="34">
        <v>-2.5</v>
      </c>
      <c r="JSO3425" s="34">
        <v>-2</v>
      </c>
      <c r="JSP3425" s="34">
        <v>-1.5</v>
      </c>
      <c r="JSQ3425" s="34">
        <v>-1</v>
      </c>
      <c r="JSR3425" s="34">
        <v>-0.5</v>
      </c>
      <c r="JSS3425" s="34">
        <v>0</v>
      </c>
      <c r="JST3425" s="34">
        <v>0.5</v>
      </c>
      <c r="JSU3425" s="34">
        <v>1</v>
      </c>
      <c r="JSV3425" s="34">
        <v>1.5</v>
      </c>
      <c r="JSW3425" s="34">
        <v>2</v>
      </c>
      <c r="JSX3425" s="34">
        <v>2.5</v>
      </c>
      <c r="JSY3425" s="34">
        <v>3</v>
      </c>
      <c r="JSZ3425" s="34">
        <v>3.5</v>
      </c>
      <c r="JTA3425" s="34">
        <v>4</v>
      </c>
      <c r="JTB3425" s="34">
        <v>4.5</v>
      </c>
      <c r="JTC3425" s="34">
        <v>5</v>
      </c>
      <c r="JTE3425" s="913"/>
      <c r="JTF3425" s="31">
        <v>1</v>
      </c>
      <c r="JTG3425" s="34">
        <v>0</v>
      </c>
      <c r="JTH3425" s="34">
        <v>-1</v>
      </c>
      <c r="JTI3425" s="34">
        <v>-2</v>
      </c>
      <c r="JTJ3425" s="34">
        <v>-3</v>
      </c>
      <c r="JTK3425" s="34">
        <v>-4</v>
      </c>
      <c r="JTL3425" s="34">
        <v>-5</v>
      </c>
      <c r="JTM3425" s="908"/>
      <c r="JTN3425" s="909"/>
      <c r="JTO3425" s="34">
        <v>-5</v>
      </c>
      <c r="JTP3425" s="34">
        <v>-4.5</v>
      </c>
      <c r="JTQ3425" s="34">
        <v>-4</v>
      </c>
      <c r="JTR3425" s="34">
        <v>-3.5</v>
      </c>
      <c r="JTS3425" s="34">
        <v>-3</v>
      </c>
      <c r="JTT3425" s="34">
        <v>-2.5</v>
      </c>
      <c r="JTU3425" s="34">
        <v>-2</v>
      </c>
      <c r="JTV3425" s="34">
        <v>-1.5</v>
      </c>
      <c r="JTW3425" s="34">
        <v>-1</v>
      </c>
      <c r="JTX3425" s="34">
        <v>-0.5</v>
      </c>
      <c r="JTY3425" s="34">
        <v>0</v>
      </c>
      <c r="JTZ3425" s="34">
        <v>0.5</v>
      </c>
      <c r="JUA3425" s="34">
        <v>1</v>
      </c>
      <c r="JUB3425" s="34">
        <v>1.5</v>
      </c>
      <c r="JUC3425" s="34">
        <v>2</v>
      </c>
      <c r="JUD3425" s="34">
        <v>2.5</v>
      </c>
      <c r="JUE3425" s="34">
        <v>3</v>
      </c>
      <c r="JUF3425" s="34">
        <v>3.5</v>
      </c>
      <c r="JUG3425" s="34">
        <v>4</v>
      </c>
      <c r="JUH3425" s="34">
        <v>4.5</v>
      </c>
      <c r="JUI3425" s="34">
        <v>5</v>
      </c>
      <c r="JUK3425" s="913"/>
      <c r="JUL3425" s="31">
        <v>1</v>
      </c>
      <c r="JUM3425" s="34">
        <v>0</v>
      </c>
      <c r="JUN3425" s="34">
        <v>-1</v>
      </c>
      <c r="JUO3425" s="34">
        <v>-2</v>
      </c>
      <c r="JUP3425" s="34">
        <v>-3</v>
      </c>
      <c r="JUQ3425" s="34">
        <v>-4</v>
      </c>
      <c r="JUR3425" s="34">
        <v>-5</v>
      </c>
      <c r="JUS3425" s="908"/>
      <c r="JUT3425" s="909"/>
      <c r="JUU3425" s="34">
        <v>-5</v>
      </c>
      <c r="JUV3425" s="34">
        <v>-4.5</v>
      </c>
      <c r="JUW3425" s="34">
        <v>-4</v>
      </c>
      <c r="JUX3425" s="34">
        <v>-3.5</v>
      </c>
      <c r="JUY3425" s="34">
        <v>-3</v>
      </c>
      <c r="JUZ3425" s="34">
        <v>-2.5</v>
      </c>
      <c r="JVA3425" s="34">
        <v>-2</v>
      </c>
      <c r="JVB3425" s="34">
        <v>-1.5</v>
      </c>
      <c r="JVC3425" s="34">
        <v>-1</v>
      </c>
      <c r="JVD3425" s="34">
        <v>-0.5</v>
      </c>
      <c r="JVE3425" s="34">
        <v>0</v>
      </c>
      <c r="JVF3425" s="34">
        <v>0.5</v>
      </c>
      <c r="JVG3425" s="34">
        <v>1</v>
      </c>
      <c r="JVH3425" s="34">
        <v>1.5</v>
      </c>
      <c r="JVI3425" s="34">
        <v>2</v>
      </c>
      <c r="JVJ3425" s="34">
        <v>2.5</v>
      </c>
      <c r="JVK3425" s="34">
        <v>3</v>
      </c>
      <c r="JVL3425" s="34">
        <v>3.5</v>
      </c>
      <c r="JVM3425" s="34">
        <v>4</v>
      </c>
      <c r="JVN3425" s="34">
        <v>4.5</v>
      </c>
      <c r="JVO3425" s="34">
        <v>5</v>
      </c>
      <c r="JVQ3425" s="913"/>
      <c r="JVR3425" s="31">
        <v>1</v>
      </c>
      <c r="JVS3425" s="34">
        <v>0</v>
      </c>
      <c r="JVT3425" s="34">
        <v>-1</v>
      </c>
      <c r="JVU3425" s="34">
        <v>-2</v>
      </c>
      <c r="JVV3425" s="34">
        <v>-3</v>
      </c>
      <c r="JVW3425" s="34">
        <v>-4</v>
      </c>
      <c r="JVX3425" s="34">
        <v>-5</v>
      </c>
      <c r="JVY3425" s="908"/>
      <c r="JVZ3425" s="909"/>
      <c r="JWA3425" s="34">
        <v>-5</v>
      </c>
      <c r="JWB3425" s="34">
        <v>-4.5</v>
      </c>
      <c r="JWC3425" s="34">
        <v>-4</v>
      </c>
      <c r="JWD3425" s="34">
        <v>-3.5</v>
      </c>
      <c r="JWE3425" s="34">
        <v>-3</v>
      </c>
      <c r="JWF3425" s="34">
        <v>-2.5</v>
      </c>
      <c r="JWG3425" s="34">
        <v>-2</v>
      </c>
      <c r="JWH3425" s="34">
        <v>-1.5</v>
      </c>
      <c r="JWI3425" s="34">
        <v>-1</v>
      </c>
      <c r="JWJ3425" s="34">
        <v>-0.5</v>
      </c>
      <c r="JWK3425" s="34">
        <v>0</v>
      </c>
      <c r="JWL3425" s="34">
        <v>0.5</v>
      </c>
      <c r="JWM3425" s="34">
        <v>1</v>
      </c>
      <c r="JWN3425" s="34">
        <v>1.5</v>
      </c>
      <c r="JWO3425" s="34">
        <v>2</v>
      </c>
      <c r="JWP3425" s="34">
        <v>2.5</v>
      </c>
      <c r="JWQ3425" s="34">
        <v>3</v>
      </c>
      <c r="JWR3425" s="34">
        <v>3.5</v>
      </c>
      <c r="JWS3425" s="34">
        <v>4</v>
      </c>
      <c r="JWT3425" s="34">
        <v>4.5</v>
      </c>
      <c r="JWU3425" s="34">
        <v>5</v>
      </c>
      <c r="JWW3425" s="913"/>
      <c r="JWX3425" s="31">
        <v>1</v>
      </c>
      <c r="JWY3425" s="34">
        <v>0</v>
      </c>
      <c r="JWZ3425" s="34">
        <v>-1</v>
      </c>
      <c r="JXA3425" s="34">
        <v>-2</v>
      </c>
      <c r="JXB3425" s="34">
        <v>-3</v>
      </c>
      <c r="JXC3425" s="34">
        <v>-4</v>
      </c>
      <c r="JXD3425" s="34">
        <v>-5</v>
      </c>
      <c r="JXE3425" s="908"/>
      <c r="JXF3425" s="909"/>
      <c r="JXG3425" s="34">
        <v>-5</v>
      </c>
      <c r="JXH3425" s="34">
        <v>-4.5</v>
      </c>
      <c r="JXI3425" s="34">
        <v>-4</v>
      </c>
      <c r="JXJ3425" s="34">
        <v>-3.5</v>
      </c>
      <c r="JXK3425" s="34">
        <v>-3</v>
      </c>
      <c r="JXL3425" s="34">
        <v>-2.5</v>
      </c>
      <c r="JXM3425" s="34">
        <v>-2</v>
      </c>
      <c r="JXN3425" s="34">
        <v>-1.5</v>
      </c>
      <c r="JXO3425" s="34">
        <v>-1</v>
      </c>
      <c r="JXP3425" s="34">
        <v>-0.5</v>
      </c>
      <c r="JXQ3425" s="34">
        <v>0</v>
      </c>
      <c r="JXR3425" s="34">
        <v>0.5</v>
      </c>
      <c r="JXS3425" s="34">
        <v>1</v>
      </c>
      <c r="JXT3425" s="34">
        <v>1.5</v>
      </c>
      <c r="JXU3425" s="34">
        <v>2</v>
      </c>
      <c r="JXV3425" s="34">
        <v>2.5</v>
      </c>
      <c r="JXW3425" s="34">
        <v>3</v>
      </c>
      <c r="JXX3425" s="34">
        <v>3.5</v>
      </c>
      <c r="JXY3425" s="34">
        <v>4</v>
      </c>
      <c r="JXZ3425" s="34">
        <v>4.5</v>
      </c>
      <c r="JYA3425" s="34">
        <v>5</v>
      </c>
      <c r="JYC3425" s="913"/>
      <c r="JYD3425" s="31">
        <v>1</v>
      </c>
      <c r="JYE3425" s="34">
        <v>0</v>
      </c>
      <c r="JYF3425" s="34">
        <v>-1</v>
      </c>
      <c r="JYG3425" s="34">
        <v>-2</v>
      </c>
      <c r="JYH3425" s="34">
        <v>-3</v>
      </c>
      <c r="JYI3425" s="34">
        <v>-4</v>
      </c>
      <c r="JYJ3425" s="34">
        <v>-5</v>
      </c>
      <c r="JYK3425" s="908"/>
      <c r="JYL3425" s="909"/>
      <c r="JYM3425" s="34">
        <v>-5</v>
      </c>
      <c r="JYN3425" s="34">
        <v>-4.5</v>
      </c>
      <c r="JYO3425" s="34">
        <v>-4</v>
      </c>
      <c r="JYP3425" s="34">
        <v>-3.5</v>
      </c>
      <c r="JYQ3425" s="34">
        <v>-3</v>
      </c>
      <c r="JYR3425" s="34">
        <v>-2.5</v>
      </c>
      <c r="JYS3425" s="34">
        <v>-2</v>
      </c>
      <c r="JYT3425" s="34">
        <v>-1.5</v>
      </c>
      <c r="JYU3425" s="34">
        <v>-1</v>
      </c>
      <c r="JYV3425" s="34">
        <v>-0.5</v>
      </c>
      <c r="JYW3425" s="34">
        <v>0</v>
      </c>
      <c r="JYX3425" s="34">
        <v>0.5</v>
      </c>
      <c r="JYY3425" s="34">
        <v>1</v>
      </c>
      <c r="JYZ3425" s="34">
        <v>1.5</v>
      </c>
      <c r="JZA3425" s="34">
        <v>2</v>
      </c>
      <c r="JZB3425" s="34">
        <v>2.5</v>
      </c>
      <c r="JZC3425" s="34">
        <v>3</v>
      </c>
      <c r="JZD3425" s="34">
        <v>3.5</v>
      </c>
      <c r="JZE3425" s="34">
        <v>4</v>
      </c>
      <c r="JZF3425" s="34">
        <v>4.5</v>
      </c>
      <c r="JZG3425" s="34">
        <v>5</v>
      </c>
      <c r="JZI3425" s="913"/>
      <c r="JZJ3425" s="31">
        <v>1</v>
      </c>
      <c r="JZK3425" s="34">
        <v>0</v>
      </c>
      <c r="JZL3425" s="34">
        <v>-1</v>
      </c>
      <c r="JZM3425" s="34">
        <v>-2</v>
      </c>
      <c r="JZN3425" s="34">
        <v>-3</v>
      </c>
      <c r="JZO3425" s="34">
        <v>-4</v>
      </c>
      <c r="JZP3425" s="34">
        <v>-5</v>
      </c>
      <c r="JZQ3425" s="908"/>
      <c r="JZR3425" s="909"/>
      <c r="JZS3425" s="34">
        <v>-5</v>
      </c>
      <c r="JZT3425" s="34">
        <v>-4.5</v>
      </c>
      <c r="JZU3425" s="34">
        <v>-4</v>
      </c>
      <c r="JZV3425" s="34">
        <v>-3.5</v>
      </c>
      <c r="JZW3425" s="34">
        <v>-3</v>
      </c>
      <c r="JZX3425" s="34">
        <v>-2.5</v>
      </c>
      <c r="JZY3425" s="34">
        <v>-2</v>
      </c>
      <c r="JZZ3425" s="34">
        <v>-1.5</v>
      </c>
      <c r="KAA3425" s="34">
        <v>-1</v>
      </c>
      <c r="KAB3425" s="34">
        <v>-0.5</v>
      </c>
      <c r="KAC3425" s="34">
        <v>0</v>
      </c>
      <c r="KAD3425" s="34">
        <v>0.5</v>
      </c>
      <c r="KAE3425" s="34">
        <v>1</v>
      </c>
      <c r="KAF3425" s="34">
        <v>1.5</v>
      </c>
      <c r="KAG3425" s="34">
        <v>2</v>
      </c>
      <c r="KAH3425" s="34">
        <v>2.5</v>
      </c>
      <c r="KAI3425" s="34">
        <v>3</v>
      </c>
      <c r="KAJ3425" s="34">
        <v>3.5</v>
      </c>
      <c r="KAK3425" s="34">
        <v>4</v>
      </c>
      <c r="KAL3425" s="34">
        <v>4.5</v>
      </c>
      <c r="KAM3425" s="34">
        <v>5</v>
      </c>
      <c r="KAO3425" s="913"/>
      <c r="KAP3425" s="31">
        <v>1</v>
      </c>
      <c r="KAQ3425" s="34">
        <v>0</v>
      </c>
      <c r="KAR3425" s="34">
        <v>-1</v>
      </c>
      <c r="KAS3425" s="34">
        <v>-2</v>
      </c>
      <c r="KAT3425" s="34">
        <v>-3</v>
      </c>
      <c r="KAU3425" s="34">
        <v>-4</v>
      </c>
      <c r="KAV3425" s="34">
        <v>-5</v>
      </c>
      <c r="KAW3425" s="908"/>
      <c r="KAX3425" s="909"/>
      <c r="KAY3425" s="34">
        <v>-5</v>
      </c>
      <c r="KAZ3425" s="34">
        <v>-4.5</v>
      </c>
      <c r="KBA3425" s="34">
        <v>-4</v>
      </c>
      <c r="KBB3425" s="34">
        <v>-3.5</v>
      </c>
      <c r="KBC3425" s="34">
        <v>-3</v>
      </c>
      <c r="KBD3425" s="34">
        <v>-2.5</v>
      </c>
      <c r="KBE3425" s="34">
        <v>-2</v>
      </c>
      <c r="KBF3425" s="34">
        <v>-1.5</v>
      </c>
      <c r="KBG3425" s="34">
        <v>-1</v>
      </c>
      <c r="KBH3425" s="34">
        <v>-0.5</v>
      </c>
      <c r="KBI3425" s="34">
        <v>0</v>
      </c>
      <c r="KBJ3425" s="34">
        <v>0.5</v>
      </c>
      <c r="KBK3425" s="34">
        <v>1</v>
      </c>
      <c r="KBL3425" s="34">
        <v>1.5</v>
      </c>
      <c r="KBM3425" s="34">
        <v>2</v>
      </c>
      <c r="KBN3425" s="34">
        <v>2.5</v>
      </c>
      <c r="KBO3425" s="34">
        <v>3</v>
      </c>
      <c r="KBP3425" s="34">
        <v>3.5</v>
      </c>
      <c r="KBQ3425" s="34">
        <v>4</v>
      </c>
      <c r="KBR3425" s="34">
        <v>4.5</v>
      </c>
      <c r="KBS3425" s="34">
        <v>5</v>
      </c>
      <c r="KBU3425" s="913"/>
      <c r="KBV3425" s="31">
        <v>1</v>
      </c>
      <c r="KBW3425" s="34">
        <v>0</v>
      </c>
      <c r="KBX3425" s="34">
        <v>-1</v>
      </c>
      <c r="KBY3425" s="34">
        <v>-2</v>
      </c>
      <c r="KBZ3425" s="34">
        <v>-3</v>
      </c>
      <c r="KCA3425" s="34">
        <v>-4</v>
      </c>
      <c r="KCB3425" s="34">
        <v>-5</v>
      </c>
      <c r="KCC3425" s="908"/>
      <c r="KCD3425" s="909"/>
      <c r="KCE3425" s="34">
        <v>-5</v>
      </c>
      <c r="KCF3425" s="34">
        <v>-4.5</v>
      </c>
      <c r="KCG3425" s="34">
        <v>-4</v>
      </c>
      <c r="KCH3425" s="34">
        <v>-3.5</v>
      </c>
      <c r="KCI3425" s="34">
        <v>-3</v>
      </c>
      <c r="KCJ3425" s="34">
        <v>-2.5</v>
      </c>
      <c r="KCK3425" s="34">
        <v>-2</v>
      </c>
      <c r="KCL3425" s="34">
        <v>-1.5</v>
      </c>
      <c r="KCM3425" s="34">
        <v>-1</v>
      </c>
      <c r="KCN3425" s="34">
        <v>-0.5</v>
      </c>
      <c r="KCO3425" s="34">
        <v>0</v>
      </c>
      <c r="KCP3425" s="34">
        <v>0.5</v>
      </c>
      <c r="KCQ3425" s="34">
        <v>1</v>
      </c>
      <c r="KCR3425" s="34">
        <v>1.5</v>
      </c>
      <c r="KCS3425" s="34">
        <v>2</v>
      </c>
      <c r="KCT3425" s="34">
        <v>2.5</v>
      </c>
      <c r="KCU3425" s="34">
        <v>3</v>
      </c>
      <c r="KCV3425" s="34">
        <v>3.5</v>
      </c>
      <c r="KCW3425" s="34">
        <v>4</v>
      </c>
      <c r="KCX3425" s="34">
        <v>4.5</v>
      </c>
      <c r="KCY3425" s="34">
        <v>5</v>
      </c>
      <c r="KDA3425" s="913"/>
      <c r="KDB3425" s="31">
        <v>1</v>
      </c>
      <c r="KDC3425" s="34">
        <v>0</v>
      </c>
      <c r="KDD3425" s="34">
        <v>-1</v>
      </c>
      <c r="KDE3425" s="34">
        <v>-2</v>
      </c>
      <c r="KDF3425" s="34">
        <v>-3</v>
      </c>
      <c r="KDG3425" s="34">
        <v>-4</v>
      </c>
      <c r="KDH3425" s="34">
        <v>-5</v>
      </c>
      <c r="KDI3425" s="908"/>
      <c r="KDJ3425" s="909"/>
      <c r="KDK3425" s="34">
        <v>-5</v>
      </c>
      <c r="KDL3425" s="34">
        <v>-4.5</v>
      </c>
      <c r="KDM3425" s="34">
        <v>-4</v>
      </c>
      <c r="KDN3425" s="34">
        <v>-3.5</v>
      </c>
      <c r="KDO3425" s="34">
        <v>-3</v>
      </c>
      <c r="KDP3425" s="34">
        <v>-2.5</v>
      </c>
      <c r="KDQ3425" s="34">
        <v>-2</v>
      </c>
      <c r="KDR3425" s="34">
        <v>-1.5</v>
      </c>
      <c r="KDS3425" s="34">
        <v>-1</v>
      </c>
      <c r="KDT3425" s="34">
        <v>-0.5</v>
      </c>
      <c r="KDU3425" s="34">
        <v>0</v>
      </c>
      <c r="KDV3425" s="34">
        <v>0.5</v>
      </c>
      <c r="KDW3425" s="34">
        <v>1</v>
      </c>
      <c r="KDX3425" s="34">
        <v>1.5</v>
      </c>
      <c r="KDY3425" s="34">
        <v>2</v>
      </c>
      <c r="KDZ3425" s="34">
        <v>2.5</v>
      </c>
      <c r="KEA3425" s="34">
        <v>3</v>
      </c>
      <c r="KEB3425" s="34">
        <v>3.5</v>
      </c>
      <c r="KEC3425" s="34">
        <v>4</v>
      </c>
      <c r="KED3425" s="34">
        <v>4.5</v>
      </c>
      <c r="KEE3425" s="34">
        <v>5</v>
      </c>
      <c r="KEG3425" s="913"/>
      <c r="KEH3425" s="31">
        <v>1</v>
      </c>
      <c r="KEI3425" s="34">
        <v>0</v>
      </c>
      <c r="KEJ3425" s="34">
        <v>-1</v>
      </c>
      <c r="KEK3425" s="34">
        <v>-2</v>
      </c>
      <c r="KEL3425" s="34">
        <v>-3</v>
      </c>
      <c r="KEM3425" s="34">
        <v>-4</v>
      </c>
      <c r="KEN3425" s="34">
        <v>-5</v>
      </c>
      <c r="KEO3425" s="908"/>
      <c r="KEP3425" s="909"/>
      <c r="KEQ3425" s="34">
        <v>-5</v>
      </c>
      <c r="KER3425" s="34">
        <v>-4.5</v>
      </c>
      <c r="KES3425" s="34">
        <v>-4</v>
      </c>
      <c r="KET3425" s="34">
        <v>-3.5</v>
      </c>
      <c r="KEU3425" s="34">
        <v>-3</v>
      </c>
      <c r="KEV3425" s="34">
        <v>-2.5</v>
      </c>
      <c r="KEW3425" s="34">
        <v>-2</v>
      </c>
      <c r="KEX3425" s="34">
        <v>-1.5</v>
      </c>
      <c r="KEY3425" s="34">
        <v>-1</v>
      </c>
      <c r="KEZ3425" s="34">
        <v>-0.5</v>
      </c>
      <c r="KFA3425" s="34">
        <v>0</v>
      </c>
      <c r="KFB3425" s="34">
        <v>0.5</v>
      </c>
      <c r="KFC3425" s="34">
        <v>1</v>
      </c>
      <c r="KFD3425" s="34">
        <v>1.5</v>
      </c>
      <c r="KFE3425" s="34">
        <v>2</v>
      </c>
      <c r="KFF3425" s="34">
        <v>2.5</v>
      </c>
      <c r="KFG3425" s="34">
        <v>3</v>
      </c>
      <c r="KFH3425" s="34">
        <v>3.5</v>
      </c>
      <c r="KFI3425" s="34">
        <v>4</v>
      </c>
      <c r="KFJ3425" s="34">
        <v>4.5</v>
      </c>
      <c r="KFK3425" s="34">
        <v>5</v>
      </c>
      <c r="KFM3425" s="913"/>
      <c r="KFN3425" s="31">
        <v>1</v>
      </c>
      <c r="KFO3425" s="34">
        <v>0</v>
      </c>
      <c r="KFP3425" s="34">
        <v>-1</v>
      </c>
      <c r="KFQ3425" s="34">
        <v>-2</v>
      </c>
      <c r="KFR3425" s="34">
        <v>-3</v>
      </c>
      <c r="KFS3425" s="34">
        <v>-4</v>
      </c>
      <c r="KFT3425" s="34">
        <v>-5</v>
      </c>
      <c r="KFU3425" s="908"/>
      <c r="KFV3425" s="909"/>
      <c r="KFW3425" s="34">
        <v>-5</v>
      </c>
      <c r="KFX3425" s="34">
        <v>-4.5</v>
      </c>
      <c r="KFY3425" s="34">
        <v>-4</v>
      </c>
      <c r="KFZ3425" s="34">
        <v>-3.5</v>
      </c>
      <c r="KGA3425" s="34">
        <v>-3</v>
      </c>
      <c r="KGB3425" s="34">
        <v>-2.5</v>
      </c>
      <c r="KGC3425" s="34">
        <v>-2</v>
      </c>
      <c r="KGD3425" s="34">
        <v>-1.5</v>
      </c>
      <c r="KGE3425" s="34">
        <v>-1</v>
      </c>
      <c r="KGF3425" s="34">
        <v>-0.5</v>
      </c>
      <c r="KGG3425" s="34">
        <v>0</v>
      </c>
      <c r="KGH3425" s="34">
        <v>0.5</v>
      </c>
      <c r="KGI3425" s="34">
        <v>1</v>
      </c>
      <c r="KGJ3425" s="34">
        <v>1.5</v>
      </c>
      <c r="KGK3425" s="34">
        <v>2</v>
      </c>
      <c r="KGL3425" s="34">
        <v>2.5</v>
      </c>
      <c r="KGM3425" s="34">
        <v>3</v>
      </c>
      <c r="KGN3425" s="34">
        <v>3.5</v>
      </c>
      <c r="KGO3425" s="34">
        <v>4</v>
      </c>
      <c r="KGP3425" s="34">
        <v>4.5</v>
      </c>
      <c r="KGQ3425" s="34">
        <v>5</v>
      </c>
      <c r="KGS3425" s="913"/>
      <c r="KGT3425" s="31">
        <v>1</v>
      </c>
      <c r="KGU3425" s="34">
        <v>0</v>
      </c>
      <c r="KGV3425" s="34">
        <v>-1</v>
      </c>
      <c r="KGW3425" s="34">
        <v>-2</v>
      </c>
      <c r="KGX3425" s="34">
        <v>-3</v>
      </c>
      <c r="KGY3425" s="34">
        <v>-4</v>
      </c>
      <c r="KGZ3425" s="34">
        <v>-5</v>
      </c>
      <c r="KHA3425" s="908"/>
      <c r="KHB3425" s="909"/>
      <c r="KHC3425" s="34">
        <v>-5</v>
      </c>
      <c r="KHD3425" s="34">
        <v>-4.5</v>
      </c>
      <c r="KHE3425" s="34">
        <v>-4</v>
      </c>
      <c r="KHF3425" s="34">
        <v>-3.5</v>
      </c>
      <c r="KHG3425" s="34">
        <v>-3</v>
      </c>
      <c r="KHH3425" s="34">
        <v>-2.5</v>
      </c>
      <c r="KHI3425" s="34">
        <v>-2</v>
      </c>
      <c r="KHJ3425" s="34">
        <v>-1.5</v>
      </c>
      <c r="KHK3425" s="34">
        <v>-1</v>
      </c>
      <c r="KHL3425" s="34">
        <v>-0.5</v>
      </c>
      <c r="KHM3425" s="34">
        <v>0</v>
      </c>
      <c r="KHN3425" s="34">
        <v>0.5</v>
      </c>
      <c r="KHO3425" s="34">
        <v>1</v>
      </c>
      <c r="KHP3425" s="34">
        <v>1.5</v>
      </c>
      <c r="KHQ3425" s="34">
        <v>2</v>
      </c>
      <c r="KHR3425" s="34">
        <v>2.5</v>
      </c>
      <c r="KHS3425" s="34">
        <v>3</v>
      </c>
      <c r="KHT3425" s="34">
        <v>3.5</v>
      </c>
      <c r="KHU3425" s="34">
        <v>4</v>
      </c>
      <c r="KHV3425" s="34">
        <v>4.5</v>
      </c>
      <c r="KHW3425" s="34">
        <v>5</v>
      </c>
      <c r="KHY3425" s="913"/>
      <c r="KHZ3425" s="31">
        <v>1</v>
      </c>
      <c r="KIA3425" s="34">
        <v>0</v>
      </c>
      <c r="KIB3425" s="34">
        <v>-1</v>
      </c>
      <c r="KIC3425" s="34">
        <v>-2</v>
      </c>
      <c r="KID3425" s="34">
        <v>-3</v>
      </c>
      <c r="KIE3425" s="34">
        <v>-4</v>
      </c>
      <c r="KIF3425" s="34">
        <v>-5</v>
      </c>
      <c r="KIG3425" s="908"/>
      <c r="KIH3425" s="909"/>
      <c r="KII3425" s="34">
        <v>-5</v>
      </c>
      <c r="KIJ3425" s="34">
        <v>-4.5</v>
      </c>
      <c r="KIK3425" s="34">
        <v>-4</v>
      </c>
      <c r="KIL3425" s="34">
        <v>-3.5</v>
      </c>
      <c r="KIM3425" s="34">
        <v>-3</v>
      </c>
      <c r="KIN3425" s="34">
        <v>-2.5</v>
      </c>
      <c r="KIO3425" s="34">
        <v>-2</v>
      </c>
      <c r="KIP3425" s="34">
        <v>-1.5</v>
      </c>
      <c r="KIQ3425" s="34">
        <v>-1</v>
      </c>
      <c r="KIR3425" s="34">
        <v>-0.5</v>
      </c>
      <c r="KIS3425" s="34">
        <v>0</v>
      </c>
      <c r="KIT3425" s="34">
        <v>0.5</v>
      </c>
      <c r="KIU3425" s="34">
        <v>1</v>
      </c>
      <c r="KIV3425" s="34">
        <v>1.5</v>
      </c>
      <c r="KIW3425" s="34">
        <v>2</v>
      </c>
      <c r="KIX3425" s="34">
        <v>2.5</v>
      </c>
      <c r="KIY3425" s="34">
        <v>3</v>
      </c>
      <c r="KIZ3425" s="34">
        <v>3.5</v>
      </c>
      <c r="KJA3425" s="34">
        <v>4</v>
      </c>
      <c r="KJB3425" s="34">
        <v>4.5</v>
      </c>
      <c r="KJC3425" s="34">
        <v>5</v>
      </c>
      <c r="KJE3425" s="913"/>
      <c r="KJF3425" s="31">
        <v>1</v>
      </c>
      <c r="KJG3425" s="34">
        <v>0</v>
      </c>
      <c r="KJH3425" s="34">
        <v>-1</v>
      </c>
      <c r="KJI3425" s="34">
        <v>-2</v>
      </c>
      <c r="KJJ3425" s="34">
        <v>-3</v>
      </c>
      <c r="KJK3425" s="34">
        <v>-4</v>
      </c>
      <c r="KJL3425" s="34">
        <v>-5</v>
      </c>
      <c r="KJM3425" s="908"/>
      <c r="KJN3425" s="909"/>
      <c r="KJO3425" s="34">
        <v>-5</v>
      </c>
      <c r="KJP3425" s="34">
        <v>-4.5</v>
      </c>
      <c r="KJQ3425" s="34">
        <v>-4</v>
      </c>
      <c r="KJR3425" s="34">
        <v>-3.5</v>
      </c>
      <c r="KJS3425" s="34">
        <v>-3</v>
      </c>
      <c r="KJT3425" s="34">
        <v>-2.5</v>
      </c>
      <c r="KJU3425" s="34">
        <v>-2</v>
      </c>
      <c r="KJV3425" s="34">
        <v>-1.5</v>
      </c>
      <c r="KJW3425" s="34">
        <v>-1</v>
      </c>
      <c r="KJX3425" s="34">
        <v>-0.5</v>
      </c>
      <c r="KJY3425" s="34">
        <v>0</v>
      </c>
      <c r="KJZ3425" s="34">
        <v>0.5</v>
      </c>
      <c r="KKA3425" s="34">
        <v>1</v>
      </c>
      <c r="KKB3425" s="34">
        <v>1.5</v>
      </c>
      <c r="KKC3425" s="34">
        <v>2</v>
      </c>
      <c r="KKD3425" s="34">
        <v>2.5</v>
      </c>
      <c r="KKE3425" s="34">
        <v>3</v>
      </c>
      <c r="KKF3425" s="34">
        <v>3.5</v>
      </c>
      <c r="KKG3425" s="34">
        <v>4</v>
      </c>
      <c r="KKH3425" s="34">
        <v>4.5</v>
      </c>
      <c r="KKI3425" s="34">
        <v>5</v>
      </c>
      <c r="KKK3425" s="913"/>
      <c r="KKL3425" s="31">
        <v>1</v>
      </c>
      <c r="KKM3425" s="34">
        <v>0</v>
      </c>
      <c r="KKN3425" s="34">
        <v>-1</v>
      </c>
      <c r="KKO3425" s="34">
        <v>-2</v>
      </c>
      <c r="KKP3425" s="34">
        <v>-3</v>
      </c>
      <c r="KKQ3425" s="34">
        <v>-4</v>
      </c>
      <c r="KKR3425" s="34">
        <v>-5</v>
      </c>
      <c r="KKS3425" s="908"/>
      <c r="KKT3425" s="909"/>
      <c r="KKU3425" s="34">
        <v>-5</v>
      </c>
      <c r="KKV3425" s="34">
        <v>-4.5</v>
      </c>
      <c r="KKW3425" s="34">
        <v>-4</v>
      </c>
      <c r="KKX3425" s="34">
        <v>-3.5</v>
      </c>
      <c r="KKY3425" s="34">
        <v>-3</v>
      </c>
      <c r="KKZ3425" s="34">
        <v>-2.5</v>
      </c>
      <c r="KLA3425" s="34">
        <v>-2</v>
      </c>
      <c r="KLB3425" s="34">
        <v>-1.5</v>
      </c>
      <c r="KLC3425" s="34">
        <v>-1</v>
      </c>
      <c r="KLD3425" s="34">
        <v>-0.5</v>
      </c>
      <c r="KLE3425" s="34">
        <v>0</v>
      </c>
      <c r="KLF3425" s="34">
        <v>0.5</v>
      </c>
      <c r="KLG3425" s="34">
        <v>1</v>
      </c>
      <c r="KLH3425" s="34">
        <v>1.5</v>
      </c>
      <c r="KLI3425" s="34">
        <v>2</v>
      </c>
      <c r="KLJ3425" s="34">
        <v>2.5</v>
      </c>
      <c r="KLK3425" s="34">
        <v>3</v>
      </c>
      <c r="KLL3425" s="34">
        <v>3.5</v>
      </c>
      <c r="KLM3425" s="34">
        <v>4</v>
      </c>
      <c r="KLN3425" s="34">
        <v>4.5</v>
      </c>
      <c r="KLO3425" s="34">
        <v>5</v>
      </c>
      <c r="KLQ3425" s="913"/>
      <c r="KLR3425" s="31">
        <v>1</v>
      </c>
      <c r="KLS3425" s="34">
        <v>0</v>
      </c>
      <c r="KLT3425" s="34">
        <v>-1</v>
      </c>
      <c r="KLU3425" s="34">
        <v>-2</v>
      </c>
      <c r="KLV3425" s="34">
        <v>-3</v>
      </c>
      <c r="KLW3425" s="34">
        <v>-4</v>
      </c>
      <c r="KLX3425" s="34">
        <v>-5</v>
      </c>
      <c r="KLY3425" s="908"/>
      <c r="KLZ3425" s="909"/>
      <c r="KMA3425" s="34">
        <v>-5</v>
      </c>
      <c r="KMB3425" s="34">
        <v>-4.5</v>
      </c>
      <c r="KMC3425" s="34">
        <v>-4</v>
      </c>
      <c r="KMD3425" s="34">
        <v>-3.5</v>
      </c>
      <c r="KME3425" s="34">
        <v>-3</v>
      </c>
      <c r="KMF3425" s="34">
        <v>-2.5</v>
      </c>
      <c r="KMG3425" s="34">
        <v>-2</v>
      </c>
      <c r="KMH3425" s="34">
        <v>-1.5</v>
      </c>
      <c r="KMI3425" s="34">
        <v>-1</v>
      </c>
      <c r="KMJ3425" s="34">
        <v>-0.5</v>
      </c>
      <c r="KMK3425" s="34">
        <v>0</v>
      </c>
      <c r="KML3425" s="34">
        <v>0.5</v>
      </c>
      <c r="KMM3425" s="34">
        <v>1</v>
      </c>
      <c r="KMN3425" s="34">
        <v>1.5</v>
      </c>
      <c r="KMO3425" s="34">
        <v>2</v>
      </c>
      <c r="KMP3425" s="34">
        <v>2.5</v>
      </c>
      <c r="KMQ3425" s="34">
        <v>3</v>
      </c>
      <c r="KMR3425" s="34">
        <v>3.5</v>
      </c>
      <c r="KMS3425" s="34">
        <v>4</v>
      </c>
      <c r="KMT3425" s="34">
        <v>4.5</v>
      </c>
      <c r="KMU3425" s="34">
        <v>5</v>
      </c>
      <c r="KMW3425" s="913"/>
      <c r="KMX3425" s="31">
        <v>1</v>
      </c>
      <c r="KMY3425" s="34">
        <v>0</v>
      </c>
      <c r="KMZ3425" s="34">
        <v>-1</v>
      </c>
      <c r="KNA3425" s="34">
        <v>-2</v>
      </c>
      <c r="KNB3425" s="34">
        <v>-3</v>
      </c>
      <c r="KNC3425" s="34">
        <v>-4</v>
      </c>
      <c r="KND3425" s="34">
        <v>-5</v>
      </c>
      <c r="KNE3425" s="908"/>
      <c r="KNF3425" s="909"/>
      <c r="KNG3425" s="34">
        <v>-5</v>
      </c>
      <c r="KNH3425" s="34">
        <v>-4.5</v>
      </c>
      <c r="KNI3425" s="34">
        <v>-4</v>
      </c>
      <c r="KNJ3425" s="34">
        <v>-3.5</v>
      </c>
      <c r="KNK3425" s="34">
        <v>-3</v>
      </c>
      <c r="KNL3425" s="34">
        <v>-2.5</v>
      </c>
      <c r="KNM3425" s="34">
        <v>-2</v>
      </c>
      <c r="KNN3425" s="34">
        <v>-1.5</v>
      </c>
      <c r="KNO3425" s="34">
        <v>-1</v>
      </c>
      <c r="KNP3425" s="34">
        <v>-0.5</v>
      </c>
      <c r="KNQ3425" s="34">
        <v>0</v>
      </c>
      <c r="KNR3425" s="34">
        <v>0.5</v>
      </c>
      <c r="KNS3425" s="34">
        <v>1</v>
      </c>
      <c r="KNT3425" s="34">
        <v>1.5</v>
      </c>
      <c r="KNU3425" s="34">
        <v>2</v>
      </c>
      <c r="KNV3425" s="34">
        <v>2.5</v>
      </c>
      <c r="KNW3425" s="34">
        <v>3</v>
      </c>
      <c r="KNX3425" s="34">
        <v>3.5</v>
      </c>
      <c r="KNY3425" s="34">
        <v>4</v>
      </c>
      <c r="KNZ3425" s="34">
        <v>4.5</v>
      </c>
      <c r="KOA3425" s="34">
        <v>5</v>
      </c>
      <c r="KOC3425" s="913"/>
      <c r="KOD3425" s="31">
        <v>1</v>
      </c>
      <c r="KOE3425" s="34">
        <v>0</v>
      </c>
      <c r="KOF3425" s="34">
        <v>-1</v>
      </c>
      <c r="KOG3425" s="34">
        <v>-2</v>
      </c>
      <c r="KOH3425" s="34">
        <v>-3</v>
      </c>
      <c r="KOI3425" s="34">
        <v>-4</v>
      </c>
      <c r="KOJ3425" s="34">
        <v>-5</v>
      </c>
      <c r="KOK3425" s="908"/>
      <c r="KOL3425" s="909"/>
      <c r="KOM3425" s="34">
        <v>-5</v>
      </c>
      <c r="KON3425" s="34">
        <v>-4.5</v>
      </c>
      <c r="KOO3425" s="34">
        <v>-4</v>
      </c>
      <c r="KOP3425" s="34">
        <v>-3.5</v>
      </c>
      <c r="KOQ3425" s="34">
        <v>-3</v>
      </c>
      <c r="KOR3425" s="34">
        <v>-2.5</v>
      </c>
      <c r="KOS3425" s="34">
        <v>-2</v>
      </c>
      <c r="KOT3425" s="34">
        <v>-1.5</v>
      </c>
      <c r="KOU3425" s="34">
        <v>-1</v>
      </c>
      <c r="KOV3425" s="34">
        <v>-0.5</v>
      </c>
      <c r="KOW3425" s="34">
        <v>0</v>
      </c>
      <c r="KOX3425" s="34">
        <v>0.5</v>
      </c>
      <c r="KOY3425" s="34">
        <v>1</v>
      </c>
      <c r="KOZ3425" s="34">
        <v>1.5</v>
      </c>
      <c r="KPA3425" s="34">
        <v>2</v>
      </c>
      <c r="KPB3425" s="34">
        <v>2.5</v>
      </c>
      <c r="KPC3425" s="34">
        <v>3</v>
      </c>
      <c r="KPD3425" s="34">
        <v>3.5</v>
      </c>
      <c r="KPE3425" s="34">
        <v>4</v>
      </c>
      <c r="KPF3425" s="34">
        <v>4.5</v>
      </c>
      <c r="KPG3425" s="34">
        <v>5</v>
      </c>
      <c r="KPI3425" s="913"/>
      <c r="KPJ3425" s="31">
        <v>1</v>
      </c>
      <c r="KPK3425" s="34">
        <v>0</v>
      </c>
      <c r="KPL3425" s="34">
        <v>-1</v>
      </c>
      <c r="KPM3425" s="34">
        <v>-2</v>
      </c>
      <c r="KPN3425" s="34">
        <v>-3</v>
      </c>
      <c r="KPO3425" s="34">
        <v>-4</v>
      </c>
      <c r="KPP3425" s="34">
        <v>-5</v>
      </c>
      <c r="KPQ3425" s="908"/>
      <c r="KPR3425" s="909"/>
      <c r="KPS3425" s="34">
        <v>-5</v>
      </c>
      <c r="KPT3425" s="34">
        <v>-4.5</v>
      </c>
      <c r="KPU3425" s="34">
        <v>-4</v>
      </c>
      <c r="KPV3425" s="34">
        <v>-3.5</v>
      </c>
      <c r="KPW3425" s="34">
        <v>-3</v>
      </c>
      <c r="KPX3425" s="34">
        <v>-2.5</v>
      </c>
      <c r="KPY3425" s="34">
        <v>-2</v>
      </c>
      <c r="KPZ3425" s="34">
        <v>-1.5</v>
      </c>
      <c r="KQA3425" s="34">
        <v>-1</v>
      </c>
      <c r="KQB3425" s="34">
        <v>-0.5</v>
      </c>
      <c r="KQC3425" s="34">
        <v>0</v>
      </c>
      <c r="KQD3425" s="34">
        <v>0.5</v>
      </c>
      <c r="KQE3425" s="34">
        <v>1</v>
      </c>
      <c r="KQF3425" s="34">
        <v>1.5</v>
      </c>
      <c r="KQG3425" s="34">
        <v>2</v>
      </c>
      <c r="KQH3425" s="34">
        <v>2.5</v>
      </c>
      <c r="KQI3425" s="34">
        <v>3</v>
      </c>
      <c r="KQJ3425" s="34">
        <v>3.5</v>
      </c>
      <c r="KQK3425" s="34">
        <v>4</v>
      </c>
      <c r="KQL3425" s="34">
        <v>4.5</v>
      </c>
      <c r="KQM3425" s="34">
        <v>5</v>
      </c>
      <c r="KQO3425" s="913"/>
      <c r="KQP3425" s="31">
        <v>1</v>
      </c>
      <c r="KQQ3425" s="34">
        <v>0</v>
      </c>
      <c r="KQR3425" s="34">
        <v>-1</v>
      </c>
      <c r="KQS3425" s="34">
        <v>-2</v>
      </c>
      <c r="KQT3425" s="34">
        <v>-3</v>
      </c>
      <c r="KQU3425" s="34">
        <v>-4</v>
      </c>
      <c r="KQV3425" s="34">
        <v>-5</v>
      </c>
      <c r="KQW3425" s="908"/>
      <c r="KQX3425" s="909"/>
      <c r="KQY3425" s="34">
        <v>-5</v>
      </c>
      <c r="KQZ3425" s="34">
        <v>-4.5</v>
      </c>
      <c r="KRA3425" s="34">
        <v>-4</v>
      </c>
      <c r="KRB3425" s="34">
        <v>-3.5</v>
      </c>
      <c r="KRC3425" s="34">
        <v>-3</v>
      </c>
      <c r="KRD3425" s="34">
        <v>-2.5</v>
      </c>
      <c r="KRE3425" s="34">
        <v>-2</v>
      </c>
      <c r="KRF3425" s="34">
        <v>-1.5</v>
      </c>
      <c r="KRG3425" s="34">
        <v>-1</v>
      </c>
      <c r="KRH3425" s="34">
        <v>-0.5</v>
      </c>
      <c r="KRI3425" s="34">
        <v>0</v>
      </c>
      <c r="KRJ3425" s="34">
        <v>0.5</v>
      </c>
      <c r="KRK3425" s="34">
        <v>1</v>
      </c>
      <c r="KRL3425" s="34">
        <v>1.5</v>
      </c>
      <c r="KRM3425" s="34">
        <v>2</v>
      </c>
      <c r="KRN3425" s="34">
        <v>2.5</v>
      </c>
      <c r="KRO3425" s="34">
        <v>3</v>
      </c>
      <c r="KRP3425" s="34">
        <v>3.5</v>
      </c>
      <c r="KRQ3425" s="34">
        <v>4</v>
      </c>
      <c r="KRR3425" s="34">
        <v>4.5</v>
      </c>
      <c r="KRS3425" s="34">
        <v>5</v>
      </c>
      <c r="KRU3425" s="913"/>
      <c r="KRV3425" s="31">
        <v>1</v>
      </c>
      <c r="KRW3425" s="34">
        <v>0</v>
      </c>
      <c r="KRX3425" s="34">
        <v>-1</v>
      </c>
      <c r="KRY3425" s="34">
        <v>-2</v>
      </c>
      <c r="KRZ3425" s="34">
        <v>-3</v>
      </c>
      <c r="KSA3425" s="34">
        <v>-4</v>
      </c>
      <c r="KSB3425" s="34">
        <v>-5</v>
      </c>
      <c r="KSC3425" s="908"/>
      <c r="KSD3425" s="909"/>
      <c r="KSE3425" s="34">
        <v>-5</v>
      </c>
      <c r="KSF3425" s="34">
        <v>-4.5</v>
      </c>
      <c r="KSG3425" s="34">
        <v>-4</v>
      </c>
      <c r="KSH3425" s="34">
        <v>-3.5</v>
      </c>
      <c r="KSI3425" s="34">
        <v>-3</v>
      </c>
      <c r="KSJ3425" s="34">
        <v>-2.5</v>
      </c>
      <c r="KSK3425" s="34">
        <v>-2</v>
      </c>
      <c r="KSL3425" s="34">
        <v>-1.5</v>
      </c>
      <c r="KSM3425" s="34">
        <v>-1</v>
      </c>
      <c r="KSN3425" s="34">
        <v>-0.5</v>
      </c>
      <c r="KSO3425" s="34">
        <v>0</v>
      </c>
      <c r="KSP3425" s="34">
        <v>0.5</v>
      </c>
      <c r="KSQ3425" s="34">
        <v>1</v>
      </c>
      <c r="KSR3425" s="34">
        <v>1.5</v>
      </c>
      <c r="KSS3425" s="34">
        <v>2</v>
      </c>
      <c r="KST3425" s="34">
        <v>2.5</v>
      </c>
      <c r="KSU3425" s="34">
        <v>3</v>
      </c>
      <c r="KSV3425" s="34">
        <v>3.5</v>
      </c>
      <c r="KSW3425" s="34">
        <v>4</v>
      </c>
      <c r="KSX3425" s="34">
        <v>4.5</v>
      </c>
      <c r="KSY3425" s="34">
        <v>5</v>
      </c>
      <c r="KTA3425" s="913"/>
      <c r="KTB3425" s="31">
        <v>1</v>
      </c>
      <c r="KTC3425" s="34">
        <v>0</v>
      </c>
      <c r="KTD3425" s="34">
        <v>-1</v>
      </c>
      <c r="KTE3425" s="34">
        <v>-2</v>
      </c>
      <c r="KTF3425" s="34">
        <v>-3</v>
      </c>
      <c r="KTG3425" s="34">
        <v>-4</v>
      </c>
      <c r="KTH3425" s="34">
        <v>-5</v>
      </c>
      <c r="KTI3425" s="908"/>
      <c r="KTJ3425" s="909"/>
      <c r="KTK3425" s="34">
        <v>-5</v>
      </c>
      <c r="KTL3425" s="34">
        <v>-4.5</v>
      </c>
      <c r="KTM3425" s="34">
        <v>-4</v>
      </c>
      <c r="KTN3425" s="34">
        <v>-3.5</v>
      </c>
      <c r="KTO3425" s="34">
        <v>-3</v>
      </c>
      <c r="KTP3425" s="34">
        <v>-2.5</v>
      </c>
      <c r="KTQ3425" s="34">
        <v>-2</v>
      </c>
      <c r="KTR3425" s="34">
        <v>-1.5</v>
      </c>
      <c r="KTS3425" s="34">
        <v>-1</v>
      </c>
      <c r="KTT3425" s="34">
        <v>-0.5</v>
      </c>
      <c r="KTU3425" s="34">
        <v>0</v>
      </c>
      <c r="KTV3425" s="34">
        <v>0.5</v>
      </c>
      <c r="KTW3425" s="34">
        <v>1</v>
      </c>
      <c r="KTX3425" s="34">
        <v>1.5</v>
      </c>
      <c r="KTY3425" s="34">
        <v>2</v>
      </c>
      <c r="KTZ3425" s="34">
        <v>2.5</v>
      </c>
      <c r="KUA3425" s="34">
        <v>3</v>
      </c>
      <c r="KUB3425" s="34">
        <v>3.5</v>
      </c>
      <c r="KUC3425" s="34">
        <v>4</v>
      </c>
      <c r="KUD3425" s="34">
        <v>4.5</v>
      </c>
      <c r="KUE3425" s="34">
        <v>5</v>
      </c>
      <c r="KUG3425" s="913"/>
      <c r="KUH3425" s="31">
        <v>1</v>
      </c>
      <c r="KUI3425" s="34">
        <v>0</v>
      </c>
      <c r="KUJ3425" s="34">
        <v>-1</v>
      </c>
      <c r="KUK3425" s="34">
        <v>-2</v>
      </c>
      <c r="KUL3425" s="34">
        <v>-3</v>
      </c>
      <c r="KUM3425" s="34">
        <v>-4</v>
      </c>
      <c r="KUN3425" s="34">
        <v>-5</v>
      </c>
      <c r="KUO3425" s="908"/>
      <c r="KUP3425" s="909"/>
      <c r="KUQ3425" s="34">
        <v>-5</v>
      </c>
      <c r="KUR3425" s="34">
        <v>-4.5</v>
      </c>
      <c r="KUS3425" s="34">
        <v>-4</v>
      </c>
      <c r="KUT3425" s="34">
        <v>-3.5</v>
      </c>
      <c r="KUU3425" s="34">
        <v>-3</v>
      </c>
      <c r="KUV3425" s="34">
        <v>-2.5</v>
      </c>
      <c r="KUW3425" s="34">
        <v>-2</v>
      </c>
      <c r="KUX3425" s="34">
        <v>-1.5</v>
      </c>
      <c r="KUY3425" s="34">
        <v>-1</v>
      </c>
      <c r="KUZ3425" s="34">
        <v>-0.5</v>
      </c>
      <c r="KVA3425" s="34">
        <v>0</v>
      </c>
      <c r="KVB3425" s="34">
        <v>0.5</v>
      </c>
      <c r="KVC3425" s="34">
        <v>1</v>
      </c>
      <c r="KVD3425" s="34">
        <v>1.5</v>
      </c>
      <c r="KVE3425" s="34">
        <v>2</v>
      </c>
      <c r="KVF3425" s="34">
        <v>2.5</v>
      </c>
      <c r="KVG3425" s="34">
        <v>3</v>
      </c>
      <c r="KVH3425" s="34">
        <v>3.5</v>
      </c>
      <c r="KVI3425" s="34">
        <v>4</v>
      </c>
      <c r="KVJ3425" s="34">
        <v>4.5</v>
      </c>
      <c r="KVK3425" s="34">
        <v>5</v>
      </c>
      <c r="KVM3425" s="913"/>
      <c r="KVN3425" s="31">
        <v>1</v>
      </c>
      <c r="KVO3425" s="34">
        <v>0</v>
      </c>
      <c r="KVP3425" s="34">
        <v>-1</v>
      </c>
      <c r="KVQ3425" s="34">
        <v>-2</v>
      </c>
      <c r="KVR3425" s="34">
        <v>-3</v>
      </c>
      <c r="KVS3425" s="34">
        <v>-4</v>
      </c>
      <c r="KVT3425" s="34">
        <v>-5</v>
      </c>
      <c r="KVU3425" s="908"/>
      <c r="KVV3425" s="909"/>
      <c r="KVW3425" s="34">
        <v>-5</v>
      </c>
      <c r="KVX3425" s="34">
        <v>-4.5</v>
      </c>
      <c r="KVY3425" s="34">
        <v>-4</v>
      </c>
      <c r="KVZ3425" s="34">
        <v>-3.5</v>
      </c>
      <c r="KWA3425" s="34">
        <v>-3</v>
      </c>
      <c r="KWB3425" s="34">
        <v>-2.5</v>
      </c>
      <c r="KWC3425" s="34">
        <v>-2</v>
      </c>
      <c r="KWD3425" s="34">
        <v>-1.5</v>
      </c>
      <c r="KWE3425" s="34">
        <v>-1</v>
      </c>
      <c r="KWF3425" s="34">
        <v>-0.5</v>
      </c>
      <c r="KWG3425" s="34">
        <v>0</v>
      </c>
      <c r="KWH3425" s="34">
        <v>0.5</v>
      </c>
      <c r="KWI3425" s="34">
        <v>1</v>
      </c>
      <c r="KWJ3425" s="34">
        <v>1.5</v>
      </c>
      <c r="KWK3425" s="34">
        <v>2</v>
      </c>
      <c r="KWL3425" s="34">
        <v>2.5</v>
      </c>
      <c r="KWM3425" s="34">
        <v>3</v>
      </c>
      <c r="KWN3425" s="34">
        <v>3.5</v>
      </c>
      <c r="KWO3425" s="34">
        <v>4</v>
      </c>
      <c r="KWP3425" s="34">
        <v>4.5</v>
      </c>
      <c r="KWQ3425" s="34">
        <v>5</v>
      </c>
      <c r="KWS3425" s="913"/>
      <c r="KWT3425" s="31">
        <v>1</v>
      </c>
      <c r="KWU3425" s="34">
        <v>0</v>
      </c>
      <c r="KWV3425" s="34">
        <v>-1</v>
      </c>
      <c r="KWW3425" s="34">
        <v>-2</v>
      </c>
      <c r="KWX3425" s="34">
        <v>-3</v>
      </c>
      <c r="KWY3425" s="34">
        <v>-4</v>
      </c>
      <c r="KWZ3425" s="34">
        <v>-5</v>
      </c>
      <c r="KXA3425" s="908"/>
      <c r="KXB3425" s="909"/>
      <c r="KXC3425" s="34">
        <v>-5</v>
      </c>
      <c r="KXD3425" s="34">
        <v>-4.5</v>
      </c>
      <c r="KXE3425" s="34">
        <v>-4</v>
      </c>
      <c r="KXF3425" s="34">
        <v>-3.5</v>
      </c>
      <c r="KXG3425" s="34">
        <v>-3</v>
      </c>
      <c r="KXH3425" s="34">
        <v>-2.5</v>
      </c>
      <c r="KXI3425" s="34">
        <v>-2</v>
      </c>
      <c r="KXJ3425" s="34">
        <v>-1.5</v>
      </c>
      <c r="KXK3425" s="34">
        <v>-1</v>
      </c>
      <c r="KXL3425" s="34">
        <v>-0.5</v>
      </c>
      <c r="KXM3425" s="34">
        <v>0</v>
      </c>
      <c r="KXN3425" s="34">
        <v>0.5</v>
      </c>
      <c r="KXO3425" s="34">
        <v>1</v>
      </c>
      <c r="KXP3425" s="34">
        <v>1.5</v>
      </c>
      <c r="KXQ3425" s="34">
        <v>2</v>
      </c>
      <c r="KXR3425" s="34">
        <v>2.5</v>
      </c>
      <c r="KXS3425" s="34">
        <v>3</v>
      </c>
      <c r="KXT3425" s="34">
        <v>3.5</v>
      </c>
      <c r="KXU3425" s="34">
        <v>4</v>
      </c>
      <c r="KXV3425" s="34">
        <v>4.5</v>
      </c>
      <c r="KXW3425" s="34">
        <v>5</v>
      </c>
      <c r="KXY3425" s="913"/>
      <c r="KXZ3425" s="31">
        <v>1</v>
      </c>
      <c r="KYA3425" s="34">
        <v>0</v>
      </c>
      <c r="KYB3425" s="34">
        <v>-1</v>
      </c>
      <c r="KYC3425" s="34">
        <v>-2</v>
      </c>
      <c r="KYD3425" s="34">
        <v>-3</v>
      </c>
      <c r="KYE3425" s="34">
        <v>-4</v>
      </c>
      <c r="KYF3425" s="34">
        <v>-5</v>
      </c>
      <c r="KYG3425" s="908"/>
      <c r="KYH3425" s="909"/>
      <c r="KYI3425" s="34">
        <v>-5</v>
      </c>
      <c r="KYJ3425" s="34">
        <v>-4.5</v>
      </c>
      <c r="KYK3425" s="34">
        <v>-4</v>
      </c>
      <c r="KYL3425" s="34">
        <v>-3.5</v>
      </c>
      <c r="KYM3425" s="34">
        <v>-3</v>
      </c>
      <c r="KYN3425" s="34">
        <v>-2.5</v>
      </c>
      <c r="KYO3425" s="34">
        <v>-2</v>
      </c>
      <c r="KYP3425" s="34">
        <v>-1.5</v>
      </c>
      <c r="KYQ3425" s="34">
        <v>-1</v>
      </c>
      <c r="KYR3425" s="34">
        <v>-0.5</v>
      </c>
      <c r="KYS3425" s="34">
        <v>0</v>
      </c>
      <c r="KYT3425" s="34">
        <v>0.5</v>
      </c>
      <c r="KYU3425" s="34">
        <v>1</v>
      </c>
      <c r="KYV3425" s="34">
        <v>1.5</v>
      </c>
      <c r="KYW3425" s="34">
        <v>2</v>
      </c>
      <c r="KYX3425" s="34">
        <v>2.5</v>
      </c>
      <c r="KYY3425" s="34">
        <v>3</v>
      </c>
      <c r="KYZ3425" s="34">
        <v>3.5</v>
      </c>
      <c r="KZA3425" s="34">
        <v>4</v>
      </c>
      <c r="KZB3425" s="34">
        <v>4.5</v>
      </c>
      <c r="KZC3425" s="34">
        <v>5</v>
      </c>
      <c r="KZE3425" s="913"/>
      <c r="KZF3425" s="31">
        <v>1</v>
      </c>
      <c r="KZG3425" s="34">
        <v>0</v>
      </c>
      <c r="KZH3425" s="34">
        <v>-1</v>
      </c>
      <c r="KZI3425" s="34">
        <v>-2</v>
      </c>
      <c r="KZJ3425" s="34">
        <v>-3</v>
      </c>
      <c r="KZK3425" s="34">
        <v>-4</v>
      </c>
      <c r="KZL3425" s="34">
        <v>-5</v>
      </c>
      <c r="KZM3425" s="908"/>
      <c r="KZN3425" s="909"/>
      <c r="KZO3425" s="34">
        <v>-5</v>
      </c>
      <c r="KZP3425" s="34">
        <v>-4.5</v>
      </c>
      <c r="KZQ3425" s="34">
        <v>-4</v>
      </c>
      <c r="KZR3425" s="34">
        <v>-3.5</v>
      </c>
      <c r="KZS3425" s="34">
        <v>-3</v>
      </c>
      <c r="KZT3425" s="34">
        <v>-2.5</v>
      </c>
      <c r="KZU3425" s="34">
        <v>-2</v>
      </c>
      <c r="KZV3425" s="34">
        <v>-1.5</v>
      </c>
      <c r="KZW3425" s="34">
        <v>-1</v>
      </c>
      <c r="KZX3425" s="34">
        <v>-0.5</v>
      </c>
      <c r="KZY3425" s="34">
        <v>0</v>
      </c>
      <c r="KZZ3425" s="34">
        <v>0.5</v>
      </c>
      <c r="LAA3425" s="34">
        <v>1</v>
      </c>
      <c r="LAB3425" s="34">
        <v>1.5</v>
      </c>
      <c r="LAC3425" s="34">
        <v>2</v>
      </c>
      <c r="LAD3425" s="34">
        <v>2.5</v>
      </c>
      <c r="LAE3425" s="34">
        <v>3</v>
      </c>
      <c r="LAF3425" s="34">
        <v>3.5</v>
      </c>
      <c r="LAG3425" s="34">
        <v>4</v>
      </c>
      <c r="LAH3425" s="34">
        <v>4.5</v>
      </c>
      <c r="LAI3425" s="34">
        <v>5</v>
      </c>
      <c r="LAK3425" s="913"/>
      <c r="LAL3425" s="31">
        <v>1</v>
      </c>
      <c r="LAM3425" s="34">
        <v>0</v>
      </c>
      <c r="LAN3425" s="34">
        <v>-1</v>
      </c>
      <c r="LAO3425" s="34">
        <v>-2</v>
      </c>
      <c r="LAP3425" s="34">
        <v>-3</v>
      </c>
      <c r="LAQ3425" s="34">
        <v>-4</v>
      </c>
      <c r="LAR3425" s="34">
        <v>-5</v>
      </c>
      <c r="LAS3425" s="908"/>
      <c r="LAT3425" s="909"/>
      <c r="LAU3425" s="34">
        <v>-5</v>
      </c>
      <c r="LAV3425" s="34">
        <v>-4.5</v>
      </c>
      <c r="LAW3425" s="34">
        <v>-4</v>
      </c>
      <c r="LAX3425" s="34">
        <v>-3.5</v>
      </c>
      <c r="LAY3425" s="34">
        <v>-3</v>
      </c>
      <c r="LAZ3425" s="34">
        <v>-2.5</v>
      </c>
      <c r="LBA3425" s="34">
        <v>-2</v>
      </c>
      <c r="LBB3425" s="34">
        <v>-1.5</v>
      </c>
      <c r="LBC3425" s="34">
        <v>-1</v>
      </c>
      <c r="LBD3425" s="34">
        <v>-0.5</v>
      </c>
      <c r="LBE3425" s="34">
        <v>0</v>
      </c>
      <c r="LBF3425" s="34">
        <v>0.5</v>
      </c>
      <c r="LBG3425" s="34">
        <v>1</v>
      </c>
      <c r="LBH3425" s="34">
        <v>1.5</v>
      </c>
      <c r="LBI3425" s="34">
        <v>2</v>
      </c>
      <c r="LBJ3425" s="34">
        <v>2.5</v>
      </c>
      <c r="LBK3425" s="34">
        <v>3</v>
      </c>
      <c r="LBL3425" s="34">
        <v>3.5</v>
      </c>
      <c r="LBM3425" s="34">
        <v>4</v>
      </c>
      <c r="LBN3425" s="34">
        <v>4.5</v>
      </c>
      <c r="LBO3425" s="34">
        <v>5</v>
      </c>
      <c r="LBQ3425" s="913"/>
      <c r="LBR3425" s="31">
        <v>1</v>
      </c>
      <c r="LBS3425" s="34">
        <v>0</v>
      </c>
      <c r="LBT3425" s="34">
        <v>-1</v>
      </c>
      <c r="LBU3425" s="34">
        <v>-2</v>
      </c>
      <c r="LBV3425" s="34">
        <v>-3</v>
      </c>
      <c r="LBW3425" s="34">
        <v>-4</v>
      </c>
      <c r="LBX3425" s="34">
        <v>-5</v>
      </c>
      <c r="LBY3425" s="908"/>
      <c r="LBZ3425" s="909"/>
      <c r="LCA3425" s="34">
        <v>-5</v>
      </c>
      <c r="LCB3425" s="34">
        <v>-4.5</v>
      </c>
      <c r="LCC3425" s="34">
        <v>-4</v>
      </c>
      <c r="LCD3425" s="34">
        <v>-3.5</v>
      </c>
      <c r="LCE3425" s="34">
        <v>-3</v>
      </c>
      <c r="LCF3425" s="34">
        <v>-2.5</v>
      </c>
      <c r="LCG3425" s="34">
        <v>-2</v>
      </c>
      <c r="LCH3425" s="34">
        <v>-1.5</v>
      </c>
      <c r="LCI3425" s="34">
        <v>-1</v>
      </c>
      <c r="LCJ3425" s="34">
        <v>-0.5</v>
      </c>
      <c r="LCK3425" s="34">
        <v>0</v>
      </c>
      <c r="LCL3425" s="34">
        <v>0.5</v>
      </c>
      <c r="LCM3425" s="34">
        <v>1</v>
      </c>
      <c r="LCN3425" s="34">
        <v>1.5</v>
      </c>
      <c r="LCO3425" s="34">
        <v>2</v>
      </c>
      <c r="LCP3425" s="34">
        <v>2.5</v>
      </c>
      <c r="LCQ3425" s="34">
        <v>3</v>
      </c>
      <c r="LCR3425" s="34">
        <v>3.5</v>
      </c>
      <c r="LCS3425" s="34">
        <v>4</v>
      </c>
      <c r="LCT3425" s="34">
        <v>4.5</v>
      </c>
      <c r="LCU3425" s="34">
        <v>5</v>
      </c>
      <c r="LCW3425" s="913"/>
      <c r="LCX3425" s="31">
        <v>1</v>
      </c>
      <c r="LCY3425" s="34">
        <v>0</v>
      </c>
      <c r="LCZ3425" s="34">
        <v>-1</v>
      </c>
      <c r="LDA3425" s="34">
        <v>-2</v>
      </c>
      <c r="LDB3425" s="34">
        <v>-3</v>
      </c>
      <c r="LDC3425" s="34">
        <v>-4</v>
      </c>
      <c r="LDD3425" s="34">
        <v>-5</v>
      </c>
      <c r="LDE3425" s="908"/>
      <c r="LDF3425" s="909"/>
      <c r="LDG3425" s="34">
        <v>-5</v>
      </c>
      <c r="LDH3425" s="34">
        <v>-4.5</v>
      </c>
      <c r="LDI3425" s="34">
        <v>-4</v>
      </c>
      <c r="LDJ3425" s="34">
        <v>-3.5</v>
      </c>
      <c r="LDK3425" s="34">
        <v>-3</v>
      </c>
      <c r="LDL3425" s="34">
        <v>-2.5</v>
      </c>
      <c r="LDM3425" s="34">
        <v>-2</v>
      </c>
      <c r="LDN3425" s="34">
        <v>-1.5</v>
      </c>
      <c r="LDO3425" s="34">
        <v>-1</v>
      </c>
      <c r="LDP3425" s="34">
        <v>-0.5</v>
      </c>
      <c r="LDQ3425" s="34">
        <v>0</v>
      </c>
      <c r="LDR3425" s="34">
        <v>0.5</v>
      </c>
      <c r="LDS3425" s="34">
        <v>1</v>
      </c>
      <c r="LDT3425" s="34">
        <v>1.5</v>
      </c>
      <c r="LDU3425" s="34">
        <v>2</v>
      </c>
      <c r="LDV3425" s="34">
        <v>2.5</v>
      </c>
      <c r="LDW3425" s="34">
        <v>3</v>
      </c>
      <c r="LDX3425" s="34">
        <v>3.5</v>
      </c>
      <c r="LDY3425" s="34">
        <v>4</v>
      </c>
      <c r="LDZ3425" s="34">
        <v>4.5</v>
      </c>
      <c r="LEA3425" s="34">
        <v>5</v>
      </c>
      <c r="LEC3425" s="913"/>
      <c r="LED3425" s="31">
        <v>1</v>
      </c>
      <c r="LEE3425" s="34">
        <v>0</v>
      </c>
      <c r="LEF3425" s="34">
        <v>-1</v>
      </c>
      <c r="LEG3425" s="34">
        <v>-2</v>
      </c>
      <c r="LEH3425" s="34">
        <v>-3</v>
      </c>
      <c r="LEI3425" s="34">
        <v>-4</v>
      </c>
      <c r="LEJ3425" s="34">
        <v>-5</v>
      </c>
      <c r="LEK3425" s="908"/>
      <c r="LEL3425" s="909"/>
      <c r="LEM3425" s="34">
        <v>-5</v>
      </c>
      <c r="LEN3425" s="34">
        <v>-4.5</v>
      </c>
      <c r="LEO3425" s="34">
        <v>-4</v>
      </c>
      <c r="LEP3425" s="34">
        <v>-3.5</v>
      </c>
      <c r="LEQ3425" s="34">
        <v>-3</v>
      </c>
      <c r="LER3425" s="34">
        <v>-2.5</v>
      </c>
      <c r="LES3425" s="34">
        <v>-2</v>
      </c>
      <c r="LET3425" s="34">
        <v>-1.5</v>
      </c>
      <c r="LEU3425" s="34">
        <v>-1</v>
      </c>
      <c r="LEV3425" s="34">
        <v>-0.5</v>
      </c>
      <c r="LEW3425" s="34">
        <v>0</v>
      </c>
      <c r="LEX3425" s="34">
        <v>0.5</v>
      </c>
      <c r="LEY3425" s="34">
        <v>1</v>
      </c>
      <c r="LEZ3425" s="34">
        <v>1.5</v>
      </c>
      <c r="LFA3425" s="34">
        <v>2</v>
      </c>
      <c r="LFB3425" s="34">
        <v>2.5</v>
      </c>
      <c r="LFC3425" s="34">
        <v>3</v>
      </c>
      <c r="LFD3425" s="34">
        <v>3.5</v>
      </c>
      <c r="LFE3425" s="34">
        <v>4</v>
      </c>
      <c r="LFF3425" s="34">
        <v>4.5</v>
      </c>
      <c r="LFG3425" s="34">
        <v>5</v>
      </c>
      <c r="LFI3425" s="913"/>
      <c r="LFJ3425" s="31">
        <v>1</v>
      </c>
      <c r="LFK3425" s="34">
        <v>0</v>
      </c>
      <c r="LFL3425" s="34">
        <v>-1</v>
      </c>
      <c r="LFM3425" s="34">
        <v>-2</v>
      </c>
      <c r="LFN3425" s="34">
        <v>-3</v>
      </c>
      <c r="LFO3425" s="34">
        <v>-4</v>
      </c>
      <c r="LFP3425" s="34">
        <v>-5</v>
      </c>
      <c r="LFQ3425" s="908"/>
      <c r="LFR3425" s="909"/>
      <c r="LFS3425" s="34">
        <v>-5</v>
      </c>
      <c r="LFT3425" s="34">
        <v>-4.5</v>
      </c>
      <c r="LFU3425" s="34">
        <v>-4</v>
      </c>
      <c r="LFV3425" s="34">
        <v>-3.5</v>
      </c>
      <c r="LFW3425" s="34">
        <v>-3</v>
      </c>
      <c r="LFX3425" s="34">
        <v>-2.5</v>
      </c>
      <c r="LFY3425" s="34">
        <v>-2</v>
      </c>
      <c r="LFZ3425" s="34">
        <v>-1.5</v>
      </c>
      <c r="LGA3425" s="34">
        <v>-1</v>
      </c>
      <c r="LGB3425" s="34">
        <v>-0.5</v>
      </c>
      <c r="LGC3425" s="34">
        <v>0</v>
      </c>
      <c r="LGD3425" s="34">
        <v>0.5</v>
      </c>
      <c r="LGE3425" s="34">
        <v>1</v>
      </c>
      <c r="LGF3425" s="34">
        <v>1.5</v>
      </c>
      <c r="LGG3425" s="34">
        <v>2</v>
      </c>
      <c r="LGH3425" s="34">
        <v>2.5</v>
      </c>
      <c r="LGI3425" s="34">
        <v>3</v>
      </c>
      <c r="LGJ3425" s="34">
        <v>3.5</v>
      </c>
      <c r="LGK3425" s="34">
        <v>4</v>
      </c>
      <c r="LGL3425" s="34">
        <v>4.5</v>
      </c>
      <c r="LGM3425" s="34">
        <v>5</v>
      </c>
      <c r="LGO3425" s="913"/>
      <c r="LGP3425" s="31">
        <v>1</v>
      </c>
      <c r="LGQ3425" s="34">
        <v>0</v>
      </c>
      <c r="LGR3425" s="34">
        <v>-1</v>
      </c>
      <c r="LGS3425" s="34">
        <v>-2</v>
      </c>
      <c r="LGT3425" s="34">
        <v>-3</v>
      </c>
      <c r="LGU3425" s="34">
        <v>-4</v>
      </c>
      <c r="LGV3425" s="34">
        <v>-5</v>
      </c>
      <c r="LGW3425" s="908"/>
      <c r="LGX3425" s="909"/>
      <c r="LGY3425" s="34">
        <v>-5</v>
      </c>
      <c r="LGZ3425" s="34">
        <v>-4.5</v>
      </c>
      <c r="LHA3425" s="34">
        <v>-4</v>
      </c>
      <c r="LHB3425" s="34">
        <v>-3.5</v>
      </c>
      <c r="LHC3425" s="34">
        <v>-3</v>
      </c>
      <c r="LHD3425" s="34">
        <v>-2.5</v>
      </c>
      <c r="LHE3425" s="34">
        <v>-2</v>
      </c>
      <c r="LHF3425" s="34">
        <v>-1.5</v>
      </c>
      <c r="LHG3425" s="34">
        <v>-1</v>
      </c>
      <c r="LHH3425" s="34">
        <v>-0.5</v>
      </c>
      <c r="LHI3425" s="34">
        <v>0</v>
      </c>
      <c r="LHJ3425" s="34">
        <v>0.5</v>
      </c>
      <c r="LHK3425" s="34">
        <v>1</v>
      </c>
      <c r="LHL3425" s="34">
        <v>1.5</v>
      </c>
      <c r="LHM3425" s="34">
        <v>2</v>
      </c>
      <c r="LHN3425" s="34">
        <v>2.5</v>
      </c>
      <c r="LHO3425" s="34">
        <v>3</v>
      </c>
      <c r="LHP3425" s="34">
        <v>3.5</v>
      </c>
      <c r="LHQ3425" s="34">
        <v>4</v>
      </c>
      <c r="LHR3425" s="34">
        <v>4.5</v>
      </c>
      <c r="LHS3425" s="34">
        <v>5</v>
      </c>
      <c r="LHU3425" s="913"/>
      <c r="LHV3425" s="31">
        <v>1</v>
      </c>
      <c r="LHW3425" s="34">
        <v>0</v>
      </c>
      <c r="LHX3425" s="34">
        <v>-1</v>
      </c>
      <c r="LHY3425" s="34">
        <v>-2</v>
      </c>
      <c r="LHZ3425" s="34">
        <v>-3</v>
      </c>
      <c r="LIA3425" s="34">
        <v>-4</v>
      </c>
      <c r="LIB3425" s="34">
        <v>-5</v>
      </c>
      <c r="LIC3425" s="908"/>
      <c r="LID3425" s="909"/>
      <c r="LIE3425" s="34">
        <v>-5</v>
      </c>
      <c r="LIF3425" s="34">
        <v>-4.5</v>
      </c>
      <c r="LIG3425" s="34">
        <v>-4</v>
      </c>
      <c r="LIH3425" s="34">
        <v>-3.5</v>
      </c>
      <c r="LII3425" s="34">
        <v>-3</v>
      </c>
      <c r="LIJ3425" s="34">
        <v>-2.5</v>
      </c>
      <c r="LIK3425" s="34">
        <v>-2</v>
      </c>
      <c r="LIL3425" s="34">
        <v>-1.5</v>
      </c>
      <c r="LIM3425" s="34">
        <v>-1</v>
      </c>
      <c r="LIN3425" s="34">
        <v>-0.5</v>
      </c>
      <c r="LIO3425" s="34">
        <v>0</v>
      </c>
      <c r="LIP3425" s="34">
        <v>0.5</v>
      </c>
      <c r="LIQ3425" s="34">
        <v>1</v>
      </c>
      <c r="LIR3425" s="34">
        <v>1.5</v>
      </c>
      <c r="LIS3425" s="34">
        <v>2</v>
      </c>
      <c r="LIT3425" s="34">
        <v>2.5</v>
      </c>
      <c r="LIU3425" s="34">
        <v>3</v>
      </c>
      <c r="LIV3425" s="34">
        <v>3.5</v>
      </c>
      <c r="LIW3425" s="34">
        <v>4</v>
      </c>
      <c r="LIX3425" s="34">
        <v>4.5</v>
      </c>
      <c r="LIY3425" s="34">
        <v>5</v>
      </c>
      <c r="LJA3425" s="913"/>
      <c r="LJB3425" s="31">
        <v>1</v>
      </c>
      <c r="LJC3425" s="34">
        <v>0</v>
      </c>
      <c r="LJD3425" s="34">
        <v>-1</v>
      </c>
      <c r="LJE3425" s="34">
        <v>-2</v>
      </c>
      <c r="LJF3425" s="34">
        <v>-3</v>
      </c>
      <c r="LJG3425" s="34">
        <v>-4</v>
      </c>
      <c r="LJH3425" s="34">
        <v>-5</v>
      </c>
      <c r="LJI3425" s="908"/>
      <c r="LJJ3425" s="909"/>
      <c r="LJK3425" s="34">
        <v>-5</v>
      </c>
      <c r="LJL3425" s="34">
        <v>-4.5</v>
      </c>
      <c r="LJM3425" s="34">
        <v>-4</v>
      </c>
      <c r="LJN3425" s="34">
        <v>-3.5</v>
      </c>
      <c r="LJO3425" s="34">
        <v>-3</v>
      </c>
      <c r="LJP3425" s="34">
        <v>-2.5</v>
      </c>
      <c r="LJQ3425" s="34">
        <v>-2</v>
      </c>
      <c r="LJR3425" s="34">
        <v>-1.5</v>
      </c>
      <c r="LJS3425" s="34">
        <v>-1</v>
      </c>
      <c r="LJT3425" s="34">
        <v>-0.5</v>
      </c>
      <c r="LJU3425" s="34">
        <v>0</v>
      </c>
      <c r="LJV3425" s="34">
        <v>0.5</v>
      </c>
      <c r="LJW3425" s="34">
        <v>1</v>
      </c>
      <c r="LJX3425" s="34">
        <v>1.5</v>
      </c>
      <c r="LJY3425" s="34">
        <v>2</v>
      </c>
      <c r="LJZ3425" s="34">
        <v>2.5</v>
      </c>
      <c r="LKA3425" s="34">
        <v>3</v>
      </c>
      <c r="LKB3425" s="34">
        <v>3.5</v>
      </c>
      <c r="LKC3425" s="34">
        <v>4</v>
      </c>
      <c r="LKD3425" s="34">
        <v>4.5</v>
      </c>
      <c r="LKE3425" s="34">
        <v>5</v>
      </c>
      <c r="LKG3425" s="913"/>
      <c r="LKH3425" s="31">
        <v>1</v>
      </c>
      <c r="LKI3425" s="34">
        <v>0</v>
      </c>
      <c r="LKJ3425" s="34">
        <v>-1</v>
      </c>
      <c r="LKK3425" s="34">
        <v>-2</v>
      </c>
      <c r="LKL3425" s="34">
        <v>-3</v>
      </c>
      <c r="LKM3425" s="34">
        <v>-4</v>
      </c>
      <c r="LKN3425" s="34">
        <v>-5</v>
      </c>
      <c r="LKO3425" s="908"/>
      <c r="LKP3425" s="909"/>
      <c r="LKQ3425" s="34">
        <v>-5</v>
      </c>
      <c r="LKR3425" s="34">
        <v>-4.5</v>
      </c>
      <c r="LKS3425" s="34">
        <v>-4</v>
      </c>
      <c r="LKT3425" s="34">
        <v>-3.5</v>
      </c>
      <c r="LKU3425" s="34">
        <v>-3</v>
      </c>
      <c r="LKV3425" s="34">
        <v>-2.5</v>
      </c>
      <c r="LKW3425" s="34">
        <v>-2</v>
      </c>
      <c r="LKX3425" s="34">
        <v>-1.5</v>
      </c>
      <c r="LKY3425" s="34">
        <v>-1</v>
      </c>
      <c r="LKZ3425" s="34">
        <v>-0.5</v>
      </c>
      <c r="LLA3425" s="34">
        <v>0</v>
      </c>
      <c r="LLB3425" s="34">
        <v>0.5</v>
      </c>
      <c r="LLC3425" s="34">
        <v>1</v>
      </c>
      <c r="LLD3425" s="34">
        <v>1.5</v>
      </c>
      <c r="LLE3425" s="34">
        <v>2</v>
      </c>
      <c r="LLF3425" s="34">
        <v>2.5</v>
      </c>
      <c r="LLG3425" s="34">
        <v>3</v>
      </c>
      <c r="LLH3425" s="34">
        <v>3.5</v>
      </c>
      <c r="LLI3425" s="34">
        <v>4</v>
      </c>
      <c r="LLJ3425" s="34">
        <v>4.5</v>
      </c>
      <c r="LLK3425" s="34">
        <v>5</v>
      </c>
      <c r="LLM3425" s="913"/>
      <c r="LLN3425" s="31">
        <v>1</v>
      </c>
      <c r="LLO3425" s="34">
        <v>0</v>
      </c>
      <c r="LLP3425" s="34">
        <v>-1</v>
      </c>
      <c r="LLQ3425" s="34">
        <v>-2</v>
      </c>
      <c r="LLR3425" s="34">
        <v>-3</v>
      </c>
      <c r="LLS3425" s="34">
        <v>-4</v>
      </c>
      <c r="LLT3425" s="34">
        <v>-5</v>
      </c>
      <c r="LLU3425" s="908"/>
      <c r="LLV3425" s="909"/>
      <c r="LLW3425" s="34">
        <v>-5</v>
      </c>
      <c r="LLX3425" s="34">
        <v>-4.5</v>
      </c>
      <c r="LLY3425" s="34">
        <v>-4</v>
      </c>
      <c r="LLZ3425" s="34">
        <v>-3.5</v>
      </c>
      <c r="LMA3425" s="34">
        <v>-3</v>
      </c>
      <c r="LMB3425" s="34">
        <v>-2.5</v>
      </c>
      <c r="LMC3425" s="34">
        <v>-2</v>
      </c>
      <c r="LMD3425" s="34">
        <v>-1.5</v>
      </c>
      <c r="LME3425" s="34">
        <v>-1</v>
      </c>
      <c r="LMF3425" s="34">
        <v>-0.5</v>
      </c>
      <c r="LMG3425" s="34">
        <v>0</v>
      </c>
      <c r="LMH3425" s="34">
        <v>0.5</v>
      </c>
      <c r="LMI3425" s="34">
        <v>1</v>
      </c>
      <c r="LMJ3425" s="34">
        <v>1.5</v>
      </c>
      <c r="LMK3425" s="34">
        <v>2</v>
      </c>
      <c r="LML3425" s="34">
        <v>2.5</v>
      </c>
      <c r="LMM3425" s="34">
        <v>3</v>
      </c>
      <c r="LMN3425" s="34">
        <v>3.5</v>
      </c>
      <c r="LMO3425" s="34">
        <v>4</v>
      </c>
      <c r="LMP3425" s="34">
        <v>4.5</v>
      </c>
      <c r="LMQ3425" s="34">
        <v>5</v>
      </c>
      <c r="LMS3425" s="913"/>
      <c r="LMT3425" s="31">
        <v>1</v>
      </c>
      <c r="LMU3425" s="34">
        <v>0</v>
      </c>
      <c r="LMV3425" s="34">
        <v>-1</v>
      </c>
      <c r="LMW3425" s="34">
        <v>-2</v>
      </c>
      <c r="LMX3425" s="34">
        <v>-3</v>
      </c>
      <c r="LMY3425" s="34">
        <v>-4</v>
      </c>
      <c r="LMZ3425" s="34">
        <v>-5</v>
      </c>
      <c r="LNA3425" s="908"/>
      <c r="LNB3425" s="909"/>
      <c r="LNC3425" s="34">
        <v>-5</v>
      </c>
      <c r="LND3425" s="34">
        <v>-4.5</v>
      </c>
      <c r="LNE3425" s="34">
        <v>-4</v>
      </c>
      <c r="LNF3425" s="34">
        <v>-3.5</v>
      </c>
      <c r="LNG3425" s="34">
        <v>-3</v>
      </c>
      <c r="LNH3425" s="34">
        <v>-2.5</v>
      </c>
      <c r="LNI3425" s="34">
        <v>-2</v>
      </c>
      <c r="LNJ3425" s="34">
        <v>-1.5</v>
      </c>
      <c r="LNK3425" s="34">
        <v>-1</v>
      </c>
      <c r="LNL3425" s="34">
        <v>-0.5</v>
      </c>
      <c r="LNM3425" s="34">
        <v>0</v>
      </c>
      <c r="LNN3425" s="34">
        <v>0.5</v>
      </c>
      <c r="LNO3425" s="34">
        <v>1</v>
      </c>
      <c r="LNP3425" s="34">
        <v>1.5</v>
      </c>
      <c r="LNQ3425" s="34">
        <v>2</v>
      </c>
      <c r="LNR3425" s="34">
        <v>2.5</v>
      </c>
      <c r="LNS3425" s="34">
        <v>3</v>
      </c>
      <c r="LNT3425" s="34">
        <v>3.5</v>
      </c>
      <c r="LNU3425" s="34">
        <v>4</v>
      </c>
      <c r="LNV3425" s="34">
        <v>4.5</v>
      </c>
      <c r="LNW3425" s="34">
        <v>5</v>
      </c>
      <c r="LNY3425" s="913"/>
      <c r="LNZ3425" s="31">
        <v>1</v>
      </c>
      <c r="LOA3425" s="34">
        <v>0</v>
      </c>
      <c r="LOB3425" s="34">
        <v>-1</v>
      </c>
      <c r="LOC3425" s="34">
        <v>-2</v>
      </c>
      <c r="LOD3425" s="34">
        <v>-3</v>
      </c>
      <c r="LOE3425" s="34">
        <v>-4</v>
      </c>
      <c r="LOF3425" s="34">
        <v>-5</v>
      </c>
      <c r="LOG3425" s="908"/>
      <c r="LOH3425" s="909"/>
      <c r="LOI3425" s="34">
        <v>-5</v>
      </c>
      <c r="LOJ3425" s="34">
        <v>-4.5</v>
      </c>
      <c r="LOK3425" s="34">
        <v>-4</v>
      </c>
      <c r="LOL3425" s="34">
        <v>-3.5</v>
      </c>
      <c r="LOM3425" s="34">
        <v>-3</v>
      </c>
      <c r="LON3425" s="34">
        <v>-2.5</v>
      </c>
      <c r="LOO3425" s="34">
        <v>-2</v>
      </c>
      <c r="LOP3425" s="34">
        <v>-1.5</v>
      </c>
      <c r="LOQ3425" s="34">
        <v>-1</v>
      </c>
      <c r="LOR3425" s="34">
        <v>-0.5</v>
      </c>
      <c r="LOS3425" s="34">
        <v>0</v>
      </c>
      <c r="LOT3425" s="34">
        <v>0.5</v>
      </c>
      <c r="LOU3425" s="34">
        <v>1</v>
      </c>
      <c r="LOV3425" s="34">
        <v>1.5</v>
      </c>
      <c r="LOW3425" s="34">
        <v>2</v>
      </c>
      <c r="LOX3425" s="34">
        <v>2.5</v>
      </c>
      <c r="LOY3425" s="34">
        <v>3</v>
      </c>
      <c r="LOZ3425" s="34">
        <v>3.5</v>
      </c>
      <c r="LPA3425" s="34">
        <v>4</v>
      </c>
      <c r="LPB3425" s="34">
        <v>4.5</v>
      </c>
      <c r="LPC3425" s="34">
        <v>5</v>
      </c>
      <c r="LPE3425" s="913"/>
      <c r="LPF3425" s="31">
        <v>1</v>
      </c>
      <c r="LPG3425" s="34">
        <v>0</v>
      </c>
      <c r="LPH3425" s="34">
        <v>-1</v>
      </c>
      <c r="LPI3425" s="34">
        <v>-2</v>
      </c>
      <c r="LPJ3425" s="34">
        <v>-3</v>
      </c>
      <c r="LPK3425" s="34">
        <v>-4</v>
      </c>
      <c r="LPL3425" s="34">
        <v>-5</v>
      </c>
      <c r="LPM3425" s="908"/>
      <c r="LPN3425" s="909"/>
      <c r="LPO3425" s="34">
        <v>-5</v>
      </c>
      <c r="LPP3425" s="34">
        <v>-4.5</v>
      </c>
      <c r="LPQ3425" s="34">
        <v>-4</v>
      </c>
      <c r="LPR3425" s="34">
        <v>-3.5</v>
      </c>
      <c r="LPS3425" s="34">
        <v>-3</v>
      </c>
      <c r="LPT3425" s="34">
        <v>-2.5</v>
      </c>
      <c r="LPU3425" s="34">
        <v>-2</v>
      </c>
      <c r="LPV3425" s="34">
        <v>-1.5</v>
      </c>
      <c r="LPW3425" s="34">
        <v>-1</v>
      </c>
      <c r="LPX3425" s="34">
        <v>-0.5</v>
      </c>
      <c r="LPY3425" s="34">
        <v>0</v>
      </c>
      <c r="LPZ3425" s="34">
        <v>0.5</v>
      </c>
      <c r="LQA3425" s="34">
        <v>1</v>
      </c>
      <c r="LQB3425" s="34">
        <v>1.5</v>
      </c>
      <c r="LQC3425" s="34">
        <v>2</v>
      </c>
      <c r="LQD3425" s="34">
        <v>2.5</v>
      </c>
      <c r="LQE3425" s="34">
        <v>3</v>
      </c>
      <c r="LQF3425" s="34">
        <v>3.5</v>
      </c>
      <c r="LQG3425" s="34">
        <v>4</v>
      </c>
      <c r="LQH3425" s="34">
        <v>4.5</v>
      </c>
      <c r="LQI3425" s="34">
        <v>5</v>
      </c>
      <c r="LQK3425" s="913"/>
      <c r="LQL3425" s="31">
        <v>1</v>
      </c>
      <c r="LQM3425" s="34">
        <v>0</v>
      </c>
      <c r="LQN3425" s="34">
        <v>-1</v>
      </c>
      <c r="LQO3425" s="34">
        <v>-2</v>
      </c>
      <c r="LQP3425" s="34">
        <v>-3</v>
      </c>
      <c r="LQQ3425" s="34">
        <v>-4</v>
      </c>
      <c r="LQR3425" s="34">
        <v>-5</v>
      </c>
      <c r="LQS3425" s="908"/>
      <c r="LQT3425" s="909"/>
      <c r="LQU3425" s="34">
        <v>-5</v>
      </c>
      <c r="LQV3425" s="34">
        <v>-4.5</v>
      </c>
      <c r="LQW3425" s="34">
        <v>-4</v>
      </c>
      <c r="LQX3425" s="34">
        <v>-3.5</v>
      </c>
      <c r="LQY3425" s="34">
        <v>-3</v>
      </c>
      <c r="LQZ3425" s="34">
        <v>-2.5</v>
      </c>
      <c r="LRA3425" s="34">
        <v>-2</v>
      </c>
      <c r="LRB3425" s="34">
        <v>-1.5</v>
      </c>
      <c r="LRC3425" s="34">
        <v>-1</v>
      </c>
      <c r="LRD3425" s="34">
        <v>-0.5</v>
      </c>
      <c r="LRE3425" s="34">
        <v>0</v>
      </c>
      <c r="LRF3425" s="34">
        <v>0.5</v>
      </c>
      <c r="LRG3425" s="34">
        <v>1</v>
      </c>
      <c r="LRH3425" s="34">
        <v>1.5</v>
      </c>
      <c r="LRI3425" s="34">
        <v>2</v>
      </c>
      <c r="LRJ3425" s="34">
        <v>2.5</v>
      </c>
      <c r="LRK3425" s="34">
        <v>3</v>
      </c>
      <c r="LRL3425" s="34">
        <v>3.5</v>
      </c>
      <c r="LRM3425" s="34">
        <v>4</v>
      </c>
      <c r="LRN3425" s="34">
        <v>4.5</v>
      </c>
      <c r="LRO3425" s="34">
        <v>5</v>
      </c>
      <c r="LRQ3425" s="913"/>
      <c r="LRR3425" s="31">
        <v>1</v>
      </c>
      <c r="LRS3425" s="34">
        <v>0</v>
      </c>
      <c r="LRT3425" s="34">
        <v>-1</v>
      </c>
      <c r="LRU3425" s="34">
        <v>-2</v>
      </c>
      <c r="LRV3425" s="34">
        <v>-3</v>
      </c>
      <c r="LRW3425" s="34">
        <v>-4</v>
      </c>
      <c r="LRX3425" s="34">
        <v>-5</v>
      </c>
      <c r="LRY3425" s="908"/>
      <c r="LRZ3425" s="909"/>
      <c r="LSA3425" s="34">
        <v>-5</v>
      </c>
      <c r="LSB3425" s="34">
        <v>-4.5</v>
      </c>
      <c r="LSC3425" s="34">
        <v>-4</v>
      </c>
      <c r="LSD3425" s="34">
        <v>-3.5</v>
      </c>
      <c r="LSE3425" s="34">
        <v>-3</v>
      </c>
      <c r="LSF3425" s="34">
        <v>-2.5</v>
      </c>
      <c r="LSG3425" s="34">
        <v>-2</v>
      </c>
      <c r="LSH3425" s="34">
        <v>-1.5</v>
      </c>
      <c r="LSI3425" s="34">
        <v>-1</v>
      </c>
      <c r="LSJ3425" s="34">
        <v>-0.5</v>
      </c>
      <c r="LSK3425" s="34">
        <v>0</v>
      </c>
      <c r="LSL3425" s="34">
        <v>0.5</v>
      </c>
      <c r="LSM3425" s="34">
        <v>1</v>
      </c>
      <c r="LSN3425" s="34">
        <v>1.5</v>
      </c>
      <c r="LSO3425" s="34">
        <v>2</v>
      </c>
      <c r="LSP3425" s="34">
        <v>2.5</v>
      </c>
      <c r="LSQ3425" s="34">
        <v>3</v>
      </c>
      <c r="LSR3425" s="34">
        <v>3.5</v>
      </c>
      <c r="LSS3425" s="34">
        <v>4</v>
      </c>
      <c r="LST3425" s="34">
        <v>4.5</v>
      </c>
      <c r="LSU3425" s="34">
        <v>5</v>
      </c>
      <c r="LSW3425" s="913"/>
      <c r="LSX3425" s="31">
        <v>1</v>
      </c>
      <c r="LSY3425" s="34">
        <v>0</v>
      </c>
      <c r="LSZ3425" s="34">
        <v>-1</v>
      </c>
      <c r="LTA3425" s="34">
        <v>-2</v>
      </c>
      <c r="LTB3425" s="34">
        <v>-3</v>
      </c>
      <c r="LTC3425" s="34">
        <v>-4</v>
      </c>
      <c r="LTD3425" s="34">
        <v>-5</v>
      </c>
      <c r="LTE3425" s="908"/>
      <c r="LTF3425" s="909"/>
      <c r="LTG3425" s="34">
        <v>-5</v>
      </c>
      <c r="LTH3425" s="34">
        <v>-4.5</v>
      </c>
      <c r="LTI3425" s="34">
        <v>-4</v>
      </c>
      <c r="LTJ3425" s="34">
        <v>-3.5</v>
      </c>
      <c r="LTK3425" s="34">
        <v>-3</v>
      </c>
      <c r="LTL3425" s="34">
        <v>-2.5</v>
      </c>
      <c r="LTM3425" s="34">
        <v>-2</v>
      </c>
      <c r="LTN3425" s="34">
        <v>-1.5</v>
      </c>
      <c r="LTO3425" s="34">
        <v>-1</v>
      </c>
      <c r="LTP3425" s="34">
        <v>-0.5</v>
      </c>
      <c r="LTQ3425" s="34">
        <v>0</v>
      </c>
      <c r="LTR3425" s="34">
        <v>0.5</v>
      </c>
      <c r="LTS3425" s="34">
        <v>1</v>
      </c>
      <c r="LTT3425" s="34">
        <v>1.5</v>
      </c>
      <c r="LTU3425" s="34">
        <v>2</v>
      </c>
      <c r="LTV3425" s="34">
        <v>2.5</v>
      </c>
      <c r="LTW3425" s="34">
        <v>3</v>
      </c>
      <c r="LTX3425" s="34">
        <v>3.5</v>
      </c>
      <c r="LTY3425" s="34">
        <v>4</v>
      </c>
      <c r="LTZ3425" s="34">
        <v>4.5</v>
      </c>
      <c r="LUA3425" s="34">
        <v>5</v>
      </c>
      <c r="LUC3425" s="913"/>
      <c r="LUD3425" s="31">
        <v>1</v>
      </c>
      <c r="LUE3425" s="34">
        <v>0</v>
      </c>
      <c r="LUF3425" s="34">
        <v>-1</v>
      </c>
      <c r="LUG3425" s="34">
        <v>-2</v>
      </c>
      <c r="LUH3425" s="34">
        <v>-3</v>
      </c>
      <c r="LUI3425" s="34">
        <v>-4</v>
      </c>
      <c r="LUJ3425" s="34">
        <v>-5</v>
      </c>
      <c r="LUK3425" s="908"/>
      <c r="LUL3425" s="909"/>
      <c r="LUM3425" s="34">
        <v>-5</v>
      </c>
      <c r="LUN3425" s="34">
        <v>-4.5</v>
      </c>
      <c r="LUO3425" s="34">
        <v>-4</v>
      </c>
      <c r="LUP3425" s="34">
        <v>-3.5</v>
      </c>
      <c r="LUQ3425" s="34">
        <v>-3</v>
      </c>
      <c r="LUR3425" s="34">
        <v>-2.5</v>
      </c>
      <c r="LUS3425" s="34">
        <v>-2</v>
      </c>
      <c r="LUT3425" s="34">
        <v>-1.5</v>
      </c>
      <c r="LUU3425" s="34">
        <v>-1</v>
      </c>
      <c r="LUV3425" s="34">
        <v>-0.5</v>
      </c>
      <c r="LUW3425" s="34">
        <v>0</v>
      </c>
      <c r="LUX3425" s="34">
        <v>0.5</v>
      </c>
      <c r="LUY3425" s="34">
        <v>1</v>
      </c>
      <c r="LUZ3425" s="34">
        <v>1.5</v>
      </c>
      <c r="LVA3425" s="34">
        <v>2</v>
      </c>
      <c r="LVB3425" s="34">
        <v>2.5</v>
      </c>
      <c r="LVC3425" s="34">
        <v>3</v>
      </c>
      <c r="LVD3425" s="34">
        <v>3.5</v>
      </c>
      <c r="LVE3425" s="34">
        <v>4</v>
      </c>
      <c r="LVF3425" s="34">
        <v>4.5</v>
      </c>
      <c r="LVG3425" s="34">
        <v>5</v>
      </c>
      <c r="LVI3425" s="913"/>
      <c r="LVJ3425" s="31">
        <v>1</v>
      </c>
      <c r="LVK3425" s="34">
        <v>0</v>
      </c>
      <c r="LVL3425" s="34">
        <v>-1</v>
      </c>
      <c r="LVM3425" s="34">
        <v>-2</v>
      </c>
      <c r="LVN3425" s="34">
        <v>-3</v>
      </c>
      <c r="LVO3425" s="34">
        <v>-4</v>
      </c>
      <c r="LVP3425" s="34">
        <v>-5</v>
      </c>
      <c r="LVQ3425" s="908"/>
      <c r="LVR3425" s="909"/>
      <c r="LVS3425" s="34">
        <v>-5</v>
      </c>
      <c r="LVT3425" s="34">
        <v>-4.5</v>
      </c>
      <c r="LVU3425" s="34">
        <v>-4</v>
      </c>
      <c r="LVV3425" s="34">
        <v>-3.5</v>
      </c>
      <c r="LVW3425" s="34">
        <v>-3</v>
      </c>
      <c r="LVX3425" s="34">
        <v>-2.5</v>
      </c>
      <c r="LVY3425" s="34">
        <v>-2</v>
      </c>
      <c r="LVZ3425" s="34">
        <v>-1.5</v>
      </c>
      <c r="LWA3425" s="34">
        <v>-1</v>
      </c>
      <c r="LWB3425" s="34">
        <v>-0.5</v>
      </c>
      <c r="LWC3425" s="34">
        <v>0</v>
      </c>
      <c r="LWD3425" s="34">
        <v>0.5</v>
      </c>
      <c r="LWE3425" s="34">
        <v>1</v>
      </c>
      <c r="LWF3425" s="34">
        <v>1.5</v>
      </c>
      <c r="LWG3425" s="34">
        <v>2</v>
      </c>
      <c r="LWH3425" s="34">
        <v>2.5</v>
      </c>
      <c r="LWI3425" s="34">
        <v>3</v>
      </c>
      <c r="LWJ3425" s="34">
        <v>3.5</v>
      </c>
      <c r="LWK3425" s="34">
        <v>4</v>
      </c>
      <c r="LWL3425" s="34">
        <v>4.5</v>
      </c>
      <c r="LWM3425" s="34">
        <v>5</v>
      </c>
      <c r="LWO3425" s="913"/>
      <c r="LWP3425" s="31">
        <v>1</v>
      </c>
      <c r="LWQ3425" s="34">
        <v>0</v>
      </c>
      <c r="LWR3425" s="34">
        <v>-1</v>
      </c>
      <c r="LWS3425" s="34">
        <v>-2</v>
      </c>
      <c r="LWT3425" s="34">
        <v>-3</v>
      </c>
      <c r="LWU3425" s="34">
        <v>-4</v>
      </c>
      <c r="LWV3425" s="34">
        <v>-5</v>
      </c>
      <c r="LWW3425" s="908"/>
      <c r="LWX3425" s="909"/>
      <c r="LWY3425" s="34">
        <v>-5</v>
      </c>
      <c r="LWZ3425" s="34">
        <v>-4.5</v>
      </c>
      <c r="LXA3425" s="34">
        <v>-4</v>
      </c>
      <c r="LXB3425" s="34">
        <v>-3.5</v>
      </c>
      <c r="LXC3425" s="34">
        <v>-3</v>
      </c>
      <c r="LXD3425" s="34">
        <v>-2.5</v>
      </c>
      <c r="LXE3425" s="34">
        <v>-2</v>
      </c>
      <c r="LXF3425" s="34">
        <v>-1.5</v>
      </c>
      <c r="LXG3425" s="34">
        <v>-1</v>
      </c>
      <c r="LXH3425" s="34">
        <v>-0.5</v>
      </c>
      <c r="LXI3425" s="34">
        <v>0</v>
      </c>
      <c r="LXJ3425" s="34">
        <v>0.5</v>
      </c>
      <c r="LXK3425" s="34">
        <v>1</v>
      </c>
      <c r="LXL3425" s="34">
        <v>1.5</v>
      </c>
      <c r="LXM3425" s="34">
        <v>2</v>
      </c>
      <c r="LXN3425" s="34">
        <v>2.5</v>
      </c>
      <c r="LXO3425" s="34">
        <v>3</v>
      </c>
      <c r="LXP3425" s="34">
        <v>3.5</v>
      </c>
      <c r="LXQ3425" s="34">
        <v>4</v>
      </c>
      <c r="LXR3425" s="34">
        <v>4.5</v>
      </c>
      <c r="LXS3425" s="34">
        <v>5</v>
      </c>
      <c r="LXU3425" s="913"/>
      <c r="LXV3425" s="31">
        <v>1</v>
      </c>
      <c r="LXW3425" s="34">
        <v>0</v>
      </c>
      <c r="LXX3425" s="34">
        <v>-1</v>
      </c>
      <c r="LXY3425" s="34">
        <v>-2</v>
      </c>
      <c r="LXZ3425" s="34">
        <v>-3</v>
      </c>
      <c r="LYA3425" s="34">
        <v>-4</v>
      </c>
      <c r="LYB3425" s="34">
        <v>-5</v>
      </c>
      <c r="LYC3425" s="908"/>
      <c r="LYD3425" s="909"/>
      <c r="LYE3425" s="34">
        <v>-5</v>
      </c>
      <c r="LYF3425" s="34">
        <v>-4.5</v>
      </c>
      <c r="LYG3425" s="34">
        <v>-4</v>
      </c>
      <c r="LYH3425" s="34">
        <v>-3.5</v>
      </c>
      <c r="LYI3425" s="34">
        <v>-3</v>
      </c>
      <c r="LYJ3425" s="34">
        <v>-2.5</v>
      </c>
      <c r="LYK3425" s="34">
        <v>-2</v>
      </c>
      <c r="LYL3425" s="34">
        <v>-1.5</v>
      </c>
      <c r="LYM3425" s="34">
        <v>-1</v>
      </c>
      <c r="LYN3425" s="34">
        <v>-0.5</v>
      </c>
      <c r="LYO3425" s="34">
        <v>0</v>
      </c>
      <c r="LYP3425" s="34">
        <v>0.5</v>
      </c>
      <c r="LYQ3425" s="34">
        <v>1</v>
      </c>
      <c r="LYR3425" s="34">
        <v>1.5</v>
      </c>
      <c r="LYS3425" s="34">
        <v>2</v>
      </c>
      <c r="LYT3425" s="34">
        <v>2.5</v>
      </c>
      <c r="LYU3425" s="34">
        <v>3</v>
      </c>
      <c r="LYV3425" s="34">
        <v>3.5</v>
      </c>
      <c r="LYW3425" s="34">
        <v>4</v>
      </c>
      <c r="LYX3425" s="34">
        <v>4.5</v>
      </c>
      <c r="LYY3425" s="34">
        <v>5</v>
      </c>
      <c r="LZA3425" s="913"/>
      <c r="LZB3425" s="31">
        <v>1</v>
      </c>
      <c r="LZC3425" s="34">
        <v>0</v>
      </c>
      <c r="LZD3425" s="34">
        <v>-1</v>
      </c>
      <c r="LZE3425" s="34">
        <v>-2</v>
      </c>
      <c r="LZF3425" s="34">
        <v>-3</v>
      </c>
      <c r="LZG3425" s="34">
        <v>-4</v>
      </c>
      <c r="LZH3425" s="34">
        <v>-5</v>
      </c>
      <c r="LZI3425" s="908"/>
      <c r="LZJ3425" s="909"/>
      <c r="LZK3425" s="34">
        <v>-5</v>
      </c>
      <c r="LZL3425" s="34">
        <v>-4.5</v>
      </c>
      <c r="LZM3425" s="34">
        <v>-4</v>
      </c>
      <c r="LZN3425" s="34">
        <v>-3.5</v>
      </c>
      <c r="LZO3425" s="34">
        <v>-3</v>
      </c>
      <c r="LZP3425" s="34">
        <v>-2.5</v>
      </c>
      <c r="LZQ3425" s="34">
        <v>-2</v>
      </c>
      <c r="LZR3425" s="34">
        <v>-1.5</v>
      </c>
      <c r="LZS3425" s="34">
        <v>-1</v>
      </c>
      <c r="LZT3425" s="34">
        <v>-0.5</v>
      </c>
      <c r="LZU3425" s="34">
        <v>0</v>
      </c>
      <c r="LZV3425" s="34">
        <v>0.5</v>
      </c>
      <c r="LZW3425" s="34">
        <v>1</v>
      </c>
      <c r="LZX3425" s="34">
        <v>1.5</v>
      </c>
      <c r="LZY3425" s="34">
        <v>2</v>
      </c>
      <c r="LZZ3425" s="34">
        <v>2.5</v>
      </c>
      <c r="MAA3425" s="34">
        <v>3</v>
      </c>
      <c r="MAB3425" s="34">
        <v>3.5</v>
      </c>
      <c r="MAC3425" s="34">
        <v>4</v>
      </c>
      <c r="MAD3425" s="34">
        <v>4.5</v>
      </c>
      <c r="MAE3425" s="34">
        <v>5</v>
      </c>
      <c r="MAG3425" s="913"/>
      <c r="MAH3425" s="31">
        <v>1</v>
      </c>
      <c r="MAI3425" s="34">
        <v>0</v>
      </c>
      <c r="MAJ3425" s="34">
        <v>-1</v>
      </c>
      <c r="MAK3425" s="34">
        <v>-2</v>
      </c>
      <c r="MAL3425" s="34">
        <v>-3</v>
      </c>
      <c r="MAM3425" s="34">
        <v>-4</v>
      </c>
      <c r="MAN3425" s="34">
        <v>-5</v>
      </c>
      <c r="MAO3425" s="908"/>
      <c r="MAP3425" s="909"/>
      <c r="MAQ3425" s="34">
        <v>-5</v>
      </c>
      <c r="MAR3425" s="34">
        <v>-4.5</v>
      </c>
      <c r="MAS3425" s="34">
        <v>-4</v>
      </c>
      <c r="MAT3425" s="34">
        <v>-3.5</v>
      </c>
      <c r="MAU3425" s="34">
        <v>-3</v>
      </c>
      <c r="MAV3425" s="34">
        <v>-2.5</v>
      </c>
      <c r="MAW3425" s="34">
        <v>-2</v>
      </c>
      <c r="MAX3425" s="34">
        <v>-1.5</v>
      </c>
      <c r="MAY3425" s="34">
        <v>-1</v>
      </c>
      <c r="MAZ3425" s="34">
        <v>-0.5</v>
      </c>
      <c r="MBA3425" s="34">
        <v>0</v>
      </c>
      <c r="MBB3425" s="34">
        <v>0.5</v>
      </c>
      <c r="MBC3425" s="34">
        <v>1</v>
      </c>
      <c r="MBD3425" s="34">
        <v>1.5</v>
      </c>
      <c r="MBE3425" s="34">
        <v>2</v>
      </c>
      <c r="MBF3425" s="34">
        <v>2.5</v>
      </c>
      <c r="MBG3425" s="34">
        <v>3</v>
      </c>
      <c r="MBH3425" s="34">
        <v>3.5</v>
      </c>
      <c r="MBI3425" s="34">
        <v>4</v>
      </c>
      <c r="MBJ3425" s="34">
        <v>4.5</v>
      </c>
      <c r="MBK3425" s="34">
        <v>5</v>
      </c>
      <c r="MBM3425" s="913"/>
      <c r="MBN3425" s="31">
        <v>1</v>
      </c>
      <c r="MBO3425" s="34">
        <v>0</v>
      </c>
      <c r="MBP3425" s="34">
        <v>-1</v>
      </c>
      <c r="MBQ3425" s="34">
        <v>-2</v>
      </c>
      <c r="MBR3425" s="34">
        <v>-3</v>
      </c>
      <c r="MBS3425" s="34">
        <v>-4</v>
      </c>
      <c r="MBT3425" s="34">
        <v>-5</v>
      </c>
      <c r="MBU3425" s="908"/>
      <c r="MBV3425" s="909"/>
      <c r="MBW3425" s="34">
        <v>-5</v>
      </c>
      <c r="MBX3425" s="34">
        <v>-4.5</v>
      </c>
      <c r="MBY3425" s="34">
        <v>-4</v>
      </c>
      <c r="MBZ3425" s="34">
        <v>-3.5</v>
      </c>
      <c r="MCA3425" s="34">
        <v>-3</v>
      </c>
      <c r="MCB3425" s="34">
        <v>-2.5</v>
      </c>
      <c r="MCC3425" s="34">
        <v>-2</v>
      </c>
      <c r="MCD3425" s="34">
        <v>-1.5</v>
      </c>
      <c r="MCE3425" s="34">
        <v>-1</v>
      </c>
      <c r="MCF3425" s="34">
        <v>-0.5</v>
      </c>
      <c r="MCG3425" s="34">
        <v>0</v>
      </c>
      <c r="MCH3425" s="34">
        <v>0.5</v>
      </c>
      <c r="MCI3425" s="34">
        <v>1</v>
      </c>
      <c r="MCJ3425" s="34">
        <v>1.5</v>
      </c>
      <c r="MCK3425" s="34">
        <v>2</v>
      </c>
      <c r="MCL3425" s="34">
        <v>2.5</v>
      </c>
      <c r="MCM3425" s="34">
        <v>3</v>
      </c>
      <c r="MCN3425" s="34">
        <v>3.5</v>
      </c>
      <c r="MCO3425" s="34">
        <v>4</v>
      </c>
      <c r="MCP3425" s="34">
        <v>4.5</v>
      </c>
      <c r="MCQ3425" s="34">
        <v>5</v>
      </c>
      <c r="MCS3425" s="913"/>
      <c r="MCT3425" s="31">
        <v>1</v>
      </c>
      <c r="MCU3425" s="34">
        <v>0</v>
      </c>
      <c r="MCV3425" s="34">
        <v>-1</v>
      </c>
      <c r="MCW3425" s="34">
        <v>-2</v>
      </c>
      <c r="MCX3425" s="34">
        <v>-3</v>
      </c>
      <c r="MCY3425" s="34">
        <v>-4</v>
      </c>
      <c r="MCZ3425" s="34">
        <v>-5</v>
      </c>
      <c r="MDA3425" s="908"/>
      <c r="MDB3425" s="909"/>
      <c r="MDC3425" s="34">
        <v>-5</v>
      </c>
      <c r="MDD3425" s="34">
        <v>-4.5</v>
      </c>
      <c r="MDE3425" s="34">
        <v>-4</v>
      </c>
      <c r="MDF3425" s="34">
        <v>-3.5</v>
      </c>
      <c r="MDG3425" s="34">
        <v>-3</v>
      </c>
      <c r="MDH3425" s="34">
        <v>-2.5</v>
      </c>
      <c r="MDI3425" s="34">
        <v>-2</v>
      </c>
      <c r="MDJ3425" s="34">
        <v>-1.5</v>
      </c>
      <c r="MDK3425" s="34">
        <v>-1</v>
      </c>
      <c r="MDL3425" s="34">
        <v>-0.5</v>
      </c>
      <c r="MDM3425" s="34">
        <v>0</v>
      </c>
      <c r="MDN3425" s="34">
        <v>0.5</v>
      </c>
      <c r="MDO3425" s="34">
        <v>1</v>
      </c>
      <c r="MDP3425" s="34">
        <v>1.5</v>
      </c>
      <c r="MDQ3425" s="34">
        <v>2</v>
      </c>
      <c r="MDR3425" s="34">
        <v>2.5</v>
      </c>
      <c r="MDS3425" s="34">
        <v>3</v>
      </c>
      <c r="MDT3425" s="34">
        <v>3.5</v>
      </c>
      <c r="MDU3425" s="34">
        <v>4</v>
      </c>
      <c r="MDV3425" s="34">
        <v>4.5</v>
      </c>
      <c r="MDW3425" s="34">
        <v>5</v>
      </c>
      <c r="MDY3425" s="913"/>
      <c r="MDZ3425" s="31">
        <v>1</v>
      </c>
      <c r="MEA3425" s="34">
        <v>0</v>
      </c>
      <c r="MEB3425" s="34">
        <v>-1</v>
      </c>
      <c r="MEC3425" s="34">
        <v>-2</v>
      </c>
      <c r="MED3425" s="34">
        <v>-3</v>
      </c>
      <c r="MEE3425" s="34">
        <v>-4</v>
      </c>
      <c r="MEF3425" s="34">
        <v>-5</v>
      </c>
      <c r="MEG3425" s="908"/>
      <c r="MEH3425" s="909"/>
      <c r="MEI3425" s="34">
        <v>-5</v>
      </c>
      <c r="MEJ3425" s="34">
        <v>-4.5</v>
      </c>
      <c r="MEK3425" s="34">
        <v>-4</v>
      </c>
      <c r="MEL3425" s="34">
        <v>-3.5</v>
      </c>
      <c r="MEM3425" s="34">
        <v>-3</v>
      </c>
      <c r="MEN3425" s="34">
        <v>-2.5</v>
      </c>
      <c r="MEO3425" s="34">
        <v>-2</v>
      </c>
      <c r="MEP3425" s="34">
        <v>-1.5</v>
      </c>
      <c r="MEQ3425" s="34">
        <v>-1</v>
      </c>
      <c r="MER3425" s="34">
        <v>-0.5</v>
      </c>
      <c r="MES3425" s="34">
        <v>0</v>
      </c>
      <c r="MET3425" s="34">
        <v>0.5</v>
      </c>
      <c r="MEU3425" s="34">
        <v>1</v>
      </c>
      <c r="MEV3425" s="34">
        <v>1.5</v>
      </c>
      <c r="MEW3425" s="34">
        <v>2</v>
      </c>
      <c r="MEX3425" s="34">
        <v>2.5</v>
      </c>
      <c r="MEY3425" s="34">
        <v>3</v>
      </c>
      <c r="MEZ3425" s="34">
        <v>3.5</v>
      </c>
      <c r="MFA3425" s="34">
        <v>4</v>
      </c>
      <c r="MFB3425" s="34">
        <v>4.5</v>
      </c>
      <c r="MFC3425" s="34">
        <v>5</v>
      </c>
      <c r="MFE3425" s="913"/>
      <c r="MFF3425" s="31">
        <v>1</v>
      </c>
      <c r="MFG3425" s="34">
        <v>0</v>
      </c>
      <c r="MFH3425" s="34">
        <v>-1</v>
      </c>
      <c r="MFI3425" s="34">
        <v>-2</v>
      </c>
      <c r="MFJ3425" s="34">
        <v>-3</v>
      </c>
      <c r="MFK3425" s="34">
        <v>-4</v>
      </c>
      <c r="MFL3425" s="34">
        <v>-5</v>
      </c>
      <c r="MFM3425" s="908"/>
      <c r="MFN3425" s="909"/>
      <c r="MFO3425" s="34">
        <v>-5</v>
      </c>
      <c r="MFP3425" s="34">
        <v>-4.5</v>
      </c>
      <c r="MFQ3425" s="34">
        <v>-4</v>
      </c>
      <c r="MFR3425" s="34">
        <v>-3.5</v>
      </c>
      <c r="MFS3425" s="34">
        <v>-3</v>
      </c>
      <c r="MFT3425" s="34">
        <v>-2.5</v>
      </c>
      <c r="MFU3425" s="34">
        <v>-2</v>
      </c>
      <c r="MFV3425" s="34">
        <v>-1.5</v>
      </c>
      <c r="MFW3425" s="34">
        <v>-1</v>
      </c>
      <c r="MFX3425" s="34">
        <v>-0.5</v>
      </c>
      <c r="MFY3425" s="34">
        <v>0</v>
      </c>
      <c r="MFZ3425" s="34">
        <v>0.5</v>
      </c>
      <c r="MGA3425" s="34">
        <v>1</v>
      </c>
      <c r="MGB3425" s="34">
        <v>1.5</v>
      </c>
      <c r="MGC3425" s="34">
        <v>2</v>
      </c>
      <c r="MGD3425" s="34">
        <v>2.5</v>
      </c>
      <c r="MGE3425" s="34">
        <v>3</v>
      </c>
      <c r="MGF3425" s="34">
        <v>3.5</v>
      </c>
      <c r="MGG3425" s="34">
        <v>4</v>
      </c>
      <c r="MGH3425" s="34">
        <v>4.5</v>
      </c>
      <c r="MGI3425" s="34">
        <v>5</v>
      </c>
      <c r="MGK3425" s="913"/>
      <c r="MGL3425" s="31">
        <v>1</v>
      </c>
      <c r="MGM3425" s="34">
        <v>0</v>
      </c>
      <c r="MGN3425" s="34">
        <v>-1</v>
      </c>
      <c r="MGO3425" s="34">
        <v>-2</v>
      </c>
      <c r="MGP3425" s="34">
        <v>-3</v>
      </c>
      <c r="MGQ3425" s="34">
        <v>-4</v>
      </c>
      <c r="MGR3425" s="34">
        <v>-5</v>
      </c>
      <c r="MGS3425" s="908"/>
      <c r="MGT3425" s="909"/>
      <c r="MGU3425" s="34">
        <v>-5</v>
      </c>
      <c r="MGV3425" s="34">
        <v>-4.5</v>
      </c>
      <c r="MGW3425" s="34">
        <v>-4</v>
      </c>
      <c r="MGX3425" s="34">
        <v>-3.5</v>
      </c>
      <c r="MGY3425" s="34">
        <v>-3</v>
      </c>
      <c r="MGZ3425" s="34">
        <v>-2.5</v>
      </c>
      <c r="MHA3425" s="34">
        <v>-2</v>
      </c>
      <c r="MHB3425" s="34">
        <v>-1.5</v>
      </c>
      <c r="MHC3425" s="34">
        <v>-1</v>
      </c>
      <c r="MHD3425" s="34">
        <v>-0.5</v>
      </c>
      <c r="MHE3425" s="34">
        <v>0</v>
      </c>
      <c r="MHF3425" s="34">
        <v>0.5</v>
      </c>
      <c r="MHG3425" s="34">
        <v>1</v>
      </c>
      <c r="MHH3425" s="34">
        <v>1.5</v>
      </c>
      <c r="MHI3425" s="34">
        <v>2</v>
      </c>
      <c r="MHJ3425" s="34">
        <v>2.5</v>
      </c>
      <c r="MHK3425" s="34">
        <v>3</v>
      </c>
      <c r="MHL3425" s="34">
        <v>3.5</v>
      </c>
      <c r="MHM3425" s="34">
        <v>4</v>
      </c>
      <c r="MHN3425" s="34">
        <v>4.5</v>
      </c>
      <c r="MHO3425" s="34">
        <v>5</v>
      </c>
      <c r="MHQ3425" s="913"/>
      <c r="MHR3425" s="31">
        <v>1</v>
      </c>
      <c r="MHS3425" s="34">
        <v>0</v>
      </c>
      <c r="MHT3425" s="34">
        <v>-1</v>
      </c>
      <c r="MHU3425" s="34">
        <v>-2</v>
      </c>
      <c r="MHV3425" s="34">
        <v>-3</v>
      </c>
      <c r="MHW3425" s="34">
        <v>-4</v>
      </c>
      <c r="MHX3425" s="34">
        <v>-5</v>
      </c>
      <c r="MHY3425" s="908"/>
      <c r="MHZ3425" s="909"/>
      <c r="MIA3425" s="34">
        <v>-5</v>
      </c>
      <c r="MIB3425" s="34">
        <v>-4.5</v>
      </c>
      <c r="MIC3425" s="34">
        <v>-4</v>
      </c>
      <c r="MID3425" s="34">
        <v>-3.5</v>
      </c>
      <c r="MIE3425" s="34">
        <v>-3</v>
      </c>
      <c r="MIF3425" s="34">
        <v>-2.5</v>
      </c>
      <c r="MIG3425" s="34">
        <v>-2</v>
      </c>
      <c r="MIH3425" s="34">
        <v>-1.5</v>
      </c>
      <c r="MII3425" s="34">
        <v>-1</v>
      </c>
      <c r="MIJ3425" s="34">
        <v>-0.5</v>
      </c>
      <c r="MIK3425" s="34">
        <v>0</v>
      </c>
      <c r="MIL3425" s="34">
        <v>0.5</v>
      </c>
      <c r="MIM3425" s="34">
        <v>1</v>
      </c>
      <c r="MIN3425" s="34">
        <v>1.5</v>
      </c>
      <c r="MIO3425" s="34">
        <v>2</v>
      </c>
      <c r="MIP3425" s="34">
        <v>2.5</v>
      </c>
      <c r="MIQ3425" s="34">
        <v>3</v>
      </c>
      <c r="MIR3425" s="34">
        <v>3.5</v>
      </c>
      <c r="MIS3425" s="34">
        <v>4</v>
      </c>
      <c r="MIT3425" s="34">
        <v>4.5</v>
      </c>
      <c r="MIU3425" s="34">
        <v>5</v>
      </c>
      <c r="MIW3425" s="913"/>
      <c r="MIX3425" s="31">
        <v>1</v>
      </c>
      <c r="MIY3425" s="34">
        <v>0</v>
      </c>
      <c r="MIZ3425" s="34">
        <v>-1</v>
      </c>
      <c r="MJA3425" s="34">
        <v>-2</v>
      </c>
      <c r="MJB3425" s="34">
        <v>-3</v>
      </c>
      <c r="MJC3425" s="34">
        <v>-4</v>
      </c>
      <c r="MJD3425" s="34">
        <v>-5</v>
      </c>
      <c r="MJE3425" s="908"/>
      <c r="MJF3425" s="909"/>
      <c r="MJG3425" s="34">
        <v>-5</v>
      </c>
      <c r="MJH3425" s="34">
        <v>-4.5</v>
      </c>
      <c r="MJI3425" s="34">
        <v>-4</v>
      </c>
      <c r="MJJ3425" s="34">
        <v>-3.5</v>
      </c>
      <c r="MJK3425" s="34">
        <v>-3</v>
      </c>
      <c r="MJL3425" s="34">
        <v>-2.5</v>
      </c>
      <c r="MJM3425" s="34">
        <v>-2</v>
      </c>
      <c r="MJN3425" s="34">
        <v>-1.5</v>
      </c>
      <c r="MJO3425" s="34">
        <v>-1</v>
      </c>
      <c r="MJP3425" s="34">
        <v>-0.5</v>
      </c>
      <c r="MJQ3425" s="34">
        <v>0</v>
      </c>
      <c r="MJR3425" s="34">
        <v>0.5</v>
      </c>
      <c r="MJS3425" s="34">
        <v>1</v>
      </c>
      <c r="MJT3425" s="34">
        <v>1.5</v>
      </c>
      <c r="MJU3425" s="34">
        <v>2</v>
      </c>
      <c r="MJV3425" s="34">
        <v>2.5</v>
      </c>
      <c r="MJW3425" s="34">
        <v>3</v>
      </c>
      <c r="MJX3425" s="34">
        <v>3.5</v>
      </c>
      <c r="MJY3425" s="34">
        <v>4</v>
      </c>
      <c r="MJZ3425" s="34">
        <v>4.5</v>
      </c>
      <c r="MKA3425" s="34">
        <v>5</v>
      </c>
      <c r="MKC3425" s="913"/>
      <c r="MKD3425" s="31">
        <v>1</v>
      </c>
      <c r="MKE3425" s="34">
        <v>0</v>
      </c>
      <c r="MKF3425" s="34">
        <v>-1</v>
      </c>
      <c r="MKG3425" s="34">
        <v>-2</v>
      </c>
      <c r="MKH3425" s="34">
        <v>-3</v>
      </c>
      <c r="MKI3425" s="34">
        <v>-4</v>
      </c>
      <c r="MKJ3425" s="34">
        <v>-5</v>
      </c>
      <c r="MKK3425" s="908"/>
      <c r="MKL3425" s="909"/>
      <c r="MKM3425" s="34">
        <v>-5</v>
      </c>
      <c r="MKN3425" s="34">
        <v>-4.5</v>
      </c>
      <c r="MKO3425" s="34">
        <v>-4</v>
      </c>
      <c r="MKP3425" s="34">
        <v>-3.5</v>
      </c>
      <c r="MKQ3425" s="34">
        <v>-3</v>
      </c>
      <c r="MKR3425" s="34">
        <v>-2.5</v>
      </c>
      <c r="MKS3425" s="34">
        <v>-2</v>
      </c>
      <c r="MKT3425" s="34">
        <v>-1.5</v>
      </c>
      <c r="MKU3425" s="34">
        <v>-1</v>
      </c>
      <c r="MKV3425" s="34">
        <v>-0.5</v>
      </c>
      <c r="MKW3425" s="34">
        <v>0</v>
      </c>
      <c r="MKX3425" s="34">
        <v>0.5</v>
      </c>
      <c r="MKY3425" s="34">
        <v>1</v>
      </c>
      <c r="MKZ3425" s="34">
        <v>1.5</v>
      </c>
      <c r="MLA3425" s="34">
        <v>2</v>
      </c>
      <c r="MLB3425" s="34">
        <v>2.5</v>
      </c>
      <c r="MLC3425" s="34">
        <v>3</v>
      </c>
      <c r="MLD3425" s="34">
        <v>3.5</v>
      </c>
      <c r="MLE3425" s="34">
        <v>4</v>
      </c>
      <c r="MLF3425" s="34">
        <v>4.5</v>
      </c>
      <c r="MLG3425" s="34">
        <v>5</v>
      </c>
      <c r="MLI3425" s="913"/>
      <c r="MLJ3425" s="31">
        <v>1</v>
      </c>
      <c r="MLK3425" s="34">
        <v>0</v>
      </c>
      <c r="MLL3425" s="34">
        <v>-1</v>
      </c>
      <c r="MLM3425" s="34">
        <v>-2</v>
      </c>
      <c r="MLN3425" s="34">
        <v>-3</v>
      </c>
      <c r="MLO3425" s="34">
        <v>-4</v>
      </c>
      <c r="MLP3425" s="34">
        <v>-5</v>
      </c>
      <c r="MLQ3425" s="908"/>
      <c r="MLR3425" s="909"/>
      <c r="MLS3425" s="34">
        <v>-5</v>
      </c>
      <c r="MLT3425" s="34">
        <v>-4.5</v>
      </c>
      <c r="MLU3425" s="34">
        <v>-4</v>
      </c>
      <c r="MLV3425" s="34">
        <v>-3.5</v>
      </c>
      <c r="MLW3425" s="34">
        <v>-3</v>
      </c>
      <c r="MLX3425" s="34">
        <v>-2.5</v>
      </c>
      <c r="MLY3425" s="34">
        <v>-2</v>
      </c>
      <c r="MLZ3425" s="34">
        <v>-1.5</v>
      </c>
      <c r="MMA3425" s="34">
        <v>-1</v>
      </c>
      <c r="MMB3425" s="34">
        <v>-0.5</v>
      </c>
      <c r="MMC3425" s="34">
        <v>0</v>
      </c>
      <c r="MMD3425" s="34">
        <v>0.5</v>
      </c>
      <c r="MME3425" s="34">
        <v>1</v>
      </c>
      <c r="MMF3425" s="34">
        <v>1.5</v>
      </c>
      <c r="MMG3425" s="34">
        <v>2</v>
      </c>
      <c r="MMH3425" s="34">
        <v>2.5</v>
      </c>
      <c r="MMI3425" s="34">
        <v>3</v>
      </c>
      <c r="MMJ3425" s="34">
        <v>3.5</v>
      </c>
      <c r="MMK3425" s="34">
        <v>4</v>
      </c>
      <c r="MML3425" s="34">
        <v>4.5</v>
      </c>
      <c r="MMM3425" s="34">
        <v>5</v>
      </c>
      <c r="MMO3425" s="913"/>
      <c r="MMP3425" s="31">
        <v>1</v>
      </c>
      <c r="MMQ3425" s="34">
        <v>0</v>
      </c>
      <c r="MMR3425" s="34">
        <v>-1</v>
      </c>
      <c r="MMS3425" s="34">
        <v>-2</v>
      </c>
      <c r="MMT3425" s="34">
        <v>-3</v>
      </c>
      <c r="MMU3425" s="34">
        <v>-4</v>
      </c>
      <c r="MMV3425" s="34">
        <v>-5</v>
      </c>
      <c r="MMW3425" s="908"/>
      <c r="MMX3425" s="909"/>
      <c r="MMY3425" s="34">
        <v>-5</v>
      </c>
      <c r="MMZ3425" s="34">
        <v>-4.5</v>
      </c>
      <c r="MNA3425" s="34">
        <v>-4</v>
      </c>
      <c r="MNB3425" s="34">
        <v>-3.5</v>
      </c>
      <c r="MNC3425" s="34">
        <v>-3</v>
      </c>
      <c r="MND3425" s="34">
        <v>-2.5</v>
      </c>
      <c r="MNE3425" s="34">
        <v>-2</v>
      </c>
      <c r="MNF3425" s="34">
        <v>-1.5</v>
      </c>
      <c r="MNG3425" s="34">
        <v>-1</v>
      </c>
      <c r="MNH3425" s="34">
        <v>-0.5</v>
      </c>
      <c r="MNI3425" s="34">
        <v>0</v>
      </c>
      <c r="MNJ3425" s="34">
        <v>0.5</v>
      </c>
      <c r="MNK3425" s="34">
        <v>1</v>
      </c>
      <c r="MNL3425" s="34">
        <v>1.5</v>
      </c>
      <c r="MNM3425" s="34">
        <v>2</v>
      </c>
      <c r="MNN3425" s="34">
        <v>2.5</v>
      </c>
      <c r="MNO3425" s="34">
        <v>3</v>
      </c>
      <c r="MNP3425" s="34">
        <v>3.5</v>
      </c>
      <c r="MNQ3425" s="34">
        <v>4</v>
      </c>
      <c r="MNR3425" s="34">
        <v>4.5</v>
      </c>
      <c r="MNS3425" s="34">
        <v>5</v>
      </c>
      <c r="MNU3425" s="913"/>
      <c r="MNV3425" s="31">
        <v>1</v>
      </c>
      <c r="MNW3425" s="34">
        <v>0</v>
      </c>
      <c r="MNX3425" s="34">
        <v>-1</v>
      </c>
      <c r="MNY3425" s="34">
        <v>-2</v>
      </c>
      <c r="MNZ3425" s="34">
        <v>-3</v>
      </c>
      <c r="MOA3425" s="34">
        <v>-4</v>
      </c>
      <c r="MOB3425" s="34">
        <v>-5</v>
      </c>
      <c r="MOC3425" s="908"/>
      <c r="MOD3425" s="909"/>
      <c r="MOE3425" s="34">
        <v>-5</v>
      </c>
      <c r="MOF3425" s="34">
        <v>-4.5</v>
      </c>
      <c r="MOG3425" s="34">
        <v>-4</v>
      </c>
      <c r="MOH3425" s="34">
        <v>-3.5</v>
      </c>
      <c r="MOI3425" s="34">
        <v>-3</v>
      </c>
      <c r="MOJ3425" s="34">
        <v>-2.5</v>
      </c>
      <c r="MOK3425" s="34">
        <v>-2</v>
      </c>
      <c r="MOL3425" s="34">
        <v>-1.5</v>
      </c>
      <c r="MOM3425" s="34">
        <v>-1</v>
      </c>
      <c r="MON3425" s="34">
        <v>-0.5</v>
      </c>
      <c r="MOO3425" s="34">
        <v>0</v>
      </c>
      <c r="MOP3425" s="34">
        <v>0.5</v>
      </c>
      <c r="MOQ3425" s="34">
        <v>1</v>
      </c>
      <c r="MOR3425" s="34">
        <v>1.5</v>
      </c>
      <c r="MOS3425" s="34">
        <v>2</v>
      </c>
      <c r="MOT3425" s="34">
        <v>2.5</v>
      </c>
      <c r="MOU3425" s="34">
        <v>3</v>
      </c>
      <c r="MOV3425" s="34">
        <v>3.5</v>
      </c>
      <c r="MOW3425" s="34">
        <v>4</v>
      </c>
      <c r="MOX3425" s="34">
        <v>4.5</v>
      </c>
      <c r="MOY3425" s="34">
        <v>5</v>
      </c>
      <c r="MPA3425" s="913"/>
      <c r="MPB3425" s="31">
        <v>1</v>
      </c>
      <c r="MPC3425" s="34">
        <v>0</v>
      </c>
      <c r="MPD3425" s="34">
        <v>-1</v>
      </c>
      <c r="MPE3425" s="34">
        <v>-2</v>
      </c>
      <c r="MPF3425" s="34">
        <v>-3</v>
      </c>
      <c r="MPG3425" s="34">
        <v>-4</v>
      </c>
      <c r="MPH3425" s="34">
        <v>-5</v>
      </c>
      <c r="MPI3425" s="908"/>
      <c r="MPJ3425" s="909"/>
      <c r="MPK3425" s="34">
        <v>-5</v>
      </c>
      <c r="MPL3425" s="34">
        <v>-4.5</v>
      </c>
      <c r="MPM3425" s="34">
        <v>-4</v>
      </c>
      <c r="MPN3425" s="34">
        <v>-3.5</v>
      </c>
      <c r="MPO3425" s="34">
        <v>-3</v>
      </c>
      <c r="MPP3425" s="34">
        <v>-2.5</v>
      </c>
      <c r="MPQ3425" s="34">
        <v>-2</v>
      </c>
      <c r="MPR3425" s="34">
        <v>-1.5</v>
      </c>
      <c r="MPS3425" s="34">
        <v>-1</v>
      </c>
      <c r="MPT3425" s="34">
        <v>-0.5</v>
      </c>
      <c r="MPU3425" s="34">
        <v>0</v>
      </c>
      <c r="MPV3425" s="34">
        <v>0.5</v>
      </c>
      <c r="MPW3425" s="34">
        <v>1</v>
      </c>
      <c r="MPX3425" s="34">
        <v>1.5</v>
      </c>
      <c r="MPY3425" s="34">
        <v>2</v>
      </c>
      <c r="MPZ3425" s="34">
        <v>2.5</v>
      </c>
      <c r="MQA3425" s="34">
        <v>3</v>
      </c>
      <c r="MQB3425" s="34">
        <v>3.5</v>
      </c>
      <c r="MQC3425" s="34">
        <v>4</v>
      </c>
      <c r="MQD3425" s="34">
        <v>4.5</v>
      </c>
      <c r="MQE3425" s="34">
        <v>5</v>
      </c>
      <c r="MQG3425" s="913"/>
      <c r="MQH3425" s="31">
        <v>1</v>
      </c>
      <c r="MQI3425" s="34">
        <v>0</v>
      </c>
      <c r="MQJ3425" s="34">
        <v>-1</v>
      </c>
      <c r="MQK3425" s="34">
        <v>-2</v>
      </c>
      <c r="MQL3425" s="34">
        <v>-3</v>
      </c>
      <c r="MQM3425" s="34">
        <v>-4</v>
      </c>
      <c r="MQN3425" s="34">
        <v>-5</v>
      </c>
      <c r="MQO3425" s="908"/>
      <c r="MQP3425" s="909"/>
      <c r="MQQ3425" s="34">
        <v>-5</v>
      </c>
      <c r="MQR3425" s="34">
        <v>-4.5</v>
      </c>
      <c r="MQS3425" s="34">
        <v>-4</v>
      </c>
      <c r="MQT3425" s="34">
        <v>-3.5</v>
      </c>
      <c r="MQU3425" s="34">
        <v>-3</v>
      </c>
      <c r="MQV3425" s="34">
        <v>-2.5</v>
      </c>
      <c r="MQW3425" s="34">
        <v>-2</v>
      </c>
      <c r="MQX3425" s="34">
        <v>-1.5</v>
      </c>
      <c r="MQY3425" s="34">
        <v>-1</v>
      </c>
      <c r="MQZ3425" s="34">
        <v>-0.5</v>
      </c>
      <c r="MRA3425" s="34">
        <v>0</v>
      </c>
      <c r="MRB3425" s="34">
        <v>0.5</v>
      </c>
      <c r="MRC3425" s="34">
        <v>1</v>
      </c>
      <c r="MRD3425" s="34">
        <v>1.5</v>
      </c>
      <c r="MRE3425" s="34">
        <v>2</v>
      </c>
      <c r="MRF3425" s="34">
        <v>2.5</v>
      </c>
      <c r="MRG3425" s="34">
        <v>3</v>
      </c>
      <c r="MRH3425" s="34">
        <v>3.5</v>
      </c>
      <c r="MRI3425" s="34">
        <v>4</v>
      </c>
      <c r="MRJ3425" s="34">
        <v>4.5</v>
      </c>
      <c r="MRK3425" s="34">
        <v>5</v>
      </c>
      <c r="MRM3425" s="913"/>
      <c r="MRN3425" s="31">
        <v>1</v>
      </c>
      <c r="MRO3425" s="34">
        <v>0</v>
      </c>
      <c r="MRP3425" s="34">
        <v>-1</v>
      </c>
      <c r="MRQ3425" s="34">
        <v>-2</v>
      </c>
      <c r="MRR3425" s="34">
        <v>-3</v>
      </c>
      <c r="MRS3425" s="34">
        <v>-4</v>
      </c>
      <c r="MRT3425" s="34">
        <v>-5</v>
      </c>
      <c r="MRU3425" s="908"/>
      <c r="MRV3425" s="909"/>
      <c r="MRW3425" s="34">
        <v>-5</v>
      </c>
      <c r="MRX3425" s="34">
        <v>-4.5</v>
      </c>
      <c r="MRY3425" s="34">
        <v>-4</v>
      </c>
      <c r="MRZ3425" s="34">
        <v>-3.5</v>
      </c>
      <c r="MSA3425" s="34">
        <v>-3</v>
      </c>
      <c r="MSB3425" s="34">
        <v>-2.5</v>
      </c>
      <c r="MSC3425" s="34">
        <v>-2</v>
      </c>
      <c r="MSD3425" s="34">
        <v>-1.5</v>
      </c>
      <c r="MSE3425" s="34">
        <v>-1</v>
      </c>
      <c r="MSF3425" s="34">
        <v>-0.5</v>
      </c>
      <c r="MSG3425" s="34">
        <v>0</v>
      </c>
      <c r="MSH3425" s="34">
        <v>0.5</v>
      </c>
      <c r="MSI3425" s="34">
        <v>1</v>
      </c>
      <c r="MSJ3425" s="34">
        <v>1.5</v>
      </c>
      <c r="MSK3425" s="34">
        <v>2</v>
      </c>
      <c r="MSL3425" s="34">
        <v>2.5</v>
      </c>
      <c r="MSM3425" s="34">
        <v>3</v>
      </c>
      <c r="MSN3425" s="34">
        <v>3.5</v>
      </c>
      <c r="MSO3425" s="34">
        <v>4</v>
      </c>
      <c r="MSP3425" s="34">
        <v>4.5</v>
      </c>
      <c r="MSQ3425" s="34">
        <v>5</v>
      </c>
      <c r="MSS3425" s="913"/>
      <c r="MST3425" s="31">
        <v>1</v>
      </c>
      <c r="MSU3425" s="34">
        <v>0</v>
      </c>
      <c r="MSV3425" s="34">
        <v>-1</v>
      </c>
      <c r="MSW3425" s="34">
        <v>-2</v>
      </c>
      <c r="MSX3425" s="34">
        <v>-3</v>
      </c>
      <c r="MSY3425" s="34">
        <v>-4</v>
      </c>
      <c r="MSZ3425" s="34">
        <v>-5</v>
      </c>
      <c r="MTA3425" s="908"/>
      <c r="MTB3425" s="909"/>
      <c r="MTC3425" s="34">
        <v>-5</v>
      </c>
      <c r="MTD3425" s="34">
        <v>-4.5</v>
      </c>
      <c r="MTE3425" s="34">
        <v>-4</v>
      </c>
      <c r="MTF3425" s="34">
        <v>-3.5</v>
      </c>
      <c r="MTG3425" s="34">
        <v>-3</v>
      </c>
      <c r="MTH3425" s="34">
        <v>-2.5</v>
      </c>
      <c r="MTI3425" s="34">
        <v>-2</v>
      </c>
      <c r="MTJ3425" s="34">
        <v>-1.5</v>
      </c>
      <c r="MTK3425" s="34">
        <v>-1</v>
      </c>
      <c r="MTL3425" s="34">
        <v>-0.5</v>
      </c>
      <c r="MTM3425" s="34">
        <v>0</v>
      </c>
      <c r="MTN3425" s="34">
        <v>0.5</v>
      </c>
      <c r="MTO3425" s="34">
        <v>1</v>
      </c>
      <c r="MTP3425" s="34">
        <v>1.5</v>
      </c>
      <c r="MTQ3425" s="34">
        <v>2</v>
      </c>
      <c r="MTR3425" s="34">
        <v>2.5</v>
      </c>
      <c r="MTS3425" s="34">
        <v>3</v>
      </c>
      <c r="MTT3425" s="34">
        <v>3.5</v>
      </c>
      <c r="MTU3425" s="34">
        <v>4</v>
      </c>
      <c r="MTV3425" s="34">
        <v>4.5</v>
      </c>
      <c r="MTW3425" s="34">
        <v>5</v>
      </c>
      <c r="MTY3425" s="913"/>
      <c r="MTZ3425" s="31">
        <v>1</v>
      </c>
      <c r="MUA3425" s="34">
        <v>0</v>
      </c>
      <c r="MUB3425" s="34">
        <v>-1</v>
      </c>
      <c r="MUC3425" s="34">
        <v>-2</v>
      </c>
      <c r="MUD3425" s="34">
        <v>-3</v>
      </c>
      <c r="MUE3425" s="34">
        <v>-4</v>
      </c>
      <c r="MUF3425" s="34">
        <v>-5</v>
      </c>
      <c r="MUG3425" s="908"/>
      <c r="MUH3425" s="909"/>
      <c r="MUI3425" s="34">
        <v>-5</v>
      </c>
      <c r="MUJ3425" s="34">
        <v>-4.5</v>
      </c>
      <c r="MUK3425" s="34">
        <v>-4</v>
      </c>
      <c r="MUL3425" s="34">
        <v>-3.5</v>
      </c>
      <c r="MUM3425" s="34">
        <v>-3</v>
      </c>
      <c r="MUN3425" s="34">
        <v>-2.5</v>
      </c>
      <c r="MUO3425" s="34">
        <v>-2</v>
      </c>
      <c r="MUP3425" s="34">
        <v>-1.5</v>
      </c>
      <c r="MUQ3425" s="34">
        <v>-1</v>
      </c>
      <c r="MUR3425" s="34">
        <v>-0.5</v>
      </c>
      <c r="MUS3425" s="34">
        <v>0</v>
      </c>
      <c r="MUT3425" s="34">
        <v>0.5</v>
      </c>
      <c r="MUU3425" s="34">
        <v>1</v>
      </c>
      <c r="MUV3425" s="34">
        <v>1.5</v>
      </c>
      <c r="MUW3425" s="34">
        <v>2</v>
      </c>
      <c r="MUX3425" s="34">
        <v>2.5</v>
      </c>
      <c r="MUY3425" s="34">
        <v>3</v>
      </c>
      <c r="MUZ3425" s="34">
        <v>3.5</v>
      </c>
      <c r="MVA3425" s="34">
        <v>4</v>
      </c>
      <c r="MVB3425" s="34">
        <v>4.5</v>
      </c>
      <c r="MVC3425" s="34">
        <v>5</v>
      </c>
      <c r="MVE3425" s="913"/>
      <c r="MVF3425" s="31">
        <v>1</v>
      </c>
      <c r="MVG3425" s="34">
        <v>0</v>
      </c>
      <c r="MVH3425" s="34">
        <v>-1</v>
      </c>
      <c r="MVI3425" s="34">
        <v>-2</v>
      </c>
      <c r="MVJ3425" s="34">
        <v>-3</v>
      </c>
      <c r="MVK3425" s="34">
        <v>-4</v>
      </c>
      <c r="MVL3425" s="34">
        <v>-5</v>
      </c>
      <c r="MVM3425" s="908"/>
      <c r="MVN3425" s="909"/>
      <c r="MVO3425" s="34">
        <v>-5</v>
      </c>
      <c r="MVP3425" s="34">
        <v>-4.5</v>
      </c>
      <c r="MVQ3425" s="34">
        <v>-4</v>
      </c>
      <c r="MVR3425" s="34">
        <v>-3.5</v>
      </c>
      <c r="MVS3425" s="34">
        <v>-3</v>
      </c>
      <c r="MVT3425" s="34">
        <v>-2.5</v>
      </c>
      <c r="MVU3425" s="34">
        <v>-2</v>
      </c>
      <c r="MVV3425" s="34">
        <v>-1.5</v>
      </c>
      <c r="MVW3425" s="34">
        <v>-1</v>
      </c>
      <c r="MVX3425" s="34">
        <v>-0.5</v>
      </c>
      <c r="MVY3425" s="34">
        <v>0</v>
      </c>
      <c r="MVZ3425" s="34">
        <v>0.5</v>
      </c>
      <c r="MWA3425" s="34">
        <v>1</v>
      </c>
      <c r="MWB3425" s="34">
        <v>1.5</v>
      </c>
      <c r="MWC3425" s="34">
        <v>2</v>
      </c>
      <c r="MWD3425" s="34">
        <v>2.5</v>
      </c>
      <c r="MWE3425" s="34">
        <v>3</v>
      </c>
      <c r="MWF3425" s="34">
        <v>3.5</v>
      </c>
      <c r="MWG3425" s="34">
        <v>4</v>
      </c>
      <c r="MWH3425" s="34">
        <v>4.5</v>
      </c>
      <c r="MWI3425" s="34">
        <v>5</v>
      </c>
      <c r="MWK3425" s="913"/>
      <c r="MWL3425" s="31">
        <v>1</v>
      </c>
      <c r="MWM3425" s="34">
        <v>0</v>
      </c>
      <c r="MWN3425" s="34">
        <v>-1</v>
      </c>
      <c r="MWO3425" s="34">
        <v>-2</v>
      </c>
      <c r="MWP3425" s="34">
        <v>-3</v>
      </c>
      <c r="MWQ3425" s="34">
        <v>-4</v>
      </c>
      <c r="MWR3425" s="34">
        <v>-5</v>
      </c>
      <c r="MWS3425" s="908"/>
      <c r="MWT3425" s="909"/>
      <c r="MWU3425" s="34">
        <v>-5</v>
      </c>
      <c r="MWV3425" s="34">
        <v>-4.5</v>
      </c>
      <c r="MWW3425" s="34">
        <v>-4</v>
      </c>
      <c r="MWX3425" s="34">
        <v>-3.5</v>
      </c>
      <c r="MWY3425" s="34">
        <v>-3</v>
      </c>
      <c r="MWZ3425" s="34">
        <v>-2.5</v>
      </c>
      <c r="MXA3425" s="34">
        <v>-2</v>
      </c>
      <c r="MXB3425" s="34">
        <v>-1.5</v>
      </c>
      <c r="MXC3425" s="34">
        <v>-1</v>
      </c>
      <c r="MXD3425" s="34">
        <v>-0.5</v>
      </c>
      <c r="MXE3425" s="34">
        <v>0</v>
      </c>
      <c r="MXF3425" s="34">
        <v>0.5</v>
      </c>
      <c r="MXG3425" s="34">
        <v>1</v>
      </c>
      <c r="MXH3425" s="34">
        <v>1.5</v>
      </c>
      <c r="MXI3425" s="34">
        <v>2</v>
      </c>
      <c r="MXJ3425" s="34">
        <v>2.5</v>
      </c>
      <c r="MXK3425" s="34">
        <v>3</v>
      </c>
      <c r="MXL3425" s="34">
        <v>3.5</v>
      </c>
      <c r="MXM3425" s="34">
        <v>4</v>
      </c>
      <c r="MXN3425" s="34">
        <v>4.5</v>
      </c>
      <c r="MXO3425" s="34">
        <v>5</v>
      </c>
      <c r="MXQ3425" s="913"/>
      <c r="MXR3425" s="31">
        <v>1</v>
      </c>
      <c r="MXS3425" s="34">
        <v>0</v>
      </c>
      <c r="MXT3425" s="34">
        <v>-1</v>
      </c>
      <c r="MXU3425" s="34">
        <v>-2</v>
      </c>
      <c r="MXV3425" s="34">
        <v>-3</v>
      </c>
      <c r="MXW3425" s="34">
        <v>-4</v>
      </c>
      <c r="MXX3425" s="34">
        <v>-5</v>
      </c>
      <c r="MXY3425" s="908"/>
      <c r="MXZ3425" s="909"/>
      <c r="MYA3425" s="34">
        <v>-5</v>
      </c>
      <c r="MYB3425" s="34">
        <v>-4.5</v>
      </c>
      <c r="MYC3425" s="34">
        <v>-4</v>
      </c>
      <c r="MYD3425" s="34">
        <v>-3.5</v>
      </c>
      <c r="MYE3425" s="34">
        <v>-3</v>
      </c>
      <c r="MYF3425" s="34">
        <v>-2.5</v>
      </c>
      <c r="MYG3425" s="34">
        <v>-2</v>
      </c>
      <c r="MYH3425" s="34">
        <v>-1.5</v>
      </c>
      <c r="MYI3425" s="34">
        <v>-1</v>
      </c>
      <c r="MYJ3425" s="34">
        <v>-0.5</v>
      </c>
      <c r="MYK3425" s="34">
        <v>0</v>
      </c>
      <c r="MYL3425" s="34">
        <v>0.5</v>
      </c>
      <c r="MYM3425" s="34">
        <v>1</v>
      </c>
      <c r="MYN3425" s="34">
        <v>1.5</v>
      </c>
      <c r="MYO3425" s="34">
        <v>2</v>
      </c>
      <c r="MYP3425" s="34">
        <v>2.5</v>
      </c>
      <c r="MYQ3425" s="34">
        <v>3</v>
      </c>
      <c r="MYR3425" s="34">
        <v>3.5</v>
      </c>
      <c r="MYS3425" s="34">
        <v>4</v>
      </c>
      <c r="MYT3425" s="34">
        <v>4.5</v>
      </c>
      <c r="MYU3425" s="34">
        <v>5</v>
      </c>
      <c r="MYW3425" s="913"/>
      <c r="MYX3425" s="31">
        <v>1</v>
      </c>
      <c r="MYY3425" s="34">
        <v>0</v>
      </c>
      <c r="MYZ3425" s="34">
        <v>-1</v>
      </c>
      <c r="MZA3425" s="34">
        <v>-2</v>
      </c>
      <c r="MZB3425" s="34">
        <v>-3</v>
      </c>
      <c r="MZC3425" s="34">
        <v>-4</v>
      </c>
      <c r="MZD3425" s="34">
        <v>-5</v>
      </c>
      <c r="MZE3425" s="908"/>
      <c r="MZF3425" s="909"/>
      <c r="MZG3425" s="34">
        <v>-5</v>
      </c>
      <c r="MZH3425" s="34">
        <v>-4.5</v>
      </c>
      <c r="MZI3425" s="34">
        <v>-4</v>
      </c>
      <c r="MZJ3425" s="34">
        <v>-3.5</v>
      </c>
      <c r="MZK3425" s="34">
        <v>-3</v>
      </c>
      <c r="MZL3425" s="34">
        <v>-2.5</v>
      </c>
      <c r="MZM3425" s="34">
        <v>-2</v>
      </c>
      <c r="MZN3425" s="34">
        <v>-1.5</v>
      </c>
      <c r="MZO3425" s="34">
        <v>-1</v>
      </c>
      <c r="MZP3425" s="34">
        <v>-0.5</v>
      </c>
      <c r="MZQ3425" s="34">
        <v>0</v>
      </c>
      <c r="MZR3425" s="34">
        <v>0.5</v>
      </c>
      <c r="MZS3425" s="34">
        <v>1</v>
      </c>
      <c r="MZT3425" s="34">
        <v>1.5</v>
      </c>
      <c r="MZU3425" s="34">
        <v>2</v>
      </c>
      <c r="MZV3425" s="34">
        <v>2.5</v>
      </c>
      <c r="MZW3425" s="34">
        <v>3</v>
      </c>
      <c r="MZX3425" s="34">
        <v>3.5</v>
      </c>
      <c r="MZY3425" s="34">
        <v>4</v>
      </c>
      <c r="MZZ3425" s="34">
        <v>4.5</v>
      </c>
      <c r="NAA3425" s="34">
        <v>5</v>
      </c>
      <c r="NAC3425" s="913"/>
      <c r="NAD3425" s="31">
        <v>1</v>
      </c>
      <c r="NAE3425" s="34">
        <v>0</v>
      </c>
      <c r="NAF3425" s="34">
        <v>-1</v>
      </c>
      <c r="NAG3425" s="34">
        <v>-2</v>
      </c>
      <c r="NAH3425" s="34">
        <v>-3</v>
      </c>
      <c r="NAI3425" s="34">
        <v>-4</v>
      </c>
      <c r="NAJ3425" s="34">
        <v>-5</v>
      </c>
      <c r="NAK3425" s="908"/>
      <c r="NAL3425" s="909"/>
      <c r="NAM3425" s="34">
        <v>-5</v>
      </c>
      <c r="NAN3425" s="34">
        <v>-4.5</v>
      </c>
      <c r="NAO3425" s="34">
        <v>-4</v>
      </c>
      <c r="NAP3425" s="34">
        <v>-3.5</v>
      </c>
      <c r="NAQ3425" s="34">
        <v>-3</v>
      </c>
      <c r="NAR3425" s="34">
        <v>-2.5</v>
      </c>
      <c r="NAS3425" s="34">
        <v>-2</v>
      </c>
      <c r="NAT3425" s="34">
        <v>-1.5</v>
      </c>
      <c r="NAU3425" s="34">
        <v>-1</v>
      </c>
      <c r="NAV3425" s="34">
        <v>-0.5</v>
      </c>
      <c r="NAW3425" s="34">
        <v>0</v>
      </c>
      <c r="NAX3425" s="34">
        <v>0.5</v>
      </c>
      <c r="NAY3425" s="34">
        <v>1</v>
      </c>
      <c r="NAZ3425" s="34">
        <v>1.5</v>
      </c>
      <c r="NBA3425" s="34">
        <v>2</v>
      </c>
      <c r="NBB3425" s="34">
        <v>2.5</v>
      </c>
      <c r="NBC3425" s="34">
        <v>3</v>
      </c>
      <c r="NBD3425" s="34">
        <v>3.5</v>
      </c>
      <c r="NBE3425" s="34">
        <v>4</v>
      </c>
      <c r="NBF3425" s="34">
        <v>4.5</v>
      </c>
      <c r="NBG3425" s="34">
        <v>5</v>
      </c>
      <c r="NBI3425" s="913"/>
      <c r="NBJ3425" s="31">
        <v>1</v>
      </c>
      <c r="NBK3425" s="34">
        <v>0</v>
      </c>
      <c r="NBL3425" s="34">
        <v>-1</v>
      </c>
      <c r="NBM3425" s="34">
        <v>-2</v>
      </c>
      <c r="NBN3425" s="34">
        <v>-3</v>
      </c>
      <c r="NBO3425" s="34">
        <v>-4</v>
      </c>
      <c r="NBP3425" s="34">
        <v>-5</v>
      </c>
      <c r="NBQ3425" s="908"/>
      <c r="NBR3425" s="909"/>
      <c r="NBS3425" s="34">
        <v>-5</v>
      </c>
      <c r="NBT3425" s="34">
        <v>-4.5</v>
      </c>
      <c r="NBU3425" s="34">
        <v>-4</v>
      </c>
      <c r="NBV3425" s="34">
        <v>-3.5</v>
      </c>
      <c r="NBW3425" s="34">
        <v>-3</v>
      </c>
      <c r="NBX3425" s="34">
        <v>-2.5</v>
      </c>
      <c r="NBY3425" s="34">
        <v>-2</v>
      </c>
      <c r="NBZ3425" s="34">
        <v>-1.5</v>
      </c>
      <c r="NCA3425" s="34">
        <v>-1</v>
      </c>
      <c r="NCB3425" s="34">
        <v>-0.5</v>
      </c>
      <c r="NCC3425" s="34">
        <v>0</v>
      </c>
      <c r="NCD3425" s="34">
        <v>0.5</v>
      </c>
      <c r="NCE3425" s="34">
        <v>1</v>
      </c>
      <c r="NCF3425" s="34">
        <v>1.5</v>
      </c>
      <c r="NCG3425" s="34">
        <v>2</v>
      </c>
      <c r="NCH3425" s="34">
        <v>2.5</v>
      </c>
      <c r="NCI3425" s="34">
        <v>3</v>
      </c>
      <c r="NCJ3425" s="34">
        <v>3.5</v>
      </c>
      <c r="NCK3425" s="34">
        <v>4</v>
      </c>
      <c r="NCL3425" s="34">
        <v>4.5</v>
      </c>
      <c r="NCM3425" s="34">
        <v>5</v>
      </c>
      <c r="NCO3425" s="913"/>
      <c r="NCP3425" s="31">
        <v>1</v>
      </c>
      <c r="NCQ3425" s="34">
        <v>0</v>
      </c>
      <c r="NCR3425" s="34">
        <v>-1</v>
      </c>
      <c r="NCS3425" s="34">
        <v>-2</v>
      </c>
      <c r="NCT3425" s="34">
        <v>-3</v>
      </c>
      <c r="NCU3425" s="34">
        <v>-4</v>
      </c>
      <c r="NCV3425" s="34">
        <v>-5</v>
      </c>
      <c r="NCW3425" s="908"/>
      <c r="NCX3425" s="909"/>
      <c r="NCY3425" s="34">
        <v>-5</v>
      </c>
      <c r="NCZ3425" s="34">
        <v>-4.5</v>
      </c>
      <c r="NDA3425" s="34">
        <v>-4</v>
      </c>
      <c r="NDB3425" s="34">
        <v>-3.5</v>
      </c>
      <c r="NDC3425" s="34">
        <v>-3</v>
      </c>
      <c r="NDD3425" s="34">
        <v>-2.5</v>
      </c>
      <c r="NDE3425" s="34">
        <v>-2</v>
      </c>
      <c r="NDF3425" s="34">
        <v>-1.5</v>
      </c>
      <c r="NDG3425" s="34">
        <v>-1</v>
      </c>
      <c r="NDH3425" s="34">
        <v>-0.5</v>
      </c>
      <c r="NDI3425" s="34">
        <v>0</v>
      </c>
      <c r="NDJ3425" s="34">
        <v>0.5</v>
      </c>
      <c r="NDK3425" s="34">
        <v>1</v>
      </c>
      <c r="NDL3425" s="34">
        <v>1.5</v>
      </c>
      <c r="NDM3425" s="34">
        <v>2</v>
      </c>
      <c r="NDN3425" s="34">
        <v>2.5</v>
      </c>
      <c r="NDO3425" s="34">
        <v>3</v>
      </c>
      <c r="NDP3425" s="34">
        <v>3.5</v>
      </c>
      <c r="NDQ3425" s="34">
        <v>4</v>
      </c>
      <c r="NDR3425" s="34">
        <v>4.5</v>
      </c>
      <c r="NDS3425" s="34">
        <v>5</v>
      </c>
      <c r="NDU3425" s="913"/>
      <c r="NDV3425" s="31">
        <v>1</v>
      </c>
      <c r="NDW3425" s="34">
        <v>0</v>
      </c>
      <c r="NDX3425" s="34">
        <v>-1</v>
      </c>
      <c r="NDY3425" s="34">
        <v>-2</v>
      </c>
      <c r="NDZ3425" s="34">
        <v>-3</v>
      </c>
      <c r="NEA3425" s="34">
        <v>-4</v>
      </c>
      <c r="NEB3425" s="34">
        <v>-5</v>
      </c>
      <c r="NEC3425" s="908"/>
      <c r="NED3425" s="909"/>
      <c r="NEE3425" s="34">
        <v>-5</v>
      </c>
      <c r="NEF3425" s="34">
        <v>-4.5</v>
      </c>
      <c r="NEG3425" s="34">
        <v>-4</v>
      </c>
      <c r="NEH3425" s="34">
        <v>-3.5</v>
      </c>
      <c r="NEI3425" s="34">
        <v>-3</v>
      </c>
      <c r="NEJ3425" s="34">
        <v>-2.5</v>
      </c>
      <c r="NEK3425" s="34">
        <v>-2</v>
      </c>
      <c r="NEL3425" s="34">
        <v>-1.5</v>
      </c>
      <c r="NEM3425" s="34">
        <v>-1</v>
      </c>
      <c r="NEN3425" s="34">
        <v>-0.5</v>
      </c>
      <c r="NEO3425" s="34">
        <v>0</v>
      </c>
      <c r="NEP3425" s="34">
        <v>0.5</v>
      </c>
      <c r="NEQ3425" s="34">
        <v>1</v>
      </c>
      <c r="NER3425" s="34">
        <v>1.5</v>
      </c>
      <c r="NES3425" s="34">
        <v>2</v>
      </c>
      <c r="NET3425" s="34">
        <v>2.5</v>
      </c>
      <c r="NEU3425" s="34">
        <v>3</v>
      </c>
      <c r="NEV3425" s="34">
        <v>3.5</v>
      </c>
      <c r="NEW3425" s="34">
        <v>4</v>
      </c>
      <c r="NEX3425" s="34">
        <v>4.5</v>
      </c>
      <c r="NEY3425" s="34">
        <v>5</v>
      </c>
      <c r="NFA3425" s="913"/>
      <c r="NFB3425" s="31">
        <v>1</v>
      </c>
      <c r="NFC3425" s="34">
        <v>0</v>
      </c>
      <c r="NFD3425" s="34">
        <v>-1</v>
      </c>
      <c r="NFE3425" s="34">
        <v>-2</v>
      </c>
      <c r="NFF3425" s="34">
        <v>-3</v>
      </c>
      <c r="NFG3425" s="34">
        <v>-4</v>
      </c>
      <c r="NFH3425" s="34">
        <v>-5</v>
      </c>
      <c r="NFI3425" s="908"/>
      <c r="NFJ3425" s="909"/>
      <c r="NFK3425" s="34">
        <v>-5</v>
      </c>
      <c r="NFL3425" s="34">
        <v>-4.5</v>
      </c>
      <c r="NFM3425" s="34">
        <v>-4</v>
      </c>
      <c r="NFN3425" s="34">
        <v>-3.5</v>
      </c>
      <c r="NFO3425" s="34">
        <v>-3</v>
      </c>
      <c r="NFP3425" s="34">
        <v>-2.5</v>
      </c>
      <c r="NFQ3425" s="34">
        <v>-2</v>
      </c>
      <c r="NFR3425" s="34">
        <v>-1.5</v>
      </c>
      <c r="NFS3425" s="34">
        <v>-1</v>
      </c>
      <c r="NFT3425" s="34">
        <v>-0.5</v>
      </c>
      <c r="NFU3425" s="34">
        <v>0</v>
      </c>
      <c r="NFV3425" s="34">
        <v>0.5</v>
      </c>
      <c r="NFW3425" s="34">
        <v>1</v>
      </c>
      <c r="NFX3425" s="34">
        <v>1.5</v>
      </c>
      <c r="NFY3425" s="34">
        <v>2</v>
      </c>
      <c r="NFZ3425" s="34">
        <v>2.5</v>
      </c>
      <c r="NGA3425" s="34">
        <v>3</v>
      </c>
      <c r="NGB3425" s="34">
        <v>3.5</v>
      </c>
      <c r="NGC3425" s="34">
        <v>4</v>
      </c>
      <c r="NGD3425" s="34">
        <v>4.5</v>
      </c>
      <c r="NGE3425" s="34">
        <v>5</v>
      </c>
      <c r="NGG3425" s="913"/>
      <c r="NGH3425" s="31">
        <v>1</v>
      </c>
      <c r="NGI3425" s="34">
        <v>0</v>
      </c>
      <c r="NGJ3425" s="34">
        <v>-1</v>
      </c>
      <c r="NGK3425" s="34">
        <v>-2</v>
      </c>
      <c r="NGL3425" s="34">
        <v>-3</v>
      </c>
      <c r="NGM3425" s="34">
        <v>-4</v>
      </c>
      <c r="NGN3425" s="34">
        <v>-5</v>
      </c>
      <c r="NGO3425" s="908"/>
      <c r="NGP3425" s="909"/>
      <c r="NGQ3425" s="34">
        <v>-5</v>
      </c>
      <c r="NGR3425" s="34">
        <v>-4.5</v>
      </c>
      <c r="NGS3425" s="34">
        <v>-4</v>
      </c>
      <c r="NGT3425" s="34">
        <v>-3.5</v>
      </c>
      <c r="NGU3425" s="34">
        <v>-3</v>
      </c>
      <c r="NGV3425" s="34">
        <v>-2.5</v>
      </c>
      <c r="NGW3425" s="34">
        <v>-2</v>
      </c>
      <c r="NGX3425" s="34">
        <v>-1.5</v>
      </c>
      <c r="NGY3425" s="34">
        <v>-1</v>
      </c>
      <c r="NGZ3425" s="34">
        <v>-0.5</v>
      </c>
      <c r="NHA3425" s="34">
        <v>0</v>
      </c>
      <c r="NHB3425" s="34">
        <v>0.5</v>
      </c>
      <c r="NHC3425" s="34">
        <v>1</v>
      </c>
      <c r="NHD3425" s="34">
        <v>1.5</v>
      </c>
      <c r="NHE3425" s="34">
        <v>2</v>
      </c>
      <c r="NHF3425" s="34">
        <v>2.5</v>
      </c>
      <c r="NHG3425" s="34">
        <v>3</v>
      </c>
      <c r="NHH3425" s="34">
        <v>3.5</v>
      </c>
      <c r="NHI3425" s="34">
        <v>4</v>
      </c>
      <c r="NHJ3425" s="34">
        <v>4.5</v>
      </c>
      <c r="NHK3425" s="34">
        <v>5</v>
      </c>
      <c r="NHM3425" s="913"/>
      <c r="NHN3425" s="31">
        <v>1</v>
      </c>
      <c r="NHO3425" s="34">
        <v>0</v>
      </c>
      <c r="NHP3425" s="34">
        <v>-1</v>
      </c>
      <c r="NHQ3425" s="34">
        <v>-2</v>
      </c>
      <c r="NHR3425" s="34">
        <v>-3</v>
      </c>
      <c r="NHS3425" s="34">
        <v>-4</v>
      </c>
      <c r="NHT3425" s="34">
        <v>-5</v>
      </c>
      <c r="NHU3425" s="908"/>
      <c r="NHV3425" s="909"/>
      <c r="NHW3425" s="34">
        <v>-5</v>
      </c>
      <c r="NHX3425" s="34">
        <v>-4.5</v>
      </c>
      <c r="NHY3425" s="34">
        <v>-4</v>
      </c>
      <c r="NHZ3425" s="34">
        <v>-3.5</v>
      </c>
      <c r="NIA3425" s="34">
        <v>-3</v>
      </c>
      <c r="NIB3425" s="34">
        <v>-2.5</v>
      </c>
      <c r="NIC3425" s="34">
        <v>-2</v>
      </c>
      <c r="NID3425" s="34">
        <v>-1.5</v>
      </c>
      <c r="NIE3425" s="34">
        <v>-1</v>
      </c>
      <c r="NIF3425" s="34">
        <v>-0.5</v>
      </c>
      <c r="NIG3425" s="34">
        <v>0</v>
      </c>
      <c r="NIH3425" s="34">
        <v>0.5</v>
      </c>
      <c r="NII3425" s="34">
        <v>1</v>
      </c>
      <c r="NIJ3425" s="34">
        <v>1.5</v>
      </c>
      <c r="NIK3425" s="34">
        <v>2</v>
      </c>
      <c r="NIL3425" s="34">
        <v>2.5</v>
      </c>
      <c r="NIM3425" s="34">
        <v>3</v>
      </c>
      <c r="NIN3425" s="34">
        <v>3.5</v>
      </c>
      <c r="NIO3425" s="34">
        <v>4</v>
      </c>
      <c r="NIP3425" s="34">
        <v>4.5</v>
      </c>
      <c r="NIQ3425" s="34">
        <v>5</v>
      </c>
      <c r="NIS3425" s="913"/>
      <c r="NIT3425" s="31">
        <v>1</v>
      </c>
      <c r="NIU3425" s="34">
        <v>0</v>
      </c>
      <c r="NIV3425" s="34">
        <v>-1</v>
      </c>
      <c r="NIW3425" s="34">
        <v>-2</v>
      </c>
      <c r="NIX3425" s="34">
        <v>-3</v>
      </c>
      <c r="NIY3425" s="34">
        <v>-4</v>
      </c>
      <c r="NIZ3425" s="34">
        <v>-5</v>
      </c>
      <c r="NJA3425" s="908"/>
      <c r="NJB3425" s="909"/>
      <c r="NJC3425" s="34">
        <v>-5</v>
      </c>
      <c r="NJD3425" s="34">
        <v>-4.5</v>
      </c>
      <c r="NJE3425" s="34">
        <v>-4</v>
      </c>
      <c r="NJF3425" s="34">
        <v>-3.5</v>
      </c>
      <c r="NJG3425" s="34">
        <v>-3</v>
      </c>
      <c r="NJH3425" s="34">
        <v>-2.5</v>
      </c>
      <c r="NJI3425" s="34">
        <v>-2</v>
      </c>
      <c r="NJJ3425" s="34">
        <v>-1.5</v>
      </c>
      <c r="NJK3425" s="34">
        <v>-1</v>
      </c>
      <c r="NJL3425" s="34">
        <v>-0.5</v>
      </c>
      <c r="NJM3425" s="34">
        <v>0</v>
      </c>
      <c r="NJN3425" s="34">
        <v>0.5</v>
      </c>
      <c r="NJO3425" s="34">
        <v>1</v>
      </c>
      <c r="NJP3425" s="34">
        <v>1.5</v>
      </c>
      <c r="NJQ3425" s="34">
        <v>2</v>
      </c>
      <c r="NJR3425" s="34">
        <v>2.5</v>
      </c>
      <c r="NJS3425" s="34">
        <v>3</v>
      </c>
      <c r="NJT3425" s="34">
        <v>3.5</v>
      </c>
      <c r="NJU3425" s="34">
        <v>4</v>
      </c>
      <c r="NJV3425" s="34">
        <v>4.5</v>
      </c>
      <c r="NJW3425" s="34">
        <v>5</v>
      </c>
      <c r="NJY3425" s="913"/>
      <c r="NJZ3425" s="31">
        <v>1</v>
      </c>
      <c r="NKA3425" s="34">
        <v>0</v>
      </c>
      <c r="NKB3425" s="34">
        <v>-1</v>
      </c>
      <c r="NKC3425" s="34">
        <v>-2</v>
      </c>
      <c r="NKD3425" s="34">
        <v>-3</v>
      </c>
      <c r="NKE3425" s="34">
        <v>-4</v>
      </c>
      <c r="NKF3425" s="34">
        <v>-5</v>
      </c>
      <c r="NKG3425" s="908"/>
      <c r="NKH3425" s="909"/>
      <c r="NKI3425" s="34">
        <v>-5</v>
      </c>
      <c r="NKJ3425" s="34">
        <v>-4.5</v>
      </c>
      <c r="NKK3425" s="34">
        <v>-4</v>
      </c>
      <c r="NKL3425" s="34">
        <v>-3.5</v>
      </c>
      <c r="NKM3425" s="34">
        <v>-3</v>
      </c>
      <c r="NKN3425" s="34">
        <v>-2.5</v>
      </c>
      <c r="NKO3425" s="34">
        <v>-2</v>
      </c>
      <c r="NKP3425" s="34">
        <v>-1.5</v>
      </c>
      <c r="NKQ3425" s="34">
        <v>-1</v>
      </c>
      <c r="NKR3425" s="34">
        <v>-0.5</v>
      </c>
      <c r="NKS3425" s="34">
        <v>0</v>
      </c>
      <c r="NKT3425" s="34">
        <v>0.5</v>
      </c>
      <c r="NKU3425" s="34">
        <v>1</v>
      </c>
      <c r="NKV3425" s="34">
        <v>1.5</v>
      </c>
      <c r="NKW3425" s="34">
        <v>2</v>
      </c>
      <c r="NKX3425" s="34">
        <v>2.5</v>
      </c>
      <c r="NKY3425" s="34">
        <v>3</v>
      </c>
      <c r="NKZ3425" s="34">
        <v>3.5</v>
      </c>
      <c r="NLA3425" s="34">
        <v>4</v>
      </c>
      <c r="NLB3425" s="34">
        <v>4.5</v>
      </c>
      <c r="NLC3425" s="34">
        <v>5</v>
      </c>
      <c r="NLE3425" s="913"/>
      <c r="NLF3425" s="31">
        <v>1</v>
      </c>
      <c r="NLG3425" s="34">
        <v>0</v>
      </c>
      <c r="NLH3425" s="34">
        <v>-1</v>
      </c>
      <c r="NLI3425" s="34">
        <v>-2</v>
      </c>
      <c r="NLJ3425" s="34">
        <v>-3</v>
      </c>
      <c r="NLK3425" s="34">
        <v>-4</v>
      </c>
      <c r="NLL3425" s="34">
        <v>-5</v>
      </c>
      <c r="NLM3425" s="908"/>
      <c r="NLN3425" s="909"/>
      <c r="NLO3425" s="34">
        <v>-5</v>
      </c>
      <c r="NLP3425" s="34">
        <v>-4.5</v>
      </c>
      <c r="NLQ3425" s="34">
        <v>-4</v>
      </c>
      <c r="NLR3425" s="34">
        <v>-3.5</v>
      </c>
      <c r="NLS3425" s="34">
        <v>-3</v>
      </c>
      <c r="NLT3425" s="34">
        <v>-2.5</v>
      </c>
      <c r="NLU3425" s="34">
        <v>-2</v>
      </c>
      <c r="NLV3425" s="34">
        <v>-1.5</v>
      </c>
      <c r="NLW3425" s="34">
        <v>-1</v>
      </c>
      <c r="NLX3425" s="34">
        <v>-0.5</v>
      </c>
      <c r="NLY3425" s="34">
        <v>0</v>
      </c>
      <c r="NLZ3425" s="34">
        <v>0.5</v>
      </c>
      <c r="NMA3425" s="34">
        <v>1</v>
      </c>
      <c r="NMB3425" s="34">
        <v>1.5</v>
      </c>
      <c r="NMC3425" s="34">
        <v>2</v>
      </c>
      <c r="NMD3425" s="34">
        <v>2.5</v>
      </c>
      <c r="NME3425" s="34">
        <v>3</v>
      </c>
      <c r="NMF3425" s="34">
        <v>3.5</v>
      </c>
      <c r="NMG3425" s="34">
        <v>4</v>
      </c>
      <c r="NMH3425" s="34">
        <v>4.5</v>
      </c>
      <c r="NMI3425" s="34">
        <v>5</v>
      </c>
      <c r="NMK3425" s="913"/>
      <c r="NML3425" s="31">
        <v>1</v>
      </c>
      <c r="NMM3425" s="34">
        <v>0</v>
      </c>
      <c r="NMN3425" s="34">
        <v>-1</v>
      </c>
      <c r="NMO3425" s="34">
        <v>-2</v>
      </c>
      <c r="NMP3425" s="34">
        <v>-3</v>
      </c>
      <c r="NMQ3425" s="34">
        <v>-4</v>
      </c>
      <c r="NMR3425" s="34">
        <v>-5</v>
      </c>
      <c r="NMS3425" s="908"/>
      <c r="NMT3425" s="909"/>
      <c r="NMU3425" s="34">
        <v>-5</v>
      </c>
      <c r="NMV3425" s="34">
        <v>-4.5</v>
      </c>
      <c r="NMW3425" s="34">
        <v>-4</v>
      </c>
      <c r="NMX3425" s="34">
        <v>-3.5</v>
      </c>
      <c r="NMY3425" s="34">
        <v>-3</v>
      </c>
      <c r="NMZ3425" s="34">
        <v>-2.5</v>
      </c>
      <c r="NNA3425" s="34">
        <v>-2</v>
      </c>
      <c r="NNB3425" s="34">
        <v>-1.5</v>
      </c>
      <c r="NNC3425" s="34">
        <v>-1</v>
      </c>
      <c r="NND3425" s="34">
        <v>-0.5</v>
      </c>
      <c r="NNE3425" s="34">
        <v>0</v>
      </c>
      <c r="NNF3425" s="34">
        <v>0.5</v>
      </c>
      <c r="NNG3425" s="34">
        <v>1</v>
      </c>
      <c r="NNH3425" s="34">
        <v>1.5</v>
      </c>
      <c r="NNI3425" s="34">
        <v>2</v>
      </c>
      <c r="NNJ3425" s="34">
        <v>2.5</v>
      </c>
      <c r="NNK3425" s="34">
        <v>3</v>
      </c>
      <c r="NNL3425" s="34">
        <v>3.5</v>
      </c>
      <c r="NNM3425" s="34">
        <v>4</v>
      </c>
      <c r="NNN3425" s="34">
        <v>4.5</v>
      </c>
      <c r="NNO3425" s="34">
        <v>5</v>
      </c>
      <c r="NNQ3425" s="913"/>
      <c r="NNR3425" s="31">
        <v>1</v>
      </c>
      <c r="NNS3425" s="34">
        <v>0</v>
      </c>
      <c r="NNT3425" s="34">
        <v>-1</v>
      </c>
      <c r="NNU3425" s="34">
        <v>-2</v>
      </c>
      <c r="NNV3425" s="34">
        <v>-3</v>
      </c>
      <c r="NNW3425" s="34">
        <v>-4</v>
      </c>
      <c r="NNX3425" s="34">
        <v>-5</v>
      </c>
      <c r="NNY3425" s="908"/>
      <c r="NNZ3425" s="909"/>
      <c r="NOA3425" s="34">
        <v>-5</v>
      </c>
      <c r="NOB3425" s="34">
        <v>-4.5</v>
      </c>
      <c r="NOC3425" s="34">
        <v>-4</v>
      </c>
      <c r="NOD3425" s="34">
        <v>-3.5</v>
      </c>
      <c r="NOE3425" s="34">
        <v>-3</v>
      </c>
      <c r="NOF3425" s="34">
        <v>-2.5</v>
      </c>
      <c r="NOG3425" s="34">
        <v>-2</v>
      </c>
      <c r="NOH3425" s="34">
        <v>-1.5</v>
      </c>
      <c r="NOI3425" s="34">
        <v>-1</v>
      </c>
      <c r="NOJ3425" s="34">
        <v>-0.5</v>
      </c>
      <c r="NOK3425" s="34">
        <v>0</v>
      </c>
      <c r="NOL3425" s="34">
        <v>0.5</v>
      </c>
      <c r="NOM3425" s="34">
        <v>1</v>
      </c>
      <c r="NON3425" s="34">
        <v>1.5</v>
      </c>
      <c r="NOO3425" s="34">
        <v>2</v>
      </c>
      <c r="NOP3425" s="34">
        <v>2.5</v>
      </c>
      <c r="NOQ3425" s="34">
        <v>3</v>
      </c>
      <c r="NOR3425" s="34">
        <v>3.5</v>
      </c>
      <c r="NOS3425" s="34">
        <v>4</v>
      </c>
      <c r="NOT3425" s="34">
        <v>4.5</v>
      </c>
      <c r="NOU3425" s="34">
        <v>5</v>
      </c>
      <c r="NOW3425" s="913"/>
      <c r="NOX3425" s="31">
        <v>1</v>
      </c>
      <c r="NOY3425" s="34">
        <v>0</v>
      </c>
      <c r="NOZ3425" s="34">
        <v>-1</v>
      </c>
      <c r="NPA3425" s="34">
        <v>-2</v>
      </c>
      <c r="NPB3425" s="34">
        <v>-3</v>
      </c>
      <c r="NPC3425" s="34">
        <v>-4</v>
      </c>
      <c r="NPD3425" s="34">
        <v>-5</v>
      </c>
      <c r="NPE3425" s="908"/>
      <c r="NPF3425" s="909"/>
      <c r="NPG3425" s="34">
        <v>-5</v>
      </c>
      <c r="NPH3425" s="34">
        <v>-4.5</v>
      </c>
      <c r="NPI3425" s="34">
        <v>-4</v>
      </c>
      <c r="NPJ3425" s="34">
        <v>-3.5</v>
      </c>
      <c r="NPK3425" s="34">
        <v>-3</v>
      </c>
      <c r="NPL3425" s="34">
        <v>-2.5</v>
      </c>
      <c r="NPM3425" s="34">
        <v>-2</v>
      </c>
      <c r="NPN3425" s="34">
        <v>-1.5</v>
      </c>
      <c r="NPO3425" s="34">
        <v>-1</v>
      </c>
      <c r="NPP3425" s="34">
        <v>-0.5</v>
      </c>
      <c r="NPQ3425" s="34">
        <v>0</v>
      </c>
      <c r="NPR3425" s="34">
        <v>0.5</v>
      </c>
      <c r="NPS3425" s="34">
        <v>1</v>
      </c>
      <c r="NPT3425" s="34">
        <v>1.5</v>
      </c>
      <c r="NPU3425" s="34">
        <v>2</v>
      </c>
      <c r="NPV3425" s="34">
        <v>2.5</v>
      </c>
      <c r="NPW3425" s="34">
        <v>3</v>
      </c>
      <c r="NPX3425" s="34">
        <v>3.5</v>
      </c>
      <c r="NPY3425" s="34">
        <v>4</v>
      </c>
      <c r="NPZ3425" s="34">
        <v>4.5</v>
      </c>
      <c r="NQA3425" s="34">
        <v>5</v>
      </c>
      <c r="NQC3425" s="913"/>
      <c r="NQD3425" s="31">
        <v>1</v>
      </c>
      <c r="NQE3425" s="34">
        <v>0</v>
      </c>
      <c r="NQF3425" s="34">
        <v>-1</v>
      </c>
      <c r="NQG3425" s="34">
        <v>-2</v>
      </c>
      <c r="NQH3425" s="34">
        <v>-3</v>
      </c>
      <c r="NQI3425" s="34">
        <v>-4</v>
      </c>
      <c r="NQJ3425" s="34">
        <v>-5</v>
      </c>
      <c r="NQK3425" s="908"/>
      <c r="NQL3425" s="909"/>
      <c r="NQM3425" s="34">
        <v>-5</v>
      </c>
      <c r="NQN3425" s="34">
        <v>-4.5</v>
      </c>
      <c r="NQO3425" s="34">
        <v>-4</v>
      </c>
      <c r="NQP3425" s="34">
        <v>-3.5</v>
      </c>
      <c r="NQQ3425" s="34">
        <v>-3</v>
      </c>
      <c r="NQR3425" s="34">
        <v>-2.5</v>
      </c>
      <c r="NQS3425" s="34">
        <v>-2</v>
      </c>
      <c r="NQT3425" s="34">
        <v>-1.5</v>
      </c>
      <c r="NQU3425" s="34">
        <v>-1</v>
      </c>
      <c r="NQV3425" s="34">
        <v>-0.5</v>
      </c>
      <c r="NQW3425" s="34">
        <v>0</v>
      </c>
      <c r="NQX3425" s="34">
        <v>0.5</v>
      </c>
      <c r="NQY3425" s="34">
        <v>1</v>
      </c>
      <c r="NQZ3425" s="34">
        <v>1.5</v>
      </c>
      <c r="NRA3425" s="34">
        <v>2</v>
      </c>
      <c r="NRB3425" s="34">
        <v>2.5</v>
      </c>
      <c r="NRC3425" s="34">
        <v>3</v>
      </c>
      <c r="NRD3425" s="34">
        <v>3.5</v>
      </c>
      <c r="NRE3425" s="34">
        <v>4</v>
      </c>
      <c r="NRF3425" s="34">
        <v>4.5</v>
      </c>
      <c r="NRG3425" s="34">
        <v>5</v>
      </c>
      <c r="NRI3425" s="913"/>
      <c r="NRJ3425" s="31">
        <v>1</v>
      </c>
      <c r="NRK3425" s="34">
        <v>0</v>
      </c>
      <c r="NRL3425" s="34">
        <v>-1</v>
      </c>
      <c r="NRM3425" s="34">
        <v>-2</v>
      </c>
      <c r="NRN3425" s="34">
        <v>-3</v>
      </c>
      <c r="NRO3425" s="34">
        <v>-4</v>
      </c>
      <c r="NRP3425" s="34">
        <v>-5</v>
      </c>
      <c r="NRQ3425" s="908"/>
      <c r="NRR3425" s="909"/>
      <c r="NRS3425" s="34">
        <v>-5</v>
      </c>
      <c r="NRT3425" s="34">
        <v>-4.5</v>
      </c>
      <c r="NRU3425" s="34">
        <v>-4</v>
      </c>
      <c r="NRV3425" s="34">
        <v>-3.5</v>
      </c>
      <c r="NRW3425" s="34">
        <v>-3</v>
      </c>
      <c r="NRX3425" s="34">
        <v>-2.5</v>
      </c>
      <c r="NRY3425" s="34">
        <v>-2</v>
      </c>
      <c r="NRZ3425" s="34">
        <v>-1.5</v>
      </c>
      <c r="NSA3425" s="34">
        <v>-1</v>
      </c>
      <c r="NSB3425" s="34">
        <v>-0.5</v>
      </c>
      <c r="NSC3425" s="34">
        <v>0</v>
      </c>
      <c r="NSD3425" s="34">
        <v>0.5</v>
      </c>
      <c r="NSE3425" s="34">
        <v>1</v>
      </c>
      <c r="NSF3425" s="34">
        <v>1.5</v>
      </c>
      <c r="NSG3425" s="34">
        <v>2</v>
      </c>
      <c r="NSH3425" s="34">
        <v>2.5</v>
      </c>
      <c r="NSI3425" s="34">
        <v>3</v>
      </c>
      <c r="NSJ3425" s="34">
        <v>3.5</v>
      </c>
      <c r="NSK3425" s="34">
        <v>4</v>
      </c>
      <c r="NSL3425" s="34">
        <v>4.5</v>
      </c>
      <c r="NSM3425" s="34">
        <v>5</v>
      </c>
      <c r="NSO3425" s="913"/>
      <c r="NSP3425" s="31">
        <v>1</v>
      </c>
      <c r="NSQ3425" s="34">
        <v>0</v>
      </c>
      <c r="NSR3425" s="34">
        <v>-1</v>
      </c>
      <c r="NSS3425" s="34">
        <v>-2</v>
      </c>
      <c r="NST3425" s="34">
        <v>-3</v>
      </c>
      <c r="NSU3425" s="34">
        <v>-4</v>
      </c>
      <c r="NSV3425" s="34">
        <v>-5</v>
      </c>
      <c r="NSW3425" s="908"/>
      <c r="NSX3425" s="909"/>
      <c r="NSY3425" s="34">
        <v>-5</v>
      </c>
      <c r="NSZ3425" s="34">
        <v>-4.5</v>
      </c>
      <c r="NTA3425" s="34">
        <v>-4</v>
      </c>
      <c r="NTB3425" s="34">
        <v>-3.5</v>
      </c>
      <c r="NTC3425" s="34">
        <v>-3</v>
      </c>
      <c r="NTD3425" s="34">
        <v>-2.5</v>
      </c>
      <c r="NTE3425" s="34">
        <v>-2</v>
      </c>
      <c r="NTF3425" s="34">
        <v>-1.5</v>
      </c>
      <c r="NTG3425" s="34">
        <v>-1</v>
      </c>
      <c r="NTH3425" s="34">
        <v>-0.5</v>
      </c>
      <c r="NTI3425" s="34">
        <v>0</v>
      </c>
      <c r="NTJ3425" s="34">
        <v>0.5</v>
      </c>
      <c r="NTK3425" s="34">
        <v>1</v>
      </c>
      <c r="NTL3425" s="34">
        <v>1.5</v>
      </c>
      <c r="NTM3425" s="34">
        <v>2</v>
      </c>
      <c r="NTN3425" s="34">
        <v>2.5</v>
      </c>
      <c r="NTO3425" s="34">
        <v>3</v>
      </c>
      <c r="NTP3425" s="34">
        <v>3.5</v>
      </c>
      <c r="NTQ3425" s="34">
        <v>4</v>
      </c>
      <c r="NTR3425" s="34">
        <v>4.5</v>
      </c>
      <c r="NTS3425" s="34">
        <v>5</v>
      </c>
      <c r="NTU3425" s="913"/>
      <c r="NTV3425" s="31">
        <v>1</v>
      </c>
      <c r="NTW3425" s="34">
        <v>0</v>
      </c>
      <c r="NTX3425" s="34">
        <v>-1</v>
      </c>
      <c r="NTY3425" s="34">
        <v>-2</v>
      </c>
      <c r="NTZ3425" s="34">
        <v>-3</v>
      </c>
      <c r="NUA3425" s="34">
        <v>-4</v>
      </c>
      <c r="NUB3425" s="34">
        <v>-5</v>
      </c>
      <c r="NUC3425" s="908"/>
      <c r="NUD3425" s="909"/>
      <c r="NUE3425" s="34">
        <v>-5</v>
      </c>
      <c r="NUF3425" s="34">
        <v>-4.5</v>
      </c>
      <c r="NUG3425" s="34">
        <v>-4</v>
      </c>
      <c r="NUH3425" s="34">
        <v>-3.5</v>
      </c>
      <c r="NUI3425" s="34">
        <v>-3</v>
      </c>
      <c r="NUJ3425" s="34">
        <v>-2.5</v>
      </c>
      <c r="NUK3425" s="34">
        <v>-2</v>
      </c>
      <c r="NUL3425" s="34">
        <v>-1.5</v>
      </c>
      <c r="NUM3425" s="34">
        <v>-1</v>
      </c>
      <c r="NUN3425" s="34">
        <v>-0.5</v>
      </c>
      <c r="NUO3425" s="34">
        <v>0</v>
      </c>
      <c r="NUP3425" s="34">
        <v>0.5</v>
      </c>
      <c r="NUQ3425" s="34">
        <v>1</v>
      </c>
      <c r="NUR3425" s="34">
        <v>1.5</v>
      </c>
      <c r="NUS3425" s="34">
        <v>2</v>
      </c>
      <c r="NUT3425" s="34">
        <v>2.5</v>
      </c>
      <c r="NUU3425" s="34">
        <v>3</v>
      </c>
      <c r="NUV3425" s="34">
        <v>3.5</v>
      </c>
      <c r="NUW3425" s="34">
        <v>4</v>
      </c>
      <c r="NUX3425" s="34">
        <v>4.5</v>
      </c>
      <c r="NUY3425" s="34">
        <v>5</v>
      </c>
      <c r="NVA3425" s="913"/>
      <c r="NVB3425" s="31">
        <v>1</v>
      </c>
      <c r="NVC3425" s="34">
        <v>0</v>
      </c>
      <c r="NVD3425" s="34">
        <v>-1</v>
      </c>
      <c r="NVE3425" s="34">
        <v>-2</v>
      </c>
      <c r="NVF3425" s="34">
        <v>-3</v>
      </c>
      <c r="NVG3425" s="34">
        <v>-4</v>
      </c>
      <c r="NVH3425" s="34">
        <v>-5</v>
      </c>
      <c r="NVI3425" s="908"/>
      <c r="NVJ3425" s="909"/>
      <c r="NVK3425" s="34">
        <v>-5</v>
      </c>
      <c r="NVL3425" s="34">
        <v>-4.5</v>
      </c>
      <c r="NVM3425" s="34">
        <v>-4</v>
      </c>
      <c r="NVN3425" s="34">
        <v>-3.5</v>
      </c>
      <c r="NVO3425" s="34">
        <v>-3</v>
      </c>
      <c r="NVP3425" s="34">
        <v>-2.5</v>
      </c>
      <c r="NVQ3425" s="34">
        <v>-2</v>
      </c>
      <c r="NVR3425" s="34">
        <v>-1.5</v>
      </c>
      <c r="NVS3425" s="34">
        <v>-1</v>
      </c>
      <c r="NVT3425" s="34">
        <v>-0.5</v>
      </c>
      <c r="NVU3425" s="34">
        <v>0</v>
      </c>
      <c r="NVV3425" s="34">
        <v>0.5</v>
      </c>
      <c r="NVW3425" s="34">
        <v>1</v>
      </c>
      <c r="NVX3425" s="34">
        <v>1.5</v>
      </c>
      <c r="NVY3425" s="34">
        <v>2</v>
      </c>
      <c r="NVZ3425" s="34">
        <v>2.5</v>
      </c>
      <c r="NWA3425" s="34">
        <v>3</v>
      </c>
      <c r="NWB3425" s="34">
        <v>3.5</v>
      </c>
      <c r="NWC3425" s="34">
        <v>4</v>
      </c>
      <c r="NWD3425" s="34">
        <v>4.5</v>
      </c>
      <c r="NWE3425" s="34">
        <v>5</v>
      </c>
      <c r="NWG3425" s="913"/>
      <c r="NWH3425" s="31">
        <v>1</v>
      </c>
      <c r="NWI3425" s="34">
        <v>0</v>
      </c>
      <c r="NWJ3425" s="34">
        <v>-1</v>
      </c>
      <c r="NWK3425" s="34">
        <v>-2</v>
      </c>
      <c r="NWL3425" s="34">
        <v>-3</v>
      </c>
      <c r="NWM3425" s="34">
        <v>-4</v>
      </c>
      <c r="NWN3425" s="34">
        <v>-5</v>
      </c>
      <c r="NWO3425" s="908"/>
      <c r="NWP3425" s="909"/>
      <c r="NWQ3425" s="34">
        <v>-5</v>
      </c>
      <c r="NWR3425" s="34">
        <v>-4.5</v>
      </c>
      <c r="NWS3425" s="34">
        <v>-4</v>
      </c>
      <c r="NWT3425" s="34">
        <v>-3.5</v>
      </c>
      <c r="NWU3425" s="34">
        <v>-3</v>
      </c>
      <c r="NWV3425" s="34">
        <v>-2.5</v>
      </c>
      <c r="NWW3425" s="34">
        <v>-2</v>
      </c>
      <c r="NWX3425" s="34">
        <v>-1.5</v>
      </c>
      <c r="NWY3425" s="34">
        <v>-1</v>
      </c>
      <c r="NWZ3425" s="34">
        <v>-0.5</v>
      </c>
      <c r="NXA3425" s="34">
        <v>0</v>
      </c>
      <c r="NXB3425" s="34">
        <v>0.5</v>
      </c>
      <c r="NXC3425" s="34">
        <v>1</v>
      </c>
      <c r="NXD3425" s="34">
        <v>1.5</v>
      </c>
      <c r="NXE3425" s="34">
        <v>2</v>
      </c>
      <c r="NXF3425" s="34">
        <v>2.5</v>
      </c>
      <c r="NXG3425" s="34">
        <v>3</v>
      </c>
      <c r="NXH3425" s="34">
        <v>3.5</v>
      </c>
      <c r="NXI3425" s="34">
        <v>4</v>
      </c>
      <c r="NXJ3425" s="34">
        <v>4.5</v>
      </c>
      <c r="NXK3425" s="34">
        <v>5</v>
      </c>
      <c r="NXM3425" s="913"/>
      <c r="NXN3425" s="31">
        <v>1</v>
      </c>
      <c r="NXO3425" s="34">
        <v>0</v>
      </c>
      <c r="NXP3425" s="34">
        <v>-1</v>
      </c>
      <c r="NXQ3425" s="34">
        <v>-2</v>
      </c>
      <c r="NXR3425" s="34">
        <v>-3</v>
      </c>
      <c r="NXS3425" s="34">
        <v>-4</v>
      </c>
      <c r="NXT3425" s="34">
        <v>-5</v>
      </c>
      <c r="NXU3425" s="908"/>
      <c r="NXV3425" s="909"/>
      <c r="NXW3425" s="34">
        <v>-5</v>
      </c>
      <c r="NXX3425" s="34">
        <v>-4.5</v>
      </c>
      <c r="NXY3425" s="34">
        <v>-4</v>
      </c>
      <c r="NXZ3425" s="34">
        <v>-3.5</v>
      </c>
      <c r="NYA3425" s="34">
        <v>-3</v>
      </c>
      <c r="NYB3425" s="34">
        <v>-2.5</v>
      </c>
      <c r="NYC3425" s="34">
        <v>-2</v>
      </c>
      <c r="NYD3425" s="34">
        <v>-1.5</v>
      </c>
      <c r="NYE3425" s="34">
        <v>-1</v>
      </c>
      <c r="NYF3425" s="34">
        <v>-0.5</v>
      </c>
      <c r="NYG3425" s="34">
        <v>0</v>
      </c>
      <c r="NYH3425" s="34">
        <v>0.5</v>
      </c>
      <c r="NYI3425" s="34">
        <v>1</v>
      </c>
      <c r="NYJ3425" s="34">
        <v>1.5</v>
      </c>
      <c r="NYK3425" s="34">
        <v>2</v>
      </c>
      <c r="NYL3425" s="34">
        <v>2.5</v>
      </c>
      <c r="NYM3425" s="34">
        <v>3</v>
      </c>
      <c r="NYN3425" s="34">
        <v>3.5</v>
      </c>
      <c r="NYO3425" s="34">
        <v>4</v>
      </c>
      <c r="NYP3425" s="34">
        <v>4.5</v>
      </c>
      <c r="NYQ3425" s="34">
        <v>5</v>
      </c>
      <c r="NYS3425" s="913"/>
      <c r="NYT3425" s="31">
        <v>1</v>
      </c>
      <c r="NYU3425" s="34">
        <v>0</v>
      </c>
      <c r="NYV3425" s="34">
        <v>-1</v>
      </c>
      <c r="NYW3425" s="34">
        <v>-2</v>
      </c>
      <c r="NYX3425" s="34">
        <v>-3</v>
      </c>
      <c r="NYY3425" s="34">
        <v>-4</v>
      </c>
      <c r="NYZ3425" s="34">
        <v>-5</v>
      </c>
      <c r="NZA3425" s="908"/>
      <c r="NZB3425" s="909"/>
      <c r="NZC3425" s="34">
        <v>-5</v>
      </c>
      <c r="NZD3425" s="34">
        <v>-4.5</v>
      </c>
      <c r="NZE3425" s="34">
        <v>-4</v>
      </c>
      <c r="NZF3425" s="34">
        <v>-3.5</v>
      </c>
      <c r="NZG3425" s="34">
        <v>-3</v>
      </c>
      <c r="NZH3425" s="34">
        <v>-2.5</v>
      </c>
      <c r="NZI3425" s="34">
        <v>-2</v>
      </c>
      <c r="NZJ3425" s="34">
        <v>-1.5</v>
      </c>
      <c r="NZK3425" s="34">
        <v>-1</v>
      </c>
      <c r="NZL3425" s="34">
        <v>-0.5</v>
      </c>
      <c r="NZM3425" s="34">
        <v>0</v>
      </c>
      <c r="NZN3425" s="34">
        <v>0.5</v>
      </c>
      <c r="NZO3425" s="34">
        <v>1</v>
      </c>
      <c r="NZP3425" s="34">
        <v>1.5</v>
      </c>
      <c r="NZQ3425" s="34">
        <v>2</v>
      </c>
      <c r="NZR3425" s="34">
        <v>2.5</v>
      </c>
      <c r="NZS3425" s="34">
        <v>3</v>
      </c>
      <c r="NZT3425" s="34">
        <v>3.5</v>
      </c>
      <c r="NZU3425" s="34">
        <v>4</v>
      </c>
      <c r="NZV3425" s="34">
        <v>4.5</v>
      </c>
      <c r="NZW3425" s="34">
        <v>5</v>
      </c>
      <c r="NZY3425" s="913"/>
      <c r="NZZ3425" s="31">
        <v>1</v>
      </c>
      <c r="OAA3425" s="34">
        <v>0</v>
      </c>
      <c r="OAB3425" s="34">
        <v>-1</v>
      </c>
      <c r="OAC3425" s="34">
        <v>-2</v>
      </c>
      <c r="OAD3425" s="34">
        <v>-3</v>
      </c>
      <c r="OAE3425" s="34">
        <v>-4</v>
      </c>
      <c r="OAF3425" s="34">
        <v>-5</v>
      </c>
      <c r="OAG3425" s="908"/>
      <c r="OAH3425" s="909"/>
      <c r="OAI3425" s="34">
        <v>-5</v>
      </c>
      <c r="OAJ3425" s="34">
        <v>-4.5</v>
      </c>
      <c r="OAK3425" s="34">
        <v>-4</v>
      </c>
      <c r="OAL3425" s="34">
        <v>-3.5</v>
      </c>
      <c r="OAM3425" s="34">
        <v>-3</v>
      </c>
      <c r="OAN3425" s="34">
        <v>-2.5</v>
      </c>
      <c r="OAO3425" s="34">
        <v>-2</v>
      </c>
      <c r="OAP3425" s="34">
        <v>-1.5</v>
      </c>
      <c r="OAQ3425" s="34">
        <v>-1</v>
      </c>
      <c r="OAR3425" s="34">
        <v>-0.5</v>
      </c>
      <c r="OAS3425" s="34">
        <v>0</v>
      </c>
      <c r="OAT3425" s="34">
        <v>0.5</v>
      </c>
      <c r="OAU3425" s="34">
        <v>1</v>
      </c>
      <c r="OAV3425" s="34">
        <v>1.5</v>
      </c>
      <c r="OAW3425" s="34">
        <v>2</v>
      </c>
      <c r="OAX3425" s="34">
        <v>2.5</v>
      </c>
      <c r="OAY3425" s="34">
        <v>3</v>
      </c>
      <c r="OAZ3425" s="34">
        <v>3.5</v>
      </c>
      <c r="OBA3425" s="34">
        <v>4</v>
      </c>
      <c r="OBB3425" s="34">
        <v>4.5</v>
      </c>
      <c r="OBC3425" s="34">
        <v>5</v>
      </c>
      <c r="OBE3425" s="913"/>
      <c r="OBF3425" s="31">
        <v>1</v>
      </c>
      <c r="OBG3425" s="34">
        <v>0</v>
      </c>
      <c r="OBH3425" s="34">
        <v>-1</v>
      </c>
      <c r="OBI3425" s="34">
        <v>-2</v>
      </c>
      <c r="OBJ3425" s="34">
        <v>-3</v>
      </c>
      <c r="OBK3425" s="34">
        <v>-4</v>
      </c>
      <c r="OBL3425" s="34">
        <v>-5</v>
      </c>
      <c r="OBM3425" s="908"/>
      <c r="OBN3425" s="909"/>
      <c r="OBO3425" s="34">
        <v>-5</v>
      </c>
      <c r="OBP3425" s="34">
        <v>-4.5</v>
      </c>
      <c r="OBQ3425" s="34">
        <v>-4</v>
      </c>
      <c r="OBR3425" s="34">
        <v>-3.5</v>
      </c>
      <c r="OBS3425" s="34">
        <v>-3</v>
      </c>
      <c r="OBT3425" s="34">
        <v>-2.5</v>
      </c>
      <c r="OBU3425" s="34">
        <v>-2</v>
      </c>
      <c r="OBV3425" s="34">
        <v>-1.5</v>
      </c>
      <c r="OBW3425" s="34">
        <v>-1</v>
      </c>
      <c r="OBX3425" s="34">
        <v>-0.5</v>
      </c>
      <c r="OBY3425" s="34">
        <v>0</v>
      </c>
      <c r="OBZ3425" s="34">
        <v>0.5</v>
      </c>
      <c r="OCA3425" s="34">
        <v>1</v>
      </c>
      <c r="OCB3425" s="34">
        <v>1.5</v>
      </c>
      <c r="OCC3425" s="34">
        <v>2</v>
      </c>
      <c r="OCD3425" s="34">
        <v>2.5</v>
      </c>
      <c r="OCE3425" s="34">
        <v>3</v>
      </c>
      <c r="OCF3425" s="34">
        <v>3.5</v>
      </c>
      <c r="OCG3425" s="34">
        <v>4</v>
      </c>
      <c r="OCH3425" s="34">
        <v>4.5</v>
      </c>
      <c r="OCI3425" s="34">
        <v>5</v>
      </c>
      <c r="OCK3425" s="913"/>
      <c r="OCL3425" s="31">
        <v>1</v>
      </c>
      <c r="OCM3425" s="34">
        <v>0</v>
      </c>
      <c r="OCN3425" s="34">
        <v>-1</v>
      </c>
      <c r="OCO3425" s="34">
        <v>-2</v>
      </c>
      <c r="OCP3425" s="34">
        <v>-3</v>
      </c>
      <c r="OCQ3425" s="34">
        <v>-4</v>
      </c>
      <c r="OCR3425" s="34">
        <v>-5</v>
      </c>
      <c r="OCS3425" s="908"/>
      <c r="OCT3425" s="909"/>
      <c r="OCU3425" s="34">
        <v>-5</v>
      </c>
      <c r="OCV3425" s="34">
        <v>-4.5</v>
      </c>
      <c r="OCW3425" s="34">
        <v>-4</v>
      </c>
      <c r="OCX3425" s="34">
        <v>-3.5</v>
      </c>
      <c r="OCY3425" s="34">
        <v>-3</v>
      </c>
      <c r="OCZ3425" s="34">
        <v>-2.5</v>
      </c>
      <c r="ODA3425" s="34">
        <v>-2</v>
      </c>
      <c r="ODB3425" s="34">
        <v>-1.5</v>
      </c>
      <c r="ODC3425" s="34">
        <v>-1</v>
      </c>
      <c r="ODD3425" s="34">
        <v>-0.5</v>
      </c>
      <c r="ODE3425" s="34">
        <v>0</v>
      </c>
      <c r="ODF3425" s="34">
        <v>0.5</v>
      </c>
      <c r="ODG3425" s="34">
        <v>1</v>
      </c>
      <c r="ODH3425" s="34">
        <v>1.5</v>
      </c>
      <c r="ODI3425" s="34">
        <v>2</v>
      </c>
      <c r="ODJ3425" s="34">
        <v>2.5</v>
      </c>
      <c r="ODK3425" s="34">
        <v>3</v>
      </c>
      <c r="ODL3425" s="34">
        <v>3.5</v>
      </c>
      <c r="ODM3425" s="34">
        <v>4</v>
      </c>
      <c r="ODN3425" s="34">
        <v>4.5</v>
      </c>
      <c r="ODO3425" s="34">
        <v>5</v>
      </c>
      <c r="ODQ3425" s="913"/>
      <c r="ODR3425" s="31">
        <v>1</v>
      </c>
      <c r="ODS3425" s="34">
        <v>0</v>
      </c>
      <c r="ODT3425" s="34">
        <v>-1</v>
      </c>
      <c r="ODU3425" s="34">
        <v>-2</v>
      </c>
      <c r="ODV3425" s="34">
        <v>-3</v>
      </c>
      <c r="ODW3425" s="34">
        <v>-4</v>
      </c>
      <c r="ODX3425" s="34">
        <v>-5</v>
      </c>
      <c r="ODY3425" s="908"/>
      <c r="ODZ3425" s="909"/>
      <c r="OEA3425" s="34">
        <v>-5</v>
      </c>
      <c r="OEB3425" s="34">
        <v>-4.5</v>
      </c>
      <c r="OEC3425" s="34">
        <v>-4</v>
      </c>
      <c r="OED3425" s="34">
        <v>-3.5</v>
      </c>
      <c r="OEE3425" s="34">
        <v>-3</v>
      </c>
      <c r="OEF3425" s="34">
        <v>-2.5</v>
      </c>
      <c r="OEG3425" s="34">
        <v>-2</v>
      </c>
      <c r="OEH3425" s="34">
        <v>-1.5</v>
      </c>
      <c r="OEI3425" s="34">
        <v>-1</v>
      </c>
      <c r="OEJ3425" s="34">
        <v>-0.5</v>
      </c>
      <c r="OEK3425" s="34">
        <v>0</v>
      </c>
      <c r="OEL3425" s="34">
        <v>0.5</v>
      </c>
      <c r="OEM3425" s="34">
        <v>1</v>
      </c>
      <c r="OEN3425" s="34">
        <v>1.5</v>
      </c>
      <c r="OEO3425" s="34">
        <v>2</v>
      </c>
      <c r="OEP3425" s="34">
        <v>2.5</v>
      </c>
      <c r="OEQ3425" s="34">
        <v>3</v>
      </c>
      <c r="OER3425" s="34">
        <v>3.5</v>
      </c>
      <c r="OES3425" s="34">
        <v>4</v>
      </c>
      <c r="OET3425" s="34">
        <v>4.5</v>
      </c>
      <c r="OEU3425" s="34">
        <v>5</v>
      </c>
      <c r="OEW3425" s="913"/>
      <c r="OEX3425" s="31">
        <v>1</v>
      </c>
      <c r="OEY3425" s="34">
        <v>0</v>
      </c>
      <c r="OEZ3425" s="34">
        <v>-1</v>
      </c>
      <c r="OFA3425" s="34">
        <v>-2</v>
      </c>
      <c r="OFB3425" s="34">
        <v>-3</v>
      </c>
      <c r="OFC3425" s="34">
        <v>-4</v>
      </c>
      <c r="OFD3425" s="34">
        <v>-5</v>
      </c>
      <c r="OFE3425" s="908"/>
      <c r="OFF3425" s="909"/>
      <c r="OFG3425" s="34">
        <v>-5</v>
      </c>
      <c r="OFH3425" s="34">
        <v>-4.5</v>
      </c>
      <c r="OFI3425" s="34">
        <v>-4</v>
      </c>
      <c r="OFJ3425" s="34">
        <v>-3.5</v>
      </c>
      <c r="OFK3425" s="34">
        <v>-3</v>
      </c>
      <c r="OFL3425" s="34">
        <v>-2.5</v>
      </c>
      <c r="OFM3425" s="34">
        <v>-2</v>
      </c>
      <c r="OFN3425" s="34">
        <v>-1.5</v>
      </c>
      <c r="OFO3425" s="34">
        <v>-1</v>
      </c>
      <c r="OFP3425" s="34">
        <v>-0.5</v>
      </c>
      <c r="OFQ3425" s="34">
        <v>0</v>
      </c>
      <c r="OFR3425" s="34">
        <v>0.5</v>
      </c>
      <c r="OFS3425" s="34">
        <v>1</v>
      </c>
      <c r="OFT3425" s="34">
        <v>1.5</v>
      </c>
      <c r="OFU3425" s="34">
        <v>2</v>
      </c>
      <c r="OFV3425" s="34">
        <v>2.5</v>
      </c>
      <c r="OFW3425" s="34">
        <v>3</v>
      </c>
      <c r="OFX3425" s="34">
        <v>3.5</v>
      </c>
      <c r="OFY3425" s="34">
        <v>4</v>
      </c>
      <c r="OFZ3425" s="34">
        <v>4.5</v>
      </c>
      <c r="OGA3425" s="34">
        <v>5</v>
      </c>
      <c r="OGC3425" s="913"/>
      <c r="OGD3425" s="31">
        <v>1</v>
      </c>
      <c r="OGE3425" s="34">
        <v>0</v>
      </c>
      <c r="OGF3425" s="34">
        <v>-1</v>
      </c>
      <c r="OGG3425" s="34">
        <v>-2</v>
      </c>
      <c r="OGH3425" s="34">
        <v>-3</v>
      </c>
      <c r="OGI3425" s="34">
        <v>-4</v>
      </c>
      <c r="OGJ3425" s="34">
        <v>-5</v>
      </c>
      <c r="OGK3425" s="908"/>
      <c r="OGL3425" s="909"/>
      <c r="OGM3425" s="34">
        <v>-5</v>
      </c>
      <c r="OGN3425" s="34">
        <v>-4.5</v>
      </c>
      <c r="OGO3425" s="34">
        <v>-4</v>
      </c>
      <c r="OGP3425" s="34">
        <v>-3.5</v>
      </c>
      <c r="OGQ3425" s="34">
        <v>-3</v>
      </c>
      <c r="OGR3425" s="34">
        <v>-2.5</v>
      </c>
      <c r="OGS3425" s="34">
        <v>-2</v>
      </c>
      <c r="OGT3425" s="34">
        <v>-1.5</v>
      </c>
      <c r="OGU3425" s="34">
        <v>-1</v>
      </c>
      <c r="OGV3425" s="34">
        <v>-0.5</v>
      </c>
      <c r="OGW3425" s="34">
        <v>0</v>
      </c>
      <c r="OGX3425" s="34">
        <v>0.5</v>
      </c>
      <c r="OGY3425" s="34">
        <v>1</v>
      </c>
      <c r="OGZ3425" s="34">
        <v>1.5</v>
      </c>
      <c r="OHA3425" s="34">
        <v>2</v>
      </c>
      <c r="OHB3425" s="34">
        <v>2.5</v>
      </c>
      <c r="OHC3425" s="34">
        <v>3</v>
      </c>
      <c r="OHD3425" s="34">
        <v>3.5</v>
      </c>
      <c r="OHE3425" s="34">
        <v>4</v>
      </c>
      <c r="OHF3425" s="34">
        <v>4.5</v>
      </c>
      <c r="OHG3425" s="34">
        <v>5</v>
      </c>
      <c r="OHI3425" s="913"/>
      <c r="OHJ3425" s="31">
        <v>1</v>
      </c>
      <c r="OHK3425" s="34">
        <v>0</v>
      </c>
      <c r="OHL3425" s="34">
        <v>-1</v>
      </c>
      <c r="OHM3425" s="34">
        <v>-2</v>
      </c>
      <c r="OHN3425" s="34">
        <v>-3</v>
      </c>
      <c r="OHO3425" s="34">
        <v>-4</v>
      </c>
      <c r="OHP3425" s="34">
        <v>-5</v>
      </c>
      <c r="OHQ3425" s="908"/>
      <c r="OHR3425" s="909"/>
      <c r="OHS3425" s="34">
        <v>-5</v>
      </c>
      <c r="OHT3425" s="34">
        <v>-4.5</v>
      </c>
      <c r="OHU3425" s="34">
        <v>-4</v>
      </c>
      <c r="OHV3425" s="34">
        <v>-3.5</v>
      </c>
      <c r="OHW3425" s="34">
        <v>-3</v>
      </c>
      <c r="OHX3425" s="34">
        <v>-2.5</v>
      </c>
      <c r="OHY3425" s="34">
        <v>-2</v>
      </c>
      <c r="OHZ3425" s="34">
        <v>-1.5</v>
      </c>
      <c r="OIA3425" s="34">
        <v>-1</v>
      </c>
      <c r="OIB3425" s="34">
        <v>-0.5</v>
      </c>
      <c r="OIC3425" s="34">
        <v>0</v>
      </c>
      <c r="OID3425" s="34">
        <v>0.5</v>
      </c>
      <c r="OIE3425" s="34">
        <v>1</v>
      </c>
      <c r="OIF3425" s="34">
        <v>1.5</v>
      </c>
      <c r="OIG3425" s="34">
        <v>2</v>
      </c>
      <c r="OIH3425" s="34">
        <v>2.5</v>
      </c>
      <c r="OII3425" s="34">
        <v>3</v>
      </c>
      <c r="OIJ3425" s="34">
        <v>3.5</v>
      </c>
      <c r="OIK3425" s="34">
        <v>4</v>
      </c>
      <c r="OIL3425" s="34">
        <v>4.5</v>
      </c>
      <c r="OIM3425" s="34">
        <v>5</v>
      </c>
      <c r="OIO3425" s="913"/>
      <c r="OIP3425" s="31">
        <v>1</v>
      </c>
      <c r="OIQ3425" s="34">
        <v>0</v>
      </c>
      <c r="OIR3425" s="34">
        <v>-1</v>
      </c>
      <c r="OIS3425" s="34">
        <v>-2</v>
      </c>
      <c r="OIT3425" s="34">
        <v>-3</v>
      </c>
      <c r="OIU3425" s="34">
        <v>-4</v>
      </c>
      <c r="OIV3425" s="34">
        <v>-5</v>
      </c>
      <c r="OIW3425" s="908"/>
      <c r="OIX3425" s="909"/>
      <c r="OIY3425" s="34">
        <v>-5</v>
      </c>
      <c r="OIZ3425" s="34">
        <v>-4.5</v>
      </c>
      <c r="OJA3425" s="34">
        <v>-4</v>
      </c>
      <c r="OJB3425" s="34">
        <v>-3.5</v>
      </c>
      <c r="OJC3425" s="34">
        <v>-3</v>
      </c>
      <c r="OJD3425" s="34">
        <v>-2.5</v>
      </c>
      <c r="OJE3425" s="34">
        <v>-2</v>
      </c>
      <c r="OJF3425" s="34">
        <v>-1.5</v>
      </c>
      <c r="OJG3425" s="34">
        <v>-1</v>
      </c>
      <c r="OJH3425" s="34">
        <v>-0.5</v>
      </c>
      <c r="OJI3425" s="34">
        <v>0</v>
      </c>
      <c r="OJJ3425" s="34">
        <v>0.5</v>
      </c>
      <c r="OJK3425" s="34">
        <v>1</v>
      </c>
      <c r="OJL3425" s="34">
        <v>1.5</v>
      </c>
      <c r="OJM3425" s="34">
        <v>2</v>
      </c>
      <c r="OJN3425" s="34">
        <v>2.5</v>
      </c>
      <c r="OJO3425" s="34">
        <v>3</v>
      </c>
      <c r="OJP3425" s="34">
        <v>3.5</v>
      </c>
      <c r="OJQ3425" s="34">
        <v>4</v>
      </c>
      <c r="OJR3425" s="34">
        <v>4.5</v>
      </c>
      <c r="OJS3425" s="34">
        <v>5</v>
      </c>
      <c r="OJU3425" s="913"/>
      <c r="OJV3425" s="31">
        <v>1</v>
      </c>
      <c r="OJW3425" s="34">
        <v>0</v>
      </c>
      <c r="OJX3425" s="34">
        <v>-1</v>
      </c>
      <c r="OJY3425" s="34">
        <v>-2</v>
      </c>
      <c r="OJZ3425" s="34">
        <v>-3</v>
      </c>
      <c r="OKA3425" s="34">
        <v>-4</v>
      </c>
      <c r="OKB3425" s="34">
        <v>-5</v>
      </c>
      <c r="OKC3425" s="908"/>
      <c r="OKD3425" s="909"/>
      <c r="OKE3425" s="34">
        <v>-5</v>
      </c>
      <c r="OKF3425" s="34">
        <v>-4.5</v>
      </c>
      <c r="OKG3425" s="34">
        <v>-4</v>
      </c>
      <c r="OKH3425" s="34">
        <v>-3.5</v>
      </c>
      <c r="OKI3425" s="34">
        <v>-3</v>
      </c>
      <c r="OKJ3425" s="34">
        <v>-2.5</v>
      </c>
      <c r="OKK3425" s="34">
        <v>-2</v>
      </c>
      <c r="OKL3425" s="34">
        <v>-1.5</v>
      </c>
      <c r="OKM3425" s="34">
        <v>-1</v>
      </c>
      <c r="OKN3425" s="34">
        <v>-0.5</v>
      </c>
      <c r="OKO3425" s="34">
        <v>0</v>
      </c>
      <c r="OKP3425" s="34">
        <v>0.5</v>
      </c>
      <c r="OKQ3425" s="34">
        <v>1</v>
      </c>
      <c r="OKR3425" s="34">
        <v>1.5</v>
      </c>
      <c r="OKS3425" s="34">
        <v>2</v>
      </c>
      <c r="OKT3425" s="34">
        <v>2.5</v>
      </c>
      <c r="OKU3425" s="34">
        <v>3</v>
      </c>
      <c r="OKV3425" s="34">
        <v>3.5</v>
      </c>
      <c r="OKW3425" s="34">
        <v>4</v>
      </c>
      <c r="OKX3425" s="34">
        <v>4.5</v>
      </c>
      <c r="OKY3425" s="34">
        <v>5</v>
      </c>
      <c r="OLA3425" s="913"/>
      <c r="OLB3425" s="31">
        <v>1</v>
      </c>
      <c r="OLC3425" s="34">
        <v>0</v>
      </c>
      <c r="OLD3425" s="34">
        <v>-1</v>
      </c>
      <c r="OLE3425" s="34">
        <v>-2</v>
      </c>
      <c r="OLF3425" s="34">
        <v>-3</v>
      </c>
      <c r="OLG3425" s="34">
        <v>-4</v>
      </c>
      <c r="OLH3425" s="34">
        <v>-5</v>
      </c>
      <c r="OLI3425" s="908"/>
      <c r="OLJ3425" s="909"/>
      <c r="OLK3425" s="34">
        <v>-5</v>
      </c>
      <c r="OLL3425" s="34">
        <v>-4.5</v>
      </c>
      <c r="OLM3425" s="34">
        <v>-4</v>
      </c>
      <c r="OLN3425" s="34">
        <v>-3.5</v>
      </c>
      <c r="OLO3425" s="34">
        <v>-3</v>
      </c>
      <c r="OLP3425" s="34">
        <v>-2.5</v>
      </c>
      <c r="OLQ3425" s="34">
        <v>-2</v>
      </c>
      <c r="OLR3425" s="34">
        <v>-1.5</v>
      </c>
      <c r="OLS3425" s="34">
        <v>-1</v>
      </c>
      <c r="OLT3425" s="34">
        <v>-0.5</v>
      </c>
      <c r="OLU3425" s="34">
        <v>0</v>
      </c>
      <c r="OLV3425" s="34">
        <v>0.5</v>
      </c>
      <c r="OLW3425" s="34">
        <v>1</v>
      </c>
      <c r="OLX3425" s="34">
        <v>1.5</v>
      </c>
      <c r="OLY3425" s="34">
        <v>2</v>
      </c>
      <c r="OLZ3425" s="34">
        <v>2.5</v>
      </c>
      <c r="OMA3425" s="34">
        <v>3</v>
      </c>
      <c r="OMB3425" s="34">
        <v>3.5</v>
      </c>
      <c r="OMC3425" s="34">
        <v>4</v>
      </c>
      <c r="OMD3425" s="34">
        <v>4.5</v>
      </c>
      <c r="OME3425" s="34">
        <v>5</v>
      </c>
      <c r="OMG3425" s="913"/>
      <c r="OMH3425" s="31">
        <v>1</v>
      </c>
      <c r="OMI3425" s="34">
        <v>0</v>
      </c>
      <c r="OMJ3425" s="34">
        <v>-1</v>
      </c>
      <c r="OMK3425" s="34">
        <v>-2</v>
      </c>
      <c r="OML3425" s="34">
        <v>-3</v>
      </c>
      <c r="OMM3425" s="34">
        <v>-4</v>
      </c>
      <c r="OMN3425" s="34">
        <v>-5</v>
      </c>
      <c r="OMO3425" s="908"/>
      <c r="OMP3425" s="909"/>
      <c r="OMQ3425" s="34">
        <v>-5</v>
      </c>
      <c r="OMR3425" s="34">
        <v>-4.5</v>
      </c>
      <c r="OMS3425" s="34">
        <v>-4</v>
      </c>
      <c r="OMT3425" s="34">
        <v>-3.5</v>
      </c>
      <c r="OMU3425" s="34">
        <v>-3</v>
      </c>
      <c r="OMV3425" s="34">
        <v>-2.5</v>
      </c>
      <c r="OMW3425" s="34">
        <v>-2</v>
      </c>
      <c r="OMX3425" s="34">
        <v>-1.5</v>
      </c>
      <c r="OMY3425" s="34">
        <v>-1</v>
      </c>
      <c r="OMZ3425" s="34">
        <v>-0.5</v>
      </c>
      <c r="ONA3425" s="34">
        <v>0</v>
      </c>
      <c r="ONB3425" s="34">
        <v>0.5</v>
      </c>
      <c r="ONC3425" s="34">
        <v>1</v>
      </c>
      <c r="OND3425" s="34">
        <v>1.5</v>
      </c>
      <c r="ONE3425" s="34">
        <v>2</v>
      </c>
      <c r="ONF3425" s="34">
        <v>2.5</v>
      </c>
      <c r="ONG3425" s="34">
        <v>3</v>
      </c>
      <c r="ONH3425" s="34">
        <v>3.5</v>
      </c>
      <c r="ONI3425" s="34">
        <v>4</v>
      </c>
      <c r="ONJ3425" s="34">
        <v>4.5</v>
      </c>
      <c r="ONK3425" s="34">
        <v>5</v>
      </c>
      <c r="ONM3425" s="913"/>
      <c r="ONN3425" s="31">
        <v>1</v>
      </c>
      <c r="ONO3425" s="34">
        <v>0</v>
      </c>
      <c r="ONP3425" s="34">
        <v>-1</v>
      </c>
      <c r="ONQ3425" s="34">
        <v>-2</v>
      </c>
      <c r="ONR3425" s="34">
        <v>-3</v>
      </c>
      <c r="ONS3425" s="34">
        <v>-4</v>
      </c>
      <c r="ONT3425" s="34">
        <v>-5</v>
      </c>
      <c r="ONU3425" s="908"/>
      <c r="ONV3425" s="909"/>
      <c r="ONW3425" s="34">
        <v>-5</v>
      </c>
      <c r="ONX3425" s="34">
        <v>-4.5</v>
      </c>
      <c r="ONY3425" s="34">
        <v>-4</v>
      </c>
      <c r="ONZ3425" s="34">
        <v>-3.5</v>
      </c>
      <c r="OOA3425" s="34">
        <v>-3</v>
      </c>
      <c r="OOB3425" s="34">
        <v>-2.5</v>
      </c>
      <c r="OOC3425" s="34">
        <v>-2</v>
      </c>
      <c r="OOD3425" s="34">
        <v>-1.5</v>
      </c>
      <c r="OOE3425" s="34">
        <v>-1</v>
      </c>
      <c r="OOF3425" s="34">
        <v>-0.5</v>
      </c>
      <c r="OOG3425" s="34">
        <v>0</v>
      </c>
      <c r="OOH3425" s="34">
        <v>0.5</v>
      </c>
      <c r="OOI3425" s="34">
        <v>1</v>
      </c>
      <c r="OOJ3425" s="34">
        <v>1.5</v>
      </c>
      <c r="OOK3425" s="34">
        <v>2</v>
      </c>
      <c r="OOL3425" s="34">
        <v>2.5</v>
      </c>
      <c r="OOM3425" s="34">
        <v>3</v>
      </c>
      <c r="OON3425" s="34">
        <v>3.5</v>
      </c>
      <c r="OOO3425" s="34">
        <v>4</v>
      </c>
      <c r="OOP3425" s="34">
        <v>4.5</v>
      </c>
      <c r="OOQ3425" s="34">
        <v>5</v>
      </c>
      <c r="OOS3425" s="913"/>
      <c r="OOT3425" s="31">
        <v>1</v>
      </c>
      <c r="OOU3425" s="34">
        <v>0</v>
      </c>
      <c r="OOV3425" s="34">
        <v>-1</v>
      </c>
      <c r="OOW3425" s="34">
        <v>-2</v>
      </c>
      <c r="OOX3425" s="34">
        <v>-3</v>
      </c>
      <c r="OOY3425" s="34">
        <v>-4</v>
      </c>
      <c r="OOZ3425" s="34">
        <v>-5</v>
      </c>
      <c r="OPA3425" s="908"/>
      <c r="OPB3425" s="909"/>
      <c r="OPC3425" s="34">
        <v>-5</v>
      </c>
      <c r="OPD3425" s="34">
        <v>-4.5</v>
      </c>
      <c r="OPE3425" s="34">
        <v>-4</v>
      </c>
      <c r="OPF3425" s="34">
        <v>-3.5</v>
      </c>
      <c r="OPG3425" s="34">
        <v>-3</v>
      </c>
      <c r="OPH3425" s="34">
        <v>-2.5</v>
      </c>
      <c r="OPI3425" s="34">
        <v>-2</v>
      </c>
      <c r="OPJ3425" s="34">
        <v>-1.5</v>
      </c>
      <c r="OPK3425" s="34">
        <v>-1</v>
      </c>
      <c r="OPL3425" s="34">
        <v>-0.5</v>
      </c>
      <c r="OPM3425" s="34">
        <v>0</v>
      </c>
      <c r="OPN3425" s="34">
        <v>0.5</v>
      </c>
      <c r="OPO3425" s="34">
        <v>1</v>
      </c>
      <c r="OPP3425" s="34">
        <v>1.5</v>
      </c>
      <c r="OPQ3425" s="34">
        <v>2</v>
      </c>
      <c r="OPR3425" s="34">
        <v>2.5</v>
      </c>
      <c r="OPS3425" s="34">
        <v>3</v>
      </c>
      <c r="OPT3425" s="34">
        <v>3.5</v>
      </c>
      <c r="OPU3425" s="34">
        <v>4</v>
      </c>
      <c r="OPV3425" s="34">
        <v>4.5</v>
      </c>
      <c r="OPW3425" s="34">
        <v>5</v>
      </c>
      <c r="OPY3425" s="913"/>
      <c r="OPZ3425" s="31">
        <v>1</v>
      </c>
      <c r="OQA3425" s="34">
        <v>0</v>
      </c>
      <c r="OQB3425" s="34">
        <v>-1</v>
      </c>
      <c r="OQC3425" s="34">
        <v>-2</v>
      </c>
      <c r="OQD3425" s="34">
        <v>-3</v>
      </c>
      <c r="OQE3425" s="34">
        <v>-4</v>
      </c>
      <c r="OQF3425" s="34">
        <v>-5</v>
      </c>
      <c r="OQG3425" s="908"/>
      <c r="OQH3425" s="909"/>
      <c r="OQI3425" s="34">
        <v>-5</v>
      </c>
      <c r="OQJ3425" s="34">
        <v>-4.5</v>
      </c>
      <c r="OQK3425" s="34">
        <v>-4</v>
      </c>
      <c r="OQL3425" s="34">
        <v>-3.5</v>
      </c>
      <c r="OQM3425" s="34">
        <v>-3</v>
      </c>
      <c r="OQN3425" s="34">
        <v>-2.5</v>
      </c>
      <c r="OQO3425" s="34">
        <v>-2</v>
      </c>
      <c r="OQP3425" s="34">
        <v>-1.5</v>
      </c>
      <c r="OQQ3425" s="34">
        <v>-1</v>
      </c>
      <c r="OQR3425" s="34">
        <v>-0.5</v>
      </c>
      <c r="OQS3425" s="34">
        <v>0</v>
      </c>
      <c r="OQT3425" s="34">
        <v>0.5</v>
      </c>
      <c r="OQU3425" s="34">
        <v>1</v>
      </c>
      <c r="OQV3425" s="34">
        <v>1.5</v>
      </c>
      <c r="OQW3425" s="34">
        <v>2</v>
      </c>
      <c r="OQX3425" s="34">
        <v>2.5</v>
      </c>
      <c r="OQY3425" s="34">
        <v>3</v>
      </c>
      <c r="OQZ3425" s="34">
        <v>3.5</v>
      </c>
      <c r="ORA3425" s="34">
        <v>4</v>
      </c>
      <c r="ORB3425" s="34">
        <v>4.5</v>
      </c>
      <c r="ORC3425" s="34">
        <v>5</v>
      </c>
      <c r="ORE3425" s="913"/>
      <c r="ORF3425" s="31">
        <v>1</v>
      </c>
      <c r="ORG3425" s="34">
        <v>0</v>
      </c>
      <c r="ORH3425" s="34">
        <v>-1</v>
      </c>
      <c r="ORI3425" s="34">
        <v>-2</v>
      </c>
      <c r="ORJ3425" s="34">
        <v>-3</v>
      </c>
      <c r="ORK3425" s="34">
        <v>-4</v>
      </c>
      <c r="ORL3425" s="34">
        <v>-5</v>
      </c>
      <c r="ORM3425" s="908"/>
      <c r="ORN3425" s="909"/>
      <c r="ORO3425" s="34">
        <v>-5</v>
      </c>
      <c r="ORP3425" s="34">
        <v>-4.5</v>
      </c>
      <c r="ORQ3425" s="34">
        <v>-4</v>
      </c>
      <c r="ORR3425" s="34">
        <v>-3.5</v>
      </c>
      <c r="ORS3425" s="34">
        <v>-3</v>
      </c>
      <c r="ORT3425" s="34">
        <v>-2.5</v>
      </c>
      <c r="ORU3425" s="34">
        <v>-2</v>
      </c>
      <c r="ORV3425" s="34">
        <v>-1.5</v>
      </c>
      <c r="ORW3425" s="34">
        <v>-1</v>
      </c>
      <c r="ORX3425" s="34">
        <v>-0.5</v>
      </c>
      <c r="ORY3425" s="34">
        <v>0</v>
      </c>
      <c r="ORZ3425" s="34">
        <v>0.5</v>
      </c>
      <c r="OSA3425" s="34">
        <v>1</v>
      </c>
      <c r="OSB3425" s="34">
        <v>1.5</v>
      </c>
      <c r="OSC3425" s="34">
        <v>2</v>
      </c>
      <c r="OSD3425" s="34">
        <v>2.5</v>
      </c>
      <c r="OSE3425" s="34">
        <v>3</v>
      </c>
      <c r="OSF3425" s="34">
        <v>3.5</v>
      </c>
      <c r="OSG3425" s="34">
        <v>4</v>
      </c>
      <c r="OSH3425" s="34">
        <v>4.5</v>
      </c>
      <c r="OSI3425" s="34">
        <v>5</v>
      </c>
      <c r="OSK3425" s="913"/>
      <c r="OSL3425" s="31">
        <v>1</v>
      </c>
      <c r="OSM3425" s="34">
        <v>0</v>
      </c>
      <c r="OSN3425" s="34">
        <v>-1</v>
      </c>
      <c r="OSO3425" s="34">
        <v>-2</v>
      </c>
      <c r="OSP3425" s="34">
        <v>-3</v>
      </c>
      <c r="OSQ3425" s="34">
        <v>-4</v>
      </c>
      <c r="OSR3425" s="34">
        <v>-5</v>
      </c>
      <c r="OSS3425" s="908"/>
      <c r="OST3425" s="909"/>
      <c r="OSU3425" s="34">
        <v>-5</v>
      </c>
      <c r="OSV3425" s="34">
        <v>-4.5</v>
      </c>
      <c r="OSW3425" s="34">
        <v>-4</v>
      </c>
      <c r="OSX3425" s="34">
        <v>-3.5</v>
      </c>
      <c r="OSY3425" s="34">
        <v>-3</v>
      </c>
      <c r="OSZ3425" s="34">
        <v>-2.5</v>
      </c>
      <c r="OTA3425" s="34">
        <v>-2</v>
      </c>
      <c r="OTB3425" s="34">
        <v>-1.5</v>
      </c>
      <c r="OTC3425" s="34">
        <v>-1</v>
      </c>
      <c r="OTD3425" s="34">
        <v>-0.5</v>
      </c>
      <c r="OTE3425" s="34">
        <v>0</v>
      </c>
      <c r="OTF3425" s="34">
        <v>0.5</v>
      </c>
      <c r="OTG3425" s="34">
        <v>1</v>
      </c>
      <c r="OTH3425" s="34">
        <v>1.5</v>
      </c>
      <c r="OTI3425" s="34">
        <v>2</v>
      </c>
      <c r="OTJ3425" s="34">
        <v>2.5</v>
      </c>
      <c r="OTK3425" s="34">
        <v>3</v>
      </c>
      <c r="OTL3425" s="34">
        <v>3.5</v>
      </c>
      <c r="OTM3425" s="34">
        <v>4</v>
      </c>
      <c r="OTN3425" s="34">
        <v>4.5</v>
      </c>
      <c r="OTO3425" s="34">
        <v>5</v>
      </c>
      <c r="OTQ3425" s="913"/>
      <c r="OTR3425" s="31">
        <v>1</v>
      </c>
      <c r="OTS3425" s="34">
        <v>0</v>
      </c>
      <c r="OTT3425" s="34">
        <v>-1</v>
      </c>
      <c r="OTU3425" s="34">
        <v>-2</v>
      </c>
      <c r="OTV3425" s="34">
        <v>-3</v>
      </c>
      <c r="OTW3425" s="34">
        <v>-4</v>
      </c>
      <c r="OTX3425" s="34">
        <v>-5</v>
      </c>
      <c r="OTY3425" s="908"/>
      <c r="OTZ3425" s="909"/>
      <c r="OUA3425" s="34">
        <v>-5</v>
      </c>
      <c r="OUB3425" s="34">
        <v>-4.5</v>
      </c>
      <c r="OUC3425" s="34">
        <v>-4</v>
      </c>
      <c r="OUD3425" s="34">
        <v>-3.5</v>
      </c>
      <c r="OUE3425" s="34">
        <v>-3</v>
      </c>
      <c r="OUF3425" s="34">
        <v>-2.5</v>
      </c>
      <c r="OUG3425" s="34">
        <v>-2</v>
      </c>
      <c r="OUH3425" s="34">
        <v>-1.5</v>
      </c>
      <c r="OUI3425" s="34">
        <v>-1</v>
      </c>
      <c r="OUJ3425" s="34">
        <v>-0.5</v>
      </c>
      <c r="OUK3425" s="34">
        <v>0</v>
      </c>
      <c r="OUL3425" s="34">
        <v>0.5</v>
      </c>
      <c r="OUM3425" s="34">
        <v>1</v>
      </c>
      <c r="OUN3425" s="34">
        <v>1.5</v>
      </c>
      <c r="OUO3425" s="34">
        <v>2</v>
      </c>
      <c r="OUP3425" s="34">
        <v>2.5</v>
      </c>
      <c r="OUQ3425" s="34">
        <v>3</v>
      </c>
      <c r="OUR3425" s="34">
        <v>3.5</v>
      </c>
      <c r="OUS3425" s="34">
        <v>4</v>
      </c>
      <c r="OUT3425" s="34">
        <v>4.5</v>
      </c>
      <c r="OUU3425" s="34">
        <v>5</v>
      </c>
      <c r="OUW3425" s="913"/>
      <c r="OUX3425" s="31">
        <v>1</v>
      </c>
      <c r="OUY3425" s="34">
        <v>0</v>
      </c>
      <c r="OUZ3425" s="34">
        <v>-1</v>
      </c>
      <c r="OVA3425" s="34">
        <v>-2</v>
      </c>
      <c r="OVB3425" s="34">
        <v>-3</v>
      </c>
      <c r="OVC3425" s="34">
        <v>-4</v>
      </c>
      <c r="OVD3425" s="34">
        <v>-5</v>
      </c>
      <c r="OVE3425" s="908"/>
      <c r="OVF3425" s="909"/>
      <c r="OVG3425" s="34">
        <v>-5</v>
      </c>
      <c r="OVH3425" s="34">
        <v>-4.5</v>
      </c>
      <c r="OVI3425" s="34">
        <v>-4</v>
      </c>
      <c r="OVJ3425" s="34">
        <v>-3.5</v>
      </c>
      <c r="OVK3425" s="34">
        <v>-3</v>
      </c>
      <c r="OVL3425" s="34">
        <v>-2.5</v>
      </c>
      <c r="OVM3425" s="34">
        <v>-2</v>
      </c>
      <c r="OVN3425" s="34">
        <v>-1.5</v>
      </c>
      <c r="OVO3425" s="34">
        <v>-1</v>
      </c>
      <c r="OVP3425" s="34">
        <v>-0.5</v>
      </c>
      <c r="OVQ3425" s="34">
        <v>0</v>
      </c>
      <c r="OVR3425" s="34">
        <v>0.5</v>
      </c>
      <c r="OVS3425" s="34">
        <v>1</v>
      </c>
      <c r="OVT3425" s="34">
        <v>1.5</v>
      </c>
      <c r="OVU3425" s="34">
        <v>2</v>
      </c>
      <c r="OVV3425" s="34">
        <v>2.5</v>
      </c>
      <c r="OVW3425" s="34">
        <v>3</v>
      </c>
      <c r="OVX3425" s="34">
        <v>3.5</v>
      </c>
      <c r="OVY3425" s="34">
        <v>4</v>
      </c>
      <c r="OVZ3425" s="34">
        <v>4.5</v>
      </c>
      <c r="OWA3425" s="34">
        <v>5</v>
      </c>
      <c r="OWC3425" s="913"/>
      <c r="OWD3425" s="31">
        <v>1</v>
      </c>
      <c r="OWE3425" s="34">
        <v>0</v>
      </c>
      <c r="OWF3425" s="34">
        <v>-1</v>
      </c>
      <c r="OWG3425" s="34">
        <v>-2</v>
      </c>
      <c r="OWH3425" s="34">
        <v>-3</v>
      </c>
      <c r="OWI3425" s="34">
        <v>-4</v>
      </c>
      <c r="OWJ3425" s="34">
        <v>-5</v>
      </c>
      <c r="OWK3425" s="908"/>
      <c r="OWL3425" s="909"/>
      <c r="OWM3425" s="34">
        <v>-5</v>
      </c>
      <c r="OWN3425" s="34">
        <v>-4.5</v>
      </c>
      <c r="OWO3425" s="34">
        <v>-4</v>
      </c>
      <c r="OWP3425" s="34">
        <v>-3.5</v>
      </c>
      <c r="OWQ3425" s="34">
        <v>-3</v>
      </c>
      <c r="OWR3425" s="34">
        <v>-2.5</v>
      </c>
      <c r="OWS3425" s="34">
        <v>-2</v>
      </c>
      <c r="OWT3425" s="34">
        <v>-1.5</v>
      </c>
      <c r="OWU3425" s="34">
        <v>-1</v>
      </c>
      <c r="OWV3425" s="34">
        <v>-0.5</v>
      </c>
      <c r="OWW3425" s="34">
        <v>0</v>
      </c>
      <c r="OWX3425" s="34">
        <v>0.5</v>
      </c>
      <c r="OWY3425" s="34">
        <v>1</v>
      </c>
      <c r="OWZ3425" s="34">
        <v>1.5</v>
      </c>
      <c r="OXA3425" s="34">
        <v>2</v>
      </c>
      <c r="OXB3425" s="34">
        <v>2.5</v>
      </c>
      <c r="OXC3425" s="34">
        <v>3</v>
      </c>
      <c r="OXD3425" s="34">
        <v>3.5</v>
      </c>
      <c r="OXE3425" s="34">
        <v>4</v>
      </c>
      <c r="OXF3425" s="34">
        <v>4.5</v>
      </c>
      <c r="OXG3425" s="34">
        <v>5</v>
      </c>
      <c r="OXI3425" s="913"/>
      <c r="OXJ3425" s="31">
        <v>1</v>
      </c>
      <c r="OXK3425" s="34">
        <v>0</v>
      </c>
      <c r="OXL3425" s="34">
        <v>-1</v>
      </c>
      <c r="OXM3425" s="34">
        <v>-2</v>
      </c>
      <c r="OXN3425" s="34">
        <v>-3</v>
      </c>
      <c r="OXO3425" s="34">
        <v>-4</v>
      </c>
      <c r="OXP3425" s="34">
        <v>-5</v>
      </c>
      <c r="OXQ3425" s="908"/>
      <c r="OXR3425" s="909"/>
      <c r="OXS3425" s="34">
        <v>-5</v>
      </c>
      <c r="OXT3425" s="34">
        <v>-4.5</v>
      </c>
      <c r="OXU3425" s="34">
        <v>-4</v>
      </c>
      <c r="OXV3425" s="34">
        <v>-3.5</v>
      </c>
      <c r="OXW3425" s="34">
        <v>-3</v>
      </c>
      <c r="OXX3425" s="34">
        <v>-2.5</v>
      </c>
      <c r="OXY3425" s="34">
        <v>-2</v>
      </c>
      <c r="OXZ3425" s="34">
        <v>-1.5</v>
      </c>
      <c r="OYA3425" s="34">
        <v>-1</v>
      </c>
      <c r="OYB3425" s="34">
        <v>-0.5</v>
      </c>
      <c r="OYC3425" s="34">
        <v>0</v>
      </c>
      <c r="OYD3425" s="34">
        <v>0.5</v>
      </c>
      <c r="OYE3425" s="34">
        <v>1</v>
      </c>
      <c r="OYF3425" s="34">
        <v>1.5</v>
      </c>
      <c r="OYG3425" s="34">
        <v>2</v>
      </c>
      <c r="OYH3425" s="34">
        <v>2.5</v>
      </c>
      <c r="OYI3425" s="34">
        <v>3</v>
      </c>
      <c r="OYJ3425" s="34">
        <v>3.5</v>
      </c>
      <c r="OYK3425" s="34">
        <v>4</v>
      </c>
      <c r="OYL3425" s="34">
        <v>4.5</v>
      </c>
      <c r="OYM3425" s="34">
        <v>5</v>
      </c>
      <c r="OYO3425" s="913"/>
      <c r="OYP3425" s="31">
        <v>1</v>
      </c>
      <c r="OYQ3425" s="34">
        <v>0</v>
      </c>
      <c r="OYR3425" s="34">
        <v>-1</v>
      </c>
      <c r="OYS3425" s="34">
        <v>-2</v>
      </c>
      <c r="OYT3425" s="34">
        <v>-3</v>
      </c>
      <c r="OYU3425" s="34">
        <v>-4</v>
      </c>
      <c r="OYV3425" s="34">
        <v>-5</v>
      </c>
      <c r="OYW3425" s="908"/>
      <c r="OYX3425" s="909"/>
      <c r="OYY3425" s="34">
        <v>-5</v>
      </c>
      <c r="OYZ3425" s="34">
        <v>-4.5</v>
      </c>
      <c r="OZA3425" s="34">
        <v>-4</v>
      </c>
      <c r="OZB3425" s="34">
        <v>-3.5</v>
      </c>
      <c r="OZC3425" s="34">
        <v>-3</v>
      </c>
      <c r="OZD3425" s="34">
        <v>-2.5</v>
      </c>
      <c r="OZE3425" s="34">
        <v>-2</v>
      </c>
      <c r="OZF3425" s="34">
        <v>-1.5</v>
      </c>
      <c r="OZG3425" s="34">
        <v>-1</v>
      </c>
      <c r="OZH3425" s="34">
        <v>-0.5</v>
      </c>
      <c r="OZI3425" s="34">
        <v>0</v>
      </c>
      <c r="OZJ3425" s="34">
        <v>0.5</v>
      </c>
      <c r="OZK3425" s="34">
        <v>1</v>
      </c>
      <c r="OZL3425" s="34">
        <v>1.5</v>
      </c>
      <c r="OZM3425" s="34">
        <v>2</v>
      </c>
      <c r="OZN3425" s="34">
        <v>2.5</v>
      </c>
      <c r="OZO3425" s="34">
        <v>3</v>
      </c>
      <c r="OZP3425" s="34">
        <v>3.5</v>
      </c>
      <c r="OZQ3425" s="34">
        <v>4</v>
      </c>
      <c r="OZR3425" s="34">
        <v>4.5</v>
      </c>
      <c r="OZS3425" s="34">
        <v>5</v>
      </c>
      <c r="OZU3425" s="913"/>
      <c r="OZV3425" s="31">
        <v>1</v>
      </c>
      <c r="OZW3425" s="34">
        <v>0</v>
      </c>
      <c r="OZX3425" s="34">
        <v>-1</v>
      </c>
      <c r="OZY3425" s="34">
        <v>-2</v>
      </c>
      <c r="OZZ3425" s="34">
        <v>-3</v>
      </c>
      <c r="PAA3425" s="34">
        <v>-4</v>
      </c>
      <c r="PAB3425" s="34">
        <v>-5</v>
      </c>
      <c r="PAC3425" s="908"/>
      <c r="PAD3425" s="909"/>
      <c r="PAE3425" s="34">
        <v>-5</v>
      </c>
      <c r="PAF3425" s="34">
        <v>-4.5</v>
      </c>
      <c r="PAG3425" s="34">
        <v>-4</v>
      </c>
      <c r="PAH3425" s="34">
        <v>-3.5</v>
      </c>
      <c r="PAI3425" s="34">
        <v>-3</v>
      </c>
      <c r="PAJ3425" s="34">
        <v>-2.5</v>
      </c>
      <c r="PAK3425" s="34">
        <v>-2</v>
      </c>
      <c r="PAL3425" s="34">
        <v>-1.5</v>
      </c>
      <c r="PAM3425" s="34">
        <v>-1</v>
      </c>
      <c r="PAN3425" s="34">
        <v>-0.5</v>
      </c>
      <c r="PAO3425" s="34">
        <v>0</v>
      </c>
      <c r="PAP3425" s="34">
        <v>0.5</v>
      </c>
      <c r="PAQ3425" s="34">
        <v>1</v>
      </c>
      <c r="PAR3425" s="34">
        <v>1.5</v>
      </c>
      <c r="PAS3425" s="34">
        <v>2</v>
      </c>
      <c r="PAT3425" s="34">
        <v>2.5</v>
      </c>
      <c r="PAU3425" s="34">
        <v>3</v>
      </c>
      <c r="PAV3425" s="34">
        <v>3.5</v>
      </c>
      <c r="PAW3425" s="34">
        <v>4</v>
      </c>
      <c r="PAX3425" s="34">
        <v>4.5</v>
      </c>
      <c r="PAY3425" s="34">
        <v>5</v>
      </c>
      <c r="PBA3425" s="913"/>
      <c r="PBB3425" s="31">
        <v>1</v>
      </c>
      <c r="PBC3425" s="34">
        <v>0</v>
      </c>
      <c r="PBD3425" s="34">
        <v>-1</v>
      </c>
      <c r="PBE3425" s="34">
        <v>-2</v>
      </c>
      <c r="PBF3425" s="34">
        <v>-3</v>
      </c>
      <c r="PBG3425" s="34">
        <v>-4</v>
      </c>
      <c r="PBH3425" s="34">
        <v>-5</v>
      </c>
      <c r="PBI3425" s="908"/>
      <c r="PBJ3425" s="909"/>
      <c r="PBK3425" s="34">
        <v>-5</v>
      </c>
      <c r="PBL3425" s="34">
        <v>-4.5</v>
      </c>
      <c r="PBM3425" s="34">
        <v>-4</v>
      </c>
      <c r="PBN3425" s="34">
        <v>-3.5</v>
      </c>
      <c r="PBO3425" s="34">
        <v>-3</v>
      </c>
      <c r="PBP3425" s="34">
        <v>-2.5</v>
      </c>
      <c r="PBQ3425" s="34">
        <v>-2</v>
      </c>
      <c r="PBR3425" s="34">
        <v>-1.5</v>
      </c>
      <c r="PBS3425" s="34">
        <v>-1</v>
      </c>
      <c r="PBT3425" s="34">
        <v>-0.5</v>
      </c>
      <c r="PBU3425" s="34">
        <v>0</v>
      </c>
      <c r="PBV3425" s="34">
        <v>0.5</v>
      </c>
      <c r="PBW3425" s="34">
        <v>1</v>
      </c>
      <c r="PBX3425" s="34">
        <v>1.5</v>
      </c>
      <c r="PBY3425" s="34">
        <v>2</v>
      </c>
      <c r="PBZ3425" s="34">
        <v>2.5</v>
      </c>
      <c r="PCA3425" s="34">
        <v>3</v>
      </c>
      <c r="PCB3425" s="34">
        <v>3.5</v>
      </c>
      <c r="PCC3425" s="34">
        <v>4</v>
      </c>
      <c r="PCD3425" s="34">
        <v>4.5</v>
      </c>
      <c r="PCE3425" s="34">
        <v>5</v>
      </c>
      <c r="PCG3425" s="913"/>
      <c r="PCH3425" s="31">
        <v>1</v>
      </c>
      <c r="PCI3425" s="34">
        <v>0</v>
      </c>
      <c r="PCJ3425" s="34">
        <v>-1</v>
      </c>
      <c r="PCK3425" s="34">
        <v>-2</v>
      </c>
      <c r="PCL3425" s="34">
        <v>-3</v>
      </c>
      <c r="PCM3425" s="34">
        <v>-4</v>
      </c>
      <c r="PCN3425" s="34">
        <v>-5</v>
      </c>
      <c r="PCO3425" s="908"/>
      <c r="PCP3425" s="909"/>
      <c r="PCQ3425" s="34">
        <v>-5</v>
      </c>
      <c r="PCR3425" s="34">
        <v>-4.5</v>
      </c>
      <c r="PCS3425" s="34">
        <v>-4</v>
      </c>
      <c r="PCT3425" s="34">
        <v>-3.5</v>
      </c>
      <c r="PCU3425" s="34">
        <v>-3</v>
      </c>
      <c r="PCV3425" s="34">
        <v>-2.5</v>
      </c>
      <c r="PCW3425" s="34">
        <v>-2</v>
      </c>
      <c r="PCX3425" s="34">
        <v>-1.5</v>
      </c>
      <c r="PCY3425" s="34">
        <v>-1</v>
      </c>
      <c r="PCZ3425" s="34">
        <v>-0.5</v>
      </c>
      <c r="PDA3425" s="34">
        <v>0</v>
      </c>
      <c r="PDB3425" s="34">
        <v>0.5</v>
      </c>
      <c r="PDC3425" s="34">
        <v>1</v>
      </c>
      <c r="PDD3425" s="34">
        <v>1.5</v>
      </c>
      <c r="PDE3425" s="34">
        <v>2</v>
      </c>
      <c r="PDF3425" s="34">
        <v>2.5</v>
      </c>
      <c r="PDG3425" s="34">
        <v>3</v>
      </c>
      <c r="PDH3425" s="34">
        <v>3.5</v>
      </c>
      <c r="PDI3425" s="34">
        <v>4</v>
      </c>
      <c r="PDJ3425" s="34">
        <v>4.5</v>
      </c>
      <c r="PDK3425" s="34">
        <v>5</v>
      </c>
      <c r="PDM3425" s="913"/>
      <c r="PDN3425" s="31">
        <v>1</v>
      </c>
      <c r="PDO3425" s="34">
        <v>0</v>
      </c>
      <c r="PDP3425" s="34">
        <v>-1</v>
      </c>
      <c r="PDQ3425" s="34">
        <v>-2</v>
      </c>
      <c r="PDR3425" s="34">
        <v>-3</v>
      </c>
      <c r="PDS3425" s="34">
        <v>-4</v>
      </c>
      <c r="PDT3425" s="34">
        <v>-5</v>
      </c>
      <c r="PDU3425" s="908"/>
      <c r="PDV3425" s="909"/>
      <c r="PDW3425" s="34">
        <v>-5</v>
      </c>
      <c r="PDX3425" s="34">
        <v>-4.5</v>
      </c>
      <c r="PDY3425" s="34">
        <v>-4</v>
      </c>
      <c r="PDZ3425" s="34">
        <v>-3.5</v>
      </c>
      <c r="PEA3425" s="34">
        <v>-3</v>
      </c>
      <c r="PEB3425" s="34">
        <v>-2.5</v>
      </c>
      <c r="PEC3425" s="34">
        <v>-2</v>
      </c>
      <c r="PED3425" s="34">
        <v>-1.5</v>
      </c>
      <c r="PEE3425" s="34">
        <v>-1</v>
      </c>
      <c r="PEF3425" s="34">
        <v>-0.5</v>
      </c>
      <c r="PEG3425" s="34">
        <v>0</v>
      </c>
      <c r="PEH3425" s="34">
        <v>0.5</v>
      </c>
      <c r="PEI3425" s="34">
        <v>1</v>
      </c>
      <c r="PEJ3425" s="34">
        <v>1.5</v>
      </c>
      <c r="PEK3425" s="34">
        <v>2</v>
      </c>
      <c r="PEL3425" s="34">
        <v>2.5</v>
      </c>
      <c r="PEM3425" s="34">
        <v>3</v>
      </c>
      <c r="PEN3425" s="34">
        <v>3.5</v>
      </c>
      <c r="PEO3425" s="34">
        <v>4</v>
      </c>
      <c r="PEP3425" s="34">
        <v>4.5</v>
      </c>
      <c r="PEQ3425" s="34">
        <v>5</v>
      </c>
      <c r="PES3425" s="913"/>
      <c r="PET3425" s="31">
        <v>1</v>
      </c>
      <c r="PEU3425" s="34">
        <v>0</v>
      </c>
      <c r="PEV3425" s="34">
        <v>-1</v>
      </c>
      <c r="PEW3425" s="34">
        <v>-2</v>
      </c>
      <c r="PEX3425" s="34">
        <v>-3</v>
      </c>
      <c r="PEY3425" s="34">
        <v>-4</v>
      </c>
      <c r="PEZ3425" s="34">
        <v>-5</v>
      </c>
      <c r="PFA3425" s="908"/>
      <c r="PFB3425" s="909"/>
      <c r="PFC3425" s="34">
        <v>-5</v>
      </c>
      <c r="PFD3425" s="34">
        <v>-4.5</v>
      </c>
      <c r="PFE3425" s="34">
        <v>-4</v>
      </c>
      <c r="PFF3425" s="34">
        <v>-3.5</v>
      </c>
      <c r="PFG3425" s="34">
        <v>-3</v>
      </c>
      <c r="PFH3425" s="34">
        <v>-2.5</v>
      </c>
      <c r="PFI3425" s="34">
        <v>-2</v>
      </c>
      <c r="PFJ3425" s="34">
        <v>-1.5</v>
      </c>
      <c r="PFK3425" s="34">
        <v>-1</v>
      </c>
      <c r="PFL3425" s="34">
        <v>-0.5</v>
      </c>
      <c r="PFM3425" s="34">
        <v>0</v>
      </c>
      <c r="PFN3425" s="34">
        <v>0.5</v>
      </c>
      <c r="PFO3425" s="34">
        <v>1</v>
      </c>
      <c r="PFP3425" s="34">
        <v>1.5</v>
      </c>
      <c r="PFQ3425" s="34">
        <v>2</v>
      </c>
      <c r="PFR3425" s="34">
        <v>2.5</v>
      </c>
      <c r="PFS3425" s="34">
        <v>3</v>
      </c>
      <c r="PFT3425" s="34">
        <v>3.5</v>
      </c>
      <c r="PFU3425" s="34">
        <v>4</v>
      </c>
      <c r="PFV3425" s="34">
        <v>4.5</v>
      </c>
      <c r="PFW3425" s="34">
        <v>5</v>
      </c>
      <c r="PFY3425" s="913"/>
      <c r="PFZ3425" s="31">
        <v>1</v>
      </c>
      <c r="PGA3425" s="34">
        <v>0</v>
      </c>
      <c r="PGB3425" s="34">
        <v>-1</v>
      </c>
      <c r="PGC3425" s="34">
        <v>-2</v>
      </c>
      <c r="PGD3425" s="34">
        <v>-3</v>
      </c>
      <c r="PGE3425" s="34">
        <v>-4</v>
      </c>
      <c r="PGF3425" s="34">
        <v>-5</v>
      </c>
      <c r="PGG3425" s="908"/>
      <c r="PGH3425" s="909"/>
      <c r="PGI3425" s="34">
        <v>-5</v>
      </c>
      <c r="PGJ3425" s="34">
        <v>-4.5</v>
      </c>
      <c r="PGK3425" s="34">
        <v>-4</v>
      </c>
      <c r="PGL3425" s="34">
        <v>-3.5</v>
      </c>
      <c r="PGM3425" s="34">
        <v>-3</v>
      </c>
      <c r="PGN3425" s="34">
        <v>-2.5</v>
      </c>
      <c r="PGO3425" s="34">
        <v>-2</v>
      </c>
      <c r="PGP3425" s="34">
        <v>-1.5</v>
      </c>
      <c r="PGQ3425" s="34">
        <v>-1</v>
      </c>
      <c r="PGR3425" s="34">
        <v>-0.5</v>
      </c>
      <c r="PGS3425" s="34">
        <v>0</v>
      </c>
      <c r="PGT3425" s="34">
        <v>0.5</v>
      </c>
      <c r="PGU3425" s="34">
        <v>1</v>
      </c>
      <c r="PGV3425" s="34">
        <v>1.5</v>
      </c>
      <c r="PGW3425" s="34">
        <v>2</v>
      </c>
      <c r="PGX3425" s="34">
        <v>2.5</v>
      </c>
      <c r="PGY3425" s="34">
        <v>3</v>
      </c>
      <c r="PGZ3425" s="34">
        <v>3.5</v>
      </c>
      <c r="PHA3425" s="34">
        <v>4</v>
      </c>
      <c r="PHB3425" s="34">
        <v>4.5</v>
      </c>
      <c r="PHC3425" s="34">
        <v>5</v>
      </c>
      <c r="PHE3425" s="913"/>
      <c r="PHF3425" s="31">
        <v>1</v>
      </c>
      <c r="PHG3425" s="34">
        <v>0</v>
      </c>
      <c r="PHH3425" s="34">
        <v>-1</v>
      </c>
      <c r="PHI3425" s="34">
        <v>-2</v>
      </c>
      <c r="PHJ3425" s="34">
        <v>-3</v>
      </c>
      <c r="PHK3425" s="34">
        <v>-4</v>
      </c>
      <c r="PHL3425" s="34">
        <v>-5</v>
      </c>
      <c r="PHM3425" s="908"/>
      <c r="PHN3425" s="909"/>
      <c r="PHO3425" s="34">
        <v>-5</v>
      </c>
      <c r="PHP3425" s="34">
        <v>-4.5</v>
      </c>
      <c r="PHQ3425" s="34">
        <v>-4</v>
      </c>
      <c r="PHR3425" s="34">
        <v>-3.5</v>
      </c>
      <c r="PHS3425" s="34">
        <v>-3</v>
      </c>
      <c r="PHT3425" s="34">
        <v>-2.5</v>
      </c>
      <c r="PHU3425" s="34">
        <v>-2</v>
      </c>
      <c r="PHV3425" s="34">
        <v>-1.5</v>
      </c>
      <c r="PHW3425" s="34">
        <v>-1</v>
      </c>
      <c r="PHX3425" s="34">
        <v>-0.5</v>
      </c>
      <c r="PHY3425" s="34">
        <v>0</v>
      </c>
      <c r="PHZ3425" s="34">
        <v>0.5</v>
      </c>
      <c r="PIA3425" s="34">
        <v>1</v>
      </c>
      <c r="PIB3425" s="34">
        <v>1.5</v>
      </c>
      <c r="PIC3425" s="34">
        <v>2</v>
      </c>
      <c r="PID3425" s="34">
        <v>2.5</v>
      </c>
      <c r="PIE3425" s="34">
        <v>3</v>
      </c>
      <c r="PIF3425" s="34">
        <v>3.5</v>
      </c>
      <c r="PIG3425" s="34">
        <v>4</v>
      </c>
      <c r="PIH3425" s="34">
        <v>4.5</v>
      </c>
      <c r="PII3425" s="34">
        <v>5</v>
      </c>
      <c r="PIK3425" s="913"/>
      <c r="PIL3425" s="31">
        <v>1</v>
      </c>
      <c r="PIM3425" s="34">
        <v>0</v>
      </c>
      <c r="PIN3425" s="34">
        <v>-1</v>
      </c>
      <c r="PIO3425" s="34">
        <v>-2</v>
      </c>
      <c r="PIP3425" s="34">
        <v>-3</v>
      </c>
      <c r="PIQ3425" s="34">
        <v>-4</v>
      </c>
      <c r="PIR3425" s="34">
        <v>-5</v>
      </c>
      <c r="PIS3425" s="908"/>
      <c r="PIT3425" s="909"/>
      <c r="PIU3425" s="34">
        <v>-5</v>
      </c>
      <c r="PIV3425" s="34">
        <v>-4.5</v>
      </c>
      <c r="PIW3425" s="34">
        <v>-4</v>
      </c>
      <c r="PIX3425" s="34">
        <v>-3.5</v>
      </c>
      <c r="PIY3425" s="34">
        <v>-3</v>
      </c>
      <c r="PIZ3425" s="34">
        <v>-2.5</v>
      </c>
      <c r="PJA3425" s="34">
        <v>-2</v>
      </c>
      <c r="PJB3425" s="34">
        <v>-1.5</v>
      </c>
      <c r="PJC3425" s="34">
        <v>-1</v>
      </c>
      <c r="PJD3425" s="34">
        <v>-0.5</v>
      </c>
      <c r="PJE3425" s="34">
        <v>0</v>
      </c>
      <c r="PJF3425" s="34">
        <v>0.5</v>
      </c>
      <c r="PJG3425" s="34">
        <v>1</v>
      </c>
      <c r="PJH3425" s="34">
        <v>1.5</v>
      </c>
      <c r="PJI3425" s="34">
        <v>2</v>
      </c>
      <c r="PJJ3425" s="34">
        <v>2.5</v>
      </c>
      <c r="PJK3425" s="34">
        <v>3</v>
      </c>
      <c r="PJL3425" s="34">
        <v>3.5</v>
      </c>
      <c r="PJM3425" s="34">
        <v>4</v>
      </c>
      <c r="PJN3425" s="34">
        <v>4.5</v>
      </c>
      <c r="PJO3425" s="34">
        <v>5</v>
      </c>
      <c r="PJQ3425" s="913"/>
      <c r="PJR3425" s="31">
        <v>1</v>
      </c>
      <c r="PJS3425" s="34">
        <v>0</v>
      </c>
      <c r="PJT3425" s="34">
        <v>-1</v>
      </c>
      <c r="PJU3425" s="34">
        <v>-2</v>
      </c>
      <c r="PJV3425" s="34">
        <v>-3</v>
      </c>
      <c r="PJW3425" s="34">
        <v>-4</v>
      </c>
      <c r="PJX3425" s="34">
        <v>-5</v>
      </c>
      <c r="PJY3425" s="908"/>
      <c r="PJZ3425" s="909"/>
      <c r="PKA3425" s="34">
        <v>-5</v>
      </c>
      <c r="PKB3425" s="34">
        <v>-4.5</v>
      </c>
      <c r="PKC3425" s="34">
        <v>-4</v>
      </c>
      <c r="PKD3425" s="34">
        <v>-3.5</v>
      </c>
      <c r="PKE3425" s="34">
        <v>-3</v>
      </c>
      <c r="PKF3425" s="34">
        <v>-2.5</v>
      </c>
      <c r="PKG3425" s="34">
        <v>-2</v>
      </c>
      <c r="PKH3425" s="34">
        <v>-1.5</v>
      </c>
      <c r="PKI3425" s="34">
        <v>-1</v>
      </c>
      <c r="PKJ3425" s="34">
        <v>-0.5</v>
      </c>
      <c r="PKK3425" s="34">
        <v>0</v>
      </c>
      <c r="PKL3425" s="34">
        <v>0.5</v>
      </c>
      <c r="PKM3425" s="34">
        <v>1</v>
      </c>
      <c r="PKN3425" s="34">
        <v>1.5</v>
      </c>
      <c r="PKO3425" s="34">
        <v>2</v>
      </c>
      <c r="PKP3425" s="34">
        <v>2.5</v>
      </c>
      <c r="PKQ3425" s="34">
        <v>3</v>
      </c>
      <c r="PKR3425" s="34">
        <v>3.5</v>
      </c>
      <c r="PKS3425" s="34">
        <v>4</v>
      </c>
      <c r="PKT3425" s="34">
        <v>4.5</v>
      </c>
      <c r="PKU3425" s="34">
        <v>5</v>
      </c>
      <c r="PKW3425" s="913"/>
      <c r="PKX3425" s="31">
        <v>1</v>
      </c>
      <c r="PKY3425" s="34">
        <v>0</v>
      </c>
      <c r="PKZ3425" s="34">
        <v>-1</v>
      </c>
      <c r="PLA3425" s="34">
        <v>-2</v>
      </c>
      <c r="PLB3425" s="34">
        <v>-3</v>
      </c>
      <c r="PLC3425" s="34">
        <v>-4</v>
      </c>
      <c r="PLD3425" s="34">
        <v>-5</v>
      </c>
      <c r="PLE3425" s="908"/>
      <c r="PLF3425" s="909"/>
      <c r="PLG3425" s="34">
        <v>-5</v>
      </c>
      <c r="PLH3425" s="34">
        <v>-4.5</v>
      </c>
      <c r="PLI3425" s="34">
        <v>-4</v>
      </c>
      <c r="PLJ3425" s="34">
        <v>-3.5</v>
      </c>
      <c r="PLK3425" s="34">
        <v>-3</v>
      </c>
      <c r="PLL3425" s="34">
        <v>-2.5</v>
      </c>
      <c r="PLM3425" s="34">
        <v>-2</v>
      </c>
      <c r="PLN3425" s="34">
        <v>-1.5</v>
      </c>
      <c r="PLO3425" s="34">
        <v>-1</v>
      </c>
      <c r="PLP3425" s="34">
        <v>-0.5</v>
      </c>
      <c r="PLQ3425" s="34">
        <v>0</v>
      </c>
      <c r="PLR3425" s="34">
        <v>0.5</v>
      </c>
      <c r="PLS3425" s="34">
        <v>1</v>
      </c>
      <c r="PLT3425" s="34">
        <v>1.5</v>
      </c>
      <c r="PLU3425" s="34">
        <v>2</v>
      </c>
      <c r="PLV3425" s="34">
        <v>2.5</v>
      </c>
      <c r="PLW3425" s="34">
        <v>3</v>
      </c>
      <c r="PLX3425" s="34">
        <v>3.5</v>
      </c>
      <c r="PLY3425" s="34">
        <v>4</v>
      </c>
      <c r="PLZ3425" s="34">
        <v>4.5</v>
      </c>
      <c r="PMA3425" s="34">
        <v>5</v>
      </c>
      <c r="PMC3425" s="913"/>
      <c r="PMD3425" s="31">
        <v>1</v>
      </c>
      <c r="PME3425" s="34">
        <v>0</v>
      </c>
      <c r="PMF3425" s="34">
        <v>-1</v>
      </c>
      <c r="PMG3425" s="34">
        <v>-2</v>
      </c>
      <c r="PMH3425" s="34">
        <v>-3</v>
      </c>
      <c r="PMI3425" s="34">
        <v>-4</v>
      </c>
      <c r="PMJ3425" s="34">
        <v>-5</v>
      </c>
      <c r="PMK3425" s="908"/>
      <c r="PML3425" s="909"/>
      <c r="PMM3425" s="34">
        <v>-5</v>
      </c>
      <c r="PMN3425" s="34">
        <v>-4.5</v>
      </c>
      <c r="PMO3425" s="34">
        <v>-4</v>
      </c>
      <c r="PMP3425" s="34">
        <v>-3.5</v>
      </c>
      <c r="PMQ3425" s="34">
        <v>-3</v>
      </c>
      <c r="PMR3425" s="34">
        <v>-2.5</v>
      </c>
      <c r="PMS3425" s="34">
        <v>-2</v>
      </c>
      <c r="PMT3425" s="34">
        <v>-1.5</v>
      </c>
      <c r="PMU3425" s="34">
        <v>-1</v>
      </c>
      <c r="PMV3425" s="34">
        <v>-0.5</v>
      </c>
      <c r="PMW3425" s="34">
        <v>0</v>
      </c>
      <c r="PMX3425" s="34">
        <v>0.5</v>
      </c>
      <c r="PMY3425" s="34">
        <v>1</v>
      </c>
      <c r="PMZ3425" s="34">
        <v>1.5</v>
      </c>
      <c r="PNA3425" s="34">
        <v>2</v>
      </c>
      <c r="PNB3425" s="34">
        <v>2.5</v>
      </c>
      <c r="PNC3425" s="34">
        <v>3</v>
      </c>
      <c r="PND3425" s="34">
        <v>3.5</v>
      </c>
      <c r="PNE3425" s="34">
        <v>4</v>
      </c>
      <c r="PNF3425" s="34">
        <v>4.5</v>
      </c>
      <c r="PNG3425" s="34">
        <v>5</v>
      </c>
      <c r="PNI3425" s="913"/>
      <c r="PNJ3425" s="31">
        <v>1</v>
      </c>
      <c r="PNK3425" s="34">
        <v>0</v>
      </c>
      <c r="PNL3425" s="34">
        <v>-1</v>
      </c>
      <c r="PNM3425" s="34">
        <v>-2</v>
      </c>
      <c r="PNN3425" s="34">
        <v>-3</v>
      </c>
      <c r="PNO3425" s="34">
        <v>-4</v>
      </c>
      <c r="PNP3425" s="34">
        <v>-5</v>
      </c>
      <c r="PNQ3425" s="908"/>
      <c r="PNR3425" s="909"/>
      <c r="PNS3425" s="34">
        <v>-5</v>
      </c>
      <c r="PNT3425" s="34">
        <v>-4.5</v>
      </c>
      <c r="PNU3425" s="34">
        <v>-4</v>
      </c>
      <c r="PNV3425" s="34">
        <v>-3.5</v>
      </c>
      <c r="PNW3425" s="34">
        <v>-3</v>
      </c>
      <c r="PNX3425" s="34">
        <v>-2.5</v>
      </c>
      <c r="PNY3425" s="34">
        <v>-2</v>
      </c>
      <c r="PNZ3425" s="34">
        <v>-1.5</v>
      </c>
      <c r="POA3425" s="34">
        <v>-1</v>
      </c>
      <c r="POB3425" s="34">
        <v>-0.5</v>
      </c>
      <c r="POC3425" s="34">
        <v>0</v>
      </c>
      <c r="POD3425" s="34">
        <v>0.5</v>
      </c>
      <c r="POE3425" s="34">
        <v>1</v>
      </c>
      <c r="POF3425" s="34">
        <v>1.5</v>
      </c>
      <c r="POG3425" s="34">
        <v>2</v>
      </c>
      <c r="POH3425" s="34">
        <v>2.5</v>
      </c>
      <c r="POI3425" s="34">
        <v>3</v>
      </c>
      <c r="POJ3425" s="34">
        <v>3.5</v>
      </c>
      <c r="POK3425" s="34">
        <v>4</v>
      </c>
      <c r="POL3425" s="34">
        <v>4.5</v>
      </c>
      <c r="POM3425" s="34">
        <v>5</v>
      </c>
      <c r="POO3425" s="913"/>
      <c r="POP3425" s="31">
        <v>1</v>
      </c>
      <c r="POQ3425" s="34">
        <v>0</v>
      </c>
      <c r="POR3425" s="34">
        <v>-1</v>
      </c>
      <c r="POS3425" s="34">
        <v>-2</v>
      </c>
      <c r="POT3425" s="34">
        <v>-3</v>
      </c>
      <c r="POU3425" s="34">
        <v>-4</v>
      </c>
      <c r="POV3425" s="34">
        <v>-5</v>
      </c>
      <c r="POW3425" s="908"/>
      <c r="POX3425" s="909"/>
      <c r="POY3425" s="34">
        <v>-5</v>
      </c>
      <c r="POZ3425" s="34">
        <v>-4.5</v>
      </c>
      <c r="PPA3425" s="34">
        <v>-4</v>
      </c>
      <c r="PPB3425" s="34">
        <v>-3.5</v>
      </c>
      <c r="PPC3425" s="34">
        <v>-3</v>
      </c>
      <c r="PPD3425" s="34">
        <v>-2.5</v>
      </c>
      <c r="PPE3425" s="34">
        <v>-2</v>
      </c>
      <c r="PPF3425" s="34">
        <v>-1.5</v>
      </c>
      <c r="PPG3425" s="34">
        <v>-1</v>
      </c>
      <c r="PPH3425" s="34">
        <v>-0.5</v>
      </c>
      <c r="PPI3425" s="34">
        <v>0</v>
      </c>
      <c r="PPJ3425" s="34">
        <v>0.5</v>
      </c>
      <c r="PPK3425" s="34">
        <v>1</v>
      </c>
      <c r="PPL3425" s="34">
        <v>1.5</v>
      </c>
      <c r="PPM3425" s="34">
        <v>2</v>
      </c>
      <c r="PPN3425" s="34">
        <v>2.5</v>
      </c>
      <c r="PPO3425" s="34">
        <v>3</v>
      </c>
      <c r="PPP3425" s="34">
        <v>3.5</v>
      </c>
      <c r="PPQ3425" s="34">
        <v>4</v>
      </c>
      <c r="PPR3425" s="34">
        <v>4.5</v>
      </c>
      <c r="PPS3425" s="34">
        <v>5</v>
      </c>
      <c r="PPU3425" s="913"/>
      <c r="PPV3425" s="31">
        <v>1</v>
      </c>
      <c r="PPW3425" s="34">
        <v>0</v>
      </c>
      <c r="PPX3425" s="34">
        <v>-1</v>
      </c>
      <c r="PPY3425" s="34">
        <v>-2</v>
      </c>
      <c r="PPZ3425" s="34">
        <v>-3</v>
      </c>
      <c r="PQA3425" s="34">
        <v>-4</v>
      </c>
      <c r="PQB3425" s="34">
        <v>-5</v>
      </c>
      <c r="PQC3425" s="908"/>
      <c r="PQD3425" s="909"/>
      <c r="PQE3425" s="34">
        <v>-5</v>
      </c>
      <c r="PQF3425" s="34">
        <v>-4.5</v>
      </c>
      <c r="PQG3425" s="34">
        <v>-4</v>
      </c>
      <c r="PQH3425" s="34">
        <v>-3.5</v>
      </c>
      <c r="PQI3425" s="34">
        <v>-3</v>
      </c>
      <c r="PQJ3425" s="34">
        <v>-2.5</v>
      </c>
      <c r="PQK3425" s="34">
        <v>-2</v>
      </c>
      <c r="PQL3425" s="34">
        <v>-1.5</v>
      </c>
      <c r="PQM3425" s="34">
        <v>-1</v>
      </c>
      <c r="PQN3425" s="34">
        <v>-0.5</v>
      </c>
      <c r="PQO3425" s="34">
        <v>0</v>
      </c>
      <c r="PQP3425" s="34">
        <v>0.5</v>
      </c>
      <c r="PQQ3425" s="34">
        <v>1</v>
      </c>
      <c r="PQR3425" s="34">
        <v>1.5</v>
      </c>
      <c r="PQS3425" s="34">
        <v>2</v>
      </c>
      <c r="PQT3425" s="34">
        <v>2.5</v>
      </c>
      <c r="PQU3425" s="34">
        <v>3</v>
      </c>
      <c r="PQV3425" s="34">
        <v>3.5</v>
      </c>
      <c r="PQW3425" s="34">
        <v>4</v>
      </c>
      <c r="PQX3425" s="34">
        <v>4.5</v>
      </c>
      <c r="PQY3425" s="34">
        <v>5</v>
      </c>
      <c r="PRA3425" s="913"/>
      <c r="PRB3425" s="31">
        <v>1</v>
      </c>
      <c r="PRC3425" s="34">
        <v>0</v>
      </c>
      <c r="PRD3425" s="34">
        <v>-1</v>
      </c>
      <c r="PRE3425" s="34">
        <v>-2</v>
      </c>
      <c r="PRF3425" s="34">
        <v>-3</v>
      </c>
      <c r="PRG3425" s="34">
        <v>-4</v>
      </c>
      <c r="PRH3425" s="34">
        <v>-5</v>
      </c>
      <c r="PRI3425" s="908"/>
      <c r="PRJ3425" s="909"/>
      <c r="PRK3425" s="34">
        <v>-5</v>
      </c>
      <c r="PRL3425" s="34">
        <v>-4.5</v>
      </c>
      <c r="PRM3425" s="34">
        <v>-4</v>
      </c>
      <c r="PRN3425" s="34">
        <v>-3.5</v>
      </c>
      <c r="PRO3425" s="34">
        <v>-3</v>
      </c>
      <c r="PRP3425" s="34">
        <v>-2.5</v>
      </c>
      <c r="PRQ3425" s="34">
        <v>-2</v>
      </c>
      <c r="PRR3425" s="34">
        <v>-1.5</v>
      </c>
      <c r="PRS3425" s="34">
        <v>-1</v>
      </c>
      <c r="PRT3425" s="34">
        <v>-0.5</v>
      </c>
      <c r="PRU3425" s="34">
        <v>0</v>
      </c>
      <c r="PRV3425" s="34">
        <v>0.5</v>
      </c>
      <c r="PRW3425" s="34">
        <v>1</v>
      </c>
      <c r="PRX3425" s="34">
        <v>1.5</v>
      </c>
      <c r="PRY3425" s="34">
        <v>2</v>
      </c>
      <c r="PRZ3425" s="34">
        <v>2.5</v>
      </c>
      <c r="PSA3425" s="34">
        <v>3</v>
      </c>
      <c r="PSB3425" s="34">
        <v>3.5</v>
      </c>
      <c r="PSC3425" s="34">
        <v>4</v>
      </c>
      <c r="PSD3425" s="34">
        <v>4.5</v>
      </c>
      <c r="PSE3425" s="34">
        <v>5</v>
      </c>
      <c r="PSG3425" s="913"/>
      <c r="PSH3425" s="31">
        <v>1</v>
      </c>
      <c r="PSI3425" s="34">
        <v>0</v>
      </c>
      <c r="PSJ3425" s="34">
        <v>-1</v>
      </c>
      <c r="PSK3425" s="34">
        <v>-2</v>
      </c>
      <c r="PSL3425" s="34">
        <v>-3</v>
      </c>
      <c r="PSM3425" s="34">
        <v>-4</v>
      </c>
      <c r="PSN3425" s="34">
        <v>-5</v>
      </c>
      <c r="PSO3425" s="908"/>
      <c r="PSP3425" s="909"/>
      <c r="PSQ3425" s="34">
        <v>-5</v>
      </c>
      <c r="PSR3425" s="34">
        <v>-4.5</v>
      </c>
      <c r="PSS3425" s="34">
        <v>-4</v>
      </c>
      <c r="PST3425" s="34">
        <v>-3.5</v>
      </c>
      <c r="PSU3425" s="34">
        <v>-3</v>
      </c>
      <c r="PSV3425" s="34">
        <v>-2.5</v>
      </c>
      <c r="PSW3425" s="34">
        <v>-2</v>
      </c>
      <c r="PSX3425" s="34">
        <v>-1.5</v>
      </c>
      <c r="PSY3425" s="34">
        <v>-1</v>
      </c>
      <c r="PSZ3425" s="34">
        <v>-0.5</v>
      </c>
      <c r="PTA3425" s="34">
        <v>0</v>
      </c>
      <c r="PTB3425" s="34">
        <v>0.5</v>
      </c>
      <c r="PTC3425" s="34">
        <v>1</v>
      </c>
      <c r="PTD3425" s="34">
        <v>1.5</v>
      </c>
      <c r="PTE3425" s="34">
        <v>2</v>
      </c>
      <c r="PTF3425" s="34">
        <v>2.5</v>
      </c>
      <c r="PTG3425" s="34">
        <v>3</v>
      </c>
      <c r="PTH3425" s="34">
        <v>3.5</v>
      </c>
      <c r="PTI3425" s="34">
        <v>4</v>
      </c>
      <c r="PTJ3425" s="34">
        <v>4.5</v>
      </c>
      <c r="PTK3425" s="34">
        <v>5</v>
      </c>
      <c r="PTM3425" s="913"/>
      <c r="PTN3425" s="31">
        <v>1</v>
      </c>
      <c r="PTO3425" s="34">
        <v>0</v>
      </c>
      <c r="PTP3425" s="34">
        <v>-1</v>
      </c>
      <c r="PTQ3425" s="34">
        <v>-2</v>
      </c>
      <c r="PTR3425" s="34">
        <v>-3</v>
      </c>
      <c r="PTS3425" s="34">
        <v>-4</v>
      </c>
      <c r="PTT3425" s="34">
        <v>-5</v>
      </c>
      <c r="PTU3425" s="908"/>
      <c r="PTV3425" s="909"/>
      <c r="PTW3425" s="34">
        <v>-5</v>
      </c>
      <c r="PTX3425" s="34">
        <v>-4.5</v>
      </c>
      <c r="PTY3425" s="34">
        <v>-4</v>
      </c>
      <c r="PTZ3425" s="34">
        <v>-3.5</v>
      </c>
      <c r="PUA3425" s="34">
        <v>-3</v>
      </c>
      <c r="PUB3425" s="34">
        <v>-2.5</v>
      </c>
      <c r="PUC3425" s="34">
        <v>-2</v>
      </c>
      <c r="PUD3425" s="34">
        <v>-1.5</v>
      </c>
      <c r="PUE3425" s="34">
        <v>-1</v>
      </c>
      <c r="PUF3425" s="34">
        <v>-0.5</v>
      </c>
      <c r="PUG3425" s="34">
        <v>0</v>
      </c>
      <c r="PUH3425" s="34">
        <v>0.5</v>
      </c>
      <c r="PUI3425" s="34">
        <v>1</v>
      </c>
      <c r="PUJ3425" s="34">
        <v>1.5</v>
      </c>
      <c r="PUK3425" s="34">
        <v>2</v>
      </c>
      <c r="PUL3425" s="34">
        <v>2.5</v>
      </c>
      <c r="PUM3425" s="34">
        <v>3</v>
      </c>
      <c r="PUN3425" s="34">
        <v>3.5</v>
      </c>
      <c r="PUO3425" s="34">
        <v>4</v>
      </c>
      <c r="PUP3425" s="34">
        <v>4.5</v>
      </c>
      <c r="PUQ3425" s="34">
        <v>5</v>
      </c>
      <c r="PUS3425" s="913"/>
      <c r="PUT3425" s="31">
        <v>1</v>
      </c>
      <c r="PUU3425" s="34">
        <v>0</v>
      </c>
      <c r="PUV3425" s="34">
        <v>-1</v>
      </c>
      <c r="PUW3425" s="34">
        <v>-2</v>
      </c>
      <c r="PUX3425" s="34">
        <v>-3</v>
      </c>
      <c r="PUY3425" s="34">
        <v>-4</v>
      </c>
      <c r="PUZ3425" s="34">
        <v>-5</v>
      </c>
      <c r="PVA3425" s="908"/>
      <c r="PVB3425" s="909"/>
      <c r="PVC3425" s="34">
        <v>-5</v>
      </c>
      <c r="PVD3425" s="34">
        <v>-4.5</v>
      </c>
      <c r="PVE3425" s="34">
        <v>-4</v>
      </c>
      <c r="PVF3425" s="34">
        <v>-3.5</v>
      </c>
      <c r="PVG3425" s="34">
        <v>-3</v>
      </c>
      <c r="PVH3425" s="34">
        <v>-2.5</v>
      </c>
      <c r="PVI3425" s="34">
        <v>-2</v>
      </c>
      <c r="PVJ3425" s="34">
        <v>-1.5</v>
      </c>
      <c r="PVK3425" s="34">
        <v>-1</v>
      </c>
      <c r="PVL3425" s="34">
        <v>-0.5</v>
      </c>
      <c r="PVM3425" s="34">
        <v>0</v>
      </c>
      <c r="PVN3425" s="34">
        <v>0.5</v>
      </c>
      <c r="PVO3425" s="34">
        <v>1</v>
      </c>
      <c r="PVP3425" s="34">
        <v>1.5</v>
      </c>
      <c r="PVQ3425" s="34">
        <v>2</v>
      </c>
      <c r="PVR3425" s="34">
        <v>2.5</v>
      </c>
      <c r="PVS3425" s="34">
        <v>3</v>
      </c>
      <c r="PVT3425" s="34">
        <v>3.5</v>
      </c>
      <c r="PVU3425" s="34">
        <v>4</v>
      </c>
      <c r="PVV3425" s="34">
        <v>4.5</v>
      </c>
      <c r="PVW3425" s="34">
        <v>5</v>
      </c>
      <c r="PVY3425" s="913"/>
      <c r="PVZ3425" s="31">
        <v>1</v>
      </c>
      <c r="PWA3425" s="34">
        <v>0</v>
      </c>
      <c r="PWB3425" s="34">
        <v>-1</v>
      </c>
      <c r="PWC3425" s="34">
        <v>-2</v>
      </c>
      <c r="PWD3425" s="34">
        <v>-3</v>
      </c>
      <c r="PWE3425" s="34">
        <v>-4</v>
      </c>
      <c r="PWF3425" s="34">
        <v>-5</v>
      </c>
      <c r="PWG3425" s="908"/>
      <c r="PWH3425" s="909"/>
      <c r="PWI3425" s="34">
        <v>-5</v>
      </c>
      <c r="PWJ3425" s="34">
        <v>-4.5</v>
      </c>
      <c r="PWK3425" s="34">
        <v>-4</v>
      </c>
      <c r="PWL3425" s="34">
        <v>-3.5</v>
      </c>
      <c r="PWM3425" s="34">
        <v>-3</v>
      </c>
      <c r="PWN3425" s="34">
        <v>-2.5</v>
      </c>
      <c r="PWO3425" s="34">
        <v>-2</v>
      </c>
      <c r="PWP3425" s="34">
        <v>-1.5</v>
      </c>
      <c r="PWQ3425" s="34">
        <v>-1</v>
      </c>
      <c r="PWR3425" s="34">
        <v>-0.5</v>
      </c>
      <c r="PWS3425" s="34">
        <v>0</v>
      </c>
      <c r="PWT3425" s="34">
        <v>0.5</v>
      </c>
      <c r="PWU3425" s="34">
        <v>1</v>
      </c>
      <c r="PWV3425" s="34">
        <v>1.5</v>
      </c>
      <c r="PWW3425" s="34">
        <v>2</v>
      </c>
      <c r="PWX3425" s="34">
        <v>2.5</v>
      </c>
      <c r="PWY3425" s="34">
        <v>3</v>
      </c>
      <c r="PWZ3425" s="34">
        <v>3.5</v>
      </c>
      <c r="PXA3425" s="34">
        <v>4</v>
      </c>
      <c r="PXB3425" s="34">
        <v>4.5</v>
      </c>
      <c r="PXC3425" s="34">
        <v>5</v>
      </c>
      <c r="PXE3425" s="913"/>
      <c r="PXF3425" s="31">
        <v>1</v>
      </c>
      <c r="PXG3425" s="34">
        <v>0</v>
      </c>
      <c r="PXH3425" s="34">
        <v>-1</v>
      </c>
      <c r="PXI3425" s="34">
        <v>-2</v>
      </c>
      <c r="PXJ3425" s="34">
        <v>-3</v>
      </c>
      <c r="PXK3425" s="34">
        <v>-4</v>
      </c>
      <c r="PXL3425" s="34">
        <v>-5</v>
      </c>
      <c r="PXM3425" s="908"/>
      <c r="PXN3425" s="909"/>
      <c r="PXO3425" s="34">
        <v>-5</v>
      </c>
      <c r="PXP3425" s="34">
        <v>-4.5</v>
      </c>
      <c r="PXQ3425" s="34">
        <v>-4</v>
      </c>
      <c r="PXR3425" s="34">
        <v>-3.5</v>
      </c>
      <c r="PXS3425" s="34">
        <v>-3</v>
      </c>
      <c r="PXT3425" s="34">
        <v>-2.5</v>
      </c>
      <c r="PXU3425" s="34">
        <v>-2</v>
      </c>
      <c r="PXV3425" s="34">
        <v>-1.5</v>
      </c>
      <c r="PXW3425" s="34">
        <v>-1</v>
      </c>
      <c r="PXX3425" s="34">
        <v>-0.5</v>
      </c>
      <c r="PXY3425" s="34">
        <v>0</v>
      </c>
      <c r="PXZ3425" s="34">
        <v>0.5</v>
      </c>
      <c r="PYA3425" s="34">
        <v>1</v>
      </c>
      <c r="PYB3425" s="34">
        <v>1.5</v>
      </c>
      <c r="PYC3425" s="34">
        <v>2</v>
      </c>
      <c r="PYD3425" s="34">
        <v>2.5</v>
      </c>
      <c r="PYE3425" s="34">
        <v>3</v>
      </c>
      <c r="PYF3425" s="34">
        <v>3.5</v>
      </c>
      <c r="PYG3425" s="34">
        <v>4</v>
      </c>
      <c r="PYH3425" s="34">
        <v>4.5</v>
      </c>
      <c r="PYI3425" s="34">
        <v>5</v>
      </c>
      <c r="PYK3425" s="913"/>
      <c r="PYL3425" s="31">
        <v>1</v>
      </c>
      <c r="PYM3425" s="34">
        <v>0</v>
      </c>
      <c r="PYN3425" s="34">
        <v>-1</v>
      </c>
      <c r="PYO3425" s="34">
        <v>-2</v>
      </c>
      <c r="PYP3425" s="34">
        <v>-3</v>
      </c>
      <c r="PYQ3425" s="34">
        <v>-4</v>
      </c>
      <c r="PYR3425" s="34">
        <v>-5</v>
      </c>
      <c r="PYS3425" s="908"/>
      <c r="PYT3425" s="909"/>
      <c r="PYU3425" s="34">
        <v>-5</v>
      </c>
      <c r="PYV3425" s="34">
        <v>-4.5</v>
      </c>
      <c r="PYW3425" s="34">
        <v>-4</v>
      </c>
      <c r="PYX3425" s="34">
        <v>-3.5</v>
      </c>
      <c r="PYY3425" s="34">
        <v>-3</v>
      </c>
      <c r="PYZ3425" s="34">
        <v>-2.5</v>
      </c>
      <c r="PZA3425" s="34">
        <v>-2</v>
      </c>
      <c r="PZB3425" s="34">
        <v>-1.5</v>
      </c>
      <c r="PZC3425" s="34">
        <v>-1</v>
      </c>
      <c r="PZD3425" s="34">
        <v>-0.5</v>
      </c>
      <c r="PZE3425" s="34">
        <v>0</v>
      </c>
      <c r="PZF3425" s="34">
        <v>0.5</v>
      </c>
      <c r="PZG3425" s="34">
        <v>1</v>
      </c>
      <c r="PZH3425" s="34">
        <v>1.5</v>
      </c>
      <c r="PZI3425" s="34">
        <v>2</v>
      </c>
      <c r="PZJ3425" s="34">
        <v>2.5</v>
      </c>
      <c r="PZK3425" s="34">
        <v>3</v>
      </c>
      <c r="PZL3425" s="34">
        <v>3.5</v>
      </c>
      <c r="PZM3425" s="34">
        <v>4</v>
      </c>
      <c r="PZN3425" s="34">
        <v>4.5</v>
      </c>
      <c r="PZO3425" s="34">
        <v>5</v>
      </c>
      <c r="PZQ3425" s="913"/>
      <c r="PZR3425" s="31">
        <v>1</v>
      </c>
      <c r="PZS3425" s="34">
        <v>0</v>
      </c>
      <c r="PZT3425" s="34">
        <v>-1</v>
      </c>
      <c r="PZU3425" s="34">
        <v>-2</v>
      </c>
      <c r="PZV3425" s="34">
        <v>-3</v>
      </c>
      <c r="PZW3425" s="34">
        <v>-4</v>
      </c>
      <c r="PZX3425" s="34">
        <v>-5</v>
      </c>
      <c r="PZY3425" s="908"/>
      <c r="PZZ3425" s="909"/>
      <c r="QAA3425" s="34">
        <v>-5</v>
      </c>
      <c r="QAB3425" s="34">
        <v>-4.5</v>
      </c>
      <c r="QAC3425" s="34">
        <v>-4</v>
      </c>
      <c r="QAD3425" s="34">
        <v>-3.5</v>
      </c>
      <c r="QAE3425" s="34">
        <v>-3</v>
      </c>
      <c r="QAF3425" s="34">
        <v>-2.5</v>
      </c>
      <c r="QAG3425" s="34">
        <v>-2</v>
      </c>
      <c r="QAH3425" s="34">
        <v>-1.5</v>
      </c>
      <c r="QAI3425" s="34">
        <v>-1</v>
      </c>
      <c r="QAJ3425" s="34">
        <v>-0.5</v>
      </c>
      <c r="QAK3425" s="34">
        <v>0</v>
      </c>
      <c r="QAL3425" s="34">
        <v>0.5</v>
      </c>
      <c r="QAM3425" s="34">
        <v>1</v>
      </c>
      <c r="QAN3425" s="34">
        <v>1.5</v>
      </c>
      <c r="QAO3425" s="34">
        <v>2</v>
      </c>
      <c r="QAP3425" s="34">
        <v>2.5</v>
      </c>
      <c r="QAQ3425" s="34">
        <v>3</v>
      </c>
      <c r="QAR3425" s="34">
        <v>3.5</v>
      </c>
      <c r="QAS3425" s="34">
        <v>4</v>
      </c>
      <c r="QAT3425" s="34">
        <v>4.5</v>
      </c>
      <c r="QAU3425" s="34">
        <v>5</v>
      </c>
      <c r="QAW3425" s="913"/>
      <c r="QAX3425" s="31">
        <v>1</v>
      </c>
      <c r="QAY3425" s="34">
        <v>0</v>
      </c>
      <c r="QAZ3425" s="34">
        <v>-1</v>
      </c>
      <c r="QBA3425" s="34">
        <v>-2</v>
      </c>
      <c r="QBB3425" s="34">
        <v>-3</v>
      </c>
      <c r="QBC3425" s="34">
        <v>-4</v>
      </c>
      <c r="QBD3425" s="34">
        <v>-5</v>
      </c>
      <c r="QBE3425" s="908"/>
      <c r="QBF3425" s="909"/>
      <c r="QBG3425" s="34">
        <v>-5</v>
      </c>
      <c r="QBH3425" s="34">
        <v>-4.5</v>
      </c>
      <c r="QBI3425" s="34">
        <v>-4</v>
      </c>
      <c r="QBJ3425" s="34">
        <v>-3.5</v>
      </c>
      <c r="QBK3425" s="34">
        <v>-3</v>
      </c>
      <c r="QBL3425" s="34">
        <v>-2.5</v>
      </c>
      <c r="QBM3425" s="34">
        <v>-2</v>
      </c>
      <c r="QBN3425" s="34">
        <v>-1.5</v>
      </c>
      <c r="QBO3425" s="34">
        <v>-1</v>
      </c>
      <c r="QBP3425" s="34">
        <v>-0.5</v>
      </c>
      <c r="QBQ3425" s="34">
        <v>0</v>
      </c>
      <c r="QBR3425" s="34">
        <v>0.5</v>
      </c>
      <c r="QBS3425" s="34">
        <v>1</v>
      </c>
      <c r="QBT3425" s="34">
        <v>1.5</v>
      </c>
      <c r="QBU3425" s="34">
        <v>2</v>
      </c>
      <c r="QBV3425" s="34">
        <v>2.5</v>
      </c>
      <c r="QBW3425" s="34">
        <v>3</v>
      </c>
      <c r="QBX3425" s="34">
        <v>3.5</v>
      </c>
      <c r="QBY3425" s="34">
        <v>4</v>
      </c>
      <c r="QBZ3425" s="34">
        <v>4.5</v>
      </c>
      <c r="QCA3425" s="34">
        <v>5</v>
      </c>
      <c r="QCC3425" s="913"/>
      <c r="QCD3425" s="31">
        <v>1</v>
      </c>
      <c r="QCE3425" s="34">
        <v>0</v>
      </c>
      <c r="QCF3425" s="34">
        <v>-1</v>
      </c>
      <c r="QCG3425" s="34">
        <v>-2</v>
      </c>
      <c r="QCH3425" s="34">
        <v>-3</v>
      </c>
      <c r="QCI3425" s="34">
        <v>-4</v>
      </c>
      <c r="QCJ3425" s="34">
        <v>-5</v>
      </c>
      <c r="QCK3425" s="908"/>
      <c r="QCL3425" s="909"/>
      <c r="QCM3425" s="34">
        <v>-5</v>
      </c>
      <c r="QCN3425" s="34">
        <v>-4.5</v>
      </c>
      <c r="QCO3425" s="34">
        <v>-4</v>
      </c>
      <c r="QCP3425" s="34">
        <v>-3.5</v>
      </c>
      <c r="QCQ3425" s="34">
        <v>-3</v>
      </c>
      <c r="QCR3425" s="34">
        <v>-2.5</v>
      </c>
      <c r="QCS3425" s="34">
        <v>-2</v>
      </c>
      <c r="QCT3425" s="34">
        <v>-1.5</v>
      </c>
      <c r="QCU3425" s="34">
        <v>-1</v>
      </c>
      <c r="QCV3425" s="34">
        <v>-0.5</v>
      </c>
      <c r="QCW3425" s="34">
        <v>0</v>
      </c>
      <c r="QCX3425" s="34">
        <v>0.5</v>
      </c>
      <c r="QCY3425" s="34">
        <v>1</v>
      </c>
      <c r="QCZ3425" s="34">
        <v>1.5</v>
      </c>
      <c r="QDA3425" s="34">
        <v>2</v>
      </c>
      <c r="QDB3425" s="34">
        <v>2.5</v>
      </c>
      <c r="QDC3425" s="34">
        <v>3</v>
      </c>
      <c r="QDD3425" s="34">
        <v>3.5</v>
      </c>
      <c r="QDE3425" s="34">
        <v>4</v>
      </c>
      <c r="QDF3425" s="34">
        <v>4.5</v>
      </c>
      <c r="QDG3425" s="34">
        <v>5</v>
      </c>
      <c r="QDI3425" s="913"/>
      <c r="QDJ3425" s="31">
        <v>1</v>
      </c>
      <c r="QDK3425" s="34">
        <v>0</v>
      </c>
      <c r="QDL3425" s="34">
        <v>-1</v>
      </c>
      <c r="QDM3425" s="34">
        <v>-2</v>
      </c>
      <c r="QDN3425" s="34">
        <v>-3</v>
      </c>
      <c r="QDO3425" s="34">
        <v>-4</v>
      </c>
      <c r="QDP3425" s="34">
        <v>-5</v>
      </c>
      <c r="QDQ3425" s="908"/>
      <c r="QDR3425" s="909"/>
      <c r="QDS3425" s="34">
        <v>-5</v>
      </c>
      <c r="QDT3425" s="34">
        <v>-4.5</v>
      </c>
      <c r="QDU3425" s="34">
        <v>-4</v>
      </c>
      <c r="QDV3425" s="34">
        <v>-3.5</v>
      </c>
      <c r="QDW3425" s="34">
        <v>-3</v>
      </c>
      <c r="QDX3425" s="34">
        <v>-2.5</v>
      </c>
      <c r="QDY3425" s="34">
        <v>-2</v>
      </c>
      <c r="QDZ3425" s="34">
        <v>-1.5</v>
      </c>
      <c r="QEA3425" s="34">
        <v>-1</v>
      </c>
      <c r="QEB3425" s="34">
        <v>-0.5</v>
      </c>
      <c r="QEC3425" s="34">
        <v>0</v>
      </c>
      <c r="QED3425" s="34">
        <v>0.5</v>
      </c>
      <c r="QEE3425" s="34">
        <v>1</v>
      </c>
      <c r="QEF3425" s="34">
        <v>1.5</v>
      </c>
      <c r="QEG3425" s="34">
        <v>2</v>
      </c>
      <c r="QEH3425" s="34">
        <v>2.5</v>
      </c>
      <c r="QEI3425" s="34">
        <v>3</v>
      </c>
      <c r="QEJ3425" s="34">
        <v>3.5</v>
      </c>
      <c r="QEK3425" s="34">
        <v>4</v>
      </c>
      <c r="QEL3425" s="34">
        <v>4.5</v>
      </c>
      <c r="QEM3425" s="34">
        <v>5</v>
      </c>
      <c r="QEO3425" s="913"/>
      <c r="QEP3425" s="31">
        <v>1</v>
      </c>
      <c r="QEQ3425" s="34">
        <v>0</v>
      </c>
      <c r="QER3425" s="34">
        <v>-1</v>
      </c>
      <c r="QES3425" s="34">
        <v>-2</v>
      </c>
      <c r="QET3425" s="34">
        <v>-3</v>
      </c>
      <c r="QEU3425" s="34">
        <v>-4</v>
      </c>
      <c r="QEV3425" s="34">
        <v>-5</v>
      </c>
      <c r="QEW3425" s="908"/>
      <c r="QEX3425" s="909"/>
      <c r="QEY3425" s="34">
        <v>-5</v>
      </c>
      <c r="QEZ3425" s="34">
        <v>-4.5</v>
      </c>
      <c r="QFA3425" s="34">
        <v>-4</v>
      </c>
      <c r="QFB3425" s="34">
        <v>-3.5</v>
      </c>
      <c r="QFC3425" s="34">
        <v>-3</v>
      </c>
      <c r="QFD3425" s="34">
        <v>-2.5</v>
      </c>
      <c r="QFE3425" s="34">
        <v>-2</v>
      </c>
      <c r="QFF3425" s="34">
        <v>-1.5</v>
      </c>
      <c r="QFG3425" s="34">
        <v>-1</v>
      </c>
      <c r="QFH3425" s="34">
        <v>-0.5</v>
      </c>
      <c r="QFI3425" s="34">
        <v>0</v>
      </c>
      <c r="QFJ3425" s="34">
        <v>0.5</v>
      </c>
      <c r="QFK3425" s="34">
        <v>1</v>
      </c>
      <c r="QFL3425" s="34">
        <v>1.5</v>
      </c>
      <c r="QFM3425" s="34">
        <v>2</v>
      </c>
      <c r="QFN3425" s="34">
        <v>2.5</v>
      </c>
      <c r="QFO3425" s="34">
        <v>3</v>
      </c>
      <c r="QFP3425" s="34">
        <v>3.5</v>
      </c>
      <c r="QFQ3425" s="34">
        <v>4</v>
      </c>
      <c r="QFR3425" s="34">
        <v>4.5</v>
      </c>
      <c r="QFS3425" s="34">
        <v>5</v>
      </c>
      <c r="QFU3425" s="913"/>
      <c r="QFV3425" s="31">
        <v>1</v>
      </c>
      <c r="QFW3425" s="34">
        <v>0</v>
      </c>
      <c r="QFX3425" s="34">
        <v>-1</v>
      </c>
      <c r="QFY3425" s="34">
        <v>-2</v>
      </c>
      <c r="QFZ3425" s="34">
        <v>-3</v>
      </c>
      <c r="QGA3425" s="34">
        <v>-4</v>
      </c>
      <c r="QGB3425" s="34">
        <v>-5</v>
      </c>
      <c r="QGC3425" s="908"/>
      <c r="QGD3425" s="909"/>
      <c r="QGE3425" s="34">
        <v>-5</v>
      </c>
      <c r="QGF3425" s="34">
        <v>-4.5</v>
      </c>
      <c r="QGG3425" s="34">
        <v>-4</v>
      </c>
      <c r="QGH3425" s="34">
        <v>-3.5</v>
      </c>
      <c r="QGI3425" s="34">
        <v>-3</v>
      </c>
      <c r="QGJ3425" s="34">
        <v>-2.5</v>
      </c>
      <c r="QGK3425" s="34">
        <v>-2</v>
      </c>
      <c r="QGL3425" s="34">
        <v>-1.5</v>
      </c>
      <c r="QGM3425" s="34">
        <v>-1</v>
      </c>
      <c r="QGN3425" s="34">
        <v>-0.5</v>
      </c>
      <c r="QGO3425" s="34">
        <v>0</v>
      </c>
      <c r="QGP3425" s="34">
        <v>0.5</v>
      </c>
      <c r="QGQ3425" s="34">
        <v>1</v>
      </c>
      <c r="QGR3425" s="34">
        <v>1.5</v>
      </c>
      <c r="QGS3425" s="34">
        <v>2</v>
      </c>
      <c r="QGT3425" s="34">
        <v>2.5</v>
      </c>
      <c r="QGU3425" s="34">
        <v>3</v>
      </c>
      <c r="QGV3425" s="34">
        <v>3.5</v>
      </c>
      <c r="QGW3425" s="34">
        <v>4</v>
      </c>
      <c r="QGX3425" s="34">
        <v>4.5</v>
      </c>
      <c r="QGY3425" s="34">
        <v>5</v>
      </c>
      <c r="QHA3425" s="913"/>
      <c r="QHB3425" s="31">
        <v>1</v>
      </c>
      <c r="QHC3425" s="34">
        <v>0</v>
      </c>
      <c r="QHD3425" s="34">
        <v>-1</v>
      </c>
      <c r="QHE3425" s="34">
        <v>-2</v>
      </c>
      <c r="QHF3425" s="34">
        <v>-3</v>
      </c>
      <c r="QHG3425" s="34">
        <v>-4</v>
      </c>
      <c r="QHH3425" s="34">
        <v>-5</v>
      </c>
      <c r="QHI3425" s="908"/>
      <c r="QHJ3425" s="909"/>
      <c r="QHK3425" s="34">
        <v>-5</v>
      </c>
      <c r="QHL3425" s="34">
        <v>-4.5</v>
      </c>
      <c r="QHM3425" s="34">
        <v>-4</v>
      </c>
      <c r="QHN3425" s="34">
        <v>-3.5</v>
      </c>
      <c r="QHO3425" s="34">
        <v>-3</v>
      </c>
      <c r="QHP3425" s="34">
        <v>-2.5</v>
      </c>
      <c r="QHQ3425" s="34">
        <v>-2</v>
      </c>
      <c r="QHR3425" s="34">
        <v>-1.5</v>
      </c>
      <c r="QHS3425" s="34">
        <v>-1</v>
      </c>
      <c r="QHT3425" s="34">
        <v>-0.5</v>
      </c>
      <c r="QHU3425" s="34">
        <v>0</v>
      </c>
      <c r="QHV3425" s="34">
        <v>0.5</v>
      </c>
      <c r="QHW3425" s="34">
        <v>1</v>
      </c>
      <c r="QHX3425" s="34">
        <v>1.5</v>
      </c>
      <c r="QHY3425" s="34">
        <v>2</v>
      </c>
      <c r="QHZ3425" s="34">
        <v>2.5</v>
      </c>
      <c r="QIA3425" s="34">
        <v>3</v>
      </c>
      <c r="QIB3425" s="34">
        <v>3.5</v>
      </c>
      <c r="QIC3425" s="34">
        <v>4</v>
      </c>
      <c r="QID3425" s="34">
        <v>4.5</v>
      </c>
      <c r="QIE3425" s="34">
        <v>5</v>
      </c>
      <c r="QIG3425" s="913"/>
      <c r="QIH3425" s="31">
        <v>1</v>
      </c>
      <c r="QII3425" s="34">
        <v>0</v>
      </c>
      <c r="QIJ3425" s="34">
        <v>-1</v>
      </c>
      <c r="QIK3425" s="34">
        <v>-2</v>
      </c>
      <c r="QIL3425" s="34">
        <v>-3</v>
      </c>
      <c r="QIM3425" s="34">
        <v>-4</v>
      </c>
      <c r="QIN3425" s="34">
        <v>-5</v>
      </c>
      <c r="QIO3425" s="908"/>
      <c r="QIP3425" s="909"/>
      <c r="QIQ3425" s="34">
        <v>-5</v>
      </c>
      <c r="QIR3425" s="34">
        <v>-4.5</v>
      </c>
      <c r="QIS3425" s="34">
        <v>-4</v>
      </c>
      <c r="QIT3425" s="34">
        <v>-3.5</v>
      </c>
      <c r="QIU3425" s="34">
        <v>-3</v>
      </c>
      <c r="QIV3425" s="34">
        <v>-2.5</v>
      </c>
      <c r="QIW3425" s="34">
        <v>-2</v>
      </c>
      <c r="QIX3425" s="34">
        <v>-1.5</v>
      </c>
      <c r="QIY3425" s="34">
        <v>-1</v>
      </c>
      <c r="QIZ3425" s="34">
        <v>-0.5</v>
      </c>
      <c r="QJA3425" s="34">
        <v>0</v>
      </c>
      <c r="QJB3425" s="34">
        <v>0.5</v>
      </c>
      <c r="QJC3425" s="34">
        <v>1</v>
      </c>
      <c r="QJD3425" s="34">
        <v>1.5</v>
      </c>
      <c r="QJE3425" s="34">
        <v>2</v>
      </c>
      <c r="QJF3425" s="34">
        <v>2.5</v>
      </c>
      <c r="QJG3425" s="34">
        <v>3</v>
      </c>
      <c r="QJH3425" s="34">
        <v>3.5</v>
      </c>
      <c r="QJI3425" s="34">
        <v>4</v>
      </c>
      <c r="QJJ3425" s="34">
        <v>4.5</v>
      </c>
      <c r="QJK3425" s="34">
        <v>5</v>
      </c>
      <c r="QJM3425" s="913"/>
      <c r="QJN3425" s="31">
        <v>1</v>
      </c>
      <c r="QJO3425" s="34">
        <v>0</v>
      </c>
      <c r="QJP3425" s="34">
        <v>-1</v>
      </c>
      <c r="QJQ3425" s="34">
        <v>-2</v>
      </c>
      <c r="QJR3425" s="34">
        <v>-3</v>
      </c>
      <c r="QJS3425" s="34">
        <v>-4</v>
      </c>
      <c r="QJT3425" s="34">
        <v>-5</v>
      </c>
      <c r="QJU3425" s="908"/>
      <c r="QJV3425" s="909"/>
      <c r="QJW3425" s="34">
        <v>-5</v>
      </c>
      <c r="QJX3425" s="34">
        <v>-4.5</v>
      </c>
      <c r="QJY3425" s="34">
        <v>-4</v>
      </c>
      <c r="QJZ3425" s="34">
        <v>-3.5</v>
      </c>
      <c r="QKA3425" s="34">
        <v>-3</v>
      </c>
      <c r="QKB3425" s="34">
        <v>-2.5</v>
      </c>
      <c r="QKC3425" s="34">
        <v>-2</v>
      </c>
      <c r="QKD3425" s="34">
        <v>-1.5</v>
      </c>
      <c r="QKE3425" s="34">
        <v>-1</v>
      </c>
      <c r="QKF3425" s="34">
        <v>-0.5</v>
      </c>
      <c r="QKG3425" s="34">
        <v>0</v>
      </c>
      <c r="QKH3425" s="34">
        <v>0.5</v>
      </c>
      <c r="QKI3425" s="34">
        <v>1</v>
      </c>
      <c r="QKJ3425" s="34">
        <v>1.5</v>
      </c>
      <c r="QKK3425" s="34">
        <v>2</v>
      </c>
      <c r="QKL3425" s="34">
        <v>2.5</v>
      </c>
      <c r="QKM3425" s="34">
        <v>3</v>
      </c>
      <c r="QKN3425" s="34">
        <v>3.5</v>
      </c>
      <c r="QKO3425" s="34">
        <v>4</v>
      </c>
      <c r="QKP3425" s="34">
        <v>4.5</v>
      </c>
      <c r="QKQ3425" s="34">
        <v>5</v>
      </c>
      <c r="QKS3425" s="913"/>
      <c r="QKT3425" s="31">
        <v>1</v>
      </c>
      <c r="QKU3425" s="34">
        <v>0</v>
      </c>
      <c r="QKV3425" s="34">
        <v>-1</v>
      </c>
      <c r="QKW3425" s="34">
        <v>-2</v>
      </c>
      <c r="QKX3425" s="34">
        <v>-3</v>
      </c>
      <c r="QKY3425" s="34">
        <v>-4</v>
      </c>
      <c r="QKZ3425" s="34">
        <v>-5</v>
      </c>
      <c r="QLA3425" s="908"/>
      <c r="QLB3425" s="909"/>
      <c r="QLC3425" s="34">
        <v>-5</v>
      </c>
      <c r="QLD3425" s="34">
        <v>-4.5</v>
      </c>
      <c r="QLE3425" s="34">
        <v>-4</v>
      </c>
      <c r="QLF3425" s="34">
        <v>-3.5</v>
      </c>
      <c r="QLG3425" s="34">
        <v>-3</v>
      </c>
      <c r="QLH3425" s="34">
        <v>-2.5</v>
      </c>
      <c r="QLI3425" s="34">
        <v>-2</v>
      </c>
      <c r="QLJ3425" s="34">
        <v>-1.5</v>
      </c>
      <c r="QLK3425" s="34">
        <v>-1</v>
      </c>
      <c r="QLL3425" s="34">
        <v>-0.5</v>
      </c>
      <c r="QLM3425" s="34">
        <v>0</v>
      </c>
      <c r="QLN3425" s="34">
        <v>0.5</v>
      </c>
      <c r="QLO3425" s="34">
        <v>1</v>
      </c>
      <c r="QLP3425" s="34">
        <v>1.5</v>
      </c>
      <c r="QLQ3425" s="34">
        <v>2</v>
      </c>
      <c r="QLR3425" s="34">
        <v>2.5</v>
      </c>
      <c r="QLS3425" s="34">
        <v>3</v>
      </c>
      <c r="QLT3425" s="34">
        <v>3.5</v>
      </c>
      <c r="QLU3425" s="34">
        <v>4</v>
      </c>
      <c r="QLV3425" s="34">
        <v>4.5</v>
      </c>
      <c r="QLW3425" s="34">
        <v>5</v>
      </c>
      <c r="QLY3425" s="913"/>
      <c r="QLZ3425" s="31">
        <v>1</v>
      </c>
      <c r="QMA3425" s="34">
        <v>0</v>
      </c>
      <c r="QMB3425" s="34">
        <v>-1</v>
      </c>
      <c r="QMC3425" s="34">
        <v>-2</v>
      </c>
      <c r="QMD3425" s="34">
        <v>-3</v>
      </c>
      <c r="QME3425" s="34">
        <v>-4</v>
      </c>
      <c r="QMF3425" s="34">
        <v>-5</v>
      </c>
      <c r="QMG3425" s="908"/>
      <c r="QMH3425" s="909"/>
      <c r="QMI3425" s="34">
        <v>-5</v>
      </c>
      <c r="QMJ3425" s="34">
        <v>-4.5</v>
      </c>
      <c r="QMK3425" s="34">
        <v>-4</v>
      </c>
      <c r="QML3425" s="34">
        <v>-3.5</v>
      </c>
      <c r="QMM3425" s="34">
        <v>-3</v>
      </c>
      <c r="QMN3425" s="34">
        <v>-2.5</v>
      </c>
      <c r="QMO3425" s="34">
        <v>-2</v>
      </c>
      <c r="QMP3425" s="34">
        <v>-1.5</v>
      </c>
      <c r="QMQ3425" s="34">
        <v>-1</v>
      </c>
      <c r="QMR3425" s="34">
        <v>-0.5</v>
      </c>
      <c r="QMS3425" s="34">
        <v>0</v>
      </c>
      <c r="QMT3425" s="34">
        <v>0.5</v>
      </c>
      <c r="QMU3425" s="34">
        <v>1</v>
      </c>
      <c r="QMV3425" s="34">
        <v>1.5</v>
      </c>
      <c r="QMW3425" s="34">
        <v>2</v>
      </c>
      <c r="QMX3425" s="34">
        <v>2.5</v>
      </c>
      <c r="QMY3425" s="34">
        <v>3</v>
      </c>
      <c r="QMZ3425" s="34">
        <v>3.5</v>
      </c>
      <c r="QNA3425" s="34">
        <v>4</v>
      </c>
      <c r="QNB3425" s="34">
        <v>4.5</v>
      </c>
      <c r="QNC3425" s="34">
        <v>5</v>
      </c>
      <c r="QNE3425" s="913"/>
      <c r="QNF3425" s="31">
        <v>1</v>
      </c>
      <c r="QNG3425" s="34">
        <v>0</v>
      </c>
      <c r="QNH3425" s="34">
        <v>-1</v>
      </c>
      <c r="QNI3425" s="34">
        <v>-2</v>
      </c>
      <c r="QNJ3425" s="34">
        <v>-3</v>
      </c>
      <c r="QNK3425" s="34">
        <v>-4</v>
      </c>
      <c r="QNL3425" s="34">
        <v>-5</v>
      </c>
      <c r="QNM3425" s="908"/>
      <c r="QNN3425" s="909"/>
      <c r="QNO3425" s="34">
        <v>-5</v>
      </c>
      <c r="QNP3425" s="34">
        <v>-4.5</v>
      </c>
      <c r="QNQ3425" s="34">
        <v>-4</v>
      </c>
      <c r="QNR3425" s="34">
        <v>-3.5</v>
      </c>
      <c r="QNS3425" s="34">
        <v>-3</v>
      </c>
      <c r="QNT3425" s="34">
        <v>-2.5</v>
      </c>
      <c r="QNU3425" s="34">
        <v>-2</v>
      </c>
      <c r="QNV3425" s="34">
        <v>-1.5</v>
      </c>
      <c r="QNW3425" s="34">
        <v>-1</v>
      </c>
      <c r="QNX3425" s="34">
        <v>-0.5</v>
      </c>
      <c r="QNY3425" s="34">
        <v>0</v>
      </c>
      <c r="QNZ3425" s="34">
        <v>0.5</v>
      </c>
      <c r="QOA3425" s="34">
        <v>1</v>
      </c>
      <c r="QOB3425" s="34">
        <v>1.5</v>
      </c>
      <c r="QOC3425" s="34">
        <v>2</v>
      </c>
      <c r="QOD3425" s="34">
        <v>2.5</v>
      </c>
      <c r="QOE3425" s="34">
        <v>3</v>
      </c>
      <c r="QOF3425" s="34">
        <v>3.5</v>
      </c>
      <c r="QOG3425" s="34">
        <v>4</v>
      </c>
      <c r="QOH3425" s="34">
        <v>4.5</v>
      </c>
      <c r="QOI3425" s="34">
        <v>5</v>
      </c>
      <c r="QOK3425" s="913"/>
      <c r="QOL3425" s="31">
        <v>1</v>
      </c>
      <c r="QOM3425" s="34">
        <v>0</v>
      </c>
      <c r="QON3425" s="34">
        <v>-1</v>
      </c>
      <c r="QOO3425" s="34">
        <v>-2</v>
      </c>
      <c r="QOP3425" s="34">
        <v>-3</v>
      </c>
      <c r="QOQ3425" s="34">
        <v>-4</v>
      </c>
      <c r="QOR3425" s="34">
        <v>-5</v>
      </c>
      <c r="QOS3425" s="908"/>
      <c r="QOT3425" s="909"/>
      <c r="QOU3425" s="34">
        <v>-5</v>
      </c>
      <c r="QOV3425" s="34">
        <v>-4.5</v>
      </c>
      <c r="QOW3425" s="34">
        <v>-4</v>
      </c>
      <c r="QOX3425" s="34">
        <v>-3.5</v>
      </c>
      <c r="QOY3425" s="34">
        <v>-3</v>
      </c>
      <c r="QOZ3425" s="34">
        <v>-2.5</v>
      </c>
      <c r="QPA3425" s="34">
        <v>-2</v>
      </c>
      <c r="QPB3425" s="34">
        <v>-1.5</v>
      </c>
      <c r="QPC3425" s="34">
        <v>-1</v>
      </c>
      <c r="QPD3425" s="34">
        <v>-0.5</v>
      </c>
      <c r="QPE3425" s="34">
        <v>0</v>
      </c>
      <c r="QPF3425" s="34">
        <v>0.5</v>
      </c>
      <c r="QPG3425" s="34">
        <v>1</v>
      </c>
      <c r="QPH3425" s="34">
        <v>1.5</v>
      </c>
      <c r="QPI3425" s="34">
        <v>2</v>
      </c>
      <c r="QPJ3425" s="34">
        <v>2.5</v>
      </c>
      <c r="QPK3425" s="34">
        <v>3</v>
      </c>
      <c r="QPL3425" s="34">
        <v>3.5</v>
      </c>
      <c r="QPM3425" s="34">
        <v>4</v>
      </c>
      <c r="QPN3425" s="34">
        <v>4.5</v>
      </c>
      <c r="QPO3425" s="34">
        <v>5</v>
      </c>
      <c r="QPQ3425" s="913"/>
      <c r="QPR3425" s="31">
        <v>1</v>
      </c>
      <c r="QPS3425" s="34">
        <v>0</v>
      </c>
      <c r="QPT3425" s="34">
        <v>-1</v>
      </c>
      <c r="QPU3425" s="34">
        <v>-2</v>
      </c>
      <c r="QPV3425" s="34">
        <v>-3</v>
      </c>
      <c r="QPW3425" s="34">
        <v>-4</v>
      </c>
      <c r="QPX3425" s="34">
        <v>-5</v>
      </c>
      <c r="QPY3425" s="908"/>
      <c r="QPZ3425" s="909"/>
      <c r="QQA3425" s="34">
        <v>-5</v>
      </c>
      <c r="QQB3425" s="34">
        <v>-4.5</v>
      </c>
      <c r="QQC3425" s="34">
        <v>-4</v>
      </c>
      <c r="QQD3425" s="34">
        <v>-3.5</v>
      </c>
      <c r="QQE3425" s="34">
        <v>-3</v>
      </c>
      <c r="QQF3425" s="34">
        <v>-2.5</v>
      </c>
      <c r="QQG3425" s="34">
        <v>-2</v>
      </c>
      <c r="QQH3425" s="34">
        <v>-1.5</v>
      </c>
      <c r="QQI3425" s="34">
        <v>-1</v>
      </c>
      <c r="QQJ3425" s="34">
        <v>-0.5</v>
      </c>
      <c r="QQK3425" s="34">
        <v>0</v>
      </c>
      <c r="QQL3425" s="34">
        <v>0.5</v>
      </c>
      <c r="QQM3425" s="34">
        <v>1</v>
      </c>
      <c r="QQN3425" s="34">
        <v>1.5</v>
      </c>
      <c r="QQO3425" s="34">
        <v>2</v>
      </c>
      <c r="QQP3425" s="34">
        <v>2.5</v>
      </c>
      <c r="QQQ3425" s="34">
        <v>3</v>
      </c>
      <c r="QQR3425" s="34">
        <v>3.5</v>
      </c>
      <c r="QQS3425" s="34">
        <v>4</v>
      </c>
      <c r="QQT3425" s="34">
        <v>4.5</v>
      </c>
      <c r="QQU3425" s="34">
        <v>5</v>
      </c>
      <c r="QQW3425" s="913"/>
      <c r="QQX3425" s="31">
        <v>1</v>
      </c>
      <c r="QQY3425" s="34">
        <v>0</v>
      </c>
      <c r="QQZ3425" s="34">
        <v>-1</v>
      </c>
      <c r="QRA3425" s="34">
        <v>-2</v>
      </c>
      <c r="QRB3425" s="34">
        <v>-3</v>
      </c>
      <c r="QRC3425" s="34">
        <v>-4</v>
      </c>
      <c r="QRD3425" s="34">
        <v>-5</v>
      </c>
      <c r="QRE3425" s="908"/>
      <c r="QRF3425" s="909"/>
      <c r="QRG3425" s="34">
        <v>-5</v>
      </c>
      <c r="QRH3425" s="34">
        <v>-4.5</v>
      </c>
      <c r="QRI3425" s="34">
        <v>-4</v>
      </c>
      <c r="QRJ3425" s="34">
        <v>-3.5</v>
      </c>
      <c r="QRK3425" s="34">
        <v>-3</v>
      </c>
      <c r="QRL3425" s="34">
        <v>-2.5</v>
      </c>
      <c r="QRM3425" s="34">
        <v>-2</v>
      </c>
      <c r="QRN3425" s="34">
        <v>-1.5</v>
      </c>
      <c r="QRO3425" s="34">
        <v>-1</v>
      </c>
      <c r="QRP3425" s="34">
        <v>-0.5</v>
      </c>
      <c r="QRQ3425" s="34">
        <v>0</v>
      </c>
      <c r="QRR3425" s="34">
        <v>0.5</v>
      </c>
      <c r="QRS3425" s="34">
        <v>1</v>
      </c>
      <c r="QRT3425" s="34">
        <v>1.5</v>
      </c>
      <c r="QRU3425" s="34">
        <v>2</v>
      </c>
      <c r="QRV3425" s="34">
        <v>2.5</v>
      </c>
      <c r="QRW3425" s="34">
        <v>3</v>
      </c>
      <c r="QRX3425" s="34">
        <v>3.5</v>
      </c>
      <c r="QRY3425" s="34">
        <v>4</v>
      </c>
      <c r="QRZ3425" s="34">
        <v>4.5</v>
      </c>
      <c r="QSA3425" s="34">
        <v>5</v>
      </c>
      <c r="QSC3425" s="913"/>
      <c r="QSD3425" s="31">
        <v>1</v>
      </c>
      <c r="QSE3425" s="34">
        <v>0</v>
      </c>
      <c r="QSF3425" s="34">
        <v>-1</v>
      </c>
      <c r="QSG3425" s="34">
        <v>-2</v>
      </c>
      <c r="QSH3425" s="34">
        <v>-3</v>
      </c>
      <c r="QSI3425" s="34">
        <v>-4</v>
      </c>
      <c r="QSJ3425" s="34">
        <v>-5</v>
      </c>
      <c r="QSK3425" s="908"/>
      <c r="QSL3425" s="909"/>
      <c r="QSM3425" s="34">
        <v>-5</v>
      </c>
      <c r="QSN3425" s="34">
        <v>-4.5</v>
      </c>
      <c r="QSO3425" s="34">
        <v>-4</v>
      </c>
      <c r="QSP3425" s="34">
        <v>-3.5</v>
      </c>
      <c r="QSQ3425" s="34">
        <v>-3</v>
      </c>
      <c r="QSR3425" s="34">
        <v>-2.5</v>
      </c>
      <c r="QSS3425" s="34">
        <v>-2</v>
      </c>
      <c r="QST3425" s="34">
        <v>-1.5</v>
      </c>
      <c r="QSU3425" s="34">
        <v>-1</v>
      </c>
      <c r="QSV3425" s="34">
        <v>-0.5</v>
      </c>
      <c r="QSW3425" s="34">
        <v>0</v>
      </c>
      <c r="QSX3425" s="34">
        <v>0.5</v>
      </c>
      <c r="QSY3425" s="34">
        <v>1</v>
      </c>
      <c r="QSZ3425" s="34">
        <v>1.5</v>
      </c>
      <c r="QTA3425" s="34">
        <v>2</v>
      </c>
      <c r="QTB3425" s="34">
        <v>2.5</v>
      </c>
      <c r="QTC3425" s="34">
        <v>3</v>
      </c>
      <c r="QTD3425" s="34">
        <v>3.5</v>
      </c>
      <c r="QTE3425" s="34">
        <v>4</v>
      </c>
      <c r="QTF3425" s="34">
        <v>4.5</v>
      </c>
      <c r="QTG3425" s="34">
        <v>5</v>
      </c>
      <c r="QTI3425" s="913"/>
      <c r="QTJ3425" s="31">
        <v>1</v>
      </c>
      <c r="QTK3425" s="34">
        <v>0</v>
      </c>
      <c r="QTL3425" s="34">
        <v>-1</v>
      </c>
      <c r="QTM3425" s="34">
        <v>-2</v>
      </c>
      <c r="QTN3425" s="34">
        <v>-3</v>
      </c>
      <c r="QTO3425" s="34">
        <v>-4</v>
      </c>
      <c r="QTP3425" s="34">
        <v>-5</v>
      </c>
      <c r="QTQ3425" s="908"/>
      <c r="QTR3425" s="909"/>
      <c r="QTS3425" s="34">
        <v>-5</v>
      </c>
      <c r="QTT3425" s="34">
        <v>-4.5</v>
      </c>
      <c r="QTU3425" s="34">
        <v>-4</v>
      </c>
      <c r="QTV3425" s="34">
        <v>-3.5</v>
      </c>
      <c r="QTW3425" s="34">
        <v>-3</v>
      </c>
      <c r="QTX3425" s="34">
        <v>-2.5</v>
      </c>
      <c r="QTY3425" s="34">
        <v>-2</v>
      </c>
      <c r="QTZ3425" s="34">
        <v>-1.5</v>
      </c>
      <c r="QUA3425" s="34">
        <v>-1</v>
      </c>
      <c r="QUB3425" s="34">
        <v>-0.5</v>
      </c>
      <c r="QUC3425" s="34">
        <v>0</v>
      </c>
      <c r="QUD3425" s="34">
        <v>0.5</v>
      </c>
      <c r="QUE3425" s="34">
        <v>1</v>
      </c>
      <c r="QUF3425" s="34">
        <v>1.5</v>
      </c>
      <c r="QUG3425" s="34">
        <v>2</v>
      </c>
      <c r="QUH3425" s="34">
        <v>2.5</v>
      </c>
      <c r="QUI3425" s="34">
        <v>3</v>
      </c>
      <c r="QUJ3425" s="34">
        <v>3.5</v>
      </c>
      <c r="QUK3425" s="34">
        <v>4</v>
      </c>
      <c r="QUL3425" s="34">
        <v>4.5</v>
      </c>
      <c r="QUM3425" s="34">
        <v>5</v>
      </c>
      <c r="QUO3425" s="913"/>
      <c r="QUP3425" s="31">
        <v>1</v>
      </c>
      <c r="QUQ3425" s="34">
        <v>0</v>
      </c>
      <c r="QUR3425" s="34">
        <v>-1</v>
      </c>
      <c r="QUS3425" s="34">
        <v>-2</v>
      </c>
      <c r="QUT3425" s="34">
        <v>-3</v>
      </c>
      <c r="QUU3425" s="34">
        <v>-4</v>
      </c>
      <c r="QUV3425" s="34">
        <v>-5</v>
      </c>
      <c r="QUW3425" s="908"/>
      <c r="QUX3425" s="909"/>
      <c r="QUY3425" s="34">
        <v>-5</v>
      </c>
      <c r="QUZ3425" s="34">
        <v>-4.5</v>
      </c>
      <c r="QVA3425" s="34">
        <v>-4</v>
      </c>
      <c r="QVB3425" s="34">
        <v>-3.5</v>
      </c>
      <c r="QVC3425" s="34">
        <v>-3</v>
      </c>
      <c r="QVD3425" s="34">
        <v>-2.5</v>
      </c>
      <c r="QVE3425" s="34">
        <v>-2</v>
      </c>
      <c r="QVF3425" s="34">
        <v>-1.5</v>
      </c>
      <c r="QVG3425" s="34">
        <v>-1</v>
      </c>
      <c r="QVH3425" s="34">
        <v>-0.5</v>
      </c>
      <c r="QVI3425" s="34">
        <v>0</v>
      </c>
      <c r="QVJ3425" s="34">
        <v>0.5</v>
      </c>
      <c r="QVK3425" s="34">
        <v>1</v>
      </c>
      <c r="QVL3425" s="34">
        <v>1.5</v>
      </c>
      <c r="QVM3425" s="34">
        <v>2</v>
      </c>
      <c r="QVN3425" s="34">
        <v>2.5</v>
      </c>
      <c r="QVO3425" s="34">
        <v>3</v>
      </c>
      <c r="QVP3425" s="34">
        <v>3.5</v>
      </c>
      <c r="QVQ3425" s="34">
        <v>4</v>
      </c>
      <c r="QVR3425" s="34">
        <v>4.5</v>
      </c>
      <c r="QVS3425" s="34">
        <v>5</v>
      </c>
      <c r="QVU3425" s="913"/>
      <c r="QVV3425" s="31">
        <v>1</v>
      </c>
      <c r="QVW3425" s="34">
        <v>0</v>
      </c>
      <c r="QVX3425" s="34">
        <v>-1</v>
      </c>
      <c r="QVY3425" s="34">
        <v>-2</v>
      </c>
      <c r="QVZ3425" s="34">
        <v>-3</v>
      </c>
      <c r="QWA3425" s="34">
        <v>-4</v>
      </c>
      <c r="QWB3425" s="34">
        <v>-5</v>
      </c>
      <c r="QWC3425" s="908"/>
      <c r="QWD3425" s="909"/>
      <c r="QWE3425" s="34">
        <v>-5</v>
      </c>
      <c r="QWF3425" s="34">
        <v>-4.5</v>
      </c>
      <c r="QWG3425" s="34">
        <v>-4</v>
      </c>
      <c r="QWH3425" s="34">
        <v>-3.5</v>
      </c>
      <c r="QWI3425" s="34">
        <v>-3</v>
      </c>
      <c r="QWJ3425" s="34">
        <v>-2.5</v>
      </c>
      <c r="QWK3425" s="34">
        <v>-2</v>
      </c>
      <c r="QWL3425" s="34">
        <v>-1.5</v>
      </c>
      <c r="QWM3425" s="34">
        <v>-1</v>
      </c>
      <c r="QWN3425" s="34">
        <v>-0.5</v>
      </c>
      <c r="QWO3425" s="34">
        <v>0</v>
      </c>
      <c r="QWP3425" s="34">
        <v>0.5</v>
      </c>
      <c r="QWQ3425" s="34">
        <v>1</v>
      </c>
      <c r="QWR3425" s="34">
        <v>1.5</v>
      </c>
      <c r="QWS3425" s="34">
        <v>2</v>
      </c>
      <c r="QWT3425" s="34">
        <v>2.5</v>
      </c>
      <c r="QWU3425" s="34">
        <v>3</v>
      </c>
      <c r="QWV3425" s="34">
        <v>3.5</v>
      </c>
      <c r="QWW3425" s="34">
        <v>4</v>
      </c>
      <c r="QWX3425" s="34">
        <v>4.5</v>
      </c>
      <c r="QWY3425" s="34">
        <v>5</v>
      </c>
      <c r="QXA3425" s="913"/>
      <c r="QXB3425" s="31">
        <v>1</v>
      </c>
      <c r="QXC3425" s="34">
        <v>0</v>
      </c>
      <c r="QXD3425" s="34">
        <v>-1</v>
      </c>
      <c r="QXE3425" s="34">
        <v>-2</v>
      </c>
      <c r="QXF3425" s="34">
        <v>-3</v>
      </c>
      <c r="QXG3425" s="34">
        <v>-4</v>
      </c>
      <c r="QXH3425" s="34">
        <v>-5</v>
      </c>
      <c r="QXI3425" s="908"/>
      <c r="QXJ3425" s="909"/>
      <c r="QXK3425" s="34">
        <v>-5</v>
      </c>
      <c r="QXL3425" s="34">
        <v>-4.5</v>
      </c>
      <c r="QXM3425" s="34">
        <v>-4</v>
      </c>
      <c r="QXN3425" s="34">
        <v>-3.5</v>
      </c>
      <c r="QXO3425" s="34">
        <v>-3</v>
      </c>
      <c r="QXP3425" s="34">
        <v>-2.5</v>
      </c>
      <c r="QXQ3425" s="34">
        <v>-2</v>
      </c>
      <c r="QXR3425" s="34">
        <v>-1.5</v>
      </c>
      <c r="QXS3425" s="34">
        <v>-1</v>
      </c>
      <c r="QXT3425" s="34">
        <v>-0.5</v>
      </c>
      <c r="QXU3425" s="34">
        <v>0</v>
      </c>
      <c r="QXV3425" s="34">
        <v>0.5</v>
      </c>
      <c r="QXW3425" s="34">
        <v>1</v>
      </c>
      <c r="QXX3425" s="34">
        <v>1.5</v>
      </c>
      <c r="QXY3425" s="34">
        <v>2</v>
      </c>
      <c r="QXZ3425" s="34">
        <v>2.5</v>
      </c>
      <c r="QYA3425" s="34">
        <v>3</v>
      </c>
      <c r="QYB3425" s="34">
        <v>3.5</v>
      </c>
      <c r="QYC3425" s="34">
        <v>4</v>
      </c>
      <c r="QYD3425" s="34">
        <v>4.5</v>
      </c>
      <c r="QYE3425" s="34">
        <v>5</v>
      </c>
      <c r="QYG3425" s="913"/>
      <c r="QYH3425" s="31">
        <v>1</v>
      </c>
      <c r="QYI3425" s="34">
        <v>0</v>
      </c>
      <c r="QYJ3425" s="34">
        <v>-1</v>
      </c>
      <c r="QYK3425" s="34">
        <v>-2</v>
      </c>
      <c r="QYL3425" s="34">
        <v>-3</v>
      </c>
      <c r="QYM3425" s="34">
        <v>-4</v>
      </c>
      <c r="QYN3425" s="34">
        <v>-5</v>
      </c>
      <c r="QYO3425" s="908"/>
      <c r="QYP3425" s="909"/>
      <c r="QYQ3425" s="34">
        <v>-5</v>
      </c>
      <c r="QYR3425" s="34">
        <v>-4.5</v>
      </c>
      <c r="QYS3425" s="34">
        <v>-4</v>
      </c>
      <c r="QYT3425" s="34">
        <v>-3.5</v>
      </c>
      <c r="QYU3425" s="34">
        <v>-3</v>
      </c>
      <c r="QYV3425" s="34">
        <v>-2.5</v>
      </c>
      <c r="QYW3425" s="34">
        <v>-2</v>
      </c>
      <c r="QYX3425" s="34">
        <v>-1.5</v>
      </c>
      <c r="QYY3425" s="34">
        <v>-1</v>
      </c>
      <c r="QYZ3425" s="34">
        <v>-0.5</v>
      </c>
      <c r="QZA3425" s="34">
        <v>0</v>
      </c>
      <c r="QZB3425" s="34">
        <v>0.5</v>
      </c>
      <c r="QZC3425" s="34">
        <v>1</v>
      </c>
      <c r="QZD3425" s="34">
        <v>1.5</v>
      </c>
      <c r="QZE3425" s="34">
        <v>2</v>
      </c>
      <c r="QZF3425" s="34">
        <v>2.5</v>
      </c>
      <c r="QZG3425" s="34">
        <v>3</v>
      </c>
      <c r="QZH3425" s="34">
        <v>3.5</v>
      </c>
      <c r="QZI3425" s="34">
        <v>4</v>
      </c>
      <c r="QZJ3425" s="34">
        <v>4.5</v>
      </c>
      <c r="QZK3425" s="34">
        <v>5</v>
      </c>
      <c r="QZM3425" s="913"/>
      <c r="QZN3425" s="31">
        <v>1</v>
      </c>
      <c r="QZO3425" s="34">
        <v>0</v>
      </c>
      <c r="QZP3425" s="34">
        <v>-1</v>
      </c>
      <c r="QZQ3425" s="34">
        <v>-2</v>
      </c>
      <c r="QZR3425" s="34">
        <v>-3</v>
      </c>
      <c r="QZS3425" s="34">
        <v>-4</v>
      </c>
      <c r="QZT3425" s="34">
        <v>-5</v>
      </c>
      <c r="QZU3425" s="908"/>
      <c r="QZV3425" s="909"/>
      <c r="QZW3425" s="34">
        <v>-5</v>
      </c>
      <c r="QZX3425" s="34">
        <v>-4.5</v>
      </c>
      <c r="QZY3425" s="34">
        <v>-4</v>
      </c>
      <c r="QZZ3425" s="34">
        <v>-3.5</v>
      </c>
      <c r="RAA3425" s="34">
        <v>-3</v>
      </c>
      <c r="RAB3425" s="34">
        <v>-2.5</v>
      </c>
      <c r="RAC3425" s="34">
        <v>-2</v>
      </c>
      <c r="RAD3425" s="34">
        <v>-1.5</v>
      </c>
      <c r="RAE3425" s="34">
        <v>-1</v>
      </c>
      <c r="RAF3425" s="34">
        <v>-0.5</v>
      </c>
      <c r="RAG3425" s="34">
        <v>0</v>
      </c>
      <c r="RAH3425" s="34">
        <v>0.5</v>
      </c>
      <c r="RAI3425" s="34">
        <v>1</v>
      </c>
      <c r="RAJ3425" s="34">
        <v>1.5</v>
      </c>
      <c r="RAK3425" s="34">
        <v>2</v>
      </c>
      <c r="RAL3425" s="34">
        <v>2.5</v>
      </c>
      <c r="RAM3425" s="34">
        <v>3</v>
      </c>
      <c r="RAN3425" s="34">
        <v>3.5</v>
      </c>
      <c r="RAO3425" s="34">
        <v>4</v>
      </c>
      <c r="RAP3425" s="34">
        <v>4.5</v>
      </c>
      <c r="RAQ3425" s="34">
        <v>5</v>
      </c>
      <c r="RAS3425" s="913"/>
      <c r="RAT3425" s="31">
        <v>1</v>
      </c>
      <c r="RAU3425" s="34">
        <v>0</v>
      </c>
      <c r="RAV3425" s="34">
        <v>-1</v>
      </c>
      <c r="RAW3425" s="34">
        <v>-2</v>
      </c>
      <c r="RAX3425" s="34">
        <v>-3</v>
      </c>
      <c r="RAY3425" s="34">
        <v>-4</v>
      </c>
      <c r="RAZ3425" s="34">
        <v>-5</v>
      </c>
      <c r="RBA3425" s="908"/>
      <c r="RBB3425" s="909"/>
      <c r="RBC3425" s="34">
        <v>-5</v>
      </c>
      <c r="RBD3425" s="34">
        <v>-4.5</v>
      </c>
      <c r="RBE3425" s="34">
        <v>-4</v>
      </c>
      <c r="RBF3425" s="34">
        <v>-3.5</v>
      </c>
      <c r="RBG3425" s="34">
        <v>-3</v>
      </c>
      <c r="RBH3425" s="34">
        <v>-2.5</v>
      </c>
      <c r="RBI3425" s="34">
        <v>-2</v>
      </c>
      <c r="RBJ3425" s="34">
        <v>-1.5</v>
      </c>
      <c r="RBK3425" s="34">
        <v>-1</v>
      </c>
      <c r="RBL3425" s="34">
        <v>-0.5</v>
      </c>
      <c r="RBM3425" s="34">
        <v>0</v>
      </c>
      <c r="RBN3425" s="34">
        <v>0.5</v>
      </c>
      <c r="RBO3425" s="34">
        <v>1</v>
      </c>
      <c r="RBP3425" s="34">
        <v>1.5</v>
      </c>
      <c r="RBQ3425" s="34">
        <v>2</v>
      </c>
      <c r="RBR3425" s="34">
        <v>2.5</v>
      </c>
      <c r="RBS3425" s="34">
        <v>3</v>
      </c>
      <c r="RBT3425" s="34">
        <v>3.5</v>
      </c>
      <c r="RBU3425" s="34">
        <v>4</v>
      </c>
      <c r="RBV3425" s="34">
        <v>4.5</v>
      </c>
      <c r="RBW3425" s="34">
        <v>5</v>
      </c>
      <c r="RBY3425" s="913"/>
      <c r="RBZ3425" s="31">
        <v>1</v>
      </c>
      <c r="RCA3425" s="34">
        <v>0</v>
      </c>
      <c r="RCB3425" s="34">
        <v>-1</v>
      </c>
      <c r="RCC3425" s="34">
        <v>-2</v>
      </c>
      <c r="RCD3425" s="34">
        <v>-3</v>
      </c>
      <c r="RCE3425" s="34">
        <v>-4</v>
      </c>
      <c r="RCF3425" s="34">
        <v>-5</v>
      </c>
      <c r="RCG3425" s="908"/>
      <c r="RCH3425" s="909"/>
      <c r="RCI3425" s="34">
        <v>-5</v>
      </c>
      <c r="RCJ3425" s="34">
        <v>-4.5</v>
      </c>
      <c r="RCK3425" s="34">
        <v>-4</v>
      </c>
      <c r="RCL3425" s="34">
        <v>-3.5</v>
      </c>
      <c r="RCM3425" s="34">
        <v>-3</v>
      </c>
      <c r="RCN3425" s="34">
        <v>-2.5</v>
      </c>
      <c r="RCO3425" s="34">
        <v>-2</v>
      </c>
      <c r="RCP3425" s="34">
        <v>-1.5</v>
      </c>
      <c r="RCQ3425" s="34">
        <v>-1</v>
      </c>
      <c r="RCR3425" s="34">
        <v>-0.5</v>
      </c>
      <c r="RCS3425" s="34">
        <v>0</v>
      </c>
      <c r="RCT3425" s="34">
        <v>0.5</v>
      </c>
      <c r="RCU3425" s="34">
        <v>1</v>
      </c>
      <c r="RCV3425" s="34">
        <v>1.5</v>
      </c>
      <c r="RCW3425" s="34">
        <v>2</v>
      </c>
      <c r="RCX3425" s="34">
        <v>2.5</v>
      </c>
      <c r="RCY3425" s="34">
        <v>3</v>
      </c>
      <c r="RCZ3425" s="34">
        <v>3.5</v>
      </c>
      <c r="RDA3425" s="34">
        <v>4</v>
      </c>
      <c r="RDB3425" s="34">
        <v>4.5</v>
      </c>
      <c r="RDC3425" s="34">
        <v>5</v>
      </c>
      <c r="RDE3425" s="913"/>
      <c r="RDF3425" s="31">
        <v>1</v>
      </c>
      <c r="RDG3425" s="34">
        <v>0</v>
      </c>
      <c r="RDH3425" s="34">
        <v>-1</v>
      </c>
      <c r="RDI3425" s="34">
        <v>-2</v>
      </c>
      <c r="RDJ3425" s="34">
        <v>-3</v>
      </c>
      <c r="RDK3425" s="34">
        <v>-4</v>
      </c>
      <c r="RDL3425" s="34">
        <v>-5</v>
      </c>
      <c r="RDM3425" s="908"/>
      <c r="RDN3425" s="909"/>
      <c r="RDO3425" s="34">
        <v>-5</v>
      </c>
      <c r="RDP3425" s="34">
        <v>-4.5</v>
      </c>
      <c r="RDQ3425" s="34">
        <v>-4</v>
      </c>
      <c r="RDR3425" s="34">
        <v>-3.5</v>
      </c>
      <c r="RDS3425" s="34">
        <v>-3</v>
      </c>
      <c r="RDT3425" s="34">
        <v>-2.5</v>
      </c>
      <c r="RDU3425" s="34">
        <v>-2</v>
      </c>
      <c r="RDV3425" s="34">
        <v>-1.5</v>
      </c>
      <c r="RDW3425" s="34">
        <v>-1</v>
      </c>
      <c r="RDX3425" s="34">
        <v>-0.5</v>
      </c>
      <c r="RDY3425" s="34">
        <v>0</v>
      </c>
      <c r="RDZ3425" s="34">
        <v>0.5</v>
      </c>
      <c r="REA3425" s="34">
        <v>1</v>
      </c>
      <c r="REB3425" s="34">
        <v>1.5</v>
      </c>
      <c r="REC3425" s="34">
        <v>2</v>
      </c>
      <c r="RED3425" s="34">
        <v>2.5</v>
      </c>
      <c r="REE3425" s="34">
        <v>3</v>
      </c>
      <c r="REF3425" s="34">
        <v>3.5</v>
      </c>
      <c r="REG3425" s="34">
        <v>4</v>
      </c>
      <c r="REH3425" s="34">
        <v>4.5</v>
      </c>
      <c r="REI3425" s="34">
        <v>5</v>
      </c>
      <c r="REK3425" s="913"/>
      <c r="REL3425" s="31">
        <v>1</v>
      </c>
      <c r="REM3425" s="34">
        <v>0</v>
      </c>
      <c r="REN3425" s="34">
        <v>-1</v>
      </c>
      <c r="REO3425" s="34">
        <v>-2</v>
      </c>
      <c r="REP3425" s="34">
        <v>-3</v>
      </c>
      <c r="REQ3425" s="34">
        <v>-4</v>
      </c>
      <c r="RER3425" s="34">
        <v>-5</v>
      </c>
      <c r="RES3425" s="908"/>
      <c r="RET3425" s="909"/>
      <c r="REU3425" s="34">
        <v>-5</v>
      </c>
      <c r="REV3425" s="34">
        <v>-4.5</v>
      </c>
      <c r="REW3425" s="34">
        <v>-4</v>
      </c>
      <c r="REX3425" s="34">
        <v>-3.5</v>
      </c>
      <c r="REY3425" s="34">
        <v>-3</v>
      </c>
      <c r="REZ3425" s="34">
        <v>-2.5</v>
      </c>
      <c r="RFA3425" s="34">
        <v>-2</v>
      </c>
      <c r="RFB3425" s="34">
        <v>-1.5</v>
      </c>
      <c r="RFC3425" s="34">
        <v>-1</v>
      </c>
      <c r="RFD3425" s="34">
        <v>-0.5</v>
      </c>
      <c r="RFE3425" s="34">
        <v>0</v>
      </c>
      <c r="RFF3425" s="34">
        <v>0.5</v>
      </c>
      <c r="RFG3425" s="34">
        <v>1</v>
      </c>
      <c r="RFH3425" s="34">
        <v>1.5</v>
      </c>
      <c r="RFI3425" s="34">
        <v>2</v>
      </c>
      <c r="RFJ3425" s="34">
        <v>2.5</v>
      </c>
      <c r="RFK3425" s="34">
        <v>3</v>
      </c>
      <c r="RFL3425" s="34">
        <v>3.5</v>
      </c>
      <c r="RFM3425" s="34">
        <v>4</v>
      </c>
      <c r="RFN3425" s="34">
        <v>4.5</v>
      </c>
      <c r="RFO3425" s="34">
        <v>5</v>
      </c>
      <c r="RFQ3425" s="913"/>
      <c r="RFR3425" s="31">
        <v>1</v>
      </c>
      <c r="RFS3425" s="34">
        <v>0</v>
      </c>
      <c r="RFT3425" s="34">
        <v>-1</v>
      </c>
      <c r="RFU3425" s="34">
        <v>-2</v>
      </c>
      <c r="RFV3425" s="34">
        <v>-3</v>
      </c>
      <c r="RFW3425" s="34">
        <v>-4</v>
      </c>
      <c r="RFX3425" s="34">
        <v>-5</v>
      </c>
      <c r="RFY3425" s="908"/>
      <c r="RFZ3425" s="909"/>
      <c r="RGA3425" s="34">
        <v>-5</v>
      </c>
      <c r="RGB3425" s="34">
        <v>-4.5</v>
      </c>
      <c r="RGC3425" s="34">
        <v>-4</v>
      </c>
      <c r="RGD3425" s="34">
        <v>-3.5</v>
      </c>
      <c r="RGE3425" s="34">
        <v>-3</v>
      </c>
      <c r="RGF3425" s="34">
        <v>-2.5</v>
      </c>
      <c r="RGG3425" s="34">
        <v>-2</v>
      </c>
      <c r="RGH3425" s="34">
        <v>-1.5</v>
      </c>
      <c r="RGI3425" s="34">
        <v>-1</v>
      </c>
      <c r="RGJ3425" s="34">
        <v>-0.5</v>
      </c>
      <c r="RGK3425" s="34">
        <v>0</v>
      </c>
      <c r="RGL3425" s="34">
        <v>0.5</v>
      </c>
      <c r="RGM3425" s="34">
        <v>1</v>
      </c>
      <c r="RGN3425" s="34">
        <v>1.5</v>
      </c>
      <c r="RGO3425" s="34">
        <v>2</v>
      </c>
      <c r="RGP3425" s="34">
        <v>2.5</v>
      </c>
      <c r="RGQ3425" s="34">
        <v>3</v>
      </c>
      <c r="RGR3425" s="34">
        <v>3.5</v>
      </c>
      <c r="RGS3425" s="34">
        <v>4</v>
      </c>
      <c r="RGT3425" s="34">
        <v>4.5</v>
      </c>
      <c r="RGU3425" s="34">
        <v>5</v>
      </c>
      <c r="RGW3425" s="913"/>
      <c r="RGX3425" s="31">
        <v>1</v>
      </c>
      <c r="RGY3425" s="34">
        <v>0</v>
      </c>
      <c r="RGZ3425" s="34">
        <v>-1</v>
      </c>
      <c r="RHA3425" s="34">
        <v>-2</v>
      </c>
      <c r="RHB3425" s="34">
        <v>-3</v>
      </c>
      <c r="RHC3425" s="34">
        <v>-4</v>
      </c>
      <c r="RHD3425" s="34">
        <v>-5</v>
      </c>
      <c r="RHE3425" s="908"/>
      <c r="RHF3425" s="909"/>
      <c r="RHG3425" s="34">
        <v>-5</v>
      </c>
      <c r="RHH3425" s="34">
        <v>-4.5</v>
      </c>
      <c r="RHI3425" s="34">
        <v>-4</v>
      </c>
      <c r="RHJ3425" s="34">
        <v>-3.5</v>
      </c>
      <c r="RHK3425" s="34">
        <v>-3</v>
      </c>
      <c r="RHL3425" s="34">
        <v>-2.5</v>
      </c>
      <c r="RHM3425" s="34">
        <v>-2</v>
      </c>
      <c r="RHN3425" s="34">
        <v>-1.5</v>
      </c>
      <c r="RHO3425" s="34">
        <v>-1</v>
      </c>
      <c r="RHP3425" s="34">
        <v>-0.5</v>
      </c>
      <c r="RHQ3425" s="34">
        <v>0</v>
      </c>
      <c r="RHR3425" s="34">
        <v>0.5</v>
      </c>
      <c r="RHS3425" s="34">
        <v>1</v>
      </c>
      <c r="RHT3425" s="34">
        <v>1.5</v>
      </c>
      <c r="RHU3425" s="34">
        <v>2</v>
      </c>
      <c r="RHV3425" s="34">
        <v>2.5</v>
      </c>
      <c r="RHW3425" s="34">
        <v>3</v>
      </c>
      <c r="RHX3425" s="34">
        <v>3.5</v>
      </c>
      <c r="RHY3425" s="34">
        <v>4</v>
      </c>
      <c r="RHZ3425" s="34">
        <v>4.5</v>
      </c>
      <c r="RIA3425" s="34">
        <v>5</v>
      </c>
      <c r="RIC3425" s="913"/>
      <c r="RID3425" s="31">
        <v>1</v>
      </c>
      <c r="RIE3425" s="34">
        <v>0</v>
      </c>
      <c r="RIF3425" s="34">
        <v>-1</v>
      </c>
      <c r="RIG3425" s="34">
        <v>-2</v>
      </c>
      <c r="RIH3425" s="34">
        <v>-3</v>
      </c>
      <c r="RII3425" s="34">
        <v>-4</v>
      </c>
      <c r="RIJ3425" s="34">
        <v>-5</v>
      </c>
      <c r="RIK3425" s="908"/>
      <c r="RIL3425" s="909"/>
      <c r="RIM3425" s="34">
        <v>-5</v>
      </c>
      <c r="RIN3425" s="34">
        <v>-4.5</v>
      </c>
      <c r="RIO3425" s="34">
        <v>-4</v>
      </c>
      <c r="RIP3425" s="34">
        <v>-3.5</v>
      </c>
      <c r="RIQ3425" s="34">
        <v>-3</v>
      </c>
      <c r="RIR3425" s="34">
        <v>-2.5</v>
      </c>
      <c r="RIS3425" s="34">
        <v>-2</v>
      </c>
      <c r="RIT3425" s="34">
        <v>-1.5</v>
      </c>
      <c r="RIU3425" s="34">
        <v>-1</v>
      </c>
      <c r="RIV3425" s="34">
        <v>-0.5</v>
      </c>
      <c r="RIW3425" s="34">
        <v>0</v>
      </c>
      <c r="RIX3425" s="34">
        <v>0.5</v>
      </c>
      <c r="RIY3425" s="34">
        <v>1</v>
      </c>
      <c r="RIZ3425" s="34">
        <v>1.5</v>
      </c>
      <c r="RJA3425" s="34">
        <v>2</v>
      </c>
      <c r="RJB3425" s="34">
        <v>2.5</v>
      </c>
      <c r="RJC3425" s="34">
        <v>3</v>
      </c>
      <c r="RJD3425" s="34">
        <v>3.5</v>
      </c>
      <c r="RJE3425" s="34">
        <v>4</v>
      </c>
      <c r="RJF3425" s="34">
        <v>4.5</v>
      </c>
      <c r="RJG3425" s="34">
        <v>5</v>
      </c>
      <c r="RJI3425" s="913"/>
      <c r="RJJ3425" s="31">
        <v>1</v>
      </c>
      <c r="RJK3425" s="34">
        <v>0</v>
      </c>
      <c r="RJL3425" s="34">
        <v>-1</v>
      </c>
      <c r="RJM3425" s="34">
        <v>-2</v>
      </c>
      <c r="RJN3425" s="34">
        <v>-3</v>
      </c>
      <c r="RJO3425" s="34">
        <v>-4</v>
      </c>
      <c r="RJP3425" s="34">
        <v>-5</v>
      </c>
      <c r="RJQ3425" s="908"/>
      <c r="RJR3425" s="909"/>
      <c r="RJS3425" s="34">
        <v>-5</v>
      </c>
      <c r="RJT3425" s="34">
        <v>-4.5</v>
      </c>
      <c r="RJU3425" s="34">
        <v>-4</v>
      </c>
      <c r="RJV3425" s="34">
        <v>-3.5</v>
      </c>
      <c r="RJW3425" s="34">
        <v>-3</v>
      </c>
      <c r="RJX3425" s="34">
        <v>-2.5</v>
      </c>
      <c r="RJY3425" s="34">
        <v>-2</v>
      </c>
      <c r="RJZ3425" s="34">
        <v>-1.5</v>
      </c>
      <c r="RKA3425" s="34">
        <v>-1</v>
      </c>
      <c r="RKB3425" s="34">
        <v>-0.5</v>
      </c>
      <c r="RKC3425" s="34">
        <v>0</v>
      </c>
      <c r="RKD3425" s="34">
        <v>0.5</v>
      </c>
      <c r="RKE3425" s="34">
        <v>1</v>
      </c>
      <c r="RKF3425" s="34">
        <v>1.5</v>
      </c>
      <c r="RKG3425" s="34">
        <v>2</v>
      </c>
      <c r="RKH3425" s="34">
        <v>2.5</v>
      </c>
      <c r="RKI3425" s="34">
        <v>3</v>
      </c>
      <c r="RKJ3425" s="34">
        <v>3.5</v>
      </c>
      <c r="RKK3425" s="34">
        <v>4</v>
      </c>
      <c r="RKL3425" s="34">
        <v>4.5</v>
      </c>
      <c r="RKM3425" s="34">
        <v>5</v>
      </c>
      <c r="RKO3425" s="913"/>
      <c r="RKP3425" s="31">
        <v>1</v>
      </c>
      <c r="RKQ3425" s="34">
        <v>0</v>
      </c>
      <c r="RKR3425" s="34">
        <v>-1</v>
      </c>
      <c r="RKS3425" s="34">
        <v>-2</v>
      </c>
      <c r="RKT3425" s="34">
        <v>-3</v>
      </c>
      <c r="RKU3425" s="34">
        <v>-4</v>
      </c>
      <c r="RKV3425" s="34">
        <v>-5</v>
      </c>
      <c r="RKW3425" s="908"/>
      <c r="RKX3425" s="909"/>
      <c r="RKY3425" s="34">
        <v>-5</v>
      </c>
      <c r="RKZ3425" s="34">
        <v>-4.5</v>
      </c>
      <c r="RLA3425" s="34">
        <v>-4</v>
      </c>
      <c r="RLB3425" s="34">
        <v>-3.5</v>
      </c>
      <c r="RLC3425" s="34">
        <v>-3</v>
      </c>
      <c r="RLD3425" s="34">
        <v>-2.5</v>
      </c>
      <c r="RLE3425" s="34">
        <v>-2</v>
      </c>
      <c r="RLF3425" s="34">
        <v>-1.5</v>
      </c>
      <c r="RLG3425" s="34">
        <v>-1</v>
      </c>
      <c r="RLH3425" s="34">
        <v>-0.5</v>
      </c>
      <c r="RLI3425" s="34">
        <v>0</v>
      </c>
      <c r="RLJ3425" s="34">
        <v>0.5</v>
      </c>
      <c r="RLK3425" s="34">
        <v>1</v>
      </c>
      <c r="RLL3425" s="34">
        <v>1.5</v>
      </c>
      <c r="RLM3425" s="34">
        <v>2</v>
      </c>
      <c r="RLN3425" s="34">
        <v>2.5</v>
      </c>
      <c r="RLO3425" s="34">
        <v>3</v>
      </c>
      <c r="RLP3425" s="34">
        <v>3.5</v>
      </c>
      <c r="RLQ3425" s="34">
        <v>4</v>
      </c>
      <c r="RLR3425" s="34">
        <v>4.5</v>
      </c>
      <c r="RLS3425" s="34">
        <v>5</v>
      </c>
      <c r="RLU3425" s="913"/>
      <c r="RLV3425" s="31">
        <v>1</v>
      </c>
      <c r="RLW3425" s="34">
        <v>0</v>
      </c>
      <c r="RLX3425" s="34">
        <v>-1</v>
      </c>
      <c r="RLY3425" s="34">
        <v>-2</v>
      </c>
      <c r="RLZ3425" s="34">
        <v>-3</v>
      </c>
      <c r="RMA3425" s="34">
        <v>-4</v>
      </c>
      <c r="RMB3425" s="34">
        <v>-5</v>
      </c>
      <c r="RMC3425" s="908"/>
      <c r="RMD3425" s="909"/>
      <c r="RME3425" s="34">
        <v>-5</v>
      </c>
      <c r="RMF3425" s="34">
        <v>-4.5</v>
      </c>
      <c r="RMG3425" s="34">
        <v>-4</v>
      </c>
      <c r="RMH3425" s="34">
        <v>-3.5</v>
      </c>
      <c r="RMI3425" s="34">
        <v>-3</v>
      </c>
      <c r="RMJ3425" s="34">
        <v>-2.5</v>
      </c>
      <c r="RMK3425" s="34">
        <v>-2</v>
      </c>
      <c r="RML3425" s="34">
        <v>-1.5</v>
      </c>
      <c r="RMM3425" s="34">
        <v>-1</v>
      </c>
      <c r="RMN3425" s="34">
        <v>-0.5</v>
      </c>
      <c r="RMO3425" s="34">
        <v>0</v>
      </c>
      <c r="RMP3425" s="34">
        <v>0.5</v>
      </c>
      <c r="RMQ3425" s="34">
        <v>1</v>
      </c>
      <c r="RMR3425" s="34">
        <v>1.5</v>
      </c>
      <c r="RMS3425" s="34">
        <v>2</v>
      </c>
      <c r="RMT3425" s="34">
        <v>2.5</v>
      </c>
      <c r="RMU3425" s="34">
        <v>3</v>
      </c>
      <c r="RMV3425" s="34">
        <v>3.5</v>
      </c>
      <c r="RMW3425" s="34">
        <v>4</v>
      </c>
      <c r="RMX3425" s="34">
        <v>4.5</v>
      </c>
      <c r="RMY3425" s="34">
        <v>5</v>
      </c>
      <c r="RNA3425" s="913"/>
      <c r="RNB3425" s="31">
        <v>1</v>
      </c>
      <c r="RNC3425" s="34">
        <v>0</v>
      </c>
      <c r="RND3425" s="34">
        <v>-1</v>
      </c>
      <c r="RNE3425" s="34">
        <v>-2</v>
      </c>
      <c r="RNF3425" s="34">
        <v>-3</v>
      </c>
      <c r="RNG3425" s="34">
        <v>-4</v>
      </c>
      <c r="RNH3425" s="34">
        <v>-5</v>
      </c>
      <c r="RNI3425" s="908"/>
      <c r="RNJ3425" s="909"/>
      <c r="RNK3425" s="34">
        <v>-5</v>
      </c>
      <c r="RNL3425" s="34">
        <v>-4.5</v>
      </c>
      <c r="RNM3425" s="34">
        <v>-4</v>
      </c>
      <c r="RNN3425" s="34">
        <v>-3.5</v>
      </c>
      <c r="RNO3425" s="34">
        <v>-3</v>
      </c>
      <c r="RNP3425" s="34">
        <v>-2.5</v>
      </c>
      <c r="RNQ3425" s="34">
        <v>-2</v>
      </c>
      <c r="RNR3425" s="34">
        <v>-1.5</v>
      </c>
      <c r="RNS3425" s="34">
        <v>-1</v>
      </c>
      <c r="RNT3425" s="34">
        <v>-0.5</v>
      </c>
      <c r="RNU3425" s="34">
        <v>0</v>
      </c>
      <c r="RNV3425" s="34">
        <v>0.5</v>
      </c>
      <c r="RNW3425" s="34">
        <v>1</v>
      </c>
      <c r="RNX3425" s="34">
        <v>1.5</v>
      </c>
      <c r="RNY3425" s="34">
        <v>2</v>
      </c>
      <c r="RNZ3425" s="34">
        <v>2.5</v>
      </c>
      <c r="ROA3425" s="34">
        <v>3</v>
      </c>
      <c r="ROB3425" s="34">
        <v>3.5</v>
      </c>
      <c r="ROC3425" s="34">
        <v>4</v>
      </c>
      <c r="ROD3425" s="34">
        <v>4.5</v>
      </c>
      <c r="ROE3425" s="34">
        <v>5</v>
      </c>
      <c r="ROG3425" s="913"/>
      <c r="ROH3425" s="31">
        <v>1</v>
      </c>
      <c r="ROI3425" s="34">
        <v>0</v>
      </c>
      <c r="ROJ3425" s="34">
        <v>-1</v>
      </c>
      <c r="ROK3425" s="34">
        <v>-2</v>
      </c>
      <c r="ROL3425" s="34">
        <v>-3</v>
      </c>
      <c r="ROM3425" s="34">
        <v>-4</v>
      </c>
      <c r="RON3425" s="34">
        <v>-5</v>
      </c>
      <c r="ROO3425" s="908"/>
      <c r="ROP3425" s="909"/>
      <c r="ROQ3425" s="34">
        <v>-5</v>
      </c>
      <c r="ROR3425" s="34">
        <v>-4.5</v>
      </c>
      <c r="ROS3425" s="34">
        <v>-4</v>
      </c>
      <c r="ROT3425" s="34">
        <v>-3.5</v>
      </c>
      <c r="ROU3425" s="34">
        <v>-3</v>
      </c>
      <c r="ROV3425" s="34">
        <v>-2.5</v>
      </c>
      <c r="ROW3425" s="34">
        <v>-2</v>
      </c>
      <c r="ROX3425" s="34">
        <v>-1.5</v>
      </c>
      <c r="ROY3425" s="34">
        <v>-1</v>
      </c>
      <c r="ROZ3425" s="34">
        <v>-0.5</v>
      </c>
      <c r="RPA3425" s="34">
        <v>0</v>
      </c>
      <c r="RPB3425" s="34">
        <v>0.5</v>
      </c>
      <c r="RPC3425" s="34">
        <v>1</v>
      </c>
      <c r="RPD3425" s="34">
        <v>1.5</v>
      </c>
      <c r="RPE3425" s="34">
        <v>2</v>
      </c>
      <c r="RPF3425" s="34">
        <v>2.5</v>
      </c>
      <c r="RPG3425" s="34">
        <v>3</v>
      </c>
      <c r="RPH3425" s="34">
        <v>3.5</v>
      </c>
      <c r="RPI3425" s="34">
        <v>4</v>
      </c>
      <c r="RPJ3425" s="34">
        <v>4.5</v>
      </c>
      <c r="RPK3425" s="34">
        <v>5</v>
      </c>
      <c r="RPM3425" s="913"/>
      <c r="RPN3425" s="31">
        <v>1</v>
      </c>
      <c r="RPO3425" s="34">
        <v>0</v>
      </c>
      <c r="RPP3425" s="34">
        <v>-1</v>
      </c>
      <c r="RPQ3425" s="34">
        <v>-2</v>
      </c>
      <c r="RPR3425" s="34">
        <v>-3</v>
      </c>
      <c r="RPS3425" s="34">
        <v>-4</v>
      </c>
      <c r="RPT3425" s="34">
        <v>-5</v>
      </c>
      <c r="RPU3425" s="908"/>
      <c r="RPV3425" s="909"/>
      <c r="RPW3425" s="34">
        <v>-5</v>
      </c>
      <c r="RPX3425" s="34">
        <v>-4.5</v>
      </c>
      <c r="RPY3425" s="34">
        <v>-4</v>
      </c>
      <c r="RPZ3425" s="34">
        <v>-3.5</v>
      </c>
      <c r="RQA3425" s="34">
        <v>-3</v>
      </c>
      <c r="RQB3425" s="34">
        <v>-2.5</v>
      </c>
      <c r="RQC3425" s="34">
        <v>-2</v>
      </c>
      <c r="RQD3425" s="34">
        <v>-1.5</v>
      </c>
      <c r="RQE3425" s="34">
        <v>-1</v>
      </c>
      <c r="RQF3425" s="34">
        <v>-0.5</v>
      </c>
      <c r="RQG3425" s="34">
        <v>0</v>
      </c>
      <c r="RQH3425" s="34">
        <v>0.5</v>
      </c>
      <c r="RQI3425" s="34">
        <v>1</v>
      </c>
      <c r="RQJ3425" s="34">
        <v>1.5</v>
      </c>
      <c r="RQK3425" s="34">
        <v>2</v>
      </c>
      <c r="RQL3425" s="34">
        <v>2.5</v>
      </c>
      <c r="RQM3425" s="34">
        <v>3</v>
      </c>
      <c r="RQN3425" s="34">
        <v>3.5</v>
      </c>
      <c r="RQO3425" s="34">
        <v>4</v>
      </c>
      <c r="RQP3425" s="34">
        <v>4.5</v>
      </c>
      <c r="RQQ3425" s="34">
        <v>5</v>
      </c>
      <c r="RQS3425" s="913"/>
      <c r="RQT3425" s="31">
        <v>1</v>
      </c>
      <c r="RQU3425" s="34">
        <v>0</v>
      </c>
      <c r="RQV3425" s="34">
        <v>-1</v>
      </c>
      <c r="RQW3425" s="34">
        <v>-2</v>
      </c>
      <c r="RQX3425" s="34">
        <v>-3</v>
      </c>
      <c r="RQY3425" s="34">
        <v>-4</v>
      </c>
      <c r="RQZ3425" s="34">
        <v>-5</v>
      </c>
      <c r="RRA3425" s="908"/>
      <c r="RRB3425" s="909"/>
      <c r="RRC3425" s="34">
        <v>-5</v>
      </c>
      <c r="RRD3425" s="34">
        <v>-4.5</v>
      </c>
      <c r="RRE3425" s="34">
        <v>-4</v>
      </c>
      <c r="RRF3425" s="34">
        <v>-3.5</v>
      </c>
      <c r="RRG3425" s="34">
        <v>-3</v>
      </c>
      <c r="RRH3425" s="34">
        <v>-2.5</v>
      </c>
      <c r="RRI3425" s="34">
        <v>-2</v>
      </c>
      <c r="RRJ3425" s="34">
        <v>-1.5</v>
      </c>
      <c r="RRK3425" s="34">
        <v>-1</v>
      </c>
      <c r="RRL3425" s="34">
        <v>-0.5</v>
      </c>
      <c r="RRM3425" s="34">
        <v>0</v>
      </c>
      <c r="RRN3425" s="34">
        <v>0.5</v>
      </c>
      <c r="RRO3425" s="34">
        <v>1</v>
      </c>
      <c r="RRP3425" s="34">
        <v>1.5</v>
      </c>
      <c r="RRQ3425" s="34">
        <v>2</v>
      </c>
      <c r="RRR3425" s="34">
        <v>2.5</v>
      </c>
      <c r="RRS3425" s="34">
        <v>3</v>
      </c>
      <c r="RRT3425" s="34">
        <v>3.5</v>
      </c>
      <c r="RRU3425" s="34">
        <v>4</v>
      </c>
      <c r="RRV3425" s="34">
        <v>4.5</v>
      </c>
      <c r="RRW3425" s="34">
        <v>5</v>
      </c>
      <c r="RRY3425" s="913"/>
      <c r="RRZ3425" s="31">
        <v>1</v>
      </c>
      <c r="RSA3425" s="34">
        <v>0</v>
      </c>
      <c r="RSB3425" s="34">
        <v>-1</v>
      </c>
      <c r="RSC3425" s="34">
        <v>-2</v>
      </c>
      <c r="RSD3425" s="34">
        <v>-3</v>
      </c>
      <c r="RSE3425" s="34">
        <v>-4</v>
      </c>
      <c r="RSF3425" s="34">
        <v>-5</v>
      </c>
      <c r="RSG3425" s="908"/>
      <c r="RSH3425" s="909"/>
      <c r="RSI3425" s="34">
        <v>-5</v>
      </c>
      <c r="RSJ3425" s="34">
        <v>-4.5</v>
      </c>
      <c r="RSK3425" s="34">
        <v>-4</v>
      </c>
      <c r="RSL3425" s="34">
        <v>-3.5</v>
      </c>
      <c r="RSM3425" s="34">
        <v>-3</v>
      </c>
      <c r="RSN3425" s="34">
        <v>-2.5</v>
      </c>
      <c r="RSO3425" s="34">
        <v>-2</v>
      </c>
      <c r="RSP3425" s="34">
        <v>-1.5</v>
      </c>
      <c r="RSQ3425" s="34">
        <v>-1</v>
      </c>
      <c r="RSR3425" s="34">
        <v>-0.5</v>
      </c>
      <c r="RSS3425" s="34">
        <v>0</v>
      </c>
      <c r="RST3425" s="34">
        <v>0.5</v>
      </c>
      <c r="RSU3425" s="34">
        <v>1</v>
      </c>
      <c r="RSV3425" s="34">
        <v>1.5</v>
      </c>
      <c r="RSW3425" s="34">
        <v>2</v>
      </c>
      <c r="RSX3425" s="34">
        <v>2.5</v>
      </c>
      <c r="RSY3425" s="34">
        <v>3</v>
      </c>
      <c r="RSZ3425" s="34">
        <v>3.5</v>
      </c>
      <c r="RTA3425" s="34">
        <v>4</v>
      </c>
      <c r="RTB3425" s="34">
        <v>4.5</v>
      </c>
      <c r="RTC3425" s="34">
        <v>5</v>
      </c>
      <c r="RTE3425" s="913"/>
      <c r="RTF3425" s="31">
        <v>1</v>
      </c>
      <c r="RTG3425" s="34">
        <v>0</v>
      </c>
      <c r="RTH3425" s="34">
        <v>-1</v>
      </c>
      <c r="RTI3425" s="34">
        <v>-2</v>
      </c>
      <c r="RTJ3425" s="34">
        <v>-3</v>
      </c>
      <c r="RTK3425" s="34">
        <v>-4</v>
      </c>
      <c r="RTL3425" s="34">
        <v>-5</v>
      </c>
      <c r="RTM3425" s="908"/>
      <c r="RTN3425" s="909"/>
      <c r="RTO3425" s="34">
        <v>-5</v>
      </c>
      <c r="RTP3425" s="34">
        <v>-4.5</v>
      </c>
      <c r="RTQ3425" s="34">
        <v>-4</v>
      </c>
      <c r="RTR3425" s="34">
        <v>-3.5</v>
      </c>
      <c r="RTS3425" s="34">
        <v>-3</v>
      </c>
      <c r="RTT3425" s="34">
        <v>-2.5</v>
      </c>
      <c r="RTU3425" s="34">
        <v>-2</v>
      </c>
      <c r="RTV3425" s="34">
        <v>-1.5</v>
      </c>
      <c r="RTW3425" s="34">
        <v>-1</v>
      </c>
      <c r="RTX3425" s="34">
        <v>-0.5</v>
      </c>
      <c r="RTY3425" s="34">
        <v>0</v>
      </c>
      <c r="RTZ3425" s="34">
        <v>0.5</v>
      </c>
      <c r="RUA3425" s="34">
        <v>1</v>
      </c>
      <c r="RUB3425" s="34">
        <v>1.5</v>
      </c>
      <c r="RUC3425" s="34">
        <v>2</v>
      </c>
      <c r="RUD3425" s="34">
        <v>2.5</v>
      </c>
      <c r="RUE3425" s="34">
        <v>3</v>
      </c>
      <c r="RUF3425" s="34">
        <v>3.5</v>
      </c>
      <c r="RUG3425" s="34">
        <v>4</v>
      </c>
      <c r="RUH3425" s="34">
        <v>4.5</v>
      </c>
      <c r="RUI3425" s="34">
        <v>5</v>
      </c>
      <c r="RUK3425" s="913"/>
      <c r="RUL3425" s="31">
        <v>1</v>
      </c>
      <c r="RUM3425" s="34">
        <v>0</v>
      </c>
      <c r="RUN3425" s="34">
        <v>-1</v>
      </c>
      <c r="RUO3425" s="34">
        <v>-2</v>
      </c>
      <c r="RUP3425" s="34">
        <v>-3</v>
      </c>
      <c r="RUQ3425" s="34">
        <v>-4</v>
      </c>
      <c r="RUR3425" s="34">
        <v>-5</v>
      </c>
      <c r="RUS3425" s="908"/>
      <c r="RUT3425" s="909"/>
      <c r="RUU3425" s="34">
        <v>-5</v>
      </c>
      <c r="RUV3425" s="34">
        <v>-4.5</v>
      </c>
      <c r="RUW3425" s="34">
        <v>-4</v>
      </c>
      <c r="RUX3425" s="34">
        <v>-3.5</v>
      </c>
      <c r="RUY3425" s="34">
        <v>-3</v>
      </c>
      <c r="RUZ3425" s="34">
        <v>-2.5</v>
      </c>
      <c r="RVA3425" s="34">
        <v>-2</v>
      </c>
      <c r="RVB3425" s="34">
        <v>-1.5</v>
      </c>
      <c r="RVC3425" s="34">
        <v>-1</v>
      </c>
      <c r="RVD3425" s="34">
        <v>-0.5</v>
      </c>
      <c r="RVE3425" s="34">
        <v>0</v>
      </c>
      <c r="RVF3425" s="34">
        <v>0.5</v>
      </c>
      <c r="RVG3425" s="34">
        <v>1</v>
      </c>
      <c r="RVH3425" s="34">
        <v>1.5</v>
      </c>
      <c r="RVI3425" s="34">
        <v>2</v>
      </c>
      <c r="RVJ3425" s="34">
        <v>2.5</v>
      </c>
      <c r="RVK3425" s="34">
        <v>3</v>
      </c>
      <c r="RVL3425" s="34">
        <v>3.5</v>
      </c>
      <c r="RVM3425" s="34">
        <v>4</v>
      </c>
      <c r="RVN3425" s="34">
        <v>4.5</v>
      </c>
      <c r="RVO3425" s="34">
        <v>5</v>
      </c>
      <c r="RVQ3425" s="913"/>
      <c r="RVR3425" s="31">
        <v>1</v>
      </c>
      <c r="RVS3425" s="34">
        <v>0</v>
      </c>
      <c r="RVT3425" s="34">
        <v>-1</v>
      </c>
      <c r="RVU3425" s="34">
        <v>-2</v>
      </c>
      <c r="RVV3425" s="34">
        <v>-3</v>
      </c>
      <c r="RVW3425" s="34">
        <v>-4</v>
      </c>
      <c r="RVX3425" s="34">
        <v>-5</v>
      </c>
      <c r="RVY3425" s="908"/>
      <c r="RVZ3425" s="909"/>
      <c r="RWA3425" s="34">
        <v>-5</v>
      </c>
      <c r="RWB3425" s="34">
        <v>-4.5</v>
      </c>
      <c r="RWC3425" s="34">
        <v>-4</v>
      </c>
      <c r="RWD3425" s="34">
        <v>-3.5</v>
      </c>
      <c r="RWE3425" s="34">
        <v>-3</v>
      </c>
      <c r="RWF3425" s="34">
        <v>-2.5</v>
      </c>
      <c r="RWG3425" s="34">
        <v>-2</v>
      </c>
      <c r="RWH3425" s="34">
        <v>-1.5</v>
      </c>
      <c r="RWI3425" s="34">
        <v>-1</v>
      </c>
      <c r="RWJ3425" s="34">
        <v>-0.5</v>
      </c>
      <c r="RWK3425" s="34">
        <v>0</v>
      </c>
      <c r="RWL3425" s="34">
        <v>0.5</v>
      </c>
      <c r="RWM3425" s="34">
        <v>1</v>
      </c>
      <c r="RWN3425" s="34">
        <v>1.5</v>
      </c>
      <c r="RWO3425" s="34">
        <v>2</v>
      </c>
      <c r="RWP3425" s="34">
        <v>2.5</v>
      </c>
      <c r="RWQ3425" s="34">
        <v>3</v>
      </c>
      <c r="RWR3425" s="34">
        <v>3.5</v>
      </c>
      <c r="RWS3425" s="34">
        <v>4</v>
      </c>
      <c r="RWT3425" s="34">
        <v>4.5</v>
      </c>
      <c r="RWU3425" s="34">
        <v>5</v>
      </c>
      <c r="RWW3425" s="913"/>
      <c r="RWX3425" s="31">
        <v>1</v>
      </c>
      <c r="RWY3425" s="34">
        <v>0</v>
      </c>
      <c r="RWZ3425" s="34">
        <v>-1</v>
      </c>
      <c r="RXA3425" s="34">
        <v>-2</v>
      </c>
      <c r="RXB3425" s="34">
        <v>-3</v>
      </c>
      <c r="RXC3425" s="34">
        <v>-4</v>
      </c>
      <c r="RXD3425" s="34">
        <v>-5</v>
      </c>
      <c r="RXE3425" s="908"/>
      <c r="RXF3425" s="909"/>
      <c r="RXG3425" s="34">
        <v>-5</v>
      </c>
      <c r="RXH3425" s="34">
        <v>-4.5</v>
      </c>
      <c r="RXI3425" s="34">
        <v>-4</v>
      </c>
      <c r="RXJ3425" s="34">
        <v>-3.5</v>
      </c>
      <c r="RXK3425" s="34">
        <v>-3</v>
      </c>
      <c r="RXL3425" s="34">
        <v>-2.5</v>
      </c>
      <c r="RXM3425" s="34">
        <v>-2</v>
      </c>
      <c r="RXN3425" s="34">
        <v>-1.5</v>
      </c>
      <c r="RXO3425" s="34">
        <v>-1</v>
      </c>
      <c r="RXP3425" s="34">
        <v>-0.5</v>
      </c>
      <c r="RXQ3425" s="34">
        <v>0</v>
      </c>
      <c r="RXR3425" s="34">
        <v>0.5</v>
      </c>
      <c r="RXS3425" s="34">
        <v>1</v>
      </c>
      <c r="RXT3425" s="34">
        <v>1.5</v>
      </c>
      <c r="RXU3425" s="34">
        <v>2</v>
      </c>
      <c r="RXV3425" s="34">
        <v>2.5</v>
      </c>
      <c r="RXW3425" s="34">
        <v>3</v>
      </c>
      <c r="RXX3425" s="34">
        <v>3.5</v>
      </c>
      <c r="RXY3425" s="34">
        <v>4</v>
      </c>
      <c r="RXZ3425" s="34">
        <v>4.5</v>
      </c>
      <c r="RYA3425" s="34">
        <v>5</v>
      </c>
      <c r="RYC3425" s="913"/>
      <c r="RYD3425" s="31">
        <v>1</v>
      </c>
      <c r="RYE3425" s="34">
        <v>0</v>
      </c>
      <c r="RYF3425" s="34">
        <v>-1</v>
      </c>
      <c r="RYG3425" s="34">
        <v>-2</v>
      </c>
      <c r="RYH3425" s="34">
        <v>-3</v>
      </c>
      <c r="RYI3425" s="34">
        <v>-4</v>
      </c>
      <c r="RYJ3425" s="34">
        <v>-5</v>
      </c>
      <c r="RYK3425" s="908"/>
      <c r="RYL3425" s="909"/>
      <c r="RYM3425" s="34">
        <v>-5</v>
      </c>
      <c r="RYN3425" s="34">
        <v>-4.5</v>
      </c>
      <c r="RYO3425" s="34">
        <v>-4</v>
      </c>
      <c r="RYP3425" s="34">
        <v>-3.5</v>
      </c>
      <c r="RYQ3425" s="34">
        <v>-3</v>
      </c>
      <c r="RYR3425" s="34">
        <v>-2.5</v>
      </c>
      <c r="RYS3425" s="34">
        <v>-2</v>
      </c>
      <c r="RYT3425" s="34">
        <v>-1.5</v>
      </c>
      <c r="RYU3425" s="34">
        <v>-1</v>
      </c>
      <c r="RYV3425" s="34">
        <v>-0.5</v>
      </c>
      <c r="RYW3425" s="34">
        <v>0</v>
      </c>
      <c r="RYX3425" s="34">
        <v>0.5</v>
      </c>
      <c r="RYY3425" s="34">
        <v>1</v>
      </c>
      <c r="RYZ3425" s="34">
        <v>1.5</v>
      </c>
      <c r="RZA3425" s="34">
        <v>2</v>
      </c>
      <c r="RZB3425" s="34">
        <v>2.5</v>
      </c>
      <c r="RZC3425" s="34">
        <v>3</v>
      </c>
      <c r="RZD3425" s="34">
        <v>3.5</v>
      </c>
      <c r="RZE3425" s="34">
        <v>4</v>
      </c>
      <c r="RZF3425" s="34">
        <v>4.5</v>
      </c>
      <c r="RZG3425" s="34">
        <v>5</v>
      </c>
      <c r="RZI3425" s="913"/>
      <c r="RZJ3425" s="31">
        <v>1</v>
      </c>
      <c r="RZK3425" s="34">
        <v>0</v>
      </c>
      <c r="RZL3425" s="34">
        <v>-1</v>
      </c>
      <c r="RZM3425" s="34">
        <v>-2</v>
      </c>
      <c r="RZN3425" s="34">
        <v>-3</v>
      </c>
      <c r="RZO3425" s="34">
        <v>-4</v>
      </c>
      <c r="RZP3425" s="34">
        <v>-5</v>
      </c>
      <c r="RZQ3425" s="908"/>
      <c r="RZR3425" s="909"/>
      <c r="RZS3425" s="34">
        <v>-5</v>
      </c>
      <c r="RZT3425" s="34">
        <v>-4.5</v>
      </c>
      <c r="RZU3425" s="34">
        <v>-4</v>
      </c>
      <c r="RZV3425" s="34">
        <v>-3.5</v>
      </c>
      <c r="RZW3425" s="34">
        <v>-3</v>
      </c>
      <c r="RZX3425" s="34">
        <v>-2.5</v>
      </c>
      <c r="RZY3425" s="34">
        <v>-2</v>
      </c>
      <c r="RZZ3425" s="34">
        <v>-1.5</v>
      </c>
      <c r="SAA3425" s="34">
        <v>-1</v>
      </c>
      <c r="SAB3425" s="34">
        <v>-0.5</v>
      </c>
      <c r="SAC3425" s="34">
        <v>0</v>
      </c>
      <c r="SAD3425" s="34">
        <v>0.5</v>
      </c>
      <c r="SAE3425" s="34">
        <v>1</v>
      </c>
      <c r="SAF3425" s="34">
        <v>1.5</v>
      </c>
      <c r="SAG3425" s="34">
        <v>2</v>
      </c>
      <c r="SAH3425" s="34">
        <v>2.5</v>
      </c>
      <c r="SAI3425" s="34">
        <v>3</v>
      </c>
      <c r="SAJ3425" s="34">
        <v>3.5</v>
      </c>
      <c r="SAK3425" s="34">
        <v>4</v>
      </c>
      <c r="SAL3425" s="34">
        <v>4.5</v>
      </c>
      <c r="SAM3425" s="34">
        <v>5</v>
      </c>
      <c r="SAO3425" s="913"/>
      <c r="SAP3425" s="31">
        <v>1</v>
      </c>
      <c r="SAQ3425" s="34">
        <v>0</v>
      </c>
      <c r="SAR3425" s="34">
        <v>-1</v>
      </c>
      <c r="SAS3425" s="34">
        <v>-2</v>
      </c>
      <c r="SAT3425" s="34">
        <v>-3</v>
      </c>
      <c r="SAU3425" s="34">
        <v>-4</v>
      </c>
      <c r="SAV3425" s="34">
        <v>-5</v>
      </c>
      <c r="SAW3425" s="908"/>
      <c r="SAX3425" s="909"/>
      <c r="SAY3425" s="34">
        <v>-5</v>
      </c>
      <c r="SAZ3425" s="34">
        <v>-4.5</v>
      </c>
      <c r="SBA3425" s="34">
        <v>-4</v>
      </c>
      <c r="SBB3425" s="34">
        <v>-3.5</v>
      </c>
      <c r="SBC3425" s="34">
        <v>-3</v>
      </c>
      <c r="SBD3425" s="34">
        <v>-2.5</v>
      </c>
      <c r="SBE3425" s="34">
        <v>-2</v>
      </c>
      <c r="SBF3425" s="34">
        <v>-1.5</v>
      </c>
      <c r="SBG3425" s="34">
        <v>-1</v>
      </c>
      <c r="SBH3425" s="34">
        <v>-0.5</v>
      </c>
      <c r="SBI3425" s="34">
        <v>0</v>
      </c>
      <c r="SBJ3425" s="34">
        <v>0.5</v>
      </c>
      <c r="SBK3425" s="34">
        <v>1</v>
      </c>
      <c r="SBL3425" s="34">
        <v>1.5</v>
      </c>
      <c r="SBM3425" s="34">
        <v>2</v>
      </c>
      <c r="SBN3425" s="34">
        <v>2.5</v>
      </c>
      <c r="SBO3425" s="34">
        <v>3</v>
      </c>
      <c r="SBP3425" s="34">
        <v>3.5</v>
      </c>
      <c r="SBQ3425" s="34">
        <v>4</v>
      </c>
      <c r="SBR3425" s="34">
        <v>4.5</v>
      </c>
      <c r="SBS3425" s="34">
        <v>5</v>
      </c>
      <c r="SBU3425" s="913"/>
      <c r="SBV3425" s="31">
        <v>1</v>
      </c>
      <c r="SBW3425" s="34">
        <v>0</v>
      </c>
      <c r="SBX3425" s="34">
        <v>-1</v>
      </c>
      <c r="SBY3425" s="34">
        <v>-2</v>
      </c>
      <c r="SBZ3425" s="34">
        <v>-3</v>
      </c>
      <c r="SCA3425" s="34">
        <v>-4</v>
      </c>
      <c r="SCB3425" s="34">
        <v>-5</v>
      </c>
      <c r="SCC3425" s="908"/>
      <c r="SCD3425" s="909"/>
      <c r="SCE3425" s="34">
        <v>-5</v>
      </c>
      <c r="SCF3425" s="34">
        <v>-4.5</v>
      </c>
      <c r="SCG3425" s="34">
        <v>-4</v>
      </c>
      <c r="SCH3425" s="34">
        <v>-3.5</v>
      </c>
      <c r="SCI3425" s="34">
        <v>-3</v>
      </c>
      <c r="SCJ3425" s="34">
        <v>-2.5</v>
      </c>
      <c r="SCK3425" s="34">
        <v>-2</v>
      </c>
      <c r="SCL3425" s="34">
        <v>-1.5</v>
      </c>
      <c r="SCM3425" s="34">
        <v>-1</v>
      </c>
      <c r="SCN3425" s="34">
        <v>-0.5</v>
      </c>
      <c r="SCO3425" s="34">
        <v>0</v>
      </c>
      <c r="SCP3425" s="34">
        <v>0.5</v>
      </c>
      <c r="SCQ3425" s="34">
        <v>1</v>
      </c>
      <c r="SCR3425" s="34">
        <v>1.5</v>
      </c>
      <c r="SCS3425" s="34">
        <v>2</v>
      </c>
      <c r="SCT3425" s="34">
        <v>2.5</v>
      </c>
      <c r="SCU3425" s="34">
        <v>3</v>
      </c>
      <c r="SCV3425" s="34">
        <v>3.5</v>
      </c>
      <c r="SCW3425" s="34">
        <v>4</v>
      </c>
      <c r="SCX3425" s="34">
        <v>4.5</v>
      </c>
      <c r="SCY3425" s="34">
        <v>5</v>
      </c>
      <c r="SDA3425" s="913"/>
      <c r="SDB3425" s="31">
        <v>1</v>
      </c>
      <c r="SDC3425" s="34">
        <v>0</v>
      </c>
      <c r="SDD3425" s="34">
        <v>-1</v>
      </c>
      <c r="SDE3425" s="34">
        <v>-2</v>
      </c>
      <c r="SDF3425" s="34">
        <v>-3</v>
      </c>
      <c r="SDG3425" s="34">
        <v>-4</v>
      </c>
      <c r="SDH3425" s="34">
        <v>-5</v>
      </c>
      <c r="SDI3425" s="908"/>
      <c r="SDJ3425" s="909"/>
      <c r="SDK3425" s="34">
        <v>-5</v>
      </c>
      <c r="SDL3425" s="34">
        <v>-4.5</v>
      </c>
      <c r="SDM3425" s="34">
        <v>-4</v>
      </c>
      <c r="SDN3425" s="34">
        <v>-3.5</v>
      </c>
      <c r="SDO3425" s="34">
        <v>-3</v>
      </c>
      <c r="SDP3425" s="34">
        <v>-2.5</v>
      </c>
      <c r="SDQ3425" s="34">
        <v>-2</v>
      </c>
      <c r="SDR3425" s="34">
        <v>-1.5</v>
      </c>
      <c r="SDS3425" s="34">
        <v>-1</v>
      </c>
      <c r="SDT3425" s="34">
        <v>-0.5</v>
      </c>
      <c r="SDU3425" s="34">
        <v>0</v>
      </c>
      <c r="SDV3425" s="34">
        <v>0.5</v>
      </c>
      <c r="SDW3425" s="34">
        <v>1</v>
      </c>
      <c r="SDX3425" s="34">
        <v>1.5</v>
      </c>
      <c r="SDY3425" s="34">
        <v>2</v>
      </c>
      <c r="SDZ3425" s="34">
        <v>2.5</v>
      </c>
      <c r="SEA3425" s="34">
        <v>3</v>
      </c>
      <c r="SEB3425" s="34">
        <v>3.5</v>
      </c>
      <c r="SEC3425" s="34">
        <v>4</v>
      </c>
      <c r="SED3425" s="34">
        <v>4.5</v>
      </c>
      <c r="SEE3425" s="34">
        <v>5</v>
      </c>
      <c r="SEG3425" s="913"/>
      <c r="SEH3425" s="31">
        <v>1</v>
      </c>
      <c r="SEI3425" s="34">
        <v>0</v>
      </c>
      <c r="SEJ3425" s="34">
        <v>-1</v>
      </c>
      <c r="SEK3425" s="34">
        <v>-2</v>
      </c>
      <c r="SEL3425" s="34">
        <v>-3</v>
      </c>
      <c r="SEM3425" s="34">
        <v>-4</v>
      </c>
      <c r="SEN3425" s="34">
        <v>-5</v>
      </c>
      <c r="SEO3425" s="908"/>
      <c r="SEP3425" s="909"/>
      <c r="SEQ3425" s="34">
        <v>-5</v>
      </c>
      <c r="SER3425" s="34">
        <v>-4.5</v>
      </c>
      <c r="SES3425" s="34">
        <v>-4</v>
      </c>
      <c r="SET3425" s="34">
        <v>-3.5</v>
      </c>
      <c r="SEU3425" s="34">
        <v>-3</v>
      </c>
      <c r="SEV3425" s="34">
        <v>-2.5</v>
      </c>
      <c r="SEW3425" s="34">
        <v>-2</v>
      </c>
      <c r="SEX3425" s="34">
        <v>-1.5</v>
      </c>
      <c r="SEY3425" s="34">
        <v>-1</v>
      </c>
      <c r="SEZ3425" s="34">
        <v>-0.5</v>
      </c>
      <c r="SFA3425" s="34">
        <v>0</v>
      </c>
      <c r="SFB3425" s="34">
        <v>0.5</v>
      </c>
      <c r="SFC3425" s="34">
        <v>1</v>
      </c>
      <c r="SFD3425" s="34">
        <v>1.5</v>
      </c>
      <c r="SFE3425" s="34">
        <v>2</v>
      </c>
      <c r="SFF3425" s="34">
        <v>2.5</v>
      </c>
      <c r="SFG3425" s="34">
        <v>3</v>
      </c>
      <c r="SFH3425" s="34">
        <v>3.5</v>
      </c>
      <c r="SFI3425" s="34">
        <v>4</v>
      </c>
      <c r="SFJ3425" s="34">
        <v>4.5</v>
      </c>
      <c r="SFK3425" s="34">
        <v>5</v>
      </c>
      <c r="SFM3425" s="913"/>
      <c r="SFN3425" s="31">
        <v>1</v>
      </c>
      <c r="SFO3425" s="34">
        <v>0</v>
      </c>
      <c r="SFP3425" s="34">
        <v>-1</v>
      </c>
      <c r="SFQ3425" s="34">
        <v>-2</v>
      </c>
      <c r="SFR3425" s="34">
        <v>-3</v>
      </c>
      <c r="SFS3425" s="34">
        <v>-4</v>
      </c>
      <c r="SFT3425" s="34">
        <v>-5</v>
      </c>
      <c r="SFU3425" s="908"/>
      <c r="SFV3425" s="909"/>
      <c r="SFW3425" s="34">
        <v>-5</v>
      </c>
      <c r="SFX3425" s="34">
        <v>-4.5</v>
      </c>
      <c r="SFY3425" s="34">
        <v>-4</v>
      </c>
      <c r="SFZ3425" s="34">
        <v>-3.5</v>
      </c>
      <c r="SGA3425" s="34">
        <v>-3</v>
      </c>
      <c r="SGB3425" s="34">
        <v>-2.5</v>
      </c>
      <c r="SGC3425" s="34">
        <v>-2</v>
      </c>
      <c r="SGD3425" s="34">
        <v>-1.5</v>
      </c>
      <c r="SGE3425" s="34">
        <v>-1</v>
      </c>
      <c r="SGF3425" s="34">
        <v>-0.5</v>
      </c>
      <c r="SGG3425" s="34">
        <v>0</v>
      </c>
      <c r="SGH3425" s="34">
        <v>0.5</v>
      </c>
      <c r="SGI3425" s="34">
        <v>1</v>
      </c>
      <c r="SGJ3425" s="34">
        <v>1.5</v>
      </c>
      <c r="SGK3425" s="34">
        <v>2</v>
      </c>
      <c r="SGL3425" s="34">
        <v>2.5</v>
      </c>
      <c r="SGM3425" s="34">
        <v>3</v>
      </c>
      <c r="SGN3425" s="34">
        <v>3.5</v>
      </c>
      <c r="SGO3425" s="34">
        <v>4</v>
      </c>
      <c r="SGP3425" s="34">
        <v>4.5</v>
      </c>
      <c r="SGQ3425" s="34">
        <v>5</v>
      </c>
      <c r="SGS3425" s="913"/>
      <c r="SGT3425" s="31">
        <v>1</v>
      </c>
      <c r="SGU3425" s="34">
        <v>0</v>
      </c>
      <c r="SGV3425" s="34">
        <v>-1</v>
      </c>
      <c r="SGW3425" s="34">
        <v>-2</v>
      </c>
      <c r="SGX3425" s="34">
        <v>-3</v>
      </c>
      <c r="SGY3425" s="34">
        <v>-4</v>
      </c>
      <c r="SGZ3425" s="34">
        <v>-5</v>
      </c>
      <c r="SHA3425" s="908"/>
      <c r="SHB3425" s="909"/>
      <c r="SHC3425" s="34">
        <v>-5</v>
      </c>
      <c r="SHD3425" s="34">
        <v>-4.5</v>
      </c>
      <c r="SHE3425" s="34">
        <v>-4</v>
      </c>
      <c r="SHF3425" s="34">
        <v>-3.5</v>
      </c>
      <c r="SHG3425" s="34">
        <v>-3</v>
      </c>
      <c r="SHH3425" s="34">
        <v>-2.5</v>
      </c>
      <c r="SHI3425" s="34">
        <v>-2</v>
      </c>
      <c r="SHJ3425" s="34">
        <v>-1.5</v>
      </c>
      <c r="SHK3425" s="34">
        <v>-1</v>
      </c>
      <c r="SHL3425" s="34">
        <v>-0.5</v>
      </c>
      <c r="SHM3425" s="34">
        <v>0</v>
      </c>
      <c r="SHN3425" s="34">
        <v>0.5</v>
      </c>
      <c r="SHO3425" s="34">
        <v>1</v>
      </c>
      <c r="SHP3425" s="34">
        <v>1.5</v>
      </c>
      <c r="SHQ3425" s="34">
        <v>2</v>
      </c>
      <c r="SHR3425" s="34">
        <v>2.5</v>
      </c>
      <c r="SHS3425" s="34">
        <v>3</v>
      </c>
      <c r="SHT3425" s="34">
        <v>3.5</v>
      </c>
      <c r="SHU3425" s="34">
        <v>4</v>
      </c>
      <c r="SHV3425" s="34">
        <v>4.5</v>
      </c>
      <c r="SHW3425" s="34">
        <v>5</v>
      </c>
      <c r="SHY3425" s="913"/>
      <c r="SHZ3425" s="31">
        <v>1</v>
      </c>
      <c r="SIA3425" s="34">
        <v>0</v>
      </c>
      <c r="SIB3425" s="34">
        <v>-1</v>
      </c>
      <c r="SIC3425" s="34">
        <v>-2</v>
      </c>
      <c r="SID3425" s="34">
        <v>-3</v>
      </c>
      <c r="SIE3425" s="34">
        <v>-4</v>
      </c>
      <c r="SIF3425" s="34">
        <v>-5</v>
      </c>
      <c r="SIG3425" s="908"/>
      <c r="SIH3425" s="909"/>
      <c r="SII3425" s="34">
        <v>-5</v>
      </c>
      <c r="SIJ3425" s="34">
        <v>-4.5</v>
      </c>
      <c r="SIK3425" s="34">
        <v>-4</v>
      </c>
      <c r="SIL3425" s="34">
        <v>-3.5</v>
      </c>
      <c r="SIM3425" s="34">
        <v>-3</v>
      </c>
      <c r="SIN3425" s="34">
        <v>-2.5</v>
      </c>
      <c r="SIO3425" s="34">
        <v>-2</v>
      </c>
      <c r="SIP3425" s="34">
        <v>-1.5</v>
      </c>
      <c r="SIQ3425" s="34">
        <v>-1</v>
      </c>
      <c r="SIR3425" s="34">
        <v>-0.5</v>
      </c>
      <c r="SIS3425" s="34">
        <v>0</v>
      </c>
      <c r="SIT3425" s="34">
        <v>0.5</v>
      </c>
      <c r="SIU3425" s="34">
        <v>1</v>
      </c>
      <c r="SIV3425" s="34">
        <v>1.5</v>
      </c>
      <c r="SIW3425" s="34">
        <v>2</v>
      </c>
      <c r="SIX3425" s="34">
        <v>2.5</v>
      </c>
      <c r="SIY3425" s="34">
        <v>3</v>
      </c>
      <c r="SIZ3425" s="34">
        <v>3.5</v>
      </c>
      <c r="SJA3425" s="34">
        <v>4</v>
      </c>
      <c r="SJB3425" s="34">
        <v>4.5</v>
      </c>
      <c r="SJC3425" s="34">
        <v>5</v>
      </c>
      <c r="SJE3425" s="913"/>
      <c r="SJF3425" s="31">
        <v>1</v>
      </c>
      <c r="SJG3425" s="34">
        <v>0</v>
      </c>
      <c r="SJH3425" s="34">
        <v>-1</v>
      </c>
      <c r="SJI3425" s="34">
        <v>-2</v>
      </c>
      <c r="SJJ3425" s="34">
        <v>-3</v>
      </c>
      <c r="SJK3425" s="34">
        <v>-4</v>
      </c>
      <c r="SJL3425" s="34">
        <v>-5</v>
      </c>
      <c r="SJM3425" s="908"/>
      <c r="SJN3425" s="909"/>
      <c r="SJO3425" s="34">
        <v>-5</v>
      </c>
      <c r="SJP3425" s="34">
        <v>-4.5</v>
      </c>
      <c r="SJQ3425" s="34">
        <v>-4</v>
      </c>
      <c r="SJR3425" s="34">
        <v>-3.5</v>
      </c>
      <c r="SJS3425" s="34">
        <v>-3</v>
      </c>
      <c r="SJT3425" s="34">
        <v>-2.5</v>
      </c>
      <c r="SJU3425" s="34">
        <v>-2</v>
      </c>
      <c r="SJV3425" s="34">
        <v>-1.5</v>
      </c>
      <c r="SJW3425" s="34">
        <v>-1</v>
      </c>
      <c r="SJX3425" s="34">
        <v>-0.5</v>
      </c>
      <c r="SJY3425" s="34">
        <v>0</v>
      </c>
      <c r="SJZ3425" s="34">
        <v>0.5</v>
      </c>
      <c r="SKA3425" s="34">
        <v>1</v>
      </c>
      <c r="SKB3425" s="34">
        <v>1.5</v>
      </c>
      <c r="SKC3425" s="34">
        <v>2</v>
      </c>
      <c r="SKD3425" s="34">
        <v>2.5</v>
      </c>
      <c r="SKE3425" s="34">
        <v>3</v>
      </c>
      <c r="SKF3425" s="34">
        <v>3.5</v>
      </c>
      <c r="SKG3425" s="34">
        <v>4</v>
      </c>
      <c r="SKH3425" s="34">
        <v>4.5</v>
      </c>
      <c r="SKI3425" s="34">
        <v>5</v>
      </c>
      <c r="SKK3425" s="913"/>
      <c r="SKL3425" s="31">
        <v>1</v>
      </c>
      <c r="SKM3425" s="34">
        <v>0</v>
      </c>
      <c r="SKN3425" s="34">
        <v>-1</v>
      </c>
      <c r="SKO3425" s="34">
        <v>-2</v>
      </c>
      <c r="SKP3425" s="34">
        <v>-3</v>
      </c>
      <c r="SKQ3425" s="34">
        <v>-4</v>
      </c>
      <c r="SKR3425" s="34">
        <v>-5</v>
      </c>
      <c r="SKS3425" s="908"/>
      <c r="SKT3425" s="909"/>
      <c r="SKU3425" s="34">
        <v>-5</v>
      </c>
      <c r="SKV3425" s="34">
        <v>-4.5</v>
      </c>
      <c r="SKW3425" s="34">
        <v>-4</v>
      </c>
      <c r="SKX3425" s="34">
        <v>-3.5</v>
      </c>
      <c r="SKY3425" s="34">
        <v>-3</v>
      </c>
      <c r="SKZ3425" s="34">
        <v>-2.5</v>
      </c>
      <c r="SLA3425" s="34">
        <v>-2</v>
      </c>
      <c r="SLB3425" s="34">
        <v>-1.5</v>
      </c>
      <c r="SLC3425" s="34">
        <v>-1</v>
      </c>
      <c r="SLD3425" s="34">
        <v>-0.5</v>
      </c>
      <c r="SLE3425" s="34">
        <v>0</v>
      </c>
      <c r="SLF3425" s="34">
        <v>0.5</v>
      </c>
      <c r="SLG3425" s="34">
        <v>1</v>
      </c>
      <c r="SLH3425" s="34">
        <v>1.5</v>
      </c>
      <c r="SLI3425" s="34">
        <v>2</v>
      </c>
      <c r="SLJ3425" s="34">
        <v>2.5</v>
      </c>
      <c r="SLK3425" s="34">
        <v>3</v>
      </c>
      <c r="SLL3425" s="34">
        <v>3.5</v>
      </c>
      <c r="SLM3425" s="34">
        <v>4</v>
      </c>
      <c r="SLN3425" s="34">
        <v>4.5</v>
      </c>
      <c r="SLO3425" s="34">
        <v>5</v>
      </c>
      <c r="SLQ3425" s="913"/>
      <c r="SLR3425" s="31">
        <v>1</v>
      </c>
      <c r="SLS3425" s="34">
        <v>0</v>
      </c>
      <c r="SLT3425" s="34">
        <v>-1</v>
      </c>
      <c r="SLU3425" s="34">
        <v>-2</v>
      </c>
      <c r="SLV3425" s="34">
        <v>-3</v>
      </c>
      <c r="SLW3425" s="34">
        <v>-4</v>
      </c>
      <c r="SLX3425" s="34">
        <v>-5</v>
      </c>
      <c r="SLY3425" s="908"/>
      <c r="SLZ3425" s="909"/>
      <c r="SMA3425" s="34">
        <v>-5</v>
      </c>
      <c r="SMB3425" s="34">
        <v>-4.5</v>
      </c>
      <c r="SMC3425" s="34">
        <v>-4</v>
      </c>
      <c r="SMD3425" s="34">
        <v>-3.5</v>
      </c>
      <c r="SME3425" s="34">
        <v>-3</v>
      </c>
      <c r="SMF3425" s="34">
        <v>-2.5</v>
      </c>
      <c r="SMG3425" s="34">
        <v>-2</v>
      </c>
      <c r="SMH3425" s="34">
        <v>-1.5</v>
      </c>
      <c r="SMI3425" s="34">
        <v>-1</v>
      </c>
      <c r="SMJ3425" s="34">
        <v>-0.5</v>
      </c>
      <c r="SMK3425" s="34">
        <v>0</v>
      </c>
      <c r="SML3425" s="34">
        <v>0.5</v>
      </c>
      <c r="SMM3425" s="34">
        <v>1</v>
      </c>
      <c r="SMN3425" s="34">
        <v>1.5</v>
      </c>
      <c r="SMO3425" s="34">
        <v>2</v>
      </c>
      <c r="SMP3425" s="34">
        <v>2.5</v>
      </c>
      <c r="SMQ3425" s="34">
        <v>3</v>
      </c>
      <c r="SMR3425" s="34">
        <v>3.5</v>
      </c>
      <c r="SMS3425" s="34">
        <v>4</v>
      </c>
      <c r="SMT3425" s="34">
        <v>4.5</v>
      </c>
      <c r="SMU3425" s="34">
        <v>5</v>
      </c>
      <c r="SMW3425" s="913"/>
      <c r="SMX3425" s="31">
        <v>1</v>
      </c>
      <c r="SMY3425" s="34">
        <v>0</v>
      </c>
      <c r="SMZ3425" s="34">
        <v>-1</v>
      </c>
      <c r="SNA3425" s="34">
        <v>-2</v>
      </c>
      <c r="SNB3425" s="34">
        <v>-3</v>
      </c>
      <c r="SNC3425" s="34">
        <v>-4</v>
      </c>
      <c r="SND3425" s="34">
        <v>-5</v>
      </c>
      <c r="SNE3425" s="908"/>
      <c r="SNF3425" s="909"/>
      <c r="SNG3425" s="34">
        <v>-5</v>
      </c>
      <c r="SNH3425" s="34">
        <v>-4.5</v>
      </c>
      <c r="SNI3425" s="34">
        <v>-4</v>
      </c>
      <c r="SNJ3425" s="34">
        <v>-3.5</v>
      </c>
      <c r="SNK3425" s="34">
        <v>-3</v>
      </c>
      <c r="SNL3425" s="34">
        <v>-2.5</v>
      </c>
      <c r="SNM3425" s="34">
        <v>-2</v>
      </c>
      <c r="SNN3425" s="34">
        <v>-1.5</v>
      </c>
      <c r="SNO3425" s="34">
        <v>-1</v>
      </c>
      <c r="SNP3425" s="34">
        <v>-0.5</v>
      </c>
      <c r="SNQ3425" s="34">
        <v>0</v>
      </c>
      <c r="SNR3425" s="34">
        <v>0.5</v>
      </c>
      <c r="SNS3425" s="34">
        <v>1</v>
      </c>
      <c r="SNT3425" s="34">
        <v>1.5</v>
      </c>
      <c r="SNU3425" s="34">
        <v>2</v>
      </c>
      <c r="SNV3425" s="34">
        <v>2.5</v>
      </c>
      <c r="SNW3425" s="34">
        <v>3</v>
      </c>
      <c r="SNX3425" s="34">
        <v>3.5</v>
      </c>
      <c r="SNY3425" s="34">
        <v>4</v>
      </c>
      <c r="SNZ3425" s="34">
        <v>4.5</v>
      </c>
      <c r="SOA3425" s="34">
        <v>5</v>
      </c>
      <c r="SOC3425" s="913"/>
      <c r="SOD3425" s="31">
        <v>1</v>
      </c>
      <c r="SOE3425" s="34">
        <v>0</v>
      </c>
      <c r="SOF3425" s="34">
        <v>-1</v>
      </c>
      <c r="SOG3425" s="34">
        <v>-2</v>
      </c>
      <c r="SOH3425" s="34">
        <v>-3</v>
      </c>
      <c r="SOI3425" s="34">
        <v>-4</v>
      </c>
      <c r="SOJ3425" s="34">
        <v>-5</v>
      </c>
      <c r="SOK3425" s="908"/>
      <c r="SOL3425" s="909"/>
      <c r="SOM3425" s="34">
        <v>-5</v>
      </c>
      <c r="SON3425" s="34">
        <v>-4.5</v>
      </c>
      <c r="SOO3425" s="34">
        <v>-4</v>
      </c>
      <c r="SOP3425" s="34">
        <v>-3.5</v>
      </c>
      <c r="SOQ3425" s="34">
        <v>-3</v>
      </c>
      <c r="SOR3425" s="34">
        <v>-2.5</v>
      </c>
      <c r="SOS3425" s="34">
        <v>-2</v>
      </c>
      <c r="SOT3425" s="34">
        <v>-1.5</v>
      </c>
      <c r="SOU3425" s="34">
        <v>-1</v>
      </c>
      <c r="SOV3425" s="34">
        <v>-0.5</v>
      </c>
      <c r="SOW3425" s="34">
        <v>0</v>
      </c>
      <c r="SOX3425" s="34">
        <v>0.5</v>
      </c>
      <c r="SOY3425" s="34">
        <v>1</v>
      </c>
      <c r="SOZ3425" s="34">
        <v>1.5</v>
      </c>
      <c r="SPA3425" s="34">
        <v>2</v>
      </c>
      <c r="SPB3425" s="34">
        <v>2.5</v>
      </c>
      <c r="SPC3425" s="34">
        <v>3</v>
      </c>
      <c r="SPD3425" s="34">
        <v>3.5</v>
      </c>
      <c r="SPE3425" s="34">
        <v>4</v>
      </c>
      <c r="SPF3425" s="34">
        <v>4.5</v>
      </c>
      <c r="SPG3425" s="34">
        <v>5</v>
      </c>
      <c r="SPI3425" s="913"/>
      <c r="SPJ3425" s="31">
        <v>1</v>
      </c>
      <c r="SPK3425" s="34">
        <v>0</v>
      </c>
      <c r="SPL3425" s="34">
        <v>-1</v>
      </c>
      <c r="SPM3425" s="34">
        <v>-2</v>
      </c>
      <c r="SPN3425" s="34">
        <v>-3</v>
      </c>
      <c r="SPO3425" s="34">
        <v>-4</v>
      </c>
      <c r="SPP3425" s="34">
        <v>-5</v>
      </c>
      <c r="SPQ3425" s="908"/>
      <c r="SPR3425" s="909"/>
      <c r="SPS3425" s="34">
        <v>-5</v>
      </c>
      <c r="SPT3425" s="34">
        <v>-4.5</v>
      </c>
      <c r="SPU3425" s="34">
        <v>-4</v>
      </c>
      <c r="SPV3425" s="34">
        <v>-3.5</v>
      </c>
      <c r="SPW3425" s="34">
        <v>-3</v>
      </c>
      <c r="SPX3425" s="34">
        <v>-2.5</v>
      </c>
      <c r="SPY3425" s="34">
        <v>-2</v>
      </c>
      <c r="SPZ3425" s="34">
        <v>-1.5</v>
      </c>
      <c r="SQA3425" s="34">
        <v>-1</v>
      </c>
      <c r="SQB3425" s="34">
        <v>-0.5</v>
      </c>
      <c r="SQC3425" s="34">
        <v>0</v>
      </c>
      <c r="SQD3425" s="34">
        <v>0.5</v>
      </c>
      <c r="SQE3425" s="34">
        <v>1</v>
      </c>
      <c r="SQF3425" s="34">
        <v>1.5</v>
      </c>
      <c r="SQG3425" s="34">
        <v>2</v>
      </c>
      <c r="SQH3425" s="34">
        <v>2.5</v>
      </c>
      <c r="SQI3425" s="34">
        <v>3</v>
      </c>
      <c r="SQJ3425" s="34">
        <v>3.5</v>
      </c>
      <c r="SQK3425" s="34">
        <v>4</v>
      </c>
      <c r="SQL3425" s="34">
        <v>4.5</v>
      </c>
      <c r="SQM3425" s="34">
        <v>5</v>
      </c>
      <c r="SQO3425" s="913"/>
      <c r="SQP3425" s="31">
        <v>1</v>
      </c>
      <c r="SQQ3425" s="34">
        <v>0</v>
      </c>
      <c r="SQR3425" s="34">
        <v>-1</v>
      </c>
      <c r="SQS3425" s="34">
        <v>-2</v>
      </c>
      <c r="SQT3425" s="34">
        <v>-3</v>
      </c>
      <c r="SQU3425" s="34">
        <v>-4</v>
      </c>
      <c r="SQV3425" s="34">
        <v>-5</v>
      </c>
      <c r="SQW3425" s="908"/>
      <c r="SQX3425" s="909"/>
      <c r="SQY3425" s="34">
        <v>-5</v>
      </c>
      <c r="SQZ3425" s="34">
        <v>-4.5</v>
      </c>
      <c r="SRA3425" s="34">
        <v>-4</v>
      </c>
      <c r="SRB3425" s="34">
        <v>-3.5</v>
      </c>
      <c r="SRC3425" s="34">
        <v>-3</v>
      </c>
      <c r="SRD3425" s="34">
        <v>-2.5</v>
      </c>
      <c r="SRE3425" s="34">
        <v>-2</v>
      </c>
      <c r="SRF3425" s="34">
        <v>-1.5</v>
      </c>
      <c r="SRG3425" s="34">
        <v>-1</v>
      </c>
      <c r="SRH3425" s="34">
        <v>-0.5</v>
      </c>
      <c r="SRI3425" s="34">
        <v>0</v>
      </c>
      <c r="SRJ3425" s="34">
        <v>0.5</v>
      </c>
      <c r="SRK3425" s="34">
        <v>1</v>
      </c>
      <c r="SRL3425" s="34">
        <v>1.5</v>
      </c>
      <c r="SRM3425" s="34">
        <v>2</v>
      </c>
      <c r="SRN3425" s="34">
        <v>2.5</v>
      </c>
      <c r="SRO3425" s="34">
        <v>3</v>
      </c>
      <c r="SRP3425" s="34">
        <v>3.5</v>
      </c>
      <c r="SRQ3425" s="34">
        <v>4</v>
      </c>
      <c r="SRR3425" s="34">
        <v>4.5</v>
      </c>
      <c r="SRS3425" s="34">
        <v>5</v>
      </c>
      <c r="SRU3425" s="913"/>
      <c r="SRV3425" s="31">
        <v>1</v>
      </c>
      <c r="SRW3425" s="34">
        <v>0</v>
      </c>
      <c r="SRX3425" s="34">
        <v>-1</v>
      </c>
      <c r="SRY3425" s="34">
        <v>-2</v>
      </c>
      <c r="SRZ3425" s="34">
        <v>-3</v>
      </c>
      <c r="SSA3425" s="34">
        <v>-4</v>
      </c>
      <c r="SSB3425" s="34">
        <v>-5</v>
      </c>
      <c r="SSC3425" s="908"/>
      <c r="SSD3425" s="909"/>
      <c r="SSE3425" s="34">
        <v>-5</v>
      </c>
      <c r="SSF3425" s="34">
        <v>-4.5</v>
      </c>
      <c r="SSG3425" s="34">
        <v>-4</v>
      </c>
      <c r="SSH3425" s="34">
        <v>-3.5</v>
      </c>
      <c r="SSI3425" s="34">
        <v>-3</v>
      </c>
      <c r="SSJ3425" s="34">
        <v>-2.5</v>
      </c>
      <c r="SSK3425" s="34">
        <v>-2</v>
      </c>
      <c r="SSL3425" s="34">
        <v>-1.5</v>
      </c>
      <c r="SSM3425" s="34">
        <v>-1</v>
      </c>
      <c r="SSN3425" s="34">
        <v>-0.5</v>
      </c>
      <c r="SSO3425" s="34">
        <v>0</v>
      </c>
      <c r="SSP3425" s="34">
        <v>0.5</v>
      </c>
      <c r="SSQ3425" s="34">
        <v>1</v>
      </c>
      <c r="SSR3425" s="34">
        <v>1.5</v>
      </c>
      <c r="SSS3425" s="34">
        <v>2</v>
      </c>
      <c r="SST3425" s="34">
        <v>2.5</v>
      </c>
      <c r="SSU3425" s="34">
        <v>3</v>
      </c>
      <c r="SSV3425" s="34">
        <v>3.5</v>
      </c>
      <c r="SSW3425" s="34">
        <v>4</v>
      </c>
      <c r="SSX3425" s="34">
        <v>4.5</v>
      </c>
      <c r="SSY3425" s="34">
        <v>5</v>
      </c>
      <c r="STA3425" s="913"/>
      <c r="STB3425" s="31">
        <v>1</v>
      </c>
      <c r="STC3425" s="34">
        <v>0</v>
      </c>
      <c r="STD3425" s="34">
        <v>-1</v>
      </c>
      <c r="STE3425" s="34">
        <v>-2</v>
      </c>
      <c r="STF3425" s="34">
        <v>-3</v>
      </c>
      <c r="STG3425" s="34">
        <v>-4</v>
      </c>
      <c r="STH3425" s="34">
        <v>-5</v>
      </c>
      <c r="STI3425" s="908"/>
      <c r="STJ3425" s="909"/>
      <c r="STK3425" s="34">
        <v>-5</v>
      </c>
      <c r="STL3425" s="34">
        <v>-4.5</v>
      </c>
      <c r="STM3425" s="34">
        <v>-4</v>
      </c>
      <c r="STN3425" s="34">
        <v>-3.5</v>
      </c>
      <c r="STO3425" s="34">
        <v>-3</v>
      </c>
      <c r="STP3425" s="34">
        <v>-2.5</v>
      </c>
      <c r="STQ3425" s="34">
        <v>-2</v>
      </c>
      <c r="STR3425" s="34">
        <v>-1.5</v>
      </c>
      <c r="STS3425" s="34">
        <v>-1</v>
      </c>
      <c r="STT3425" s="34">
        <v>-0.5</v>
      </c>
      <c r="STU3425" s="34">
        <v>0</v>
      </c>
      <c r="STV3425" s="34">
        <v>0.5</v>
      </c>
      <c r="STW3425" s="34">
        <v>1</v>
      </c>
      <c r="STX3425" s="34">
        <v>1.5</v>
      </c>
      <c r="STY3425" s="34">
        <v>2</v>
      </c>
      <c r="STZ3425" s="34">
        <v>2.5</v>
      </c>
      <c r="SUA3425" s="34">
        <v>3</v>
      </c>
      <c r="SUB3425" s="34">
        <v>3.5</v>
      </c>
      <c r="SUC3425" s="34">
        <v>4</v>
      </c>
      <c r="SUD3425" s="34">
        <v>4.5</v>
      </c>
      <c r="SUE3425" s="34">
        <v>5</v>
      </c>
      <c r="SUG3425" s="913"/>
      <c r="SUH3425" s="31">
        <v>1</v>
      </c>
      <c r="SUI3425" s="34">
        <v>0</v>
      </c>
      <c r="SUJ3425" s="34">
        <v>-1</v>
      </c>
      <c r="SUK3425" s="34">
        <v>-2</v>
      </c>
      <c r="SUL3425" s="34">
        <v>-3</v>
      </c>
      <c r="SUM3425" s="34">
        <v>-4</v>
      </c>
      <c r="SUN3425" s="34">
        <v>-5</v>
      </c>
      <c r="SUO3425" s="908"/>
      <c r="SUP3425" s="909"/>
      <c r="SUQ3425" s="34">
        <v>-5</v>
      </c>
      <c r="SUR3425" s="34">
        <v>-4.5</v>
      </c>
      <c r="SUS3425" s="34">
        <v>-4</v>
      </c>
      <c r="SUT3425" s="34">
        <v>-3.5</v>
      </c>
      <c r="SUU3425" s="34">
        <v>-3</v>
      </c>
      <c r="SUV3425" s="34">
        <v>-2.5</v>
      </c>
      <c r="SUW3425" s="34">
        <v>-2</v>
      </c>
      <c r="SUX3425" s="34">
        <v>-1.5</v>
      </c>
      <c r="SUY3425" s="34">
        <v>-1</v>
      </c>
      <c r="SUZ3425" s="34">
        <v>-0.5</v>
      </c>
      <c r="SVA3425" s="34">
        <v>0</v>
      </c>
      <c r="SVB3425" s="34">
        <v>0.5</v>
      </c>
      <c r="SVC3425" s="34">
        <v>1</v>
      </c>
      <c r="SVD3425" s="34">
        <v>1.5</v>
      </c>
      <c r="SVE3425" s="34">
        <v>2</v>
      </c>
      <c r="SVF3425" s="34">
        <v>2.5</v>
      </c>
      <c r="SVG3425" s="34">
        <v>3</v>
      </c>
      <c r="SVH3425" s="34">
        <v>3.5</v>
      </c>
      <c r="SVI3425" s="34">
        <v>4</v>
      </c>
      <c r="SVJ3425" s="34">
        <v>4.5</v>
      </c>
      <c r="SVK3425" s="34">
        <v>5</v>
      </c>
      <c r="SVM3425" s="913"/>
      <c r="SVN3425" s="31">
        <v>1</v>
      </c>
      <c r="SVO3425" s="34">
        <v>0</v>
      </c>
      <c r="SVP3425" s="34">
        <v>-1</v>
      </c>
      <c r="SVQ3425" s="34">
        <v>-2</v>
      </c>
      <c r="SVR3425" s="34">
        <v>-3</v>
      </c>
      <c r="SVS3425" s="34">
        <v>-4</v>
      </c>
      <c r="SVT3425" s="34">
        <v>-5</v>
      </c>
      <c r="SVU3425" s="908"/>
      <c r="SVV3425" s="909"/>
      <c r="SVW3425" s="34">
        <v>-5</v>
      </c>
      <c r="SVX3425" s="34">
        <v>-4.5</v>
      </c>
      <c r="SVY3425" s="34">
        <v>-4</v>
      </c>
      <c r="SVZ3425" s="34">
        <v>-3.5</v>
      </c>
      <c r="SWA3425" s="34">
        <v>-3</v>
      </c>
      <c r="SWB3425" s="34">
        <v>-2.5</v>
      </c>
      <c r="SWC3425" s="34">
        <v>-2</v>
      </c>
      <c r="SWD3425" s="34">
        <v>-1.5</v>
      </c>
      <c r="SWE3425" s="34">
        <v>-1</v>
      </c>
      <c r="SWF3425" s="34">
        <v>-0.5</v>
      </c>
      <c r="SWG3425" s="34">
        <v>0</v>
      </c>
      <c r="SWH3425" s="34">
        <v>0.5</v>
      </c>
      <c r="SWI3425" s="34">
        <v>1</v>
      </c>
      <c r="SWJ3425" s="34">
        <v>1.5</v>
      </c>
      <c r="SWK3425" s="34">
        <v>2</v>
      </c>
      <c r="SWL3425" s="34">
        <v>2.5</v>
      </c>
      <c r="SWM3425" s="34">
        <v>3</v>
      </c>
      <c r="SWN3425" s="34">
        <v>3.5</v>
      </c>
      <c r="SWO3425" s="34">
        <v>4</v>
      </c>
      <c r="SWP3425" s="34">
        <v>4.5</v>
      </c>
      <c r="SWQ3425" s="34">
        <v>5</v>
      </c>
      <c r="SWS3425" s="913"/>
      <c r="SWT3425" s="31">
        <v>1</v>
      </c>
      <c r="SWU3425" s="34">
        <v>0</v>
      </c>
      <c r="SWV3425" s="34">
        <v>-1</v>
      </c>
      <c r="SWW3425" s="34">
        <v>-2</v>
      </c>
      <c r="SWX3425" s="34">
        <v>-3</v>
      </c>
      <c r="SWY3425" s="34">
        <v>-4</v>
      </c>
      <c r="SWZ3425" s="34">
        <v>-5</v>
      </c>
      <c r="SXA3425" s="908"/>
      <c r="SXB3425" s="909"/>
      <c r="SXC3425" s="34">
        <v>-5</v>
      </c>
      <c r="SXD3425" s="34">
        <v>-4.5</v>
      </c>
      <c r="SXE3425" s="34">
        <v>-4</v>
      </c>
      <c r="SXF3425" s="34">
        <v>-3.5</v>
      </c>
      <c r="SXG3425" s="34">
        <v>-3</v>
      </c>
      <c r="SXH3425" s="34">
        <v>-2.5</v>
      </c>
      <c r="SXI3425" s="34">
        <v>-2</v>
      </c>
      <c r="SXJ3425" s="34">
        <v>-1.5</v>
      </c>
      <c r="SXK3425" s="34">
        <v>-1</v>
      </c>
      <c r="SXL3425" s="34">
        <v>-0.5</v>
      </c>
      <c r="SXM3425" s="34">
        <v>0</v>
      </c>
      <c r="SXN3425" s="34">
        <v>0.5</v>
      </c>
      <c r="SXO3425" s="34">
        <v>1</v>
      </c>
      <c r="SXP3425" s="34">
        <v>1.5</v>
      </c>
      <c r="SXQ3425" s="34">
        <v>2</v>
      </c>
      <c r="SXR3425" s="34">
        <v>2.5</v>
      </c>
      <c r="SXS3425" s="34">
        <v>3</v>
      </c>
      <c r="SXT3425" s="34">
        <v>3.5</v>
      </c>
      <c r="SXU3425" s="34">
        <v>4</v>
      </c>
      <c r="SXV3425" s="34">
        <v>4.5</v>
      </c>
      <c r="SXW3425" s="34">
        <v>5</v>
      </c>
      <c r="SXY3425" s="913"/>
      <c r="SXZ3425" s="31">
        <v>1</v>
      </c>
      <c r="SYA3425" s="34">
        <v>0</v>
      </c>
      <c r="SYB3425" s="34">
        <v>-1</v>
      </c>
      <c r="SYC3425" s="34">
        <v>-2</v>
      </c>
      <c r="SYD3425" s="34">
        <v>-3</v>
      </c>
      <c r="SYE3425" s="34">
        <v>-4</v>
      </c>
      <c r="SYF3425" s="34">
        <v>-5</v>
      </c>
      <c r="SYG3425" s="908"/>
      <c r="SYH3425" s="909"/>
      <c r="SYI3425" s="34">
        <v>-5</v>
      </c>
      <c r="SYJ3425" s="34">
        <v>-4.5</v>
      </c>
      <c r="SYK3425" s="34">
        <v>-4</v>
      </c>
      <c r="SYL3425" s="34">
        <v>-3.5</v>
      </c>
      <c r="SYM3425" s="34">
        <v>-3</v>
      </c>
      <c r="SYN3425" s="34">
        <v>-2.5</v>
      </c>
      <c r="SYO3425" s="34">
        <v>-2</v>
      </c>
      <c r="SYP3425" s="34">
        <v>-1.5</v>
      </c>
      <c r="SYQ3425" s="34">
        <v>-1</v>
      </c>
      <c r="SYR3425" s="34">
        <v>-0.5</v>
      </c>
      <c r="SYS3425" s="34">
        <v>0</v>
      </c>
      <c r="SYT3425" s="34">
        <v>0.5</v>
      </c>
      <c r="SYU3425" s="34">
        <v>1</v>
      </c>
      <c r="SYV3425" s="34">
        <v>1.5</v>
      </c>
      <c r="SYW3425" s="34">
        <v>2</v>
      </c>
      <c r="SYX3425" s="34">
        <v>2.5</v>
      </c>
      <c r="SYY3425" s="34">
        <v>3</v>
      </c>
      <c r="SYZ3425" s="34">
        <v>3.5</v>
      </c>
      <c r="SZA3425" s="34">
        <v>4</v>
      </c>
      <c r="SZB3425" s="34">
        <v>4.5</v>
      </c>
      <c r="SZC3425" s="34">
        <v>5</v>
      </c>
      <c r="SZE3425" s="913"/>
      <c r="SZF3425" s="31">
        <v>1</v>
      </c>
      <c r="SZG3425" s="34">
        <v>0</v>
      </c>
      <c r="SZH3425" s="34">
        <v>-1</v>
      </c>
      <c r="SZI3425" s="34">
        <v>-2</v>
      </c>
      <c r="SZJ3425" s="34">
        <v>-3</v>
      </c>
      <c r="SZK3425" s="34">
        <v>-4</v>
      </c>
      <c r="SZL3425" s="34">
        <v>-5</v>
      </c>
      <c r="SZM3425" s="908"/>
      <c r="SZN3425" s="909"/>
      <c r="SZO3425" s="34">
        <v>-5</v>
      </c>
      <c r="SZP3425" s="34">
        <v>-4.5</v>
      </c>
      <c r="SZQ3425" s="34">
        <v>-4</v>
      </c>
      <c r="SZR3425" s="34">
        <v>-3.5</v>
      </c>
      <c r="SZS3425" s="34">
        <v>-3</v>
      </c>
      <c r="SZT3425" s="34">
        <v>-2.5</v>
      </c>
      <c r="SZU3425" s="34">
        <v>-2</v>
      </c>
      <c r="SZV3425" s="34">
        <v>-1.5</v>
      </c>
      <c r="SZW3425" s="34">
        <v>-1</v>
      </c>
      <c r="SZX3425" s="34">
        <v>-0.5</v>
      </c>
      <c r="SZY3425" s="34">
        <v>0</v>
      </c>
      <c r="SZZ3425" s="34">
        <v>0.5</v>
      </c>
      <c r="TAA3425" s="34">
        <v>1</v>
      </c>
      <c r="TAB3425" s="34">
        <v>1.5</v>
      </c>
      <c r="TAC3425" s="34">
        <v>2</v>
      </c>
      <c r="TAD3425" s="34">
        <v>2.5</v>
      </c>
      <c r="TAE3425" s="34">
        <v>3</v>
      </c>
      <c r="TAF3425" s="34">
        <v>3.5</v>
      </c>
      <c r="TAG3425" s="34">
        <v>4</v>
      </c>
      <c r="TAH3425" s="34">
        <v>4.5</v>
      </c>
      <c r="TAI3425" s="34">
        <v>5</v>
      </c>
      <c r="TAK3425" s="913"/>
      <c r="TAL3425" s="31">
        <v>1</v>
      </c>
      <c r="TAM3425" s="34">
        <v>0</v>
      </c>
      <c r="TAN3425" s="34">
        <v>-1</v>
      </c>
      <c r="TAO3425" s="34">
        <v>-2</v>
      </c>
      <c r="TAP3425" s="34">
        <v>-3</v>
      </c>
      <c r="TAQ3425" s="34">
        <v>-4</v>
      </c>
      <c r="TAR3425" s="34">
        <v>-5</v>
      </c>
      <c r="TAS3425" s="908"/>
      <c r="TAT3425" s="909"/>
      <c r="TAU3425" s="34">
        <v>-5</v>
      </c>
      <c r="TAV3425" s="34">
        <v>-4.5</v>
      </c>
      <c r="TAW3425" s="34">
        <v>-4</v>
      </c>
      <c r="TAX3425" s="34">
        <v>-3.5</v>
      </c>
      <c r="TAY3425" s="34">
        <v>-3</v>
      </c>
      <c r="TAZ3425" s="34">
        <v>-2.5</v>
      </c>
      <c r="TBA3425" s="34">
        <v>-2</v>
      </c>
      <c r="TBB3425" s="34">
        <v>-1.5</v>
      </c>
      <c r="TBC3425" s="34">
        <v>-1</v>
      </c>
      <c r="TBD3425" s="34">
        <v>-0.5</v>
      </c>
      <c r="TBE3425" s="34">
        <v>0</v>
      </c>
      <c r="TBF3425" s="34">
        <v>0.5</v>
      </c>
      <c r="TBG3425" s="34">
        <v>1</v>
      </c>
      <c r="TBH3425" s="34">
        <v>1.5</v>
      </c>
      <c r="TBI3425" s="34">
        <v>2</v>
      </c>
      <c r="TBJ3425" s="34">
        <v>2.5</v>
      </c>
      <c r="TBK3425" s="34">
        <v>3</v>
      </c>
      <c r="TBL3425" s="34">
        <v>3.5</v>
      </c>
      <c r="TBM3425" s="34">
        <v>4</v>
      </c>
      <c r="TBN3425" s="34">
        <v>4.5</v>
      </c>
      <c r="TBO3425" s="34">
        <v>5</v>
      </c>
      <c r="TBQ3425" s="913"/>
      <c r="TBR3425" s="31">
        <v>1</v>
      </c>
      <c r="TBS3425" s="34">
        <v>0</v>
      </c>
      <c r="TBT3425" s="34">
        <v>-1</v>
      </c>
      <c r="TBU3425" s="34">
        <v>-2</v>
      </c>
      <c r="TBV3425" s="34">
        <v>-3</v>
      </c>
      <c r="TBW3425" s="34">
        <v>-4</v>
      </c>
      <c r="TBX3425" s="34">
        <v>-5</v>
      </c>
      <c r="TBY3425" s="908"/>
      <c r="TBZ3425" s="909"/>
      <c r="TCA3425" s="34">
        <v>-5</v>
      </c>
      <c r="TCB3425" s="34">
        <v>-4.5</v>
      </c>
      <c r="TCC3425" s="34">
        <v>-4</v>
      </c>
      <c r="TCD3425" s="34">
        <v>-3.5</v>
      </c>
      <c r="TCE3425" s="34">
        <v>-3</v>
      </c>
      <c r="TCF3425" s="34">
        <v>-2.5</v>
      </c>
      <c r="TCG3425" s="34">
        <v>-2</v>
      </c>
      <c r="TCH3425" s="34">
        <v>-1.5</v>
      </c>
      <c r="TCI3425" s="34">
        <v>-1</v>
      </c>
      <c r="TCJ3425" s="34">
        <v>-0.5</v>
      </c>
      <c r="TCK3425" s="34">
        <v>0</v>
      </c>
      <c r="TCL3425" s="34">
        <v>0.5</v>
      </c>
      <c r="TCM3425" s="34">
        <v>1</v>
      </c>
      <c r="TCN3425" s="34">
        <v>1.5</v>
      </c>
      <c r="TCO3425" s="34">
        <v>2</v>
      </c>
      <c r="TCP3425" s="34">
        <v>2.5</v>
      </c>
      <c r="TCQ3425" s="34">
        <v>3</v>
      </c>
      <c r="TCR3425" s="34">
        <v>3.5</v>
      </c>
      <c r="TCS3425" s="34">
        <v>4</v>
      </c>
      <c r="TCT3425" s="34">
        <v>4.5</v>
      </c>
      <c r="TCU3425" s="34">
        <v>5</v>
      </c>
      <c r="TCW3425" s="913"/>
      <c r="TCX3425" s="31">
        <v>1</v>
      </c>
      <c r="TCY3425" s="34">
        <v>0</v>
      </c>
      <c r="TCZ3425" s="34">
        <v>-1</v>
      </c>
      <c r="TDA3425" s="34">
        <v>-2</v>
      </c>
      <c r="TDB3425" s="34">
        <v>-3</v>
      </c>
      <c r="TDC3425" s="34">
        <v>-4</v>
      </c>
      <c r="TDD3425" s="34">
        <v>-5</v>
      </c>
      <c r="TDE3425" s="908"/>
      <c r="TDF3425" s="909"/>
      <c r="TDG3425" s="34">
        <v>-5</v>
      </c>
      <c r="TDH3425" s="34">
        <v>-4.5</v>
      </c>
      <c r="TDI3425" s="34">
        <v>-4</v>
      </c>
      <c r="TDJ3425" s="34">
        <v>-3.5</v>
      </c>
      <c r="TDK3425" s="34">
        <v>-3</v>
      </c>
      <c r="TDL3425" s="34">
        <v>-2.5</v>
      </c>
      <c r="TDM3425" s="34">
        <v>-2</v>
      </c>
      <c r="TDN3425" s="34">
        <v>-1.5</v>
      </c>
      <c r="TDO3425" s="34">
        <v>-1</v>
      </c>
      <c r="TDP3425" s="34">
        <v>-0.5</v>
      </c>
      <c r="TDQ3425" s="34">
        <v>0</v>
      </c>
      <c r="TDR3425" s="34">
        <v>0.5</v>
      </c>
      <c r="TDS3425" s="34">
        <v>1</v>
      </c>
      <c r="TDT3425" s="34">
        <v>1.5</v>
      </c>
      <c r="TDU3425" s="34">
        <v>2</v>
      </c>
      <c r="TDV3425" s="34">
        <v>2.5</v>
      </c>
      <c r="TDW3425" s="34">
        <v>3</v>
      </c>
      <c r="TDX3425" s="34">
        <v>3.5</v>
      </c>
      <c r="TDY3425" s="34">
        <v>4</v>
      </c>
      <c r="TDZ3425" s="34">
        <v>4.5</v>
      </c>
      <c r="TEA3425" s="34">
        <v>5</v>
      </c>
      <c r="TEC3425" s="913"/>
      <c r="TED3425" s="31">
        <v>1</v>
      </c>
      <c r="TEE3425" s="34">
        <v>0</v>
      </c>
      <c r="TEF3425" s="34">
        <v>-1</v>
      </c>
      <c r="TEG3425" s="34">
        <v>-2</v>
      </c>
      <c r="TEH3425" s="34">
        <v>-3</v>
      </c>
      <c r="TEI3425" s="34">
        <v>-4</v>
      </c>
      <c r="TEJ3425" s="34">
        <v>-5</v>
      </c>
      <c r="TEK3425" s="908"/>
      <c r="TEL3425" s="909"/>
      <c r="TEM3425" s="34">
        <v>-5</v>
      </c>
      <c r="TEN3425" s="34">
        <v>-4.5</v>
      </c>
      <c r="TEO3425" s="34">
        <v>-4</v>
      </c>
      <c r="TEP3425" s="34">
        <v>-3.5</v>
      </c>
      <c r="TEQ3425" s="34">
        <v>-3</v>
      </c>
      <c r="TER3425" s="34">
        <v>-2.5</v>
      </c>
      <c r="TES3425" s="34">
        <v>-2</v>
      </c>
      <c r="TET3425" s="34">
        <v>-1.5</v>
      </c>
      <c r="TEU3425" s="34">
        <v>-1</v>
      </c>
      <c r="TEV3425" s="34">
        <v>-0.5</v>
      </c>
      <c r="TEW3425" s="34">
        <v>0</v>
      </c>
      <c r="TEX3425" s="34">
        <v>0.5</v>
      </c>
      <c r="TEY3425" s="34">
        <v>1</v>
      </c>
      <c r="TEZ3425" s="34">
        <v>1.5</v>
      </c>
      <c r="TFA3425" s="34">
        <v>2</v>
      </c>
      <c r="TFB3425" s="34">
        <v>2.5</v>
      </c>
      <c r="TFC3425" s="34">
        <v>3</v>
      </c>
      <c r="TFD3425" s="34">
        <v>3.5</v>
      </c>
      <c r="TFE3425" s="34">
        <v>4</v>
      </c>
      <c r="TFF3425" s="34">
        <v>4.5</v>
      </c>
      <c r="TFG3425" s="34">
        <v>5</v>
      </c>
      <c r="TFI3425" s="913"/>
      <c r="TFJ3425" s="31">
        <v>1</v>
      </c>
      <c r="TFK3425" s="34">
        <v>0</v>
      </c>
      <c r="TFL3425" s="34">
        <v>-1</v>
      </c>
      <c r="TFM3425" s="34">
        <v>-2</v>
      </c>
      <c r="TFN3425" s="34">
        <v>-3</v>
      </c>
      <c r="TFO3425" s="34">
        <v>-4</v>
      </c>
      <c r="TFP3425" s="34">
        <v>-5</v>
      </c>
      <c r="TFQ3425" s="908"/>
      <c r="TFR3425" s="909"/>
      <c r="TFS3425" s="34">
        <v>-5</v>
      </c>
      <c r="TFT3425" s="34">
        <v>-4.5</v>
      </c>
      <c r="TFU3425" s="34">
        <v>-4</v>
      </c>
      <c r="TFV3425" s="34">
        <v>-3.5</v>
      </c>
      <c r="TFW3425" s="34">
        <v>-3</v>
      </c>
      <c r="TFX3425" s="34">
        <v>-2.5</v>
      </c>
      <c r="TFY3425" s="34">
        <v>-2</v>
      </c>
      <c r="TFZ3425" s="34">
        <v>-1.5</v>
      </c>
      <c r="TGA3425" s="34">
        <v>-1</v>
      </c>
      <c r="TGB3425" s="34">
        <v>-0.5</v>
      </c>
      <c r="TGC3425" s="34">
        <v>0</v>
      </c>
      <c r="TGD3425" s="34">
        <v>0.5</v>
      </c>
      <c r="TGE3425" s="34">
        <v>1</v>
      </c>
      <c r="TGF3425" s="34">
        <v>1.5</v>
      </c>
      <c r="TGG3425" s="34">
        <v>2</v>
      </c>
      <c r="TGH3425" s="34">
        <v>2.5</v>
      </c>
      <c r="TGI3425" s="34">
        <v>3</v>
      </c>
      <c r="TGJ3425" s="34">
        <v>3.5</v>
      </c>
      <c r="TGK3425" s="34">
        <v>4</v>
      </c>
      <c r="TGL3425" s="34">
        <v>4.5</v>
      </c>
      <c r="TGM3425" s="34">
        <v>5</v>
      </c>
      <c r="TGO3425" s="913"/>
      <c r="TGP3425" s="31">
        <v>1</v>
      </c>
      <c r="TGQ3425" s="34">
        <v>0</v>
      </c>
      <c r="TGR3425" s="34">
        <v>-1</v>
      </c>
      <c r="TGS3425" s="34">
        <v>-2</v>
      </c>
      <c r="TGT3425" s="34">
        <v>-3</v>
      </c>
      <c r="TGU3425" s="34">
        <v>-4</v>
      </c>
      <c r="TGV3425" s="34">
        <v>-5</v>
      </c>
      <c r="TGW3425" s="908"/>
      <c r="TGX3425" s="909"/>
      <c r="TGY3425" s="34">
        <v>-5</v>
      </c>
      <c r="TGZ3425" s="34">
        <v>-4.5</v>
      </c>
      <c r="THA3425" s="34">
        <v>-4</v>
      </c>
      <c r="THB3425" s="34">
        <v>-3.5</v>
      </c>
      <c r="THC3425" s="34">
        <v>-3</v>
      </c>
      <c r="THD3425" s="34">
        <v>-2.5</v>
      </c>
      <c r="THE3425" s="34">
        <v>-2</v>
      </c>
      <c r="THF3425" s="34">
        <v>-1.5</v>
      </c>
      <c r="THG3425" s="34">
        <v>-1</v>
      </c>
      <c r="THH3425" s="34">
        <v>-0.5</v>
      </c>
      <c r="THI3425" s="34">
        <v>0</v>
      </c>
      <c r="THJ3425" s="34">
        <v>0.5</v>
      </c>
      <c r="THK3425" s="34">
        <v>1</v>
      </c>
      <c r="THL3425" s="34">
        <v>1.5</v>
      </c>
      <c r="THM3425" s="34">
        <v>2</v>
      </c>
      <c r="THN3425" s="34">
        <v>2.5</v>
      </c>
      <c r="THO3425" s="34">
        <v>3</v>
      </c>
      <c r="THP3425" s="34">
        <v>3.5</v>
      </c>
      <c r="THQ3425" s="34">
        <v>4</v>
      </c>
      <c r="THR3425" s="34">
        <v>4.5</v>
      </c>
      <c r="THS3425" s="34">
        <v>5</v>
      </c>
      <c r="THU3425" s="913"/>
      <c r="THV3425" s="31">
        <v>1</v>
      </c>
      <c r="THW3425" s="34">
        <v>0</v>
      </c>
      <c r="THX3425" s="34">
        <v>-1</v>
      </c>
      <c r="THY3425" s="34">
        <v>-2</v>
      </c>
      <c r="THZ3425" s="34">
        <v>-3</v>
      </c>
      <c r="TIA3425" s="34">
        <v>-4</v>
      </c>
      <c r="TIB3425" s="34">
        <v>-5</v>
      </c>
      <c r="TIC3425" s="908"/>
      <c r="TID3425" s="909"/>
      <c r="TIE3425" s="34">
        <v>-5</v>
      </c>
      <c r="TIF3425" s="34">
        <v>-4.5</v>
      </c>
      <c r="TIG3425" s="34">
        <v>-4</v>
      </c>
      <c r="TIH3425" s="34">
        <v>-3.5</v>
      </c>
      <c r="TII3425" s="34">
        <v>-3</v>
      </c>
      <c r="TIJ3425" s="34">
        <v>-2.5</v>
      </c>
      <c r="TIK3425" s="34">
        <v>-2</v>
      </c>
      <c r="TIL3425" s="34">
        <v>-1.5</v>
      </c>
      <c r="TIM3425" s="34">
        <v>-1</v>
      </c>
      <c r="TIN3425" s="34">
        <v>-0.5</v>
      </c>
      <c r="TIO3425" s="34">
        <v>0</v>
      </c>
      <c r="TIP3425" s="34">
        <v>0.5</v>
      </c>
      <c r="TIQ3425" s="34">
        <v>1</v>
      </c>
      <c r="TIR3425" s="34">
        <v>1.5</v>
      </c>
      <c r="TIS3425" s="34">
        <v>2</v>
      </c>
      <c r="TIT3425" s="34">
        <v>2.5</v>
      </c>
      <c r="TIU3425" s="34">
        <v>3</v>
      </c>
      <c r="TIV3425" s="34">
        <v>3.5</v>
      </c>
      <c r="TIW3425" s="34">
        <v>4</v>
      </c>
      <c r="TIX3425" s="34">
        <v>4.5</v>
      </c>
      <c r="TIY3425" s="34">
        <v>5</v>
      </c>
      <c r="TJA3425" s="913"/>
      <c r="TJB3425" s="31">
        <v>1</v>
      </c>
      <c r="TJC3425" s="34">
        <v>0</v>
      </c>
      <c r="TJD3425" s="34">
        <v>-1</v>
      </c>
      <c r="TJE3425" s="34">
        <v>-2</v>
      </c>
      <c r="TJF3425" s="34">
        <v>-3</v>
      </c>
      <c r="TJG3425" s="34">
        <v>-4</v>
      </c>
      <c r="TJH3425" s="34">
        <v>-5</v>
      </c>
      <c r="TJI3425" s="908"/>
      <c r="TJJ3425" s="909"/>
      <c r="TJK3425" s="34">
        <v>-5</v>
      </c>
      <c r="TJL3425" s="34">
        <v>-4.5</v>
      </c>
      <c r="TJM3425" s="34">
        <v>-4</v>
      </c>
      <c r="TJN3425" s="34">
        <v>-3.5</v>
      </c>
      <c r="TJO3425" s="34">
        <v>-3</v>
      </c>
      <c r="TJP3425" s="34">
        <v>-2.5</v>
      </c>
      <c r="TJQ3425" s="34">
        <v>-2</v>
      </c>
      <c r="TJR3425" s="34">
        <v>-1.5</v>
      </c>
      <c r="TJS3425" s="34">
        <v>-1</v>
      </c>
      <c r="TJT3425" s="34">
        <v>-0.5</v>
      </c>
      <c r="TJU3425" s="34">
        <v>0</v>
      </c>
      <c r="TJV3425" s="34">
        <v>0.5</v>
      </c>
      <c r="TJW3425" s="34">
        <v>1</v>
      </c>
      <c r="TJX3425" s="34">
        <v>1.5</v>
      </c>
      <c r="TJY3425" s="34">
        <v>2</v>
      </c>
      <c r="TJZ3425" s="34">
        <v>2.5</v>
      </c>
      <c r="TKA3425" s="34">
        <v>3</v>
      </c>
      <c r="TKB3425" s="34">
        <v>3.5</v>
      </c>
      <c r="TKC3425" s="34">
        <v>4</v>
      </c>
      <c r="TKD3425" s="34">
        <v>4.5</v>
      </c>
      <c r="TKE3425" s="34">
        <v>5</v>
      </c>
      <c r="TKG3425" s="913"/>
      <c r="TKH3425" s="31">
        <v>1</v>
      </c>
      <c r="TKI3425" s="34">
        <v>0</v>
      </c>
      <c r="TKJ3425" s="34">
        <v>-1</v>
      </c>
      <c r="TKK3425" s="34">
        <v>-2</v>
      </c>
      <c r="TKL3425" s="34">
        <v>-3</v>
      </c>
      <c r="TKM3425" s="34">
        <v>-4</v>
      </c>
      <c r="TKN3425" s="34">
        <v>-5</v>
      </c>
      <c r="TKO3425" s="908"/>
      <c r="TKP3425" s="909"/>
      <c r="TKQ3425" s="34">
        <v>-5</v>
      </c>
      <c r="TKR3425" s="34">
        <v>-4.5</v>
      </c>
      <c r="TKS3425" s="34">
        <v>-4</v>
      </c>
      <c r="TKT3425" s="34">
        <v>-3.5</v>
      </c>
      <c r="TKU3425" s="34">
        <v>-3</v>
      </c>
      <c r="TKV3425" s="34">
        <v>-2.5</v>
      </c>
      <c r="TKW3425" s="34">
        <v>-2</v>
      </c>
      <c r="TKX3425" s="34">
        <v>-1.5</v>
      </c>
      <c r="TKY3425" s="34">
        <v>-1</v>
      </c>
      <c r="TKZ3425" s="34">
        <v>-0.5</v>
      </c>
      <c r="TLA3425" s="34">
        <v>0</v>
      </c>
      <c r="TLB3425" s="34">
        <v>0.5</v>
      </c>
      <c r="TLC3425" s="34">
        <v>1</v>
      </c>
      <c r="TLD3425" s="34">
        <v>1.5</v>
      </c>
      <c r="TLE3425" s="34">
        <v>2</v>
      </c>
      <c r="TLF3425" s="34">
        <v>2.5</v>
      </c>
      <c r="TLG3425" s="34">
        <v>3</v>
      </c>
      <c r="TLH3425" s="34">
        <v>3.5</v>
      </c>
      <c r="TLI3425" s="34">
        <v>4</v>
      </c>
      <c r="TLJ3425" s="34">
        <v>4.5</v>
      </c>
      <c r="TLK3425" s="34">
        <v>5</v>
      </c>
      <c r="TLM3425" s="913"/>
      <c r="TLN3425" s="31">
        <v>1</v>
      </c>
      <c r="TLO3425" s="34">
        <v>0</v>
      </c>
      <c r="TLP3425" s="34">
        <v>-1</v>
      </c>
      <c r="TLQ3425" s="34">
        <v>-2</v>
      </c>
      <c r="TLR3425" s="34">
        <v>-3</v>
      </c>
      <c r="TLS3425" s="34">
        <v>-4</v>
      </c>
      <c r="TLT3425" s="34">
        <v>-5</v>
      </c>
      <c r="TLU3425" s="908"/>
      <c r="TLV3425" s="909"/>
      <c r="TLW3425" s="34">
        <v>-5</v>
      </c>
      <c r="TLX3425" s="34">
        <v>-4.5</v>
      </c>
      <c r="TLY3425" s="34">
        <v>-4</v>
      </c>
      <c r="TLZ3425" s="34">
        <v>-3.5</v>
      </c>
      <c r="TMA3425" s="34">
        <v>-3</v>
      </c>
      <c r="TMB3425" s="34">
        <v>-2.5</v>
      </c>
      <c r="TMC3425" s="34">
        <v>-2</v>
      </c>
      <c r="TMD3425" s="34">
        <v>-1.5</v>
      </c>
      <c r="TME3425" s="34">
        <v>-1</v>
      </c>
      <c r="TMF3425" s="34">
        <v>-0.5</v>
      </c>
      <c r="TMG3425" s="34">
        <v>0</v>
      </c>
      <c r="TMH3425" s="34">
        <v>0.5</v>
      </c>
      <c r="TMI3425" s="34">
        <v>1</v>
      </c>
      <c r="TMJ3425" s="34">
        <v>1.5</v>
      </c>
      <c r="TMK3425" s="34">
        <v>2</v>
      </c>
      <c r="TML3425" s="34">
        <v>2.5</v>
      </c>
      <c r="TMM3425" s="34">
        <v>3</v>
      </c>
      <c r="TMN3425" s="34">
        <v>3.5</v>
      </c>
      <c r="TMO3425" s="34">
        <v>4</v>
      </c>
      <c r="TMP3425" s="34">
        <v>4.5</v>
      </c>
      <c r="TMQ3425" s="34">
        <v>5</v>
      </c>
      <c r="TMS3425" s="913"/>
      <c r="TMT3425" s="31">
        <v>1</v>
      </c>
      <c r="TMU3425" s="34">
        <v>0</v>
      </c>
      <c r="TMV3425" s="34">
        <v>-1</v>
      </c>
      <c r="TMW3425" s="34">
        <v>-2</v>
      </c>
      <c r="TMX3425" s="34">
        <v>-3</v>
      </c>
      <c r="TMY3425" s="34">
        <v>-4</v>
      </c>
      <c r="TMZ3425" s="34">
        <v>-5</v>
      </c>
      <c r="TNA3425" s="908"/>
      <c r="TNB3425" s="909"/>
      <c r="TNC3425" s="34">
        <v>-5</v>
      </c>
      <c r="TND3425" s="34">
        <v>-4.5</v>
      </c>
      <c r="TNE3425" s="34">
        <v>-4</v>
      </c>
      <c r="TNF3425" s="34">
        <v>-3.5</v>
      </c>
      <c r="TNG3425" s="34">
        <v>-3</v>
      </c>
      <c r="TNH3425" s="34">
        <v>-2.5</v>
      </c>
      <c r="TNI3425" s="34">
        <v>-2</v>
      </c>
      <c r="TNJ3425" s="34">
        <v>-1.5</v>
      </c>
      <c r="TNK3425" s="34">
        <v>-1</v>
      </c>
      <c r="TNL3425" s="34">
        <v>-0.5</v>
      </c>
      <c r="TNM3425" s="34">
        <v>0</v>
      </c>
      <c r="TNN3425" s="34">
        <v>0.5</v>
      </c>
      <c r="TNO3425" s="34">
        <v>1</v>
      </c>
      <c r="TNP3425" s="34">
        <v>1.5</v>
      </c>
      <c r="TNQ3425" s="34">
        <v>2</v>
      </c>
      <c r="TNR3425" s="34">
        <v>2.5</v>
      </c>
      <c r="TNS3425" s="34">
        <v>3</v>
      </c>
      <c r="TNT3425" s="34">
        <v>3.5</v>
      </c>
      <c r="TNU3425" s="34">
        <v>4</v>
      </c>
      <c r="TNV3425" s="34">
        <v>4.5</v>
      </c>
      <c r="TNW3425" s="34">
        <v>5</v>
      </c>
      <c r="TNY3425" s="913"/>
      <c r="TNZ3425" s="31">
        <v>1</v>
      </c>
      <c r="TOA3425" s="34">
        <v>0</v>
      </c>
      <c r="TOB3425" s="34">
        <v>-1</v>
      </c>
      <c r="TOC3425" s="34">
        <v>-2</v>
      </c>
      <c r="TOD3425" s="34">
        <v>-3</v>
      </c>
      <c r="TOE3425" s="34">
        <v>-4</v>
      </c>
      <c r="TOF3425" s="34">
        <v>-5</v>
      </c>
      <c r="TOG3425" s="908"/>
      <c r="TOH3425" s="909"/>
      <c r="TOI3425" s="34">
        <v>-5</v>
      </c>
      <c r="TOJ3425" s="34">
        <v>-4.5</v>
      </c>
      <c r="TOK3425" s="34">
        <v>-4</v>
      </c>
      <c r="TOL3425" s="34">
        <v>-3.5</v>
      </c>
      <c r="TOM3425" s="34">
        <v>-3</v>
      </c>
      <c r="TON3425" s="34">
        <v>-2.5</v>
      </c>
      <c r="TOO3425" s="34">
        <v>-2</v>
      </c>
      <c r="TOP3425" s="34">
        <v>-1.5</v>
      </c>
      <c r="TOQ3425" s="34">
        <v>-1</v>
      </c>
      <c r="TOR3425" s="34">
        <v>-0.5</v>
      </c>
      <c r="TOS3425" s="34">
        <v>0</v>
      </c>
      <c r="TOT3425" s="34">
        <v>0.5</v>
      </c>
      <c r="TOU3425" s="34">
        <v>1</v>
      </c>
      <c r="TOV3425" s="34">
        <v>1.5</v>
      </c>
      <c r="TOW3425" s="34">
        <v>2</v>
      </c>
      <c r="TOX3425" s="34">
        <v>2.5</v>
      </c>
      <c r="TOY3425" s="34">
        <v>3</v>
      </c>
      <c r="TOZ3425" s="34">
        <v>3.5</v>
      </c>
      <c r="TPA3425" s="34">
        <v>4</v>
      </c>
      <c r="TPB3425" s="34">
        <v>4.5</v>
      </c>
      <c r="TPC3425" s="34">
        <v>5</v>
      </c>
      <c r="TPE3425" s="913"/>
      <c r="TPF3425" s="31">
        <v>1</v>
      </c>
      <c r="TPG3425" s="34">
        <v>0</v>
      </c>
      <c r="TPH3425" s="34">
        <v>-1</v>
      </c>
      <c r="TPI3425" s="34">
        <v>-2</v>
      </c>
      <c r="TPJ3425" s="34">
        <v>-3</v>
      </c>
      <c r="TPK3425" s="34">
        <v>-4</v>
      </c>
      <c r="TPL3425" s="34">
        <v>-5</v>
      </c>
      <c r="TPM3425" s="908"/>
      <c r="TPN3425" s="909"/>
      <c r="TPO3425" s="34">
        <v>-5</v>
      </c>
      <c r="TPP3425" s="34">
        <v>-4.5</v>
      </c>
      <c r="TPQ3425" s="34">
        <v>-4</v>
      </c>
      <c r="TPR3425" s="34">
        <v>-3.5</v>
      </c>
      <c r="TPS3425" s="34">
        <v>-3</v>
      </c>
      <c r="TPT3425" s="34">
        <v>-2.5</v>
      </c>
      <c r="TPU3425" s="34">
        <v>-2</v>
      </c>
      <c r="TPV3425" s="34">
        <v>-1.5</v>
      </c>
      <c r="TPW3425" s="34">
        <v>-1</v>
      </c>
      <c r="TPX3425" s="34">
        <v>-0.5</v>
      </c>
      <c r="TPY3425" s="34">
        <v>0</v>
      </c>
      <c r="TPZ3425" s="34">
        <v>0.5</v>
      </c>
      <c r="TQA3425" s="34">
        <v>1</v>
      </c>
      <c r="TQB3425" s="34">
        <v>1.5</v>
      </c>
      <c r="TQC3425" s="34">
        <v>2</v>
      </c>
      <c r="TQD3425" s="34">
        <v>2.5</v>
      </c>
      <c r="TQE3425" s="34">
        <v>3</v>
      </c>
      <c r="TQF3425" s="34">
        <v>3.5</v>
      </c>
      <c r="TQG3425" s="34">
        <v>4</v>
      </c>
      <c r="TQH3425" s="34">
        <v>4.5</v>
      </c>
      <c r="TQI3425" s="34">
        <v>5</v>
      </c>
      <c r="TQK3425" s="913"/>
      <c r="TQL3425" s="31">
        <v>1</v>
      </c>
      <c r="TQM3425" s="34">
        <v>0</v>
      </c>
      <c r="TQN3425" s="34">
        <v>-1</v>
      </c>
      <c r="TQO3425" s="34">
        <v>-2</v>
      </c>
      <c r="TQP3425" s="34">
        <v>-3</v>
      </c>
      <c r="TQQ3425" s="34">
        <v>-4</v>
      </c>
      <c r="TQR3425" s="34">
        <v>-5</v>
      </c>
      <c r="TQS3425" s="908"/>
      <c r="TQT3425" s="909"/>
      <c r="TQU3425" s="34">
        <v>-5</v>
      </c>
      <c r="TQV3425" s="34">
        <v>-4.5</v>
      </c>
      <c r="TQW3425" s="34">
        <v>-4</v>
      </c>
      <c r="TQX3425" s="34">
        <v>-3.5</v>
      </c>
      <c r="TQY3425" s="34">
        <v>-3</v>
      </c>
      <c r="TQZ3425" s="34">
        <v>-2.5</v>
      </c>
      <c r="TRA3425" s="34">
        <v>-2</v>
      </c>
      <c r="TRB3425" s="34">
        <v>-1.5</v>
      </c>
      <c r="TRC3425" s="34">
        <v>-1</v>
      </c>
      <c r="TRD3425" s="34">
        <v>-0.5</v>
      </c>
      <c r="TRE3425" s="34">
        <v>0</v>
      </c>
      <c r="TRF3425" s="34">
        <v>0.5</v>
      </c>
      <c r="TRG3425" s="34">
        <v>1</v>
      </c>
      <c r="TRH3425" s="34">
        <v>1.5</v>
      </c>
      <c r="TRI3425" s="34">
        <v>2</v>
      </c>
      <c r="TRJ3425" s="34">
        <v>2.5</v>
      </c>
      <c r="TRK3425" s="34">
        <v>3</v>
      </c>
      <c r="TRL3425" s="34">
        <v>3.5</v>
      </c>
      <c r="TRM3425" s="34">
        <v>4</v>
      </c>
      <c r="TRN3425" s="34">
        <v>4.5</v>
      </c>
      <c r="TRO3425" s="34">
        <v>5</v>
      </c>
      <c r="TRQ3425" s="913"/>
      <c r="TRR3425" s="31">
        <v>1</v>
      </c>
      <c r="TRS3425" s="34">
        <v>0</v>
      </c>
      <c r="TRT3425" s="34">
        <v>-1</v>
      </c>
      <c r="TRU3425" s="34">
        <v>-2</v>
      </c>
      <c r="TRV3425" s="34">
        <v>-3</v>
      </c>
      <c r="TRW3425" s="34">
        <v>-4</v>
      </c>
      <c r="TRX3425" s="34">
        <v>-5</v>
      </c>
      <c r="TRY3425" s="908"/>
      <c r="TRZ3425" s="909"/>
      <c r="TSA3425" s="34">
        <v>-5</v>
      </c>
      <c r="TSB3425" s="34">
        <v>-4.5</v>
      </c>
      <c r="TSC3425" s="34">
        <v>-4</v>
      </c>
      <c r="TSD3425" s="34">
        <v>-3.5</v>
      </c>
      <c r="TSE3425" s="34">
        <v>-3</v>
      </c>
      <c r="TSF3425" s="34">
        <v>-2.5</v>
      </c>
      <c r="TSG3425" s="34">
        <v>-2</v>
      </c>
      <c r="TSH3425" s="34">
        <v>-1.5</v>
      </c>
      <c r="TSI3425" s="34">
        <v>-1</v>
      </c>
      <c r="TSJ3425" s="34">
        <v>-0.5</v>
      </c>
      <c r="TSK3425" s="34">
        <v>0</v>
      </c>
      <c r="TSL3425" s="34">
        <v>0.5</v>
      </c>
      <c r="TSM3425" s="34">
        <v>1</v>
      </c>
      <c r="TSN3425" s="34">
        <v>1.5</v>
      </c>
      <c r="TSO3425" s="34">
        <v>2</v>
      </c>
      <c r="TSP3425" s="34">
        <v>2.5</v>
      </c>
      <c r="TSQ3425" s="34">
        <v>3</v>
      </c>
      <c r="TSR3425" s="34">
        <v>3.5</v>
      </c>
      <c r="TSS3425" s="34">
        <v>4</v>
      </c>
      <c r="TST3425" s="34">
        <v>4.5</v>
      </c>
      <c r="TSU3425" s="34">
        <v>5</v>
      </c>
      <c r="TSW3425" s="913"/>
      <c r="TSX3425" s="31">
        <v>1</v>
      </c>
      <c r="TSY3425" s="34">
        <v>0</v>
      </c>
      <c r="TSZ3425" s="34">
        <v>-1</v>
      </c>
      <c r="TTA3425" s="34">
        <v>-2</v>
      </c>
      <c r="TTB3425" s="34">
        <v>-3</v>
      </c>
      <c r="TTC3425" s="34">
        <v>-4</v>
      </c>
      <c r="TTD3425" s="34">
        <v>-5</v>
      </c>
      <c r="TTE3425" s="908"/>
      <c r="TTF3425" s="909"/>
      <c r="TTG3425" s="34">
        <v>-5</v>
      </c>
      <c r="TTH3425" s="34">
        <v>-4.5</v>
      </c>
      <c r="TTI3425" s="34">
        <v>-4</v>
      </c>
      <c r="TTJ3425" s="34">
        <v>-3.5</v>
      </c>
      <c r="TTK3425" s="34">
        <v>-3</v>
      </c>
      <c r="TTL3425" s="34">
        <v>-2.5</v>
      </c>
      <c r="TTM3425" s="34">
        <v>-2</v>
      </c>
      <c r="TTN3425" s="34">
        <v>-1.5</v>
      </c>
      <c r="TTO3425" s="34">
        <v>-1</v>
      </c>
      <c r="TTP3425" s="34">
        <v>-0.5</v>
      </c>
      <c r="TTQ3425" s="34">
        <v>0</v>
      </c>
      <c r="TTR3425" s="34">
        <v>0.5</v>
      </c>
      <c r="TTS3425" s="34">
        <v>1</v>
      </c>
      <c r="TTT3425" s="34">
        <v>1.5</v>
      </c>
      <c r="TTU3425" s="34">
        <v>2</v>
      </c>
      <c r="TTV3425" s="34">
        <v>2.5</v>
      </c>
      <c r="TTW3425" s="34">
        <v>3</v>
      </c>
      <c r="TTX3425" s="34">
        <v>3.5</v>
      </c>
      <c r="TTY3425" s="34">
        <v>4</v>
      </c>
      <c r="TTZ3425" s="34">
        <v>4.5</v>
      </c>
      <c r="TUA3425" s="34">
        <v>5</v>
      </c>
      <c r="TUC3425" s="913"/>
      <c r="TUD3425" s="31">
        <v>1</v>
      </c>
      <c r="TUE3425" s="34">
        <v>0</v>
      </c>
      <c r="TUF3425" s="34">
        <v>-1</v>
      </c>
      <c r="TUG3425" s="34">
        <v>-2</v>
      </c>
      <c r="TUH3425" s="34">
        <v>-3</v>
      </c>
      <c r="TUI3425" s="34">
        <v>-4</v>
      </c>
      <c r="TUJ3425" s="34">
        <v>-5</v>
      </c>
      <c r="TUK3425" s="908"/>
      <c r="TUL3425" s="909"/>
      <c r="TUM3425" s="34">
        <v>-5</v>
      </c>
      <c r="TUN3425" s="34">
        <v>-4.5</v>
      </c>
      <c r="TUO3425" s="34">
        <v>-4</v>
      </c>
      <c r="TUP3425" s="34">
        <v>-3.5</v>
      </c>
      <c r="TUQ3425" s="34">
        <v>-3</v>
      </c>
      <c r="TUR3425" s="34">
        <v>-2.5</v>
      </c>
      <c r="TUS3425" s="34">
        <v>-2</v>
      </c>
      <c r="TUT3425" s="34">
        <v>-1.5</v>
      </c>
      <c r="TUU3425" s="34">
        <v>-1</v>
      </c>
      <c r="TUV3425" s="34">
        <v>-0.5</v>
      </c>
      <c r="TUW3425" s="34">
        <v>0</v>
      </c>
      <c r="TUX3425" s="34">
        <v>0.5</v>
      </c>
      <c r="TUY3425" s="34">
        <v>1</v>
      </c>
      <c r="TUZ3425" s="34">
        <v>1.5</v>
      </c>
      <c r="TVA3425" s="34">
        <v>2</v>
      </c>
      <c r="TVB3425" s="34">
        <v>2.5</v>
      </c>
      <c r="TVC3425" s="34">
        <v>3</v>
      </c>
      <c r="TVD3425" s="34">
        <v>3.5</v>
      </c>
      <c r="TVE3425" s="34">
        <v>4</v>
      </c>
      <c r="TVF3425" s="34">
        <v>4.5</v>
      </c>
      <c r="TVG3425" s="34">
        <v>5</v>
      </c>
      <c r="TVI3425" s="913"/>
      <c r="TVJ3425" s="31">
        <v>1</v>
      </c>
      <c r="TVK3425" s="34">
        <v>0</v>
      </c>
      <c r="TVL3425" s="34">
        <v>-1</v>
      </c>
      <c r="TVM3425" s="34">
        <v>-2</v>
      </c>
      <c r="TVN3425" s="34">
        <v>-3</v>
      </c>
      <c r="TVO3425" s="34">
        <v>-4</v>
      </c>
      <c r="TVP3425" s="34">
        <v>-5</v>
      </c>
      <c r="TVQ3425" s="908"/>
      <c r="TVR3425" s="909"/>
      <c r="TVS3425" s="34">
        <v>-5</v>
      </c>
      <c r="TVT3425" s="34">
        <v>-4.5</v>
      </c>
      <c r="TVU3425" s="34">
        <v>-4</v>
      </c>
      <c r="TVV3425" s="34">
        <v>-3.5</v>
      </c>
      <c r="TVW3425" s="34">
        <v>-3</v>
      </c>
      <c r="TVX3425" s="34">
        <v>-2.5</v>
      </c>
      <c r="TVY3425" s="34">
        <v>-2</v>
      </c>
      <c r="TVZ3425" s="34">
        <v>-1.5</v>
      </c>
      <c r="TWA3425" s="34">
        <v>-1</v>
      </c>
      <c r="TWB3425" s="34">
        <v>-0.5</v>
      </c>
      <c r="TWC3425" s="34">
        <v>0</v>
      </c>
      <c r="TWD3425" s="34">
        <v>0.5</v>
      </c>
      <c r="TWE3425" s="34">
        <v>1</v>
      </c>
      <c r="TWF3425" s="34">
        <v>1.5</v>
      </c>
      <c r="TWG3425" s="34">
        <v>2</v>
      </c>
      <c r="TWH3425" s="34">
        <v>2.5</v>
      </c>
      <c r="TWI3425" s="34">
        <v>3</v>
      </c>
      <c r="TWJ3425" s="34">
        <v>3.5</v>
      </c>
      <c r="TWK3425" s="34">
        <v>4</v>
      </c>
      <c r="TWL3425" s="34">
        <v>4.5</v>
      </c>
      <c r="TWM3425" s="34">
        <v>5</v>
      </c>
      <c r="TWO3425" s="913"/>
      <c r="TWP3425" s="31">
        <v>1</v>
      </c>
      <c r="TWQ3425" s="34">
        <v>0</v>
      </c>
      <c r="TWR3425" s="34">
        <v>-1</v>
      </c>
      <c r="TWS3425" s="34">
        <v>-2</v>
      </c>
      <c r="TWT3425" s="34">
        <v>-3</v>
      </c>
      <c r="TWU3425" s="34">
        <v>-4</v>
      </c>
      <c r="TWV3425" s="34">
        <v>-5</v>
      </c>
      <c r="TWW3425" s="908"/>
      <c r="TWX3425" s="909"/>
      <c r="TWY3425" s="34">
        <v>-5</v>
      </c>
      <c r="TWZ3425" s="34">
        <v>-4.5</v>
      </c>
      <c r="TXA3425" s="34">
        <v>-4</v>
      </c>
      <c r="TXB3425" s="34">
        <v>-3.5</v>
      </c>
      <c r="TXC3425" s="34">
        <v>-3</v>
      </c>
      <c r="TXD3425" s="34">
        <v>-2.5</v>
      </c>
      <c r="TXE3425" s="34">
        <v>-2</v>
      </c>
      <c r="TXF3425" s="34">
        <v>-1.5</v>
      </c>
      <c r="TXG3425" s="34">
        <v>-1</v>
      </c>
      <c r="TXH3425" s="34">
        <v>-0.5</v>
      </c>
      <c r="TXI3425" s="34">
        <v>0</v>
      </c>
      <c r="TXJ3425" s="34">
        <v>0.5</v>
      </c>
      <c r="TXK3425" s="34">
        <v>1</v>
      </c>
      <c r="TXL3425" s="34">
        <v>1.5</v>
      </c>
      <c r="TXM3425" s="34">
        <v>2</v>
      </c>
      <c r="TXN3425" s="34">
        <v>2.5</v>
      </c>
      <c r="TXO3425" s="34">
        <v>3</v>
      </c>
      <c r="TXP3425" s="34">
        <v>3.5</v>
      </c>
      <c r="TXQ3425" s="34">
        <v>4</v>
      </c>
      <c r="TXR3425" s="34">
        <v>4.5</v>
      </c>
      <c r="TXS3425" s="34">
        <v>5</v>
      </c>
      <c r="TXU3425" s="913"/>
      <c r="TXV3425" s="31">
        <v>1</v>
      </c>
      <c r="TXW3425" s="34">
        <v>0</v>
      </c>
      <c r="TXX3425" s="34">
        <v>-1</v>
      </c>
      <c r="TXY3425" s="34">
        <v>-2</v>
      </c>
      <c r="TXZ3425" s="34">
        <v>-3</v>
      </c>
      <c r="TYA3425" s="34">
        <v>-4</v>
      </c>
      <c r="TYB3425" s="34">
        <v>-5</v>
      </c>
      <c r="TYC3425" s="908"/>
      <c r="TYD3425" s="909"/>
      <c r="TYE3425" s="34">
        <v>-5</v>
      </c>
      <c r="TYF3425" s="34">
        <v>-4.5</v>
      </c>
      <c r="TYG3425" s="34">
        <v>-4</v>
      </c>
      <c r="TYH3425" s="34">
        <v>-3.5</v>
      </c>
      <c r="TYI3425" s="34">
        <v>-3</v>
      </c>
      <c r="TYJ3425" s="34">
        <v>-2.5</v>
      </c>
      <c r="TYK3425" s="34">
        <v>-2</v>
      </c>
      <c r="TYL3425" s="34">
        <v>-1.5</v>
      </c>
      <c r="TYM3425" s="34">
        <v>-1</v>
      </c>
      <c r="TYN3425" s="34">
        <v>-0.5</v>
      </c>
      <c r="TYO3425" s="34">
        <v>0</v>
      </c>
      <c r="TYP3425" s="34">
        <v>0.5</v>
      </c>
      <c r="TYQ3425" s="34">
        <v>1</v>
      </c>
      <c r="TYR3425" s="34">
        <v>1.5</v>
      </c>
      <c r="TYS3425" s="34">
        <v>2</v>
      </c>
      <c r="TYT3425" s="34">
        <v>2.5</v>
      </c>
      <c r="TYU3425" s="34">
        <v>3</v>
      </c>
      <c r="TYV3425" s="34">
        <v>3.5</v>
      </c>
      <c r="TYW3425" s="34">
        <v>4</v>
      </c>
      <c r="TYX3425" s="34">
        <v>4.5</v>
      </c>
      <c r="TYY3425" s="34">
        <v>5</v>
      </c>
      <c r="TZA3425" s="913"/>
      <c r="TZB3425" s="31">
        <v>1</v>
      </c>
      <c r="TZC3425" s="34">
        <v>0</v>
      </c>
      <c r="TZD3425" s="34">
        <v>-1</v>
      </c>
      <c r="TZE3425" s="34">
        <v>-2</v>
      </c>
      <c r="TZF3425" s="34">
        <v>-3</v>
      </c>
      <c r="TZG3425" s="34">
        <v>-4</v>
      </c>
      <c r="TZH3425" s="34">
        <v>-5</v>
      </c>
      <c r="TZI3425" s="908"/>
      <c r="TZJ3425" s="909"/>
      <c r="TZK3425" s="34">
        <v>-5</v>
      </c>
      <c r="TZL3425" s="34">
        <v>-4.5</v>
      </c>
      <c r="TZM3425" s="34">
        <v>-4</v>
      </c>
      <c r="TZN3425" s="34">
        <v>-3.5</v>
      </c>
      <c r="TZO3425" s="34">
        <v>-3</v>
      </c>
      <c r="TZP3425" s="34">
        <v>-2.5</v>
      </c>
      <c r="TZQ3425" s="34">
        <v>-2</v>
      </c>
      <c r="TZR3425" s="34">
        <v>-1.5</v>
      </c>
      <c r="TZS3425" s="34">
        <v>-1</v>
      </c>
      <c r="TZT3425" s="34">
        <v>-0.5</v>
      </c>
      <c r="TZU3425" s="34">
        <v>0</v>
      </c>
      <c r="TZV3425" s="34">
        <v>0.5</v>
      </c>
      <c r="TZW3425" s="34">
        <v>1</v>
      </c>
      <c r="TZX3425" s="34">
        <v>1.5</v>
      </c>
      <c r="TZY3425" s="34">
        <v>2</v>
      </c>
      <c r="TZZ3425" s="34">
        <v>2.5</v>
      </c>
      <c r="UAA3425" s="34">
        <v>3</v>
      </c>
      <c r="UAB3425" s="34">
        <v>3.5</v>
      </c>
      <c r="UAC3425" s="34">
        <v>4</v>
      </c>
      <c r="UAD3425" s="34">
        <v>4.5</v>
      </c>
      <c r="UAE3425" s="34">
        <v>5</v>
      </c>
      <c r="UAG3425" s="913"/>
      <c r="UAH3425" s="31">
        <v>1</v>
      </c>
      <c r="UAI3425" s="34">
        <v>0</v>
      </c>
      <c r="UAJ3425" s="34">
        <v>-1</v>
      </c>
      <c r="UAK3425" s="34">
        <v>-2</v>
      </c>
      <c r="UAL3425" s="34">
        <v>-3</v>
      </c>
      <c r="UAM3425" s="34">
        <v>-4</v>
      </c>
      <c r="UAN3425" s="34">
        <v>-5</v>
      </c>
      <c r="UAO3425" s="908"/>
      <c r="UAP3425" s="909"/>
      <c r="UAQ3425" s="34">
        <v>-5</v>
      </c>
      <c r="UAR3425" s="34">
        <v>-4.5</v>
      </c>
      <c r="UAS3425" s="34">
        <v>-4</v>
      </c>
      <c r="UAT3425" s="34">
        <v>-3.5</v>
      </c>
      <c r="UAU3425" s="34">
        <v>-3</v>
      </c>
      <c r="UAV3425" s="34">
        <v>-2.5</v>
      </c>
      <c r="UAW3425" s="34">
        <v>-2</v>
      </c>
      <c r="UAX3425" s="34">
        <v>-1.5</v>
      </c>
      <c r="UAY3425" s="34">
        <v>-1</v>
      </c>
      <c r="UAZ3425" s="34">
        <v>-0.5</v>
      </c>
      <c r="UBA3425" s="34">
        <v>0</v>
      </c>
      <c r="UBB3425" s="34">
        <v>0.5</v>
      </c>
      <c r="UBC3425" s="34">
        <v>1</v>
      </c>
      <c r="UBD3425" s="34">
        <v>1.5</v>
      </c>
      <c r="UBE3425" s="34">
        <v>2</v>
      </c>
      <c r="UBF3425" s="34">
        <v>2.5</v>
      </c>
      <c r="UBG3425" s="34">
        <v>3</v>
      </c>
      <c r="UBH3425" s="34">
        <v>3.5</v>
      </c>
      <c r="UBI3425" s="34">
        <v>4</v>
      </c>
      <c r="UBJ3425" s="34">
        <v>4.5</v>
      </c>
      <c r="UBK3425" s="34">
        <v>5</v>
      </c>
      <c r="UBM3425" s="913"/>
      <c r="UBN3425" s="31">
        <v>1</v>
      </c>
      <c r="UBO3425" s="34">
        <v>0</v>
      </c>
      <c r="UBP3425" s="34">
        <v>-1</v>
      </c>
      <c r="UBQ3425" s="34">
        <v>-2</v>
      </c>
      <c r="UBR3425" s="34">
        <v>-3</v>
      </c>
      <c r="UBS3425" s="34">
        <v>-4</v>
      </c>
      <c r="UBT3425" s="34">
        <v>-5</v>
      </c>
      <c r="UBU3425" s="908"/>
      <c r="UBV3425" s="909"/>
      <c r="UBW3425" s="34">
        <v>-5</v>
      </c>
      <c r="UBX3425" s="34">
        <v>-4.5</v>
      </c>
      <c r="UBY3425" s="34">
        <v>-4</v>
      </c>
      <c r="UBZ3425" s="34">
        <v>-3.5</v>
      </c>
      <c r="UCA3425" s="34">
        <v>-3</v>
      </c>
      <c r="UCB3425" s="34">
        <v>-2.5</v>
      </c>
      <c r="UCC3425" s="34">
        <v>-2</v>
      </c>
      <c r="UCD3425" s="34">
        <v>-1.5</v>
      </c>
      <c r="UCE3425" s="34">
        <v>-1</v>
      </c>
      <c r="UCF3425" s="34">
        <v>-0.5</v>
      </c>
      <c r="UCG3425" s="34">
        <v>0</v>
      </c>
      <c r="UCH3425" s="34">
        <v>0.5</v>
      </c>
      <c r="UCI3425" s="34">
        <v>1</v>
      </c>
      <c r="UCJ3425" s="34">
        <v>1.5</v>
      </c>
      <c r="UCK3425" s="34">
        <v>2</v>
      </c>
      <c r="UCL3425" s="34">
        <v>2.5</v>
      </c>
      <c r="UCM3425" s="34">
        <v>3</v>
      </c>
      <c r="UCN3425" s="34">
        <v>3.5</v>
      </c>
      <c r="UCO3425" s="34">
        <v>4</v>
      </c>
      <c r="UCP3425" s="34">
        <v>4.5</v>
      </c>
      <c r="UCQ3425" s="34">
        <v>5</v>
      </c>
      <c r="UCS3425" s="913"/>
      <c r="UCT3425" s="31">
        <v>1</v>
      </c>
      <c r="UCU3425" s="34">
        <v>0</v>
      </c>
      <c r="UCV3425" s="34">
        <v>-1</v>
      </c>
      <c r="UCW3425" s="34">
        <v>-2</v>
      </c>
      <c r="UCX3425" s="34">
        <v>-3</v>
      </c>
      <c r="UCY3425" s="34">
        <v>-4</v>
      </c>
      <c r="UCZ3425" s="34">
        <v>-5</v>
      </c>
      <c r="UDA3425" s="908"/>
      <c r="UDB3425" s="909"/>
      <c r="UDC3425" s="34">
        <v>-5</v>
      </c>
      <c r="UDD3425" s="34">
        <v>-4.5</v>
      </c>
      <c r="UDE3425" s="34">
        <v>-4</v>
      </c>
      <c r="UDF3425" s="34">
        <v>-3.5</v>
      </c>
      <c r="UDG3425" s="34">
        <v>-3</v>
      </c>
      <c r="UDH3425" s="34">
        <v>-2.5</v>
      </c>
      <c r="UDI3425" s="34">
        <v>-2</v>
      </c>
      <c r="UDJ3425" s="34">
        <v>-1.5</v>
      </c>
      <c r="UDK3425" s="34">
        <v>-1</v>
      </c>
      <c r="UDL3425" s="34">
        <v>-0.5</v>
      </c>
      <c r="UDM3425" s="34">
        <v>0</v>
      </c>
      <c r="UDN3425" s="34">
        <v>0.5</v>
      </c>
      <c r="UDO3425" s="34">
        <v>1</v>
      </c>
      <c r="UDP3425" s="34">
        <v>1.5</v>
      </c>
      <c r="UDQ3425" s="34">
        <v>2</v>
      </c>
      <c r="UDR3425" s="34">
        <v>2.5</v>
      </c>
      <c r="UDS3425" s="34">
        <v>3</v>
      </c>
      <c r="UDT3425" s="34">
        <v>3.5</v>
      </c>
      <c r="UDU3425" s="34">
        <v>4</v>
      </c>
      <c r="UDV3425" s="34">
        <v>4.5</v>
      </c>
      <c r="UDW3425" s="34">
        <v>5</v>
      </c>
      <c r="UDY3425" s="913"/>
      <c r="UDZ3425" s="31">
        <v>1</v>
      </c>
      <c r="UEA3425" s="34">
        <v>0</v>
      </c>
      <c r="UEB3425" s="34">
        <v>-1</v>
      </c>
      <c r="UEC3425" s="34">
        <v>-2</v>
      </c>
      <c r="UED3425" s="34">
        <v>-3</v>
      </c>
      <c r="UEE3425" s="34">
        <v>-4</v>
      </c>
      <c r="UEF3425" s="34">
        <v>-5</v>
      </c>
      <c r="UEG3425" s="908"/>
      <c r="UEH3425" s="909"/>
      <c r="UEI3425" s="34">
        <v>-5</v>
      </c>
      <c r="UEJ3425" s="34">
        <v>-4.5</v>
      </c>
      <c r="UEK3425" s="34">
        <v>-4</v>
      </c>
      <c r="UEL3425" s="34">
        <v>-3.5</v>
      </c>
      <c r="UEM3425" s="34">
        <v>-3</v>
      </c>
      <c r="UEN3425" s="34">
        <v>-2.5</v>
      </c>
      <c r="UEO3425" s="34">
        <v>-2</v>
      </c>
      <c r="UEP3425" s="34">
        <v>-1.5</v>
      </c>
      <c r="UEQ3425" s="34">
        <v>-1</v>
      </c>
      <c r="UER3425" s="34">
        <v>-0.5</v>
      </c>
      <c r="UES3425" s="34">
        <v>0</v>
      </c>
      <c r="UET3425" s="34">
        <v>0.5</v>
      </c>
      <c r="UEU3425" s="34">
        <v>1</v>
      </c>
      <c r="UEV3425" s="34">
        <v>1.5</v>
      </c>
      <c r="UEW3425" s="34">
        <v>2</v>
      </c>
      <c r="UEX3425" s="34">
        <v>2.5</v>
      </c>
      <c r="UEY3425" s="34">
        <v>3</v>
      </c>
      <c r="UEZ3425" s="34">
        <v>3.5</v>
      </c>
      <c r="UFA3425" s="34">
        <v>4</v>
      </c>
      <c r="UFB3425" s="34">
        <v>4.5</v>
      </c>
      <c r="UFC3425" s="34">
        <v>5</v>
      </c>
      <c r="UFE3425" s="913"/>
      <c r="UFF3425" s="31">
        <v>1</v>
      </c>
      <c r="UFG3425" s="34">
        <v>0</v>
      </c>
      <c r="UFH3425" s="34">
        <v>-1</v>
      </c>
      <c r="UFI3425" s="34">
        <v>-2</v>
      </c>
      <c r="UFJ3425" s="34">
        <v>-3</v>
      </c>
      <c r="UFK3425" s="34">
        <v>-4</v>
      </c>
      <c r="UFL3425" s="34">
        <v>-5</v>
      </c>
      <c r="UFM3425" s="908"/>
      <c r="UFN3425" s="909"/>
      <c r="UFO3425" s="34">
        <v>-5</v>
      </c>
      <c r="UFP3425" s="34">
        <v>-4.5</v>
      </c>
      <c r="UFQ3425" s="34">
        <v>-4</v>
      </c>
      <c r="UFR3425" s="34">
        <v>-3.5</v>
      </c>
      <c r="UFS3425" s="34">
        <v>-3</v>
      </c>
      <c r="UFT3425" s="34">
        <v>-2.5</v>
      </c>
      <c r="UFU3425" s="34">
        <v>-2</v>
      </c>
      <c r="UFV3425" s="34">
        <v>-1.5</v>
      </c>
      <c r="UFW3425" s="34">
        <v>-1</v>
      </c>
      <c r="UFX3425" s="34">
        <v>-0.5</v>
      </c>
      <c r="UFY3425" s="34">
        <v>0</v>
      </c>
      <c r="UFZ3425" s="34">
        <v>0.5</v>
      </c>
      <c r="UGA3425" s="34">
        <v>1</v>
      </c>
      <c r="UGB3425" s="34">
        <v>1.5</v>
      </c>
      <c r="UGC3425" s="34">
        <v>2</v>
      </c>
      <c r="UGD3425" s="34">
        <v>2.5</v>
      </c>
      <c r="UGE3425" s="34">
        <v>3</v>
      </c>
      <c r="UGF3425" s="34">
        <v>3.5</v>
      </c>
      <c r="UGG3425" s="34">
        <v>4</v>
      </c>
      <c r="UGH3425" s="34">
        <v>4.5</v>
      </c>
      <c r="UGI3425" s="34">
        <v>5</v>
      </c>
      <c r="UGK3425" s="913"/>
      <c r="UGL3425" s="31">
        <v>1</v>
      </c>
      <c r="UGM3425" s="34">
        <v>0</v>
      </c>
      <c r="UGN3425" s="34">
        <v>-1</v>
      </c>
      <c r="UGO3425" s="34">
        <v>-2</v>
      </c>
      <c r="UGP3425" s="34">
        <v>-3</v>
      </c>
      <c r="UGQ3425" s="34">
        <v>-4</v>
      </c>
      <c r="UGR3425" s="34">
        <v>-5</v>
      </c>
      <c r="UGS3425" s="908"/>
      <c r="UGT3425" s="909"/>
      <c r="UGU3425" s="34">
        <v>-5</v>
      </c>
      <c r="UGV3425" s="34">
        <v>-4.5</v>
      </c>
      <c r="UGW3425" s="34">
        <v>-4</v>
      </c>
      <c r="UGX3425" s="34">
        <v>-3.5</v>
      </c>
      <c r="UGY3425" s="34">
        <v>-3</v>
      </c>
      <c r="UGZ3425" s="34">
        <v>-2.5</v>
      </c>
      <c r="UHA3425" s="34">
        <v>-2</v>
      </c>
      <c r="UHB3425" s="34">
        <v>-1.5</v>
      </c>
      <c r="UHC3425" s="34">
        <v>-1</v>
      </c>
      <c r="UHD3425" s="34">
        <v>-0.5</v>
      </c>
      <c r="UHE3425" s="34">
        <v>0</v>
      </c>
      <c r="UHF3425" s="34">
        <v>0.5</v>
      </c>
      <c r="UHG3425" s="34">
        <v>1</v>
      </c>
      <c r="UHH3425" s="34">
        <v>1.5</v>
      </c>
      <c r="UHI3425" s="34">
        <v>2</v>
      </c>
      <c r="UHJ3425" s="34">
        <v>2.5</v>
      </c>
      <c r="UHK3425" s="34">
        <v>3</v>
      </c>
      <c r="UHL3425" s="34">
        <v>3.5</v>
      </c>
      <c r="UHM3425" s="34">
        <v>4</v>
      </c>
      <c r="UHN3425" s="34">
        <v>4.5</v>
      </c>
      <c r="UHO3425" s="34">
        <v>5</v>
      </c>
      <c r="UHQ3425" s="913"/>
      <c r="UHR3425" s="31">
        <v>1</v>
      </c>
      <c r="UHS3425" s="34">
        <v>0</v>
      </c>
      <c r="UHT3425" s="34">
        <v>-1</v>
      </c>
      <c r="UHU3425" s="34">
        <v>-2</v>
      </c>
      <c r="UHV3425" s="34">
        <v>-3</v>
      </c>
      <c r="UHW3425" s="34">
        <v>-4</v>
      </c>
      <c r="UHX3425" s="34">
        <v>-5</v>
      </c>
      <c r="UHY3425" s="908"/>
      <c r="UHZ3425" s="909"/>
      <c r="UIA3425" s="34">
        <v>-5</v>
      </c>
      <c r="UIB3425" s="34">
        <v>-4.5</v>
      </c>
      <c r="UIC3425" s="34">
        <v>-4</v>
      </c>
      <c r="UID3425" s="34">
        <v>-3.5</v>
      </c>
      <c r="UIE3425" s="34">
        <v>-3</v>
      </c>
      <c r="UIF3425" s="34">
        <v>-2.5</v>
      </c>
      <c r="UIG3425" s="34">
        <v>-2</v>
      </c>
      <c r="UIH3425" s="34">
        <v>-1.5</v>
      </c>
      <c r="UII3425" s="34">
        <v>-1</v>
      </c>
      <c r="UIJ3425" s="34">
        <v>-0.5</v>
      </c>
      <c r="UIK3425" s="34">
        <v>0</v>
      </c>
      <c r="UIL3425" s="34">
        <v>0.5</v>
      </c>
      <c r="UIM3425" s="34">
        <v>1</v>
      </c>
      <c r="UIN3425" s="34">
        <v>1.5</v>
      </c>
      <c r="UIO3425" s="34">
        <v>2</v>
      </c>
      <c r="UIP3425" s="34">
        <v>2.5</v>
      </c>
      <c r="UIQ3425" s="34">
        <v>3</v>
      </c>
      <c r="UIR3425" s="34">
        <v>3.5</v>
      </c>
      <c r="UIS3425" s="34">
        <v>4</v>
      </c>
      <c r="UIT3425" s="34">
        <v>4.5</v>
      </c>
      <c r="UIU3425" s="34">
        <v>5</v>
      </c>
      <c r="UIW3425" s="913"/>
      <c r="UIX3425" s="31">
        <v>1</v>
      </c>
      <c r="UIY3425" s="34">
        <v>0</v>
      </c>
      <c r="UIZ3425" s="34">
        <v>-1</v>
      </c>
      <c r="UJA3425" s="34">
        <v>-2</v>
      </c>
      <c r="UJB3425" s="34">
        <v>-3</v>
      </c>
      <c r="UJC3425" s="34">
        <v>-4</v>
      </c>
      <c r="UJD3425" s="34">
        <v>-5</v>
      </c>
      <c r="UJE3425" s="908"/>
      <c r="UJF3425" s="909"/>
      <c r="UJG3425" s="34">
        <v>-5</v>
      </c>
      <c r="UJH3425" s="34">
        <v>-4.5</v>
      </c>
      <c r="UJI3425" s="34">
        <v>-4</v>
      </c>
      <c r="UJJ3425" s="34">
        <v>-3.5</v>
      </c>
      <c r="UJK3425" s="34">
        <v>-3</v>
      </c>
      <c r="UJL3425" s="34">
        <v>-2.5</v>
      </c>
      <c r="UJM3425" s="34">
        <v>-2</v>
      </c>
      <c r="UJN3425" s="34">
        <v>-1.5</v>
      </c>
      <c r="UJO3425" s="34">
        <v>-1</v>
      </c>
      <c r="UJP3425" s="34">
        <v>-0.5</v>
      </c>
      <c r="UJQ3425" s="34">
        <v>0</v>
      </c>
      <c r="UJR3425" s="34">
        <v>0.5</v>
      </c>
      <c r="UJS3425" s="34">
        <v>1</v>
      </c>
      <c r="UJT3425" s="34">
        <v>1.5</v>
      </c>
      <c r="UJU3425" s="34">
        <v>2</v>
      </c>
      <c r="UJV3425" s="34">
        <v>2.5</v>
      </c>
      <c r="UJW3425" s="34">
        <v>3</v>
      </c>
      <c r="UJX3425" s="34">
        <v>3.5</v>
      </c>
      <c r="UJY3425" s="34">
        <v>4</v>
      </c>
      <c r="UJZ3425" s="34">
        <v>4.5</v>
      </c>
      <c r="UKA3425" s="34">
        <v>5</v>
      </c>
      <c r="UKC3425" s="913"/>
      <c r="UKD3425" s="31">
        <v>1</v>
      </c>
      <c r="UKE3425" s="34">
        <v>0</v>
      </c>
      <c r="UKF3425" s="34">
        <v>-1</v>
      </c>
      <c r="UKG3425" s="34">
        <v>-2</v>
      </c>
      <c r="UKH3425" s="34">
        <v>-3</v>
      </c>
      <c r="UKI3425" s="34">
        <v>-4</v>
      </c>
      <c r="UKJ3425" s="34">
        <v>-5</v>
      </c>
      <c r="UKK3425" s="908"/>
      <c r="UKL3425" s="909"/>
      <c r="UKM3425" s="34">
        <v>-5</v>
      </c>
      <c r="UKN3425" s="34">
        <v>-4.5</v>
      </c>
      <c r="UKO3425" s="34">
        <v>-4</v>
      </c>
      <c r="UKP3425" s="34">
        <v>-3.5</v>
      </c>
      <c r="UKQ3425" s="34">
        <v>-3</v>
      </c>
      <c r="UKR3425" s="34">
        <v>-2.5</v>
      </c>
      <c r="UKS3425" s="34">
        <v>-2</v>
      </c>
      <c r="UKT3425" s="34">
        <v>-1.5</v>
      </c>
      <c r="UKU3425" s="34">
        <v>-1</v>
      </c>
      <c r="UKV3425" s="34">
        <v>-0.5</v>
      </c>
      <c r="UKW3425" s="34">
        <v>0</v>
      </c>
      <c r="UKX3425" s="34">
        <v>0.5</v>
      </c>
      <c r="UKY3425" s="34">
        <v>1</v>
      </c>
      <c r="UKZ3425" s="34">
        <v>1.5</v>
      </c>
      <c r="ULA3425" s="34">
        <v>2</v>
      </c>
      <c r="ULB3425" s="34">
        <v>2.5</v>
      </c>
      <c r="ULC3425" s="34">
        <v>3</v>
      </c>
      <c r="ULD3425" s="34">
        <v>3.5</v>
      </c>
      <c r="ULE3425" s="34">
        <v>4</v>
      </c>
      <c r="ULF3425" s="34">
        <v>4.5</v>
      </c>
      <c r="ULG3425" s="34">
        <v>5</v>
      </c>
      <c r="ULI3425" s="913"/>
      <c r="ULJ3425" s="31">
        <v>1</v>
      </c>
      <c r="ULK3425" s="34">
        <v>0</v>
      </c>
      <c r="ULL3425" s="34">
        <v>-1</v>
      </c>
      <c r="ULM3425" s="34">
        <v>-2</v>
      </c>
      <c r="ULN3425" s="34">
        <v>-3</v>
      </c>
      <c r="ULO3425" s="34">
        <v>-4</v>
      </c>
      <c r="ULP3425" s="34">
        <v>-5</v>
      </c>
      <c r="ULQ3425" s="908"/>
      <c r="ULR3425" s="909"/>
      <c r="ULS3425" s="34">
        <v>-5</v>
      </c>
      <c r="ULT3425" s="34">
        <v>-4.5</v>
      </c>
      <c r="ULU3425" s="34">
        <v>-4</v>
      </c>
      <c r="ULV3425" s="34">
        <v>-3.5</v>
      </c>
      <c r="ULW3425" s="34">
        <v>-3</v>
      </c>
      <c r="ULX3425" s="34">
        <v>-2.5</v>
      </c>
      <c r="ULY3425" s="34">
        <v>-2</v>
      </c>
      <c r="ULZ3425" s="34">
        <v>-1.5</v>
      </c>
      <c r="UMA3425" s="34">
        <v>-1</v>
      </c>
      <c r="UMB3425" s="34">
        <v>-0.5</v>
      </c>
      <c r="UMC3425" s="34">
        <v>0</v>
      </c>
      <c r="UMD3425" s="34">
        <v>0.5</v>
      </c>
      <c r="UME3425" s="34">
        <v>1</v>
      </c>
      <c r="UMF3425" s="34">
        <v>1.5</v>
      </c>
      <c r="UMG3425" s="34">
        <v>2</v>
      </c>
      <c r="UMH3425" s="34">
        <v>2.5</v>
      </c>
      <c r="UMI3425" s="34">
        <v>3</v>
      </c>
      <c r="UMJ3425" s="34">
        <v>3.5</v>
      </c>
      <c r="UMK3425" s="34">
        <v>4</v>
      </c>
      <c r="UML3425" s="34">
        <v>4.5</v>
      </c>
      <c r="UMM3425" s="34">
        <v>5</v>
      </c>
      <c r="UMO3425" s="913"/>
      <c r="UMP3425" s="31">
        <v>1</v>
      </c>
      <c r="UMQ3425" s="34">
        <v>0</v>
      </c>
      <c r="UMR3425" s="34">
        <v>-1</v>
      </c>
      <c r="UMS3425" s="34">
        <v>-2</v>
      </c>
      <c r="UMT3425" s="34">
        <v>-3</v>
      </c>
      <c r="UMU3425" s="34">
        <v>-4</v>
      </c>
      <c r="UMV3425" s="34">
        <v>-5</v>
      </c>
      <c r="UMW3425" s="908"/>
      <c r="UMX3425" s="909"/>
      <c r="UMY3425" s="34">
        <v>-5</v>
      </c>
      <c r="UMZ3425" s="34">
        <v>-4.5</v>
      </c>
      <c r="UNA3425" s="34">
        <v>-4</v>
      </c>
      <c r="UNB3425" s="34">
        <v>-3.5</v>
      </c>
      <c r="UNC3425" s="34">
        <v>-3</v>
      </c>
      <c r="UND3425" s="34">
        <v>-2.5</v>
      </c>
      <c r="UNE3425" s="34">
        <v>-2</v>
      </c>
      <c r="UNF3425" s="34">
        <v>-1.5</v>
      </c>
      <c r="UNG3425" s="34">
        <v>-1</v>
      </c>
      <c r="UNH3425" s="34">
        <v>-0.5</v>
      </c>
      <c r="UNI3425" s="34">
        <v>0</v>
      </c>
      <c r="UNJ3425" s="34">
        <v>0.5</v>
      </c>
      <c r="UNK3425" s="34">
        <v>1</v>
      </c>
      <c r="UNL3425" s="34">
        <v>1.5</v>
      </c>
      <c r="UNM3425" s="34">
        <v>2</v>
      </c>
      <c r="UNN3425" s="34">
        <v>2.5</v>
      </c>
      <c r="UNO3425" s="34">
        <v>3</v>
      </c>
      <c r="UNP3425" s="34">
        <v>3.5</v>
      </c>
      <c r="UNQ3425" s="34">
        <v>4</v>
      </c>
      <c r="UNR3425" s="34">
        <v>4.5</v>
      </c>
      <c r="UNS3425" s="34">
        <v>5</v>
      </c>
      <c r="UNU3425" s="913"/>
      <c r="UNV3425" s="31">
        <v>1</v>
      </c>
      <c r="UNW3425" s="34">
        <v>0</v>
      </c>
      <c r="UNX3425" s="34">
        <v>-1</v>
      </c>
      <c r="UNY3425" s="34">
        <v>-2</v>
      </c>
      <c r="UNZ3425" s="34">
        <v>-3</v>
      </c>
      <c r="UOA3425" s="34">
        <v>-4</v>
      </c>
      <c r="UOB3425" s="34">
        <v>-5</v>
      </c>
      <c r="UOC3425" s="908"/>
      <c r="UOD3425" s="909"/>
      <c r="UOE3425" s="34">
        <v>-5</v>
      </c>
      <c r="UOF3425" s="34">
        <v>-4.5</v>
      </c>
      <c r="UOG3425" s="34">
        <v>-4</v>
      </c>
      <c r="UOH3425" s="34">
        <v>-3.5</v>
      </c>
      <c r="UOI3425" s="34">
        <v>-3</v>
      </c>
      <c r="UOJ3425" s="34">
        <v>-2.5</v>
      </c>
      <c r="UOK3425" s="34">
        <v>-2</v>
      </c>
      <c r="UOL3425" s="34">
        <v>-1.5</v>
      </c>
      <c r="UOM3425" s="34">
        <v>-1</v>
      </c>
      <c r="UON3425" s="34">
        <v>-0.5</v>
      </c>
      <c r="UOO3425" s="34">
        <v>0</v>
      </c>
      <c r="UOP3425" s="34">
        <v>0.5</v>
      </c>
      <c r="UOQ3425" s="34">
        <v>1</v>
      </c>
      <c r="UOR3425" s="34">
        <v>1.5</v>
      </c>
      <c r="UOS3425" s="34">
        <v>2</v>
      </c>
      <c r="UOT3425" s="34">
        <v>2.5</v>
      </c>
      <c r="UOU3425" s="34">
        <v>3</v>
      </c>
      <c r="UOV3425" s="34">
        <v>3.5</v>
      </c>
      <c r="UOW3425" s="34">
        <v>4</v>
      </c>
      <c r="UOX3425" s="34">
        <v>4.5</v>
      </c>
      <c r="UOY3425" s="34">
        <v>5</v>
      </c>
      <c r="UPA3425" s="913"/>
      <c r="UPB3425" s="31">
        <v>1</v>
      </c>
      <c r="UPC3425" s="34">
        <v>0</v>
      </c>
      <c r="UPD3425" s="34">
        <v>-1</v>
      </c>
      <c r="UPE3425" s="34">
        <v>-2</v>
      </c>
      <c r="UPF3425" s="34">
        <v>-3</v>
      </c>
      <c r="UPG3425" s="34">
        <v>-4</v>
      </c>
      <c r="UPH3425" s="34">
        <v>-5</v>
      </c>
      <c r="UPI3425" s="908"/>
      <c r="UPJ3425" s="909"/>
      <c r="UPK3425" s="34">
        <v>-5</v>
      </c>
      <c r="UPL3425" s="34">
        <v>-4.5</v>
      </c>
      <c r="UPM3425" s="34">
        <v>-4</v>
      </c>
      <c r="UPN3425" s="34">
        <v>-3.5</v>
      </c>
      <c r="UPO3425" s="34">
        <v>-3</v>
      </c>
      <c r="UPP3425" s="34">
        <v>-2.5</v>
      </c>
      <c r="UPQ3425" s="34">
        <v>-2</v>
      </c>
      <c r="UPR3425" s="34">
        <v>-1.5</v>
      </c>
      <c r="UPS3425" s="34">
        <v>-1</v>
      </c>
      <c r="UPT3425" s="34">
        <v>-0.5</v>
      </c>
      <c r="UPU3425" s="34">
        <v>0</v>
      </c>
      <c r="UPV3425" s="34">
        <v>0.5</v>
      </c>
      <c r="UPW3425" s="34">
        <v>1</v>
      </c>
      <c r="UPX3425" s="34">
        <v>1.5</v>
      </c>
      <c r="UPY3425" s="34">
        <v>2</v>
      </c>
      <c r="UPZ3425" s="34">
        <v>2.5</v>
      </c>
      <c r="UQA3425" s="34">
        <v>3</v>
      </c>
      <c r="UQB3425" s="34">
        <v>3.5</v>
      </c>
      <c r="UQC3425" s="34">
        <v>4</v>
      </c>
      <c r="UQD3425" s="34">
        <v>4.5</v>
      </c>
      <c r="UQE3425" s="34">
        <v>5</v>
      </c>
      <c r="UQG3425" s="913"/>
      <c r="UQH3425" s="31">
        <v>1</v>
      </c>
      <c r="UQI3425" s="34">
        <v>0</v>
      </c>
      <c r="UQJ3425" s="34">
        <v>-1</v>
      </c>
      <c r="UQK3425" s="34">
        <v>-2</v>
      </c>
      <c r="UQL3425" s="34">
        <v>-3</v>
      </c>
      <c r="UQM3425" s="34">
        <v>-4</v>
      </c>
      <c r="UQN3425" s="34">
        <v>-5</v>
      </c>
      <c r="UQO3425" s="908"/>
      <c r="UQP3425" s="909"/>
      <c r="UQQ3425" s="34">
        <v>-5</v>
      </c>
      <c r="UQR3425" s="34">
        <v>-4.5</v>
      </c>
      <c r="UQS3425" s="34">
        <v>-4</v>
      </c>
      <c r="UQT3425" s="34">
        <v>-3.5</v>
      </c>
      <c r="UQU3425" s="34">
        <v>-3</v>
      </c>
      <c r="UQV3425" s="34">
        <v>-2.5</v>
      </c>
      <c r="UQW3425" s="34">
        <v>-2</v>
      </c>
      <c r="UQX3425" s="34">
        <v>-1.5</v>
      </c>
      <c r="UQY3425" s="34">
        <v>-1</v>
      </c>
      <c r="UQZ3425" s="34">
        <v>-0.5</v>
      </c>
      <c r="URA3425" s="34">
        <v>0</v>
      </c>
      <c r="URB3425" s="34">
        <v>0.5</v>
      </c>
      <c r="URC3425" s="34">
        <v>1</v>
      </c>
      <c r="URD3425" s="34">
        <v>1.5</v>
      </c>
      <c r="URE3425" s="34">
        <v>2</v>
      </c>
      <c r="URF3425" s="34">
        <v>2.5</v>
      </c>
      <c r="URG3425" s="34">
        <v>3</v>
      </c>
      <c r="URH3425" s="34">
        <v>3.5</v>
      </c>
      <c r="URI3425" s="34">
        <v>4</v>
      </c>
      <c r="URJ3425" s="34">
        <v>4.5</v>
      </c>
      <c r="URK3425" s="34">
        <v>5</v>
      </c>
      <c r="URM3425" s="913"/>
      <c r="URN3425" s="31">
        <v>1</v>
      </c>
      <c r="URO3425" s="34">
        <v>0</v>
      </c>
      <c r="URP3425" s="34">
        <v>-1</v>
      </c>
      <c r="URQ3425" s="34">
        <v>-2</v>
      </c>
      <c r="URR3425" s="34">
        <v>-3</v>
      </c>
      <c r="URS3425" s="34">
        <v>-4</v>
      </c>
      <c r="URT3425" s="34">
        <v>-5</v>
      </c>
      <c r="URU3425" s="908"/>
      <c r="URV3425" s="909"/>
      <c r="URW3425" s="34">
        <v>-5</v>
      </c>
      <c r="URX3425" s="34">
        <v>-4.5</v>
      </c>
      <c r="URY3425" s="34">
        <v>-4</v>
      </c>
      <c r="URZ3425" s="34">
        <v>-3.5</v>
      </c>
      <c r="USA3425" s="34">
        <v>-3</v>
      </c>
      <c r="USB3425" s="34">
        <v>-2.5</v>
      </c>
      <c r="USC3425" s="34">
        <v>-2</v>
      </c>
      <c r="USD3425" s="34">
        <v>-1.5</v>
      </c>
      <c r="USE3425" s="34">
        <v>-1</v>
      </c>
      <c r="USF3425" s="34">
        <v>-0.5</v>
      </c>
      <c r="USG3425" s="34">
        <v>0</v>
      </c>
      <c r="USH3425" s="34">
        <v>0.5</v>
      </c>
      <c r="USI3425" s="34">
        <v>1</v>
      </c>
      <c r="USJ3425" s="34">
        <v>1.5</v>
      </c>
      <c r="USK3425" s="34">
        <v>2</v>
      </c>
      <c r="USL3425" s="34">
        <v>2.5</v>
      </c>
      <c r="USM3425" s="34">
        <v>3</v>
      </c>
      <c r="USN3425" s="34">
        <v>3.5</v>
      </c>
      <c r="USO3425" s="34">
        <v>4</v>
      </c>
      <c r="USP3425" s="34">
        <v>4.5</v>
      </c>
      <c r="USQ3425" s="34">
        <v>5</v>
      </c>
      <c r="USS3425" s="913"/>
      <c r="UST3425" s="31">
        <v>1</v>
      </c>
      <c r="USU3425" s="34">
        <v>0</v>
      </c>
      <c r="USV3425" s="34">
        <v>-1</v>
      </c>
      <c r="USW3425" s="34">
        <v>-2</v>
      </c>
      <c r="USX3425" s="34">
        <v>-3</v>
      </c>
      <c r="USY3425" s="34">
        <v>-4</v>
      </c>
      <c r="USZ3425" s="34">
        <v>-5</v>
      </c>
      <c r="UTA3425" s="908"/>
      <c r="UTB3425" s="909"/>
      <c r="UTC3425" s="34">
        <v>-5</v>
      </c>
      <c r="UTD3425" s="34">
        <v>-4.5</v>
      </c>
      <c r="UTE3425" s="34">
        <v>-4</v>
      </c>
      <c r="UTF3425" s="34">
        <v>-3.5</v>
      </c>
      <c r="UTG3425" s="34">
        <v>-3</v>
      </c>
      <c r="UTH3425" s="34">
        <v>-2.5</v>
      </c>
      <c r="UTI3425" s="34">
        <v>-2</v>
      </c>
      <c r="UTJ3425" s="34">
        <v>-1.5</v>
      </c>
      <c r="UTK3425" s="34">
        <v>-1</v>
      </c>
      <c r="UTL3425" s="34">
        <v>-0.5</v>
      </c>
      <c r="UTM3425" s="34">
        <v>0</v>
      </c>
      <c r="UTN3425" s="34">
        <v>0.5</v>
      </c>
      <c r="UTO3425" s="34">
        <v>1</v>
      </c>
      <c r="UTP3425" s="34">
        <v>1.5</v>
      </c>
      <c r="UTQ3425" s="34">
        <v>2</v>
      </c>
      <c r="UTR3425" s="34">
        <v>2.5</v>
      </c>
      <c r="UTS3425" s="34">
        <v>3</v>
      </c>
      <c r="UTT3425" s="34">
        <v>3.5</v>
      </c>
      <c r="UTU3425" s="34">
        <v>4</v>
      </c>
      <c r="UTV3425" s="34">
        <v>4.5</v>
      </c>
      <c r="UTW3425" s="34">
        <v>5</v>
      </c>
      <c r="UTY3425" s="913"/>
      <c r="UTZ3425" s="31">
        <v>1</v>
      </c>
      <c r="UUA3425" s="34">
        <v>0</v>
      </c>
      <c r="UUB3425" s="34">
        <v>-1</v>
      </c>
      <c r="UUC3425" s="34">
        <v>-2</v>
      </c>
      <c r="UUD3425" s="34">
        <v>-3</v>
      </c>
      <c r="UUE3425" s="34">
        <v>-4</v>
      </c>
      <c r="UUF3425" s="34">
        <v>-5</v>
      </c>
      <c r="UUG3425" s="908"/>
      <c r="UUH3425" s="909"/>
      <c r="UUI3425" s="34">
        <v>-5</v>
      </c>
      <c r="UUJ3425" s="34">
        <v>-4.5</v>
      </c>
      <c r="UUK3425" s="34">
        <v>-4</v>
      </c>
      <c r="UUL3425" s="34">
        <v>-3.5</v>
      </c>
      <c r="UUM3425" s="34">
        <v>-3</v>
      </c>
      <c r="UUN3425" s="34">
        <v>-2.5</v>
      </c>
      <c r="UUO3425" s="34">
        <v>-2</v>
      </c>
      <c r="UUP3425" s="34">
        <v>-1.5</v>
      </c>
      <c r="UUQ3425" s="34">
        <v>-1</v>
      </c>
      <c r="UUR3425" s="34">
        <v>-0.5</v>
      </c>
      <c r="UUS3425" s="34">
        <v>0</v>
      </c>
      <c r="UUT3425" s="34">
        <v>0.5</v>
      </c>
      <c r="UUU3425" s="34">
        <v>1</v>
      </c>
      <c r="UUV3425" s="34">
        <v>1.5</v>
      </c>
      <c r="UUW3425" s="34">
        <v>2</v>
      </c>
      <c r="UUX3425" s="34">
        <v>2.5</v>
      </c>
      <c r="UUY3425" s="34">
        <v>3</v>
      </c>
      <c r="UUZ3425" s="34">
        <v>3.5</v>
      </c>
      <c r="UVA3425" s="34">
        <v>4</v>
      </c>
      <c r="UVB3425" s="34">
        <v>4.5</v>
      </c>
      <c r="UVC3425" s="34">
        <v>5</v>
      </c>
      <c r="UVE3425" s="913"/>
      <c r="UVF3425" s="31">
        <v>1</v>
      </c>
      <c r="UVG3425" s="34">
        <v>0</v>
      </c>
      <c r="UVH3425" s="34">
        <v>-1</v>
      </c>
      <c r="UVI3425" s="34">
        <v>-2</v>
      </c>
      <c r="UVJ3425" s="34">
        <v>-3</v>
      </c>
      <c r="UVK3425" s="34">
        <v>-4</v>
      </c>
      <c r="UVL3425" s="34">
        <v>-5</v>
      </c>
      <c r="UVM3425" s="908"/>
      <c r="UVN3425" s="909"/>
      <c r="UVO3425" s="34">
        <v>-5</v>
      </c>
      <c r="UVP3425" s="34">
        <v>-4.5</v>
      </c>
      <c r="UVQ3425" s="34">
        <v>-4</v>
      </c>
      <c r="UVR3425" s="34">
        <v>-3.5</v>
      </c>
      <c r="UVS3425" s="34">
        <v>-3</v>
      </c>
      <c r="UVT3425" s="34">
        <v>-2.5</v>
      </c>
      <c r="UVU3425" s="34">
        <v>-2</v>
      </c>
      <c r="UVV3425" s="34">
        <v>-1.5</v>
      </c>
      <c r="UVW3425" s="34">
        <v>-1</v>
      </c>
      <c r="UVX3425" s="34">
        <v>-0.5</v>
      </c>
      <c r="UVY3425" s="34">
        <v>0</v>
      </c>
      <c r="UVZ3425" s="34">
        <v>0.5</v>
      </c>
      <c r="UWA3425" s="34">
        <v>1</v>
      </c>
      <c r="UWB3425" s="34">
        <v>1.5</v>
      </c>
      <c r="UWC3425" s="34">
        <v>2</v>
      </c>
      <c r="UWD3425" s="34">
        <v>2.5</v>
      </c>
      <c r="UWE3425" s="34">
        <v>3</v>
      </c>
      <c r="UWF3425" s="34">
        <v>3.5</v>
      </c>
      <c r="UWG3425" s="34">
        <v>4</v>
      </c>
      <c r="UWH3425" s="34">
        <v>4.5</v>
      </c>
      <c r="UWI3425" s="34">
        <v>5</v>
      </c>
      <c r="UWK3425" s="913"/>
      <c r="UWL3425" s="31">
        <v>1</v>
      </c>
      <c r="UWM3425" s="34">
        <v>0</v>
      </c>
      <c r="UWN3425" s="34">
        <v>-1</v>
      </c>
      <c r="UWO3425" s="34">
        <v>-2</v>
      </c>
      <c r="UWP3425" s="34">
        <v>-3</v>
      </c>
      <c r="UWQ3425" s="34">
        <v>-4</v>
      </c>
      <c r="UWR3425" s="34">
        <v>-5</v>
      </c>
      <c r="UWS3425" s="908"/>
      <c r="UWT3425" s="909"/>
      <c r="UWU3425" s="34">
        <v>-5</v>
      </c>
      <c r="UWV3425" s="34">
        <v>-4.5</v>
      </c>
      <c r="UWW3425" s="34">
        <v>-4</v>
      </c>
      <c r="UWX3425" s="34">
        <v>-3.5</v>
      </c>
      <c r="UWY3425" s="34">
        <v>-3</v>
      </c>
      <c r="UWZ3425" s="34">
        <v>-2.5</v>
      </c>
      <c r="UXA3425" s="34">
        <v>-2</v>
      </c>
      <c r="UXB3425" s="34">
        <v>-1.5</v>
      </c>
      <c r="UXC3425" s="34">
        <v>-1</v>
      </c>
      <c r="UXD3425" s="34">
        <v>-0.5</v>
      </c>
      <c r="UXE3425" s="34">
        <v>0</v>
      </c>
      <c r="UXF3425" s="34">
        <v>0.5</v>
      </c>
      <c r="UXG3425" s="34">
        <v>1</v>
      </c>
      <c r="UXH3425" s="34">
        <v>1.5</v>
      </c>
      <c r="UXI3425" s="34">
        <v>2</v>
      </c>
      <c r="UXJ3425" s="34">
        <v>2.5</v>
      </c>
      <c r="UXK3425" s="34">
        <v>3</v>
      </c>
      <c r="UXL3425" s="34">
        <v>3.5</v>
      </c>
      <c r="UXM3425" s="34">
        <v>4</v>
      </c>
      <c r="UXN3425" s="34">
        <v>4.5</v>
      </c>
      <c r="UXO3425" s="34">
        <v>5</v>
      </c>
      <c r="UXQ3425" s="913"/>
      <c r="UXR3425" s="31">
        <v>1</v>
      </c>
      <c r="UXS3425" s="34">
        <v>0</v>
      </c>
      <c r="UXT3425" s="34">
        <v>-1</v>
      </c>
      <c r="UXU3425" s="34">
        <v>-2</v>
      </c>
      <c r="UXV3425" s="34">
        <v>-3</v>
      </c>
      <c r="UXW3425" s="34">
        <v>-4</v>
      </c>
      <c r="UXX3425" s="34">
        <v>-5</v>
      </c>
      <c r="UXY3425" s="908"/>
      <c r="UXZ3425" s="909"/>
      <c r="UYA3425" s="34">
        <v>-5</v>
      </c>
      <c r="UYB3425" s="34">
        <v>-4.5</v>
      </c>
      <c r="UYC3425" s="34">
        <v>-4</v>
      </c>
      <c r="UYD3425" s="34">
        <v>-3.5</v>
      </c>
      <c r="UYE3425" s="34">
        <v>-3</v>
      </c>
      <c r="UYF3425" s="34">
        <v>-2.5</v>
      </c>
      <c r="UYG3425" s="34">
        <v>-2</v>
      </c>
      <c r="UYH3425" s="34">
        <v>-1.5</v>
      </c>
      <c r="UYI3425" s="34">
        <v>-1</v>
      </c>
      <c r="UYJ3425" s="34">
        <v>-0.5</v>
      </c>
      <c r="UYK3425" s="34">
        <v>0</v>
      </c>
      <c r="UYL3425" s="34">
        <v>0.5</v>
      </c>
      <c r="UYM3425" s="34">
        <v>1</v>
      </c>
      <c r="UYN3425" s="34">
        <v>1.5</v>
      </c>
      <c r="UYO3425" s="34">
        <v>2</v>
      </c>
      <c r="UYP3425" s="34">
        <v>2.5</v>
      </c>
      <c r="UYQ3425" s="34">
        <v>3</v>
      </c>
      <c r="UYR3425" s="34">
        <v>3.5</v>
      </c>
      <c r="UYS3425" s="34">
        <v>4</v>
      </c>
      <c r="UYT3425" s="34">
        <v>4.5</v>
      </c>
      <c r="UYU3425" s="34">
        <v>5</v>
      </c>
      <c r="UYW3425" s="913"/>
      <c r="UYX3425" s="31">
        <v>1</v>
      </c>
      <c r="UYY3425" s="34">
        <v>0</v>
      </c>
      <c r="UYZ3425" s="34">
        <v>-1</v>
      </c>
      <c r="UZA3425" s="34">
        <v>-2</v>
      </c>
      <c r="UZB3425" s="34">
        <v>-3</v>
      </c>
      <c r="UZC3425" s="34">
        <v>-4</v>
      </c>
      <c r="UZD3425" s="34">
        <v>-5</v>
      </c>
      <c r="UZE3425" s="908"/>
      <c r="UZF3425" s="909"/>
      <c r="UZG3425" s="34">
        <v>-5</v>
      </c>
      <c r="UZH3425" s="34">
        <v>-4.5</v>
      </c>
      <c r="UZI3425" s="34">
        <v>-4</v>
      </c>
      <c r="UZJ3425" s="34">
        <v>-3.5</v>
      </c>
      <c r="UZK3425" s="34">
        <v>-3</v>
      </c>
      <c r="UZL3425" s="34">
        <v>-2.5</v>
      </c>
      <c r="UZM3425" s="34">
        <v>-2</v>
      </c>
      <c r="UZN3425" s="34">
        <v>-1.5</v>
      </c>
      <c r="UZO3425" s="34">
        <v>-1</v>
      </c>
      <c r="UZP3425" s="34">
        <v>-0.5</v>
      </c>
      <c r="UZQ3425" s="34">
        <v>0</v>
      </c>
      <c r="UZR3425" s="34">
        <v>0.5</v>
      </c>
      <c r="UZS3425" s="34">
        <v>1</v>
      </c>
      <c r="UZT3425" s="34">
        <v>1.5</v>
      </c>
      <c r="UZU3425" s="34">
        <v>2</v>
      </c>
      <c r="UZV3425" s="34">
        <v>2.5</v>
      </c>
      <c r="UZW3425" s="34">
        <v>3</v>
      </c>
      <c r="UZX3425" s="34">
        <v>3.5</v>
      </c>
      <c r="UZY3425" s="34">
        <v>4</v>
      </c>
      <c r="UZZ3425" s="34">
        <v>4.5</v>
      </c>
      <c r="VAA3425" s="34">
        <v>5</v>
      </c>
      <c r="VAC3425" s="913"/>
      <c r="VAD3425" s="31">
        <v>1</v>
      </c>
      <c r="VAE3425" s="34">
        <v>0</v>
      </c>
      <c r="VAF3425" s="34">
        <v>-1</v>
      </c>
      <c r="VAG3425" s="34">
        <v>-2</v>
      </c>
      <c r="VAH3425" s="34">
        <v>-3</v>
      </c>
      <c r="VAI3425" s="34">
        <v>-4</v>
      </c>
      <c r="VAJ3425" s="34">
        <v>-5</v>
      </c>
      <c r="VAK3425" s="908"/>
      <c r="VAL3425" s="909"/>
      <c r="VAM3425" s="34">
        <v>-5</v>
      </c>
      <c r="VAN3425" s="34">
        <v>-4.5</v>
      </c>
      <c r="VAO3425" s="34">
        <v>-4</v>
      </c>
      <c r="VAP3425" s="34">
        <v>-3.5</v>
      </c>
      <c r="VAQ3425" s="34">
        <v>-3</v>
      </c>
      <c r="VAR3425" s="34">
        <v>-2.5</v>
      </c>
      <c r="VAS3425" s="34">
        <v>-2</v>
      </c>
      <c r="VAT3425" s="34">
        <v>-1.5</v>
      </c>
      <c r="VAU3425" s="34">
        <v>-1</v>
      </c>
      <c r="VAV3425" s="34">
        <v>-0.5</v>
      </c>
      <c r="VAW3425" s="34">
        <v>0</v>
      </c>
      <c r="VAX3425" s="34">
        <v>0.5</v>
      </c>
      <c r="VAY3425" s="34">
        <v>1</v>
      </c>
      <c r="VAZ3425" s="34">
        <v>1.5</v>
      </c>
      <c r="VBA3425" s="34">
        <v>2</v>
      </c>
      <c r="VBB3425" s="34">
        <v>2.5</v>
      </c>
      <c r="VBC3425" s="34">
        <v>3</v>
      </c>
      <c r="VBD3425" s="34">
        <v>3.5</v>
      </c>
      <c r="VBE3425" s="34">
        <v>4</v>
      </c>
      <c r="VBF3425" s="34">
        <v>4.5</v>
      </c>
      <c r="VBG3425" s="34">
        <v>5</v>
      </c>
      <c r="VBI3425" s="913"/>
      <c r="VBJ3425" s="31">
        <v>1</v>
      </c>
      <c r="VBK3425" s="34">
        <v>0</v>
      </c>
      <c r="VBL3425" s="34">
        <v>-1</v>
      </c>
      <c r="VBM3425" s="34">
        <v>-2</v>
      </c>
      <c r="VBN3425" s="34">
        <v>-3</v>
      </c>
      <c r="VBO3425" s="34">
        <v>-4</v>
      </c>
      <c r="VBP3425" s="34">
        <v>-5</v>
      </c>
      <c r="VBQ3425" s="908"/>
      <c r="VBR3425" s="909"/>
      <c r="VBS3425" s="34">
        <v>-5</v>
      </c>
      <c r="VBT3425" s="34">
        <v>-4.5</v>
      </c>
      <c r="VBU3425" s="34">
        <v>-4</v>
      </c>
      <c r="VBV3425" s="34">
        <v>-3.5</v>
      </c>
      <c r="VBW3425" s="34">
        <v>-3</v>
      </c>
      <c r="VBX3425" s="34">
        <v>-2.5</v>
      </c>
      <c r="VBY3425" s="34">
        <v>-2</v>
      </c>
      <c r="VBZ3425" s="34">
        <v>-1.5</v>
      </c>
      <c r="VCA3425" s="34">
        <v>-1</v>
      </c>
      <c r="VCB3425" s="34">
        <v>-0.5</v>
      </c>
      <c r="VCC3425" s="34">
        <v>0</v>
      </c>
      <c r="VCD3425" s="34">
        <v>0.5</v>
      </c>
      <c r="VCE3425" s="34">
        <v>1</v>
      </c>
      <c r="VCF3425" s="34">
        <v>1.5</v>
      </c>
      <c r="VCG3425" s="34">
        <v>2</v>
      </c>
      <c r="VCH3425" s="34">
        <v>2.5</v>
      </c>
      <c r="VCI3425" s="34">
        <v>3</v>
      </c>
      <c r="VCJ3425" s="34">
        <v>3.5</v>
      </c>
      <c r="VCK3425" s="34">
        <v>4</v>
      </c>
      <c r="VCL3425" s="34">
        <v>4.5</v>
      </c>
      <c r="VCM3425" s="34">
        <v>5</v>
      </c>
      <c r="VCO3425" s="913"/>
      <c r="VCP3425" s="31">
        <v>1</v>
      </c>
      <c r="VCQ3425" s="34">
        <v>0</v>
      </c>
      <c r="VCR3425" s="34">
        <v>-1</v>
      </c>
      <c r="VCS3425" s="34">
        <v>-2</v>
      </c>
      <c r="VCT3425" s="34">
        <v>-3</v>
      </c>
      <c r="VCU3425" s="34">
        <v>-4</v>
      </c>
      <c r="VCV3425" s="34">
        <v>-5</v>
      </c>
      <c r="VCW3425" s="908"/>
      <c r="VCX3425" s="909"/>
      <c r="VCY3425" s="34">
        <v>-5</v>
      </c>
      <c r="VCZ3425" s="34">
        <v>-4.5</v>
      </c>
      <c r="VDA3425" s="34">
        <v>-4</v>
      </c>
      <c r="VDB3425" s="34">
        <v>-3.5</v>
      </c>
      <c r="VDC3425" s="34">
        <v>-3</v>
      </c>
      <c r="VDD3425" s="34">
        <v>-2.5</v>
      </c>
      <c r="VDE3425" s="34">
        <v>-2</v>
      </c>
      <c r="VDF3425" s="34">
        <v>-1.5</v>
      </c>
      <c r="VDG3425" s="34">
        <v>-1</v>
      </c>
      <c r="VDH3425" s="34">
        <v>-0.5</v>
      </c>
      <c r="VDI3425" s="34">
        <v>0</v>
      </c>
      <c r="VDJ3425" s="34">
        <v>0.5</v>
      </c>
      <c r="VDK3425" s="34">
        <v>1</v>
      </c>
      <c r="VDL3425" s="34">
        <v>1.5</v>
      </c>
      <c r="VDM3425" s="34">
        <v>2</v>
      </c>
      <c r="VDN3425" s="34">
        <v>2.5</v>
      </c>
      <c r="VDO3425" s="34">
        <v>3</v>
      </c>
      <c r="VDP3425" s="34">
        <v>3.5</v>
      </c>
      <c r="VDQ3425" s="34">
        <v>4</v>
      </c>
      <c r="VDR3425" s="34">
        <v>4.5</v>
      </c>
      <c r="VDS3425" s="34">
        <v>5</v>
      </c>
      <c r="VDU3425" s="913"/>
      <c r="VDV3425" s="31">
        <v>1</v>
      </c>
      <c r="VDW3425" s="34">
        <v>0</v>
      </c>
      <c r="VDX3425" s="34">
        <v>-1</v>
      </c>
      <c r="VDY3425" s="34">
        <v>-2</v>
      </c>
      <c r="VDZ3425" s="34">
        <v>-3</v>
      </c>
      <c r="VEA3425" s="34">
        <v>-4</v>
      </c>
      <c r="VEB3425" s="34">
        <v>-5</v>
      </c>
      <c r="VEC3425" s="908"/>
      <c r="VED3425" s="909"/>
      <c r="VEE3425" s="34">
        <v>-5</v>
      </c>
      <c r="VEF3425" s="34">
        <v>-4.5</v>
      </c>
      <c r="VEG3425" s="34">
        <v>-4</v>
      </c>
      <c r="VEH3425" s="34">
        <v>-3.5</v>
      </c>
      <c r="VEI3425" s="34">
        <v>-3</v>
      </c>
      <c r="VEJ3425" s="34">
        <v>-2.5</v>
      </c>
      <c r="VEK3425" s="34">
        <v>-2</v>
      </c>
      <c r="VEL3425" s="34">
        <v>-1.5</v>
      </c>
      <c r="VEM3425" s="34">
        <v>-1</v>
      </c>
      <c r="VEN3425" s="34">
        <v>-0.5</v>
      </c>
      <c r="VEO3425" s="34">
        <v>0</v>
      </c>
      <c r="VEP3425" s="34">
        <v>0.5</v>
      </c>
      <c r="VEQ3425" s="34">
        <v>1</v>
      </c>
      <c r="VER3425" s="34">
        <v>1.5</v>
      </c>
      <c r="VES3425" s="34">
        <v>2</v>
      </c>
      <c r="VET3425" s="34">
        <v>2.5</v>
      </c>
      <c r="VEU3425" s="34">
        <v>3</v>
      </c>
      <c r="VEV3425" s="34">
        <v>3.5</v>
      </c>
      <c r="VEW3425" s="34">
        <v>4</v>
      </c>
      <c r="VEX3425" s="34">
        <v>4.5</v>
      </c>
      <c r="VEY3425" s="34">
        <v>5</v>
      </c>
      <c r="VFA3425" s="913"/>
      <c r="VFB3425" s="31">
        <v>1</v>
      </c>
      <c r="VFC3425" s="34">
        <v>0</v>
      </c>
      <c r="VFD3425" s="34">
        <v>-1</v>
      </c>
      <c r="VFE3425" s="34">
        <v>-2</v>
      </c>
      <c r="VFF3425" s="34">
        <v>-3</v>
      </c>
      <c r="VFG3425" s="34">
        <v>-4</v>
      </c>
      <c r="VFH3425" s="34">
        <v>-5</v>
      </c>
      <c r="VFI3425" s="908"/>
      <c r="VFJ3425" s="909"/>
      <c r="VFK3425" s="34">
        <v>-5</v>
      </c>
      <c r="VFL3425" s="34">
        <v>-4.5</v>
      </c>
      <c r="VFM3425" s="34">
        <v>-4</v>
      </c>
      <c r="VFN3425" s="34">
        <v>-3.5</v>
      </c>
      <c r="VFO3425" s="34">
        <v>-3</v>
      </c>
      <c r="VFP3425" s="34">
        <v>-2.5</v>
      </c>
      <c r="VFQ3425" s="34">
        <v>-2</v>
      </c>
      <c r="VFR3425" s="34">
        <v>-1.5</v>
      </c>
      <c r="VFS3425" s="34">
        <v>-1</v>
      </c>
      <c r="VFT3425" s="34">
        <v>-0.5</v>
      </c>
      <c r="VFU3425" s="34">
        <v>0</v>
      </c>
      <c r="VFV3425" s="34">
        <v>0.5</v>
      </c>
      <c r="VFW3425" s="34">
        <v>1</v>
      </c>
      <c r="VFX3425" s="34">
        <v>1.5</v>
      </c>
      <c r="VFY3425" s="34">
        <v>2</v>
      </c>
      <c r="VFZ3425" s="34">
        <v>2.5</v>
      </c>
      <c r="VGA3425" s="34">
        <v>3</v>
      </c>
      <c r="VGB3425" s="34">
        <v>3.5</v>
      </c>
      <c r="VGC3425" s="34">
        <v>4</v>
      </c>
      <c r="VGD3425" s="34">
        <v>4.5</v>
      </c>
      <c r="VGE3425" s="34">
        <v>5</v>
      </c>
      <c r="VGG3425" s="913"/>
      <c r="VGH3425" s="31">
        <v>1</v>
      </c>
      <c r="VGI3425" s="34">
        <v>0</v>
      </c>
      <c r="VGJ3425" s="34">
        <v>-1</v>
      </c>
      <c r="VGK3425" s="34">
        <v>-2</v>
      </c>
      <c r="VGL3425" s="34">
        <v>-3</v>
      </c>
      <c r="VGM3425" s="34">
        <v>-4</v>
      </c>
      <c r="VGN3425" s="34">
        <v>-5</v>
      </c>
      <c r="VGO3425" s="908"/>
      <c r="VGP3425" s="909"/>
      <c r="VGQ3425" s="34">
        <v>-5</v>
      </c>
      <c r="VGR3425" s="34">
        <v>-4.5</v>
      </c>
      <c r="VGS3425" s="34">
        <v>-4</v>
      </c>
      <c r="VGT3425" s="34">
        <v>-3.5</v>
      </c>
      <c r="VGU3425" s="34">
        <v>-3</v>
      </c>
      <c r="VGV3425" s="34">
        <v>-2.5</v>
      </c>
      <c r="VGW3425" s="34">
        <v>-2</v>
      </c>
      <c r="VGX3425" s="34">
        <v>-1.5</v>
      </c>
      <c r="VGY3425" s="34">
        <v>-1</v>
      </c>
      <c r="VGZ3425" s="34">
        <v>-0.5</v>
      </c>
      <c r="VHA3425" s="34">
        <v>0</v>
      </c>
      <c r="VHB3425" s="34">
        <v>0.5</v>
      </c>
      <c r="VHC3425" s="34">
        <v>1</v>
      </c>
      <c r="VHD3425" s="34">
        <v>1.5</v>
      </c>
      <c r="VHE3425" s="34">
        <v>2</v>
      </c>
      <c r="VHF3425" s="34">
        <v>2.5</v>
      </c>
      <c r="VHG3425" s="34">
        <v>3</v>
      </c>
      <c r="VHH3425" s="34">
        <v>3.5</v>
      </c>
      <c r="VHI3425" s="34">
        <v>4</v>
      </c>
      <c r="VHJ3425" s="34">
        <v>4.5</v>
      </c>
      <c r="VHK3425" s="34">
        <v>5</v>
      </c>
      <c r="VHM3425" s="913"/>
      <c r="VHN3425" s="31">
        <v>1</v>
      </c>
      <c r="VHO3425" s="34">
        <v>0</v>
      </c>
      <c r="VHP3425" s="34">
        <v>-1</v>
      </c>
      <c r="VHQ3425" s="34">
        <v>-2</v>
      </c>
      <c r="VHR3425" s="34">
        <v>-3</v>
      </c>
      <c r="VHS3425" s="34">
        <v>-4</v>
      </c>
      <c r="VHT3425" s="34">
        <v>-5</v>
      </c>
      <c r="VHU3425" s="908"/>
      <c r="VHV3425" s="909"/>
      <c r="VHW3425" s="34">
        <v>-5</v>
      </c>
      <c r="VHX3425" s="34">
        <v>-4.5</v>
      </c>
      <c r="VHY3425" s="34">
        <v>-4</v>
      </c>
      <c r="VHZ3425" s="34">
        <v>-3.5</v>
      </c>
      <c r="VIA3425" s="34">
        <v>-3</v>
      </c>
      <c r="VIB3425" s="34">
        <v>-2.5</v>
      </c>
      <c r="VIC3425" s="34">
        <v>-2</v>
      </c>
      <c r="VID3425" s="34">
        <v>-1.5</v>
      </c>
      <c r="VIE3425" s="34">
        <v>-1</v>
      </c>
      <c r="VIF3425" s="34">
        <v>-0.5</v>
      </c>
      <c r="VIG3425" s="34">
        <v>0</v>
      </c>
      <c r="VIH3425" s="34">
        <v>0.5</v>
      </c>
      <c r="VII3425" s="34">
        <v>1</v>
      </c>
      <c r="VIJ3425" s="34">
        <v>1.5</v>
      </c>
      <c r="VIK3425" s="34">
        <v>2</v>
      </c>
      <c r="VIL3425" s="34">
        <v>2.5</v>
      </c>
      <c r="VIM3425" s="34">
        <v>3</v>
      </c>
      <c r="VIN3425" s="34">
        <v>3.5</v>
      </c>
      <c r="VIO3425" s="34">
        <v>4</v>
      </c>
      <c r="VIP3425" s="34">
        <v>4.5</v>
      </c>
      <c r="VIQ3425" s="34">
        <v>5</v>
      </c>
      <c r="VIS3425" s="913"/>
      <c r="VIT3425" s="31">
        <v>1</v>
      </c>
      <c r="VIU3425" s="34">
        <v>0</v>
      </c>
      <c r="VIV3425" s="34">
        <v>-1</v>
      </c>
      <c r="VIW3425" s="34">
        <v>-2</v>
      </c>
      <c r="VIX3425" s="34">
        <v>-3</v>
      </c>
      <c r="VIY3425" s="34">
        <v>-4</v>
      </c>
      <c r="VIZ3425" s="34">
        <v>-5</v>
      </c>
      <c r="VJA3425" s="908"/>
      <c r="VJB3425" s="909"/>
      <c r="VJC3425" s="34">
        <v>-5</v>
      </c>
      <c r="VJD3425" s="34">
        <v>-4.5</v>
      </c>
      <c r="VJE3425" s="34">
        <v>-4</v>
      </c>
      <c r="VJF3425" s="34">
        <v>-3.5</v>
      </c>
      <c r="VJG3425" s="34">
        <v>-3</v>
      </c>
      <c r="VJH3425" s="34">
        <v>-2.5</v>
      </c>
      <c r="VJI3425" s="34">
        <v>-2</v>
      </c>
      <c r="VJJ3425" s="34">
        <v>-1.5</v>
      </c>
      <c r="VJK3425" s="34">
        <v>-1</v>
      </c>
      <c r="VJL3425" s="34">
        <v>-0.5</v>
      </c>
      <c r="VJM3425" s="34">
        <v>0</v>
      </c>
      <c r="VJN3425" s="34">
        <v>0.5</v>
      </c>
      <c r="VJO3425" s="34">
        <v>1</v>
      </c>
      <c r="VJP3425" s="34">
        <v>1.5</v>
      </c>
      <c r="VJQ3425" s="34">
        <v>2</v>
      </c>
      <c r="VJR3425" s="34">
        <v>2.5</v>
      </c>
      <c r="VJS3425" s="34">
        <v>3</v>
      </c>
      <c r="VJT3425" s="34">
        <v>3.5</v>
      </c>
      <c r="VJU3425" s="34">
        <v>4</v>
      </c>
      <c r="VJV3425" s="34">
        <v>4.5</v>
      </c>
      <c r="VJW3425" s="34">
        <v>5</v>
      </c>
      <c r="VJY3425" s="913"/>
      <c r="VJZ3425" s="31">
        <v>1</v>
      </c>
      <c r="VKA3425" s="34">
        <v>0</v>
      </c>
      <c r="VKB3425" s="34">
        <v>-1</v>
      </c>
      <c r="VKC3425" s="34">
        <v>-2</v>
      </c>
      <c r="VKD3425" s="34">
        <v>-3</v>
      </c>
      <c r="VKE3425" s="34">
        <v>-4</v>
      </c>
      <c r="VKF3425" s="34">
        <v>-5</v>
      </c>
      <c r="VKG3425" s="908"/>
      <c r="VKH3425" s="909"/>
      <c r="VKI3425" s="34">
        <v>-5</v>
      </c>
      <c r="VKJ3425" s="34">
        <v>-4.5</v>
      </c>
      <c r="VKK3425" s="34">
        <v>-4</v>
      </c>
      <c r="VKL3425" s="34">
        <v>-3.5</v>
      </c>
      <c r="VKM3425" s="34">
        <v>-3</v>
      </c>
      <c r="VKN3425" s="34">
        <v>-2.5</v>
      </c>
      <c r="VKO3425" s="34">
        <v>-2</v>
      </c>
      <c r="VKP3425" s="34">
        <v>-1.5</v>
      </c>
      <c r="VKQ3425" s="34">
        <v>-1</v>
      </c>
      <c r="VKR3425" s="34">
        <v>-0.5</v>
      </c>
      <c r="VKS3425" s="34">
        <v>0</v>
      </c>
      <c r="VKT3425" s="34">
        <v>0.5</v>
      </c>
      <c r="VKU3425" s="34">
        <v>1</v>
      </c>
      <c r="VKV3425" s="34">
        <v>1.5</v>
      </c>
      <c r="VKW3425" s="34">
        <v>2</v>
      </c>
      <c r="VKX3425" s="34">
        <v>2.5</v>
      </c>
      <c r="VKY3425" s="34">
        <v>3</v>
      </c>
      <c r="VKZ3425" s="34">
        <v>3.5</v>
      </c>
      <c r="VLA3425" s="34">
        <v>4</v>
      </c>
      <c r="VLB3425" s="34">
        <v>4.5</v>
      </c>
      <c r="VLC3425" s="34">
        <v>5</v>
      </c>
      <c r="VLE3425" s="913"/>
      <c r="VLF3425" s="31">
        <v>1</v>
      </c>
      <c r="VLG3425" s="34">
        <v>0</v>
      </c>
      <c r="VLH3425" s="34">
        <v>-1</v>
      </c>
      <c r="VLI3425" s="34">
        <v>-2</v>
      </c>
      <c r="VLJ3425" s="34">
        <v>-3</v>
      </c>
      <c r="VLK3425" s="34">
        <v>-4</v>
      </c>
      <c r="VLL3425" s="34">
        <v>-5</v>
      </c>
      <c r="VLM3425" s="908"/>
      <c r="VLN3425" s="909"/>
      <c r="VLO3425" s="34">
        <v>-5</v>
      </c>
      <c r="VLP3425" s="34">
        <v>-4.5</v>
      </c>
      <c r="VLQ3425" s="34">
        <v>-4</v>
      </c>
      <c r="VLR3425" s="34">
        <v>-3.5</v>
      </c>
      <c r="VLS3425" s="34">
        <v>-3</v>
      </c>
      <c r="VLT3425" s="34">
        <v>-2.5</v>
      </c>
      <c r="VLU3425" s="34">
        <v>-2</v>
      </c>
      <c r="VLV3425" s="34">
        <v>-1.5</v>
      </c>
      <c r="VLW3425" s="34">
        <v>-1</v>
      </c>
      <c r="VLX3425" s="34">
        <v>-0.5</v>
      </c>
      <c r="VLY3425" s="34">
        <v>0</v>
      </c>
      <c r="VLZ3425" s="34">
        <v>0.5</v>
      </c>
      <c r="VMA3425" s="34">
        <v>1</v>
      </c>
      <c r="VMB3425" s="34">
        <v>1.5</v>
      </c>
      <c r="VMC3425" s="34">
        <v>2</v>
      </c>
      <c r="VMD3425" s="34">
        <v>2.5</v>
      </c>
      <c r="VME3425" s="34">
        <v>3</v>
      </c>
      <c r="VMF3425" s="34">
        <v>3.5</v>
      </c>
      <c r="VMG3425" s="34">
        <v>4</v>
      </c>
      <c r="VMH3425" s="34">
        <v>4.5</v>
      </c>
      <c r="VMI3425" s="34">
        <v>5</v>
      </c>
      <c r="VMK3425" s="913"/>
      <c r="VML3425" s="31">
        <v>1</v>
      </c>
      <c r="VMM3425" s="34">
        <v>0</v>
      </c>
      <c r="VMN3425" s="34">
        <v>-1</v>
      </c>
      <c r="VMO3425" s="34">
        <v>-2</v>
      </c>
      <c r="VMP3425" s="34">
        <v>-3</v>
      </c>
      <c r="VMQ3425" s="34">
        <v>-4</v>
      </c>
      <c r="VMR3425" s="34">
        <v>-5</v>
      </c>
      <c r="VMS3425" s="908"/>
      <c r="VMT3425" s="909"/>
      <c r="VMU3425" s="34">
        <v>-5</v>
      </c>
      <c r="VMV3425" s="34">
        <v>-4.5</v>
      </c>
      <c r="VMW3425" s="34">
        <v>-4</v>
      </c>
      <c r="VMX3425" s="34">
        <v>-3.5</v>
      </c>
      <c r="VMY3425" s="34">
        <v>-3</v>
      </c>
      <c r="VMZ3425" s="34">
        <v>-2.5</v>
      </c>
      <c r="VNA3425" s="34">
        <v>-2</v>
      </c>
      <c r="VNB3425" s="34">
        <v>-1.5</v>
      </c>
      <c r="VNC3425" s="34">
        <v>-1</v>
      </c>
      <c r="VND3425" s="34">
        <v>-0.5</v>
      </c>
      <c r="VNE3425" s="34">
        <v>0</v>
      </c>
      <c r="VNF3425" s="34">
        <v>0.5</v>
      </c>
      <c r="VNG3425" s="34">
        <v>1</v>
      </c>
      <c r="VNH3425" s="34">
        <v>1.5</v>
      </c>
      <c r="VNI3425" s="34">
        <v>2</v>
      </c>
      <c r="VNJ3425" s="34">
        <v>2.5</v>
      </c>
      <c r="VNK3425" s="34">
        <v>3</v>
      </c>
      <c r="VNL3425" s="34">
        <v>3.5</v>
      </c>
      <c r="VNM3425" s="34">
        <v>4</v>
      </c>
      <c r="VNN3425" s="34">
        <v>4.5</v>
      </c>
      <c r="VNO3425" s="34">
        <v>5</v>
      </c>
      <c r="VNQ3425" s="913"/>
      <c r="VNR3425" s="31">
        <v>1</v>
      </c>
      <c r="VNS3425" s="34">
        <v>0</v>
      </c>
      <c r="VNT3425" s="34">
        <v>-1</v>
      </c>
      <c r="VNU3425" s="34">
        <v>-2</v>
      </c>
      <c r="VNV3425" s="34">
        <v>-3</v>
      </c>
      <c r="VNW3425" s="34">
        <v>-4</v>
      </c>
      <c r="VNX3425" s="34">
        <v>-5</v>
      </c>
      <c r="VNY3425" s="908"/>
      <c r="VNZ3425" s="909"/>
      <c r="VOA3425" s="34">
        <v>-5</v>
      </c>
      <c r="VOB3425" s="34">
        <v>-4.5</v>
      </c>
      <c r="VOC3425" s="34">
        <v>-4</v>
      </c>
      <c r="VOD3425" s="34">
        <v>-3.5</v>
      </c>
      <c r="VOE3425" s="34">
        <v>-3</v>
      </c>
      <c r="VOF3425" s="34">
        <v>-2.5</v>
      </c>
      <c r="VOG3425" s="34">
        <v>-2</v>
      </c>
      <c r="VOH3425" s="34">
        <v>-1.5</v>
      </c>
      <c r="VOI3425" s="34">
        <v>-1</v>
      </c>
      <c r="VOJ3425" s="34">
        <v>-0.5</v>
      </c>
      <c r="VOK3425" s="34">
        <v>0</v>
      </c>
      <c r="VOL3425" s="34">
        <v>0.5</v>
      </c>
      <c r="VOM3425" s="34">
        <v>1</v>
      </c>
      <c r="VON3425" s="34">
        <v>1.5</v>
      </c>
      <c r="VOO3425" s="34">
        <v>2</v>
      </c>
      <c r="VOP3425" s="34">
        <v>2.5</v>
      </c>
      <c r="VOQ3425" s="34">
        <v>3</v>
      </c>
      <c r="VOR3425" s="34">
        <v>3.5</v>
      </c>
      <c r="VOS3425" s="34">
        <v>4</v>
      </c>
      <c r="VOT3425" s="34">
        <v>4.5</v>
      </c>
      <c r="VOU3425" s="34">
        <v>5</v>
      </c>
      <c r="VOW3425" s="913"/>
      <c r="VOX3425" s="31">
        <v>1</v>
      </c>
      <c r="VOY3425" s="34">
        <v>0</v>
      </c>
      <c r="VOZ3425" s="34">
        <v>-1</v>
      </c>
      <c r="VPA3425" s="34">
        <v>-2</v>
      </c>
      <c r="VPB3425" s="34">
        <v>-3</v>
      </c>
      <c r="VPC3425" s="34">
        <v>-4</v>
      </c>
      <c r="VPD3425" s="34">
        <v>-5</v>
      </c>
      <c r="VPE3425" s="908"/>
      <c r="VPF3425" s="909"/>
      <c r="VPG3425" s="34">
        <v>-5</v>
      </c>
      <c r="VPH3425" s="34">
        <v>-4.5</v>
      </c>
      <c r="VPI3425" s="34">
        <v>-4</v>
      </c>
      <c r="VPJ3425" s="34">
        <v>-3.5</v>
      </c>
      <c r="VPK3425" s="34">
        <v>-3</v>
      </c>
      <c r="VPL3425" s="34">
        <v>-2.5</v>
      </c>
      <c r="VPM3425" s="34">
        <v>-2</v>
      </c>
      <c r="VPN3425" s="34">
        <v>-1.5</v>
      </c>
      <c r="VPO3425" s="34">
        <v>-1</v>
      </c>
      <c r="VPP3425" s="34">
        <v>-0.5</v>
      </c>
      <c r="VPQ3425" s="34">
        <v>0</v>
      </c>
      <c r="VPR3425" s="34">
        <v>0.5</v>
      </c>
      <c r="VPS3425" s="34">
        <v>1</v>
      </c>
      <c r="VPT3425" s="34">
        <v>1.5</v>
      </c>
      <c r="VPU3425" s="34">
        <v>2</v>
      </c>
      <c r="VPV3425" s="34">
        <v>2.5</v>
      </c>
      <c r="VPW3425" s="34">
        <v>3</v>
      </c>
      <c r="VPX3425" s="34">
        <v>3.5</v>
      </c>
      <c r="VPY3425" s="34">
        <v>4</v>
      </c>
      <c r="VPZ3425" s="34">
        <v>4.5</v>
      </c>
      <c r="VQA3425" s="34">
        <v>5</v>
      </c>
      <c r="VQC3425" s="913"/>
      <c r="VQD3425" s="31">
        <v>1</v>
      </c>
      <c r="VQE3425" s="34">
        <v>0</v>
      </c>
      <c r="VQF3425" s="34">
        <v>-1</v>
      </c>
      <c r="VQG3425" s="34">
        <v>-2</v>
      </c>
      <c r="VQH3425" s="34">
        <v>-3</v>
      </c>
      <c r="VQI3425" s="34">
        <v>-4</v>
      </c>
      <c r="VQJ3425" s="34">
        <v>-5</v>
      </c>
      <c r="VQK3425" s="908"/>
      <c r="VQL3425" s="909"/>
      <c r="VQM3425" s="34">
        <v>-5</v>
      </c>
      <c r="VQN3425" s="34">
        <v>-4.5</v>
      </c>
      <c r="VQO3425" s="34">
        <v>-4</v>
      </c>
      <c r="VQP3425" s="34">
        <v>-3.5</v>
      </c>
      <c r="VQQ3425" s="34">
        <v>-3</v>
      </c>
      <c r="VQR3425" s="34">
        <v>-2.5</v>
      </c>
      <c r="VQS3425" s="34">
        <v>-2</v>
      </c>
      <c r="VQT3425" s="34">
        <v>-1.5</v>
      </c>
      <c r="VQU3425" s="34">
        <v>-1</v>
      </c>
      <c r="VQV3425" s="34">
        <v>-0.5</v>
      </c>
      <c r="VQW3425" s="34">
        <v>0</v>
      </c>
      <c r="VQX3425" s="34">
        <v>0.5</v>
      </c>
      <c r="VQY3425" s="34">
        <v>1</v>
      </c>
      <c r="VQZ3425" s="34">
        <v>1.5</v>
      </c>
      <c r="VRA3425" s="34">
        <v>2</v>
      </c>
      <c r="VRB3425" s="34">
        <v>2.5</v>
      </c>
      <c r="VRC3425" s="34">
        <v>3</v>
      </c>
      <c r="VRD3425" s="34">
        <v>3.5</v>
      </c>
      <c r="VRE3425" s="34">
        <v>4</v>
      </c>
      <c r="VRF3425" s="34">
        <v>4.5</v>
      </c>
      <c r="VRG3425" s="34">
        <v>5</v>
      </c>
      <c r="VRI3425" s="913"/>
      <c r="VRJ3425" s="31">
        <v>1</v>
      </c>
      <c r="VRK3425" s="34">
        <v>0</v>
      </c>
      <c r="VRL3425" s="34">
        <v>-1</v>
      </c>
      <c r="VRM3425" s="34">
        <v>-2</v>
      </c>
      <c r="VRN3425" s="34">
        <v>-3</v>
      </c>
      <c r="VRO3425" s="34">
        <v>-4</v>
      </c>
      <c r="VRP3425" s="34">
        <v>-5</v>
      </c>
      <c r="VRQ3425" s="908"/>
      <c r="VRR3425" s="909"/>
      <c r="VRS3425" s="34">
        <v>-5</v>
      </c>
      <c r="VRT3425" s="34">
        <v>-4.5</v>
      </c>
      <c r="VRU3425" s="34">
        <v>-4</v>
      </c>
      <c r="VRV3425" s="34">
        <v>-3.5</v>
      </c>
      <c r="VRW3425" s="34">
        <v>-3</v>
      </c>
      <c r="VRX3425" s="34">
        <v>-2.5</v>
      </c>
      <c r="VRY3425" s="34">
        <v>-2</v>
      </c>
      <c r="VRZ3425" s="34">
        <v>-1.5</v>
      </c>
      <c r="VSA3425" s="34">
        <v>-1</v>
      </c>
      <c r="VSB3425" s="34">
        <v>-0.5</v>
      </c>
      <c r="VSC3425" s="34">
        <v>0</v>
      </c>
      <c r="VSD3425" s="34">
        <v>0.5</v>
      </c>
      <c r="VSE3425" s="34">
        <v>1</v>
      </c>
      <c r="VSF3425" s="34">
        <v>1.5</v>
      </c>
      <c r="VSG3425" s="34">
        <v>2</v>
      </c>
      <c r="VSH3425" s="34">
        <v>2.5</v>
      </c>
      <c r="VSI3425" s="34">
        <v>3</v>
      </c>
      <c r="VSJ3425" s="34">
        <v>3.5</v>
      </c>
      <c r="VSK3425" s="34">
        <v>4</v>
      </c>
      <c r="VSL3425" s="34">
        <v>4.5</v>
      </c>
      <c r="VSM3425" s="34">
        <v>5</v>
      </c>
      <c r="VSO3425" s="913"/>
      <c r="VSP3425" s="31">
        <v>1</v>
      </c>
      <c r="VSQ3425" s="34">
        <v>0</v>
      </c>
      <c r="VSR3425" s="34">
        <v>-1</v>
      </c>
      <c r="VSS3425" s="34">
        <v>-2</v>
      </c>
      <c r="VST3425" s="34">
        <v>-3</v>
      </c>
      <c r="VSU3425" s="34">
        <v>-4</v>
      </c>
      <c r="VSV3425" s="34">
        <v>-5</v>
      </c>
      <c r="VSW3425" s="908"/>
      <c r="VSX3425" s="909"/>
      <c r="VSY3425" s="34">
        <v>-5</v>
      </c>
      <c r="VSZ3425" s="34">
        <v>-4.5</v>
      </c>
      <c r="VTA3425" s="34">
        <v>-4</v>
      </c>
      <c r="VTB3425" s="34">
        <v>-3.5</v>
      </c>
      <c r="VTC3425" s="34">
        <v>-3</v>
      </c>
      <c r="VTD3425" s="34">
        <v>-2.5</v>
      </c>
      <c r="VTE3425" s="34">
        <v>-2</v>
      </c>
      <c r="VTF3425" s="34">
        <v>-1.5</v>
      </c>
      <c r="VTG3425" s="34">
        <v>-1</v>
      </c>
      <c r="VTH3425" s="34">
        <v>-0.5</v>
      </c>
      <c r="VTI3425" s="34">
        <v>0</v>
      </c>
      <c r="VTJ3425" s="34">
        <v>0.5</v>
      </c>
      <c r="VTK3425" s="34">
        <v>1</v>
      </c>
      <c r="VTL3425" s="34">
        <v>1.5</v>
      </c>
      <c r="VTM3425" s="34">
        <v>2</v>
      </c>
      <c r="VTN3425" s="34">
        <v>2.5</v>
      </c>
      <c r="VTO3425" s="34">
        <v>3</v>
      </c>
      <c r="VTP3425" s="34">
        <v>3.5</v>
      </c>
      <c r="VTQ3425" s="34">
        <v>4</v>
      </c>
      <c r="VTR3425" s="34">
        <v>4.5</v>
      </c>
      <c r="VTS3425" s="34">
        <v>5</v>
      </c>
      <c r="VTU3425" s="913"/>
      <c r="VTV3425" s="31">
        <v>1</v>
      </c>
      <c r="VTW3425" s="34">
        <v>0</v>
      </c>
      <c r="VTX3425" s="34">
        <v>-1</v>
      </c>
      <c r="VTY3425" s="34">
        <v>-2</v>
      </c>
      <c r="VTZ3425" s="34">
        <v>-3</v>
      </c>
      <c r="VUA3425" s="34">
        <v>-4</v>
      </c>
      <c r="VUB3425" s="34">
        <v>-5</v>
      </c>
      <c r="VUC3425" s="908"/>
      <c r="VUD3425" s="909"/>
      <c r="VUE3425" s="34">
        <v>-5</v>
      </c>
      <c r="VUF3425" s="34">
        <v>-4.5</v>
      </c>
      <c r="VUG3425" s="34">
        <v>-4</v>
      </c>
      <c r="VUH3425" s="34">
        <v>-3.5</v>
      </c>
      <c r="VUI3425" s="34">
        <v>-3</v>
      </c>
      <c r="VUJ3425" s="34">
        <v>-2.5</v>
      </c>
      <c r="VUK3425" s="34">
        <v>-2</v>
      </c>
      <c r="VUL3425" s="34">
        <v>-1.5</v>
      </c>
      <c r="VUM3425" s="34">
        <v>-1</v>
      </c>
      <c r="VUN3425" s="34">
        <v>-0.5</v>
      </c>
      <c r="VUO3425" s="34">
        <v>0</v>
      </c>
      <c r="VUP3425" s="34">
        <v>0.5</v>
      </c>
      <c r="VUQ3425" s="34">
        <v>1</v>
      </c>
      <c r="VUR3425" s="34">
        <v>1.5</v>
      </c>
      <c r="VUS3425" s="34">
        <v>2</v>
      </c>
      <c r="VUT3425" s="34">
        <v>2.5</v>
      </c>
      <c r="VUU3425" s="34">
        <v>3</v>
      </c>
      <c r="VUV3425" s="34">
        <v>3.5</v>
      </c>
      <c r="VUW3425" s="34">
        <v>4</v>
      </c>
      <c r="VUX3425" s="34">
        <v>4.5</v>
      </c>
      <c r="VUY3425" s="34">
        <v>5</v>
      </c>
      <c r="VVA3425" s="913"/>
      <c r="VVB3425" s="31">
        <v>1</v>
      </c>
      <c r="VVC3425" s="34">
        <v>0</v>
      </c>
      <c r="VVD3425" s="34">
        <v>-1</v>
      </c>
      <c r="VVE3425" s="34">
        <v>-2</v>
      </c>
      <c r="VVF3425" s="34">
        <v>-3</v>
      </c>
      <c r="VVG3425" s="34">
        <v>-4</v>
      </c>
      <c r="VVH3425" s="34">
        <v>-5</v>
      </c>
      <c r="VVI3425" s="908"/>
      <c r="VVJ3425" s="909"/>
      <c r="VVK3425" s="34">
        <v>-5</v>
      </c>
      <c r="VVL3425" s="34">
        <v>-4.5</v>
      </c>
      <c r="VVM3425" s="34">
        <v>-4</v>
      </c>
      <c r="VVN3425" s="34">
        <v>-3.5</v>
      </c>
      <c r="VVO3425" s="34">
        <v>-3</v>
      </c>
      <c r="VVP3425" s="34">
        <v>-2.5</v>
      </c>
      <c r="VVQ3425" s="34">
        <v>-2</v>
      </c>
      <c r="VVR3425" s="34">
        <v>-1.5</v>
      </c>
      <c r="VVS3425" s="34">
        <v>-1</v>
      </c>
      <c r="VVT3425" s="34">
        <v>-0.5</v>
      </c>
      <c r="VVU3425" s="34">
        <v>0</v>
      </c>
      <c r="VVV3425" s="34">
        <v>0.5</v>
      </c>
      <c r="VVW3425" s="34">
        <v>1</v>
      </c>
      <c r="VVX3425" s="34">
        <v>1.5</v>
      </c>
      <c r="VVY3425" s="34">
        <v>2</v>
      </c>
      <c r="VVZ3425" s="34">
        <v>2.5</v>
      </c>
      <c r="VWA3425" s="34">
        <v>3</v>
      </c>
      <c r="VWB3425" s="34">
        <v>3.5</v>
      </c>
      <c r="VWC3425" s="34">
        <v>4</v>
      </c>
      <c r="VWD3425" s="34">
        <v>4.5</v>
      </c>
      <c r="VWE3425" s="34">
        <v>5</v>
      </c>
      <c r="VWG3425" s="913"/>
      <c r="VWH3425" s="31">
        <v>1</v>
      </c>
      <c r="VWI3425" s="34">
        <v>0</v>
      </c>
      <c r="VWJ3425" s="34">
        <v>-1</v>
      </c>
      <c r="VWK3425" s="34">
        <v>-2</v>
      </c>
      <c r="VWL3425" s="34">
        <v>-3</v>
      </c>
      <c r="VWM3425" s="34">
        <v>-4</v>
      </c>
      <c r="VWN3425" s="34">
        <v>-5</v>
      </c>
      <c r="VWO3425" s="908"/>
      <c r="VWP3425" s="909"/>
      <c r="VWQ3425" s="34">
        <v>-5</v>
      </c>
      <c r="VWR3425" s="34">
        <v>-4.5</v>
      </c>
      <c r="VWS3425" s="34">
        <v>-4</v>
      </c>
      <c r="VWT3425" s="34">
        <v>-3.5</v>
      </c>
      <c r="VWU3425" s="34">
        <v>-3</v>
      </c>
      <c r="VWV3425" s="34">
        <v>-2.5</v>
      </c>
      <c r="VWW3425" s="34">
        <v>-2</v>
      </c>
      <c r="VWX3425" s="34">
        <v>-1.5</v>
      </c>
      <c r="VWY3425" s="34">
        <v>-1</v>
      </c>
      <c r="VWZ3425" s="34">
        <v>-0.5</v>
      </c>
      <c r="VXA3425" s="34">
        <v>0</v>
      </c>
      <c r="VXB3425" s="34">
        <v>0.5</v>
      </c>
      <c r="VXC3425" s="34">
        <v>1</v>
      </c>
      <c r="VXD3425" s="34">
        <v>1.5</v>
      </c>
      <c r="VXE3425" s="34">
        <v>2</v>
      </c>
      <c r="VXF3425" s="34">
        <v>2.5</v>
      </c>
      <c r="VXG3425" s="34">
        <v>3</v>
      </c>
      <c r="VXH3425" s="34">
        <v>3.5</v>
      </c>
      <c r="VXI3425" s="34">
        <v>4</v>
      </c>
      <c r="VXJ3425" s="34">
        <v>4.5</v>
      </c>
      <c r="VXK3425" s="34">
        <v>5</v>
      </c>
      <c r="VXM3425" s="913"/>
      <c r="VXN3425" s="31">
        <v>1</v>
      </c>
      <c r="VXO3425" s="34">
        <v>0</v>
      </c>
      <c r="VXP3425" s="34">
        <v>-1</v>
      </c>
      <c r="VXQ3425" s="34">
        <v>-2</v>
      </c>
      <c r="VXR3425" s="34">
        <v>-3</v>
      </c>
      <c r="VXS3425" s="34">
        <v>-4</v>
      </c>
      <c r="VXT3425" s="34">
        <v>-5</v>
      </c>
      <c r="VXU3425" s="908"/>
      <c r="VXV3425" s="909"/>
      <c r="VXW3425" s="34">
        <v>-5</v>
      </c>
      <c r="VXX3425" s="34">
        <v>-4.5</v>
      </c>
      <c r="VXY3425" s="34">
        <v>-4</v>
      </c>
      <c r="VXZ3425" s="34">
        <v>-3.5</v>
      </c>
      <c r="VYA3425" s="34">
        <v>-3</v>
      </c>
      <c r="VYB3425" s="34">
        <v>-2.5</v>
      </c>
      <c r="VYC3425" s="34">
        <v>-2</v>
      </c>
      <c r="VYD3425" s="34">
        <v>-1.5</v>
      </c>
      <c r="VYE3425" s="34">
        <v>-1</v>
      </c>
      <c r="VYF3425" s="34">
        <v>-0.5</v>
      </c>
      <c r="VYG3425" s="34">
        <v>0</v>
      </c>
      <c r="VYH3425" s="34">
        <v>0.5</v>
      </c>
      <c r="VYI3425" s="34">
        <v>1</v>
      </c>
      <c r="VYJ3425" s="34">
        <v>1.5</v>
      </c>
      <c r="VYK3425" s="34">
        <v>2</v>
      </c>
      <c r="VYL3425" s="34">
        <v>2.5</v>
      </c>
      <c r="VYM3425" s="34">
        <v>3</v>
      </c>
      <c r="VYN3425" s="34">
        <v>3.5</v>
      </c>
      <c r="VYO3425" s="34">
        <v>4</v>
      </c>
      <c r="VYP3425" s="34">
        <v>4.5</v>
      </c>
      <c r="VYQ3425" s="34">
        <v>5</v>
      </c>
      <c r="VYS3425" s="913"/>
      <c r="VYT3425" s="31">
        <v>1</v>
      </c>
      <c r="VYU3425" s="34">
        <v>0</v>
      </c>
      <c r="VYV3425" s="34">
        <v>-1</v>
      </c>
      <c r="VYW3425" s="34">
        <v>-2</v>
      </c>
      <c r="VYX3425" s="34">
        <v>-3</v>
      </c>
      <c r="VYY3425" s="34">
        <v>-4</v>
      </c>
      <c r="VYZ3425" s="34">
        <v>-5</v>
      </c>
      <c r="VZA3425" s="908"/>
      <c r="VZB3425" s="909"/>
      <c r="VZC3425" s="34">
        <v>-5</v>
      </c>
      <c r="VZD3425" s="34">
        <v>-4.5</v>
      </c>
      <c r="VZE3425" s="34">
        <v>-4</v>
      </c>
      <c r="VZF3425" s="34">
        <v>-3.5</v>
      </c>
      <c r="VZG3425" s="34">
        <v>-3</v>
      </c>
      <c r="VZH3425" s="34">
        <v>-2.5</v>
      </c>
      <c r="VZI3425" s="34">
        <v>-2</v>
      </c>
      <c r="VZJ3425" s="34">
        <v>-1.5</v>
      </c>
      <c r="VZK3425" s="34">
        <v>-1</v>
      </c>
      <c r="VZL3425" s="34">
        <v>-0.5</v>
      </c>
      <c r="VZM3425" s="34">
        <v>0</v>
      </c>
      <c r="VZN3425" s="34">
        <v>0.5</v>
      </c>
      <c r="VZO3425" s="34">
        <v>1</v>
      </c>
      <c r="VZP3425" s="34">
        <v>1.5</v>
      </c>
      <c r="VZQ3425" s="34">
        <v>2</v>
      </c>
      <c r="VZR3425" s="34">
        <v>2.5</v>
      </c>
      <c r="VZS3425" s="34">
        <v>3</v>
      </c>
      <c r="VZT3425" s="34">
        <v>3.5</v>
      </c>
      <c r="VZU3425" s="34">
        <v>4</v>
      </c>
      <c r="VZV3425" s="34">
        <v>4.5</v>
      </c>
      <c r="VZW3425" s="34">
        <v>5</v>
      </c>
      <c r="VZY3425" s="913"/>
      <c r="VZZ3425" s="31">
        <v>1</v>
      </c>
      <c r="WAA3425" s="34">
        <v>0</v>
      </c>
      <c r="WAB3425" s="34">
        <v>-1</v>
      </c>
      <c r="WAC3425" s="34">
        <v>-2</v>
      </c>
      <c r="WAD3425" s="34">
        <v>-3</v>
      </c>
      <c r="WAE3425" s="34">
        <v>-4</v>
      </c>
      <c r="WAF3425" s="34">
        <v>-5</v>
      </c>
      <c r="WAG3425" s="908"/>
      <c r="WAH3425" s="909"/>
      <c r="WAI3425" s="34">
        <v>-5</v>
      </c>
      <c r="WAJ3425" s="34">
        <v>-4.5</v>
      </c>
      <c r="WAK3425" s="34">
        <v>-4</v>
      </c>
      <c r="WAL3425" s="34">
        <v>-3.5</v>
      </c>
      <c r="WAM3425" s="34">
        <v>-3</v>
      </c>
      <c r="WAN3425" s="34">
        <v>-2.5</v>
      </c>
      <c r="WAO3425" s="34">
        <v>-2</v>
      </c>
      <c r="WAP3425" s="34">
        <v>-1.5</v>
      </c>
      <c r="WAQ3425" s="34">
        <v>-1</v>
      </c>
      <c r="WAR3425" s="34">
        <v>-0.5</v>
      </c>
      <c r="WAS3425" s="34">
        <v>0</v>
      </c>
      <c r="WAT3425" s="34">
        <v>0.5</v>
      </c>
      <c r="WAU3425" s="34">
        <v>1</v>
      </c>
      <c r="WAV3425" s="34">
        <v>1.5</v>
      </c>
      <c r="WAW3425" s="34">
        <v>2</v>
      </c>
      <c r="WAX3425" s="34">
        <v>2.5</v>
      </c>
      <c r="WAY3425" s="34">
        <v>3</v>
      </c>
      <c r="WAZ3425" s="34">
        <v>3.5</v>
      </c>
      <c r="WBA3425" s="34">
        <v>4</v>
      </c>
      <c r="WBB3425" s="34">
        <v>4.5</v>
      </c>
      <c r="WBC3425" s="34">
        <v>5</v>
      </c>
      <c r="WBE3425" s="913"/>
      <c r="WBF3425" s="31">
        <v>1</v>
      </c>
      <c r="WBG3425" s="34">
        <v>0</v>
      </c>
      <c r="WBH3425" s="34">
        <v>-1</v>
      </c>
      <c r="WBI3425" s="34">
        <v>-2</v>
      </c>
      <c r="WBJ3425" s="34">
        <v>-3</v>
      </c>
      <c r="WBK3425" s="34">
        <v>-4</v>
      </c>
      <c r="WBL3425" s="34">
        <v>-5</v>
      </c>
      <c r="WBM3425" s="908"/>
      <c r="WBN3425" s="909"/>
      <c r="WBO3425" s="34">
        <v>-5</v>
      </c>
      <c r="WBP3425" s="34">
        <v>-4.5</v>
      </c>
      <c r="WBQ3425" s="34">
        <v>-4</v>
      </c>
      <c r="WBR3425" s="34">
        <v>-3.5</v>
      </c>
      <c r="WBS3425" s="34">
        <v>-3</v>
      </c>
      <c r="WBT3425" s="34">
        <v>-2.5</v>
      </c>
      <c r="WBU3425" s="34">
        <v>-2</v>
      </c>
      <c r="WBV3425" s="34">
        <v>-1.5</v>
      </c>
      <c r="WBW3425" s="34">
        <v>-1</v>
      </c>
      <c r="WBX3425" s="34">
        <v>-0.5</v>
      </c>
      <c r="WBY3425" s="34">
        <v>0</v>
      </c>
      <c r="WBZ3425" s="34">
        <v>0.5</v>
      </c>
      <c r="WCA3425" s="34">
        <v>1</v>
      </c>
      <c r="WCB3425" s="34">
        <v>1.5</v>
      </c>
      <c r="WCC3425" s="34">
        <v>2</v>
      </c>
      <c r="WCD3425" s="34">
        <v>2.5</v>
      </c>
      <c r="WCE3425" s="34">
        <v>3</v>
      </c>
      <c r="WCF3425" s="34">
        <v>3.5</v>
      </c>
      <c r="WCG3425" s="34">
        <v>4</v>
      </c>
      <c r="WCH3425" s="34">
        <v>4.5</v>
      </c>
      <c r="WCI3425" s="34">
        <v>5</v>
      </c>
      <c r="WCK3425" s="913"/>
      <c r="WCL3425" s="31">
        <v>1</v>
      </c>
      <c r="WCM3425" s="34">
        <v>0</v>
      </c>
      <c r="WCN3425" s="34">
        <v>-1</v>
      </c>
      <c r="WCO3425" s="34">
        <v>-2</v>
      </c>
      <c r="WCP3425" s="34">
        <v>-3</v>
      </c>
      <c r="WCQ3425" s="34">
        <v>-4</v>
      </c>
      <c r="WCR3425" s="34">
        <v>-5</v>
      </c>
      <c r="WCS3425" s="908"/>
      <c r="WCT3425" s="909"/>
      <c r="WCU3425" s="34">
        <v>-5</v>
      </c>
      <c r="WCV3425" s="34">
        <v>-4.5</v>
      </c>
      <c r="WCW3425" s="34">
        <v>-4</v>
      </c>
      <c r="WCX3425" s="34">
        <v>-3.5</v>
      </c>
      <c r="WCY3425" s="34">
        <v>-3</v>
      </c>
      <c r="WCZ3425" s="34">
        <v>-2.5</v>
      </c>
      <c r="WDA3425" s="34">
        <v>-2</v>
      </c>
      <c r="WDB3425" s="34">
        <v>-1.5</v>
      </c>
      <c r="WDC3425" s="34">
        <v>-1</v>
      </c>
      <c r="WDD3425" s="34">
        <v>-0.5</v>
      </c>
      <c r="WDE3425" s="34">
        <v>0</v>
      </c>
      <c r="WDF3425" s="34">
        <v>0.5</v>
      </c>
      <c r="WDG3425" s="34">
        <v>1</v>
      </c>
      <c r="WDH3425" s="34">
        <v>1.5</v>
      </c>
      <c r="WDI3425" s="34">
        <v>2</v>
      </c>
      <c r="WDJ3425" s="34">
        <v>2.5</v>
      </c>
      <c r="WDK3425" s="34">
        <v>3</v>
      </c>
      <c r="WDL3425" s="34">
        <v>3.5</v>
      </c>
      <c r="WDM3425" s="34">
        <v>4</v>
      </c>
      <c r="WDN3425" s="34">
        <v>4.5</v>
      </c>
      <c r="WDO3425" s="34">
        <v>5</v>
      </c>
      <c r="WDQ3425" s="913"/>
      <c r="WDR3425" s="31">
        <v>1</v>
      </c>
      <c r="WDS3425" s="34">
        <v>0</v>
      </c>
      <c r="WDT3425" s="34">
        <v>-1</v>
      </c>
      <c r="WDU3425" s="34">
        <v>-2</v>
      </c>
      <c r="WDV3425" s="34">
        <v>-3</v>
      </c>
      <c r="WDW3425" s="34">
        <v>-4</v>
      </c>
      <c r="WDX3425" s="34">
        <v>-5</v>
      </c>
      <c r="WDY3425" s="908"/>
      <c r="WDZ3425" s="909"/>
      <c r="WEA3425" s="34">
        <v>-5</v>
      </c>
      <c r="WEB3425" s="34">
        <v>-4.5</v>
      </c>
      <c r="WEC3425" s="34">
        <v>-4</v>
      </c>
      <c r="WED3425" s="34">
        <v>-3.5</v>
      </c>
      <c r="WEE3425" s="34">
        <v>-3</v>
      </c>
      <c r="WEF3425" s="34">
        <v>-2.5</v>
      </c>
      <c r="WEG3425" s="34">
        <v>-2</v>
      </c>
      <c r="WEH3425" s="34">
        <v>-1.5</v>
      </c>
      <c r="WEI3425" s="34">
        <v>-1</v>
      </c>
      <c r="WEJ3425" s="34">
        <v>-0.5</v>
      </c>
      <c r="WEK3425" s="34">
        <v>0</v>
      </c>
      <c r="WEL3425" s="34">
        <v>0.5</v>
      </c>
      <c r="WEM3425" s="34">
        <v>1</v>
      </c>
      <c r="WEN3425" s="34">
        <v>1.5</v>
      </c>
      <c r="WEO3425" s="34">
        <v>2</v>
      </c>
      <c r="WEP3425" s="34">
        <v>2.5</v>
      </c>
      <c r="WEQ3425" s="34">
        <v>3</v>
      </c>
      <c r="WER3425" s="34">
        <v>3.5</v>
      </c>
      <c r="WES3425" s="34">
        <v>4</v>
      </c>
      <c r="WET3425" s="34">
        <v>4.5</v>
      </c>
      <c r="WEU3425" s="34">
        <v>5</v>
      </c>
      <c r="WEW3425" s="913"/>
      <c r="WEX3425" s="31">
        <v>1</v>
      </c>
      <c r="WEY3425" s="34">
        <v>0</v>
      </c>
      <c r="WEZ3425" s="34">
        <v>-1</v>
      </c>
      <c r="WFA3425" s="34">
        <v>-2</v>
      </c>
      <c r="WFB3425" s="34">
        <v>-3</v>
      </c>
      <c r="WFC3425" s="34">
        <v>-4</v>
      </c>
      <c r="WFD3425" s="34">
        <v>-5</v>
      </c>
      <c r="WFE3425" s="908"/>
      <c r="WFF3425" s="909"/>
      <c r="WFG3425" s="34">
        <v>-5</v>
      </c>
      <c r="WFH3425" s="34">
        <v>-4.5</v>
      </c>
      <c r="WFI3425" s="34">
        <v>-4</v>
      </c>
      <c r="WFJ3425" s="34">
        <v>-3.5</v>
      </c>
      <c r="WFK3425" s="34">
        <v>-3</v>
      </c>
      <c r="WFL3425" s="34">
        <v>-2.5</v>
      </c>
      <c r="WFM3425" s="34">
        <v>-2</v>
      </c>
      <c r="WFN3425" s="34">
        <v>-1.5</v>
      </c>
      <c r="WFO3425" s="34">
        <v>-1</v>
      </c>
      <c r="WFP3425" s="34">
        <v>-0.5</v>
      </c>
      <c r="WFQ3425" s="34">
        <v>0</v>
      </c>
      <c r="WFR3425" s="34">
        <v>0.5</v>
      </c>
      <c r="WFS3425" s="34">
        <v>1</v>
      </c>
      <c r="WFT3425" s="34">
        <v>1.5</v>
      </c>
      <c r="WFU3425" s="34">
        <v>2</v>
      </c>
      <c r="WFV3425" s="34">
        <v>2.5</v>
      </c>
      <c r="WFW3425" s="34">
        <v>3</v>
      </c>
      <c r="WFX3425" s="34">
        <v>3.5</v>
      </c>
      <c r="WFY3425" s="34">
        <v>4</v>
      </c>
      <c r="WFZ3425" s="34">
        <v>4.5</v>
      </c>
      <c r="WGA3425" s="34">
        <v>5</v>
      </c>
      <c r="WGC3425" s="913"/>
      <c r="WGD3425" s="31">
        <v>1</v>
      </c>
      <c r="WGE3425" s="34">
        <v>0</v>
      </c>
      <c r="WGF3425" s="34">
        <v>-1</v>
      </c>
      <c r="WGG3425" s="34">
        <v>-2</v>
      </c>
      <c r="WGH3425" s="34">
        <v>-3</v>
      </c>
      <c r="WGI3425" s="34">
        <v>-4</v>
      </c>
      <c r="WGJ3425" s="34">
        <v>-5</v>
      </c>
      <c r="WGK3425" s="908"/>
      <c r="WGL3425" s="909"/>
      <c r="WGM3425" s="34">
        <v>-5</v>
      </c>
      <c r="WGN3425" s="34">
        <v>-4.5</v>
      </c>
      <c r="WGO3425" s="34">
        <v>-4</v>
      </c>
      <c r="WGP3425" s="34">
        <v>-3.5</v>
      </c>
      <c r="WGQ3425" s="34">
        <v>-3</v>
      </c>
      <c r="WGR3425" s="34">
        <v>-2.5</v>
      </c>
      <c r="WGS3425" s="34">
        <v>-2</v>
      </c>
      <c r="WGT3425" s="34">
        <v>-1.5</v>
      </c>
      <c r="WGU3425" s="34">
        <v>-1</v>
      </c>
      <c r="WGV3425" s="34">
        <v>-0.5</v>
      </c>
      <c r="WGW3425" s="34">
        <v>0</v>
      </c>
      <c r="WGX3425" s="34">
        <v>0.5</v>
      </c>
      <c r="WGY3425" s="34">
        <v>1</v>
      </c>
      <c r="WGZ3425" s="34">
        <v>1.5</v>
      </c>
      <c r="WHA3425" s="34">
        <v>2</v>
      </c>
      <c r="WHB3425" s="34">
        <v>2.5</v>
      </c>
      <c r="WHC3425" s="34">
        <v>3</v>
      </c>
      <c r="WHD3425" s="34">
        <v>3.5</v>
      </c>
      <c r="WHE3425" s="34">
        <v>4</v>
      </c>
      <c r="WHF3425" s="34">
        <v>4.5</v>
      </c>
      <c r="WHG3425" s="34">
        <v>5</v>
      </c>
      <c r="WHI3425" s="913"/>
      <c r="WHJ3425" s="31">
        <v>1</v>
      </c>
      <c r="WHK3425" s="34">
        <v>0</v>
      </c>
      <c r="WHL3425" s="34">
        <v>-1</v>
      </c>
      <c r="WHM3425" s="34">
        <v>-2</v>
      </c>
      <c r="WHN3425" s="34">
        <v>-3</v>
      </c>
      <c r="WHO3425" s="34">
        <v>-4</v>
      </c>
      <c r="WHP3425" s="34">
        <v>-5</v>
      </c>
      <c r="WHQ3425" s="908"/>
      <c r="WHR3425" s="909"/>
      <c r="WHS3425" s="34">
        <v>-5</v>
      </c>
      <c r="WHT3425" s="34">
        <v>-4.5</v>
      </c>
      <c r="WHU3425" s="34">
        <v>-4</v>
      </c>
      <c r="WHV3425" s="34">
        <v>-3.5</v>
      </c>
      <c r="WHW3425" s="34">
        <v>-3</v>
      </c>
      <c r="WHX3425" s="34">
        <v>-2.5</v>
      </c>
      <c r="WHY3425" s="34">
        <v>-2</v>
      </c>
      <c r="WHZ3425" s="34">
        <v>-1.5</v>
      </c>
      <c r="WIA3425" s="34">
        <v>-1</v>
      </c>
      <c r="WIB3425" s="34">
        <v>-0.5</v>
      </c>
      <c r="WIC3425" s="34">
        <v>0</v>
      </c>
      <c r="WID3425" s="34">
        <v>0.5</v>
      </c>
      <c r="WIE3425" s="34">
        <v>1</v>
      </c>
      <c r="WIF3425" s="34">
        <v>1.5</v>
      </c>
      <c r="WIG3425" s="34">
        <v>2</v>
      </c>
      <c r="WIH3425" s="34">
        <v>2.5</v>
      </c>
      <c r="WII3425" s="34">
        <v>3</v>
      </c>
      <c r="WIJ3425" s="34">
        <v>3.5</v>
      </c>
      <c r="WIK3425" s="34">
        <v>4</v>
      </c>
      <c r="WIL3425" s="34">
        <v>4.5</v>
      </c>
      <c r="WIM3425" s="34">
        <v>5</v>
      </c>
      <c r="WIO3425" s="913"/>
      <c r="WIP3425" s="31">
        <v>1</v>
      </c>
      <c r="WIQ3425" s="34">
        <v>0</v>
      </c>
      <c r="WIR3425" s="34">
        <v>-1</v>
      </c>
      <c r="WIS3425" s="34">
        <v>-2</v>
      </c>
      <c r="WIT3425" s="34">
        <v>-3</v>
      </c>
      <c r="WIU3425" s="34">
        <v>-4</v>
      </c>
      <c r="WIV3425" s="34">
        <v>-5</v>
      </c>
      <c r="WIW3425" s="908"/>
      <c r="WIX3425" s="909"/>
      <c r="WIY3425" s="34">
        <v>-5</v>
      </c>
      <c r="WIZ3425" s="34">
        <v>-4.5</v>
      </c>
      <c r="WJA3425" s="34">
        <v>-4</v>
      </c>
      <c r="WJB3425" s="34">
        <v>-3.5</v>
      </c>
      <c r="WJC3425" s="34">
        <v>-3</v>
      </c>
      <c r="WJD3425" s="34">
        <v>-2.5</v>
      </c>
      <c r="WJE3425" s="34">
        <v>-2</v>
      </c>
      <c r="WJF3425" s="34">
        <v>-1.5</v>
      </c>
      <c r="WJG3425" s="34">
        <v>-1</v>
      </c>
      <c r="WJH3425" s="34">
        <v>-0.5</v>
      </c>
      <c r="WJI3425" s="34">
        <v>0</v>
      </c>
      <c r="WJJ3425" s="34">
        <v>0.5</v>
      </c>
      <c r="WJK3425" s="34">
        <v>1</v>
      </c>
      <c r="WJL3425" s="34">
        <v>1.5</v>
      </c>
      <c r="WJM3425" s="34">
        <v>2</v>
      </c>
      <c r="WJN3425" s="34">
        <v>2.5</v>
      </c>
      <c r="WJO3425" s="34">
        <v>3</v>
      </c>
      <c r="WJP3425" s="34">
        <v>3.5</v>
      </c>
      <c r="WJQ3425" s="34">
        <v>4</v>
      </c>
      <c r="WJR3425" s="34">
        <v>4.5</v>
      </c>
      <c r="WJS3425" s="34">
        <v>5</v>
      </c>
      <c r="WJU3425" s="913"/>
      <c r="WJV3425" s="31">
        <v>1</v>
      </c>
      <c r="WJW3425" s="34">
        <v>0</v>
      </c>
      <c r="WJX3425" s="34">
        <v>-1</v>
      </c>
      <c r="WJY3425" s="34">
        <v>-2</v>
      </c>
      <c r="WJZ3425" s="34">
        <v>-3</v>
      </c>
      <c r="WKA3425" s="34">
        <v>-4</v>
      </c>
      <c r="WKB3425" s="34">
        <v>-5</v>
      </c>
      <c r="WKC3425" s="908"/>
      <c r="WKD3425" s="909"/>
      <c r="WKE3425" s="34">
        <v>-5</v>
      </c>
      <c r="WKF3425" s="34">
        <v>-4.5</v>
      </c>
      <c r="WKG3425" s="34">
        <v>-4</v>
      </c>
      <c r="WKH3425" s="34">
        <v>-3.5</v>
      </c>
      <c r="WKI3425" s="34">
        <v>-3</v>
      </c>
      <c r="WKJ3425" s="34">
        <v>-2.5</v>
      </c>
      <c r="WKK3425" s="34">
        <v>-2</v>
      </c>
      <c r="WKL3425" s="34">
        <v>-1.5</v>
      </c>
      <c r="WKM3425" s="34">
        <v>-1</v>
      </c>
      <c r="WKN3425" s="34">
        <v>-0.5</v>
      </c>
      <c r="WKO3425" s="34">
        <v>0</v>
      </c>
      <c r="WKP3425" s="34">
        <v>0.5</v>
      </c>
      <c r="WKQ3425" s="34">
        <v>1</v>
      </c>
      <c r="WKR3425" s="34">
        <v>1.5</v>
      </c>
      <c r="WKS3425" s="34">
        <v>2</v>
      </c>
      <c r="WKT3425" s="34">
        <v>2.5</v>
      </c>
      <c r="WKU3425" s="34">
        <v>3</v>
      </c>
      <c r="WKV3425" s="34">
        <v>3.5</v>
      </c>
      <c r="WKW3425" s="34">
        <v>4</v>
      </c>
      <c r="WKX3425" s="34">
        <v>4.5</v>
      </c>
      <c r="WKY3425" s="34">
        <v>5</v>
      </c>
      <c r="WLA3425" s="913"/>
      <c r="WLB3425" s="31">
        <v>1</v>
      </c>
      <c r="WLC3425" s="34">
        <v>0</v>
      </c>
      <c r="WLD3425" s="34">
        <v>-1</v>
      </c>
      <c r="WLE3425" s="34">
        <v>-2</v>
      </c>
      <c r="WLF3425" s="34">
        <v>-3</v>
      </c>
      <c r="WLG3425" s="34">
        <v>-4</v>
      </c>
      <c r="WLH3425" s="34">
        <v>-5</v>
      </c>
      <c r="WLI3425" s="908"/>
      <c r="WLJ3425" s="909"/>
      <c r="WLK3425" s="34">
        <v>-5</v>
      </c>
      <c r="WLL3425" s="34">
        <v>-4.5</v>
      </c>
      <c r="WLM3425" s="34">
        <v>-4</v>
      </c>
      <c r="WLN3425" s="34">
        <v>-3.5</v>
      </c>
      <c r="WLO3425" s="34">
        <v>-3</v>
      </c>
      <c r="WLP3425" s="34">
        <v>-2.5</v>
      </c>
      <c r="WLQ3425" s="34">
        <v>-2</v>
      </c>
      <c r="WLR3425" s="34">
        <v>-1.5</v>
      </c>
      <c r="WLS3425" s="34">
        <v>-1</v>
      </c>
      <c r="WLT3425" s="34">
        <v>-0.5</v>
      </c>
      <c r="WLU3425" s="34">
        <v>0</v>
      </c>
      <c r="WLV3425" s="34">
        <v>0.5</v>
      </c>
      <c r="WLW3425" s="34">
        <v>1</v>
      </c>
      <c r="WLX3425" s="34">
        <v>1.5</v>
      </c>
      <c r="WLY3425" s="34">
        <v>2</v>
      </c>
      <c r="WLZ3425" s="34">
        <v>2.5</v>
      </c>
      <c r="WMA3425" s="34">
        <v>3</v>
      </c>
      <c r="WMB3425" s="34">
        <v>3.5</v>
      </c>
      <c r="WMC3425" s="34">
        <v>4</v>
      </c>
      <c r="WMD3425" s="34">
        <v>4.5</v>
      </c>
      <c r="WME3425" s="34">
        <v>5</v>
      </c>
      <c r="WMG3425" s="913"/>
      <c r="WMH3425" s="31">
        <v>1</v>
      </c>
      <c r="WMI3425" s="34">
        <v>0</v>
      </c>
      <c r="WMJ3425" s="34">
        <v>-1</v>
      </c>
      <c r="WMK3425" s="34">
        <v>-2</v>
      </c>
      <c r="WML3425" s="34">
        <v>-3</v>
      </c>
      <c r="WMM3425" s="34">
        <v>-4</v>
      </c>
      <c r="WMN3425" s="34">
        <v>-5</v>
      </c>
      <c r="WMO3425" s="908"/>
      <c r="WMP3425" s="909"/>
      <c r="WMQ3425" s="34">
        <v>-5</v>
      </c>
      <c r="WMR3425" s="34">
        <v>-4.5</v>
      </c>
      <c r="WMS3425" s="34">
        <v>-4</v>
      </c>
      <c r="WMT3425" s="34">
        <v>-3.5</v>
      </c>
      <c r="WMU3425" s="34">
        <v>-3</v>
      </c>
      <c r="WMV3425" s="34">
        <v>-2.5</v>
      </c>
      <c r="WMW3425" s="34">
        <v>-2</v>
      </c>
      <c r="WMX3425" s="34">
        <v>-1.5</v>
      </c>
      <c r="WMY3425" s="34">
        <v>-1</v>
      </c>
      <c r="WMZ3425" s="34">
        <v>-0.5</v>
      </c>
      <c r="WNA3425" s="34">
        <v>0</v>
      </c>
      <c r="WNB3425" s="34">
        <v>0.5</v>
      </c>
      <c r="WNC3425" s="34">
        <v>1</v>
      </c>
      <c r="WND3425" s="34">
        <v>1.5</v>
      </c>
      <c r="WNE3425" s="34">
        <v>2</v>
      </c>
      <c r="WNF3425" s="34">
        <v>2.5</v>
      </c>
      <c r="WNG3425" s="34">
        <v>3</v>
      </c>
      <c r="WNH3425" s="34">
        <v>3.5</v>
      </c>
      <c r="WNI3425" s="34">
        <v>4</v>
      </c>
      <c r="WNJ3425" s="34">
        <v>4.5</v>
      </c>
      <c r="WNK3425" s="34">
        <v>5</v>
      </c>
      <c r="WNM3425" s="913"/>
      <c r="WNN3425" s="31">
        <v>1</v>
      </c>
      <c r="WNO3425" s="34">
        <v>0</v>
      </c>
      <c r="WNP3425" s="34">
        <v>-1</v>
      </c>
      <c r="WNQ3425" s="34">
        <v>-2</v>
      </c>
      <c r="WNR3425" s="34">
        <v>-3</v>
      </c>
      <c r="WNS3425" s="34">
        <v>-4</v>
      </c>
      <c r="WNT3425" s="34">
        <v>-5</v>
      </c>
      <c r="WNU3425" s="908"/>
      <c r="WNV3425" s="909"/>
      <c r="WNW3425" s="34">
        <v>-5</v>
      </c>
      <c r="WNX3425" s="34">
        <v>-4.5</v>
      </c>
      <c r="WNY3425" s="34">
        <v>-4</v>
      </c>
      <c r="WNZ3425" s="34">
        <v>-3.5</v>
      </c>
      <c r="WOA3425" s="34">
        <v>-3</v>
      </c>
      <c r="WOB3425" s="34">
        <v>-2.5</v>
      </c>
      <c r="WOC3425" s="34">
        <v>-2</v>
      </c>
      <c r="WOD3425" s="34">
        <v>-1.5</v>
      </c>
      <c r="WOE3425" s="34">
        <v>-1</v>
      </c>
      <c r="WOF3425" s="34">
        <v>-0.5</v>
      </c>
      <c r="WOG3425" s="34">
        <v>0</v>
      </c>
      <c r="WOH3425" s="34">
        <v>0.5</v>
      </c>
      <c r="WOI3425" s="34">
        <v>1</v>
      </c>
      <c r="WOJ3425" s="34">
        <v>1.5</v>
      </c>
      <c r="WOK3425" s="34">
        <v>2</v>
      </c>
      <c r="WOL3425" s="34">
        <v>2.5</v>
      </c>
      <c r="WOM3425" s="34">
        <v>3</v>
      </c>
      <c r="WON3425" s="34">
        <v>3.5</v>
      </c>
      <c r="WOO3425" s="34">
        <v>4</v>
      </c>
      <c r="WOP3425" s="34">
        <v>4.5</v>
      </c>
      <c r="WOQ3425" s="34">
        <v>5</v>
      </c>
      <c r="WOS3425" s="913"/>
      <c r="WOT3425" s="31">
        <v>1</v>
      </c>
      <c r="WOU3425" s="34">
        <v>0</v>
      </c>
      <c r="WOV3425" s="34">
        <v>-1</v>
      </c>
      <c r="WOW3425" s="34">
        <v>-2</v>
      </c>
      <c r="WOX3425" s="34">
        <v>-3</v>
      </c>
      <c r="WOY3425" s="34">
        <v>-4</v>
      </c>
      <c r="WOZ3425" s="34">
        <v>-5</v>
      </c>
      <c r="WPA3425" s="908"/>
      <c r="WPB3425" s="909"/>
      <c r="WPC3425" s="34">
        <v>-5</v>
      </c>
      <c r="WPD3425" s="34">
        <v>-4.5</v>
      </c>
      <c r="WPE3425" s="34">
        <v>-4</v>
      </c>
      <c r="WPF3425" s="34">
        <v>-3.5</v>
      </c>
      <c r="WPG3425" s="34">
        <v>-3</v>
      </c>
      <c r="WPH3425" s="34">
        <v>-2.5</v>
      </c>
      <c r="WPI3425" s="34">
        <v>-2</v>
      </c>
      <c r="WPJ3425" s="34">
        <v>-1.5</v>
      </c>
      <c r="WPK3425" s="34">
        <v>-1</v>
      </c>
      <c r="WPL3425" s="34">
        <v>-0.5</v>
      </c>
      <c r="WPM3425" s="34">
        <v>0</v>
      </c>
      <c r="WPN3425" s="34">
        <v>0.5</v>
      </c>
      <c r="WPO3425" s="34">
        <v>1</v>
      </c>
      <c r="WPP3425" s="34">
        <v>1.5</v>
      </c>
      <c r="WPQ3425" s="34">
        <v>2</v>
      </c>
      <c r="WPR3425" s="34">
        <v>2.5</v>
      </c>
      <c r="WPS3425" s="34">
        <v>3</v>
      </c>
      <c r="WPT3425" s="34">
        <v>3.5</v>
      </c>
      <c r="WPU3425" s="34">
        <v>4</v>
      </c>
      <c r="WPV3425" s="34">
        <v>4.5</v>
      </c>
      <c r="WPW3425" s="34">
        <v>5</v>
      </c>
      <c r="WPY3425" s="913"/>
      <c r="WPZ3425" s="31">
        <v>1</v>
      </c>
      <c r="WQA3425" s="34">
        <v>0</v>
      </c>
      <c r="WQB3425" s="34">
        <v>-1</v>
      </c>
      <c r="WQC3425" s="34">
        <v>-2</v>
      </c>
      <c r="WQD3425" s="34">
        <v>-3</v>
      </c>
      <c r="WQE3425" s="34">
        <v>-4</v>
      </c>
      <c r="WQF3425" s="34">
        <v>-5</v>
      </c>
      <c r="WQG3425" s="908"/>
      <c r="WQH3425" s="909"/>
      <c r="WQI3425" s="34">
        <v>-5</v>
      </c>
      <c r="WQJ3425" s="34">
        <v>-4.5</v>
      </c>
      <c r="WQK3425" s="34">
        <v>-4</v>
      </c>
      <c r="WQL3425" s="34">
        <v>-3.5</v>
      </c>
      <c r="WQM3425" s="34">
        <v>-3</v>
      </c>
      <c r="WQN3425" s="34">
        <v>-2.5</v>
      </c>
      <c r="WQO3425" s="34">
        <v>-2</v>
      </c>
      <c r="WQP3425" s="34">
        <v>-1.5</v>
      </c>
      <c r="WQQ3425" s="34">
        <v>-1</v>
      </c>
      <c r="WQR3425" s="34">
        <v>-0.5</v>
      </c>
      <c r="WQS3425" s="34">
        <v>0</v>
      </c>
      <c r="WQT3425" s="34">
        <v>0.5</v>
      </c>
      <c r="WQU3425" s="34">
        <v>1</v>
      </c>
      <c r="WQV3425" s="34">
        <v>1.5</v>
      </c>
      <c r="WQW3425" s="34">
        <v>2</v>
      </c>
      <c r="WQX3425" s="34">
        <v>2.5</v>
      </c>
      <c r="WQY3425" s="34">
        <v>3</v>
      </c>
      <c r="WQZ3425" s="34">
        <v>3.5</v>
      </c>
      <c r="WRA3425" s="34">
        <v>4</v>
      </c>
      <c r="WRB3425" s="34">
        <v>4.5</v>
      </c>
      <c r="WRC3425" s="34">
        <v>5</v>
      </c>
      <c r="WRE3425" s="913"/>
      <c r="WRF3425" s="31">
        <v>1</v>
      </c>
      <c r="WRG3425" s="34">
        <v>0</v>
      </c>
      <c r="WRH3425" s="34">
        <v>-1</v>
      </c>
      <c r="WRI3425" s="34">
        <v>-2</v>
      </c>
      <c r="WRJ3425" s="34">
        <v>-3</v>
      </c>
      <c r="WRK3425" s="34">
        <v>-4</v>
      </c>
      <c r="WRL3425" s="34">
        <v>-5</v>
      </c>
      <c r="WRM3425" s="908"/>
      <c r="WRN3425" s="909"/>
      <c r="WRO3425" s="34">
        <v>-5</v>
      </c>
      <c r="WRP3425" s="34">
        <v>-4.5</v>
      </c>
      <c r="WRQ3425" s="34">
        <v>-4</v>
      </c>
      <c r="WRR3425" s="34">
        <v>-3.5</v>
      </c>
      <c r="WRS3425" s="34">
        <v>-3</v>
      </c>
      <c r="WRT3425" s="34">
        <v>-2.5</v>
      </c>
      <c r="WRU3425" s="34">
        <v>-2</v>
      </c>
      <c r="WRV3425" s="34">
        <v>-1.5</v>
      </c>
      <c r="WRW3425" s="34">
        <v>-1</v>
      </c>
      <c r="WRX3425" s="34">
        <v>-0.5</v>
      </c>
      <c r="WRY3425" s="34">
        <v>0</v>
      </c>
      <c r="WRZ3425" s="34">
        <v>0.5</v>
      </c>
      <c r="WSA3425" s="34">
        <v>1</v>
      </c>
      <c r="WSB3425" s="34">
        <v>1.5</v>
      </c>
      <c r="WSC3425" s="34">
        <v>2</v>
      </c>
      <c r="WSD3425" s="34">
        <v>2.5</v>
      </c>
      <c r="WSE3425" s="34">
        <v>3</v>
      </c>
      <c r="WSF3425" s="34">
        <v>3.5</v>
      </c>
      <c r="WSG3425" s="34">
        <v>4</v>
      </c>
      <c r="WSH3425" s="34">
        <v>4.5</v>
      </c>
      <c r="WSI3425" s="34">
        <v>5</v>
      </c>
      <c r="WSK3425" s="913"/>
      <c r="WSL3425" s="31">
        <v>1</v>
      </c>
      <c r="WSM3425" s="34">
        <v>0</v>
      </c>
      <c r="WSN3425" s="34">
        <v>-1</v>
      </c>
      <c r="WSO3425" s="34">
        <v>-2</v>
      </c>
      <c r="WSP3425" s="34">
        <v>-3</v>
      </c>
      <c r="WSQ3425" s="34">
        <v>-4</v>
      </c>
      <c r="WSR3425" s="34">
        <v>-5</v>
      </c>
      <c r="WSS3425" s="908"/>
      <c r="WST3425" s="909"/>
      <c r="WSU3425" s="34">
        <v>-5</v>
      </c>
      <c r="WSV3425" s="34">
        <v>-4.5</v>
      </c>
      <c r="WSW3425" s="34">
        <v>-4</v>
      </c>
      <c r="WSX3425" s="34">
        <v>-3.5</v>
      </c>
      <c r="WSY3425" s="34">
        <v>-3</v>
      </c>
      <c r="WSZ3425" s="34">
        <v>-2.5</v>
      </c>
      <c r="WTA3425" s="34">
        <v>-2</v>
      </c>
      <c r="WTB3425" s="34">
        <v>-1.5</v>
      </c>
      <c r="WTC3425" s="34">
        <v>-1</v>
      </c>
      <c r="WTD3425" s="34">
        <v>-0.5</v>
      </c>
      <c r="WTE3425" s="34">
        <v>0</v>
      </c>
      <c r="WTF3425" s="34">
        <v>0.5</v>
      </c>
      <c r="WTG3425" s="34">
        <v>1</v>
      </c>
      <c r="WTH3425" s="34">
        <v>1.5</v>
      </c>
      <c r="WTI3425" s="34">
        <v>2</v>
      </c>
      <c r="WTJ3425" s="34">
        <v>2.5</v>
      </c>
      <c r="WTK3425" s="34">
        <v>3</v>
      </c>
      <c r="WTL3425" s="34">
        <v>3.5</v>
      </c>
      <c r="WTM3425" s="34">
        <v>4</v>
      </c>
      <c r="WTN3425" s="34">
        <v>4.5</v>
      </c>
      <c r="WTO3425" s="34">
        <v>5</v>
      </c>
      <c r="WTQ3425" s="913"/>
      <c r="WTR3425" s="31">
        <v>1</v>
      </c>
      <c r="WTS3425" s="34">
        <v>0</v>
      </c>
      <c r="WTT3425" s="34">
        <v>-1</v>
      </c>
      <c r="WTU3425" s="34">
        <v>-2</v>
      </c>
      <c r="WTV3425" s="34">
        <v>-3</v>
      </c>
      <c r="WTW3425" s="34">
        <v>-4</v>
      </c>
      <c r="WTX3425" s="34">
        <v>-5</v>
      </c>
      <c r="WTY3425" s="908"/>
      <c r="WTZ3425" s="909"/>
      <c r="WUA3425" s="34">
        <v>-5</v>
      </c>
      <c r="WUB3425" s="34">
        <v>-4.5</v>
      </c>
      <c r="WUC3425" s="34">
        <v>-4</v>
      </c>
      <c r="WUD3425" s="34">
        <v>-3.5</v>
      </c>
      <c r="WUE3425" s="34">
        <v>-3</v>
      </c>
      <c r="WUF3425" s="34">
        <v>-2.5</v>
      </c>
      <c r="WUG3425" s="34">
        <v>-2</v>
      </c>
      <c r="WUH3425" s="34">
        <v>-1.5</v>
      </c>
      <c r="WUI3425" s="34">
        <v>-1</v>
      </c>
      <c r="WUJ3425" s="34">
        <v>-0.5</v>
      </c>
      <c r="WUK3425" s="34">
        <v>0</v>
      </c>
      <c r="WUL3425" s="34">
        <v>0.5</v>
      </c>
      <c r="WUM3425" s="34">
        <v>1</v>
      </c>
      <c r="WUN3425" s="34">
        <v>1.5</v>
      </c>
      <c r="WUO3425" s="34">
        <v>2</v>
      </c>
      <c r="WUP3425" s="34">
        <v>2.5</v>
      </c>
      <c r="WUQ3425" s="34">
        <v>3</v>
      </c>
      <c r="WUR3425" s="34">
        <v>3.5</v>
      </c>
      <c r="WUS3425" s="34">
        <v>4</v>
      </c>
      <c r="WUT3425" s="34">
        <v>4.5</v>
      </c>
      <c r="WUU3425" s="34">
        <v>5</v>
      </c>
      <c r="WUW3425" s="913"/>
      <c r="WUX3425" s="31">
        <v>1</v>
      </c>
      <c r="WUY3425" s="34">
        <v>0</v>
      </c>
      <c r="WUZ3425" s="34">
        <v>-1</v>
      </c>
      <c r="WVA3425" s="34">
        <v>-2</v>
      </c>
      <c r="WVB3425" s="34">
        <v>-3</v>
      </c>
      <c r="WVC3425" s="34">
        <v>-4</v>
      </c>
      <c r="WVD3425" s="34">
        <v>-5</v>
      </c>
      <c r="WVE3425" s="908"/>
      <c r="WVF3425" s="909"/>
      <c r="WVG3425" s="34">
        <v>-5</v>
      </c>
      <c r="WVH3425" s="34">
        <v>-4.5</v>
      </c>
      <c r="WVI3425" s="34">
        <v>-4</v>
      </c>
      <c r="WVJ3425" s="34">
        <v>-3.5</v>
      </c>
      <c r="WVK3425" s="34">
        <v>-3</v>
      </c>
      <c r="WVL3425" s="34">
        <v>-2.5</v>
      </c>
      <c r="WVM3425" s="34">
        <v>-2</v>
      </c>
      <c r="WVN3425" s="34">
        <v>-1.5</v>
      </c>
      <c r="WVO3425" s="34">
        <v>-1</v>
      </c>
      <c r="WVP3425" s="34">
        <v>-0.5</v>
      </c>
      <c r="WVQ3425" s="34">
        <v>0</v>
      </c>
      <c r="WVR3425" s="34">
        <v>0.5</v>
      </c>
      <c r="WVS3425" s="34">
        <v>1</v>
      </c>
      <c r="WVT3425" s="34">
        <v>1.5</v>
      </c>
      <c r="WVU3425" s="34">
        <v>2</v>
      </c>
      <c r="WVV3425" s="34">
        <v>2.5</v>
      </c>
      <c r="WVW3425" s="34">
        <v>3</v>
      </c>
      <c r="WVX3425" s="34">
        <v>3.5</v>
      </c>
      <c r="WVY3425" s="34">
        <v>4</v>
      </c>
      <c r="WVZ3425" s="34">
        <v>4.5</v>
      </c>
      <c r="WWA3425" s="34">
        <v>5</v>
      </c>
      <c r="WWC3425" s="913"/>
      <c r="WWD3425" s="31">
        <v>1</v>
      </c>
      <c r="WWE3425" s="34">
        <v>0</v>
      </c>
      <c r="WWF3425" s="34">
        <v>-1</v>
      </c>
      <c r="WWG3425" s="34">
        <v>-2</v>
      </c>
      <c r="WWH3425" s="34">
        <v>-3</v>
      </c>
      <c r="WWI3425" s="34">
        <v>-4</v>
      </c>
      <c r="WWJ3425" s="34">
        <v>-5</v>
      </c>
      <c r="WWK3425" s="908"/>
      <c r="WWL3425" s="909"/>
      <c r="WWM3425" s="34">
        <v>-5</v>
      </c>
      <c r="WWN3425" s="34">
        <v>-4.5</v>
      </c>
      <c r="WWO3425" s="34">
        <v>-4</v>
      </c>
      <c r="WWP3425" s="34">
        <v>-3.5</v>
      </c>
      <c r="WWQ3425" s="34">
        <v>-3</v>
      </c>
      <c r="WWR3425" s="34">
        <v>-2.5</v>
      </c>
      <c r="WWS3425" s="34">
        <v>-2</v>
      </c>
      <c r="WWT3425" s="34">
        <v>-1.5</v>
      </c>
      <c r="WWU3425" s="34">
        <v>-1</v>
      </c>
      <c r="WWV3425" s="34">
        <v>-0.5</v>
      </c>
      <c r="WWW3425" s="34">
        <v>0</v>
      </c>
      <c r="WWX3425" s="34">
        <v>0.5</v>
      </c>
      <c r="WWY3425" s="34">
        <v>1</v>
      </c>
      <c r="WWZ3425" s="34">
        <v>1.5</v>
      </c>
      <c r="WXA3425" s="34">
        <v>2</v>
      </c>
      <c r="WXB3425" s="34">
        <v>2.5</v>
      </c>
      <c r="WXC3425" s="34">
        <v>3</v>
      </c>
      <c r="WXD3425" s="34">
        <v>3.5</v>
      </c>
      <c r="WXE3425" s="34">
        <v>4</v>
      </c>
      <c r="WXF3425" s="34">
        <v>4.5</v>
      </c>
      <c r="WXG3425" s="34">
        <v>5</v>
      </c>
      <c r="WXI3425" s="913"/>
      <c r="WXJ3425" s="31">
        <v>1</v>
      </c>
      <c r="WXK3425" s="34">
        <v>0</v>
      </c>
      <c r="WXL3425" s="34">
        <v>-1</v>
      </c>
      <c r="WXM3425" s="34">
        <v>-2</v>
      </c>
      <c r="WXN3425" s="34">
        <v>-3</v>
      </c>
      <c r="WXO3425" s="34">
        <v>-4</v>
      </c>
      <c r="WXP3425" s="34">
        <v>-5</v>
      </c>
      <c r="WXQ3425" s="908"/>
      <c r="WXR3425" s="909"/>
      <c r="WXS3425" s="34">
        <v>-5</v>
      </c>
      <c r="WXT3425" s="34">
        <v>-4.5</v>
      </c>
      <c r="WXU3425" s="34">
        <v>-4</v>
      </c>
      <c r="WXV3425" s="34">
        <v>-3.5</v>
      </c>
      <c r="WXW3425" s="34">
        <v>-3</v>
      </c>
      <c r="WXX3425" s="34">
        <v>-2.5</v>
      </c>
      <c r="WXY3425" s="34">
        <v>-2</v>
      </c>
      <c r="WXZ3425" s="34">
        <v>-1.5</v>
      </c>
      <c r="WYA3425" s="34">
        <v>-1</v>
      </c>
      <c r="WYB3425" s="34">
        <v>-0.5</v>
      </c>
      <c r="WYC3425" s="34">
        <v>0</v>
      </c>
      <c r="WYD3425" s="34">
        <v>0.5</v>
      </c>
      <c r="WYE3425" s="34">
        <v>1</v>
      </c>
      <c r="WYF3425" s="34">
        <v>1.5</v>
      </c>
      <c r="WYG3425" s="34">
        <v>2</v>
      </c>
      <c r="WYH3425" s="34">
        <v>2.5</v>
      </c>
      <c r="WYI3425" s="34">
        <v>3</v>
      </c>
      <c r="WYJ3425" s="34">
        <v>3.5</v>
      </c>
      <c r="WYK3425" s="34">
        <v>4</v>
      </c>
      <c r="WYL3425" s="34">
        <v>4.5</v>
      </c>
      <c r="WYM3425" s="34">
        <v>5</v>
      </c>
      <c r="WYO3425" s="913"/>
      <c r="WYP3425" s="31">
        <v>1</v>
      </c>
      <c r="WYQ3425" s="34">
        <v>0</v>
      </c>
      <c r="WYR3425" s="34">
        <v>-1</v>
      </c>
      <c r="WYS3425" s="34">
        <v>-2</v>
      </c>
      <c r="WYT3425" s="34">
        <v>-3</v>
      </c>
      <c r="WYU3425" s="34">
        <v>-4</v>
      </c>
      <c r="WYV3425" s="34">
        <v>-5</v>
      </c>
      <c r="WYW3425" s="908"/>
      <c r="WYX3425" s="909"/>
      <c r="WYY3425" s="34">
        <v>-5</v>
      </c>
      <c r="WYZ3425" s="34">
        <v>-4.5</v>
      </c>
      <c r="WZA3425" s="34">
        <v>-4</v>
      </c>
      <c r="WZB3425" s="34">
        <v>-3.5</v>
      </c>
      <c r="WZC3425" s="34">
        <v>-3</v>
      </c>
      <c r="WZD3425" s="34">
        <v>-2.5</v>
      </c>
      <c r="WZE3425" s="34">
        <v>-2</v>
      </c>
      <c r="WZF3425" s="34">
        <v>-1.5</v>
      </c>
      <c r="WZG3425" s="34">
        <v>-1</v>
      </c>
      <c r="WZH3425" s="34">
        <v>-0.5</v>
      </c>
      <c r="WZI3425" s="34">
        <v>0</v>
      </c>
      <c r="WZJ3425" s="34">
        <v>0.5</v>
      </c>
      <c r="WZK3425" s="34">
        <v>1</v>
      </c>
      <c r="WZL3425" s="34">
        <v>1.5</v>
      </c>
      <c r="WZM3425" s="34">
        <v>2</v>
      </c>
      <c r="WZN3425" s="34">
        <v>2.5</v>
      </c>
      <c r="WZO3425" s="34">
        <v>3</v>
      </c>
      <c r="WZP3425" s="34">
        <v>3.5</v>
      </c>
      <c r="WZQ3425" s="34">
        <v>4</v>
      </c>
      <c r="WZR3425" s="34">
        <v>4.5</v>
      </c>
      <c r="WZS3425" s="34">
        <v>5</v>
      </c>
      <c r="WZU3425" s="913"/>
      <c r="WZV3425" s="31">
        <v>1</v>
      </c>
      <c r="WZW3425" s="34">
        <v>0</v>
      </c>
      <c r="WZX3425" s="34">
        <v>-1</v>
      </c>
      <c r="WZY3425" s="34">
        <v>-2</v>
      </c>
      <c r="WZZ3425" s="34">
        <v>-3</v>
      </c>
      <c r="XAA3425" s="34">
        <v>-4</v>
      </c>
      <c r="XAB3425" s="34">
        <v>-5</v>
      </c>
      <c r="XAC3425" s="908"/>
      <c r="XAD3425" s="909"/>
      <c r="XAE3425" s="34">
        <v>-5</v>
      </c>
      <c r="XAF3425" s="34">
        <v>-4.5</v>
      </c>
      <c r="XAG3425" s="34">
        <v>-4</v>
      </c>
      <c r="XAH3425" s="34">
        <v>-3.5</v>
      </c>
      <c r="XAI3425" s="34">
        <v>-3</v>
      </c>
      <c r="XAJ3425" s="34">
        <v>-2.5</v>
      </c>
      <c r="XAK3425" s="34">
        <v>-2</v>
      </c>
      <c r="XAL3425" s="34">
        <v>-1.5</v>
      </c>
      <c r="XAM3425" s="34">
        <v>-1</v>
      </c>
      <c r="XAN3425" s="34">
        <v>-0.5</v>
      </c>
      <c r="XAO3425" s="34">
        <v>0</v>
      </c>
      <c r="XAP3425" s="34">
        <v>0.5</v>
      </c>
      <c r="XAQ3425" s="34">
        <v>1</v>
      </c>
      <c r="XAR3425" s="34">
        <v>1.5</v>
      </c>
      <c r="XAS3425" s="34">
        <v>2</v>
      </c>
      <c r="XAT3425" s="34">
        <v>2.5</v>
      </c>
      <c r="XAU3425" s="34">
        <v>3</v>
      </c>
      <c r="XAV3425" s="34">
        <v>3.5</v>
      </c>
      <c r="XAW3425" s="34">
        <v>4</v>
      </c>
      <c r="XAX3425" s="34">
        <v>4.5</v>
      </c>
      <c r="XAY3425" s="34">
        <v>5</v>
      </c>
      <c r="XBA3425" s="913"/>
      <c r="XBB3425" s="31">
        <v>1</v>
      </c>
      <c r="XBC3425" s="34">
        <v>0</v>
      </c>
      <c r="XBD3425" s="34">
        <v>-1</v>
      </c>
      <c r="XBE3425" s="34">
        <v>-2</v>
      </c>
      <c r="XBF3425" s="34">
        <v>-3</v>
      </c>
      <c r="XBG3425" s="34">
        <v>-4</v>
      </c>
      <c r="XBH3425" s="34">
        <v>-5</v>
      </c>
      <c r="XBI3425" s="908"/>
      <c r="XBJ3425" s="909"/>
      <c r="XBK3425" s="34">
        <v>-5</v>
      </c>
      <c r="XBL3425" s="34">
        <v>-4.5</v>
      </c>
      <c r="XBM3425" s="34">
        <v>-4</v>
      </c>
      <c r="XBN3425" s="34">
        <v>-3.5</v>
      </c>
      <c r="XBO3425" s="34">
        <v>-3</v>
      </c>
      <c r="XBP3425" s="34">
        <v>-2.5</v>
      </c>
      <c r="XBQ3425" s="34">
        <v>-2</v>
      </c>
      <c r="XBR3425" s="34">
        <v>-1.5</v>
      </c>
      <c r="XBS3425" s="34">
        <v>-1</v>
      </c>
      <c r="XBT3425" s="34">
        <v>-0.5</v>
      </c>
      <c r="XBU3425" s="34">
        <v>0</v>
      </c>
      <c r="XBV3425" s="34">
        <v>0.5</v>
      </c>
      <c r="XBW3425" s="34">
        <v>1</v>
      </c>
      <c r="XBX3425" s="34">
        <v>1.5</v>
      </c>
      <c r="XBY3425" s="34">
        <v>2</v>
      </c>
      <c r="XBZ3425" s="34">
        <v>2.5</v>
      </c>
      <c r="XCA3425" s="34">
        <v>3</v>
      </c>
      <c r="XCB3425" s="34">
        <v>3.5</v>
      </c>
      <c r="XCC3425" s="34">
        <v>4</v>
      </c>
      <c r="XCD3425" s="34">
        <v>4.5</v>
      </c>
      <c r="XCE3425" s="34">
        <v>5</v>
      </c>
      <c r="XCG3425" s="913"/>
      <c r="XCH3425" s="31">
        <v>1</v>
      </c>
      <c r="XCI3425" s="34">
        <v>0</v>
      </c>
      <c r="XCJ3425" s="34">
        <v>-1</v>
      </c>
      <c r="XCK3425" s="34">
        <v>-2</v>
      </c>
      <c r="XCL3425" s="34">
        <v>-3</v>
      </c>
      <c r="XCM3425" s="34">
        <v>-4</v>
      </c>
      <c r="XCN3425" s="34">
        <v>-5</v>
      </c>
      <c r="XCO3425" s="908"/>
      <c r="XCP3425" s="909"/>
      <c r="XCQ3425" s="34">
        <v>-5</v>
      </c>
      <c r="XCR3425" s="34">
        <v>-4.5</v>
      </c>
      <c r="XCS3425" s="34">
        <v>-4</v>
      </c>
      <c r="XCT3425" s="34">
        <v>-3.5</v>
      </c>
      <c r="XCU3425" s="34">
        <v>-3</v>
      </c>
      <c r="XCV3425" s="34">
        <v>-2.5</v>
      </c>
      <c r="XCW3425" s="34">
        <v>-2</v>
      </c>
      <c r="XCX3425" s="34">
        <v>-1.5</v>
      </c>
      <c r="XCY3425" s="34">
        <v>-1</v>
      </c>
      <c r="XCZ3425" s="34">
        <v>-0.5</v>
      </c>
      <c r="XDA3425" s="34">
        <v>0</v>
      </c>
      <c r="XDB3425" s="34">
        <v>0.5</v>
      </c>
      <c r="XDC3425" s="34">
        <v>1</v>
      </c>
      <c r="XDD3425" s="34">
        <v>1.5</v>
      </c>
      <c r="XDE3425" s="34">
        <v>2</v>
      </c>
      <c r="XDF3425" s="34">
        <v>2.5</v>
      </c>
      <c r="XDG3425" s="34">
        <v>3</v>
      </c>
      <c r="XDH3425" s="34">
        <v>3.5</v>
      </c>
      <c r="XDI3425" s="34">
        <v>4</v>
      </c>
      <c r="XDJ3425" s="34">
        <v>4.5</v>
      </c>
      <c r="XDK3425" s="34">
        <v>5</v>
      </c>
      <c r="XDM3425" s="913"/>
      <c r="XDN3425" s="31">
        <v>1</v>
      </c>
      <c r="XDO3425" s="34">
        <v>0</v>
      </c>
      <c r="XDP3425" s="34">
        <v>-1</v>
      </c>
      <c r="XDQ3425" s="34">
        <v>-2</v>
      </c>
      <c r="XDR3425" s="34">
        <v>-3</v>
      </c>
      <c r="XDS3425" s="34">
        <v>-4</v>
      </c>
      <c r="XDT3425" s="34">
        <v>-5</v>
      </c>
      <c r="XDU3425" s="908"/>
      <c r="XDV3425" s="909"/>
      <c r="XDW3425" s="34">
        <v>-5</v>
      </c>
      <c r="XDX3425" s="34">
        <v>-4.5</v>
      </c>
      <c r="XDY3425" s="34">
        <v>-4</v>
      </c>
      <c r="XDZ3425" s="34">
        <v>-3.5</v>
      </c>
      <c r="XEA3425" s="34">
        <v>-3</v>
      </c>
      <c r="XEB3425" s="34">
        <v>-2.5</v>
      </c>
      <c r="XEC3425" s="34">
        <v>-2</v>
      </c>
      <c r="XED3425" s="34">
        <v>-1.5</v>
      </c>
      <c r="XEE3425" s="34">
        <v>-1</v>
      </c>
      <c r="XEF3425" s="34">
        <v>-0.5</v>
      </c>
      <c r="XEG3425" s="34">
        <v>0</v>
      </c>
      <c r="XEH3425" s="34">
        <v>0.5</v>
      </c>
      <c r="XEI3425" s="34">
        <v>1</v>
      </c>
      <c r="XEJ3425" s="34">
        <v>1.5</v>
      </c>
      <c r="XEK3425" s="34">
        <v>2</v>
      </c>
      <c r="XEL3425" s="34">
        <v>2.5</v>
      </c>
      <c r="XEM3425" s="34">
        <v>3</v>
      </c>
      <c r="XEN3425" s="34">
        <v>3.5</v>
      </c>
      <c r="XEO3425" s="34">
        <v>4</v>
      </c>
      <c r="XEP3425" s="34">
        <v>4.5</v>
      </c>
      <c r="XEQ3425" s="34">
        <v>5</v>
      </c>
    </row>
    <row r="3426" spans="1:16371">
      <c r="A3426" s="1">
        <v>150</v>
      </c>
      <c r="B3426" s="1">
        <v>5.1349999999999998</v>
      </c>
      <c r="C3426" s="1">
        <v>5.3360000000000003</v>
      </c>
      <c r="D3426" s="1">
        <v>5.45</v>
      </c>
      <c r="E3426" s="1">
        <v>5.5739999999999998</v>
      </c>
      <c r="F3426" s="1">
        <v>5.7069999999999999</v>
      </c>
      <c r="G3426" s="1">
        <v>5.8470000000000004</v>
      </c>
      <c r="H3426" s="1">
        <v>6.1520000000000001</v>
      </c>
      <c r="I3426" s="1">
        <v>6.4809999999999999</v>
      </c>
      <c r="J3426" s="21">
        <v>2400</v>
      </c>
      <c r="K3426" s="1">
        <v>300</v>
      </c>
      <c r="L3426" s="1">
        <v>-135.316</v>
      </c>
      <c r="M3426" s="1">
        <v>-105.577</v>
      </c>
      <c r="N3426" s="1">
        <v>-74.385000000000005</v>
      </c>
      <c r="O3426" s="1">
        <v>-39.463000000000001</v>
      </c>
      <c r="P3426" s="365">
        <v>0</v>
      </c>
      <c r="Q3426" s="1">
        <v>40.226999999999997</v>
      </c>
      <c r="R3426" s="1">
        <v>84.614999999999995</v>
      </c>
      <c r="S3426" s="1">
        <v>130.393</v>
      </c>
      <c r="T3426" s="1">
        <v>178.05199999999999</v>
      </c>
      <c r="U3426" s="25"/>
      <c r="V3426" s="1">
        <f>INDEX(tank13Trim2,0,MATCH(V3425,tank13Trim2,1))</f>
        <v>0</v>
      </c>
      <c r="W3426" s="1">
        <f>Interp2(tank13Trim1,tank13Trim2,tank13Trim3,X3422,V3426)</f>
        <v>77.078999999999994</v>
      </c>
      <c r="X3426" s="1">
        <f>Interp2(tank13Trim1,tank13Trim2,tank13Trim3,X3423,V3426)</f>
        <v>80.284000000000006</v>
      </c>
      <c r="AA3426" s="30"/>
    </row>
    <row r="3427" spans="1:16371">
      <c r="A3427" s="1">
        <v>200</v>
      </c>
      <c r="B3427" s="1">
        <v>6.9029999999999996</v>
      </c>
      <c r="C3427" s="1">
        <v>7.1459999999999999</v>
      </c>
      <c r="D3427" s="1">
        <v>7.2809999999999997</v>
      </c>
      <c r="E3427" s="1">
        <v>7.4240000000000004</v>
      </c>
      <c r="F3427" s="1">
        <v>7.5750000000000002</v>
      </c>
      <c r="G3427" s="1">
        <v>7.7329999999999997</v>
      </c>
      <c r="H3427" s="1">
        <v>8.0660000000000007</v>
      </c>
      <c r="I3427" s="1">
        <v>8.4239999999999995</v>
      </c>
      <c r="J3427" s="21">
        <v>2350</v>
      </c>
      <c r="K3427" s="1">
        <v>400</v>
      </c>
      <c r="L3427" s="1">
        <v>-146.56800000000001</v>
      </c>
      <c r="M3427" s="1">
        <v>-113.822</v>
      </c>
      <c r="N3427" s="1">
        <v>-78.995000000000005</v>
      </c>
      <c r="O3427" s="1">
        <v>-41.478999999999999</v>
      </c>
      <c r="P3427" s="365">
        <v>0</v>
      </c>
      <c r="Q3427" s="1">
        <v>42.286999999999999</v>
      </c>
      <c r="R3427" s="1">
        <v>87.825999999999993</v>
      </c>
      <c r="S3427" s="1">
        <v>134.256</v>
      </c>
      <c r="T3427" s="1">
        <v>182.56399999999999</v>
      </c>
      <c r="U3427" s="25"/>
      <c r="V3427" s="1">
        <f>IF(V3426=V3425,V3425,INDEX(tank13Trim2,0,MATCH(V3425,tank13Trim2,1)+1))</f>
        <v>0.5</v>
      </c>
      <c r="W3427" s="1">
        <f>Interp2(tank13Trim1,tank13Trim2,tank13Trim3,X3422,V3427)</f>
        <v>77.462999999999994</v>
      </c>
      <c r="X3427" s="1">
        <f>Interp2(tank13Trim1,tank13Trim2,tank13Trim3,X3423,V3427)</f>
        <v>80.674999999999997</v>
      </c>
      <c r="AA3427" s="30"/>
      <c r="AB3427" s="42"/>
    </row>
    <row r="3428" spans="1:16371">
      <c r="A3428" s="1">
        <v>250</v>
      </c>
      <c r="B3428" s="1">
        <v>8.7919999999999998</v>
      </c>
      <c r="C3428" s="1">
        <v>9.0749999999999993</v>
      </c>
      <c r="D3428" s="1">
        <v>9.2279999999999998</v>
      </c>
      <c r="E3428" s="1">
        <v>9.3879999999999999</v>
      </c>
      <c r="F3428" s="1">
        <v>9.5549999999999997</v>
      </c>
      <c r="G3428" s="1">
        <v>9.7249999999999996</v>
      </c>
      <c r="H3428" s="1">
        <v>10.086</v>
      </c>
      <c r="I3428" s="1">
        <v>10.472</v>
      </c>
      <c r="J3428" s="21">
        <v>2300</v>
      </c>
      <c r="K3428" s="1">
        <v>500</v>
      </c>
      <c r="L3428" s="1">
        <v>-155.88</v>
      </c>
      <c r="M3428" s="1">
        <v>-120.63500000000001</v>
      </c>
      <c r="N3428" s="1">
        <v>-82.96</v>
      </c>
      <c r="O3428" s="1">
        <v>-43.215000000000003</v>
      </c>
      <c r="P3428" s="365">
        <v>0</v>
      </c>
      <c r="Q3428" s="1">
        <v>43.811</v>
      </c>
      <c r="R3428" s="1">
        <v>90.244</v>
      </c>
      <c r="S3428" s="1">
        <v>137.40100000000001</v>
      </c>
      <c r="T3428" s="1">
        <v>186.36199999999999</v>
      </c>
      <c r="U3428" s="25"/>
      <c r="W3428" s="43"/>
      <c r="X3428" s="42"/>
      <c r="AA3428" s="30"/>
      <c r="AB3428" s="42"/>
    </row>
    <row r="3429" spans="1:16371">
      <c r="A3429" s="1">
        <v>300</v>
      </c>
      <c r="B3429" s="1">
        <v>10.792</v>
      </c>
      <c r="C3429" s="1">
        <v>11.109</v>
      </c>
      <c r="D3429" s="1">
        <v>11.278</v>
      </c>
      <c r="E3429" s="1">
        <v>11.451000000000001</v>
      </c>
      <c r="F3429" s="1">
        <v>11.63</v>
      </c>
      <c r="G3429" s="1">
        <v>11.815</v>
      </c>
      <c r="H3429" s="1">
        <v>12.204000000000001</v>
      </c>
      <c r="I3429" s="1">
        <v>12.617000000000001</v>
      </c>
      <c r="J3429" s="21">
        <v>2250</v>
      </c>
      <c r="K3429" s="1">
        <v>600</v>
      </c>
      <c r="L3429" s="1">
        <v>-163.73599999999999</v>
      </c>
      <c r="M3429" s="1">
        <v>-126.24</v>
      </c>
      <c r="N3429" s="1">
        <v>-86.22</v>
      </c>
      <c r="O3429" s="1">
        <v>-44.529000000000003</v>
      </c>
      <c r="P3429" s="365">
        <v>0</v>
      </c>
      <c r="Q3429" s="1">
        <v>45.003999999999998</v>
      </c>
      <c r="R3429" s="1">
        <v>92.230999999999995</v>
      </c>
      <c r="S3429" s="1">
        <v>140.06800000000001</v>
      </c>
      <c r="T3429" s="1">
        <v>189.732</v>
      </c>
      <c r="U3429" s="25"/>
    </row>
    <row r="3430" spans="1:16371">
      <c r="A3430" s="1">
        <v>350</v>
      </c>
      <c r="B3430" s="1">
        <v>12.891</v>
      </c>
      <c r="C3430" s="1">
        <v>13.238</v>
      </c>
      <c r="D3430" s="1">
        <v>13.419</v>
      </c>
      <c r="E3430" s="1">
        <v>13.606</v>
      </c>
      <c r="F3430" s="1">
        <v>13.798999999999999</v>
      </c>
      <c r="G3430" s="1">
        <v>13.997999999999999</v>
      </c>
      <c r="H3430" s="1">
        <v>14.414</v>
      </c>
      <c r="I3430" s="1">
        <v>14.852</v>
      </c>
      <c r="J3430" s="21">
        <v>2200</v>
      </c>
      <c r="K3430" s="1">
        <v>700</v>
      </c>
      <c r="L3430" s="1">
        <v>-170.322</v>
      </c>
      <c r="M3430" s="1">
        <v>-130.76900000000001</v>
      </c>
      <c r="N3430" s="1">
        <v>-88.811999999999998</v>
      </c>
      <c r="O3430" s="1">
        <v>-45.579000000000001</v>
      </c>
      <c r="P3430" s="365">
        <v>0</v>
      </c>
      <c r="Q3430" s="1">
        <v>45.993000000000002</v>
      </c>
      <c r="R3430" s="1">
        <v>93.9</v>
      </c>
      <c r="S3430" s="1">
        <v>142.50700000000001</v>
      </c>
      <c r="T3430" s="1">
        <v>193</v>
      </c>
      <c r="U3430" s="25"/>
      <c r="V3430" s="1">
        <f>Bunkering!heeling1</f>
        <v>0</v>
      </c>
      <c r="W3430" s="382">
        <f>sound313</f>
        <v>1540</v>
      </c>
      <c r="X3430" s="186">
        <f>IF((W3430+W3433)&lt;0,W3430,W3430+W3433)</f>
        <v>1540</v>
      </c>
      <c r="Y3430" s="381">
        <f>IF(Y3432=Y3431,Y3431,Interp1(X3431:X3432,Y3431:Y3432,X3430))</f>
        <v>79.924000000000007</v>
      </c>
    </row>
    <row r="3431" spans="1:16371">
      <c r="A3431" s="1">
        <v>400</v>
      </c>
      <c r="B3431" s="1">
        <v>15.08</v>
      </c>
      <c r="C3431" s="1">
        <v>15.452</v>
      </c>
      <c r="D3431" s="1">
        <v>15.646000000000001</v>
      </c>
      <c r="E3431" s="1">
        <v>15.847</v>
      </c>
      <c r="F3431" s="1">
        <v>16.053000000000001</v>
      </c>
      <c r="G3431" s="1">
        <v>16.265999999999998</v>
      </c>
      <c r="H3431" s="1">
        <v>16.707000000000001</v>
      </c>
      <c r="I3431" s="1">
        <v>17.169</v>
      </c>
      <c r="J3431" s="21">
        <v>2150</v>
      </c>
      <c r="K3431" s="1">
        <v>800</v>
      </c>
      <c r="L3431" s="1">
        <v>-175.76</v>
      </c>
      <c r="M3431" s="1">
        <v>-134.43600000000001</v>
      </c>
      <c r="N3431" s="1">
        <v>-90.929000000000002</v>
      </c>
      <c r="O3431" s="1">
        <v>-46.433999999999997</v>
      </c>
      <c r="P3431" s="365">
        <v>0</v>
      </c>
      <c r="Q3431" s="1">
        <v>46.823999999999998</v>
      </c>
      <c r="R3431" s="1">
        <v>95.498000000000005</v>
      </c>
      <c r="S3431" s="1">
        <v>144.90299999999999</v>
      </c>
      <c r="T3431" s="1">
        <v>196.233</v>
      </c>
      <c r="U3431" s="25"/>
      <c r="V3431" s="1">
        <f>IF(tankSound213=soundingPipe13,tankSound213,FLOOR(W3430,incHeel))</f>
        <v>1500</v>
      </c>
      <c r="W3431" s="1">
        <f>Interp2(tank13Heel1,tank13Heel2,tank13Heel3,V3431,V3430)</f>
        <v>0</v>
      </c>
      <c r="X3431" s="1">
        <f>IF(X3430=soundingPipe13,Tank1!X3430,FLOOR(X3430,inc))</f>
        <v>1500</v>
      </c>
      <c r="Y3431" s="42">
        <f>IF(W3436=W3435,W3435,Interp1(V3435:V3436,W3435:W3436,V3434))</f>
        <v>77.355000000000004</v>
      </c>
      <c r="AB3431" s="42"/>
    </row>
    <row r="3432" spans="1:16371">
      <c r="A3432" s="1">
        <v>450</v>
      </c>
      <c r="B3432" s="1">
        <v>17.349</v>
      </c>
      <c r="C3432" s="1">
        <v>17.747</v>
      </c>
      <c r="D3432" s="1">
        <v>17.954999999999998</v>
      </c>
      <c r="E3432" s="1">
        <v>18.169</v>
      </c>
      <c r="F3432" s="1">
        <v>18.388000000000002</v>
      </c>
      <c r="G3432" s="1">
        <v>18.613</v>
      </c>
      <c r="H3432" s="1">
        <v>19.077999999999999</v>
      </c>
      <c r="I3432" s="1">
        <v>19.562000000000001</v>
      </c>
      <c r="J3432" s="21">
        <v>2100</v>
      </c>
      <c r="K3432" s="1">
        <v>900</v>
      </c>
      <c r="L3432" s="1">
        <v>-180.30199999999999</v>
      </c>
      <c r="M3432" s="1">
        <v>-137.44200000000001</v>
      </c>
      <c r="N3432" s="1">
        <v>-92.65</v>
      </c>
      <c r="O3432" s="1">
        <v>-47.164000000000001</v>
      </c>
      <c r="P3432" s="365">
        <v>0</v>
      </c>
      <c r="Q3432" s="1">
        <v>47.625</v>
      </c>
      <c r="R3432" s="1">
        <v>97.072000000000003</v>
      </c>
      <c r="S3432" s="1">
        <v>147.274</v>
      </c>
      <c r="T3432" s="1">
        <v>199.46199999999999</v>
      </c>
      <c r="U3432" s="25"/>
      <c r="V3432" s="1">
        <f>IF(V3431=tankSound213,V3431,CEILING(W3430,incHeel))</f>
        <v>1600</v>
      </c>
      <c r="W3432" s="1">
        <f>Interp2(tank13Heel1,tank13Heel2,tank13Heel3,V3432,V3430)</f>
        <v>0</v>
      </c>
      <c r="X3432" s="1">
        <f>IF(X3431=X3430,X3431,CEILING(X3430,inc))</f>
        <v>1550</v>
      </c>
      <c r="Y3432" s="42">
        <f>IF(X3436=X3435,X3435,Interp1(V3435:V3436,X3435:X3436,V3434))</f>
        <v>80.566000000000003</v>
      </c>
    </row>
    <row r="3433" spans="1:16371">
      <c r="A3433" s="1">
        <v>500</v>
      </c>
      <c r="B3433" s="1">
        <v>19.692</v>
      </c>
      <c r="C3433" s="1">
        <v>20.117000000000001</v>
      </c>
      <c r="D3433" s="1">
        <v>20.338000000000001</v>
      </c>
      <c r="E3433" s="1">
        <v>20.562999999999999</v>
      </c>
      <c r="F3433" s="1">
        <v>20.795000000000002</v>
      </c>
      <c r="G3433" s="1">
        <v>21.030999999999999</v>
      </c>
      <c r="H3433" s="1">
        <v>21.518000000000001</v>
      </c>
      <c r="I3433" s="1">
        <v>22.023</v>
      </c>
      <c r="J3433" s="21">
        <v>2050</v>
      </c>
      <c r="K3433" s="1">
        <v>1000</v>
      </c>
      <c r="L3433" s="1">
        <v>-184.071</v>
      </c>
      <c r="M3433" s="1">
        <v>-139.881</v>
      </c>
      <c r="N3433" s="1">
        <v>-94.138000000000005</v>
      </c>
      <c r="O3433" s="1">
        <v>-47.892000000000003</v>
      </c>
      <c r="P3433" s="365">
        <v>0</v>
      </c>
      <c r="Q3433" s="1">
        <v>48.408999999999999</v>
      </c>
      <c r="R3433" s="1">
        <v>98.632000000000005</v>
      </c>
      <c r="S3433" s="1">
        <v>149.649</v>
      </c>
      <c r="T3433" s="1">
        <v>202.624</v>
      </c>
      <c r="U3433" s="26"/>
      <c r="W3433" s="1">
        <f>IF(W3432=W3431,W3431,Interp1(V3431:V3432,W3431:W3432,W3430))</f>
        <v>0</v>
      </c>
      <c r="Y3433" s="42"/>
    </row>
    <row r="3434" spans="1:16371">
      <c r="A3434" s="1">
        <v>550</v>
      </c>
      <c r="B3434" s="1">
        <v>22.102</v>
      </c>
      <c r="C3434" s="1">
        <v>22.552</v>
      </c>
      <c r="D3434" s="1">
        <v>22.785</v>
      </c>
      <c r="E3434" s="1">
        <v>23.023</v>
      </c>
      <c r="F3434" s="1">
        <v>23.265999999999998</v>
      </c>
      <c r="G3434" s="1">
        <v>23.513000000000002</v>
      </c>
      <c r="H3434" s="1">
        <v>24.021000000000001</v>
      </c>
      <c r="I3434" s="1">
        <v>24.545999999999999</v>
      </c>
      <c r="J3434" s="21">
        <v>2000</v>
      </c>
      <c r="K3434" s="1">
        <v>1100</v>
      </c>
      <c r="L3434" s="1">
        <v>-187.18100000000001</v>
      </c>
      <c r="M3434" s="1">
        <v>-142.09100000000001</v>
      </c>
      <c r="N3434" s="1">
        <v>-95.597999999999999</v>
      </c>
      <c r="O3434" s="1">
        <v>-48.613999999999997</v>
      </c>
      <c r="P3434" s="365">
        <v>0</v>
      </c>
      <c r="Q3434" s="1">
        <v>49.183999999999997</v>
      </c>
      <c r="R3434" s="1">
        <v>100.19799999999999</v>
      </c>
      <c r="S3434" s="1">
        <v>152.00800000000001</v>
      </c>
      <c r="T3434" s="1">
        <v>205.72800000000001</v>
      </c>
      <c r="U3434" s="25"/>
      <c r="V3434" s="1">
        <f>Bunkering!trim1</f>
        <v>0.36</v>
      </c>
    </row>
    <row r="3435" spans="1:16371">
      <c r="A3435" s="1">
        <v>600</v>
      </c>
      <c r="B3435" s="1">
        <v>24.576000000000001</v>
      </c>
      <c r="C3435" s="1">
        <v>25.050999999999998</v>
      </c>
      <c r="D3435" s="1">
        <v>25.295000000000002</v>
      </c>
      <c r="E3435" s="1">
        <v>25.544</v>
      </c>
      <c r="F3435" s="1">
        <v>25.797000000000001</v>
      </c>
      <c r="G3435" s="1">
        <v>26.055</v>
      </c>
      <c r="H3435" s="1">
        <v>26.582000000000001</v>
      </c>
      <c r="I3435" s="1">
        <v>27.126000000000001</v>
      </c>
      <c r="J3435" s="21">
        <v>1950</v>
      </c>
      <c r="K3435" s="1">
        <v>1200</v>
      </c>
      <c r="L3435" s="1">
        <v>-190.06700000000001</v>
      </c>
      <c r="M3435" s="1">
        <v>-144.255</v>
      </c>
      <c r="N3435" s="1">
        <v>-97.046999999999997</v>
      </c>
      <c r="O3435" s="1">
        <v>-49.332000000000001</v>
      </c>
      <c r="P3435" s="365">
        <v>0</v>
      </c>
      <c r="Q3435" s="1">
        <v>49.965000000000003</v>
      </c>
      <c r="R3435" s="1">
        <v>101.71299999999999</v>
      </c>
      <c r="S3435" s="1">
        <v>154.32900000000001</v>
      </c>
      <c r="T3435" s="1">
        <v>208.78700000000001</v>
      </c>
      <c r="U3435" s="25"/>
      <c r="V3435" s="1">
        <f>INDEX(tank13Trim2,0,MATCH(V3434,tank13Trim2,1))</f>
        <v>0</v>
      </c>
      <c r="W3435" s="1">
        <f>Interp2(tank13Trim1,tank13Trim2,tank13Trim3,X3431,V3435)</f>
        <v>77.078999999999994</v>
      </c>
      <c r="X3435" s="1">
        <f>Interp2(tank13Trim1,tank13Trim2,tank13Trim3,X3432,V3435)</f>
        <v>80.284000000000006</v>
      </c>
      <c r="Z3435" s="187"/>
      <c r="AA3435" s="187"/>
      <c r="AB3435" s="40"/>
    </row>
    <row r="3436" spans="1:16371">
      <c r="A3436" s="1">
        <v>650</v>
      </c>
      <c r="B3436" s="1">
        <v>27.106999999999999</v>
      </c>
      <c r="C3436" s="1">
        <v>27.603999999999999</v>
      </c>
      <c r="D3436" s="1">
        <v>27.859000000000002</v>
      </c>
      <c r="E3436" s="1">
        <v>28.119</v>
      </c>
      <c r="F3436" s="1">
        <v>28.382999999999999</v>
      </c>
      <c r="G3436" s="1">
        <v>28.65</v>
      </c>
      <c r="H3436" s="1">
        <v>29.198</v>
      </c>
      <c r="I3436" s="1">
        <v>29.76</v>
      </c>
      <c r="J3436" s="21">
        <v>1900</v>
      </c>
      <c r="K3436" s="1">
        <v>1300</v>
      </c>
      <c r="L3436" s="1">
        <v>-192.899</v>
      </c>
      <c r="M3436" s="1">
        <v>-146.40199999999999</v>
      </c>
      <c r="N3436" s="1">
        <v>-98.477999999999994</v>
      </c>
      <c r="O3436" s="1">
        <v>-50.055999999999997</v>
      </c>
      <c r="P3436" s="365">
        <v>0</v>
      </c>
      <c r="Q3436" s="1">
        <v>50.731000000000002</v>
      </c>
      <c r="R3436" s="1">
        <v>103.205</v>
      </c>
      <c r="S3436" s="1">
        <v>156.62799999999999</v>
      </c>
      <c r="T3436" s="1">
        <v>211.09200000000001</v>
      </c>
      <c r="U3436" s="25"/>
      <c r="V3436" s="1">
        <f>IF(V3435=V3434,V3434,INDEX(tank13Trim2,0,MATCH(V3434,tank13Trim2,1)+1))</f>
        <v>0.5</v>
      </c>
      <c r="W3436" s="1">
        <f>Interp2(tank13Trim1,tank13Trim2,tank13Trim3,X3431,V3436)</f>
        <v>77.462999999999994</v>
      </c>
      <c r="X3436" s="1">
        <f>Interp2(tank13Trim1,tank13Trim2,tank13Trim3,X3432,V3436)</f>
        <v>80.674999999999997</v>
      </c>
      <c r="AA3436" s="30"/>
    </row>
    <row r="3437" spans="1:16371">
      <c r="A3437" s="1">
        <v>700</v>
      </c>
      <c r="B3437" s="1">
        <v>29.69</v>
      </c>
      <c r="C3437" s="1">
        <v>30.209</v>
      </c>
      <c r="D3437" s="1">
        <v>30.475000000000001</v>
      </c>
      <c r="E3437" s="1">
        <v>30.744</v>
      </c>
      <c r="F3437" s="1">
        <v>31.018000000000001</v>
      </c>
      <c r="G3437" s="1">
        <v>31.295999999999999</v>
      </c>
      <c r="H3437" s="1">
        <v>31.861999999999998</v>
      </c>
      <c r="I3437" s="1">
        <v>32.442999999999998</v>
      </c>
      <c r="J3437" s="21">
        <v>1850</v>
      </c>
      <c r="K3437" s="1">
        <v>1400</v>
      </c>
      <c r="L3437" s="1">
        <v>-195.702</v>
      </c>
      <c r="M3437" s="1">
        <v>-148.53800000000001</v>
      </c>
      <c r="N3437" s="1">
        <v>-99.921999999999997</v>
      </c>
      <c r="O3437" s="1">
        <v>-50.773000000000003</v>
      </c>
      <c r="P3437" s="365">
        <v>0</v>
      </c>
      <c r="Q3437" s="1">
        <v>51.488</v>
      </c>
      <c r="R3437" s="1">
        <v>104.688</v>
      </c>
      <c r="S3437" s="1">
        <v>158.541</v>
      </c>
      <c r="T3437" s="1">
        <v>211.095</v>
      </c>
      <c r="U3437" s="25"/>
      <c r="W3437" s="30"/>
      <c r="AA3437" s="30"/>
    </row>
    <row r="3438" spans="1:16371">
      <c r="A3438" s="1">
        <v>750</v>
      </c>
      <c r="B3438" s="1">
        <v>32.322000000000003</v>
      </c>
      <c r="C3438" s="1">
        <v>32.862000000000002</v>
      </c>
      <c r="D3438" s="1">
        <v>33.137</v>
      </c>
      <c r="E3438" s="1">
        <v>33.417000000000002</v>
      </c>
      <c r="F3438" s="1">
        <v>33.700000000000003</v>
      </c>
      <c r="G3438" s="1">
        <v>33.987000000000002</v>
      </c>
      <c r="H3438" s="1">
        <v>34.570999999999998</v>
      </c>
      <c r="I3438" s="1">
        <v>35.167999999999999</v>
      </c>
      <c r="J3438" s="21">
        <v>1800</v>
      </c>
      <c r="K3438" s="1">
        <v>1500</v>
      </c>
      <c r="L3438" s="1">
        <v>-198.50800000000001</v>
      </c>
      <c r="M3438" s="1">
        <v>-150.66800000000001</v>
      </c>
      <c r="N3438" s="1">
        <v>-101.375</v>
      </c>
      <c r="O3438" s="1">
        <v>-51.478999999999999</v>
      </c>
      <c r="P3438" s="365">
        <v>0</v>
      </c>
      <c r="Q3438" s="1">
        <v>52.232999999999997</v>
      </c>
      <c r="R3438" s="1">
        <v>106.098</v>
      </c>
      <c r="S3438" s="1">
        <v>157.92500000000001</v>
      </c>
      <c r="T3438" s="1">
        <v>206.941</v>
      </c>
      <c r="U3438" s="24"/>
      <c r="W3438" s="30"/>
      <c r="X3438" s="42"/>
      <c r="AA3438" s="30"/>
      <c r="AB3438" s="42"/>
    </row>
    <row r="3439" spans="1:16371">
      <c r="A3439" s="1">
        <v>800</v>
      </c>
      <c r="B3439" s="1">
        <v>34.997999999999998</v>
      </c>
      <c r="C3439" s="1">
        <v>35.557000000000002</v>
      </c>
      <c r="D3439" s="1">
        <v>35.841999999999999</v>
      </c>
      <c r="E3439" s="1">
        <v>36.130000000000003</v>
      </c>
      <c r="F3439" s="1">
        <v>36.421999999999997</v>
      </c>
      <c r="G3439" s="1">
        <v>36.718000000000004</v>
      </c>
      <c r="H3439" s="1">
        <v>37.317999999999998</v>
      </c>
      <c r="I3439" s="1">
        <v>37.932000000000002</v>
      </c>
      <c r="J3439" s="21">
        <v>1750</v>
      </c>
      <c r="K3439" s="1">
        <v>1600</v>
      </c>
      <c r="L3439" s="1">
        <v>-201.315</v>
      </c>
      <c r="M3439" s="1">
        <v>-152.77600000000001</v>
      </c>
      <c r="N3439" s="1">
        <v>-102.80800000000001</v>
      </c>
      <c r="O3439" s="1">
        <v>-52.182000000000002</v>
      </c>
      <c r="P3439" s="365">
        <v>0</v>
      </c>
      <c r="Q3439" s="1">
        <v>52.973999999999997</v>
      </c>
      <c r="R3439" s="1">
        <v>105.032</v>
      </c>
      <c r="S3439" s="1">
        <v>153.47900000000001</v>
      </c>
      <c r="T3439" s="1">
        <v>199.595</v>
      </c>
      <c r="U3439" s="24"/>
      <c r="V3439" s="1">
        <f>bunkerPlanTrim</f>
        <v>-0.15</v>
      </c>
      <c r="W3439" s="383">
        <v>20</v>
      </c>
      <c r="X3439" s="384" t="str">
        <f>ADDRESS(X3441,10,1,1)</f>
        <v>$J$3433</v>
      </c>
      <c r="AA3439" s="30"/>
      <c r="AB3439" s="42"/>
    </row>
    <row r="3440" spans="1:16371">
      <c r="A3440" s="1">
        <v>850</v>
      </c>
      <c r="B3440" s="1">
        <v>37.716000000000001</v>
      </c>
      <c r="C3440" s="1">
        <v>38.292999999999999</v>
      </c>
      <c r="D3440" s="1">
        <v>38.587000000000003</v>
      </c>
      <c r="E3440" s="1">
        <v>38.884</v>
      </c>
      <c r="F3440" s="1">
        <v>39.183999999999997</v>
      </c>
      <c r="G3440" s="1">
        <v>39.488</v>
      </c>
      <c r="H3440" s="1">
        <v>40.104999999999997</v>
      </c>
      <c r="I3440" s="1">
        <v>40.734999999999999</v>
      </c>
      <c r="J3440" s="21">
        <v>1700</v>
      </c>
      <c r="K3440" s="1">
        <v>1700</v>
      </c>
      <c r="L3440" s="1">
        <v>-204.12899999999999</v>
      </c>
      <c r="M3440" s="1">
        <v>-154.85900000000001</v>
      </c>
      <c r="N3440" s="1">
        <v>-104.224</v>
      </c>
      <c r="O3440" s="1">
        <v>-52.881999999999998</v>
      </c>
      <c r="P3440" s="365">
        <v>0</v>
      </c>
      <c r="Q3440" s="1">
        <v>52.801000000000002</v>
      </c>
      <c r="R3440" s="1">
        <v>99.507999999999996</v>
      </c>
      <c r="S3440" s="1">
        <v>150.85900000000001</v>
      </c>
      <c r="T3440" s="1">
        <v>197.4</v>
      </c>
      <c r="U3440" s="24"/>
      <c r="V3440" s="188">
        <f>INDEX(tank13Trim2,0,MATCH(V3439,tank13Trim2,1))</f>
        <v>-1</v>
      </c>
      <c r="W3440" s="188">
        <f>MATCH(V3440,tank13Trim2,0)+1</f>
        <v>2</v>
      </c>
      <c r="X3440" s="188">
        <f>MATCH(targettank13,IF(W3440=2,B3423:B3474,IF(W3440=3,C3423:C3474,IF(W3440=4,D3423:D3474,IF(W3440=5,E3423:E3474,IF(W3440=6,F3423:F3474,IF(W3440=7,G3423:G3474,IF(W3440=8,H3423:H3474,IF(W3440=9,I3423:I3474)))))))),1)</f>
        <v>11</v>
      </c>
      <c r="AA3440" s="30"/>
      <c r="AB3440" s="42"/>
    </row>
    <row r="3441" spans="1:28">
      <c r="A3441" s="1">
        <v>900</v>
      </c>
      <c r="B3441" s="1">
        <v>40.473999999999997</v>
      </c>
      <c r="C3441" s="1">
        <v>41.067999999999998</v>
      </c>
      <c r="D3441" s="1">
        <v>41.37</v>
      </c>
      <c r="E3441" s="1">
        <v>41.674999999999997</v>
      </c>
      <c r="F3441" s="1">
        <v>41.984000000000002</v>
      </c>
      <c r="G3441" s="1">
        <v>42.295999999999999</v>
      </c>
      <c r="H3441" s="1">
        <v>42.929000000000002</v>
      </c>
      <c r="I3441" s="1">
        <v>43.573</v>
      </c>
      <c r="J3441" s="21">
        <v>1650</v>
      </c>
      <c r="K3441" s="1">
        <v>1800</v>
      </c>
      <c r="L3441" s="1">
        <v>-207.49299999999999</v>
      </c>
      <c r="M3441" s="1">
        <v>-157.46100000000001</v>
      </c>
      <c r="N3441" s="1">
        <v>-106.13800000000001</v>
      </c>
      <c r="O3441" s="1">
        <v>-52.491999999999997</v>
      </c>
      <c r="P3441" s="365">
        <v>0</v>
      </c>
      <c r="Q3441" s="1">
        <v>49.46</v>
      </c>
      <c r="R3441" s="1">
        <v>101.18300000000001</v>
      </c>
      <c r="S3441" s="1">
        <v>150.24100000000001</v>
      </c>
      <c r="T3441" s="1">
        <v>196.14699999999999</v>
      </c>
      <c r="U3441" s="24"/>
      <c r="V3441" s="386">
        <v>306</v>
      </c>
      <c r="X3441" s="188">
        <f>X3440+3422</f>
        <v>3433</v>
      </c>
      <c r="AA3441" s="30"/>
    </row>
    <row r="3442" spans="1:28">
      <c r="A3442" s="1">
        <v>950</v>
      </c>
      <c r="B3442" s="1">
        <v>43.27</v>
      </c>
      <c r="C3442" s="1">
        <v>43.881</v>
      </c>
      <c r="D3442" s="1">
        <v>44.191000000000003</v>
      </c>
      <c r="E3442" s="1">
        <v>44.503999999999998</v>
      </c>
      <c r="F3442" s="1">
        <v>44.820999999999998</v>
      </c>
      <c r="G3442" s="1">
        <v>45.14</v>
      </c>
      <c r="H3442" s="1">
        <v>45.787999999999997</v>
      </c>
      <c r="I3442" s="1">
        <v>46.448</v>
      </c>
      <c r="J3442" s="21">
        <v>1600</v>
      </c>
      <c r="K3442" s="1">
        <v>1900</v>
      </c>
      <c r="L3442" s="1">
        <v>-211.79300000000001</v>
      </c>
      <c r="M3442" s="1">
        <v>-159.946</v>
      </c>
      <c r="N3442" s="1">
        <v>-106.925</v>
      </c>
      <c r="O3442" s="1">
        <v>-53.023000000000003</v>
      </c>
      <c r="P3442" s="365">
        <v>0</v>
      </c>
      <c r="Q3442" s="1">
        <v>52.823999999999998</v>
      </c>
      <c r="R3442" s="1">
        <v>101.91200000000001</v>
      </c>
      <c r="S3442" s="1">
        <v>149.161</v>
      </c>
      <c r="T3442" s="1">
        <v>195.13399999999999</v>
      </c>
      <c r="U3442" s="25"/>
      <c r="V3442" s="188">
        <f>FLOOR(V3441,inc)</f>
        <v>300</v>
      </c>
      <c r="W3442" s="188">
        <f>Interp2(tank13Trim1,tank13Trim2,tank13Trim3,V3442,V3440)</f>
        <v>10.792</v>
      </c>
      <c r="X3442" s="188"/>
      <c r="AA3442" s="30"/>
      <c r="AB3442" s="42"/>
    </row>
    <row r="3443" spans="1:28">
      <c r="A3443" s="1">
        <v>1000</v>
      </c>
      <c r="B3443" s="1">
        <v>46.103000000000002</v>
      </c>
      <c r="C3443" s="1">
        <v>46.73</v>
      </c>
      <c r="D3443" s="1">
        <v>47.048000000000002</v>
      </c>
      <c r="E3443" s="1">
        <v>47.369</v>
      </c>
      <c r="F3443" s="1">
        <v>47.692999999999998</v>
      </c>
      <c r="G3443" s="1">
        <v>48.02</v>
      </c>
      <c r="H3443" s="1">
        <v>48.683</v>
      </c>
      <c r="I3443" s="1">
        <v>49.356999999999999</v>
      </c>
      <c r="J3443" s="21">
        <v>1550</v>
      </c>
      <c r="K3443" s="1">
        <v>2000</v>
      </c>
      <c r="L3443" s="1">
        <v>-214.14099999999999</v>
      </c>
      <c r="M3443" s="1">
        <v>-158.61000000000001</v>
      </c>
      <c r="N3443" s="1">
        <v>-104.56399999999999</v>
      </c>
      <c r="O3443" s="1">
        <v>-50.499000000000002</v>
      </c>
      <c r="P3443" s="365">
        <v>0</v>
      </c>
      <c r="Q3443" s="1">
        <v>51.043999999999997</v>
      </c>
      <c r="R3443" s="1">
        <v>97.835999999999999</v>
      </c>
      <c r="S3443" s="1">
        <v>146.91300000000001</v>
      </c>
      <c r="T3443" s="1">
        <v>191.869</v>
      </c>
      <c r="U3443" s="27"/>
      <c r="W3443" s="43"/>
      <c r="X3443" s="42"/>
      <c r="AA3443" s="30"/>
      <c r="AB3443" s="42"/>
    </row>
    <row r="3444" spans="1:28">
      <c r="A3444" s="1">
        <v>1050</v>
      </c>
      <c r="B3444" s="1">
        <v>48.972999999999999</v>
      </c>
      <c r="C3444" s="1">
        <v>49.615000000000002</v>
      </c>
      <c r="D3444" s="1">
        <v>49.941000000000003</v>
      </c>
      <c r="E3444" s="1">
        <v>50.268999999999998</v>
      </c>
      <c r="F3444" s="1">
        <v>50.600999999999999</v>
      </c>
      <c r="G3444" s="1">
        <v>50.935000000000002</v>
      </c>
      <c r="H3444" s="1">
        <v>51.612000000000002</v>
      </c>
      <c r="I3444" s="1">
        <v>52.301000000000002</v>
      </c>
      <c r="J3444" s="21">
        <v>1500</v>
      </c>
      <c r="K3444" s="1">
        <v>2100</v>
      </c>
      <c r="L3444" s="1">
        <v>-212.31800000000001</v>
      </c>
      <c r="M3444" s="1">
        <v>-156.34700000000001</v>
      </c>
      <c r="N3444" s="1">
        <v>-102.592</v>
      </c>
      <c r="O3444" s="1">
        <v>-49.643000000000001</v>
      </c>
      <c r="P3444" s="365">
        <v>0</v>
      </c>
      <c r="Q3444" s="1">
        <v>46.085999999999999</v>
      </c>
      <c r="R3444" s="1">
        <v>94.171000000000006</v>
      </c>
      <c r="S3444" s="1">
        <v>141.32900000000001</v>
      </c>
      <c r="T3444" s="1">
        <v>174.58799999999999</v>
      </c>
      <c r="U3444" s="25"/>
    </row>
    <row r="3445" spans="1:28">
      <c r="A3445" s="1">
        <v>1100</v>
      </c>
      <c r="B3445" s="1">
        <v>51.878</v>
      </c>
      <c r="C3445" s="1">
        <v>52.534999999999997</v>
      </c>
      <c r="D3445" s="1">
        <v>52.868000000000002</v>
      </c>
      <c r="E3445" s="1">
        <v>53.204000000000001</v>
      </c>
      <c r="F3445" s="1">
        <v>53.542999999999999</v>
      </c>
      <c r="G3445" s="1">
        <v>53.884</v>
      </c>
      <c r="H3445" s="1">
        <v>54.576000000000001</v>
      </c>
      <c r="I3445" s="1">
        <v>55.277999999999999</v>
      </c>
      <c r="J3445" s="21">
        <v>1450</v>
      </c>
      <c r="K3445" s="1">
        <v>2200</v>
      </c>
      <c r="L3445" s="1">
        <v>-212.06399999999999</v>
      </c>
      <c r="M3445" s="1">
        <v>-157.018</v>
      </c>
      <c r="N3445" s="1">
        <v>-103.089</v>
      </c>
      <c r="O3445" s="1">
        <v>-56.084000000000003</v>
      </c>
      <c r="P3445" s="365">
        <v>0</v>
      </c>
      <c r="Q3445" s="1">
        <v>48.761000000000003</v>
      </c>
      <c r="R3445" s="1">
        <v>93.765000000000001</v>
      </c>
      <c r="S3445" s="1">
        <v>135.59399999999999</v>
      </c>
      <c r="T3445" s="1">
        <v>158.86600000000001</v>
      </c>
      <c r="U3445" s="24"/>
      <c r="V3445" s="1">
        <f>bunkerPlanHeel</f>
        <v>0</v>
      </c>
      <c r="W3445" s="382">
        <f>currentSounding13</f>
        <v>306</v>
      </c>
      <c r="X3445" s="186">
        <f>IF((W3445+W3448)&lt;0,W3445,W3445+W3448)</f>
        <v>306</v>
      </c>
      <c r="Y3445" s="381">
        <f>IF(Y3447=Y3446,Y3446,Interp1(X3446:X3447,Y3446:Y3447,X3445))</f>
        <v>11.316000000000001</v>
      </c>
    </row>
    <row r="3446" spans="1:28">
      <c r="A3446" s="1">
        <v>1150</v>
      </c>
      <c r="B3446" s="1">
        <v>54.817999999999998</v>
      </c>
      <c r="C3446" s="1">
        <v>55.488999999999997</v>
      </c>
      <c r="D3446" s="1">
        <v>55.83</v>
      </c>
      <c r="E3446" s="1">
        <v>56.173000000000002</v>
      </c>
      <c r="F3446" s="1">
        <v>56.518000000000001</v>
      </c>
      <c r="G3446" s="1">
        <v>56.866999999999997</v>
      </c>
      <c r="H3446" s="1">
        <v>57.572000000000003</v>
      </c>
      <c r="I3446" s="1">
        <v>58.286999999999999</v>
      </c>
      <c r="J3446" s="21">
        <v>1400</v>
      </c>
      <c r="K3446" s="1">
        <v>2300</v>
      </c>
      <c r="L3446" s="1">
        <v>-213.036</v>
      </c>
      <c r="M3446" s="1">
        <v>-157.6</v>
      </c>
      <c r="N3446" s="1">
        <v>-108.354</v>
      </c>
      <c r="O3446" s="1">
        <v>-53.622</v>
      </c>
      <c r="P3446" s="365">
        <v>0</v>
      </c>
      <c r="Q3446" s="1">
        <v>75.975999999999999</v>
      </c>
      <c r="R3446" s="1">
        <v>92.852000000000004</v>
      </c>
      <c r="S3446" s="1">
        <v>94.957999999999998</v>
      </c>
      <c r="T3446" s="1">
        <v>94.647000000000006</v>
      </c>
      <c r="U3446" s="25"/>
      <c r="V3446" s="1">
        <f>FLOOR(W3445,inc)</f>
        <v>300</v>
      </c>
      <c r="W3446" s="1">
        <f>Interp2(tank13Heel1,tank13Heel2,tank13Heel3,V3446,V3445)</f>
        <v>0</v>
      </c>
      <c r="X3446" s="1">
        <f>FLOOR(X3445,inc)</f>
        <v>300</v>
      </c>
      <c r="Y3446" s="42">
        <f>IF(W3451=W3450,W3450,Interp1(V3450:V3451,W3450:W3451,V3449))</f>
        <v>11.061</v>
      </c>
      <c r="AB3446" s="42"/>
    </row>
    <row r="3447" spans="1:28">
      <c r="A3447" s="1">
        <v>1200</v>
      </c>
      <c r="B3447" s="1">
        <v>57.790999999999997</v>
      </c>
      <c r="C3447" s="1">
        <v>58.476999999999997</v>
      </c>
      <c r="D3447" s="1">
        <v>58.825000000000003</v>
      </c>
      <c r="E3447" s="1">
        <v>59.174999999999997</v>
      </c>
      <c r="F3447" s="1">
        <v>59.527000000000001</v>
      </c>
      <c r="G3447" s="1">
        <v>59.883000000000003</v>
      </c>
      <c r="H3447" s="1">
        <v>60.600999999999999</v>
      </c>
      <c r="I3447" s="1">
        <v>61.329000000000001</v>
      </c>
      <c r="J3447" s="21">
        <v>1350</v>
      </c>
      <c r="K3447" s="1">
        <v>2400</v>
      </c>
      <c r="L3447" s="1">
        <v>-214.77199999999999</v>
      </c>
      <c r="M3447" s="1">
        <v>-161.179</v>
      </c>
      <c r="N3447" s="1">
        <v>-108.76300000000001</v>
      </c>
      <c r="O3447" s="1">
        <v>-25.056999999999999</v>
      </c>
      <c r="P3447" s="365">
        <v>0</v>
      </c>
      <c r="Q3447" s="1">
        <v>0</v>
      </c>
      <c r="R3447" s="1">
        <v>0</v>
      </c>
      <c r="S3447" s="1">
        <v>-5.3999999999999999E-2</v>
      </c>
      <c r="T3447" s="1">
        <v>-0.254</v>
      </c>
      <c r="U3447" s="25"/>
      <c r="V3447" s="1">
        <f>IF(V3446=currentSounding213,V3446,CEILING(W3445,inc))</f>
        <v>350</v>
      </c>
      <c r="W3447" s="1">
        <f>Interp2(tank13Heel1,tank13Heel2,tank13Heel3,V3447,V3445)</f>
        <v>0</v>
      </c>
      <c r="X3447" s="1">
        <f>CEILING(X3445,inc)</f>
        <v>350</v>
      </c>
      <c r="Y3447" s="42">
        <f>IF(X3451=X3450,X3450,Interp1(V3450:V3451,X3450:X3451,V3449))</f>
        <v>13.186</v>
      </c>
    </row>
    <row r="3448" spans="1:28">
      <c r="A3448" s="1">
        <v>1250</v>
      </c>
      <c r="B3448" s="1">
        <v>60.798000000000002</v>
      </c>
      <c r="C3448" s="1">
        <v>61.499000000000002</v>
      </c>
      <c r="D3448" s="1">
        <v>61.853000000000002</v>
      </c>
      <c r="E3448" s="1">
        <v>62.21</v>
      </c>
      <c r="F3448" s="1">
        <v>62.569000000000003</v>
      </c>
      <c r="G3448" s="1">
        <v>62.930999999999997</v>
      </c>
      <c r="H3448" s="1">
        <v>63.661999999999999</v>
      </c>
      <c r="I3448" s="1">
        <v>64.402000000000001</v>
      </c>
      <c r="J3448" s="21">
        <v>1300</v>
      </c>
      <c r="K3448" s="1">
        <v>2500</v>
      </c>
      <c r="L3448" s="1">
        <v>-226.00800000000001</v>
      </c>
      <c r="M3448" s="1">
        <v>-172.685</v>
      </c>
      <c r="N3448" s="1">
        <v>-113.11499999999999</v>
      </c>
      <c r="O3448" s="1">
        <v>0</v>
      </c>
      <c r="P3448" s="365">
        <v>0</v>
      </c>
      <c r="Q3448" s="1">
        <v>0</v>
      </c>
      <c r="R3448" s="1">
        <v>0</v>
      </c>
      <c r="S3448" s="1">
        <v>0</v>
      </c>
      <c r="T3448" s="1">
        <v>0</v>
      </c>
      <c r="U3448" s="25"/>
      <c r="W3448" s="1">
        <f>IF(W3447=W3446,W3446,Interp1(V3446:V3447,W3446:W3447,W3445))</f>
        <v>0</v>
      </c>
      <c r="Y3448" s="42"/>
    </row>
    <row r="3449" spans="1:28">
      <c r="A3449" s="1">
        <v>1300</v>
      </c>
      <c r="B3449" s="1">
        <v>63.838999999999999</v>
      </c>
      <c r="C3449" s="1">
        <v>64.552999999999997</v>
      </c>
      <c r="D3449" s="1">
        <v>64.914000000000001</v>
      </c>
      <c r="E3449" s="1">
        <v>65.277000000000001</v>
      </c>
      <c r="F3449" s="1">
        <v>65.641999999999996</v>
      </c>
      <c r="G3449" s="1">
        <v>66.010000000000005</v>
      </c>
      <c r="H3449" s="1">
        <v>66.754000000000005</v>
      </c>
      <c r="I3449" s="1">
        <v>67.506</v>
      </c>
      <c r="J3449" s="21">
        <v>1250</v>
      </c>
      <c r="K3449" s="1">
        <v>5190</v>
      </c>
      <c r="L3449" s="1">
        <v>0</v>
      </c>
      <c r="M3449" s="1">
        <v>0</v>
      </c>
      <c r="N3449" s="1">
        <v>0</v>
      </c>
      <c r="O3449" s="1">
        <v>0</v>
      </c>
      <c r="P3449" s="365">
        <v>0</v>
      </c>
      <c r="Q3449" s="1">
        <v>0</v>
      </c>
      <c r="R3449" s="1">
        <v>0</v>
      </c>
      <c r="S3449" s="1">
        <v>0</v>
      </c>
      <c r="T3449" s="1">
        <v>0</v>
      </c>
      <c r="U3449" s="25"/>
      <c r="V3449" s="1">
        <f>bunkerPlanTrim</f>
        <v>-0.15</v>
      </c>
    </row>
    <row r="3450" spans="1:28">
      <c r="A3450" s="1">
        <v>1350</v>
      </c>
      <c r="B3450" s="1">
        <v>66.912000000000006</v>
      </c>
      <c r="C3450" s="1">
        <v>67.638999999999996</v>
      </c>
      <c r="D3450" s="1">
        <v>68.006</v>
      </c>
      <c r="E3450" s="1">
        <v>68.375</v>
      </c>
      <c r="F3450" s="1">
        <v>68.747</v>
      </c>
      <c r="G3450" s="1">
        <v>69.120999999999995</v>
      </c>
      <c r="H3450" s="1">
        <v>69.876000000000005</v>
      </c>
      <c r="I3450" s="1">
        <v>70.64</v>
      </c>
      <c r="J3450" s="21">
        <v>1200</v>
      </c>
      <c r="K3450" s="1"/>
      <c r="L3450" s="1"/>
      <c r="M3450" s="1"/>
      <c r="N3450" s="1"/>
      <c r="O3450" s="1"/>
      <c r="P3450" s="365"/>
      <c r="Q3450" s="1"/>
      <c r="R3450" s="1"/>
      <c r="S3450" s="1"/>
      <c r="T3450" s="1"/>
      <c r="U3450" s="24"/>
      <c r="V3450" s="1">
        <f>INDEX(tank13Trim2,0,MATCH(V3449,tank12Trim2,1))</f>
        <v>-1</v>
      </c>
      <c r="W3450" s="1">
        <f>Interp2(tank13Trim1,tank13Trim2,tank13Trim3,X3446,V3450)</f>
        <v>10.792</v>
      </c>
      <c r="X3450" s="1">
        <f>Interp2(tank13Trim1,tank13Trim2,tank13Trim3,X3447,V3450)</f>
        <v>12.891</v>
      </c>
    </row>
    <row r="3451" spans="1:28">
      <c r="A3451" s="1">
        <v>1400</v>
      </c>
      <c r="B3451" s="1">
        <v>70.016000000000005</v>
      </c>
      <c r="C3451" s="1">
        <v>70.754999999999995</v>
      </c>
      <c r="D3451" s="1">
        <v>71.128</v>
      </c>
      <c r="E3451" s="1">
        <v>71.504000000000005</v>
      </c>
      <c r="F3451" s="1">
        <v>71.882000000000005</v>
      </c>
      <c r="G3451" s="1">
        <v>72.262</v>
      </c>
      <c r="H3451" s="1">
        <v>73.028999999999996</v>
      </c>
      <c r="I3451" s="1">
        <v>73.804000000000002</v>
      </c>
      <c r="J3451" s="21">
        <v>1150</v>
      </c>
      <c r="K3451" s="1"/>
      <c r="L3451" s="1"/>
      <c r="M3451" s="1"/>
      <c r="N3451" s="1"/>
      <c r="O3451" s="1"/>
      <c r="P3451" s="365"/>
      <c r="Q3451" s="1"/>
      <c r="R3451" s="1"/>
      <c r="S3451" s="1"/>
      <c r="T3451" s="1"/>
      <c r="U3451" s="25"/>
      <c r="V3451" s="1">
        <f>IF(V3450=V3449,V3449,INDEX(tank13Trim2,0,MATCH(V3449,tank13Trim2,1)+1))</f>
        <v>0</v>
      </c>
      <c r="W3451" s="1">
        <f>Interp2(tank13Trim1,tank13Trim2,tank13Trim3,X3446,V3451)</f>
        <v>11.109</v>
      </c>
      <c r="X3451" s="1">
        <f>Interp2(tank13Trim1,tank13Trim2,tank13Trim3,X3447,V3451)</f>
        <v>13.238</v>
      </c>
    </row>
    <row r="3452" spans="1:28">
      <c r="A3452" s="1">
        <v>1450</v>
      </c>
      <c r="B3452" s="1">
        <v>73.150999999999996</v>
      </c>
      <c r="C3452" s="1">
        <v>73.902000000000001</v>
      </c>
      <c r="D3452" s="1">
        <v>74.281000000000006</v>
      </c>
      <c r="E3452" s="1">
        <v>74.662999999999997</v>
      </c>
      <c r="F3452" s="1">
        <v>75.046000000000006</v>
      </c>
      <c r="G3452" s="1">
        <v>75.432000000000002</v>
      </c>
      <c r="H3452" s="1">
        <v>76.209999999999994</v>
      </c>
      <c r="I3452" s="1">
        <v>76.995999999999995</v>
      </c>
      <c r="J3452" s="21">
        <v>1100</v>
      </c>
      <c r="K3452" s="1"/>
      <c r="L3452" s="1"/>
      <c r="M3452" s="1"/>
      <c r="N3452" s="1"/>
      <c r="O3452" s="1"/>
      <c r="P3452" s="365"/>
      <c r="Q3452" s="1"/>
      <c r="R3452" s="1"/>
      <c r="S3452" s="1"/>
      <c r="T3452" s="1"/>
      <c r="U3452" s="24"/>
    </row>
    <row r="3453" spans="1:28">
      <c r="A3453" s="1">
        <v>1500</v>
      </c>
      <c r="B3453" s="1">
        <v>76.314999999999998</v>
      </c>
      <c r="C3453" s="1">
        <v>77.078999999999994</v>
      </c>
      <c r="D3453" s="1">
        <v>77.462999999999994</v>
      </c>
      <c r="E3453" s="1">
        <v>77.850999999999999</v>
      </c>
      <c r="F3453" s="1">
        <v>78.239999999999995</v>
      </c>
      <c r="G3453" s="1">
        <v>78.631</v>
      </c>
      <c r="H3453" s="1">
        <v>79.42</v>
      </c>
      <c r="I3453" s="1">
        <v>80.216999999999999</v>
      </c>
      <c r="J3453" s="21">
        <v>1050</v>
      </c>
      <c r="K3453" s="1"/>
      <c r="L3453" s="1"/>
      <c r="M3453" s="1"/>
      <c r="N3453" s="1"/>
      <c r="O3453" s="1"/>
      <c r="P3453" s="365"/>
      <c r="Q3453" s="1"/>
      <c r="R3453" s="1"/>
      <c r="S3453" s="1"/>
      <c r="T3453" s="1"/>
      <c r="U3453" s="26"/>
      <c r="V3453" s="136"/>
      <c r="W3453" s="136"/>
      <c r="X3453" s="38"/>
    </row>
    <row r="3454" spans="1:28">
      <c r="A3454" s="1">
        <v>1550</v>
      </c>
      <c r="B3454" s="1">
        <v>79.510000000000005</v>
      </c>
      <c r="C3454" s="1">
        <v>80.284000000000006</v>
      </c>
      <c r="D3454" s="1">
        <v>80.674999999999997</v>
      </c>
      <c r="E3454" s="1">
        <v>81.066999999999993</v>
      </c>
      <c r="F3454" s="1">
        <v>81.462000000000003</v>
      </c>
      <c r="G3454" s="1">
        <v>81.858999999999995</v>
      </c>
      <c r="H3454" s="1">
        <v>82.658000000000001</v>
      </c>
      <c r="I3454" s="1">
        <v>83.465999999999994</v>
      </c>
      <c r="J3454" s="21">
        <v>1000</v>
      </c>
      <c r="K3454" s="1"/>
      <c r="L3454" s="1"/>
      <c r="M3454" s="1"/>
      <c r="N3454" s="1"/>
      <c r="O3454" s="1"/>
      <c r="P3454" s="365"/>
      <c r="Q3454" s="1"/>
      <c r="R3454" s="1"/>
      <c r="S3454" s="1"/>
      <c r="T3454" s="1"/>
      <c r="U3454" s="24"/>
      <c r="V3454" s="187"/>
      <c r="W3454" s="187"/>
      <c r="X3454" s="39"/>
      <c r="Z3454" s="187"/>
      <c r="AA3454" s="187"/>
      <c r="AB3454" s="40"/>
    </row>
    <row r="3455" spans="1:28">
      <c r="A3455" s="1">
        <v>1600</v>
      </c>
      <c r="B3455" s="1">
        <v>82.733000000000004</v>
      </c>
      <c r="C3455" s="1">
        <v>83.518000000000001</v>
      </c>
      <c r="D3455" s="1">
        <v>83.914000000000001</v>
      </c>
      <c r="E3455" s="1">
        <v>84.311999999999998</v>
      </c>
      <c r="F3455" s="1">
        <v>84.712000000000003</v>
      </c>
      <c r="G3455" s="1">
        <v>85.114000000000004</v>
      </c>
      <c r="H3455" s="1">
        <v>85.924000000000007</v>
      </c>
      <c r="I3455" s="1">
        <v>86.742000000000004</v>
      </c>
      <c r="J3455" s="21">
        <v>950</v>
      </c>
      <c r="K3455" s="1"/>
      <c r="L3455" s="1"/>
      <c r="M3455" s="1"/>
      <c r="N3455" s="1"/>
      <c r="O3455" s="1"/>
      <c r="P3455" s="365"/>
      <c r="Q3455" s="1"/>
      <c r="R3455" s="1"/>
      <c r="S3455" s="1"/>
      <c r="T3455" s="1"/>
      <c r="U3455" s="24"/>
      <c r="W3455" s="41"/>
      <c r="AA3455" s="30"/>
    </row>
    <row r="3456" spans="1:28">
      <c r="A3456" s="1">
        <v>1650</v>
      </c>
      <c r="B3456" s="1">
        <v>85.983999999999995</v>
      </c>
      <c r="C3456" s="1">
        <v>86.781000000000006</v>
      </c>
      <c r="D3456" s="1">
        <v>87.182000000000002</v>
      </c>
      <c r="E3456" s="1">
        <v>87.584999999999994</v>
      </c>
      <c r="F3456" s="1">
        <v>87.991</v>
      </c>
      <c r="G3456" s="1">
        <v>88.397999999999996</v>
      </c>
      <c r="H3456" s="1">
        <v>89.218000000000004</v>
      </c>
      <c r="I3456" s="1">
        <v>90.045000000000002</v>
      </c>
      <c r="J3456" s="21">
        <v>900</v>
      </c>
      <c r="K3456" s="1"/>
      <c r="L3456" s="1"/>
      <c r="M3456" s="1"/>
      <c r="N3456" s="1"/>
      <c r="O3456" s="1"/>
      <c r="P3456" s="365"/>
      <c r="Q3456" s="1"/>
      <c r="R3456" s="1"/>
      <c r="S3456" s="1"/>
      <c r="T3456" s="1"/>
      <c r="U3456" s="25"/>
      <c r="W3456" s="30"/>
      <c r="AA3456" s="30"/>
    </row>
    <row r="3457" spans="1:28">
      <c r="A3457" s="1">
        <v>1700</v>
      </c>
      <c r="B3457" s="1">
        <v>89.263999999999996</v>
      </c>
      <c r="C3457" s="1">
        <v>90.070999999999998</v>
      </c>
      <c r="D3457" s="1">
        <v>90.477000000000004</v>
      </c>
      <c r="E3457" s="1">
        <v>90.885999999999996</v>
      </c>
      <c r="F3457" s="1">
        <v>91.296000000000006</v>
      </c>
      <c r="G3457" s="1">
        <v>91.707999999999998</v>
      </c>
      <c r="H3457" s="1">
        <v>92.537000000000006</v>
      </c>
      <c r="I3457" s="1">
        <v>93.373999999999995</v>
      </c>
      <c r="J3457" s="21">
        <v>850</v>
      </c>
      <c r="K3457" s="1"/>
      <c r="L3457" s="1"/>
      <c r="M3457" s="1"/>
      <c r="N3457" s="1"/>
      <c r="O3457" s="1"/>
      <c r="P3457" s="365"/>
      <c r="Q3457" s="1"/>
      <c r="R3457" s="1"/>
      <c r="S3457" s="1"/>
      <c r="T3457" s="1"/>
      <c r="U3457" s="28"/>
      <c r="W3457" s="30"/>
      <c r="X3457" s="42"/>
      <c r="AA3457" s="30"/>
      <c r="AB3457" s="42"/>
    </row>
    <row r="3458" spans="1:28">
      <c r="A3458" s="1">
        <v>1750</v>
      </c>
      <c r="B3458" s="1">
        <v>92.570999999999998</v>
      </c>
      <c r="C3458" s="1">
        <v>93.388000000000005</v>
      </c>
      <c r="D3458" s="1">
        <v>93.799000000000007</v>
      </c>
      <c r="E3458" s="1">
        <v>94.212999999999994</v>
      </c>
      <c r="F3458" s="1">
        <v>94.628</v>
      </c>
      <c r="G3458" s="1">
        <v>95.045000000000002</v>
      </c>
      <c r="H3458" s="1">
        <v>95.884</v>
      </c>
      <c r="I3458" s="1">
        <v>96.73</v>
      </c>
      <c r="J3458" s="21">
        <v>800</v>
      </c>
      <c r="K3458" s="1"/>
      <c r="L3458" s="1"/>
      <c r="M3458" s="1"/>
      <c r="N3458" s="1"/>
      <c r="O3458" s="1"/>
      <c r="P3458" s="365"/>
      <c r="Q3458" s="1"/>
      <c r="R3458" s="1"/>
      <c r="S3458" s="1"/>
      <c r="T3458" s="1"/>
      <c r="W3458" s="30"/>
      <c r="X3458" s="42"/>
      <c r="AA3458" s="30"/>
      <c r="AB3458" s="42"/>
    </row>
    <row r="3459" spans="1:28">
      <c r="A3459" s="1">
        <v>1800</v>
      </c>
      <c r="B3459" s="1">
        <v>95.593999999999994</v>
      </c>
      <c r="C3459" s="1">
        <v>96.504999999999995</v>
      </c>
      <c r="D3459" s="1">
        <v>96.962000000000003</v>
      </c>
      <c r="E3459" s="1">
        <v>97.423000000000002</v>
      </c>
      <c r="F3459" s="1">
        <v>97.882999999999996</v>
      </c>
      <c r="G3459" s="1">
        <v>98.343000000000004</v>
      </c>
      <c r="H3459" s="1">
        <v>99.24</v>
      </c>
      <c r="I3459" s="1">
        <v>100.11199999999999</v>
      </c>
      <c r="J3459" s="21">
        <v>750</v>
      </c>
      <c r="K3459" s="1"/>
      <c r="L3459" s="1"/>
      <c r="M3459" s="1"/>
      <c r="N3459" s="1"/>
      <c r="O3459" s="1"/>
      <c r="P3459" s="365"/>
      <c r="Q3459" s="1"/>
      <c r="R3459" s="1"/>
      <c r="S3459" s="1"/>
      <c r="T3459" s="1"/>
      <c r="W3459" s="30"/>
      <c r="X3459" s="42"/>
      <c r="AA3459" s="30"/>
      <c r="AB3459" s="42"/>
    </row>
    <row r="3460" spans="1:28">
      <c r="A3460" s="1">
        <v>1850</v>
      </c>
      <c r="B3460" s="1">
        <v>98.539000000000001</v>
      </c>
      <c r="C3460" s="1">
        <v>99.465999999999994</v>
      </c>
      <c r="D3460" s="1">
        <v>99.941999999999993</v>
      </c>
      <c r="E3460" s="1">
        <v>100.41200000000001</v>
      </c>
      <c r="F3460" s="1">
        <v>100.883</v>
      </c>
      <c r="G3460" s="1">
        <v>101.35599999999999</v>
      </c>
      <c r="H3460" s="1">
        <v>102.304</v>
      </c>
      <c r="I3460" s="1">
        <v>103.25700000000001</v>
      </c>
      <c r="J3460" s="21">
        <v>700</v>
      </c>
      <c r="K3460" s="1"/>
      <c r="L3460" s="1"/>
      <c r="M3460" s="1"/>
      <c r="N3460" s="1"/>
      <c r="O3460" s="1"/>
      <c r="P3460" s="365"/>
      <c r="Q3460" s="1"/>
      <c r="R3460" s="1"/>
      <c r="S3460" s="1"/>
      <c r="T3460" s="1"/>
      <c r="W3460" s="30"/>
      <c r="AA3460" s="30"/>
    </row>
    <row r="3461" spans="1:28">
      <c r="A3461" s="1">
        <v>1900</v>
      </c>
      <c r="B3461" s="1">
        <v>101.417</v>
      </c>
      <c r="C3461" s="1">
        <v>102.36499999999999</v>
      </c>
      <c r="D3461" s="1">
        <v>102.852</v>
      </c>
      <c r="E3461" s="1">
        <v>103.32599999999999</v>
      </c>
      <c r="F3461" s="1">
        <v>103.80800000000001</v>
      </c>
      <c r="G3461" s="1">
        <v>104.29900000000001</v>
      </c>
      <c r="H3461" s="1">
        <v>105.27</v>
      </c>
      <c r="I3461" s="1">
        <v>106.245</v>
      </c>
      <c r="J3461" s="21">
        <v>650</v>
      </c>
      <c r="K3461" s="1"/>
      <c r="L3461" s="1"/>
      <c r="M3461" s="1"/>
      <c r="N3461" s="1"/>
      <c r="O3461" s="1"/>
      <c r="P3461" s="365"/>
      <c r="Q3461" s="1"/>
      <c r="R3461" s="1"/>
      <c r="S3461" s="1"/>
      <c r="T3461" s="1"/>
      <c r="W3461" s="43"/>
      <c r="X3461" s="42"/>
      <c r="AA3461" s="30"/>
      <c r="AB3461" s="42"/>
    </row>
    <row r="3462" spans="1:28">
      <c r="A3462" s="1">
        <v>1950</v>
      </c>
      <c r="B3462" s="1">
        <v>104.221</v>
      </c>
      <c r="C3462" s="1">
        <v>105.20399999999999</v>
      </c>
      <c r="D3462" s="1">
        <v>105.68600000000001</v>
      </c>
      <c r="E3462" s="1">
        <v>106.185</v>
      </c>
      <c r="F3462" s="1">
        <v>106.67700000000001</v>
      </c>
      <c r="G3462" s="1">
        <v>107.17100000000001</v>
      </c>
      <c r="H3462" s="1">
        <v>108.163</v>
      </c>
      <c r="I3462" s="1">
        <v>109.152</v>
      </c>
      <c r="J3462" s="21">
        <v>600</v>
      </c>
      <c r="K3462" s="1"/>
      <c r="L3462" s="1"/>
      <c r="M3462" s="1"/>
      <c r="N3462" s="1"/>
      <c r="O3462" s="1"/>
      <c r="P3462" s="365"/>
      <c r="Q3462" s="1"/>
      <c r="R3462" s="1"/>
      <c r="S3462" s="1"/>
      <c r="T3462" s="1"/>
      <c r="W3462" s="43"/>
      <c r="X3462" s="42"/>
      <c r="AA3462" s="30"/>
      <c r="AB3462" s="42"/>
    </row>
    <row r="3463" spans="1:28">
      <c r="A3463" s="1">
        <v>2000</v>
      </c>
      <c r="B3463" s="1">
        <v>106.974</v>
      </c>
      <c r="C3463" s="1">
        <v>107.961</v>
      </c>
      <c r="D3463" s="1">
        <v>108.46</v>
      </c>
      <c r="E3463" s="1">
        <v>108.967</v>
      </c>
      <c r="F3463" s="1">
        <v>109.461</v>
      </c>
      <c r="G3463" s="1">
        <v>109.964</v>
      </c>
      <c r="H3463" s="1">
        <v>110.982</v>
      </c>
      <c r="I3463" s="1">
        <v>111.997</v>
      </c>
      <c r="J3463" s="21">
        <v>550</v>
      </c>
      <c r="K3463" s="1"/>
      <c r="L3463" s="1"/>
      <c r="M3463" s="1"/>
      <c r="N3463" s="1"/>
      <c r="O3463" s="1"/>
      <c r="P3463" s="365"/>
      <c r="Q3463" s="1"/>
      <c r="R3463" s="1"/>
      <c r="S3463" s="1"/>
      <c r="T3463" s="1"/>
    </row>
    <row r="3464" spans="1:28">
      <c r="A3464" s="1">
        <v>2050</v>
      </c>
      <c r="B3464" s="1">
        <v>109.651</v>
      </c>
      <c r="C3464" s="1">
        <v>110.65900000000001</v>
      </c>
      <c r="D3464" s="1">
        <v>111.166</v>
      </c>
      <c r="E3464" s="1">
        <v>111.67700000000001</v>
      </c>
      <c r="F3464" s="1">
        <v>112.187</v>
      </c>
      <c r="G3464" s="1">
        <v>112.699</v>
      </c>
      <c r="H3464" s="1">
        <v>113.726</v>
      </c>
      <c r="I3464" s="1">
        <v>114.755</v>
      </c>
      <c r="J3464" s="21">
        <v>500</v>
      </c>
      <c r="K3464" s="1"/>
      <c r="L3464" s="1"/>
      <c r="M3464" s="1"/>
      <c r="N3464" s="1"/>
      <c r="O3464" s="1"/>
      <c r="P3464" s="365"/>
      <c r="Q3464" s="1"/>
      <c r="R3464" s="1"/>
      <c r="S3464" s="1"/>
      <c r="T3464" s="1"/>
    </row>
    <row r="3465" spans="1:28">
      <c r="A3465" s="1">
        <v>2100</v>
      </c>
      <c r="B3465" s="1">
        <v>112.267</v>
      </c>
      <c r="C3465" s="1">
        <v>113.291</v>
      </c>
      <c r="D3465" s="1">
        <v>113.806</v>
      </c>
      <c r="E3465" s="1">
        <v>114.322</v>
      </c>
      <c r="F3465" s="1">
        <v>114.839</v>
      </c>
      <c r="G3465" s="1">
        <v>115.354</v>
      </c>
      <c r="H3465" s="1">
        <v>116.4</v>
      </c>
      <c r="I3465" s="1">
        <v>117.44799999999999</v>
      </c>
      <c r="J3465" s="21">
        <v>450</v>
      </c>
      <c r="K3465" s="1"/>
      <c r="L3465" s="1"/>
      <c r="M3465" s="1"/>
      <c r="N3465" s="1"/>
      <c r="O3465" s="1"/>
      <c r="P3465" s="365"/>
      <c r="Q3465" s="1"/>
      <c r="R3465" s="1"/>
      <c r="S3465" s="1"/>
      <c r="T3465" s="1"/>
      <c r="X3465" s="42"/>
      <c r="AB3465" s="42"/>
    </row>
    <row r="3466" spans="1:28">
      <c r="A3466" s="1">
        <v>2150</v>
      </c>
      <c r="B3466" s="1">
        <v>114.813</v>
      </c>
      <c r="C3466" s="1">
        <v>115.85899999999999</v>
      </c>
      <c r="D3466" s="1">
        <v>116.38</v>
      </c>
      <c r="E3466" s="1">
        <v>116.90300000000001</v>
      </c>
      <c r="F3466" s="1">
        <v>117.419</v>
      </c>
      <c r="G3466" s="1">
        <v>117.953</v>
      </c>
      <c r="H3466" s="1">
        <v>119.008</v>
      </c>
      <c r="I3466" s="1">
        <v>120.06699999999999</v>
      </c>
      <c r="J3466" s="21">
        <v>400</v>
      </c>
      <c r="K3466" s="1"/>
      <c r="L3466" s="1"/>
      <c r="M3466" s="1"/>
      <c r="N3466" s="1"/>
      <c r="O3466" s="1"/>
      <c r="P3466" s="365"/>
      <c r="Q3466" s="1"/>
      <c r="R3466" s="1"/>
      <c r="S3466" s="1"/>
      <c r="T3466" s="1"/>
    </row>
    <row r="3467" spans="1:28">
      <c r="A3467" s="1">
        <v>2200</v>
      </c>
      <c r="B3467" s="1">
        <v>117.31</v>
      </c>
      <c r="C3467" s="1">
        <v>118.35299999999999</v>
      </c>
      <c r="D3467" s="1">
        <v>118.881</v>
      </c>
      <c r="E3467" s="1">
        <v>119.416</v>
      </c>
      <c r="F3467" s="1">
        <v>119.947</v>
      </c>
      <c r="G3467" s="1">
        <v>120.47799999999999</v>
      </c>
      <c r="H3467" s="1">
        <v>121.548</v>
      </c>
      <c r="I3467" s="1">
        <v>122.34099999999999</v>
      </c>
      <c r="J3467" s="21">
        <v>350</v>
      </c>
      <c r="K3467" s="1"/>
      <c r="L3467" s="1"/>
      <c r="M3467" s="1"/>
      <c r="N3467" s="1"/>
      <c r="O3467" s="1"/>
      <c r="P3467" s="365"/>
      <c r="Q3467" s="1"/>
      <c r="R3467" s="1"/>
      <c r="S3467" s="1"/>
      <c r="T3467" s="1"/>
    </row>
    <row r="3468" spans="1:28">
      <c r="A3468" s="1">
        <v>2250</v>
      </c>
      <c r="B3468" s="1">
        <v>119.724</v>
      </c>
      <c r="C3468" s="1">
        <v>120.77800000000001</v>
      </c>
      <c r="D3468" s="1">
        <v>121.31</v>
      </c>
      <c r="E3468" s="1">
        <v>121.851</v>
      </c>
      <c r="F3468" s="1">
        <v>122.387</v>
      </c>
      <c r="G3468" s="1">
        <v>122.92100000000001</v>
      </c>
      <c r="H3468" s="1">
        <v>123.679</v>
      </c>
      <c r="I3468" s="1">
        <v>124.164</v>
      </c>
      <c r="J3468" s="21">
        <v>300</v>
      </c>
      <c r="K3468" s="1"/>
      <c r="L3468" s="1"/>
      <c r="M3468" s="1"/>
      <c r="N3468" s="1"/>
      <c r="O3468" s="1"/>
      <c r="P3468" s="365"/>
      <c r="Q3468" s="1"/>
      <c r="R3468" s="1"/>
      <c r="S3468" s="1"/>
      <c r="T3468" s="1"/>
    </row>
    <row r="3469" spans="1:28">
      <c r="A3469" s="1">
        <v>2300</v>
      </c>
      <c r="B3469" s="1">
        <v>122.06699999999999</v>
      </c>
      <c r="C3469" s="1">
        <v>123.136</v>
      </c>
      <c r="D3469" s="1">
        <v>123.673</v>
      </c>
      <c r="E3469" s="1">
        <v>124.211</v>
      </c>
      <c r="F3469" s="1">
        <v>124.619</v>
      </c>
      <c r="G3469" s="1">
        <v>124.893</v>
      </c>
      <c r="H3469" s="1">
        <v>125.17400000000001</v>
      </c>
      <c r="I3469" s="1">
        <v>125.295</v>
      </c>
      <c r="J3469" s="21">
        <v>250</v>
      </c>
      <c r="K3469" s="1"/>
      <c r="L3469" s="1"/>
      <c r="M3469" s="1"/>
      <c r="N3469" s="1"/>
      <c r="O3469" s="1"/>
      <c r="P3469" s="365"/>
      <c r="Q3469" s="1"/>
      <c r="R3469" s="1"/>
      <c r="S3469" s="1"/>
      <c r="T3469" s="1"/>
    </row>
    <row r="3470" spans="1:28">
      <c r="A3470" s="1">
        <v>2350</v>
      </c>
      <c r="B3470" s="1">
        <v>124.339</v>
      </c>
      <c r="C3470" s="1">
        <v>125.416</v>
      </c>
      <c r="D3470" s="1">
        <v>125.65300000000001</v>
      </c>
      <c r="E3470" s="1">
        <v>125.669</v>
      </c>
      <c r="F3470" s="1">
        <v>125.675</v>
      </c>
      <c r="G3470" s="1">
        <v>125.67700000000001</v>
      </c>
      <c r="H3470" s="1">
        <v>125.68300000000001</v>
      </c>
      <c r="I3470" s="1">
        <v>125.685</v>
      </c>
      <c r="J3470" s="21">
        <v>200</v>
      </c>
      <c r="K3470" s="1"/>
      <c r="L3470" s="1"/>
      <c r="M3470" s="1"/>
      <c r="N3470" s="1"/>
      <c r="O3470" s="1"/>
      <c r="P3470" s="365"/>
      <c r="Q3470" s="1"/>
      <c r="R3470" s="1"/>
      <c r="S3470" s="1"/>
      <c r="T3470" s="1"/>
    </row>
    <row r="3471" spans="1:28">
      <c r="A3471" s="1">
        <v>2400</v>
      </c>
      <c r="B3471" s="1">
        <v>125.71899999999999</v>
      </c>
      <c r="C3471" s="1">
        <v>125.685</v>
      </c>
      <c r="D3471" s="1">
        <v>125.685</v>
      </c>
      <c r="E3471" s="1">
        <v>125.685</v>
      </c>
      <c r="F3471" s="1">
        <v>125.685</v>
      </c>
      <c r="G3471" s="1">
        <v>125.685</v>
      </c>
      <c r="H3471" s="1">
        <v>125.685</v>
      </c>
      <c r="I3471" s="1">
        <v>125.685</v>
      </c>
      <c r="J3471" s="21">
        <v>150</v>
      </c>
      <c r="K3471" s="1"/>
      <c r="L3471" s="1"/>
      <c r="M3471" s="1"/>
      <c r="N3471" s="1"/>
      <c r="O3471" s="1"/>
      <c r="P3471" s="365"/>
      <c r="Q3471" s="1"/>
      <c r="R3471" s="1"/>
      <c r="S3471" s="1"/>
      <c r="T3471" s="1"/>
    </row>
    <row r="3472" spans="1:28">
      <c r="A3472" s="1">
        <v>2450</v>
      </c>
      <c r="B3472" s="1">
        <v>125.685</v>
      </c>
      <c r="C3472" s="1">
        <v>125.685</v>
      </c>
      <c r="D3472" s="1">
        <v>125.685</v>
      </c>
      <c r="E3472" s="1">
        <v>125.685</v>
      </c>
      <c r="F3472" s="1">
        <v>125.685</v>
      </c>
      <c r="G3472" s="1">
        <v>125.685</v>
      </c>
      <c r="H3472" s="1">
        <v>125.685</v>
      </c>
      <c r="I3472" s="1">
        <v>125.685</v>
      </c>
      <c r="J3472" s="21">
        <v>100</v>
      </c>
      <c r="K3472" s="1"/>
      <c r="L3472" s="1"/>
      <c r="M3472" s="1"/>
      <c r="N3472" s="1"/>
      <c r="O3472" s="1"/>
      <c r="P3472" s="365"/>
      <c r="Q3472" s="1"/>
      <c r="R3472" s="1"/>
      <c r="S3472" s="1"/>
      <c r="T3472" s="1"/>
    </row>
    <row r="3473" spans="1:20">
      <c r="A3473" s="1">
        <v>2500</v>
      </c>
      <c r="B3473" s="1">
        <v>125.685</v>
      </c>
      <c r="C3473" s="1">
        <v>125.685</v>
      </c>
      <c r="D3473" s="1">
        <v>125.685</v>
      </c>
      <c r="E3473" s="1">
        <v>125.685</v>
      </c>
      <c r="F3473" s="1">
        <v>125.685</v>
      </c>
      <c r="G3473" s="1">
        <v>125.685</v>
      </c>
      <c r="H3473" s="1">
        <v>125.685</v>
      </c>
      <c r="I3473" s="1">
        <v>125.685</v>
      </c>
      <c r="J3473" s="21">
        <v>50</v>
      </c>
      <c r="K3473" s="1"/>
      <c r="L3473" s="1"/>
      <c r="M3473" s="1"/>
      <c r="N3473" s="1"/>
      <c r="O3473" s="1"/>
      <c r="P3473" s="365"/>
      <c r="Q3473" s="1"/>
      <c r="R3473" s="1"/>
      <c r="S3473" s="1"/>
      <c r="T3473" s="1"/>
    </row>
    <row r="3474" spans="1:20">
      <c r="A3474" s="1">
        <v>5190</v>
      </c>
      <c r="B3474" s="1">
        <v>125.685</v>
      </c>
      <c r="C3474" s="1">
        <v>125.685</v>
      </c>
      <c r="D3474" s="1">
        <v>125.685</v>
      </c>
      <c r="E3474" s="1">
        <v>125.685</v>
      </c>
      <c r="F3474" s="1">
        <v>125.685</v>
      </c>
      <c r="G3474" s="1">
        <v>125.685</v>
      </c>
      <c r="H3474" s="1">
        <v>125.685</v>
      </c>
      <c r="I3474" s="1">
        <v>125.685</v>
      </c>
      <c r="J3474" s="21">
        <v>0</v>
      </c>
      <c r="K3474" s="1"/>
      <c r="L3474" s="1"/>
      <c r="M3474" s="1"/>
      <c r="N3474" s="1"/>
      <c r="O3474" s="1"/>
      <c r="P3474" s="365"/>
      <c r="Q3474" s="1"/>
      <c r="R3474" s="1"/>
      <c r="S3474" s="1"/>
      <c r="T3474" s="1"/>
    </row>
    <row r="3475" spans="1:20" hidden="1">
      <c r="A3475" s="295"/>
      <c r="B3475" s="296"/>
      <c r="C3475" s="296"/>
      <c r="D3475" s="296"/>
      <c r="E3475" s="296"/>
      <c r="F3475" s="296"/>
      <c r="G3475" s="296"/>
      <c r="H3475" s="296"/>
      <c r="I3475" s="296"/>
      <c r="J3475" s="296"/>
      <c r="K3475" s="295"/>
      <c r="L3475" s="295"/>
      <c r="M3475" s="296"/>
      <c r="N3475" s="296"/>
      <c r="P3475" s="296"/>
      <c r="Q3475" s="296"/>
    </row>
    <row r="3476" spans="1:20" hidden="1">
      <c r="A3476" s="295"/>
      <c r="B3476" s="296"/>
      <c r="C3476" s="296"/>
      <c r="D3476" s="296"/>
      <c r="E3476" s="296"/>
      <c r="F3476" s="296"/>
      <c r="G3476" s="296"/>
      <c r="H3476" s="296"/>
      <c r="I3476" s="296"/>
      <c r="J3476" s="296"/>
      <c r="K3476" s="295"/>
      <c r="L3476" s="295"/>
      <c r="M3476" s="296"/>
      <c r="N3476" s="296"/>
      <c r="P3476" s="296"/>
      <c r="Q3476" s="296"/>
    </row>
    <row r="3477" spans="1:20" hidden="1">
      <c r="A3477" s="295"/>
      <c r="B3477" s="296"/>
      <c r="C3477" s="296"/>
      <c r="D3477" s="296"/>
      <c r="E3477" s="296"/>
      <c r="F3477" s="296"/>
      <c r="G3477" s="296"/>
      <c r="H3477" s="296"/>
      <c r="I3477" s="296"/>
      <c r="J3477" s="296"/>
      <c r="K3477" s="295"/>
      <c r="L3477" s="295"/>
      <c r="M3477" s="296"/>
      <c r="N3477" s="296"/>
      <c r="P3477" s="296"/>
      <c r="Q3477" s="296"/>
    </row>
    <row r="3478" spans="1:20" hidden="1">
      <c r="A3478" s="295"/>
      <c r="B3478" s="296"/>
      <c r="C3478" s="296"/>
      <c r="D3478" s="296"/>
      <c r="E3478" s="296"/>
      <c r="F3478" s="296"/>
      <c r="G3478" s="296"/>
      <c r="H3478" s="296"/>
      <c r="I3478" s="296"/>
      <c r="J3478" s="296"/>
      <c r="K3478" s="295"/>
      <c r="L3478" s="295"/>
      <c r="M3478" s="296"/>
      <c r="N3478" s="296"/>
      <c r="P3478" s="296"/>
      <c r="Q3478" s="296"/>
    </row>
    <row r="3479" spans="1:20" hidden="1">
      <c r="A3479" s="295"/>
      <c r="B3479" s="296"/>
      <c r="C3479" s="296"/>
      <c r="D3479" s="296"/>
      <c r="E3479" s="296"/>
      <c r="F3479" s="296"/>
      <c r="G3479" s="296"/>
      <c r="H3479" s="296"/>
      <c r="I3479" s="296"/>
      <c r="J3479" s="296"/>
      <c r="K3479" s="295"/>
      <c r="L3479" s="295"/>
      <c r="M3479" s="296"/>
      <c r="N3479" s="296"/>
      <c r="P3479" s="296"/>
      <c r="Q3479" s="296"/>
    </row>
    <row r="3480" spans="1:20" hidden="1">
      <c r="A3480" s="295"/>
      <c r="B3480" s="296"/>
      <c r="C3480" s="296"/>
      <c r="D3480" s="296"/>
      <c r="E3480" s="296"/>
      <c r="F3480" s="296"/>
      <c r="G3480" s="296"/>
      <c r="H3480" s="296"/>
      <c r="I3480" s="296"/>
      <c r="J3480" s="296"/>
      <c r="K3480" s="295"/>
      <c r="L3480" s="295"/>
      <c r="M3480" s="296"/>
      <c r="N3480" s="296"/>
      <c r="P3480" s="296"/>
      <c r="Q3480" s="296"/>
    </row>
    <row r="3481" spans="1:20" hidden="1">
      <c r="A3481" s="295"/>
      <c r="B3481" s="296"/>
      <c r="C3481" s="296"/>
      <c r="D3481" s="296"/>
      <c r="E3481" s="296"/>
      <c r="F3481" s="296"/>
      <c r="G3481" s="296"/>
      <c r="H3481" s="296"/>
      <c r="I3481" s="296"/>
      <c r="J3481" s="296"/>
      <c r="K3481" s="295"/>
      <c r="L3481" s="295"/>
      <c r="M3481" s="296"/>
      <c r="N3481" s="296"/>
      <c r="P3481" s="296"/>
      <c r="Q3481" s="296"/>
    </row>
    <row r="3482" spans="1:20" hidden="1">
      <c r="A3482" s="295"/>
      <c r="B3482" s="296"/>
      <c r="C3482" s="296"/>
      <c r="D3482" s="296"/>
      <c r="E3482" s="296"/>
      <c r="F3482" s="296"/>
      <c r="G3482" s="296"/>
      <c r="H3482" s="296"/>
      <c r="I3482" s="296"/>
      <c r="J3482" s="296"/>
      <c r="K3482" s="295"/>
      <c r="L3482" s="295"/>
      <c r="M3482" s="296"/>
      <c r="N3482" s="296"/>
      <c r="P3482" s="296"/>
      <c r="Q3482" s="296"/>
    </row>
    <row r="3483" spans="1:20" hidden="1">
      <c r="A3483" s="295"/>
      <c r="B3483" s="296"/>
      <c r="C3483" s="296"/>
      <c r="D3483" s="296"/>
      <c r="E3483" s="296"/>
      <c r="F3483" s="296"/>
      <c r="G3483" s="296"/>
      <c r="H3483" s="296"/>
      <c r="I3483" s="296"/>
      <c r="J3483" s="296"/>
      <c r="K3483" s="295"/>
      <c r="L3483" s="295"/>
      <c r="M3483" s="296"/>
      <c r="N3483" s="296"/>
      <c r="P3483" s="296"/>
      <c r="Q3483" s="296"/>
    </row>
    <row r="3484" spans="1:20" hidden="1">
      <c r="A3484" s="295"/>
      <c r="B3484" s="296"/>
      <c r="C3484" s="296"/>
      <c r="D3484" s="296"/>
      <c r="E3484" s="296"/>
      <c r="F3484" s="296"/>
      <c r="G3484" s="296"/>
      <c r="H3484" s="296"/>
      <c r="I3484" s="296"/>
      <c r="J3484" s="296"/>
      <c r="K3484" s="295"/>
      <c r="L3484" s="295"/>
      <c r="M3484" s="296"/>
      <c r="N3484" s="296"/>
      <c r="P3484" s="296"/>
      <c r="Q3484" s="296"/>
    </row>
    <row r="3485" spans="1:20" hidden="1">
      <c r="A3485" s="295"/>
      <c r="B3485" s="296"/>
      <c r="C3485" s="296"/>
      <c r="D3485" s="296"/>
      <c r="E3485" s="296"/>
      <c r="F3485" s="296"/>
      <c r="G3485" s="296"/>
      <c r="H3485" s="296"/>
      <c r="I3485" s="296"/>
      <c r="J3485" s="296"/>
      <c r="K3485" s="295"/>
      <c r="L3485" s="295"/>
      <c r="M3485" s="296"/>
      <c r="N3485" s="296"/>
      <c r="P3485" s="296"/>
      <c r="Q3485" s="296"/>
    </row>
    <row r="3486" spans="1:20" hidden="1">
      <c r="A3486" s="295"/>
      <c r="B3486" s="296"/>
      <c r="C3486" s="296"/>
      <c r="D3486" s="296"/>
      <c r="E3486" s="296"/>
      <c r="F3486" s="296"/>
      <c r="G3486" s="296"/>
      <c r="H3486" s="296"/>
      <c r="I3486" s="296"/>
      <c r="J3486" s="296"/>
      <c r="K3486" s="295"/>
      <c r="L3486" s="295"/>
      <c r="M3486" s="296"/>
      <c r="N3486" s="296"/>
      <c r="P3486" s="296"/>
      <c r="Q3486" s="296"/>
    </row>
    <row r="3487" spans="1:20" hidden="1">
      <c r="A3487" s="295"/>
      <c r="B3487" s="296"/>
      <c r="C3487" s="296"/>
      <c r="D3487" s="296"/>
      <c r="E3487" s="296"/>
      <c r="F3487" s="296"/>
      <c r="G3487" s="296"/>
      <c r="H3487" s="296"/>
      <c r="I3487" s="296"/>
      <c r="J3487" s="296"/>
      <c r="K3487" s="295"/>
      <c r="L3487" s="295"/>
      <c r="M3487" s="296"/>
      <c r="N3487" s="296"/>
      <c r="P3487" s="296"/>
      <c r="Q3487" s="296"/>
    </row>
    <row r="3488" spans="1:20" hidden="1">
      <c r="A3488" s="295"/>
      <c r="B3488" s="296"/>
      <c r="C3488" s="296"/>
      <c r="D3488" s="296"/>
      <c r="E3488" s="296"/>
      <c r="F3488" s="296"/>
      <c r="G3488" s="296"/>
      <c r="H3488" s="296"/>
      <c r="I3488" s="296"/>
      <c r="J3488" s="296"/>
      <c r="K3488" s="295"/>
      <c r="L3488" s="295"/>
      <c r="M3488" s="296"/>
      <c r="N3488" s="296"/>
      <c r="P3488" s="296"/>
      <c r="Q3488" s="296"/>
    </row>
    <row r="3489" spans="1:17" hidden="1">
      <c r="A3489" s="295"/>
      <c r="B3489" s="296"/>
      <c r="C3489" s="296"/>
      <c r="D3489" s="296"/>
      <c r="E3489" s="296"/>
      <c r="F3489" s="296"/>
      <c r="G3489" s="296"/>
      <c r="H3489" s="296"/>
      <c r="I3489" s="296"/>
      <c r="J3489" s="296"/>
      <c r="K3489" s="295"/>
      <c r="L3489" s="295"/>
      <c r="M3489" s="296"/>
      <c r="N3489" s="296"/>
      <c r="P3489" s="296"/>
      <c r="Q3489" s="296"/>
    </row>
    <row r="3490" spans="1:17" hidden="1">
      <c r="A3490" s="295"/>
      <c r="B3490" s="296"/>
      <c r="C3490" s="296"/>
      <c r="D3490" s="296"/>
      <c r="E3490" s="296"/>
      <c r="F3490" s="296"/>
      <c r="G3490" s="296"/>
      <c r="H3490" s="296"/>
      <c r="I3490" s="296"/>
      <c r="J3490" s="296"/>
      <c r="K3490" s="295"/>
      <c r="L3490" s="295"/>
      <c r="M3490" s="296"/>
      <c r="N3490" s="296"/>
      <c r="P3490" s="296"/>
      <c r="Q3490" s="296"/>
    </row>
    <row r="3491" spans="1:17" hidden="1">
      <c r="B3491" s="19"/>
      <c r="C3491" s="19"/>
      <c r="D3491" s="19"/>
      <c r="E3491" s="19"/>
      <c r="F3491" s="19"/>
      <c r="G3491" s="19"/>
      <c r="H3491" s="19"/>
      <c r="I3491" s="19"/>
      <c r="J3491" s="19"/>
      <c r="K3491" s="421"/>
      <c r="L3491" s="23"/>
      <c r="M3491" s="19"/>
      <c r="N3491" s="19"/>
      <c r="O3491" s="19"/>
      <c r="P3491" s="19"/>
      <c r="Q3491" s="19"/>
    </row>
    <row r="3492" spans="1:17" hidden="1">
      <c r="B3492" s="19"/>
      <c r="C3492" s="19"/>
      <c r="D3492" s="19"/>
      <c r="E3492" s="19"/>
      <c r="F3492" s="19"/>
      <c r="G3492" s="19"/>
      <c r="H3492" s="19"/>
      <c r="I3492" s="19"/>
      <c r="J3492" s="19"/>
      <c r="K3492" s="421"/>
      <c r="L3492" s="23"/>
      <c r="M3492" s="19"/>
      <c r="N3492" s="19"/>
      <c r="O3492" s="19"/>
      <c r="P3492" s="19"/>
      <c r="Q3492" s="19"/>
    </row>
    <row r="3493" spans="1:17" hidden="1">
      <c r="B3493" s="19"/>
      <c r="C3493" s="19"/>
      <c r="D3493" s="19"/>
      <c r="E3493" s="19"/>
      <c r="F3493" s="19"/>
      <c r="G3493" s="19"/>
      <c r="H3493" s="19"/>
      <c r="I3493" s="19"/>
      <c r="J3493" s="19"/>
      <c r="K3493" s="421"/>
      <c r="L3493" s="23"/>
      <c r="M3493" s="19"/>
      <c r="N3493" s="19"/>
      <c r="O3493" s="19"/>
      <c r="P3493" s="19"/>
      <c r="Q3493" s="19"/>
    </row>
    <row r="3494" spans="1:17" hidden="1">
      <c r="B3494" s="19"/>
      <c r="C3494" s="19"/>
      <c r="D3494" s="19"/>
      <c r="E3494" s="19"/>
      <c r="F3494" s="19"/>
      <c r="G3494" s="19"/>
      <c r="H3494" s="19"/>
      <c r="I3494" s="19"/>
      <c r="J3494" s="19"/>
      <c r="K3494" s="421"/>
      <c r="L3494" s="23"/>
      <c r="M3494" s="19"/>
      <c r="N3494" s="19"/>
      <c r="O3494" s="19"/>
      <c r="P3494" s="19"/>
      <c r="Q3494" s="19"/>
    </row>
    <row r="3495" spans="1:17" hidden="1">
      <c r="B3495" s="19"/>
      <c r="C3495" s="19"/>
      <c r="D3495" s="19"/>
      <c r="E3495" s="19"/>
      <c r="F3495" s="19"/>
      <c r="G3495" s="19"/>
      <c r="H3495" s="19"/>
      <c r="I3495" s="19"/>
      <c r="J3495" s="19"/>
      <c r="K3495" s="421"/>
      <c r="L3495" s="23"/>
      <c r="M3495" s="19"/>
      <c r="N3495" s="19"/>
      <c r="O3495" s="19"/>
      <c r="P3495" s="19"/>
      <c r="Q3495" s="19"/>
    </row>
    <row r="3496" spans="1:17" hidden="1">
      <c r="B3496" s="19"/>
      <c r="C3496" s="19"/>
      <c r="D3496" s="19"/>
      <c r="E3496" s="19"/>
      <c r="F3496" s="19"/>
      <c r="G3496" s="19"/>
      <c r="H3496" s="19"/>
      <c r="I3496" s="19"/>
      <c r="J3496" s="19"/>
      <c r="K3496" s="421"/>
      <c r="L3496" s="23"/>
      <c r="M3496" s="19"/>
      <c r="N3496" s="19"/>
      <c r="O3496" s="19"/>
      <c r="P3496" s="19"/>
      <c r="Q3496" s="19"/>
    </row>
    <row r="3497" spans="1:17" hidden="1">
      <c r="B3497" s="19"/>
      <c r="C3497" s="19"/>
      <c r="D3497" s="19"/>
      <c r="E3497" s="19"/>
      <c r="F3497" s="19"/>
      <c r="G3497" s="19"/>
      <c r="H3497" s="19"/>
      <c r="I3497" s="19"/>
      <c r="J3497" s="19"/>
      <c r="K3497" s="421"/>
      <c r="L3497" s="23"/>
      <c r="M3497" s="19"/>
      <c r="N3497" s="19"/>
      <c r="O3497" s="19"/>
      <c r="P3497" s="19"/>
      <c r="Q3497" s="19"/>
    </row>
    <row r="3498" spans="1:17" hidden="1">
      <c r="B3498" s="19"/>
      <c r="C3498" s="19"/>
      <c r="D3498" s="19"/>
      <c r="E3498" s="19"/>
      <c r="F3498" s="19"/>
      <c r="G3498" s="19"/>
      <c r="H3498" s="19"/>
      <c r="I3498" s="19"/>
      <c r="J3498" s="19"/>
      <c r="K3498" s="421"/>
      <c r="L3498" s="23"/>
      <c r="M3498" s="19"/>
      <c r="N3498" s="19"/>
      <c r="O3498" s="19"/>
      <c r="P3498" s="19"/>
      <c r="Q3498" s="19"/>
    </row>
    <row r="3499" spans="1:17" hidden="1">
      <c r="B3499" s="19"/>
      <c r="C3499" s="19"/>
      <c r="D3499" s="19"/>
      <c r="E3499" s="19"/>
      <c r="F3499" s="19"/>
      <c r="G3499" s="19"/>
      <c r="H3499" s="19"/>
      <c r="I3499" s="19"/>
      <c r="J3499" s="19"/>
      <c r="K3499" s="421"/>
      <c r="L3499" s="23"/>
      <c r="M3499" s="19"/>
      <c r="N3499" s="19"/>
      <c r="O3499" s="19"/>
      <c r="P3499" s="19"/>
      <c r="Q3499" s="19"/>
    </row>
    <row r="3500" spans="1:17" hidden="1">
      <c r="B3500" s="19"/>
      <c r="C3500" s="19"/>
      <c r="D3500" s="19"/>
      <c r="E3500" s="19"/>
      <c r="F3500" s="19"/>
      <c r="G3500" s="19"/>
      <c r="H3500" s="19"/>
      <c r="I3500" s="19"/>
      <c r="J3500" s="19"/>
      <c r="K3500" s="421"/>
      <c r="L3500" s="23"/>
      <c r="M3500" s="19"/>
      <c r="N3500" s="19"/>
      <c r="O3500" s="19"/>
      <c r="P3500" s="19"/>
      <c r="Q3500" s="19"/>
    </row>
    <row r="3501" spans="1:17" hidden="1">
      <c r="B3501" s="19"/>
      <c r="C3501" s="19"/>
      <c r="D3501" s="19"/>
      <c r="E3501" s="19"/>
      <c r="F3501" s="19"/>
      <c r="G3501" s="19"/>
      <c r="H3501" s="19"/>
      <c r="I3501" s="19"/>
      <c r="J3501" s="19"/>
      <c r="K3501" s="421"/>
      <c r="L3501" s="23"/>
      <c r="M3501" s="19"/>
      <c r="N3501" s="19"/>
      <c r="O3501" s="19"/>
      <c r="P3501" s="19"/>
      <c r="Q3501" s="19"/>
    </row>
    <row r="3502" spans="1:17" hidden="1">
      <c r="B3502" s="19"/>
      <c r="C3502" s="19"/>
      <c r="D3502" s="19"/>
      <c r="E3502" s="19"/>
      <c r="F3502" s="19"/>
      <c r="G3502" s="19"/>
      <c r="H3502" s="19"/>
      <c r="I3502" s="19"/>
      <c r="J3502" s="19"/>
      <c r="K3502" s="421"/>
      <c r="L3502" s="23"/>
      <c r="M3502" s="19"/>
      <c r="N3502" s="19"/>
      <c r="O3502" s="19"/>
      <c r="P3502" s="19"/>
      <c r="Q3502" s="19"/>
    </row>
    <row r="3503" spans="1:17" hidden="1">
      <c r="B3503" s="19"/>
      <c r="C3503" s="19"/>
      <c r="D3503" s="19"/>
      <c r="E3503" s="19"/>
      <c r="F3503" s="19"/>
      <c r="G3503" s="19"/>
      <c r="H3503" s="19"/>
      <c r="I3503" s="19"/>
      <c r="J3503" s="19"/>
      <c r="K3503" s="421"/>
      <c r="L3503" s="23"/>
      <c r="M3503" s="19"/>
      <c r="N3503" s="19"/>
      <c r="O3503" s="19"/>
      <c r="P3503" s="19"/>
      <c r="Q3503" s="19"/>
    </row>
    <row r="3504" spans="1:17" hidden="1">
      <c r="B3504" s="19"/>
      <c r="C3504" s="19"/>
      <c r="D3504" s="19"/>
      <c r="E3504" s="19"/>
      <c r="F3504" s="19"/>
      <c r="G3504" s="19"/>
      <c r="H3504" s="19"/>
      <c r="I3504" s="19"/>
      <c r="J3504" s="19"/>
      <c r="K3504" s="421"/>
      <c r="L3504" s="23"/>
      <c r="M3504" s="19"/>
      <c r="N3504" s="19"/>
      <c r="O3504" s="19"/>
      <c r="P3504" s="19"/>
      <c r="Q3504" s="19"/>
    </row>
    <row r="3505" spans="2:17" hidden="1">
      <c r="B3505" s="19"/>
      <c r="C3505" s="19"/>
      <c r="D3505" s="19"/>
      <c r="E3505" s="19"/>
      <c r="F3505" s="19"/>
      <c r="G3505" s="19"/>
      <c r="H3505" s="19"/>
      <c r="I3505" s="19"/>
      <c r="J3505" s="19"/>
      <c r="K3505" s="421"/>
      <c r="L3505" s="23"/>
      <c r="M3505" s="19"/>
      <c r="N3505" s="19"/>
      <c r="O3505" s="19"/>
      <c r="P3505" s="19"/>
      <c r="Q3505" s="19"/>
    </row>
    <row r="3506" spans="2:17" hidden="1">
      <c r="B3506" s="19"/>
      <c r="C3506" s="19"/>
      <c r="D3506" s="19"/>
      <c r="E3506" s="19"/>
      <c r="F3506" s="19"/>
      <c r="G3506" s="19"/>
      <c r="H3506" s="19"/>
      <c r="I3506" s="19"/>
      <c r="J3506" s="19"/>
      <c r="K3506" s="421"/>
      <c r="L3506" s="23"/>
      <c r="M3506" s="19"/>
      <c r="N3506" s="19"/>
      <c r="O3506" s="19"/>
      <c r="P3506" s="19"/>
      <c r="Q3506" s="19"/>
    </row>
    <row r="3507" spans="2:17" hidden="1">
      <c r="B3507" s="19"/>
      <c r="C3507" s="19"/>
      <c r="D3507" s="19"/>
      <c r="E3507" s="19"/>
      <c r="F3507" s="19"/>
      <c r="G3507" s="19"/>
      <c r="H3507" s="19"/>
      <c r="I3507" s="19"/>
      <c r="J3507" s="19"/>
      <c r="K3507" s="421"/>
      <c r="L3507" s="23"/>
      <c r="M3507" s="19"/>
      <c r="N3507" s="19"/>
      <c r="O3507" s="19"/>
      <c r="P3507" s="19"/>
      <c r="Q3507" s="19"/>
    </row>
    <row r="3508" spans="2:17" hidden="1">
      <c r="B3508" s="19"/>
      <c r="C3508" s="19"/>
      <c r="D3508" s="19"/>
      <c r="E3508" s="19"/>
      <c r="F3508" s="19"/>
      <c r="G3508" s="19"/>
      <c r="H3508" s="19"/>
      <c r="I3508" s="19"/>
      <c r="J3508" s="19"/>
      <c r="K3508" s="421"/>
      <c r="L3508" s="23"/>
      <c r="M3508" s="19"/>
      <c r="N3508" s="19"/>
      <c r="O3508" s="19"/>
      <c r="P3508" s="19"/>
      <c r="Q3508" s="19"/>
    </row>
    <row r="3509" spans="2:17" hidden="1">
      <c r="B3509" s="19"/>
      <c r="C3509" s="19"/>
      <c r="D3509" s="19"/>
      <c r="E3509" s="19"/>
      <c r="F3509" s="19"/>
      <c r="G3509" s="19"/>
      <c r="H3509" s="19"/>
      <c r="I3509" s="19"/>
      <c r="J3509" s="19"/>
      <c r="K3509" s="421"/>
      <c r="L3509" s="23"/>
      <c r="M3509" s="19"/>
      <c r="N3509" s="19"/>
      <c r="O3509" s="19"/>
      <c r="P3509" s="19"/>
      <c r="Q3509" s="19"/>
    </row>
    <row r="3510" spans="2:17" hidden="1">
      <c r="B3510" s="19"/>
      <c r="C3510" s="19"/>
      <c r="D3510" s="19"/>
      <c r="E3510" s="19"/>
      <c r="F3510" s="19"/>
      <c r="G3510" s="19"/>
      <c r="H3510" s="19"/>
      <c r="I3510" s="19"/>
      <c r="J3510" s="19"/>
      <c r="K3510" s="421"/>
      <c r="L3510" s="23"/>
      <c r="M3510" s="19"/>
      <c r="N3510" s="19"/>
      <c r="O3510" s="19"/>
      <c r="P3510" s="19"/>
      <c r="Q3510" s="19"/>
    </row>
    <row r="3511" spans="2:17" hidden="1">
      <c r="B3511" s="19"/>
      <c r="C3511" s="19"/>
      <c r="D3511" s="19"/>
      <c r="E3511" s="19"/>
      <c r="F3511" s="19"/>
      <c r="G3511" s="19"/>
      <c r="H3511" s="19"/>
      <c r="I3511" s="19"/>
      <c r="J3511" s="19"/>
      <c r="K3511" s="421"/>
      <c r="L3511" s="23"/>
      <c r="M3511" s="19"/>
      <c r="N3511" s="19"/>
      <c r="O3511" s="19"/>
      <c r="P3511" s="19"/>
      <c r="Q3511" s="19"/>
    </row>
    <row r="3512" spans="2:17" hidden="1">
      <c r="B3512" s="19"/>
      <c r="C3512" s="19"/>
      <c r="D3512" s="19"/>
      <c r="E3512" s="19"/>
      <c r="F3512" s="19"/>
      <c r="G3512" s="19"/>
      <c r="H3512" s="19"/>
      <c r="I3512" s="19"/>
      <c r="J3512" s="19"/>
      <c r="K3512" s="421"/>
      <c r="L3512" s="23"/>
      <c r="M3512" s="19"/>
      <c r="N3512" s="19"/>
      <c r="O3512" s="19"/>
      <c r="P3512" s="19"/>
      <c r="Q3512" s="19"/>
    </row>
    <row r="3513" spans="2:17" hidden="1">
      <c r="B3513" s="19"/>
      <c r="C3513" s="19"/>
      <c r="D3513" s="19"/>
      <c r="E3513" s="19"/>
      <c r="F3513" s="19"/>
      <c r="G3513" s="19"/>
      <c r="H3513" s="19"/>
      <c r="I3513" s="19"/>
      <c r="J3513" s="19"/>
      <c r="K3513" s="421"/>
      <c r="L3513" s="23"/>
      <c r="M3513" s="19"/>
      <c r="N3513" s="19"/>
      <c r="O3513" s="19"/>
      <c r="P3513" s="19"/>
      <c r="Q3513" s="19"/>
    </row>
    <row r="3514" spans="2:17" hidden="1">
      <c r="B3514" s="19"/>
      <c r="C3514" s="19"/>
      <c r="D3514" s="19"/>
      <c r="E3514" s="19"/>
      <c r="F3514" s="19"/>
      <c r="G3514" s="19"/>
      <c r="H3514" s="19"/>
      <c r="I3514" s="19"/>
      <c r="J3514" s="19"/>
      <c r="K3514" s="421"/>
      <c r="L3514" s="23"/>
      <c r="M3514" s="19"/>
      <c r="N3514" s="19"/>
      <c r="O3514" s="19"/>
      <c r="P3514" s="19"/>
      <c r="Q3514" s="19"/>
    </row>
    <row r="3515" spans="2:17" hidden="1">
      <c r="B3515" s="19"/>
      <c r="C3515" s="19"/>
      <c r="D3515" s="19"/>
      <c r="E3515" s="19"/>
      <c r="F3515" s="19"/>
      <c r="G3515" s="19"/>
      <c r="H3515" s="19"/>
      <c r="I3515" s="19"/>
      <c r="J3515" s="19"/>
      <c r="K3515" s="421"/>
      <c r="L3515" s="23"/>
      <c r="M3515" s="19"/>
      <c r="N3515" s="19"/>
      <c r="O3515" s="19"/>
      <c r="P3515" s="19"/>
      <c r="Q3515" s="19"/>
    </row>
    <row r="3516" spans="2:17" hidden="1">
      <c r="B3516" s="19"/>
      <c r="C3516" s="19"/>
      <c r="D3516" s="19"/>
      <c r="E3516" s="19"/>
      <c r="F3516" s="19"/>
      <c r="G3516" s="19"/>
      <c r="H3516" s="19"/>
      <c r="I3516" s="19"/>
      <c r="J3516" s="19"/>
      <c r="K3516" s="421"/>
      <c r="L3516" s="23"/>
      <c r="M3516" s="19"/>
      <c r="N3516" s="19"/>
      <c r="O3516" s="19"/>
      <c r="P3516" s="19"/>
      <c r="Q3516" s="19"/>
    </row>
    <row r="3517" spans="2:17" hidden="1">
      <c r="B3517" s="19"/>
      <c r="C3517" s="19"/>
      <c r="D3517" s="19"/>
      <c r="E3517" s="19"/>
      <c r="F3517" s="19"/>
      <c r="G3517" s="19"/>
      <c r="H3517" s="19"/>
      <c r="I3517" s="19"/>
      <c r="J3517" s="19"/>
      <c r="K3517" s="421"/>
      <c r="L3517" s="23"/>
      <c r="M3517" s="19"/>
      <c r="N3517" s="19"/>
      <c r="O3517" s="19"/>
      <c r="P3517" s="19"/>
      <c r="Q3517" s="19"/>
    </row>
    <row r="3518" spans="2:17" hidden="1">
      <c r="B3518" s="19"/>
      <c r="C3518" s="19"/>
      <c r="D3518" s="19"/>
      <c r="E3518" s="19"/>
      <c r="F3518" s="19"/>
      <c r="G3518" s="19"/>
      <c r="H3518" s="19"/>
      <c r="I3518" s="19"/>
      <c r="J3518" s="19"/>
      <c r="K3518" s="421"/>
      <c r="L3518" s="23"/>
      <c r="M3518" s="19"/>
      <c r="N3518" s="19"/>
      <c r="O3518" s="19"/>
      <c r="P3518" s="19"/>
      <c r="Q3518" s="19"/>
    </row>
    <row r="3519" spans="2:17" hidden="1">
      <c r="B3519" s="19"/>
      <c r="C3519" s="19"/>
      <c r="D3519" s="19"/>
      <c r="E3519" s="19"/>
      <c r="F3519" s="19"/>
      <c r="G3519" s="19"/>
      <c r="H3519" s="19"/>
      <c r="I3519" s="19"/>
      <c r="J3519" s="19"/>
      <c r="K3519" s="421"/>
      <c r="L3519" s="23"/>
      <c r="M3519" s="19"/>
      <c r="N3519" s="19"/>
      <c r="O3519" s="19"/>
      <c r="P3519" s="19"/>
      <c r="Q3519" s="19"/>
    </row>
    <row r="3520" spans="2:17" hidden="1">
      <c r="B3520" s="19"/>
      <c r="C3520" s="19"/>
      <c r="D3520" s="19"/>
      <c r="E3520" s="19"/>
      <c r="F3520" s="19"/>
      <c r="G3520" s="19"/>
      <c r="H3520" s="19"/>
      <c r="I3520" s="19"/>
      <c r="J3520" s="19"/>
      <c r="K3520" s="421"/>
      <c r="L3520" s="23"/>
      <c r="M3520" s="19"/>
      <c r="N3520" s="19"/>
      <c r="O3520" s="19"/>
      <c r="P3520" s="19"/>
      <c r="Q3520" s="19"/>
    </row>
    <row r="3521" spans="2:17" hidden="1">
      <c r="B3521" s="19"/>
      <c r="C3521" s="19"/>
      <c r="D3521" s="19"/>
      <c r="E3521" s="19"/>
      <c r="F3521" s="19"/>
      <c r="G3521" s="19"/>
      <c r="H3521" s="19"/>
      <c r="I3521" s="19"/>
      <c r="J3521" s="19"/>
      <c r="K3521" s="421"/>
      <c r="L3521" s="23"/>
      <c r="M3521" s="19"/>
      <c r="N3521" s="19"/>
      <c r="O3521" s="19"/>
      <c r="P3521" s="19"/>
      <c r="Q3521" s="19"/>
    </row>
    <row r="3522" spans="2:17" hidden="1">
      <c r="B3522" s="19"/>
      <c r="C3522" s="19"/>
      <c r="D3522" s="19"/>
      <c r="E3522" s="19"/>
      <c r="F3522" s="19"/>
      <c r="G3522" s="19"/>
      <c r="H3522" s="19"/>
      <c r="I3522" s="19"/>
      <c r="J3522" s="19"/>
      <c r="K3522" s="421"/>
      <c r="L3522" s="23"/>
      <c r="M3522" s="19"/>
      <c r="N3522" s="19"/>
      <c r="O3522" s="19"/>
      <c r="P3522" s="19"/>
      <c r="Q3522" s="19"/>
    </row>
    <row r="3523" spans="2:17" hidden="1">
      <c r="B3523" s="19"/>
      <c r="C3523" s="19"/>
      <c r="D3523" s="19"/>
      <c r="E3523" s="19"/>
      <c r="F3523" s="19"/>
      <c r="G3523" s="19"/>
      <c r="H3523" s="19"/>
      <c r="I3523" s="19"/>
      <c r="J3523" s="19"/>
      <c r="K3523" s="421"/>
      <c r="L3523" s="23"/>
      <c r="M3523" s="19"/>
      <c r="N3523" s="19"/>
      <c r="O3523" s="19"/>
      <c r="P3523" s="19"/>
      <c r="Q3523" s="19"/>
    </row>
    <row r="3524" spans="2:17" hidden="1">
      <c r="B3524" s="19"/>
      <c r="C3524" s="19"/>
      <c r="D3524" s="19"/>
      <c r="E3524" s="19"/>
      <c r="F3524" s="19"/>
      <c r="G3524" s="19"/>
      <c r="H3524" s="19"/>
      <c r="I3524" s="19"/>
      <c r="J3524" s="19"/>
      <c r="K3524" s="421"/>
      <c r="L3524" s="23"/>
      <c r="M3524" s="19"/>
      <c r="N3524" s="19"/>
      <c r="O3524" s="19"/>
      <c r="P3524" s="19"/>
      <c r="Q3524" s="19"/>
    </row>
    <row r="3525" spans="2:17" hidden="1">
      <c r="B3525" s="19"/>
      <c r="C3525" s="19"/>
      <c r="D3525" s="19"/>
      <c r="E3525" s="19"/>
      <c r="F3525" s="19"/>
      <c r="G3525" s="19"/>
      <c r="H3525" s="19"/>
      <c r="I3525" s="19"/>
      <c r="J3525" s="19"/>
      <c r="K3525" s="421"/>
      <c r="L3525" s="23"/>
      <c r="M3525" s="19"/>
      <c r="N3525" s="19"/>
      <c r="O3525" s="19"/>
      <c r="P3525" s="19"/>
      <c r="Q3525" s="19"/>
    </row>
    <row r="3526" spans="2:17" hidden="1">
      <c r="B3526" s="19"/>
      <c r="C3526" s="19"/>
      <c r="D3526" s="19"/>
      <c r="E3526" s="19"/>
      <c r="F3526" s="19"/>
      <c r="G3526" s="19"/>
      <c r="H3526" s="19"/>
      <c r="I3526" s="19"/>
      <c r="J3526" s="19"/>
      <c r="K3526" s="421"/>
      <c r="L3526" s="23"/>
      <c r="M3526" s="19"/>
      <c r="N3526" s="19"/>
      <c r="O3526" s="19"/>
      <c r="P3526" s="19"/>
      <c r="Q3526" s="19"/>
    </row>
    <row r="3527" spans="2:17" hidden="1">
      <c r="B3527" s="19"/>
      <c r="C3527" s="19"/>
      <c r="D3527" s="19"/>
      <c r="E3527" s="19"/>
      <c r="F3527" s="19"/>
      <c r="G3527" s="19"/>
      <c r="H3527" s="19"/>
      <c r="I3527" s="19"/>
      <c r="J3527" s="19"/>
      <c r="K3527" s="421"/>
      <c r="L3527" s="23"/>
      <c r="M3527" s="19"/>
      <c r="N3527" s="19"/>
      <c r="O3527" s="19"/>
      <c r="P3527" s="19"/>
      <c r="Q3527" s="19"/>
    </row>
    <row r="3528" spans="2:17" hidden="1">
      <c r="B3528" s="19"/>
      <c r="C3528" s="19"/>
      <c r="D3528" s="19"/>
      <c r="E3528" s="19"/>
      <c r="F3528" s="19"/>
      <c r="G3528" s="19"/>
      <c r="H3528" s="19"/>
      <c r="I3528" s="19"/>
      <c r="J3528" s="19"/>
      <c r="K3528" s="421"/>
      <c r="L3528" s="23"/>
      <c r="M3528" s="19"/>
      <c r="N3528" s="19"/>
      <c r="O3528" s="19"/>
      <c r="P3528" s="19"/>
      <c r="Q3528" s="19"/>
    </row>
    <row r="3529" spans="2:17" hidden="1">
      <c r="B3529" s="19"/>
      <c r="C3529" s="19"/>
      <c r="D3529" s="19"/>
      <c r="E3529" s="19"/>
      <c r="F3529" s="19"/>
      <c r="G3529" s="19"/>
      <c r="H3529" s="19"/>
      <c r="I3529" s="19"/>
      <c r="J3529" s="19"/>
      <c r="K3529" s="421"/>
      <c r="L3529" s="23"/>
      <c r="M3529" s="19"/>
      <c r="N3529" s="19"/>
      <c r="O3529" s="19"/>
      <c r="P3529" s="19"/>
      <c r="Q3529" s="19"/>
    </row>
    <row r="3530" spans="2:17" hidden="1">
      <c r="B3530" s="19"/>
      <c r="C3530" s="19"/>
      <c r="D3530" s="19"/>
      <c r="E3530" s="19"/>
      <c r="F3530" s="19"/>
      <c r="G3530" s="19"/>
      <c r="H3530" s="19"/>
      <c r="I3530" s="19"/>
      <c r="J3530" s="19"/>
      <c r="K3530" s="421"/>
      <c r="L3530" s="23"/>
      <c r="M3530" s="19"/>
      <c r="N3530" s="19"/>
      <c r="O3530" s="19"/>
      <c r="P3530" s="19"/>
      <c r="Q3530" s="19"/>
    </row>
    <row r="3531" spans="2:17" hidden="1">
      <c r="B3531" s="19"/>
      <c r="C3531" s="19"/>
      <c r="D3531" s="19"/>
      <c r="E3531" s="19"/>
      <c r="F3531" s="19"/>
      <c r="G3531" s="19"/>
      <c r="H3531" s="19"/>
      <c r="I3531" s="19"/>
      <c r="J3531" s="19"/>
      <c r="K3531" s="421"/>
      <c r="L3531" s="23"/>
      <c r="M3531" s="19"/>
      <c r="N3531" s="19"/>
      <c r="O3531" s="19"/>
      <c r="P3531" s="19"/>
      <c r="Q3531" s="19"/>
    </row>
    <row r="3532" spans="2:17" hidden="1">
      <c r="B3532" s="19"/>
      <c r="C3532" s="19"/>
      <c r="D3532" s="19"/>
      <c r="E3532" s="19"/>
      <c r="F3532" s="19"/>
      <c r="G3532" s="19"/>
      <c r="H3532" s="19"/>
      <c r="I3532" s="19"/>
      <c r="J3532" s="19"/>
      <c r="K3532" s="421"/>
      <c r="L3532" s="23"/>
      <c r="M3532" s="19"/>
      <c r="N3532" s="19"/>
      <c r="O3532" s="19"/>
      <c r="P3532" s="19"/>
      <c r="Q3532" s="19"/>
    </row>
    <row r="3533" spans="2:17" hidden="1">
      <c r="B3533" s="19"/>
      <c r="C3533" s="19"/>
      <c r="D3533" s="19"/>
      <c r="E3533" s="19"/>
      <c r="F3533" s="19"/>
      <c r="G3533" s="19"/>
      <c r="H3533" s="19"/>
      <c r="I3533" s="19"/>
      <c r="J3533" s="19"/>
      <c r="K3533" s="421"/>
      <c r="L3533" s="23"/>
      <c r="M3533" s="19"/>
      <c r="N3533" s="19"/>
      <c r="O3533" s="19"/>
      <c r="P3533" s="19"/>
      <c r="Q3533" s="19"/>
    </row>
    <row r="3534" spans="2:17" hidden="1">
      <c r="B3534" s="19"/>
      <c r="C3534" s="19"/>
      <c r="D3534" s="19"/>
      <c r="E3534" s="19"/>
      <c r="F3534" s="19"/>
      <c r="G3534" s="19"/>
      <c r="H3534" s="19"/>
      <c r="I3534" s="19"/>
      <c r="J3534" s="19"/>
      <c r="K3534" s="421"/>
      <c r="L3534" s="23"/>
      <c r="M3534" s="19"/>
      <c r="N3534" s="19"/>
      <c r="O3534" s="19"/>
      <c r="P3534" s="19"/>
      <c r="Q3534" s="19"/>
    </row>
    <row r="3535" spans="2:17" hidden="1">
      <c r="B3535" s="19"/>
      <c r="C3535" s="19"/>
      <c r="D3535" s="19"/>
      <c r="E3535" s="19"/>
      <c r="F3535" s="19"/>
      <c r="G3535" s="19"/>
      <c r="H3535" s="19"/>
      <c r="I3535" s="19"/>
      <c r="J3535" s="19"/>
      <c r="K3535" s="421"/>
      <c r="L3535" s="23"/>
      <c r="M3535" s="19"/>
      <c r="N3535" s="19"/>
      <c r="O3535" s="19"/>
      <c r="P3535" s="19"/>
      <c r="Q3535" s="19"/>
    </row>
    <row r="3536" spans="2:17" hidden="1">
      <c r="B3536" s="19"/>
      <c r="C3536" s="19"/>
      <c r="D3536" s="19"/>
      <c r="E3536" s="19"/>
      <c r="F3536" s="19"/>
      <c r="G3536" s="19"/>
      <c r="H3536" s="19"/>
      <c r="I3536" s="19"/>
      <c r="J3536" s="19"/>
      <c r="K3536" s="421"/>
      <c r="L3536" s="23"/>
      <c r="M3536" s="19"/>
      <c r="N3536" s="19"/>
      <c r="O3536" s="19"/>
      <c r="P3536" s="19"/>
      <c r="Q3536" s="19"/>
    </row>
    <row r="3537" spans="2:17" hidden="1">
      <c r="B3537" s="19"/>
      <c r="C3537" s="19"/>
      <c r="D3537" s="19"/>
      <c r="E3537" s="19"/>
      <c r="F3537" s="19"/>
      <c r="G3537" s="19"/>
      <c r="H3537" s="19"/>
      <c r="I3537" s="19"/>
      <c r="J3537" s="19"/>
      <c r="K3537" s="421"/>
      <c r="L3537" s="23"/>
      <c r="M3537" s="19"/>
      <c r="N3537" s="19"/>
      <c r="O3537" s="19"/>
      <c r="P3537" s="19"/>
      <c r="Q3537" s="19"/>
    </row>
    <row r="3538" spans="2:17" hidden="1">
      <c r="B3538" s="19"/>
      <c r="C3538" s="19"/>
      <c r="D3538" s="19"/>
      <c r="E3538" s="19"/>
      <c r="F3538" s="19"/>
      <c r="G3538" s="19"/>
      <c r="H3538" s="19"/>
      <c r="I3538" s="19"/>
      <c r="J3538" s="19"/>
      <c r="K3538" s="421"/>
      <c r="L3538" s="23"/>
      <c r="M3538" s="19"/>
      <c r="N3538" s="19"/>
      <c r="O3538" s="19"/>
      <c r="P3538" s="19"/>
      <c r="Q3538" s="19"/>
    </row>
    <row r="3539" spans="2:17" hidden="1">
      <c r="B3539" s="19"/>
      <c r="C3539" s="19"/>
      <c r="D3539" s="19"/>
      <c r="E3539" s="19"/>
      <c r="F3539" s="19"/>
      <c r="G3539" s="19"/>
      <c r="H3539" s="19"/>
      <c r="I3539" s="19"/>
      <c r="J3539" s="19"/>
      <c r="K3539" s="421"/>
      <c r="L3539" s="23"/>
      <c r="M3539" s="19"/>
      <c r="N3539" s="19"/>
      <c r="O3539" s="19"/>
      <c r="P3539" s="19"/>
      <c r="Q3539" s="19"/>
    </row>
    <row r="3540" spans="2:17" hidden="1">
      <c r="B3540" s="19"/>
      <c r="C3540" s="19"/>
      <c r="D3540" s="19"/>
      <c r="E3540" s="19"/>
      <c r="F3540" s="19"/>
      <c r="G3540" s="19"/>
      <c r="H3540" s="19"/>
      <c r="I3540" s="19"/>
      <c r="J3540" s="19"/>
      <c r="K3540" s="421"/>
      <c r="L3540" s="23"/>
      <c r="M3540" s="19"/>
      <c r="N3540" s="19"/>
      <c r="O3540" s="19"/>
      <c r="P3540" s="19"/>
      <c r="Q3540" s="19"/>
    </row>
    <row r="3541" spans="2:17" hidden="1">
      <c r="B3541" s="19"/>
      <c r="C3541" s="19"/>
      <c r="D3541" s="19"/>
      <c r="E3541" s="19"/>
      <c r="F3541" s="19"/>
      <c r="G3541" s="19"/>
      <c r="H3541" s="19"/>
      <c r="I3541" s="19"/>
      <c r="J3541" s="19"/>
      <c r="K3541" s="421"/>
      <c r="L3541" s="23"/>
      <c r="M3541" s="19"/>
      <c r="N3541" s="19"/>
      <c r="O3541" s="19"/>
      <c r="P3541" s="19"/>
      <c r="Q3541" s="19"/>
    </row>
    <row r="3542" spans="2:17" hidden="1">
      <c r="B3542" s="19"/>
      <c r="C3542" s="19"/>
      <c r="D3542" s="19"/>
      <c r="E3542" s="19"/>
      <c r="F3542" s="19"/>
      <c r="G3542" s="19"/>
      <c r="H3542" s="19"/>
      <c r="I3542" s="19"/>
      <c r="J3542" s="19"/>
      <c r="K3542" s="421"/>
      <c r="L3542" s="23"/>
      <c r="M3542" s="19"/>
      <c r="N3542" s="19"/>
      <c r="O3542" s="19"/>
      <c r="P3542" s="19"/>
      <c r="Q3542" s="19"/>
    </row>
    <row r="3543" spans="2:17" hidden="1">
      <c r="B3543" s="19"/>
      <c r="C3543" s="19"/>
      <c r="D3543" s="19"/>
      <c r="E3543" s="19"/>
      <c r="F3543" s="19"/>
      <c r="G3543" s="19"/>
      <c r="H3543" s="19"/>
      <c r="I3543" s="19"/>
      <c r="J3543" s="19"/>
      <c r="K3543" s="421"/>
      <c r="L3543" s="23"/>
      <c r="M3543" s="19"/>
      <c r="N3543" s="19"/>
      <c r="O3543" s="19"/>
      <c r="P3543" s="19"/>
      <c r="Q3543" s="19"/>
    </row>
    <row r="3544" spans="2:17" hidden="1">
      <c r="B3544" s="19"/>
      <c r="C3544" s="19"/>
      <c r="D3544" s="19"/>
      <c r="E3544" s="19"/>
      <c r="F3544" s="19"/>
      <c r="G3544" s="19"/>
      <c r="H3544" s="19"/>
      <c r="I3544" s="19"/>
      <c r="J3544" s="19"/>
      <c r="K3544" s="421"/>
      <c r="L3544" s="23"/>
      <c r="M3544" s="19"/>
      <c r="N3544" s="19"/>
      <c r="O3544" s="19"/>
      <c r="P3544" s="19"/>
      <c r="Q3544" s="19"/>
    </row>
    <row r="3545" spans="2:17" hidden="1">
      <c r="B3545" s="19"/>
      <c r="C3545" s="19"/>
      <c r="D3545" s="19"/>
      <c r="E3545" s="19"/>
      <c r="F3545" s="19"/>
      <c r="G3545" s="19"/>
      <c r="H3545" s="19"/>
      <c r="I3545" s="19"/>
      <c r="J3545" s="19"/>
      <c r="K3545" s="421"/>
      <c r="L3545" s="23"/>
      <c r="M3545" s="19"/>
      <c r="N3545" s="19"/>
      <c r="O3545" s="19"/>
      <c r="P3545" s="19"/>
      <c r="Q3545" s="19"/>
    </row>
    <row r="3546" spans="2:17" hidden="1">
      <c r="B3546" s="19"/>
      <c r="C3546" s="19"/>
      <c r="D3546" s="19"/>
      <c r="E3546" s="19"/>
      <c r="F3546" s="19"/>
      <c r="G3546" s="19"/>
      <c r="H3546" s="19"/>
      <c r="I3546" s="19"/>
      <c r="J3546" s="19"/>
      <c r="K3546" s="421"/>
      <c r="L3546" s="23"/>
      <c r="M3546" s="19"/>
      <c r="N3546" s="19"/>
      <c r="O3546" s="19"/>
      <c r="P3546" s="19"/>
      <c r="Q3546" s="19"/>
    </row>
    <row r="3547" spans="2:17" hidden="1">
      <c r="B3547" s="19"/>
      <c r="C3547" s="19"/>
      <c r="D3547" s="19"/>
      <c r="E3547" s="19"/>
      <c r="F3547" s="19"/>
      <c r="G3547" s="19"/>
      <c r="H3547" s="19"/>
      <c r="I3547" s="19"/>
      <c r="J3547" s="19"/>
      <c r="K3547" s="421"/>
      <c r="L3547" s="23"/>
      <c r="M3547" s="19"/>
      <c r="N3547" s="19"/>
      <c r="O3547" s="19"/>
      <c r="P3547" s="19"/>
      <c r="Q3547" s="19"/>
    </row>
    <row r="3548" spans="2:17" hidden="1">
      <c r="B3548" s="19"/>
      <c r="C3548" s="19"/>
      <c r="D3548" s="19"/>
      <c r="E3548" s="19"/>
      <c r="F3548" s="19"/>
      <c r="G3548" s="19"/>
      <c r="H3548" s="19"/>
      <c r="I3548" s="19"/>
      <c r="J3548" s="19"/>
      <c r="K3548" s="421"/>
      <c r="L3548" s="23"/>
      <c r="M3548" s="19"/>
      <c r="N3548" s="19"/>
      <c r="O3548" s="19"/>
      <c r="P3548" s="19"/>
      <c r="Q3548" s="19"/>
    </row>
    <row r="3549" spans="2:17" hidden="1">
      <c r="B3549" s="19"/>
      <c r="C3549" s="19"/>
      <c r="D3549" s="19"/>
      <c r="E3549" s="19"/>
      <c r="F3549" s="19"/>
      <c r="G3549" s="19"/>
      <c r="H3549" s="19"/>
      <c r="I3549" s="19"/>
      <c r="J3549" s="19"/>
      <c r="K3549" s="421"/>
      <c r="L3549" s="23"/>
      <c r="M3549" s="19"/>
      <c r="N3549" s="19"/>
      <c r="O3549" s="19"/>
      <c r="P3549" s="19"/>
      <c r="Q3549" s="19"/>
    </row>
    <row r="3550" spans="2:17" hidden="1">
      <c r="B3550" s="19"/>
      <c r="C3550" s="19"/>
      <c r="D3550" s="19"/>
      <c r="E3550" s="19"/>
      <c r="F3550" s="19"/>
      <c r="G3550" s="19"/>
      <c r="H3550" s="19"/>
      <c r="I3550" s="19"/>
      <c r="J3550" s="19"/>
      <c r="K3550" s="421"/>
      <c r="L3550" s="23"/>
      <c r="M3550" s="19"/>
      <c r="N3550" s="19"/>
      <c r="O3550" s="19"/>
      <c r="P3550" s="19"/>
      <c r="Q3550" s="19"/>
    </row>
    <row r="3551" spans="2:17" hidden="1">
      <c r="B3551" s="19"/>
      <c r="C3551" s="19"/>
      <c r="D3551" s="19"/>
      <c r="E3551" s="19"/>
      <c r="F3551" s="19"/>
      <c r="G3551" s="19"/>
      <c r="H3551" s="19"/>
      <c r="I3551" s="19"/>
      <c r="J3551" s="19"/>
      <c r="K3551" s="421"/>
      <c r="L3551" s="23"/>
      <c r="M3551" s="19"/>
      <c r="N3551" s="19"/>
      <c r="O3551" s="19"/>
      <c r="P3551" s="19"/>
      <c r="Q3551" s="19"/>
    </row>
    <row r="3552" spans="2:17" hidden="1">
      <c r="B3552" s="19"/>
      <c r="C3552" s="19"/>
      <c r="D3552" s="19"/>
      <c r="E3552" s="19"/>
      <c r="F3552" s="19"/>
      <c r="G3552" s="19"/>
      <c r="H3552" s="19"/>
      <c r="I3552" s="19"/>
      <c r="J3552" s="19"/>
      <c r="K3552" s="421"/>
      <c r="L3552" s="23"/>
      <c r="M3552" s="19"/>
      <c r="N3552" s="19"/>
      <c r="O3552" s="19"/>
      <c r="P3552" s="19"/>
      <c r="Q3552" s="19"/>
    </row>
    <row r="3553" spans="2:17" hidden="1">
      <c r="B3553" s="19"/>
      <c r="C3553" s="19"/>
      <c r="D3553" s="19"/>
      <c r="E3553" s="19"/>
      <c r="F3553" s="19"/>
      <c r="G3553" s="19"/>
      <c r="H3553" s="19"/>
      <c r="I3553" s="19"/>
      <c r="J3553" s="19"/>
      <c r="K3553" s="421"/>
      <c r="L3553" s="23"/>
      <c r="M3553" s="19"/>
      <c r="N3553" s="19"/>
      <c r="O3553" s="19"/>
      <c r="P3553" s="19"/>
      <c r="Q3553" s="19"/>
    </row>
    <row r="3554" spans="2:17" hidden="1">
      <c r="B3554" s="19"/>
      <c r="C3554" s="19"/>
      <c r="D3554" s="19"/>
      <c r="E3554" s="19"/>
      <c r="F3554" s="19"/>
      <c r="G3554" s="19"/>
      <c r="H3554" s="19"/>
      <c r="I3554" s="19"/>
      <c r="J3554" s="19"/>
      <c r="K3554" s="421"/>
      <c r="L3554" s="23"/>
      <c r="M3554" s="19"/>
      <c r="N3554" s="19"/>
      <c r="O3554" s="19"/>
      <c r="P3554" s="19"/>
      <c r="Q3554" s="19"/>
    </row>
    <row r="3555" spans="2:17" hidden="1">
      <c r="B3555" s="19"/>
      <c r="C3555" s="19"/>
      <c r="D3555" s="19"/>
      <c r="E3555" s="19"/>
      <c r="F3555" s="19"/>
      <c r="G3555" s="19"/>
      <c r="H3555" s="19"/>
      <c r="I3555" s="19"/>
      <c r="J3555" s="19"/>
      <c r="K3555" s="421"/>
      <c r="L3555" s="23"/>
      <c r="M3555" s="19"/>
      <c r="N3555" s="19"/>
      <c r="O3555" s="19"/>
      <c r="P3555" s="19"/>
      <c r="Q3555" s="19"/>
    </row>
    <row r="3556" spans="2:17" hidden="1">
      <c r="B3556" s="19"/>
      <c r="C3556" s="19"/>
      <c r="D3556" s="19"/>
      <c r="E3556" s="19"/>
      <c r="F3556" s="19"/>
      <c r="G3556" s="19"/>
      <c r="H3556" s="19"/>
      <c r="I3556" s="19"/>
      <c r="J3556" s="19"/>
      <c r="K3556" s="421"/>
      <c r="L3556" s="23"/>
      <c r="M3556" s="19"/>
      <c r="N3556" s="19"/>
      <c r="O3556" s="19"/>
      <c r="P3556" s="19"/>
      <c r="Q3556" s="19"/>
    </row>
    <row r="3557" spans="2:17" hidden="1">
      <c r="B3557" s="19"/>
      <c r="C3557" s="19"/>
      <c r="D3557" s="19"/>
      <c r="E3557" s="19"/>
      <c r="F3557" s="19"/>
      <c r="G3557" s="19"/>
      <c r="H3557" s="19"/>
      <c r="I3557" s="19"/>
      <c r="J3557" s="19"/>
      <c r="K3557" s="421"/>
      <c r="L3557" s="23"/>
      <c r="M3557" s="19"/>
      <c r="N3557" s="19"/>
      <c r="O3557" s="19"/>
      <c r="P3557" s="19"/>
      <c r="Q3557" s="19"/>
    </row>
    <row r="3558" spans="2:17" hidden="1">
      <c r="B3558" s="19"/>
      <c r="C3558" s="19"/>
      <c r="D3558" s="19"/>
      <c r="E3558" s="19"/>
      <c r="F3558" s="19"/>
      <c r="G3558" s="19"/>
      <c r="H3558" s="19"/>
      <c r="I3558" s="19"/>
      <c r="J3558" s="19"/>
      <c r="K3558" s="421"/>
      <c r="L3558" s="23"/>
      <c r="M3558" s="19"/>
      <c r="N3558" s="19"/>
      <c r="O3558" s="19"/>
      <c r="P3558" s="19"/>
      <c r="Q3558" s="19"/>
    </row>
    <row r="3559" spans="2:17" hidden="1">
      <c r="B3559" s="19"/>
      <c r="C3559" s="19"/>
      <c r="D3559" s="19"/>
      <c r="E3559" s="19"/>
      <c r="F3559" s="19"/>
      <c r="G3559" s="19"/>
      <c r="H3559" s="19"/>
      <c r="I3559" s="19"/>
      <c r="J3559" s="19"/>
      <c r="K3559" s="421"/>
      <c r="L3559" s="23"/>
      <c r="M3559" s="19"/>
      <c r="N3559" s="19"/>
      <c r="O3559" s="19"/>
      <c r="P3559" s="19"/>
      <c r="Q3559" s="19"/>
    </row>
    <row r="3560" spans="2:17" hidden="1">
      <c r="B3560" s="19"/>
      <c r="C3560" s="19"/>
      <c r="D3560" s="19"/>
      <c r="E3560" s="19"/>
      <c r="F3560" s="19"/>
      <c r="G3560" s="19"/>
      <c r="H3560" s="19"/>
      <c r="I3560" s="19"/>
      <c r="J3560" s="19"/>
      <c r="K3560" s="421"/>
      <c r="L3560" s="23"/>
      <c r="M3560" s="19"/>
      <c r="N3560" s="19"/>
      <c r="O3560" s="19"/>
      <c r="P3560" s="19"/>
      <c r="Q3560" s="19"/>
    </row>
    <row r="3561" spans="2:17" hidden="1">
      <c r="B3561" s="19"/>
      <c r="C3561" s="19"/>
      <c r="D3561" s="19"/>
      <c r="E3561" s="19"/>
      <c r="F3561" s="19"/>
      <c r="G3561" s="19"/>
      <c r="H3561" s="19"/>
      <c r="I3561" s="19"/>
      <c r="J3561" s="19"/>
      <c r="K3561" s="421"/>
      <c r="L3561" s="23"/>
      <c r="M3561" s="19"/>
      <c r="N3561" s="19"/>
      <c r="O3561" s="19"/>
      <c r="P3561" s="19"/>
      <c r="Q3561" s="19"/>
    </row>
    <row r="3562" spans="2:17" hidden="1">
      <c r="B3562" s="19"/>
      <c r="C3562" s="19"/>
      <c r="D3562" s="19"/>
      <c r="E3562" s="19"/>
      <c r="F3562" s="19"/>
      <c r="G3562" s="19"/>
      <c r="H3562" s="19"/>
      <c r="I3562" s="19"/>
      <c r="J3562" s="19"/>
      <c r="K3562" s="421"/>
      <c r="L3562" s="23"/>
      <c r="M3562" s="19"/>
      <c r="N3562" s="19"/>
      <c r="O3562" s="19"/>
      <c r="P3562" s="19"/>
      <c r="Q3562" s="19"/>
    </row>
    <row r="3563" spans="2:17" hidden="1">
      <c r="B3563" s="19"/>
      <c r="C3563" s="19"/>
      <c r="D3563" s="19"/>
      <c r="E3563" s="19"/>
      <c r="F3563" s="19"/>
      <c r="G3563" s="19"/>
      <c r="H3563" s="19"/>
      <c r="I3563" s="19"/>
      <c r="J3563" s="19"/>
      <c r="K3563" s="421"/>
      <c r="L3563" s="23"/>
      <c r="M3563" s="19"/>
      <c r="N3563" s="19"/>
      <c r="O3563" s="19"/>
      <c r="P3563" s="19"/>
      <c r="Q3563" s="19"/>
    </row>
    <row r="3564" spans="2:17" hidden="1">
      <c r="B3564" s="19"/>
      <c r="C3564" s="19"/>
      <c r="D3564" s="19"/>
      <c r="E3564" s="19"/>
      <c r="F3564" s="19"/>
      <c r="G3564" s="19"/>
      <c r="H3564" s="19"/>
      <c r="I3564" s="19"/>
      <c r="J3564" s="19"/>
      <c r="K3564" s="421"/>
      <c r="L3564" s="23"/>
      <c r="M3564" s="19"/>
      <c r="N3564" s="19"/>
      <c r="O3564" s="19"/>
      <c r="P3564" s="19"/>
      <c r="Q3564" s="19"/>
    </row>
    <row r="3565" spans="2:17" hidden="1">
      <c r="B3565" s="19"/>
      <c r="C3565" s="19"/>
      <c r="D3565" s="19"/>
      <c r="E3565" s="19"/>
      <c r="F3565" s="19"/>
      <c r="G3565" s="19"/>
      <c r="H3565" s="19"/>
      <c r="I3565" s="19"/>
      <c r="J3565" s="19"/>
      <c r="K3565" s="421"/>
      <c r="L3565" s="23"/>
      <c r="M3565" s="19"/>
      <c r="N3565" s="19"/>
      <c r="O3565" s="19"/>
      <c r="P3565" s="19"/>
      <c r="Q3565" s="19"/>
    </row>
    <row r="3566" spans="2:17" hidden="1">
      <c r="B3566" s="19"/>
      <c r="C3566" s="19"/>
      <c r="D3566" s="19"/>
      <c r="E3566" s="19"/>
      <c r="F3566" s="19"/>
      <c r="G3566" s="19"/>
      <c r="H3566" s="19"/>
      <c r="I3566" s="19"/>
      <c r="J3566" s="19"/>
      <c r="K3566" s="421"/>
      <c r="L3566" s="23"/>
      <c r="M3566" s="19"/>
      <c r="N3566" s="19"/>
      <c r="O3566" s="19"/>
      <c r="P3566" s="19"/>
      <c r="Q3566" s="19"/>
    </row>
    <row r="3567" spans="2:17" hidden="1">
      <c r="B3567" s="19"/>
      <c r="C3567" s="19"/>
      <c r="D3567" s="19"/>
      <c r="E3567" s="19"/>
      <c r="F3567" s="19"/>
      <c r="G3567" s="19"/>
      <c r="H3567" s="19"/>
      <c r="I3567" s="19"/>
      <c r="J3567" s="19"/>
      <c r="K3567" s="421"/>
      <c r="L3567" s="23"/>
      <c r="M3567" s="19"/>
      <c r="N3567" s="19"/>
      <c r="O3567" s="19"/>
      <c r="P3567" s="19"/>
      <c r="Q3567" s="19"/>
    </row>
    <row r="3568" spans="2:17" hidden="1">
      <c r="B3568" s="19"/>
      <c r="C3568" s="19"/>
      <c r="D3568" s="19"/>
      <c r="E3568" s="19"/>
      <c r="F3568" s="19"/>
      <c r="G3568" s="19"/>
      <c r="H3568" s="19"/>
      <c r="I3568" s="19"/>
      <c r="J3568" s="19"/>
      <c r="K3568" s="421"/>
      <c r="L3568" s="23"/>
      <c r="M3568" s="19"/>
      <c r="N3568" s="19"/>
      <c r="O3568" s="19"/>
      <c r="P3568" s="19"/>
      <c r="Q3568" s="19"/>
    </row>
    <row r="3569" spans="2:17" hidden="1">
      <c r="B3569" s="19"/>
      <c r="C3569" s="19"/>
      <c r="D3569" s="19"/>
      <c r="E3569" s="19"/>
      <c r="F3569" s="19"/>
      <c r="G3569" s="19"/>
      <c r="H3569" s="19"/>
      <c r="I3569" s="19"/>
      <c r="J3569" s="19"/>
      <c r="K3569" s="421"/>
      <c r="L3569" s="23"/>
      <c r="M3569" s="19"/>
      <c r="N3569" s="19"/>
      <c r="O3569" s="19"/>
      <c r="P3569" s="19"/>
      <c r="Q3569" s="19"/>
    </row>
    <row r="3570" spans="2:17" hidden="1">
      <c r="B3570" s="19"/>
      <c r="C3570" s="19"/>
      <c r="D3570" s="19"/>
      <c r="E3570" s="19"/>
      <c r="F3570" s="19"/>
      <c r="G3570" s="19"/>
      <c r="H3570" s="19"/>
      <c r="I3570" s="19"/>
      <c r="J3570" s="19"/>
      <c r="K3570" s="421"/>
      <c r="L3570" s="23"/>
      <c r="M3570" s="19"/>
      <c r="N3570" s="19"/>
      <c r="O3570" s="19"/>
      <c r="P3570" s="19"/>
      <c r="Q3570" s="19"/>
    </row>
    <row r="3571" spans="2:17" hidden="1">
      <c r="B3571" s="19"/>
      <c r="C3571" s="19"/>
      <c r="D3571" s="19"/>
      <c r="E3571" s="19"/>
      <c r="F3571" s="19"/>
      <c r="G3571" s="19"/>
      <c r="H3571" s="19"/>
      <c r="I3571" s="19"/>
      <c r="J3571" s="19"/>
      <c r="K3571" s="421"/>
      <c r="L3571" s="23"/>
      <c r="M3571" s="19"/>
      <c r="N3571" s="19"/>
      <c r="O3571" s="19"/>
      <c r="P3571" s="19"/>
      <c r="Q3571" s="19"/>
    </row>
    <row r="3572" spans="2:17" hidden="1">
      <c r="B3572" s="19"/>
      <c r="C3572" s="19"/>
      <c r="D3572" s="19"/>
      <c r="E3572" s="19"/>
      <c r="F3572" s="19"/>
      <c r="G3572" s="19"/>
      <c r="H3572" s="19"/>
      <c r="I3572" s="19"/>
      <c r="J3572" s="19"/>
      <c r="K3572" s="421"/>
      <c r="L3572" s="23"/>
      <c r="M3572" s="19"/>
      <c r="N3572" s="19"/>
      <c r="O3572" s="19"/>
      <c r="P3572" s="19"/>
      <c r="Q3572" s="19"/>
    </row>
    <row r="3573" spans="2:17" hidden="1">
      <c r="B3573" s="19"/>
      <c r="C3573" s="19"/>
      <c r="D3573" s="19"/>
      <c r="E3573" s="19"/>
      <c r="F3573" s="19"/>
      <c r="G3573" s="19"/>
      <c r="H3573" s="19"/>
      <c r="I3573" s="19"/>
      <c r="J3573" s="19"/>
      <c r="K3573" s="421"/>
      <c r="L3573" s="23"/>
      <c r="M3573" s="19"/>
      <c r="N3573" s="19"/>
      <c r="O3573" s="19"/>
      <c r="P3573" s="19"/>
      <c r="Q3573" s="19"/>
    </row>
    <row r="3574" spans="2:17" hidden="1">
      <c r="B3574" s="19"/>
      <c r="C3574" s="19"/>
      <c r="D3574" s="19"/>
      <c r="E3574" s="19"/>
      <c r="F3574" s="19"/>
      <c r="G3574" s="19"/>
      <c r="H3574" s="19"/>
      <c r="I3574" s="19"/>
      <c r="J3574" s="19"/>
      <c r="K3574" s="421"/>
      <c r="L3574" s="23"/>
      <c r="M3574" s="19"/>
      <c r="N3574" s="19"/>
      <c r="O3574" s="19"/>
      <c r="P3574" s="19"/>
      <c r="Q3574" s="19"/>
    </row>
    <row r="3575" spans="2:17" hidden="1">
      <c r="B3575" s="19"/>
      <c r="C3575" s="19"/>
      <c r="D3575" s="19"/>
      <c r="E3575" s="19"/>
      <c r="F3575" s="19"/>
      <c r="G3575" s="19"/>
      <c r="H3575" s="19"/>
      <c r="I3575" s="19"/>
      <c r="J3575" s="19"/>
      <c r="K3575" s="421"/>
      <c r="L3575" s="23"/>
      <c r="M3575" s="19"/>
      <c r="N3575" s="19"/>
      <c r="O3575" s="19"/>
      <c r="P3575" s="19"/>
      <c r="Q3575" s="19"/>
    </row>
    <row r="3576" spans="2:17" hidden="1">
      <c r="B3576" s="19"/>
      <c r="C3576" s="19"/>
      <c r="D3576" s="19"/>
      <c r="E3576" s="19"/>
      <c r="F3576" s="19"/>
      <c r="G3576" s="19"/>
      <c r="H3576" s="19"/>
      <c r="I3576" s="19"/>
      <c r="J3576" s="19"/>
      <c r="K3576" s="421"/>
      <c r="L3576" s="23"/>
      <c r="M3576" s="19"/>
      <c r="N3576" s="19"/>
      <c r="O3576" s="19"/>
      <c r="P3576" s="19"/>
      <c r="Q3576" s="19"/>
    </row>
    <row r="3577" spans="2:17" hidden="1">
      <c r="B3577" s="19"/>
      <c r="C3577" s="19"/>
      <c r="D3577" s="19"/>
      <c r="E3577" s="19"/>
      <c r="F3577" s="19"/>
      <c r="G3577" s="19"/>
      <c r="H3577" s="19"/>
      <c r="I3577" s="19"/>
      <c r="J3577" s="19"/>
      <c r="K3577" s="421"/>
      <c r="L3577" s="23"/>
      <c r="M3577" s="19"/>
      <c r="N3577" s="19"/>
      <c r="O3577" s="19"/>
      <c r="P3577" s="19"/>
      <c r="Q3577" s="19"/>
    </row>
    <row r="3578" spans="2:17" hidden="1">
      <c r="B3578" s="19"/>
      <c r="C3578" s="19"/>
      <c r="D3578" s="19"/>
      <c r="E3578" s="19"/>
      <c r="F3578" s="19"/>
      <c r="G3578" s="19"/>
      <c r="H3578" s="19"/>
      <c r="I3578" s="19"/>
      <c r="J3578" s="19"/>
      <c r="K3578" s="421"/>
      <c r="L3578" s="23"/>
      <c r="M3578" s="19"/>
      <c r="N3578" s="19"/>
      <c r="O3578" s="19"/>
      <c r="P3578" s="19"/>
      <c r="Q3578" s="19"/>
    </row>
    <row r="3579" spans="2:17" hidden="1">
      <c r="B3579" s="19"/>
      <c r="C3579" s="19"/>
      <c r="D3579" s="19"/>
      <c r="E3579" s="19"/>
      <c r="F3579" s="19"/>
      <c r="G3579" s="19"/>
      <c r="H3579" s="19"/>
      <c r="I3579" s="19"/>
      <c r="J3579" s="19"/>
      <c r="K3579" s="421"/>
      <c r="L3579" s="23"/>
      <c r="M3579" s="19"/>
      <c r="N3579" s="19"/>
      <c r="O3579" s="19"/>
      <c r="P3579" s="19"/>
      <c r="Q3579" s="19"/>
    </row>
    <row r="3580" spans="2:17" hidden="1">
      <c r="B3580" s="19"/>
      <c r="C3580" s="19"/>
      <c r="D3580" s="19"/>
      <c r="E3580" s="19"/>
      <c r="F3580" s="19"/>
      <c r="G3580" s="19"/>
      <c r="H3580" s="19"/>
      <c r="I3580" s="19"/>
      <c r="J3580" s="19"/>
      <c r="K3580" s="421"/>
      <c r="L3580" s="23"/>
      <c r="M3580" s="19"/>
      <c r="N3580" s="19"/>
      <c r="O3580" s="19"/>
      <c r="P3580" s="19"/>
      <c r="Q3580" s="19"/>
    </row>
    <row r="3581" spans="2:17" hidden="1">
      <c r="B3581" s="19"/>
      <c r="C3581" s="19"/>
      <c r="D3581" s="19"/>
      <c r="E3581" s="19"/>
      <c r="F3581" s="19"/>
      <c r="G3581" s="19"/>
      <c r="H3581" s="19"/>
      <c r="I3581" s="19"/>
      <c r="J3581" s="19"/>
      <c r="K3581" s="421"/>
      <c r="L3581" s="23"/>
      <c r="M3581" s="19"/>
      <c r="N3581" s="19"/>
      <c r="O3581" s="19"/>
      <c r="P3581" s="19"/>
      <c r="Q3581" s="19"/>
    </row>
    <row r="3582" spans="2:17" hidden="1">
      <c r="B3582" s="19"/>
      <c r="C3582" s="19"/>
      <c r="D3582" s="19"/>
      <c r="E3582" s="19"/>
      <c r="F3582" s="19"/>
      <c r="G3582" s="19"/>
      <c r="H3582" s="19"/>
      <c r="I3582" s="19"/>
      <c r="J3582" s="19"/>
      <c r="K3582" s="421"/>
      <c r="L3582" s="23"/>
      <c r="M3582" s="19"/>
      <c r="N3582" s="19"/>
      <c r="O3582" s="19"/>
      <c r="P3582" s="19"/>
      <c r="Q3582" s="19"/>
    </row>
    <row r="3583" spans="2:17" hidden="1">
      <c r="B3583" s="19"/>
      <c r="C3583" s="19"/>
      <c r="D3583" s="19"/>
      <c r="E3583" s="19"/>
      <c r="F3583" s="19"/>
      <c r="G3583" s="19"/>
      <c r="H3583" s="19"/>
      <c r="I3583" s="19"/>
      <c r="J3583" s="19"/>
      <c r="K3583" s="421"/>
      <c r="L3583" s="23"/>
      <c r="M3583" s="19"/>
      <c r="N3583" s="19"/>
      <c r="O3583" s="19"/>
      <c r="P3583" s="19"/>
      <c r="Q3583" s="19"/>
    </row>
    <row r="3584" spans="2:17" hidden="1">
      <c r="B3584" s="19"/>
      <c r="C3584" s="19"/>
      <c r="D3584" s="19"/>
      <c r="E3584" s="19"/>
      <c r="F3584" s="19"/>
      <c r="G3584" s="19"/>
      <c r="H3584" s="19"/>
      <c r="I3584" s="19"/>
      <c r="J3584" s="19"/>
      <c r="K3584" s="421"/>
      <c r="L3584" s="23"/>
      <c r="M3584" s="19"/>
      <c r="N3584" s="19"/>
      <c r="O3584" s="19"/>
      <c r="P3584" s="19"/>
      <c r="Q3584" s="19"/>
    </row>
    <row r="3585" spans="2:17" hidden="1">
      <c r="B3585" s="19"/>
      <c r="C3585" s="19"/>
      <c r="D3585" s="19"/>
      <c r="E3585" s="19"/>
      <c r="F3585" s="19"/>
      <c r="G3585" s="19"/>
      <c r="H3585" s="19"/>
      <c r="I3585" s="19"/>
      <c r="J3585" s="19"/>
      <c r="K3585" s="421"/>
      <c r="L3585" s="23"/>
      <c r="M3585" s="19"/>
      <c r="N3585" s="19"/>
      <c r="O3585" s="19"/>
      <c r="P3585" s="19"/>
      <c r="Q3585" s="19"/>
    </row>
    <row r="3586" spans="2:17" hidden="1">
      <c r="B3586" s="19"/>
      <c r="C3586" s="19"/>
      <c r="D3586" s="19"/>
      <c r="E3586" s="19"/>
      <c r="F3586" s="19"/>
      <c r="G3586" s="19"/>
      <c r="H3586" s="19"/>
      <c r="I3586" s="19"/>
      <c r="J3586" s="19"/>
      <c r="K3586" s="421"/>
      <c r="L3586" s="23"/>
      <c r="M3586" s="19"/>
      <c r="N3586" s="19"/>
      <c r="O3586" s="19"/>
      <c r="P3586" s="19"/>
      <c r="Q3586" s="19"/>
    </row>
    <row r="3587" spans="2:17" hidden="1">
      <c r="B3587" s="19"/>
      <c r="C3587" s="19"/>
      <c r="D3587" s="19"/>
      <c r="E3587" s="19"/>
      <c r="F3587" s="19"/>
      <c r="G3587" s="19"/>
      <c r="H3587" s="19"/>
      <c r="I3587" s="19"/>
      <c r="J3587" s="19"/>
      <c r="K3587" s="421"/>
      <c r="L3587" s="23"/>
      <c r="M3587" s="19"/>
      <c r="N3587" s="19"/>
      <c r="O3587" s="19"/>
      <c r="P3587" s="19"/>
      <c r="Q3587" s="19"/>
    </row>
    <row r="3588" spans="2:17" hidden="1">
      <c r="B3588" s="19"/>
      <c r="C3588" s="19"/>
      <c r="D3588" s="19"/>
      <c r="E3588" s="19"/>
      <c r="F3588" s="19"/>
      <c r="G3588" s="19"/>
      <c r="H3588" s="19"/>
      <c r="I3588" s="19"/>
      <c r="J3588" s="19"/>
      <c r="K3588" s="421"/>
      <c r="L3588" s="23"/>
      <c r="M3588" s="19"/>
      <c r="N3588" s="19"/>
      <c r="O3588" s="19"/>
      <c r="P3588" s="19"/>
      <c r="Q3588" s="19"/>
    </row>
    <row r="3589" spans="2:17" hidden="1">
      <c r="B3589" s="19"/>
      <c r="C3589" s="19"/>
      <c r="D3589" s="19"/>
      <c r="E3589" s="19"/>
      <c r="F3589" s="19"/>
      <c r="G3589" s="19"/>
      <c r="H3589" s="19"/>
      <c r="I3589" s="19"/>
      <c r="J3589" s="19"/>
      <c r="K3589" s="421"/>
      <c r="L3589" s="23"/>
      <c r="M3589" s="19"/>
      <c r="N3589" s="19"/>
      <c r="O3589" s="19"/>
      <c r="P3589" s="19"/>
      <c r="Q3589" s="19"/>
    </row>
    <row r="3590" spans="2:17" hidden="1">
      <c r="B3590" s="19"/>
      <c r="C3590" s="19"/>
      <c r="D3590" s="19"/>
      <c r="E3590" s="19"/>
      <c r="F3590" s="19"/>
      <c r="G3590" s="19"/>
      <c r="H3590" s="19"/>
      <c r="I3590" s="19"/>
      <c r="J3590" s="19"/>
      <c r="K3590" s="421"/>
      <c r="L3590" s="23"/>
      <c r="M3590" s="19"/>
      <c r="N3590" s="19"/>
      <c r="O3590" s="19"/>
      <c r="P3590" s="19"/>
      <c r="Q3590" s="19"/>
    </row>
    <row r="3591" spans="2:17" hidden="1">
      <c r="B3591" s="19"/>
      <c r="C3591" s="19"/>
      <c r="D3591" s="19"/>
      <c r="E3591" s="19"/>
      <c r="F3591" s="19"/>
      <c r="G3591" s="19"/>
      <c r="H3591" s="19"/>
      <c r="I3591" s="19"/>
      <c r="J3591" s="19"/>
      <c r="K3591" s="421"/>
      <c r="L3591" s="23"/>
      <c r="M3591" s="19"/>
      <c r="N3591" s="19"/>
      <c r="O3591" s="19"/>
      <c r="P3591" s="19"/>
      <c r="Q3591" s="19"/>
    </row>
    <row r="3592" spans="2:17" hidden="1">
      <c r="B3592" s="19"/>
      <c r="C3592" s="19"/>
      <c r="D3592" s="19"/>
      <c r="E3592" s="19"/>
      <c r="F3592" s="19"/>
      <c r="G3592" s="19"/>
      <c r="H3592" s="19"/>
      <c r="I3592" s="19"/>
      <c r="J3592" s="19"/>
      <c r="K3592" s="421"/>
      <c r="L3592" s="23"/>
      <c r="M3592" s="19"/>
      <c r="N3592" s="19"/>
      <c r="O3592" s="19"/>
      <c r="P3592" s="19"/>
      <c r="Q3592" s="19"/>
    </row>
    <row r="3593" spans="2:17" hidden="1">
      <c r="B3593" s="19"/>
      <c r="C3593" s="19"/>
      <c r="D3593" s="19"/>
      <c r="E3593" s="19"/>
      <c r="F3593" s="19"/>
      <c r="G3593" s="19"/>
      <c r="H3593" s="19"/>
      <c r="I3593" s="19"/>
      <c r="J3593" s="19"/>
      <c r="K3593" s="421"/>
      <c r="L3593" s="23"/>
      <c r="M3593" s="19"/>
      <c r="N3593" s="19"/>
      <c r="O3593" s="19"/>
      <c r="P3593" s="19"/>
      <c r="Q3593" s="19"/>
    </row>
    <row r="3594" spans="2:17" hidden="1">
      <c r="B3594" s="19"/>
      <c r="C3594" s="19"/>
      <c r="D3594" s="19"/>
      <c r="E3594" s="19"/>
      <c r="F3594" s="19"/>
      <c r="G3594" s="19"/>
      <c r="H3594" s="19"/>
      <c r="I3594" s="19"/>
      <c r="J3594" s="19"/>
      <c r="K3594" s="421"/>
      <c r="L3594" s="23"/>
      <c r="M3594" s="19"/>
      <c r="N3594" s="19"/>
      <c r="O3594" s="19"/>
      <c r="P3594" s="19"/>
      <c r="Q3594" s="19"/>
    </row>
    <row r="3595" spans="2:17" hidden="1">
      <c r="B3595" s="19"/>
      <c r="C3595" s="19"/>
      <c r="D3595" s="19"/>
      <c r="E3595" s="19"/>
      <c r="F3595" s="19"/>
      <c r="G3595" s="19"/>
      <c r="H3595" s="19"/>
      <c r="I3595" s="19"/>
      <c r="J3595" s="19"/>
      <c r="K3595" s="421"/>
      <c r="L3595" s="23"/>
      <c r="M3595" s="19"/>
      <c r="N3595" s="19"/>
      <c r="O3595" s="19"/>
      <c r="P3595" s="19"/>
      <c r="Q3595" s="19"/>
    </row>
    <row r="3596" spans="2:17" hidden="1">
      <c r="B3596" s="19"/>
      <c r="C3596" s="19"/>
      <c r="D3596" s="19"/>
      <c r="E3596" s="19"/>
      <c r="F3596" s="19"/>
      <c r="G3596" s="19"/>
      <c r="H3596" s="19"/>
      <c r="I3596" s="19"/>
      <c r="J3596" s="19"/>
      <c r="K3596" s="421"/>
      <c r="L3596" s="23"/>
      <c r="M3596" s="19"/>
      <c r="N3596" s="19"/>
      <c r="O3596" s="19"/>
      <c r="P3596" s="19"/>
      <c r="Q3596" s="19"/>
    </row>
    <row r="3597" spans="2:17" hidden="1">
      <c r="B3597" s="19"/>
      <c r="C3597" s="19"/>
      <c r="D3597" s="19"/>
      <c r="E3597" s="19"/>
      <c r="F3597" s="19"/>
      <c r="G3597" s="19"/>
      <c r="H3597" s="19"/>
      <c r="I3597" s="19"/>
      <c r="J3597" s="19"/>
      <c r="K3597" s="421"/>
      <c r="L3597" s="23"/>
      <c r="M3597" s="19"/>
      <c r="N3597" s="19"/>
      <c r="O3597" s="19"/>
      <c r="P3597" s="19"/>
      <c r="Q3597" s="19"/>
    </row>
    <row r="3598" spans="2:17" hidden="1">
      <c r="B3598" s="19"/>
      <c r="C3598" s="19"/>
      <c r="D3598" s="19"/>
      <c r="E3598" s="19"/>
      <c r="F3598" s="19"/>
      <c r="G3598" s="19"/>
      <c r="H3598" s="19"/>
      <c r="I3598" s="19"/>
      <c r="J3598" s="19"/>
      <c r="K3598" s="421"/>
      <c r="L3598" s="23"/>
      <c r="M3598" s="19"/>
      <c r="N3598" s="19"/>
      <c r="O3598" s="19"/>
      <c r="P3598" s="19"/>
      <c r="Q3598" s="19"/>
    </row>
    <row r="3599" spans="2:17" hidden="1">
      <c r="B3599" s="19"/>
      <c r="C3599" s="19"/>
      <c r="D3599" s="19"/>
      <c r="E3599" s="19"/>
      <c r="F3599" s="19"/>
      <c r="G3599" s="19"/>
      <c r="H3599" s="19"/>
      <c r="I3599" s="19"/>
      <c r="J3599" s="19"/>
      <c r="K3599" s="421"/>
      <c r="L3599" s="23"/>
      <c r="M3599" s="19"/>
      <c r="N3599" s="19"/>
      <c r="O3599" s="19"/>
      <c r="P3599" s="19"/>
      <c r="Q3599" s="19"/>
    </row>
    <row r="3600" spans="2:17" hidden="1">
      <c r="B3600" s="19"/>
      <c r="C3600" s="19"/>
      <c r="D3600" s="19"/>
      <c r="E3600" s="19"/>
      <c r="F3600" s="19"/>
      <c r="G3600" s="19"/>
      <c r="H3600" s="19"/>
      <c r="I3600" s="19"/>
      <c r="J3600" s="19"/>
      <c r="K3600" s="421"/>
      <c r="L3600" s="23"/>
      <c r="M3600" s="19"/>
      <c r="N3600" s="19"/>
      <c r="O3600" s="19"/>
      <c r="P3600" s="19"/>
      <c r="Q3600" s="19"/>
    </row>
    <row r="3601" spans="2:17" hidden="1">
      <c r="B3601" s="19"/>
      <c r="C3601" s="19"/>
      <c r="D3601" s="19"/>
      <c r="E3601" s="19"/>
      <c r="F3601" s="19"/>
      <c r="G3601" s="19"/>
      <c r="H3601" s="19"/>
      <c r="I3601" s="19"/>
      <c r="J3601" s="19"/>
      <c r="K3601" s="421"/>
      <c r="L3601" s="23"/>
      <c r="M3601" s="19"/>
      <c r="N3601" s="19"/>
      <c r="O3601" s="19"/>
      <c r="P3601" s="19"/>
      <c r="Q3601" s="19"/>
    </row>
    <row r="3602" spans="2:17" hidden="1">
      <c r="B3602" s="19"/>
      <c r="C3602" s="19"/>
      <c r="D3602" s="19"/>
      <c r="E3602" s="19"/>
      <c r="F3602" s="19"/>
      <c r="G3602" s="19"/>
      <c r="H3602" s="19"/>
      <c r="I3602" s="19"/>
      <c r="J3602" s="19"/>
      <c r="K3602" s="421"/>
      <c r="L3602" s="23"/>
      <c r="M3602" s="19"/>
      <c r="N3602" s="19"/>
      <c r="O3602" s="19"/>
      <c r="P3602" s="19"/>
      <c r="Q3602" s="19"/>
    </row>
    <row r="3603" spans="2:17" hidden="1">
      <c r="B3603" s="19"/>
      <c r="C3603" s="19"/>
      <c r="D3603" s="19"/>
      <c r="E3603" s="19"/>
      <c r="F3603" s="19"/>
      <c r="G3603" s="19"/>
      <c r="H3603" s="19"/>
      <c r="I3603" s="19"/>
      <c r="J3603" s="19"/>
      <c r="K3603" s="421"/>
      <c r="L3603" s="23"/>
      <c r="M3603" s="19"/>
      <c r="N3603" s="19"/>
      <c r="O3603" s="19"/>
      <c r="P3603" s="19"/>
      <c r="Q3603" s="19"/>
    </row>
    <row r="3604" spans="2:17" hidden="1">
      <c r="B3604" s="19"/>
      <c r="C3604" s="19"/>
      <c r="D3604" s="19"/>
      <c r="E3604" s="19"/>
      <c r="F3604" s="19"/>
      <c r="G3604" s="19"/>
      <c r="H3604" s="19"/>
      <c r="I3604" s="19"/>
      <c r="J3604" s="19"/>
      <c r="K3604" s="421"/>
      <c r="L3604" s="23"/>
      <c r="M3604" s="19"/>
      <c r="N3604" s="19"/>
      <c r="O3604" s="19"/>
      <c r="P3604" s="19"/>
      <c r="Q3604" s="19"/>
    </row>
    <row r="3605" spans="2:17" hidden="1">
      <c r="B3605" s="19"/>
      <c r="C3605" s="19"/>
      <c r="D3605" s="19"/>
      <c r="E3605" s="19"/>
      <c r="F3605" s="19"/>
      <c r="G3605" s="19"/>
      <c r="H3605" s="19"/>
      <c r="I3605" s="19"/>
      <c r="J3605" s="19"/>
      <c r="K3605" s="421"/>
      <c r="L3605" s="23"/>
      <c r="M3605" s="19"/>
      <c r="N3605" s="19"/>
      <c r="O3605" s="19"/>
      <c r="P3605" s="19"/>
      <c r="Q3605" s="19"/>
    </row>
    <row r="3606" spans="2:17" hidden="1">
      <c r="B3606" s="19"/>
      <c r="C3606" s="19"/>
      <c r="D3606" s="19"/>
      <c r="E3606" s="19"/>
      <c r="F3606" s="19"/>
      <c r="G3606" s="19"/>
      <c r="H3606" s="19"/>
      <c r="I3606" s="19"/>
      <c r="J3606" s="19"/>
      <c r="K3606" s="421"/>
      <c r="L3606" s="23"/>
      <c r="M3606" s="19"/>
      <c r="N3606" s="19"/>
      <c r="O3606" s="19"/>
      <c r="P3606" s="19"/>
      <c r="Q3606" s="19"/>
    </row>
    <row r="3607" spans="2:17" hidden="1">
      <c r="B3607" s="19"/>
      <c r="C3607" s="19"/>
      <c r="D3607" s="19"/>
      <c r="E3607" s="19"/>
      <c r="F3607" s="19"/>
      <c r="G3607" s="19"/>
      <c r="H3607" s="19"/>
      <c r="I3607" s="19"/>
      <c r="J3607" s="19"/>
      <c r="K3607" s="421"/>
      <c r="L3607" s="23"/>
      <c r="M3607" s="19"/>
      <c r="N3607" s="19"/>
      <c r="O3607" s="19"/>
      <c r="P3607" s="19"/>
      <c r="Q3607" s="19"/>
    </row>
    <row r="3608" spans="2:17" hidden="1">
      <c r="B3608" s="19"/>
      <c r="C3608" s="19"/>
      <c r="D3608" s="19"/>
      <c r="E3608" s="19"/>
      <c r="F3608" s="19"/>
      <c r="G3608" s="19"/>
      <c r="H3608" s="19"/>
      <c r="I3608" s="19"/>
      <c r="J3608" s="19"/>
      <c r="K3608" s="421"/>
      <c r="L3608" s="23"/>
      <c r="M3608" s="19"/>
      <c r="N3608" s="19"/>
      <c r="O3608" s="19"/>
      <c r="P3608" s="19"/>
      <c r="Q3608" s="19"/>
    </row>
    <row r="3609" spans="2:17" hidden="1">
      <c r="B3609" s="19"/>
      <c r="C3609" s="19"/>
      <c r="D3609" s="19"/>
      <c r="E3609" s="19"/>
      <c r="F3609" s="19"/>
      <c r="G3609" s="19"/>
      <c r="H3609" s="19"/>
      <c r="I3609" s="19"/>
      <c r="J3609" s="19"/>
      <c r="K3609" s="421"/>
      <c r="L3609" s="23"/>
      <c r="M3609" s="19"/>
      <c r="N3609" s="19"/>
      <c r="O3609" s="19"/>
      <c r="P3609" s="19"/>
      <c r="Q3609" s="19"/>
    </row>
    <row r="3610" spans="2:17" hidden="1">
      <c r="B3610" s="19"/>
      <c r="C3610" s="19"/>
      <c r="D3610" s="19"/>
      <c r="E3610" s="19"/>
      <c r="F3610" s="19"/>
      <c r="G3610" s="19"/>
      <c r="H3610" s="19"/>
      <c r="I3610" s="19"/>
      <c r="J3610" s="19"/>
      <c r="K3610" s="421"/>
      <c r="L3610" s="23"/>
      <c r="M3610" s="19"/>
      <c r="N3610" s="19"/>
      <c r="O3610" s="19"/>
      <c r="P3610" s="19"/>
      <c r="Q3610" s="19"/>
    </row>
    <row r="3611" spans="2:17" hidden="1">
      <c r="B3611" s="19"/>
      <c r="C3611" s="19"/>
      <c r="D3611" s="19"/>
      <c r="E3611" s="19"/>
      <c r="F3611" s="19"/>
      <c r="G3611" s="19"/>
      <c r="H3611" s="19"/>
      <c r="I3611" s="19"/>
      <c r="J3611" s="19"/>
      <c r="K3611" s="421"/>
      <c r="L3611" s="23"/>
      <c r="M3611" s="19"/>
      <c r="N3611" s="19"/>
      <c r="O3611" s="19"/>
      <c r="P3611" s="19"/>
      <c r="Q3611" s="19"/>
    </row>
    <row r="3612" spans="2:17" hidden="1">
      <c r="B3612" s="19"/>
      <c r="C3612" s="19"/>
      <c r="D3612" s="19"/>
      <c r="E3612" s="19"/>
      <c r="F3612" s="19"/>
      <c r="G3612" s="19"/>
      <c r="H3612" s="19"/>
      <c r="I3612" s="19"/>
      <c r="J3612" s="19"/>
      <c r="K3612" s="421"/>
      <c r="L3612" s="23"/>
      <c r="M3612" s="19"/>
      <c r="N3612" s="19"/>
      <c r="O3612" s="19"/>
      <c r="P3612" s="19"/>
      <c r="Q3612" s="19"/>
    </row>
    <row r="3613" spans="2:17" hidden="1">
      <c r="B3613" s="19"/>
      <c r="C3613" s="19"/>
      <c r="D3613" s="19"/>
      <c r="E3613" s="19"/>
      <c r="F3613" s="19"/>
      <c r="G3613" s="19"/>
      <c r="H3613" s="19"/>
      <c r="I3613" s="19"/>
      <c r="J3613" s="19"/>
      <c r="K3613" s="421"/>
      <c r="L3613" s="23"/>
      <c r="M3613" s="19"/>
      <c r="N3613" s="19"/>
      <c r="O3613" s="19"/>
      <c r="P3613" s="19"/>
      <c r="Q3613" s="19"/>
    </row>
    <row r="3614" spans="2:17" hidden="1">
      <c r="B3614" s="19"/>
      <c r="C3614" s="19"/>
      <c r="D3614" s="19"/>
      <c r="E3614" s="19"/>
      <c r="F3614" s="19"/>
      <c r="G3614" s="19"/>
      <c r="H3614" s="19"/>
      <c r="I3614" s="19"/>
      <c r="J3614" s="19"/>
      <c r="K3614" s="421"/>
      <c r="L3614" s="23"/>
      <c r="M3614" s="19"/>
      <c r="N3614" s="19"/>
      <c r="O3614" s="19"/>
      <c r="P3614" s="19"/>
      <c r="Q3614" s="19"/>
    </row>
    <row r="3615" spans="2:17" hidden="1">
      <c r="B3615" s="19"/>
      <c r="C3615" s="19"/>
      <c r="D3615" s="19"/>
      <c r="E3615" s="19"/>
      <c r="F3615" s="19"/>
      <c r="G3615" s="19"/>
      <c r="H3615" s="19"/>
      <c r="I3615" s="19"/>
      <c r="J3615" s="19"/>
      <c r="K3615" s="421"/>
      <c r="L3615" s="23"/>
      <c r="M3615" s="19"/>
      <c r="N3615" s="19"/>
      <c r="O3615" s="19"/>
      <c r="P3615" s="19"/>
      <c r="Q3615" s="19"/>
    </row>
    <row r="3616" spans="2:17" hidden="1">
      <c r="B3616" s="19"/>
      <c r="C3616" s="19"/>
      <c r="D3616" s="19"/>
      <c r="E3616" s="19"/>
      <c r="F3616" s="19"/>
      <c r="G3616" s="19"/>
      <c r="H3616" s="19"/>
      <c r="I3616" s="19"/>
      <c r="J3616" s="19"/>
      <c r="K3616" s="421"/>
      <c r="L3616" s="23"/>
      <c r="M3616" s="19"/>
      <c r="N3616" s="19"/>
      <c r="O3616" s="19"/>
      <c r="P3616" s="19"/>
      <c r="Q3616" s="19"/>
    </row>
    <row r="3617" spans="2:17" hidden="1">
      <c r="B3617" s="19"/>
      <c r="C3617" s="19"/>
      <c r="D3617" s="19"/>
      <c r="E3617" s="19"/>
      <c r="F3617" s="19"/>
      <c r="G3617" s="19"/>
      <c r="H3617" s="19"/>
      <c r="I3617" s="19"/>
      <c r="J3617" s="19"/>
      <c r="K3617" s="421"/>
      <c r="L3617" s="23"/>
      <c r="M3617" s="19"/>
      <c r="N3617" s="19"/>
      <c r="O3617" s="19"/>
      <c r="P3617" s="19"/>
      <c r="Q3617" s="19"/>
    </row>
    <row r="3618" spans="2:17" hidden="1">
      <c r="B3618" s="19"/>
      <c r="C3618" s="19"/>
      <c r="D3618" s="19"/>
      <c r="E3618" s="19"/>
      <c r="F3618" s="19"/>
      <c r="G3618" s="19"/>
      <c r="H3618" s="19"/>
      <c r="I3618" s="19"/>
      <c r="J3618" s="19"/>
      <c r="K3618" s="421"/>
      <c r="L3618" s="23"/>
      <c r="M3618" s="19"/>
      <c r="N3618" s="19"/>
      <c r="O3618" s="19"/>
      <c r="P3618" s="19"/>
      <c r="Q3618" s="19"/>
    </row>
    <row r="3619" spans="2:17" hidden="1">
      <c r="B3619" s="19"/>
      <c r="C3619" s="19"/>
      <c r="D3619" s="19"/>
      <c r="E3619" s="19"/>
      <c r="F3619" s="19"/>
      <c r="G3619" s="19"/>
      <c r="H3619" s="19"/>
      <c r="I3619" s="19"/>
      <c r="J3619" s="19"/>
      <c r="K3619" s="421"/>
      <c r="L3619" s="23"/>
      <c r="M3619" s="19"/>
      <c r="N3619" s="19"/>
      <c r="O3619" s="19"/>
      <c r="P3619" s="19"/>
      <c r="Q3619" s="19"/>
    </row>
    <row r="3620" spans="2:17" hidden="1">
      <c r="B3620" s="19"/>
      <c r="C3620" s="19"/>
      <c r="D3620" s="19"/>
      <c r="E3620" s="19"/>
      <c r="F3620" s="19"/>
      <c r="G3620" s="19"/>
      <c r="H3620" s="19"/>
      <c r="I3620" s="19"/>
      <c r="J3620" s="19"/>
      <c r="K3620" s="421"/>
      <c r="L3620" s="23"/>
      <c r="M3620" s="19"/>
      <c r="N3620" s="19"/>
      <c r="O3620" s="19"/>
      <c r="P3620" s="19"/>
      <c r="Q3620" s="19"/>
    </row>
    <row r="3621" spans="2:17" hidden="1">
      <c r="B3621" s="19"/>
      <c r="C3621" s="19"/>
      <c r="D3621" s="19"/>
      <c r="E3621" s="19"/>
      <c r="F3621" s="19"/>
      <c r="G3621" s="19"/>
      <c r="H3621" s="19"/>
      <c r="I3621" s="19"/>
      <c r="J3621" s="19"/>
      <c r="K3621" s="421"/>
      <c r="L3621" s="23"/>
      <c r="M3621" s="19"/>
      <c r="N3621" s="19"/>
      <c r="O3621" s="19"/>
      <c r="P3621" s="19"/>
      <c r="Q3621" s="19"/>
    </row>
    <row r="3622" spans="2:17" hidden="1">
      <c r="B3622" s="19"/>
      <c r="C3622" s="19"/>
      <c r="D3622" s="19"/>
      <c r="E3622" s="19"/>
      <c r="F3622" s="19"/>
      <c r="G3622" s="19"/>
      <c r="H3622" s="19"/>
      <c r="I3622" s="19"/>
      <c r="J3622" s="19"/>
      <c r="K3622" s="421"/>
      <c r="L3622" s="23"/>
      <c r="M3622" s="19"/>
      <c r="N3622" s="19"/>
      <c r="O3622" s="19"/>
      <c r="P3622" s="19"/>
      <c r="Q3622" s="19"/>
    </row>
    <row r="3623" spans="2:17" hidden="1">
      <c r="B3623" s="19"/>
      <c r="C3623" s="19"/>
      <c r="D3623" s="19"/>
      <c r="E3623" s="19"/>
      <c r="F3623" s="19"/>
      <c r="G3623" s="19"/>
      <c r="H3623" s="19"/>
      <c r="I3623" s="19"/>
      <c r="J3623" s="19"/>
      <c r="K3623" s="421"/>
      <c r="L3623" s="23"/>
      <c r="M3623" s="19"/>
      <c r="N3623" s="19"/>
      <c r="O3623" s="19"/>
      <c r="P3623" s="19"/>
      <c r="Q3623" s="19"/>
    </row>
    <row r="3624" spans="2:17" hidden="1">
      <c r="B3624" s="19"/>
      <c r="C3624" s="19"/>
      <c r="D3624" s="19"/>
      <c r="E3624" s="19"/>
      <c r="F3624" s="19"/>
      <c r="G3624" s="19"/>
      <c r="H3624" s="19"/>
      <c r="I3624" s="19"/>
      <c r="J3624" s="19"/>
      <c r="K3624" s="421"/>
      <c r="L3624" s="23"/>
      <c r="M3624" s="19"/>
      <c r="N3624" s="19"/>
      <c r="O3624" s="19"/>
      <c r="P3624" s="19"/>
      <c r="Q3624" s="19"/>
    </row>
    <row r="3625" spans="2:17" hidden="1">
      <c r="B3625" s="19"/>
      <c r="C3625" s="19"/>
      <c r="D3625" s="19"/>
      <c r="E3625" s="19"/>
      <c r="F3625" s="19"/>
      <c r="G3625" s="19"/>
      <c r="H3625" s="19"/>
      <c r="I3625" s="19"/>
      <c r="J3625" s="19"/>
      <c r="K3625" s="421"/>
      <c r="L3625" s="23"/>
      <c r="M3625" s="19"/>
      <c r="N3625" s="19"/>
      <c r="O3625" s="19"/>
      <c r="P3625" s="19"/>
      <c r="Q3625" s="19"/>
    </row>
    <row r="3626" spans="2:17" hidden="1">
      <c r="B3626" s="19"/>
      <c r="C3626" s="19"/>
      <c r="D3626" s="19"/>
      <c r="E3626" s="19"/>
      <c r="F3626" s="19"/>
      <c r="G3626" s="19"/>
      <c r="H3626" s="19"/>
      <c r="I3626" s="19"/>
      <c r="J3626" s="19"/>
      <c r="K3626" s="421"/>
      <c r="L3626" s="23"/>
      <c r="M3626" s="19"/>
      <c r="N3626" s="19"/>
      <c r="O3626" s="19"/>
      <c r="P3626" s="19"/>
      <c r="Q3626" s="19"/>
    </row>
    <row r="3627" spans="2:17" hidden="1">
      <c r="B3627" s="19"/>
      <c r="C3627" s="19"/>
      <c r="D3627" s="19"/>
      <c r="E3627" s="19"/>
      <c r="F3627" s="19"/>
      <c r="G3627" s="19"/>
      <c r="H3627" s="19"/>
      <c r="I3627" s="19"/>
      <c r="J3627" s="19"/>
      <c r="K3627" s="421"/>
      <c r="L3627" s="23"/>
      <c r="M3627" s="19"/>
      <c r="N3627" s="19"/>
      <c r="O3627" s="19"/>
      <c r="P3627" s="19"/>
      <c r="Q3627" s="19"/>
    </row>
    <row r="3628" spans="2:17" hidden="1">
      <c r="B3628" s="19"/>
      <c r="C3628" s="19"/>
      <c r="D3628" s="19"/>
      <c r="E3628" s="19"/>
      <c r="F3628" s="19"/>
      <c r="G3628" s="19"/>
      <c r="H3628" s="19"/>
      <c r="I3628" s="19"/>
      <c r="J3628" s="19"/>
      <c r="K3628" s="421"/>
      <c r="L3628" s="23"/>
      <c r="M3628" s="19"/>
      <c r="N3628" s="19"/>
      <c r="O3628" s="19"/>
      <c r="P3628" s="19"/>
      <c r="Q3628" s="19"/>
    </row>
    <row r="3629" spans="2:17" hidden="1">
      <c r="B3629" s="19"/>
      <c r="C3629" s="19"/>
      <c r="D3629" s="19"/>
      <c r="E3629" s="19"/>
      <c r="F3629" s="19"/>
      <c r="G3629" s="19"/>
      <c r="H3629" s="19"/>
      <c r="I3629" s="19"/>
      <c r="J3629" s="19"/>
      <c r="K3629" s="421"/>
      <c r="L3629" s="23"/>
      <c r="M3629" s="19"/>
      <c r="N3629" s="19"/>
      <c r="O3629" s="19"/>
      <c r="P3629" s="19"/>
      <c r="Q3629" s="19"/>
    </row>
    <row r="3630" spans="2:17" hidden="1">
      <c r="B3630" s="19"/>
      <c r="C3630" s="19"/>
      <c r="D3630" s="19"/>
      <c r="E3630" s="19"/>
      <c r="F3630" s="19"/>
      <c r="G3630" s="19"/>
      <c r="H3630" s="19"/>
      <c r="I3630" s="19"/>
      <c r="J3630" s="19"/>
      <c r="K3630" s="421"/>
      <c r="L3630" s="23"/>
      <c r="M3630" s="19"/>
      <c r="N3630" s="19"/>
      <c r="O3630" s="19"/>
      <c r="P3630" s="19"/>
      <c r="Q3630" s="19"/>
    </row>
    <row r="3631" spans="2:17" hidden="1">
      <c r="B3631" s="19"/>
      <c r="C3631" s="19"/>
      <c r="D3631" s="19"/>
      <c r="E3631" s="19"/>
      <c r="F3631" s="19"/>
      <c r="G3631" s="19"/>
      <c r="H3631" s="19"/>
      <c r="I3631" s="19"/>
      <c r="J3631" s="19"/>
      <c r="K3631" s="421"/>
      <c r="L3631" s="23"/>
      <c r="M3631" s="19"/>
      <c r="N3631" s="19"/>
      <c r="O3631" s="19"/>
      <c r="P3631" s="19"/>
      <c r="Q3631" s="19"/>
    </row>
    <row r="3632" spans="2:17" hidden="1">
      <c r="B3632" s="19"/>
      <c r="C3632" s="19"/>
      <c r="D3632" s="19"/>
      <c r="E3632" s="19"/>
      <c r="F3632" s="19"/>
      <c r="G3632" s="19"/>
      <c r="H3632" s="19"/>
      <c r="I3632" s="19"/>
      <c r="J3632" s="19"/>
      <c r="K3632" s="421"/>
      <c r="L3632" s="23"/>
      <c r="M3632" s="19"/>
      <c r="N3632" s="19"/>
      <c r="O3632" s="19"/>
      <c r="P3632" s="19"/>
      <c r="Q3632" s="19"/>
    </row>
    <row r="3633" spans="2:17" hidden="1">
      <c r="B3633" s="19"/>
      <c r="C3633" s="19"/>
      <c r="D3633" s="19"/>
      <c r="E3633" s="19"/>
      <c r="F3633" s="19"/>
      <c r="G3633" s="19"/>
      <c r="H3633" s="19"/>
      <c r="I3633" s="19"/>
      <c r="J3633" s="19"/>
      <c r="K3633" s="421"/>
      <c r="L3633" s="23"/>
      <c r="M3633" s="19"/>
      <c r="N3633" s="19"/>
      <c r="O3633" s="19"/>
      <c r="P3633" s="19"/>
      <c r="Q3633" s="19"/>
    </row>
    <row r="3634" spans="2:17" hidden="1">
      <c r="B3634" s="19"/>
      <c r="C3634" s="19"/>
      <c r="D3634" s="19"/>
      <c r="E3634" s="19"/>
      <c r="F3634" s="19"/>
      <c r="G3634" s="19"/>
      <c r="H3634" s="19"/>
      <c r="I3634" s="19"/>
      <c r="J3634" s="19"/>
      <c r="K3634" s="421"/>
      <c r="L3634" s="23"/>
      <c r="M3634" s="19"/>
      <c r="N3634" s="19"/>
      <c r="O3634" s="19"/>
      <c r="P3634" s="19"/>
      <c r="Q3634" s="19"/>
    </row>
    <row r="3635" spans="2:17" hidden="1">
      <c r="B3635" s="19"/>
      <c r="C3635" s="19"/>
      <c r="D3635" s="19"/>
      <c r="E3635" s="19"/>
      <c r="F3635" s="19"/>
      <c r="G3635" s="19"/>
      <c r="H3635" s="19"/>
      <c r="I3635" s="19"/>
      <c r="J3635" s="19"/>
      <c r="K3635" s="421"/>
      <c r="L3635" s="23"/>
      <c r="M3635" s="19"/>
      <c r="N3635" s="19"/>
      <c r="O3635" s="19"/>
      <c r="P3635" s="19"/>
      <c r="Q3635" s="19"/>
    </row>
    <row r="3636" spans="2:17" hidden="1">
      <c r="B3636" s="19"/>
      <c r="C3636" s="19"/>
      <c r="D3636" s="19"/>
      <c r="E3636" s="19"/>
      <c r="F3636" s="19"/>
      <c r="G3636" s="19"/>
      <c r="H3636" s="19"/>
      <c r="I3636" s="19"/>
      <c r="J3636" s="19"/>
      <c r="K3636" s="421"/>
      <c r="L3636" s="23"/>
      <c r="M3636" s="19"/>
      <c r="N3636" s="19"/>
      <c r="O3636" s="19"/>
      <c r="P3636" s="19"/>
      <c r="Q3636" s="19"/>
    </row>
    <row r="3637" spans="2:17" hidden="1">
      <c r="B3637" s="19"/>
      <c r="C3637" s="19"/>
      <c r="D3637" s="19"/>
      <c r="E3637" s="19"/>
      <c r="F3637" s="19"/>
      <c r="G3637" s="19"/>
      <c r="H3637" s="19"/>
      <c r="I3637" s="19"/>
      <c r="J3637" s="19"/>
      <c r="K3637" s="421"/>
      <c r="L3637" s="23"/>
      <c r="M3637" s="19"/>
      <c r="N3637" s="19"/>
      <c r="O3637" s="19"/>
      <c r="P3637" s="19"/>
      <c r="Q3637" s="19"/>
    </row>
    <row r="3638" spans="2:17" hidden="1">
      <c r="B3638" s="19"/>
      <c r="C3638" s="19"/>
      <c r="D3638" s="19"/>
      <c r="E3638" s="19"/>
      <c r="F3638" s="19"/>
      <c r="G3638" s="19"/>
      <c r="H3638" s="19"/>
      <c r="I3638" s="19"/>
      <c r="J3638" s="19"/>
      <c r="K3638" s="421"/>
      <c r="L3638" s="23"/>
      <c r="M3638" s="19"/>
      <c r="N3638" s="19"/>
      <c r="O3638" s="19"/>
      <c r="P3638" s="19"/>
      <c r="Q3638" s="19"/>
    </row>
    <row r="3639" spans="2:17" hidden="1">
      <c r="B3639" s="19"/>
      <c r="C3639" s="19"/>
      <c r="D3639" s="19"/>
      <c r="E3639" s="19"/>
      <c r="F3639" s="19"/>
      <c r="G3639" s="19"/>
      <c r="H3639" s="19"/>
      <c r="I3639" s="19"/>
      <c r="J3639" s="19"/>
      <c r="K3639" s="421"/>
      <c r="L3639" s="23"/>
      <c r="M3639" s="19"/>
      <c r="N3639" s="19"/>
      <c r="O3639" s="19"/>
      <c r="P3639" s="19"/>
      <c r="Q3639" s="19"/>
    </row>
    <row r="3640" spans="2:17" hidden="1">
      <c r="B3640" s="19"/>
      <c r="C3640" s="19"/>
      <c r="D3640" s="19"/>
      <c r="E3640" s="19"/>
      <c r="F3640" s="19"/>
      <c r="G3640" s="19"/>
      <c r="H3640" s="19"/>
      <c r="I3640" s="19"/>
      <c r="J3640" s="19"/>
      <c r="K3640" s="421"/>
      <c r="L3640" s="23"/>
      <c r="M3640" s="19"/>
      <c r="N3640" s="19"/>
      <c r="O3640" s="19"/>
      <c r="P3640" s="19"/>
      <c r="Q3640" s="19"/>
    </row>
    <row r="3641" spans="2:17" hidden="1">
      <c r="B3641" s="19"/>
      <c r="C3641" s="19"/>
      <c r="D3641" s="19"/>
      <c r="E3641" s="19"/>
      <c r="F3641" s="19"/>
      <c r="G3641" s="19"/>
      <c r="H3641" s="19"/>
      <c r="I3641" s="19"/>
      <c r="J3641" s="19"/>
      <c r="K3641" s="421"/>
      <c r="L3641" s="23"/>
      <c r="M3641" s="19"/>
      <c r="N3641" s="19"/>
      <c r="O3641" s="19"/>
      <c r="P3641" s="19"/>
      <c r="Q3641" s="19"/>
    </row>
    <row r="3642" spans="2:17" hidden="1">
      <c r="B3642" s="19"/>
      <c r="C3642" s="19"/>
      <c r="D3642" s="19"/>
      <c r="E3642" s="19"/>
      <c r="F3642" s="19"/>
      <c r="G3642" s="19"/>
      <c r="H3642" s="19"/>
      <c r="I3642" s="19"/>
      <c r="J3642" s="19"/>
      <c r="K3642" s="421"/>
      <c r="L3642" s="23"/>
      <c r="M3642" s="19"/>
      <c r="N3642" s="19"/>
      <c r="O3642" s="19"/>
      <c r="P3642" s="19"/>
      <c r="Q3642" s="19"/>
    </row>
    <row r="3643" spans="2:17" hidden="1">
      <c r="B3643" s="19"/>
      <c r="C3643" s="19"/>
      <c r="D3643" s="19"/>
      <c r="E3643" s="19"/>
      <c r="F3643" s="19"/>
      <c r="G3643" s="19"/>
      <c r="H3643" s="19"/>
      <c r="I3643" s="19"/>
      <c r="J3643" s="19"/>
      <c r="K3643" s="421"/>
      <c r="L3643" s="23"/>
      <c r="M3643" s="19"/>
      <c r="N3643" s="19"/>
      <c r="O3643" s="19"/>
      <c r="P3643" s="19"/>
      <c r="Q3643" s="19"/>
    </row>
    <row r="3644" spans="2:17" hidden="1">
      <c r="B3644" s="19"/>
      <c r="C3644" s="19"/>
      <c r="D3644" s="19"/>
      <c r="E3644" s="19"/>
      <c r="F3644" s="19"/>
      <c r="G3644" s="19"/>
      <c r="H3644" s="19"/>
      <c r="I3644" s="19"/>
      <c r="J3644" s="19"/>
      <c r="K3644" s="421"/>
      <c r="L3644" s="23"/>
      <c r="M3644" s="19"/>
      <c r="N3644" s="19"/>
      <c r="O3644" s="19"/>
      <c r="P3644" s="19"/>
      <c r="Q3644" s="19"/>
    </row>
    <row r="3645" spans="2:17" hidden="1">
      <c r="B3645" s="19"/>
      <c r="C3645" s="19"/>
      <c r="D3645" s="19"/>
      <c r="E3645" s="19"/>
      <c r="F3645" s="19"/>
      <c r="G3645" s="19"/>
      <c r="H3645" s="19"/>
      <c r="I3645" s="19"/>
      <c r="J3645" s="19"/>
      <c r="K3645" s="421"/>
      <c r="L3645" s="23"/>
      <c r="M3645" s="19"/>
      <c r="N3645" s="19"/>
      <c r="O3645" s="19"/>
      <c r="P3645" s="19"/>
      <c r="Q3645" s="19"/>
    </row>
    <row r="3646" spans="2:17" hidden="1">
      <c r="B3646" s="19"/>
      <c r="C3646" s="19"/>
      <c r="D3646" s="19"/>
      <c r="E3646" s="19"/>
      <c r="F3646" s="19"/>
      <c r="G3646" s="19"/>
      <c r="H3646" s="19"/>
      <c r="I3646" s="19"/>
      <c r="J3646" s="19"/>
      <c r="K3646" s="421"/>
      <c r="L3646" s="23"/>
      <c r="M3646" s="19"/>
      <c r="N3646" s="19"/>
      <c r="O3646" s="19"/>
      <c r="P3646" s="19"/>
      <c r="Q3646" s="19"/>
    </row>
    <row r="3647" spans="2:17" hidden="1">
      <c r="B3647" s="19"/>
      <c r="C3647" s="19"/>
      <c r="D3647" s="19"/>
      <c r="E3647" s="19"/>
      <c r="F3647" s="19"/>
      <c r="G3647" s="19"/>
      <c r="H3647" s="19"/>
      <c r="I3647" s="19"/>
      <c r="J3647" s="19"/>
      <c r="K3647" s="421"/>
      <c r="L3647" s="23"/>
      <c r="M3647" s="19"/>
      <c r="N3647" s="19"/>
      <c r="O3647" s="19"/>
      <c r="P3647" s="19"/>
      <c r="Q3647" s="19"/>
    </row>
    <row r="3648" spans="2:17" hidden="1">
      <c r="B3648" s="19"/>
      <c r="C3648" s="19"/>
      <c r="D3648" s="19"/>
      <c r="E3648" s="19"/>
      <c r="F3648" s="19"/>
      <c r="G3648" s="19"/>
      <c r="H3648" s="19"/>
      <c r="I3648" s="19"/>
      <c r="J3648" s="19"/>
      <c r="K3648" s="421"/>
      <c r="L3648" s="23"/>
      <c r="M3648" s="19"/>
      <c r="N3648" s="19"/>
      <c r="O3648" s="19"/>
      <c r="P3648" s="19"/>
      <c r="Q3648" s="19"/>
    </row>
    <row r="3649" spans="2:17" hidden="1">
      <c r="B3649" s="19"/>
      <c r="C3649" s="19"/>
      <c r="D3649" s="19"/>
      <c r="E3649" s="19"/>
      <c r="F3649" s="19"/>
      <c r="G3649" s="19"/>
      <c r="H3649" s="19"/>
      <c r="I3649" s="19"/>
      <c r="J3649" s="19"/>
      <c r="K3649" s="421"/>
      <c r="L3649" s="23"/>
      <c r="M3649" s="19"/>
      <c r="N3649" s="19"/>
      <c r="O3649" s="19"/>
      <c r="P3649" s="19"/>
      <c r="Q3649" s="19"/>
    </row>
    <row r="3650" spans="2:17" hidden="1">
      <c r="B3650" s="19"/>
      <c r="C3650" s="19"/>
      <c r="D3650" s="19"/>
      <c r="E3650" s="19"/>
      <c r="F3650" s="19"/>
      <c r="G3650" s="19"/>
      <c r="H3650" s="19"/>
      <c r="I3650" s="19"/>
      <c r="J3650" s="19"/>
      <c r="K3650" s="421"/>
      <c r="L3650" s="23"/>
      <c r="M3650" s="19"/>
      <c r="N3650" s="19"/>
      <c r="O3650" s="19"/>
      <c r="P3650" s="19"/>
      <c r="Q3650" s="19"/>
    </row>
    <row r="3651" spans="2:17" hidden="1">
      <c r="B3651" s="19"/>
      <c r="C3651" s="19"/>
      <c r="D3651" s="19"/>
      <c r="E3651" s="19"/>
      <c r="F3651" s="19"/>
      <c r="G3651" s="19"/>
      <c r="H3651" s="19"/>
      <c r="I3651" s="19"/>
      <c r="J3651" s="19"/>
      <c r="K3651" s="421"/>
      <c r="L3651" s="23"/>
      <c r="M3651" s="19"/>
      <c r="N3651" s="19"/>
      <c r="O3651" s="19"/>
      <c r="P3651" s="19"/>
      <c r="Q3651" s="19"/>
    </row>
    <row r="3652" spans="2:17" hidden="1">
      <c r="B3652" s="19"/>
      <c r="C3652" s="19"/>
      <c r="D3652" s="19"/>
      <c r="E3652" s="19"/>
      <c r="F3652" s="19"/>
      <c r="G3652" s="19"/>
      <c r="H3652" s="19"/>
      <c r="I3652" s="19"/>
      <c r="J3652" s="19"/>
      <c r="K3652" s="421"/>
      <c r="L3652" s="23"/>
      <c r="M3652" s="19"/>
      <c r="N3652" s="19"/>
      <c r="O3652" s="19"/>
      <c r="P3652" s="19"/>
      <c r="Q3652" s="19"/>
    </row>
    <row r="3653" spans="2:17" hidden="1">
      <c r="B3653" s="19"/>
      <c r="C3653" s="19"/>
      <c r="D3653" s="19"/>
      <c r="E3653" s="19"/>
      <c r="F3653" s="19"/>
      <c r="G3653" s="19"/>
      <c r="H3653" s="19"/>
      <c r="I3653" s="19"/>
      <c r="J3653" s="19"/>
      <c r="K3653" s="421"/>
      <c r="L3653" s="23"/>
      <c r="M3653" s="19"/>
      <c r="N3653" s="19"/>
      <c r="O3653" s="19"/>
      <c r="P3653" s="19"/>
      <c r="Q3653" s="19"/>
    </row>
    <row r="3654" spans="2:17" hidden="1">
      <c r="B3654" s="19"/>
      <c r="C3654" s="19"/>
      <c r="D3654" s="19"/>
      <c r="E3654" s="19"/>
      <c r="F3654" s="19"/>
      <c r="G3654" s="19"/>
      <c r="H3654" s="19"/>
      <c r="I3654" s="19"/>
      <c r="J3654" s="19"/>
      <c r="K3654" s="421"/>
      <c r="L3654" s="23"/>
      <c r="M3654" s="19"/>
      <c r="N3654" s="19"/>
      <c r="O3654" s="19"/>
      <c r="P3654" s="19"/>
      <c r="Q3654" s="19"/>
    </row>
    <row r="3655" spans="2:17" hidden="1">
      <c r="B3655" s="19"/>
      <c r="C3655" s="19"/>
      <c r="D3655" s="19"/>
      <c r="E3655" s="19"/>
      <c r="F3655" s="19"/>
      <c r="G3655" s="19"/>
      <c r="H3655" s="19"/>
      <c r="I3655" s="19"/>
      <c r="J3655" s="19"/>
      <c r="K3655" s="421"/>
      <c r="L3655" s="23"/>
      <c r="M3655" s="19"/>
      <c r="N3655" s="19"/>
      <c r="O3655" s="19"/>
      <c r="P3655" s="19"/>
      <c r="Q3655" s="19"/>
    </row>
    <row r="3656" spans="2:17" hidden="1">
      <c r="B3656" s="19"/>
      <c r="C3656" s="19"/>
      <c r="D3656" s="19"/>
      <c r="E3656" s="19"/>
      <c r="F3656" s="19"/>
      <c r="G3656" s="19"/>
      <c r="H3656" s="19"/>
      <c r="I3656" s="19"/>
      <c r="J3656" s="19"/>
      <c r="K3656" s="421"/>
      <c r="L3656" s="23"/>
      <c r="M3656" s="19"/>
      <c r="N3656" s="19"/>
      <c r="O3656" s="19"/>
      <c r="P3656" s="19"/>
      <c r="Q3656" s="19"/>
    </row>
    <row r="3657" spans="2:17" hidden="1">
      <c r="B3657" s="19"/>
      <c r="C3657" s="19"/>
      <c r="D3657" s="19"/>
      <c r="E3657" s="19"/>
      <c r="F3657" s="19"/>
      <c r="G3657" s="19"/>
      <c r="H3657" s="19"/>
      <c r="I3657" s="19"/>
      <c r="J3657" s="19"/>
      <c r="K3657" s="421"/>
      <c r="L3657" s="23"/>
      <c r="M3657" s="19"/>
      <c r="N3657" s="19"/>
      <c r="O3657" s="19"/>
      <c r="P3657" s="19"/>
      <c r="Q3657" s="19"/>
    </row>
    <row r="3658" spans="2:17" hidden="1">
      <c r="B3658" s="19"/>
      <c r="C3658" s="19"/>
      <c r="D3658" s="19"/>
      <c r="E3658" s="19"/>
      <c r="F3658" s="19"/>
      <c r="G3658" s="19"/>
      <c r="H3658" s="19"/>
      <c r="I3658" s="19"/>
      <c r="J3658" s="19"/>
      <c r="K3658" s="421"/>
      <c r="L3658" s="23"/>
      <c r="M3658" s="19"/>
      <c r="N3658" s="19"/>
      <c r="O3658" s="19"/>
      <c r="P3658" s="19"/>
      <c r="Q3658" s="19"/>
    </row>
    <row r="3659" spans="2:17" hidden="1">
      <c r="B3659" s="19"/>
      <c r="C3659" s="19"/>
      <c r="D3659" s="19"/>
      <c r="E3659" s="19"/>
      <c r="F3659" s="19"/>
      <c r="G3659" s="19"/>
      <c r="H3659" s="19"/>
      <c r="I3659" s="19"/>
      <c r="J3659" s="19"/>
      <c r="K3659" s="421"/>
      <c r="L3659" s="23"/>
      <c r="M3659" s="19"/>
      <c r="N3659" s="19"/>
      <c r="O3659" s="19"/>
      <c r="P3659" s="19"/>
      <c r="Q3659" s="19"/>
    </row>
    <row r="3660" spans="2:17" hidden="1">
      <c r="B3660" s="19"/>
      <c r="C3660" s="19"/>
      <c r="D3660" s="19"/>
      <c r="E3660" s="19"/>
      <c r="F3660" s="19"/>
      <c r="G3660" s="19"/>
      <c r="H3660" s="19"/>
      <c r="I3660" s="19"/>
      <c r="J3660" s="19"/>
      <c r="K3660" s="421"/>
      <c r="L3660" s="23"/>
      <c r="M3660" s="19"/>
      <c r="N3660" s="19"/>
      <c r="O3660" s="19"/>
      <c r="P3660" s="19"/>
      <c r="Q3660" s="19"/>
    </row>
    <row r="3661" spans="2:17" hidden="1">
      <c r="B3661" s="19"/>
      <c r="C3661" s="19"/>
      <c r="D3661" s="19"/>
      <c r="E3661" s="19"/>
      <c r="F3661" s="19"/>
      <c r="G3661" s="19"/>
      <c r="H3661" s="19"/>
      <c r="I3661" s="19"/>
      <c r="J3661" s="19"/>
      <c r="K3661" s="421"/>
      <c r="L3661" s="23"/>
      <c r="M3661" s="19"/>
      <c r="N3661" s="19"/>
      <c r="O3661" s="19"/>
      <c r="P3661" s="19"/>
      <c r="Q3661" s="19"/>
    </row>
    <row r="3662" spans="2:17" hidden="1">
      <c r="B3662" s="19"/>
      <c r="C3662" s="19"/>
      <c r="D3662" s="19"/>
      <c r="E3662" s="19"/>
      <c r="F3662" s="19"/>
      <c r="G3662" s="19"/>
      <c r="H3662" s="19"/>
      <c r="I3662" s="19"/>
      <c r="J3662" s="19"/>
      <c r="K3662" s="421"/>
      <c r="L3662" s="23"/>
      <c r="M3662" s="19"/>
      <c r="N3662" s="19"/>
      <c r="O3662" s="19"/>
      <c r="P3662" s="19"/>
      <c r="Q3662" s="19"/>
    </row>
    <row r="3663" spans="2:17" hidden="1">
      <c r="B3663" s="19"/>
      <c r="C3663" s="19"/>
      <c r="D3663" s="19"/>
      <c r="E3663" s="19"/>
      <c r="F3663" s="19"/>
      <c r="G3663" s="19"/>
      <c r="H3663" s="19"/>
      <c r="I3663" s="19"/>
      <c r="J3663" s="19"/>
      <c r="K3663" s="421"/>
      <c r="L3663" s="23"/>
      <c r="M3663" s="19"/>
      <c r="N3663" s="19"/>
      <c r="O3663" s="19"/>
      <c r="P3663" s="19"/>
      <c r="Q3663" s="19"/>
    </row>
    <row r="3664" spans="2:17" hidden="1">
      <c r="B3664" s="19"/>
      <c r="C3664" s="19"/>
      <c r="D3664" s="19"/>
      <c r="E3664" s="19"/>
      <c r="F3664" s="19"/>
      <c r="G3664" s="19"/>
      <c r="H3664" s="19"/>
      <c r="I3664" s="19"/>
      <c r="J3664" s="19"/>
      <c r="K3664" s="421"/>
      <c r="L3664" s="23"/>
      <c r="M3664" s="19"/>
      <c r="N3664" s="19"/>
      <c r="O3664" s="19"/>
      <c r="P3664" s="19"/>
      <c r="Q3664" s="19"/>
    </row>
    <row r="3665" spans="2:17" hidden="1">
      <c r="B3665" s="19"/>
      <c r="C3665" s="19"/>
      <c r="D3665" s="19"/>
      <c r="E3665" s="19"/>
      <c r="F3665" s="19"/>
      <c r="G3665" s="19"/>
      <c r="H3665" s="19"/>
      <c r="I3665" s="19"/>
      <c r="J3665" s="19"/>
      <c r="K3665" s="421"/>
      <c r="L3665" s="23"/>
      <c r="M3665" s="19"/>
      <c r="N3665" s="19"/>
      <c r="O3665" s="19"/>
      <c r="P3665" s="19"/>
      <c r="Q3665" s="19"/>
    </row>
    <row r="3666" spans="2:17" hidden="1">
      <c r="B3666" s="19"/>
      <c r="C3666" s="19"/>
      <c r="D3666" s="19"/>
      <c r="E3666" s="19"/>
      <c r="F3666" s="19"/>
      <c r="G3666" s="19"/>
      <c r="H3666" s="19"/>
      <c r="I3666" s="19"/>
      <c r="J3666" s="19"/>
      <c r="K3666" s="421"/>
      <c r="L3666" s="23"/>
      <c r="M3666" s="19"/>
      <c r="N3666" s="19"/>
      <c r="O3666" s="19"/>
      <c r="P3666" s="19"/>
      <c r="Q3666" s="19"/>
    </row>
    <row r="3667" spans="2:17" hidden="1">
      <c r="B3667" s="19"/>
      <c r="C3667" s="19"/>
      <c r="D3667" s="19"/>
      <c r="E3667" s="19"/>
      <c r="F3667" s="19"/>
      <c r="G3667" s="19"/>
      <c r="H3667" s="19"/>
      <c r="I3667" s="19"/>
      <c r="J3667" s="19"/>
      <c r="K3667" s="421"/>
      <c r="L3667" s="23"/>
      <c r="M3667" s="19"/>
      <c r="N3667" s="19"/>
      <c r="O3667" s="19"/>
      <c r="P3667" s="19"/>
      <c r="Q3667" s="19"/>
    </row>
    <row r="3668" spans="2:17" hidden="1">
      <c r="B3668" s="19"/>
      <c r="C3668" s="19"/>
      <c r="D3668" s="19"/>
      <c r="E3668" s="19"/>
      <c r="F3668" s="19"/>
      <c r="G3668" s="19"/>
      <c r="H3668" s="19"/>
      <c r="I3668" s="19"/>
      <c r="J3668" s="19"/>
      <c r="K3668" s="421"/>
      <c r="L3668" s="23"/>
      <c r="M3668" s="19"/>
      <c r="N3668" s="19"/>
      <c r="O3668" s="19"/>
      <c r="P3668" s="19"/>
      <c r="Q3668" s="19"/>
    </row>
    <row r="3669" spans="2:17" hidden="1">
      <c r="B3669" s="19"/>
      <c r="C3669" s="19"/>
      <c r="D3669" s="19"/>
      <c r="E3669" s="19"/>
      <c r="F3669" s="19"/>
      <c r="G3669" s="19"/>
      <c r="H3669" s="19"/>
      <c r="I3669" s="19"/>
      <c r="J3669" s="19"/>
      <c r="K3669" s="421"/>
      <c r="L3669" s="23"/>
      <c r="M3669" s="19"/>
      <c r="N3669" s="19"/>
      <c r="O3669" s="19"/>
      <c r="P3669" s="19"/>
      <c r="Q3669" s="19"/>
    </row>
    <row r="3670" spans="2:17" hidden="1">
      <c r="B3670" s="19"/>
      <c r="C3670" s="19"/>
      <c r="D3670" s="19"/>
      <c r="E3670" s="19"/>
      <c r="F3670" s="19"/>
      <c r="G3670" s="19"/>
      <c r="H3670" s="19"/>
      <c r="I3670" s="19"/>
      <c r="J3670" s="19"/>
      <c r="K3670" s="421"/>
      <c r="L3670" s="23"/>
      <c r="M3670" s="19"/>
      <c r="N3670" s="19"/>
      <c r="O3670" s="19"/>
      <c r="P3670" s="19"/>
      <c r="Q3670" s="19"/>
    </row>
    <row r="3671" spans="2:17" hidden="1">
      <c r="B3671" s="19"/>
      <c r="C3671" s="19"/>
      <c r="D3671" s="19"/>
      <c r="E3671" s="19"/>
      <c r="F3671" s="19"/>
      <c r="G3671" s="19"/>
      <c r="H3671" s="19"/>
      <c r="I3671" s="19"/>
      <c r="J3671" s="19"/>
      <c r="K3671" s="421"/>
      <c r="L3671" s="23"/>
      <c r="M3671" s="19"/>
      <c r="N3671" s="19"/>
      <c r="O3671" s="19"/>
      <c r="P3671" s="19"/>
      <c r="Q3671" s="19"/>
    </row>
    <row r="3672" spans="2:17" hidden="1">
      <c r="B3672" s="19"/>
      <c r="C3672" s="19"/>
      <c r="D3672" s="19"/>
      <c r="E3672" s="19"/>
      <c r="F3672" s="19"/>
      <c r="G3672" s="19"/>
      <c r="H3672" s="19"/>
      <c r="I3672" s="19"/>
      <c r="J3672" s="19"/>
      <c r="K3672" s="421"/>
      <c r="L3672" s="23"/>
      <c r="M3672" s="19"/>
      <c r="N3672" s="19"/>
      <c r="O3672" s="19"/>
      <c r="P3672" s="19"/>
      <c r="Q3672" s="19"/>
    </row>
    <row r="3673" spans="2:17" hidden="1">
      <c r="B3673" s="19"/>
      <c r="C3673" s="19"/>
      <c r="D3673" s="19"/>
      <c r="E3673" s="19"/>
      <c r="F3673" s="19"/>
      <c r="G3673" s="19"/>
      <c r="H3673" s="19"/>
      <c r="I3673" s="19"/>
      <c r="J3673" s="19"/>
      <c r="K3673" s="421"/>
      <c r="L3673" s="23"/>
      <c r="M3673" s="19"/>
      <c r="N3673" s="19"/>
      <c r="O3673" s="19"/>
      <c r="P3673" s="19"/>
      <c r="Q3673" s="19"/>
    </row>
    <row r="3674" spans="2:17" hidden="1">
      <c r="B3674" s="19"/>
      <c r="C3674" s="19"/>
      <c r="D3674" s="19"/>
      <c r="E3674" s="19"/>
      <c r="F3674" s="19"/>
      <c r="G3674" s="19"/>
      <c r="H3674" s="19"/>
      <c r="I3674" s="19"/>
      <c r="J3674" s="19"/>
      <c r="K3674" s="421"/>
      <c r="L3674" s="23"/>
      <c r="M3674" s="19"/>
      <c r="N3674" s="19"/>
      <c r="O3674" s="19"/>
      <c r="P3674" s="19"/>
      <c r="Q3674" s="19"/>
    </row>
    <row r="3675" spans="2:17" hidden="1">
      <c r="B3675" s="19"/>
      <c r="C3675" s="19"/>
      <c r="D3675" s="19"/>
      <c r="E3675" s="19"/>
      <c r="F3675" s="19"/>
      <c r="G3675" s="19"/>
      <c r="H3675" s="19"/>
      <c r="I3675" s="19"/>
      <c r="J3675" s="19"/>
      <c r="K3675" s="421"/>
      <c r="L3675" s="23"/>
      <c r="M3675" s="19"/>
      <c r="N3675" s="19"/>
      <c r="O3675" s="19"/>
      <c r="P3675" s="19"/>
      <c r="Q3675" s="19"/>
    </row>
    <row r="3676" spans="2:17" hidden="1">
      <c r="B3676" s="19"/>
      <c r="C3676" s="19"/>
      <c r="D3676" s="19"/>
      <c r="E3676" s="19"/>
      <c r="F3676" s="19"/>
      <c r="G3676" s="19"/>
      <c r="H3676" s="19"/>
      <c r="I3676" s="19"/>
      <c r="J3676" s="19"/>
      <c r="K3676" s="421"/>
      <c r="L3676" s="23"/>
      <c r="M3676" s="19"/>
      <c r="N3676" s="19"/>
      <c r="O3676" s="19"/>
      <c r="P3676" s="19"/>
      <c r="Q3676" s="19"/>
    </row>
    <row r="3677" spans="2:17" hidden="1">
      <c r="B3677" s="19"/>
      <c r="C3677" s="19"/>
      <c r="D3677" s="19"/>
      <c r="E3677" s="19"/>
      <c r="F3677" s="19"/>
      <c r="G3677" s="19"/>
      <c r="H3677" s="19"/>
      <c r="I3677" s="19"/>
      <c r="J3677" s="19"/>
      <c r="K3677" s="421"/>
      <c r="L3677" s="23"/>
      <c r="M3677" s="19"/>
      <c r="N3677" s="19"/>
      <c r="O3677" s="19"/>
      <c r="P3677" s="19"/>
      <c r="Q3677" s="19"/>
    </row>
    <row r="3678" spans="2:17" hidden="1">
      <c r="B3678" s="19"/>
      <c r="C3678" s="19"/>
      <c r="D3678" s="19"/>
      <c r="E3678" s="19"/>
      <c r="F3678" s="19"/>
      <c r="G3678" s="19"/>
      <c r="H3678" s="19"/>
      <c r="I3678" s="19"/>
      <c r="J3678" s="19"/>
      <c r="K3678" s="421"/>
      <c r="L3678" s="23"/>
      <c r="M3678" s="19"/>
      <c r="N3678" s="19"/>
      <c r="O3678" s="19"/>
      <c r="P3678" s="19"/>
      <c r="Q3678" s="19"/>
    </row>
    <row r="3679" spans="2:17" hidden="1">
      <c r="I3679" s="20"/>
      <c r="K3679" s="423"/>
      <c r="L3679" s="44"/>
      <c r="M3679" s="19"/>
      <c r="N3679" s="19"/>
      <c r="O3679" s="19"/>
      <c r="P3679" s="19"/>
      <c r="Q3679" s="19"/>
    </row>
    <row r="3680" spans="2:17" hidden="1">
      <c r="I3680" s="20"/>
      <c r="M3680" s="19"/>
      <c r="N3680" s="19"/>
      <c r="O3680" s="19"/>
      <c r="P3680" s="19"/>
      <c r="Q3680" s="19"/>
    </row>
    <row r="3681" spans="9:17" hidden="1">
      <c r="I3681" s="20"/>
      <c r="M3681" s="19"/>
      <c r="N3681" s="19"/>
      <c r="O3681" s="19"/>
      <c r="P3681" s="19"/>
      <c r="Q3681" s="19"/>
    </row>
    <row r="3682" spans="9:17" hidden="1">
      <c r="I3682" s="20"/>
      <c r="M3682" s="19"/>
      <c r="N3682" s="19"/>
      <c r="O3682" s="19"/>
      <c r="P3682" s="19"/>
      <c r="Q3682" s="19"/>
    </row>
    <row r="3683" spans="9:17" hidden="1">
      <c r="I3683" s="20"/>
      <c r="M3683" s="19"/>
      <c r="N3683" s="19"/>
      <c r="O3683" s="19"/>
      <c r="P3683" s="19"/>
      <c r="Q3683" s="19"/>
    </row>
    <row r="3684" spans="9:17" hidden="1">
      <c r="I3684" s="20"/>
      <c r="M3684" s="19"/>
      <c r="N3684" s="19"/>
      <c r="O3684" s="19"/>
      <c r="P3684" s="19"/>
      <c r="Q3684" s="19"/>
    </row>
    <row r="3685" spans="9:17" hidden="1">
      <c r="I3685" s="20"/>
      <c r="M3685" s="19"/>
      <c r="N3685" s="19"/>
      <c r="O3685" s="19"/>
      <c r="P3685" s="19"/>
      <c r="Q3685" s="19"/>
    </row>
    <row r="3686" spans="9:17" hidden="1">
      <c r="I3686" s="20"/>
      <c r="M3686" s="19"/>
      <c r="N3686" s="19"/>
      <c r="O3686" s="19"/>
      <c r="P3686" s="19"/>
      <c r="Q3686" s="19"/>
    </row>
    <row r="3687" spans="9:17" hidden="1">
      <c r="I3687" s="20"/>
      <c r="M3687" s="19"/>
      <c r="N3687" s="19"/>
      <c r="O3687" s="19"/>
      <c r="P3687" s="19"/>
      <c r="Q3687" s="19"/>
    </row>
    <row r="3688" spans="9:17" hidden="1">
      <c r="I3688" s="20"/>
      <c r="M3688" s="19"/>
      <c r="N3688" s="19"/>
      <c r="O3688" s="19"/>
      <c r="P3688" s="19"/>
      <c r="Q3688" s="19"/>
    </row>
    <row r="3689" spans="9:17" hidden="1">
      <c r="I3689" s="20"/>
      <c r="M3689" s="19"/>
      <c r="N3689" s="19"/>
      <c r="O3689" s="19"/>
      <c r="P3689" s="19"/>
      <c r="Q3689" s="19"/>
    </row>
    <row r="3690" spans="9:17" hidden="1">
      <c r="I3690" s="20"/>
      <c r="M3690" s="19"/>
      <c r="N3690" s="19"/>
      <c r="O3690" s="19"/>
      <c r="P3690" s="19"/>
      <c r="Q3690" s="19"/>
    </row>
    <row r="3691" spans="9:17" hidden="1">
      <c r="I3691" s="20"/>
      <c r="M3691" s="19"/>
      <c r="N3691" s="19"/>
      <c r="O3691" s="19"/>
      <c r="P3691" s="19"/>
      <c r="Q3691" s="19"/>
    </row>
    <row r="3692" spans="9:17" hidden="1">
      <c r="I3692" s="20"/>
      <c r="M3692" s="19"/>
      <c r="N3692" s="19"/>
      <c r="O3692" s="19"/>
      <c r="P3692" s="19"/>
      <c r="Q3692" s="19"/>
    </row>
    <row r="3693" spans="9:17" hidden="1">
      <c r="I3693" s="20"/>
      <c r="M3693" s="19"/>
      <c r="N3693" s="19"/>
      <c r="O3693" s="19"/>
      <c r="P3693" s="19"/>
      <c r="Q3693" s="19"/>
    </row>
    <row r="3694" spans="9:17" hidden="1">
      <c r="I3694" s="20"/>
      <c r="M3694" s="19"/>
      <c r="N3694" s="19"/>
      <c r="O3694" s="19"/>
      <c r="P3694" s="19"/>
      <c r="Q3694" s="19"/>
    </row>
    <row r="3695" spans="9:17" hidden="1">
      <c r="I3695" s="20"/>
      <c r="M3695" s="19"/>
      <c r="N3695" s="19"/>
      <c r="O3695" s="19"/>
      <c r="P3695" s="19"/>
      <c r="Q3695" s="19"/>
    </row>
    <row r="3696" spans="9:17" hidden="1">
      <c r="I3696" s="20"/>
      <c r="M3696" s="19"/>
      <c r="N3696" s="19"/>
      <c r="O3696" s="19"/>
      <c r="P3696" s="19"/>
      <c r="Q3696" s="19"/>
    </row>
    <row r="3697" spans="9:17" hidden="1">
      <c r="I3697" s="20"/>
      <c r="M3697" s="19"/>
      <c r="N3697" s="19"/>
      <c r="O3697" s="19"/>
      <c r="P3697" s="19"/>
      <c r="Q3697" s="19"/>
    </row>
    <row r="3698" spans="9:17" hidden="1">
      <c r="I3698" s="20"/>
      <c r="M3698" s="19"/>
      <c r="N3698" s="19"/>
      <c r="O3698" s="19"/>
      <c r="P3698" s="19"/>
      <c r="Q3698" s="19"/>
    </row>
    <row r="3699" spans="9:17" hidden="1">
      <c r="I3699" s="20"/>
      <c r="M3699" s="19"/>
      <c r="N3699" s="19"/>
      <c r="O3699" s="19"/>
      <c r="P3699" s="19"/>
      <c r="Q3699" s="19"/>
    </row>
    <row r="3700" spans="9:17" hidden="1">
      <c r="I3700" s="20"/>
      <c r="M3700" s="19"/>
      <c r="N3700" s="19"/>
      <c r="O3700" s="19"/>
      <c r="P3700" s="19"/>
      <c r="Q3700" s="19"/>
    </row>
    <row r="3701" spans="9:17" hidden="1">
      <c r="I3701" s="20"/>
      <c r="M3701" s="19"/>
      <c r="N3701" s="19"/>
      <c r="O3701" s="19"/>
      <c r="P3701" s="19"/>
      <c r="Q3701" s="19"/>
    </row>
    <row r="3702" spans="9:17" hidden="1">
      <c r="I3702" s="20"/>
      <c r="M3702" s="19"/>
      <c r="N3702" s="19"/>
      <c r="O3702" s="19"/>
      <c r="P3702" s="19"/>
      <c r="Q3702" s="19"/>
    </row>
    <row r="3703" spans="9:17" hidden="1">
      <c r="I3703" s="20"/>
      <c r="M3703" s="19"/>
      <c r="N3703" s="19"/>
      <c r="O3703" s="19"/>
      <c r="P3703" s="19"/>
      <c r="Q3703" s="19"/>
    </row>
    <row r="3704" spans="9:17" hidden="1">
      <c r="I3704" s="20"/>
      <c r="M3704" s="19"/>
      <c r="N3704" s="19"/>
      <c r="O3704" s="19"/>
      <c r="P3704" s="19"/>
      <c r="Q3704" s="19"/>
    </row>
    <row r="3705" spans="9:17" hidden="1">
      <c r="I3705" s="20"/>
      <c r="M3705" s="19"/>
      <c r="N3705" s="19"/>
      <c r="O3705" s="19"/>
      <c r="P3705" s="19"/>
      <c r="Q3705" s="19"/>
    </row>
    <row r="3706" spans="9:17" hidden="1">
      <c r="I3706" s="20"/>
      <c r="M3706" s="19"/>
      <c r="N3706" s="19"/>
      <c r="O3706" s="19"/>
      <c r="P3706" s="19"/>
      <c r="Q3706" s="19"/>
    </row>
    <row r="3707" spans="9:17" hidden="1">
      <c r="I3707" s="20"/>
      <c r="M3707" s="19"/>
      <c r="N3707" s="19"/>
      <c r="O3707" s="19"/>
      <c r="P3707" s="19"/>
      <c r="Q3707" s="19"/>
    </row>
    <row r="3708" spans="9:17" hidden="1">
      <c r="I3708" s="20"/>
      <c r="M3708" s="19"/>
      <c r="N3708" s="19"/>
      <c r="O3708" s="19"/>
      <c r="P3708" s="19"/>
      <c r="Q3708" s="19"/>
    </row>
    <row r="3709" spans="9:17" hidden="1">
      <c r="I3709" s="20"/>
      <c r="M3709" s="19"/>
      <c r="N3709" s="19"/>
      <c r="O3709" s="19"/>
      <c r="P3709" s="19"/>
      <c r="Q3709" s="19"/>
    </row>
    <row r="3710" spans="9:17" hidden="1">
      <c r="I3710" s="20"/>
      <c r="M3710" s="19"/>
      <c r="N3710" s="19"/>
      <c r="O3710" s="19"/>
      <c r="P3710" s="19"/>
      <c r="Q3710" s="19"/>
    </row>
    <row r="3711" spans="9:17" hidden="1">
      <c r="I3711" s="20"/>
      <c r="M3711" s="19"/>
      <c r="N3711" s="19"/>
      <c r="O3711" s="19"/>
      <c r="P3711" s="19"/>
      <c r="Q3711" s="19"/>
    </row>
    <row r="3712" spans="9:17" hidden="1">
      <c r="I3712" s="20"/>
      <c r="M3712" s="19"/>
      <c r="N3712" s="19"/>
      <c r="O3712" s="19"/>
      <c r="P3712" s="19"/>
      <c r="Q3712" s="19"/>
    </row>
    <row r="3713" spans="9:17" hidden="1">
      <c r="I3713" s="20"/>
      <c r="M3713" s="19"/>
      <c r="N3713" s="19"/>
      <c r="O3713" s="19"/>
      <c r="P3713" s="19"/>
      <c r="Q3713" s="19"/>
    </row>
    <row r="3714" spans="9:17" hidden="1">
      <c r="I3714" s="20"/>
      <c r="M3714" s="19"/>
      <c r="N3714" s="19"/>
      <c r="O3714" s="19"/>
      <c r="P3714" s="19"/>
      <c r="Q3714" s="19"/>
    </row>
    <row r="3715" spans="9:17" hidden="1">
      <c r="I3715" s="20"/>
      <c r="M3715" s="19"/>
      <c r="N3715" s="19"/>
      <c r="O3715" s="19"/>
      <c r="P3715" s="19"/>
      <c r="Q3715" s="19"/>
    </row>
    <row r="3716" spans="9:17" hidden="1">
      <c r="I3716" s="20"/>
      <c r="M3716" s="19"/>
      <c r="N3716" s="19"/>
      <c r="O3716" s="19"/>
      <c r="P3716" s="19"/>
      <c r="Q3716" s="19"/>
    </row>
    <row r="3717" spans="9:17" hidden="1">
      <c r="I3717" s="20"/>
      <c r="M3717" s="19"/>
      <c r="N3717" s="19"/>
      <c r="O3717" s="19"/>
      <c r="P3717" s="19"/>
      <c r="Q3717" s="19"/>
    </row>
    <row r="3718" spans="9:17" hidden="1">
      <c r="I3718" s="20"/>
      <c r="M3718" s="19"/>
      <c r="N3718" s="19"/>
      <c r="O3718" s="19"/>
      <c r="P3718" s="19"/>
      <c r="Q3718" s="19"/>
    </row>
    <row r="3719" spans="9:17" hidden="1">
      <c r="I3719" s="20"/>
      <c r="M3719" s="19"/>
      <c r="N3719" s="19"/>
      <c r="O3719" s="19"/>
      <c r="P3719" s="19"/>
      <c r="Q3719" s="19"/>
    </row>
    <row r="3720" spans="9:17" hidden="1">
      <c r="I3720" s="20"/>
      <c r="M3720" s="19"/>
      <c r="N3720" s="19"/>
      <c r="O3720" s="19"/>
      <c r="P3720" s="19"/>
      <c r="Q3720" s="19"/>
    </row>
    <row r="3721" spans="9:17" hidden="1">
      <c r="I3721" s="20"/>
      <c r="M3721" s="19"/>
      <c r="N3721" s="19"/>
      <c r="O3721" s="19"/>
      <c r="P3721" s="19"/>
      <c r="Q3721" s="19"/>
    </row>
    <row r="3722" spans="9:17" hidden="1">
      <c r="I3722" s="20"/>
      <c r="M3722" s="19"/>
      <c r="N3722" s="19"/>
      <c r="O3722" s="19"/>
      <c r="P3722" s="19"/>
      <c r="Q3722" s="19"/>
    </row>
    <row r="3723" spans="9:17" hidden="1">
      <c r="I3723" s="20"/>
      <c r="M3723" s="19"/>
      <c r="N3723" s="19"/>
      <c r="O3723" s="19"/>
      <c r="P3723" s="19"/>
      <c r="Q3723" s="19"/>
    </row>
    <row r="3724" spans="9:17" hidden="1">
      <c r="I3724" s="20"/>
      <c r="M3724" s="19"/>
      <c r="N3724" s="19"/>
      <c r="O3724" s="19"/>
      <c r="P3724" s="19"/>
      <c r="Q3724" s="19"/>
    </row>
    <row r="3725" spans="9:17" hidden="1">
      <c r="I3725" s="20"/>
      <c r="M3725" s="19"/>
      <c r="N3725" s="19"/>
      <c r="O3725" s="19"/>
      <c r="P3725" s="19"/>
      <c r="Q3725" s="19"/>
    </row>
    <row r="3726" spans="9:17" hidden="1">
      <c r="I3726" s="20"/>
      <c r="M3726" s="19"/>
      <c r="N3726" s="19"/>
      <c r="O3726" s="19"/>
      <c r="P3726" s="19"/>
      <c r="Q3726" s="19"/>
    </row>
    <row r="3727" spans="9:17" hidden="1">
      <c r="I3727" s="20"/>
      <c r="M3727" s="19"/>
      <c r="N3727" s="19"/>
      <c r="O3727" s="19"/>
      <c r="P3727" s="19"/>
      <c r="Q3727" s="19"/>
    </row>
    <row r="3728" spans="9:17" hidden="1">
      <c r="I3728" s="20"/>
      <c r="M3728" s="19"/>
      <c r="N3728" s="19"/>
      <c r="O3728" s="19"/>
      <c r="P3728" s="19"/>
      <c r="Q3728" s="19"/>
    </row>
    <row r="3729" spans="9:17" hidden="1">
      <c r="I3729" s="20"/>
      <c r="M3729" s="19"/>
      <c r="N3729" s="19"/>
      <c r="O3729" s="19"/>
      <c r="P3729" s="19"/>
      <c r="Q3729" s="19"/>
    </row>
    <row r="3730" spans="9:17" hidden="1">
      <c r="I3730" s="20"/>
      <c r="M3730" s="19"/>
      <c r="N3730" s="19"/>
      <c r="O3730" s="19"/>
      <c r="P3730" s="19"/>
      <c r="Q3730" s="19"/>
    </row>
    <row r="3731" spans="9:17" hidden="1">
      <c r="I3731" s="20"/>
      <c r="M3731" s="19"/>
      <c r="N3731" s="19"/>
      <c r="O3731" s="19"/>
      <c r="P3731" s="19"/>
      <c r="Q3731" s="19"/>
    </row>
    <row r="3732" spans="9:17" hidden="1">
      <c r="I3732" s="20"/>
      <c r="M3732" s="19"/>
      <c r="N3732" s="19"/>
      <c r="O3732" s="19"/>
      <c r="P3732" s="19"/>
      <c r="Q3732" s="19"/>
    </row>
    <row r="3733" spans="9:17" hidden="1">
      <c r="I3733" s="20"/>
      <c r="M3733" s="19"/>
      <c r="N3733" s="19"/>
      <c r="O3733" s="19"/>
      <c r="P3733" s="19"/>
      <c r="Q3733" s="19"/>
    </row>
    <row r="3734" spans="9:17" hidden="1">
      <c r="I3734" s="20"/>
      <c r="M3734" s="19"/>
      <c r="N3734" s="19"/>
      <c r="O3734" s="19"/>
      <c r="P3734" s="19"/>
      <c r="Q3734" s="19"/>
    </row>
    <row r="3735" spans="9:17" hidden="1">
      <c r="I3735" s="20"/>
      <c r="M3735" s="19"/>
      <c r="N3735" s="19"/>
      <c r="O3735" s="19"/>
      <c r="P3735" s="19"/>
      <c r="Q3735" s="19"/>
    </row>
    <row r="3736" spans="9:17" hidden="1">
      <c r="I3736" s="20"/>
      <c r="M3736" s="19"/>
      <c r="N3736" s="19"/>
      <c r="O3736" s="19"/>
      <c r="P3736" s="19"/>
      <c r="Q3736" s="19"/>
    </row>
    <row r="3737" spans="9:17" hidden="1">
      <c r="I3737" s="20"/>
      <c r="M3737" s="19"/>
      <c r="N3737" s="19"/>
      <c r="O3737" s="19"/>
      <c r="P3737" s="19"/>
      <c r="Q3737" s="19"/>
    </row>
    <row r="3738" spans="9:17" hidden="1">
      <c r="I3738" s="20"/>
      <c r="M3738" s="19"/>
      <c r="N3738" s="19"/>
      <c r="O3738" s="19"/>
      <c r="P3738" s="19"/>
      <c r="Q3738" s="19"/>
    </row>
    <row r="3739" spans="9:17" hidden="1">
      <c r="I3739" s="20"/>
      <c r="M3739" s="19"/>
      <c r="N3739" s="19"/>
      <c r="O3739" s="19"/>
      <c r="P3739" s="19"/>
      <c r="Q3739" s="19"/>
    </row>
    <row r="3740" spans="9:17" hidden="1">
      <c r="I3740" s="20"/>
      <c r="M3740" s="19"/>
      <c r="N3740" s="19"/>
      <c r="O3740" s="19"/>
      <c r="P3740" s="19"/>
      <c r="Q3740" s="19"/>
    </row>
    <row r="3741" spans="9:17" hidden="1">
      <c r="I3741" s="20"/>
      <c r="M3741" s="19"/>
      <c r="N3741" s="19"/>
      <c r="O3741" s="19"/>
      <c r="P3741" s="19"/>
      <c r="Q3741" s="19"/>
    </row>
    <row r="3742" spans="9:17" hidden="1">
      <c r="I3742" s="20"/>
      <c r="M3742" s="19"/>
      <c r="N3742" s="19"/>
      <c r="O3742" s="19"/>
      <c r="P3742" s="19"/>
      <c r="Q3742" s="19"/>
    </row>
    <row r="3743" spans="9:17" hidden="1">
      <c r="I3743" s="20"/>
      <c r="M3743" s="19"/>
      <c r="N3743" s="19"/>
      <c r="O3743" s="19"/>
      <c r="P3743" s="19"/>
      <c r="Q3743" s="19"/>
    </row>
    <row r="3744" spans="9:17" hidden="1">
      <c r="I3744" s="20"/>
      <c r="M3744" s="19"/>
      <c r="N3744" s="19"/>
      <c r="O3744" s="19"/>
      <c r="P3744" s="19"/>
      <c r="Q3744" s="19"/>
    </row>
    <row r="3745" spans="9:17" hidden="1">
      <c r="I3745" s="20"/>
      <c r="M3745" s="19"/>
      <c r="N3745" s="19"/>
      <c r="O3745" s="19"/>
      <c r="P3745" s="19"/>
      <c r="Q3745" s="19"/>
    </row>
    <row r="3746" spans="9:17" hidden="1">
      <c r="I3746" s="20"/>
      <c r="M3746" s="19"/>
      <c r="N3746" s="19"/>
      <c r="O3746" s="19"/>
      <c r="P3746" s="19"/>
      <c r="Q3746" s="19"/>
    </row>
    <row r="3747" spans="9:17" hidden="1">
      <c r="I3747" s="20"/>
      <c r="M3747" s="19"/>
      <c r="N3747" s="19"/>
      <c r="O3747" s="19"/>
      <c r="P3747" s="19"/>
      <c r="Q3747" s="19"/>
    </row>
    <row r="3748" spans="9:17" hidden="1">
      <c r="I3748" s="20"/>
      <c r="M3748" s="19"/>
      <c r="N3748" s="19"/>
      <c r="O3748" s="19"/>
      <c r="P3748" s="19"/>
      <c r="Q3748" s="19"/>
    </row>
    <row r="3749" spans="9:17" hidden="1">
      <c r="I3749" s="20"/>
      <c r="M3749" s="19"/>
      <c r="N3749" s="19"/>
      <c r="O3749" s="19"/>
      <c r="P3749" s="19"/>
      <c r="Q3749" s="19"/>
    </row>
    <row r="3750" spans="9:17" hidden="1">
      <c r="I3750" s="20"/>
      <c r="M3750" s="19"/>
      <c r="N3750" s="19"/>
      <c r="O3750" s="19"/>
      <c r="P3750" s="19"/>
      <c r="Q3750" s="19"/>
    </row>
    <row r="3751" spans="9:17" hidden="1">
      <c r="I3751" s="20"/>
      <c r="M3751" s="19"/>
      <c r="N3751" s="19"/>
      <c r="O3751" s="19"/>
      <c r="P3751" s="19"/>
      <c r="Q3751" s="19"/>
    </row>
    <row r="3752" spans="9:17" hidden="1">
      <c r="I3752" s="20"/>
      <c r="M3752" s="19"/>
      <c r="N3752" s="19"/>
      <c r="O3752" s="19"/>
      <c r="P3752" s="19"/>
      <c r="Q3752" s="19"/>
    </row>
    <row r="3753" spans="9:17" hidden="1">
      <c r="I3753" s="20"/>
      <c r="M3753" s="19"/>
      <c r="N3753" s="19"/>
      <c r="O3753" s="19"/>
      <c r="P3753" s="19"/>
      <c r="Q3753" s="19"/>
    </row>
    <row r="3754" spans="9:17" hidden="1">
      <c r="I3754" s="20"/>
      <c r="M3754" s="19"/>
      <c r="N3754" s="19"/>
      <c r="O3754" s="19"/>
      <c r="P3754" s="19"/>
      <c r="Q3754" s="19"/>
    </row>
    <row r="3755" spans="9:17" hidden="1">
      <c r="I3755" s="20"/>
      <c r="M3755" s="19"/>
      <c r="N3755" s="19"/>
      <c r="O3755" s="19"/>
      <c r="P3755" s="19"/>
      <c r="Q3755" s="19"/>
    </row>
    <row r="3756" spans="9:17" hidden="1">
      <c r="I3756" s="20"/>
      <c r="M3756" s="19"/>
      <c r="N3756" s="19"/>
      <c r="O3756" s="19"/>
      <c r="P3756" s="19"/>
      <c r="Q3756" s="19"/>
    </row>
    <row r="3757" spans="9:17" hidden="1">
      <c r="I3757" s="20"/>
      <c r="M3757" s="19"/>
      <c r="N3757" s="19"/>
      <c r="O3757" s="19"/>
      <c r="P3757" s="19"/>
      <c r="Q3757" s="19"/>
    </row>
    <row r="3758" spans="9:17" hidden="1">
      <c r="I3758" s="20"/>
      <c r="M3758" s="19"/>
      <c r="N3758" s="19"/>
      <c r="O3758" s="19"/>
      <c r="P3758" s="19"/>
      <c r="Q3758" s="19"/>
    </row>
    <row r="3759" spans="9:17" hidden="1">
      <c r="I3759" s="20"/>
      <c r="M3759" s="19"/>
      <c r="N3759" s="19"/>
      <c r="O3759" s="19"/>
      <c r="P3759" s="19"/>
      <c r="Q3759" s="19"/>
    </row>
    <row r="3760" spans="9:17" hidden="1">
      <c r="I3760" s="20"/>
      <c r="M3760" s="19"/>
      <c r="N3760" s="19"/>
      <c r="O3760" s="19"/>
      <c r="P3760" s="19"/>
      <c r="Q3760" s="19"/>
    </row>
    <row r="3761" spans="9:17" hidden="1">
      <c r="I3761" s="20"/>
      <c r="M3761" s="19"/>
      <c r="N3761" s="19"/>
      <c r="O3761" s="19"/>
      <c r="P3761" s="19"/>
      <c r="Q3761" s="19"/>
    </row>
    <row r="3762" spans="9:17" hidden="1">
      <c r="I3762" s="20"/>
      <c r="M3762" s="19"/>
      <c r="N3762" s="19"/>
      <c r="O3762" s="19"/>
      <c r="P3762" s="19"/>
      <c r="Q3762" s="19"/>
    </row>
    <row r="3763" spans="9:17" hidden="1">
      <c r="I3763" s="20"/>
      <c r="M3763" s="19"/>
      <c r="N3763" s="19"/>
      <c r="O3763" s="19"/>
      <c r="P3763" s="19"/>
      <c r="Q3763" s="19"/>
    </row>
    <row r="3764" spans="9:17" hidden="1">
      <c r="I3764" s="20"/>
      <c r="M3764" s="19"/>
      <c r="N3764" s="19"/>
      <c r="O3764" s="19"/>
      <c r="P3764" s="19"/>
      <c r="Q3764" s="19"/>
    </row>
    <row r="3765" spans="9:17" hidden="1">
      <c r="I3765" s="20"/>
      <c r="M3765" s="19"/>
      <c r="N3765" s="19"/>
      <c r="O3765" s="19"/>
      <c r="P3765" s="19"/>
      <c r="Q3765" s="19"/>
    </row>
    <row r="3766" spans="9:17" hidden="1">
      <c r="I3766" s="20"/>
      <c r="M3766" s="19"/>
      <c r="N3766" s="19"/>
      <c r="O3766" s="19"/>
      <c r="P3766" s="19"/>
      <c r="Q3766" s="19"/>
    </row>
    <row r="3767" spans="9:17" hidden="1">
      <c r="I3767" s="20"/>
      <c r="M3767" s="19"/>
      <c r="N3767" s="19"/>
      <c r="O3767" s="19"/>
      <c r="P3767" s="19"/>
      <c r="Q3767" s="19"/>
    </row>
    <row r="3768" spans="9:17" hidden="1">
      <c r="I3768" s="20"/>
      <c r="M3768" s="19"/>
      <c r="N3768" s="19"/>
      <c r="O3768" s="19"/>
      <c r="P3768" s="19"/>
      <c r="Q3768" s="19"/>
    </row>
    <row r="3769" spans="9:17" hidden="1">
      <c r="I3769" s="20"/>
      <c r="M3769" s="19"/>
      <c r="N3769" s="19"/>
      <c r="O3769" s="19"/>
      <c r="P3769" s="19"/>
      <c r="Q3769" s="19"/>
    </row>
    <row r="3770" spans="9:17" hidden="1">
      <c r="I3770" s="20"/>
      <c r="M3770" s="19"/>
      <c r="N3770" s="19"/>
      <c r="O3770" s="19"/>
      <c r="P3770" s="19"/>
      <c r="Q3770" s="19"/>
    </row>
    <row r="3771" spans="9:17" hidden="1">
      <c r="I3771" s="20"/>
      <c r="M3771" s="19"/>
      <c r="N3771" s="19"/>
      <c r="O3771" s="19"/>
      <c r="P3771" s="19"/>
      <c r="Q3771" s="19"/>
    </row>
    <row r="3772" spans="9:17" hidden="1">
      <c r="I3772" s="20"/>
      <c r="M3772" s="19"/>
      <c r="N3772" s="19"/>
      <c r="O3772" s="19"/>
      <c r="P3772" s="19"/>
      <c r="Q3772" s="19"/>
    </row>
    <row r="3773" spans="9:17" hidden="1">
      <c r="I3773" s="20"/>
      <c r="M3773" s="19"/>
      <c r="N3773" s="19"/>
      <c r="O3773" s="19"/>
      <c r="P3773" s="19"/>
      <c r="Q3773" s="19"/>
    </row>
    <row r="3774" spans="9:17" hidden="1">
      <c r="I3774" s="20"/>
      <c r="M3774" s="19"/>
      <c r="N3774" s="19"/>
      <c r="O3774" s="19"/>
      <c r="P3774" s="19"/>
      <c r="Q3774" s="19"/>
    </row>
    <row r="3775" spans="9:17" hidden="1">
      <c r="I3775" s="20"/>
      <c r="M3775" s="19"/>
      <c r="N3775" s="19"/>
      <c r="O3775" s="19"/>
      <c r="P3775" s="19"/>
      <c r="Q3775" s="19"/>
    </row>
    <row r="3776" spans="9:17" hidden="1">
      <c r="I3776" s="20"/>
      <c r="M3776" s="19"/>
      <c r="N3776" s="19"/>
      <c r="O3776" s="19"/>
      <c r="P3776" s="19"/>
      <c r="Q3776" s="19"/>
    </row>
    <row r="3777" spans="9:17" hidden="1">
      <c r="I3777" s="20"/>
      <c r="M3777" s="19"/>
      <c r="N3777" s="19"/>
      <c r="O3777" s="19"/>
      <c r="P3777" s="19"/>
      <c r="Q3777" s="19"/>
    </row>
    <row r="3778" spans="9:17" hidden="1">
      <c r="I3778" s="20"/>
      <c r="M3778" s="19"/>
      <c r="N3778" s="19"/>
      <c r="O3778" s="19"/>
      <c r="P3778" s="19"/>
      <c r="Q3778" s="19"/>
    </row>
    <row r="3779" spans="9:17" hidden="1">
      <c r="I3779" s="20"/>
      <c r="M3779" s="19"/>
      <c r="N3779" s="19"/>
      <c r="O3779" s="19"/>
      <c r="P3779" s="19"/>
      <c r="Q3779" s="19"/>
    </row>
    <row r="3780" spans="9:17" hidden="1">
      <c r="I3780" s="20"/>
      <c r="M3780" s="19"/>
      <c r="N3780" s="19"/>
      <c r="O3780" s="19"/>
      <c r="P3780" s="19"/>
      <c r="Q3780" s="19"/>
    </row>
    <row r="3781" spans="9:17" hidden="1">
      <c r="I3781" s="20"/>
      <c r="M3781" s="19"/>
      <c r="N3781" s="19"/>
      <c r="O3781" s="19"/>
      <c r="P3781" s="19"/>
      <c r="Q3781" s="19"/>
    </row>
    <row r="3782" spans="9:17" hidden="1">
      <c r="I3782" s="20"/>
      <c r="M3782" s="19"/>
      <c r="N3782" s="19"/>
      <c r="O3782" s="19"/>
      <c r="P3782" s="19"/>
      <c r="Q3782" s="19"/>
    </row>
    <row r="3783" spans="9:17" hidden="1">
      <c r="I3783" s="20"/>
      <c r="M3783" s="19"/>
      <c r="N3783" s="19"/>
      <c r="O3783" s="19"/>
      <c r="P3783" s="19"/>
      <c r="Q3783" s="19"/>
    </row>
    <row r="3784" spans="9:17" hidden="1">
      <c r="I3784" s="20"/>
      <c r="M3784" s="19"/>
      <c r="N3784" s="19"/>
      <c r="O3784" s="19"/>
      <c r="P3784" s="19"/>
      <c r="Q3784" s="19"/>
    </row>
    <row r="3785" spans="9:17" hidden="1">
      <c r="I3785" s="20"/>
      <c r="M3785" s="19"/>
      <c r="N3785" s="19"/>
      <c r="O3785" s="19"/>
      <c r="P3785" s="19"/>
      <c r="Q3785" s="19"/>
    </row>
    <row r="3786" spans="9:17" hidden="1">
      <c r="I3786" s="20"/>
      <c r="M3786" s="19"/>
      <c r="N3786" s="19"/>
      <c r="O3786" s="19"/>
      <c r="P3786" s="19"/>
      <c r="Q3786" s="19"/>
    </row>
    <row r="3787" spans="9:17" hidden="1">
      <c r="I3787" s="20"/>
      <c r="M3787" s="19"/>
      <c r="N3787" s="19"/>
      <c r="O3787" s="19"/>
      <c r="P3787" s="19"/>
      <c r="Q3787" s="19"/>
    </row>
    <row r="3788" spans="9:17" hidden="1">
      <c r="I3788" s="20"/>
      <c r="M3788" s="19"/>
      <c r="N3788" s="19"/>
      <c r="O3788" s="19"/>
      <c r="P3788" s="19"/>
      <c r="Q3788" s="19"/>
    </row>
    <row r="3789" spans="9:17" hidden="1">
      <c r="I3789" s="20"/>
      <c r="M3789" s="19"/>
      <c r="N3789" s="19"/>
      <c r="O3789" s="19"/>
      <c r="P3789" s="19"/>
      <c r="Q3789" s="19"/>
    </row>
    <row r="3790" spans="9:17" hidden="1">
      <c r="I3790" s="20"/>
      <c r="M3790" s="19"/>
      <c r="N3790" s="19"/>
      <c r="O3790" s="19"/>
      <c r="P3790" s="19"/>
      <c r="Q3790" s="19"/>
    </row>
    <row r="3791" spans="9:17" hidden="1">
      <c r="I3791" s="20"/>
      <c r="M3791" s="19"/>
      <c r="N3791" s="19"/>
      <c r="O3791" s="19"/>
      <c r="P3791" s="19"/>
      <c r="Q3791" s="19"/>
    </row>
    <row r="3792" spans="9:17" hidden="1">
      <c r="I3792" s="20"/>
      <c r="M3792" s="19"/>
      <c r="N3792" s="19"/>
      <c r="O3792" s="19"/>
      <c r="P3792" s="19"/>
      <c r="Q3792" s="19"/>
    </row>
    <row r="3793" spans="9:17" hidden="1">
      <c r="I3793" s="20"/>
      <c r="M3793" s="19"/>
      <c r="N3793" s="19"/>
      <c r="O3793" s="19"/>
      <c r="P3793" s="19"/>
      <c r="Q3793" s="19"/>
    </row>
    <row r="3794" spans="9:17" hidden="1">
      <c r="I3794" s="20"/>
      <c r="M3794" s="19"/>
      <c r="N3794" s="19"/>
      <c r="O3794" s="19"/>
      <c r="P3794" s="19"/>
      <c r="Q3794" s="19"/>
    </row>
    <row r="3795" spans="9:17" hidden="1">
      <c r="I3795" s="20"/>
      <c r="M3795" s="19"/>
      <c r="N3795" s="19"/>
      <c r="O3795" s="19"/>
      <c r="P3795" s="19"/>
      <c r="Q3795" s="19"/>
    </row>
    <row r="3796" spans="9:17" hidden="1">
      <c r="I3796" s="20"/>
      <c r="M3796" s="19"/>
      <c r="N3796" s="19"/>
      <c r="O3796" s="19"/>
      <c r="P3796" s="19"/>
      <c r="Q3796" s="19"/>
    </row>
    <row r="3797" spans="9:17" hidden="1">
      <c r="I3797" s="20"/>
      <c r="M3797" s="19"/>
      <c r="N3797" s="19"/>
      <c r="O3797" s="19"/>
      <c r="P3797" s="19"/>
      <c r="Q3797" s="19"/>
    </row>
    <row r="3798" spans="9:17" hidden="1">
      <c r="I3798" s="20"/>
      <c r="M3798" s="19"/>
      <c r="N3798" s="19"/>
      <c r="O3798" s="19"/>
      <c r="P3798" s="19"/>
      <c r="Q3798" s="19"/>
    </row>
    <row r="3799" spans="9:17" hidden="1">
      <c r="I3799" s="20"/>
      <c r="M3799" s="19"/>
      <c r="N3799" s="19"/>
      <c r="O3799" s="19"/>
      <c r="P3799" s="19"/>
      <c r="Q3799" s="19"/>
    </row>
    <row r="3800" spans="9:17" hidden="1">
      <c r="I3800" s="20"/>
      <c r="M3800" s="19"/>
      <c r="N3800" s="19"/>
      <c r="O3800" s="19"/>
      <c r="P3800" s="19"/>
      <c r="Q3800" s="19"/>
    </row>
    <row r="3801" spans="9:17" hidden="1">
      <c r="I3801" s="20"/>
      <c r="M3801" s="19"/>
      <c r="N3801" s="19"/>
      <c r="O3801" s="19"/>
      <c r="P3801" s="19"/>
      <c r="Q3801" s="19"/>
    </row>
    <row r="3802" spans="9:17" hidden="1">
      <c r="I3802" s="20"/>
      <c r="M3802" s="19"/>
      <c r="N3802" s="19"/>
      <c r="O3802" s="19"/>
      <c r="P3802" s="19"/>
      <c r="Q3802" s="19"/>
    </row>
    <row r="3803" spans="9:17" hidden="1">
      <c r="I3803" s="20"/>
      <c r="M3803" s="19"/>
      <c r="N3803" s="19"/>
      <c r="O3803" s="19"/>
      <c r="P3803" s="19"/>
      <c r="Q3803" s="19"/>
    </row>
    <row r="3804" spans="9:17" hidden="1">
      <c r="I3804" s="20"/>
      <c r="M3804" s="19"/>
      <c r="N3804" s="19"/>
      <c r="O3804" s="19"/>
      <c r="P3804" s="19"/>
      <c r="Q3804" s="19"/>
    </row>
    <row r="3805" spans="9:17" hidden="1">
      <c r="I3805" s="20"/>
      <c r="M3805" s="19"/>
      <c r="N3805" s="19"/>
      <c r="O3805" s="19"/>
      <c r="P3805" s="19"/>
      <c r="Q3805" s="19"/>
    </row>
    <row r="3806" spans="9:17" hidden="1">
      <c r="I3806" s="20"/>
      <c r="M3806" s="19"/>
      <c r="N3806" s="19"/>
      <c r="O3806" s="19"/>
      <c r="P3806" s="19"/>
      <c r="Q3806" s="19"/>
    </row>
    <row r="3807" spans="9:17" hidden="1">
      <c r="I3807" s="20"/>
      <c r="M3807" s="19"/>
      <c r="N3807" s="19"/>
      <c r="O3807" s="19"/>
      <c r="P3807" s="19"/>
      <c r="Q3807" s="19"/>
    </row>
    <row r="3808" spans="9:17" hidden="1">
      <c r="I3808" s="20"/>
      <c r="M3808" s="19"/>
      <c r="N3808" s="19"/>
      <c r="O3808" s="19"/>
      <c r="P3808" s="19"/>
      <c r="Q3808" s="19"/>
    </row>
    <row r="3809" spans="9:17" hidden="1">
      <c r="I3809" s="20"/>
      <c r="M3809" s="19"/>
      <c r="N3809" s="19"/>
      <c r="O3809" s="19"/>
      <c r="P3809" s="19"/>
      <c r="Q3809" s="19"/>
    </row>
    <row r="3810" spans="9:17" hidden="1">
      <c r="I3810" s="20"/>
      <c r="M3810" s="19"/>
      <c r="N3810" s="19"/>
      <c r="O3810" s="19"/>
      <c r="P3810" s="19"/>
      <c r="Q3810" s="19"/>
    </row>
    <row r="3811" spans="9:17" hidden="1">
      <c r="I3811" s="20"/>
      <c r="M3811" s="19"/>
      <c r="N3811" s="19"/>
      <c r="O3811" s="19"/>
      <c r="P3811" s="19"/>
      <c r="Q3811" s="19"/>
    </row>
    <row r="3812" spans="9:17" hidden="1">
      <c r="I3812" s="20"/>
      <c r="M3812" s="19"/>
      <c r="N3812" s="19"/>
      <c r="O3812" s="19"/>
      <c r="P3812" s="19"/>
      <c r="Q3812" s="19"/>
    </row>
    <row r="3813" spans="9:17" hidden="1">
      <c r="I3813" s="20"/>
      <c r="M3813" s="19"/>
      <c r="N3813" s="19"/>
      <c r="O3813" s="19"/>
      <c r="P3813" s="19"/>
      <c r="Q3813" s="19"/>
    </row>
    <row r="3814" spans="9:17" hidden="1">
      <c r="I3814" s="20"/>
      <c r="M3814" s="19"/>
      <c r="N3814" s="19"/>
      <c r="O3814" s="19"/>
      <c r="P3814" s="19"/>
      <c r="Q3814" s="19"/>
    </row>
    <row r="3815" spans="9:17" hidden="1">
      <c r="I3815" s="20"/>
      <c r="M3815" s="19"/>
      <c r="N3815" s="19"/>
      <c r="O3815" s="19"/>
      <c r="P3815" s="19"/>
      <c r="Q3815" s="19"/>
    </row>
    <row r="3816" spans="9:17" hidden="1">
      <c r="I3816" s="20"/>
      <c r="M3816" s="19"/>
      <c r="N3816" s="19"/>
      <c r="O3816" s="19"/>
      <c r="P3816" s="19"/>
      <c r="Q3816" s="19"/>
    </row>
    <row r="3817" spans="9:17" hidden="1">
      <c r="I3817" s="20"/>
      <c r="M3817" s="19"/>
      <c r="N3817" s="19"/>
      <c r="O3817" s="19"/>
      <c r="P3817" s="19"/>
      <c r="Q3817" s="19"/>
    </row>
    <row r="3818" spans="9:17" hidden="1">
      <c r="I3818" s="20"/>
      <c r="M3818" s="19"/>
      <c r="N3818" s="19"/>
      <c r="O3818" s="19"/>
      <c r="P3818" s="19"/>
      <c r="Q3818" s="19"/>
    </row>
    <row r="3819" spans="9:17" hidden="1">
      <c r="I3819" s="20"/>
      <c r="M3819" s="19"/>
      <c r="N3819" s="19"/>
      <c r="O3819" s="19"/>
      <c r="P3819" s="19"/>
      <c r="Q3819" s="19"/>
    </row>
    <row r="3820" spans="9:17" hidden="1">
      <c r="I3820" s="20"/>
      <c r="M3820" s="19"/>
      <c r="N3820" s="19"/>
      <c r="O3820" s="19"/>
      <c r="P3820" s="19"/>
      <c r="Q3820" s="19"/>
    </row>
    <row r="3821" spans="9:17" hidden="1">
      <c r="I3821" s="20"/>
      <c r="M3821" s="19"/>
      <c r="N3821" s="19"/>
      <c r="O3821" s="19"/>
      <c r="P3821" s="19"/>
      <c r="Q3821" s="19"/>
    </row>
    <row r="3822" spans="9:17" hidden="1">
      <c r="I3822" s="20"/>
      <c r="M3822" s="19"/>
      <c r="N3822" s="19"/>
      <c r="O3822" s="19"/>
      <c r="P3822" s="19"/>
      <c r="Q3822" s="19"/>
    </row>
    <row r="3823" spans="9:17" hidden="1">
      <c r="I3823" s="20"/>
      <c r="M3823" s="19"/>
      <c r="N3823" s="19"/>
      <c r="O3823" s="19"/>
      <c r="P3823" s="19"/>
      <c r="Q3823" s="19"/>
    </row>
    <row r="3824" spans="9:17" hidden="1">
      <c r="I3824" s="20"/>
      <c r="M3824" s="19"/>
      <c r="N3824" s="19"/>
      <c r="O3824" s="19"/>
      <c r="P3824" s="19"/>
      <c r="Q3824" s="19"/>
    </row>
    <row r="3825" spans="9:17" hidden="1">
      <c r="I3825" s="20"/>
      <c r="M3825" s="19"/>
      <c r="N3825" s="19"/>
      <c r="O3825" s="19"/>
      <c r="P3825" s="19"/>
      <c r="Q3825" s="19"/>
    </row>
    <row r="3826" spans="9:17" hidden="1">
      <c r="I3826" s="20"/>
      <c r="M3826" s="19"/>
      <c r="N3826" s="19"/>
      <c r="O3826" s="19"/>
      <c r="P3826" s="19"/>
      <c r="Q3826" s="19"/>
    </row>
    <row r="3827" spans="9:17" hidden="1">
      <c r="I3827" s="20"/>
      <c r="M3827" s="19"/>
      <c r="N3827" s="19"/>
      <c r="O3827" s="19"/>
      <c r="P3827" s="19"/>
      <c r="Q3827" s="19"/>
    </row>
    <row r="3828" spans="9:17" hidden="1">
      <c r="I3828" s="20"/>
      <c r="M3828" s="19"/>
      <c r="N3828" s="19"/>
      <c r="O3828" s="19"/>
      <c r="P3828" s="19"/>
      <c r="Q3828" s="19"/>
    </row>
    <row r="3829" spans="9:17" hidden="1">
      <c r="I3829" s="20"/>
      <c r="M3829" s="19"/>
      <c r="N3829" s="19"/>
      <c r="O3829" s="19"/>
      <c r="P3829" s="19"/>
      <c r="Q3829" s="19"/>
    </row>
    <row r="3830" spans="9:17" hidden="1">
      <c r="I3830" s="20"/>
      <c r="M3830" s="19"/>
      <c r="N3830" s="19"/>
      <c r="O3830" s="19"/>
      <c r="P3830" s="19"/>
      <c r="Q3830" s="19"/>
    </row>
    <row r="3831" spans="9:17" hidden="1">
      <c r="I3831" s="20"/>
      <c r="M3831" s="19"/>
      <c r="N3831" s="19"/>
      <c r="O3831" s="19"/>
      <c r="P3831" s="19"/>
      <c r="Q3831" s="19"/>
    </row>
    <row r="3832" spans="9:17" hidden="1">
      <c r="I3832" s="20"/>
      <c r="M3832" s="19"/>
      <c r="N3832" s="19"/>
      <c r="O3832" s="19"/>
      <c r="P3832" s="19"/>
      <c r="Q3832" s="19"/>
    </row>
    <row r="3833" spans="9:17" hidden="1">
      <c r="I3833" s="20"/>
      <c r="M3833" s="19"/>
      <c r="N3833" s="19"/>
      <c r="O3833" s="19"/>
      <c r="P3833" s="19"/>
      <c r="Q3833" s="19"/>
    </row>
    <row r="3834" spans="9:17" hidden="1">
      <c r="I3834" s="20"/>
      <c r="M3834" s="19"/>
      <c r="N3834" s="19"/>
      <c r="O3834" s="19"/>
      <c r="P3834" s="19"/>
      <c r="Q3834" s="19"/>
    </row>
    <row r="3835" spans="9:17" hidden="1">
      <c r="I3835" s="20"/>
      <c r="M3835" s="19"/>
      <c r="N3835" s="19"/>
      <c r="O3835" s="19"/>
      <c r="P3835" s="19"/>
      <c r="Q3835" s="19"/>
    </row>
    <row r="3836" spans="9:17" hidden="1">
      <c r="I3836" s="20"/>
      <c r="M3836" s="19"/>
      <c r="N3836" s="19"/>
      <c r="O3836" s="19"/>
      <c r="P3836" s="19"/>
      <c r="Q3836" s="19"/>
    </row>
    <row r="3837" spans="9:17" hidden="1">
      <c r="I3837" s="20"/>
      <c r="M3837" s="19"/>
      <c r="N3837" s="19"/>
      <c r="O3837" s="19"/>
      <c r="P3837" s="19"/>
      <c r="Q3837" s="19"/>
    </row>
    <row r="3838" spans="9:17" hidden="1">
      <c r="I3838" s="20"/>
      <c r="M3838" s="19"/>
      <c r="N3838" s="19"/>
      <c r="O3838" s="19"/>
      <c r="P3838" s="19"/>
      <c r="Q3838" s="19"/>
    </row>
    <row r="3839" spans="9:17" hidden="1">
      <c r="I3839" s="20"/>
      <c r="M3839" s="19"/>
      <c r="N3839" s="19"/>
      <c r="O3839" s="19"/>
      <c r="P3839" s="19"/>
      <c r="Q3839" s="19"/>
    </row>
    <row r="3840" spans="9:17" hidden="1">
      <c r="I3840" s="20"/>
      <c r="M3840" s="19"/>
      <c r="N3840" s="19"/>
      <c r="O3840" s="19"/>
      <c r="P3840" s="19"/>
      <c r="Q3840" s="19"/>
    </row>
    <row r="3841" spans="9:17" hidden="1">
      <c r="I3841" s="20"/>
      <c r="M3841" s="19"/>
      <c r="N3841" s="19"/>
      <c r="O3841" s="19"/>
      <c r="P3841" s="19"/>
      <c r="Q3841" s="19"/>
    </row>
    <row r="3842" spans="9:17" hidden="1">
      <c r="I3842" s="20"/>
      <c r="M3842" s="19"/>
      <c r="N3842" s="19"/>
      <c r="O3842" s="19"/>
      <c r="P3842" s="19"/>
      <c r="Q3842" s="19"/>
    </row>
    <row r="3843" spans="9:17" hidden="1">
      <c r="I3843" s="20"/>
      <c r="M3843" s="19"/>
      <c r="N3843" s="19"/>
      <c r="O3843" s="19"/>
      <c r="P3843" s="19"/>
      <c r="Q3843" s="19"/>
    </row>
    <row r="3844" spans="9:17" hidden="1">
      <c r="I3844" s="20"/>
      <c r="M3844" s="19"/>
      <c r="N3844" s="19"/>
      <c r="O3844" s="19"/>
      <c r="P3844" s="19"/>
      <c r="Q3844" s="19"/>
    </row>
    <row r="3845" spans="9:17" hidden="1">
      <c r="I3845" s="20"/>
      <c r="M3845" s="19"/>
      <c r="N3845" s="19"/>
      <c r="O3845" s="19"/>
      <c r="P3845" s="19"/>
      <c r="Q3845" s="19"/>
    </row>
    <row r="3846" spans="9:17" hidden="1">
      <c r="I3846" s="20"/>
      <c r="M3846" s="19"/>
      <c r="N3846" s="19"/>
      <c r="O3846" s="19"/>
      <c r="P3846" s="19"/>
      <c r="Q3846" s="19"/>
    </row>
    <row r="3847" spans="9:17" hidden="1">
      <c r="I3847" s="20"/>
      <c r="M3847" s="19"/>
      <c r="N3847" s="19"/>
      <c r="O3847" s="19"/>
      <c r="P3847" s="19"/>
      <c r="Q3847" s="19"/>
    </row>
    <row r="3848" spans="9:17" hidden="1">
      <c r="I3848" s="20"/>
      <c r="M3848" s="19"/>
      <c r="N3848" s="19"/>
      <c r="O3848" s="19"/>
      <c r="P3848" s="19"/>
      <c r="Q3848" s="19"/>
    </row>
    <row r="3849" spans="9:17" hidden="1">
      <c r="I3849" s="20"/>
      <c r="M3849" s="19"/>
      <c r="N3849" s="19"/>
      <c r="O3849" s="19"/>
      <c r="P3849" s="19"/>
      <c r="Q3849" s="19"/>
    </row>
    <row r="3850" spans="9:17" hidden="1">
      <c r="I3850" s="20"/>
      <c r="M3850" s="19"/>
      <c r="N3850" s="19"/>
      <c r="O3850" s="19"/>
      <c r="P3850" s="19"/>
      <c r="Q3850" s="19"/>
    </row>
    <row r="3851" spans="9:17" hidden="1">
      <c r="I3851" s="20"/>
      <c r="M3851" s="19"/>
      <c r="N3851" s="19"/>
      <c r="O3851" s="19"/>
      <c r="P3851" s="19"/>
      <c r="Q3851" s="19"/>
    </row>
    <row r="3852" spans="9:17" hidden="1">
      <c r="I3852" s="20"/>
      <c r="M3852" s="19"/>
      <c r="N3852" s="19"/>
      <c r="O3852" s="19"/>
      <c r="P3852" s="19"/>
      <c r="Q3852" s="19"/>
    </row>
    <row r="3853" spans="9:17" hidden="1">
      <c r="I3853" s="20"/>
      <c r="M3853" s="19"/>
      <c r="N3853" s="19"/>
      <c r="O3853" s="19"/>
      <c r="P3853" s="19"/>
      <c r="Q3853" s="19"/>
    </row>
    <row r="3854" spans="9:17" hidden="1">
      <c r="I3854" s="20"/>
      <c r="M3854" s="19"/>
      <c r="N3854" s="19"/>
      <c r="O3854" s="19"/>
      <c r="P3854" s="19"/>
      <c r="Q3854" s="19"/>
    </row>
    <row r="3855" spans="9:17" hidden="1">
      <c r="I3855" s="20"/>
      <c r="M3855" s="19"/>
      <c r="N3855" s="19"/>
      <c r="O3855" s="19"/>
      <c r="P3855" s="19"/>
      <c r="Q3855" s="19"/>
    </row>
    <row r="3856" spans="9:17" hidden="1">
      <c r="I3856" s="20"/>
      <c r="M3856" s="19"/>
      <c r="N3856" s="19"/>
      <c r="O3856" s="19"/>
      <c r="P3856" s="19"/>
      <c r="Q3856" s="19"/>
    </row>
    <row r="3857" spans="9:17" hidden="1">
      <c r="I3857" s="20"/>
      <c r="M3857" s="19"/>
      <c r="N3857" s="19"/>
      <c r="O3857" s="19"/>
      <c r="P3857" s="19"/>
      <c r="Q3857" s="19"/>
    </row>
    <row r="3858" spans="9:17" hidden="1">
      <c r="I3858" s="20"/>
      <c r="M3858" s="19"/>
      <c r="N3858" s="19"/>
      <c r="O3858" s="19"/>
      <c r="P3858" s="19"/>
      <c r="Q3858" s="19"/>
    </row>
    <row r="3859" spans="9:17" hidden="1">
      <c r="I3859" s="20"/>
      <c r="M3859" s="19"/>
      <c r="N3859" s="19"/>
      <c r="O3859" s="19"/>
      <c r="P3859" s="19"/>
      <c r="Q3859" s="19"/>
    </row>
    <row r="3860" spans="9:17" hidden="1">
      <c r="I3860" s="20"/>
      <c r="M3860" s="19"/>
      <c r="N3860" s="19"/>
      <c r="O3860" s="19"/>
      <c r="P3860" s="19"/>
      <c r="Q3860" s="19"/>
    </row>
    <row r="3861" spans="9:17" hidden="1">
      <c r="I3861" s="20"/>
      <c r="M3861" s="19"/>
      <c r="N3861" s="19"/>
      <c r="O3861" s="19"/>
      <c r="P3861" s="19"/>
      <c r="Q3861" s="19"/>
    </row>
    <row r="3862" spans="9:17" hidden="1">
      <c r="I3862" s="20"/>
      <c r="M3862" s="19"/>
      <c r="N3862" s="19"/>
      <c r="O3862" s="19"/>
      <c r="P3862" s="19"/>
      <c r="Q3862" s="19"/>
    </row>
    <row r="3863" spans="9:17" hidden="1">
      <c r="I3863" s="20"/>
      <c r="M3863" s="19"/>
      <c r="N3863" s="19"/>
      <c r="O3863" s="19"/>
      <c r="P3863" s="19"/>
      <c r="Q3863" s="19"/>
    </row>
    <row r="3864" spans="9:17" hidden="1">
      <c r="I3864" s="20"/>
      <c r="M3864" s="19"/>
      <c r="N3864" s="19"/>
      <c r="O3864" s="19"/>
      <c r="P3864" s="19"/>
      <c r="Q3864" s="19"/>
    </row>
    <row r="3865" spans="9:17" hidden="1">
      <c r="I3865" s="20"/>
      <c r="M3865" s="19"/>
      <c r="N3865" s="19"/>
      <c r="O3865" s="19"/>
      <c r="P3865" s="19"/>
      <c r="Q3865" s="19"/>
    </row>
    <row r="3866" spans="9:17" hidden="1">
      <c r="I3866" s="20"/>
      <c r="M3866" s="19"/>
      <c r="N3866" s="19"/>
      <c r="O3866" s="19"/>
      <c r="P3866" s="19"/>
      <c r="Q3866" s="19"/>
    </row>
    <row r="3867" spans="9:17" hidden="1">
      <c r="I3867" s="20"/>
      <c r="M3867" s="19"/>
      <c r="N3867" s="19"/>
      <c r="O3867" s="19"/>
      <c r="P3867" s="19"/>
      <c r="Q3867" s="19"/>
    </row>
    <row r="3868" spans="9:17" hidden="1">
      <c r="I3868" s="20"/>
      <c r="M3868" s="19"/>
      <c r="N3868" s="19"/>
      <c r="O3868" s="19"/>
      <c r="P3868" s="19"/>
      <c r="Q3868" s="19"/>
    </row>
    <row r="3869" spans="9:17" hidden="1">
      <c r="I3869" s="20"/>
      <c r="M3869" s="19"/>
      <c r="N3869" s="19"/>
      <c r="O3869" s="19"/>
      <c r="P3869" s="19"/>
      <c r="Q3869" s="19"/>
    </row>
    <row r="3870" spans="9:17" hidden="1">
      <c r="I3870" s="20"/>
      <c r="M3870" s="19"/>
      <c r="N3870" s="19"/>
      <c r="O3870" s="19"/>
      <c r="P3870" s="19"/>
      <c r="Q3870" s="19"/>
    </row>
    <row r="3871" spans="9:17" hidden="1">
      <c r="I3871" s="20"/>
      <c r="M3871" s="19"/>
      <c r="N3871" s="19"/>
      <c r="O3871" s="19"/>
      <c r="P3871" s="19"/>
      <c r="Q3871" s="19"/>
    </row>
    <row r="3872" spans="9:17" hidden="1">
      <c r="I3872" s="20"/>
      <c r="M3872" s="19"/>
      <c r="N3872" s="19"/>
      <c r="O3872" s="19"/>
      <c r="P3872" s="19"/>
      <c r="Q3872" s="19"/>
    </row>
    <row r="3873" spans="9:17" hidden="1">
      <c r="I3873" s="20"/>
      <c r="M3873" s="19"/>
      <c r="N3873" s="19"/>
      <c r="O3873" s="19"/>
      <c r="P3873" s="19"/>
      <c r="Q3873" s="19"/>
    </row>
    <row r="3874" spans="9:17" hidden="1">
      <c r="I3874" s="20"/>
      <c r="M3874" s="19"/>
      <c r="N3874" s="19"/>
      <c r="O3874" s="19"/>
      <c r="P3874" s="19"/>
      <c r="Q3874" s="19"/>
    </row>
    <row r="3875" spans="9:17" hidden="1">
      <c r="I3875" s="20"/>
      <c r="M3875" s="19"/>
      <c r="N3875" s="19"/>
      <c r="O3875" s="19"/>
      <c r="P3875" s="19"/>
      <c r="Q3875" s="19"/>
    </row>
    <row r="3876" spans="9:17" hidden="1">
      <c r="I3876" s="20"/>
      <c r="M3876" s="19"/>
      <c r="N3876" s="19"/>
      <c r="O3876" s="19"/>
      <c r="P3876" s="19"/>
      <c r="Q3876" s="19"/>
    </row>
    <row r="3877" spans="9:17" hidden="1">
      <c r="I3877" s="20"/>
      <c r="M3877" s="19"/>
      <c r="N3877" s="19"/>
      <c r="O3877" s="19"/>
      <c r="P3877" s="19"/>
      <c r="Q3877" s="19"/>
    </row>
    <row r="3878" spans="9:17" hidden="1">
      <c r="I3878" s="20"/>
      <c r="M3878" s="19"/>
      <c r="N3878" s="19"/>
      <c r="O3878" s="19"/>
      <c r="P3878" s="19"/>
      <c r="Q3878" s="19"/>
    </row>
    <row r="3879" spans="9:17" hidden="1">
      <c r="I3879" s="20"/>
      <c r="M3879" s="19"/>
      <c r="N3879" s="19"/>
      <c r="O3879" s="19"/>
      <c r="P3879" s="19"/>
      <c r="Q3879" s="19"/>
    </row>
    <row r="3880" spans="9:17" hidden="1">
      <c r="I3880" s="20"/>
      <c r="M3880" s="19"/>
      <c r="N3880" s="19"/>
      <c r="O3880" s="19"/>
      <c r="P3880" s="19"/>
      <c r="Q3880" s="19"/>
    </row>
    <row r="3881" spans="9:17" hidden="1">
      <c r="I3881" s="20"/>
      <c r="M3881" s="19"/>
      <c r="N3881" s="19"/>
      <c r="O3881" s="19"/>
      <c r="P3881" s="19"/>
      <c r="Q3881" s="19"/>
    </row>
    <row r="3882" spans="9:17" hidden="1">
      <c r="I3882" s="20"/>
      <c r="M3882" s="19"/>
      <c r="N3882" s="19"/>
      <c r="O3882" s="19"/>
      <c r="P3882" s="19"/>
      <c r="Q3882" s="19"/>
    </row>
    <row r="3883" spans="9:17" hidden="1">
      <c r="I3883" s="20"/>
      <c r="M3883" s="19"/>
      <c r="N3883" s="19"/>
      <c r="O3883" s="19"/>
      <c r="P3883" s="19"/>
      <c r="Q3883" s="19"/>
    </row>
    <row r="3884" spans="9:17" hidden="1">
      <c r="I3884" s="20"/>
      <c r="M3884" s="19"/>
      <c r="N3884" s="19"/>
      <c r="O3884" s="19"/>
      <c r="P3884" s="19"/>
      <c r="Q3884" s="19"/>
    </row>
    <row r="3885" spans="9:17" hidden="1">
      <c r="I3885" s="20"/>
      <c r="M3885" s="19"/>
      <c r="N3885" s="19"/>
      <c r="O3885" s="19"/>
      <c r="P3885" s="19"/>
      <c r="Q3885" s="19"/>
    </row>
    <row r="3886" spans="9:17" hidden="1">
      <c r="I3886" s="20"/>
      <c r="M3886" s="19"/>
      <c r="N3886" s="19"/>
      <c r="O3886" s="19"/>
      <c r="P3886" s="19"/>
      <c r="Q3886" s="19"/>
    </row>
    <row r="3887" spans="9:17" hidden="1">
      <c r="I3887" s="20"/>
      <c r="M3887" s="19"/>
      <c r="N3887" s="19"/>
      <c r="O3887" s="19"/>
      <c r="P3887" s="19"/>
      <c r="Q3887" s="19"/>
    </row>
    <row r="3888" spans="9:17" hidden="1">
      <c r="I3888" s="20"/>
      <c r="M3888" s="19"/>
      <c r="N3888" s="19"/>
      <c r="O3888" s="19"/>
      <c r="P3888" s="19"/>
      <c r="Q3888" s="19"/>
    </row>
    <row r="3889" spans="9:17" hidden="1">
      <c r="I3889" s="20"/>
      <c r="M3889" s="19"/>
      <c r="N3889" s="19"/>
      <c r="O3889" s="19"/>
      <c r="P3889" s="19"/>
      <c r="Q3889" s="19"/>
    </row>
    <row r="3890" spans="9:17" hidden="1">
      <c r="I3890" s="20"/>
      <c r="M3890" s="19"/>
      <c r="N3890" s="19"/>
      <c r="O3890" s="19"/>
      <c r="P3890" s="19"/>
      <c r="Q3890" s="19"/>
    </row>
    <row r="3891" spans="9:17" hidden="1">
      <c r="I3891" s="20"/>
      <c r="M3891" s="19"/>
      <c r="N3891" s="19"/>
      <c r="O3891" s="19"/>
      <c r="P3891" s="19"/>
      <c r="Q3891" s="19"/>
    </row>
    <row r="3892" spans="9:17" hidden="1">
      <c r="I3892" s="20"/>
      <c r="M3892" s="19"/>
      <c r="N3892" s="19"/>
      <c r="O3892" s="19"/>
      <c r="P3892" s="19"/>
      <c r="Q3892" s="19"/>
    </row>
    <row r="3893" spans="9:17" hidden="1">
      <c r="I3893" s="20"/>
      <c r="M3893" s="19"/>
      <c r="N3893" s="19"/>
      <c r="O3893" s="19"/>
      <c r="P3893" s="19"/>
      <c r="Q3893" s="19"/>
    </row>
    <row r="3894" spans="9:17" hidden="1">
      <c r="I3894" s="20"/>
      <c r="M3894" s="19"/>
      <c r="N3894" s="19"/>
      <c r="O3894" s="19"/>
      <c r="P3894" s="19"/>
      <c r="Q3894" s="19"/>
    </row>
    <row r="3895" spans="9:17" hidden="1">
      <c r="I3895" s="20"/>
      <c r="M3895" s="19"/>
      <c r="N3895" s="19"/>
      <c r="O3895" s="19"/>
      <c r="P3895" s="19"/>
      <c r="Q3895" s="19"/>
    </row>
    <row r="3896" spans="9:17" hidden="1">
      <c r="I3896" s="20"/>
      <c r="M3896" s="19"/>
      <c r="N3896" s="19"/>
      <c r="O3896" s="19"/>
      <c r="P3896" s="19"/>
      <c r="Q3896" s="19"/>
    </row>
    <row r="3897" spans="9:17" hidden="1">
      <c r="I3897" s="20"/>
      <c r="M3897" s="19"/>
      <c r="N3897" s="19"/>
      <c r="O3897" s="19"/>
      <c r="P3897" s="19"/>
      <c r="Q3897" s="19"/>
    </row>
    <row r="3898" spans="9:17" hidden="1">
      <c r="I3898" s="20"/>
      <c r="M3898" s="19"/>
      <c r="N3898" s="19"/>
      <c r="O3898" s="19"/>
      <c r="P3898" s="19"/>
      <c r="Q3898" s="19"/>
    </row>
    <row r="3899" spans="9:17" hidden="1">
      <c r="I3899" s="20"/>
      <c r="M3899" s="19"/>
      <c r="N3899" s="19"/>
      <c r="O3899" s="19"/>
      <c r="P3899" s="19"/>
      <c r="Q3899" s="19"/>
    </row>
    <row r="3900" spans="9:17" hidden="1">
      <c r="I3900" s="20"/>
      <c r="M3900" s="19"/>
      <c r="N3900" s="19"/>
      <c r="O3900" s="19"/>
      <c r="P3900" s="19"/>
      <c r="Q3900" s="19"/>
    </row>
    <row r="3901" spans="9:17" hidden="1">
      <c r="I3901" s="20"/>
      <c r="M3901" s="19"/>
      <c r="N3901" s="19"/>
      <c r="O3901" s="19"/>
      <c r="P3901" s="19"/>
      <c r="Q3901" s="19"/>
    </row>
    <row r="3902" spans="9:17" hidden="1">
      <c r="I3902" s="20"/>
      <c r="M3902" s="19"/>
      <c r="N3902" s="19"/>
      <c r="O3902" s="19"/>
      <c r="P3902" s="19"/>
      <c r="Q3902" s="19"/>
    </row>
    <row r="3903" spans="9:17" hidden="1">
      <c r="I3903" s="20"/>
      <c r="M3903" s="19"/>
      <c r="N3903" s="19"/>
      <c r="O3903" s="19"/>
      <c r="P3903" s="19"/>
      <c r="Q3903" s="19"/>
    </row>
    <row r="3904" spans="9:17" hidden="1">
      <c r="I3904" s="20"/>
      <c r="M3904" s="19"/>
      <c r="N3904" s="19"/>
      <c r="O3904" s="19"/>
      <c r="P3904" s="19"/>
      <c r="Q3904" s="19"/>
    </row>
    <row r="3905" spans="9:17" hidden="1">
      <c r="I3905" s="20"/>
      <c r="M3905" s="19"/>
      <c r="N3905" s="19"/>
      <c r="O3905" s="19"/>
      <c r="P3905" s="19"/>
      <c r="Q3905" s="19"/>
    </row>
    <row r="3906" spans="9:17" hidden="1">
      <c r="I3906" s="20"/>
      <c r="M3906" s="19"/>
      <c r="N3906" s="19"/>
      <c r="O3906" s="19"/>
      <c r="P3906" s="19"/>
      <c r="Q3906" s="19"/>
    </row>
    <row r="3907" spans="9:17" hidden="1">
      <c r="I3907" s="20"/>
      <c r="M3907" s="19"/>
      <c r="N3907" s="19"/>
      <c r="O3907" s="19"/>
      <c r="P3907" s="19"/>
      <c r="Q3907" s="19"/>
    </row>
    <row r="3908" spans="9:17" hidden="1">
      <c r="I3908" s="20"/>
      <c r="M3908" s="19"/>
      <c r="N3908" s="19"/>
      <c r="O3908" s="19"/>
      <c r="P3908" s="19"/>
      <c r="Q3908" s="19"/>
    </row>
    <row r="3909" spans="9:17" hidden="1">
      <c r="I3909" s="20"/>
      <c r="M3909" s="19"/>
      <c r="N3909" s="19"/>
      <c r="O3909" s="19"/>
      <c r="P3909" s="19"/>
      <c r="Q3909" s="19"/>
    </row>
    <row r="3910" spans="9:17" hidden="1">
      <c r="I3910" s="20"/>
      <c r="M3910" s="19"/>
      <c r="N3910" s="19"/>
      <c r="O3910" s="19"/>
      <c r="P3910" s="19"/>
      <c r="Q3910" s="19"/>
    </row>
    <row r="3911" spans="9:17" hidden="1">
      <c r="I3911" s="20"/>
      <c r="M3911" s="19"/>
      <c r="N3911" s="19"/>
      <c r="O3911" s="19"/>
      <c r="P3911" s="19"/>
      <c r="Q3911" s="19"/>
    </row>
    <row r="3912" spans="9:17" hidden="1">
      <c r="I3912" s="20"/>
      <c r="M3912" s="19"/>
      <c r="N3912" s="19"/>
      <c r="O3912" s="19"/>
      <c r="P3912" s="19"/>
      <c r="Q3912" s="19"/>
    </row>
    <row r="3913" spans="9:17" hidden="1">
      <c r="I3913" s="20"/>
      <c r="M3913" s="19"/>
      <c r="N3913" s="19"/>
      <c r="O3913" s="19"/>
      <c r="P3913" s="19"/>
      <c r="Q3913" s="19"/>
    </row>
    <row r="3914" spans="9:17" hidden="1">
      <c r="I3914" s="20"/>
      <c r="M3914" s="19"/>
      <c r="N3914" s="19"/>
      <c r="O3914" s="19"/>
      <c r="P3914" s="19"/>
      <c r="Q3914" s="19"/>
    </row>
    <row r="3915" spans="9:17" hidden="1">
      <c r="I3915" s="20"/>
      <c r="M3915" s="19"/>
      <c r="N3915" s="19"/>
      <c r="O3915" s="19"/>
      <c r="P3915" s="19"/>
      <c r="Q3915" s="19"/>
    </row>
    <row r="3916" spans="9:17" hidden="1">
      <c r="I3916" s="20"/>
      <c r="M3916" s="19"/>
      <c r="N3916" s="19"/>
      <c r="O3916" s="19"/>
      <c r="P3916" s="19"/>
      <c r="Q3916" s="19"/>
    </row>
    <row r="3917" spans="9:17" hidden="1">
      <c r="I3917" s="20"/>
      <c r="M3917" s="19"/>
      <c r="N3917" s="19"/>
      <c r="O3917" s="19"/>
      <c r="P3917" s="19"/>
      <c r="Q3917" s="19"/>
    </row>
    <row r="3918" spans="9:17" hidden="1">
      <c r="I3918" s="20"/>
      <c r="M3918" s="19"/>
      <c r="N3918" s="19"/>
      <c r="O3918" s="19"/>
      <c r="P3918" s="19"/>
      <c r="Q3918" s="19"/>
    </row>
    <row r="3919" spans="9:17" hidden="1">
      <c r="I3919" s="20"/>
      <c r="M3919" s="19"/>
      <c r="N3919" s="19"/>
      <c r="O3919" s="19"/>
      <c r="P3919" s="19"/>
      <c r="Q3919" s="19"/>
    </row>
    <row r="3920" spans="9:17" hidden="1">
      <c r="I3920" s="20"/>
      <c r="M3920" s="19"/>
      <c r="N3920" s="19"/>
      <c r="O3920" s="19"/>
      <c r="P3920" s="19"/>
      <c r="Q3920" s="19"/>
    </row>
    <row r="3921" spans="9:17" hidden="1">
      <c r="I3921" s="20"/>
      <c r="M3921" s="19"/>
      <c r="N3921" s="19"/>
      <c r="O3921" s="19"/>
      <c r="P3921" s="19"/>
      <c r="Q3921" s="19"/>
    </row>
    <row r="3922" spans="9:17" hidden="1">
      <c r="I3922" s="20"/>
      <c r="M3922" s="19"/>
      <c r="N3922" s="19"/>
      <c r="O3922" s="19"/>
      <c r="P3922" s="19"/>
      <c r="Q3922" s="19"/>
    </row>
    <row r="3923" spans="9:17" hidden="1">
      <c r="I3923" s="20"/>
      <c r="M3923" s="19"/>
      <c r="N3923" s="19"/>
      <c r="O3923" s="19"/>
      <c r="P3923" s="19"/>
      <c r="Q3923" s="19"/>
    </row>
    <row r="3924" spans="9:17" hidden="1">
      <c r="I3924" s="20"/>
      <c r="M3924" s="19"/>
      <c r="N3924" s="19"/>
      <c r="O3924" s="19"/>
      <c r="P3924" s="19"/>
      <c r="Q3924" s="19"/>
    </row>
    <row r="3925" spans="9:17" hidden="1">
      <c r="I3925" s="20"/>
      <c r="M3925" s="19"/>
      <c r="N3925" s="19"/>
      <c r="O3925" s="19"/>
      <c r="P3925" s="19"/>
      <c r="Q3925" s="19"/>
    </row>
    <row r="3926" spans="9:17" hidden="1">
      <c r="I3926" s="20"/>
      <c r="M3926" s="19"/>
      <c r="N3926" s="19"/>
      <c r="O3926" s="19"/>
      <c r="P3926" s="19"/>
      <c r="Q3926" s="19"/>
    </row>
    <row r="3927" spans="9:17" hidden="1">
      <c r="I3927" s="20"/>
      <c r="M3927" s="19"/>
      <c r="N3927" s="19"/>
      <c r="O3927" s="19"/>
      <c r="P3927" s="19"/>
      <c r="Q3927" s="19"/>
    </row>
    <row r="3928" spans="9:17" hidden="1">
      <c r="I3928" s="20"/>
      <c r="M3928" s="19"/>
      <c r="N3928" s="19"/>
      <c r="O3928" s="19"/>
      <c r="P3928" s="19"/>
      <c r="Q3928" s="19"/>
    </row>
    <row r="3929" spans="9:17" hidden="1">
      <c r="I3929" s="20"/>
      <c r="M3929" s="19"/>
      <c r="N3929" s="19"/>
      <c r="O3929" s="19"/>
      <c r="P3929" s="19"/>
      <c r="Q3929" s="19"/>
    </row>
    <row r="3930" spans="9:17" hidden="1">
      <c r="I3930" s="20"/>
      <c r="M3930" s="19"/>
      <c r="N3930" s="19"/>
      <c r="O3930" s="19"/>
      <c r="P3930" s="19"/>
      <c r="Q3930" s="19"/>
    </row>
    <row r="3931" spans="9:17" hidden="1">
      <c r="I3931" s="20"/>
      <c r="M3931" s="19"/>
      <c r="N3931" s="19"/>
      <c r="O3931" s="19"/>
      <c r="P3931" s="19"/>
      <c r="Q3931" s="19"/>
    </row>
    <row r="3932" spans="9:17" hidden="1">
      <c r="I3932" s="20"/>
      <c r="M3932" s="19"/>
      <c r="N3932" s="19"/>
      <c r="O3932" s="19"/>
      <c r="P3932" s="19"/>
      <c r="Q3932" s="19"/>
    </row>
    <row r="3933" spans="9:17" hidden="1">
      <c r="I3933" s="20"/>
      <c r="M3933" s="19"/>
      <c r="N3933" s="19"/>
      <c r="O3933" s="19"/>
      <c r="P3933" s="19"/>
      <c r="Q3933" s="19"/>
    </row>
    <row r="3934" spans="9:17" hidden="1">
      <c r="I3934" s="20"/>
      <c r="M3934" s="19"/>
      <c r="N3934" s="19"/>
      <c r="O3934" s="19"/>
      <c r="P3934" s="19"/>
      <c r="Q3934" s="19"/>
    </row>
    <row r="3935" spans="9:17" hidden="1">
      <c r="I3935" s="20"/>
      <c r="M3935" s="19"/>
      <c r="N3935" s="19"/>
      <c r="O3935" s="19"/>
      <c r="P3935" s="19"/>
      <c r="Q3935" s="19"/>
    </row>
    <row r="3936" spans="9:17" hidden="1">
      <c r="I3936" s="20"/>
      <c r="M3936" s="19"/>
      <c r="N3936" s="19"/>
      <c r="O3936" s="19"/>
      <c r="P3936" s="19"/>
      <c r="Q3936" s="19"/>
    </row>
    <row r="3937" spans="9:17" hidden="1">
      <c r="I3937" s="20"/>
      <c r="M3937" s="19"/>
      <c r="N3937" s="19"/>
      <c r="O3937" s="19"/>
      <c r="P3937" s="19"/>
      <c r="Q3937" s="19"/>
    </row>
    <row r="3938" spans="9:17" hidden="1">
      <c r="I3938" s="20"/>
      <c r="M3938" s="19"/>
      <c r="N3938" s="19"/>
      <c r="O3938" s="19"/>
      <c r="P3938" s="19"/>
      <c r="Q3938" s="19"/>
    </row>
    <row r="3939" spans="9:17" hidden="1">
      <c r="I3939" s="20"/>
      <c r="M3939" s="19"/>
      <c r="N3939" s="19"/>
      <c r="O3939" s="19"/>
      <c r="P3939" s="19"/>
      <c r="Q3939" s="19"/>
    </row>
    <row r="3940" spans="9:17" hidden="1">
      <c r="I3940" s="20"/>
      <c r="M3940" s="19"/>
      <c r="N3940" s="19"/>
      <c r="O3940" s="19"/>
      <c r="P3940" s="19"/>
      <c r="Q3940" s="19"/>
    </row>
    <row r="3941" spans="9:17" hidden="1">
      <c r="I3941" s="20"/>
      <c r="M3941" s="19"/>
      <c r="N3941" s="19"/>
      <c r="O3941" s="19"/>
      <c r="P3941" s="19"/>
      <c r="Q3941" s="19"/>
    </row>
    <row r="3942" spans="9:17" hidden="1">
      <c r="I3942" s="20"/>
      <c r="M3942" s="19"/>
      <c r="N3942" s="19"/>
      <c r="O3942" s="19"/>
      <c r="P3942" s="19"/>
      <c r="Q3942" s="19"/>
    </row>
    <row r="3943" spans="9:17" hidden="1">
      <c r="I3943" s="20"/>
      <c r="M3943" s="19"/>
      <c r="N3943" s="19"/>
      <c r="O3943" s="19"/>
      <c r="P3943" s="19"/>
      <c r="Q3943" s="19"/>
    </row>
    <row r="3944" spans="9:17" hidden="1">
      <c r="I3944" s="20"/>
      <c r="M3944" s="19"/>
      <c r="N3944" s="19"/>
      <c r="O3944" s="19"/>
      <c r="P3944" s="19"/>
      <c r="Q3944" s="19"/>
    </row>
    <row r="3945" spans="9:17" hidden="1">
      <c r="I3945" s="20"/>
      <c r="M3945" s="19"/>
      <c r="N3945" s="19"/>
      <c r="O3945" s="19"/>
      <c r="P3945" s="19"/>
      <c r="Q3945" s="19"/>
    </row>
    <row r="3946" spans="9:17" hidden="1">
      <c r="I3946" s="20"/>
      <c r="M3946" s="19"/>
      <c r="N3946" s="19"/>
      <c r="O3946" s="19"/>
      <c r="P3946" s="19"/>
      <c r="Q3946" s="19"/>
    </row>
    <row r="3947" spans="9:17" hidden="1">
      <c r="I3947" s="20"/>
      <c r="M3947" s="19"/>
      <c r="N3947" s="19"/>
      <c r="O3947" s="19"/>
      <c r="P3947" s="19"/>
      <c r="Q3947" s="19"/>
    </row>
    <row r="3948" spans="9:17" hidden="1">
      <c r="I3948" s="20"/>
      <c r="M3948" s="19"/>
      <c r="N3948" s="19"/>
      <c r="O3948" s="19"/>
      <c r="P3948" s="19"/>
      <c r="Q3948" s="19"/>
    </row>
    <row r="3949" spans="9:17" hidden="1">
      <c r="I3949" s="20"/>
      <c r="M3949" s="19"/>
      <c r="N3949" s="19"/>
      <c r="O3949" s="19"/>
      <c r="P3949" s="19"/>
      <c r="Q3949" s="19"/>
    </row>
    <row r="3950" spans="9:17" hidden="1">
      <c r="I3950" s="20"/>
      <c r="M3950" s="19"/>
      <c r="N3950" s="19"/>
      <c r="O3950" s="19"/>
      <c r="P3950" s="19"/>
      <c r="Q3950" s="19"/>
    </row>
    <row r="3951" spans="9:17" hidden="1">
      <c r="I3951" s="20"/>
      <c r="M3951" s="19"/>
      <c r="N3951" s="19"/>
      <c r="O3951" s="19"/>
      <c r="P3951" s="19"/>
      <c r="Q3951" s="19"/>
    </row>
    <row r="3952" spans="9:17" hidden="1">
      <c r="I3952" s="20"/>
      <c r="M3952" s="19"/>
      <c r="N3952" s="19"/>
      <c r="O3952" s="19"/>
      <c r="P3952" s="19"/>
      <c r="Q3952" s="19"/>
    </row>
    <row r="3953" spans="9:17" hidden="1">
      <c r="I3953" s="20"/>
      <c r="M3953" s="19"/>
      <c r="N3953" s="19"/>
      <c r="O3953" s="19"/>
      <c r="P3953" s="19"/>
      <c r="Q3953" s="19"/>
    </row>
    <row r="3954" spans="9:17" hidden="1">
      <c r="I3954" s="20"/>
      <c r="M3954" s="19"/>
      <c r="N3954" s="19"/>
      <c r="O3954" s="19"/>
      <c r="P3954" s="19"/>
      <c r="Q3954" s="19"/>
    </row>
    <row r="3955" spans="9:17" hidden="1">
      <c r="I3955" s="20"/>
      <c r="M3955" s="19"/>
      <c r="N3955" s="19"/>
      <c r="O3955" s="19"/>
      <c r="P3955" s="19"/>
      <c r="Q3955" s="19"/>
    </row>
    <row r="3956" spans="9:17" hidden="1">
      <c r="I3956" s="20"/>
      <c r="M3956" s="19"/>
      <c r="N3956" s="19"/>
      <c r="O3956" s="19"/>
      <c r="P3956" s="19"/>
      <c r="Q3956" s="19"/>
    </row>
    <row r="3957" spans="9:17" hidden="1">
      <c r="I3957" s="20"/>
      <c r="M3957" s="19"/>
      <c r="N3957" s="19"/>
      <c r="O3957" s="19"/>
      <c r="P3957" s="19"/>
      <c r="Q3957" s="19"/>
    </row>
    <row r="3958" spans="9:17" hidden="1">
      <c r="I3958" s="20"/>
      <c r="M3958" s="19"/>
      <c r="N3958" s="19"/>
      <c r="O3958" s="19"/>
      <c r="P3958" s="19"/>
      <c r="Q3958" s="19"/>
    </row>
    <row r="3959" spans="9:17" hidden="1">
      <c r="I3959" s="20"/>
      <c r="M3959" s="19"/>
      <c r="N3959" s="19"/>
      <c r="O3959" s="19"/>
      <c r="P3959" s="19"/>
      <c r="Q3959" s="19"/>
    </row>
    <row r="3960" spans="9:17" hidden="1">
      <c r="I3960" s="20"/>
      <c r="M3960" s="19"/>
      <c r="N3960" s="19"/>
      <c r="O3960" s="19"/>
      <c r="P3960" s="19"/>
      <c r="Q3960" s="19"/>
    </row>
    <row r="3961" spans="9:17" hidden="1">
      <c r="I3961" s="20"/>
      <c r="M3961" s="19"/>
      <c r="N3961" s="19"/>
      <c r="O3961" s="19"/>
      <c r="P3961" s="19"/>
      <c r="Q3961" s="19"/>
    </row>
    <row r="3962" spans="9:17" hidden="1">
      <c r="I3962" s="20"/>
      <c r="M3962" s="19"/>
      <c r="N3962" s="19"/>
      <c r="O3962" s="19"/>
      <c r="P3962" s="19"/>
      <c r="Q3962" s="19"/>
    </row>
    <row r="3963" spans="9:17" hidden="1">
      <c r="I3963" s="20"/>
      <c r="M3963" s="19"/>
      <c r="N3963" s="19"/>
      <c r="O3963" s="19"/>
      <c r="P3963" s="19"/>
      <c r="Q3963" s="19"/>
    </row>
    <row r="3964" spans="9:17" hidden="1">
      <c r="I3964" s="20"/>
      <c r="M3964" s="19"/>
      <c r="N3964" s="19"/>
      <c r="O3964" s="19"/>
      <c r="P3964" s="19"/>
      <c r="Q3964" s="19"/>
    </row>
    <row r="3965" spans="9:17" hidden="1"/>
    <row r="3966" spans="9:17" hidden="1"/>
    <row r="3967" spans="9:17" hidden="1"/>
    <row r="3968" spans="9:17" hidden="1"/>
    <row r="3969" spans="1:28" hidden="1"/>
    <row r="3970" spans="1:28" ht="18.75">
      <c r="A3970" s="410" t="s">
        <v>106</v>
      </c>
      <c r="B3970" s="410"/>
      <c r="C3970" s="410"/>
      <c r="D3970" s="410"/>
      <c r="E3970" s="410"/>
      <c r="F3970" s="410"/>
      <c r="G3970" s="410"/>
      <c r="H3970" s="410"/>
      <c r="I3970" s="410"/>
      <c r="J3970" s="410"/>
      <c r="K3970" s="410"/>
      <c r="L3970" s="410"/>
      <c r="M3970" s="410"/>
      <c r="N3970" s="410"/>
      <c r="O3970" s="410"/>
      <c r="P3970" s="410"/>
      <c r="Q3970" s="410"/>
      <c r="V3970" s="914"/>
      <c r="W3970" s="914"/>
      <c r="X3970" s="38"/>
    </row>
    <row r="3971" spans="1:28">
      <c r="B3971" s="21">
        <f>COUNT(B3974:B4065)</f>
        <v>92</v>
      </c>
      <c r="C3971" s="21">
        <f t="shared" ref="C3971:I3971" si="52">COUNT(C3974:C4065)</f>
        <v>92</v>
      </c>
      <c r="D3971" s="21">
        <f t="shared" si="52"/>
        <v>92</v>
      </c>
      <c r="E3971" s="21">
        <f t="shared" si="52"/>
        <v>92</v>
      </c>
      <c r="F3971" s="21">
        <f t="shared" si="52"/>
        <v>92</v>
      </c>
      <c r="G3971" s="21">
        <f t="shared" si="52"/>
        <v>92</v>
      </c>
      <c r="H3971" s="21">
        <f t="shared" si="52"/>
        <v>92</v>
      </c>
      <c r="I3971" s="21">
        <f t="shared" si="52"/>
        <v>92</v>
      </c>
      <c r="L3971" s="21">
        <f>COUNT(L3974:L4020)</f>
        <v>47</v>
      </c>
      <c r="M3971" s="21">
        <f t="shared" ref="M3971:T3971" si="53">COUNT(M3974:M4020)</f>
        <v>47</v>
      </c>
      <c r="N3971" s="21">
        <f t="shared" si="53"/>
        <v>47</v>
      </c>
      <c r="O3971" s="21">
        <f t="shared" si="53"/>
        <v>47</v>
      </c>
      <c r="P3971" s="21">
        <f t="shared" si="53"/>
        <v>47</v>
      </c>
      <c r="Q3971" s="21">
        <f t="shared" si="53"/>
        <v>47</v>
      </c>
      <c r="R3971" s="21">
        <f t="shared" si="53"/>
        <v>47</v>
      </c>
      <c r="S3971" s="21">
        <f t="shared" si="53"/>
        <v>47</v>
      </c>
      <c r="T3971" s="21">
        <f t="shared" si="53"/>
        <v>47</v>
      </c>
      <c r="V3971" s="916"/>
      <c r="W3971" s="916"/>
      <c r="X3971" s="39"/>
      <c r="Z3971" s="916"/>
      <c r="AA3971" s="916"/>
      <c r="AB3971" s="40"/>
    </row>
    <row r="3972" spans="1:28" ht="15" customHeight="1">
      <c r="A3972" s="915" t="s">
        <v>417</v>
      </c>
      <c r="B3972" s="21">
        <f>COUNTA(B3974:B4065)</f>
        <v>92</v>
      </c>
      <c r="C3972" s="21">
        <f t="shared" ref="C3972:I3972" si="54">COUNTA(C3974:C4065)</f>
        <v>92</v>
      </c>
      <c r="D3972" s="21">
        <f t="shared" si="54"/>
        <v>92</v>
      </c>
      <c r="E3972" s="21">
        <f t="shared" si="54"/>
        <v>92</v>
      </c>
      <c r="F3972" s="21">
        <f t="shared" si="54"/>
        <v>92</v>
      </c>
      <c r="G3972" s="21">
        <f t="shared" si="54"/>
        <v>92</v>
      </c>
      <c r="H3972" s="21">
        <f t="shared" si="54"/>
        <v>92</v>
      </c>
      <c r="I3972" s="21">
        <f t="shared" si="54"/>
        <v>92</v>
      </c>
      <c r="J3972" s="905" t="s">
        <v>418</v>
      </c>
      <c r="K3972" s="906" t="s">
        <v>419</v>
      </c>
      <c r="L3972" s="21">
        <f>COUNTA(L3974:L4020)</f>
        <v>47</v>
      </c>
      <c r="M3972" s="21">
        <f t="shared" ref="M3972:T3972" si="55">COUNTA(M3974:M4020)</f>
        <v>47</v>
      </c>
      <c r="N3972" s="21">
        <f t="shared" si="55"/>
        <v>47</v>
      </c>
      <c r="O3972" s="21">
        <f t="shared" si="55"/>
        <v>47</v>
      </c>
      <c r="P3972" s="21">
        <f t="shared" si="55"/>
        <v>47</v>
      </c>
      <c r="Q3972" s="21">
        <f t="shared" si="55"/>
        <v>47</v>
      </c>
      <c r="R3972" s="21">
        <f t="shared" si="55"/>
        <v>47</v>
      </c>
      <c r="S3972" s="21">
        <f t="shared" si="55"/>
        <v>47</v>
      </c>
      <c r="T3972" s="21">
        <f t="shared" si="55"/>
        <v>47</v>
      </c>
      <c r="V3972" s="1">
        <f>heeling</f>
        <v>0</v>
      </c>
      <c r="W3972" s="382">
        <f>sound214</f>
        <v>3000</v>
      </c>
      <c r="X3972" s="186">
        <f>IF((W3972+W3975)&lt;0,W3972,W3972+W3975)</f>
        <v>3000</v>
      </c>
      <c r="Y3972" s="381">
        <f>IF(Y3974=Y3973,Y3973,Interp1(X3973:X3974,Y3973:Y3974,X3972))</f>
        <v>17.175000000000001</v>
      </c>
      <c r="AA3972" s="30"/>
    </row>
    <row r="3973" spans="1:28">
      <c r="A3973" s="915"/>
      <c r="B3973" s="36">
        <v>-1</v>
      </c>
      <c r="C3973" s="35">
        <v>0</v>
      </c>
      <c r="D3973" s="35">
        <v>0.5</v>
      </c>
      <c r="E3973" s="35">
        <v>1</v>
      </c>
      <c r="F3973" s="35">
        <v>1.5</v>
      </c>
      <c r="G3973" s="35">
        <v>2</v>
      </c>
      <c r="H3973" s="37">
        <v>3</v>
      </c>
      <c r="I3973" s="21">
        <v>4</v>
      </c>
      <c r="J3973" s="905"/>
      <c r="K3973" s="906"/>
      <c r="L3973" s="21">
        <v>-4</v>
      </c>
      <c r="M3973" s="35">
        <v>-3</v>
      </c>
      <c r="N3973" s="35">
        <v>-2</v>
      </c>
      <c r="O3973" s="35">
        <v>-1</v>
      </c>
      <c r="P3973" s="35">
        <v>0</v>
      </c>
      <c r="Q3973" s="35">
        <v>1</v>
      </c>
      <c r="R3973" s="35">
        <v>2</v>
      </c>
      <c r="S3973" s="35">
        <v>3</v>
      </c>
      <c r="T3973" s="35">
        <v>4</v>
      </c>
      <c r="V3973" s="1">
        <f>IF(tankSound14=soundingPipe14,tankSound14,FLOOR(W3972,incHeel))</f>
        <v>3000</v>
      </c>
      <c r="W3973" s="1">
        <f>Interp2(tank14Heel1,tank14Heel2,tank14Heel3,V3973,V3972)</f>
        <v>0</v>
      </c>
      <c r="X3973" s="1">
        <f>IF(X3972=soundingPipe14,Tank1!X3972,FLOOR(X3972,inc))</f>
        <v>3000</v>
      </c>
      <c r="Y3973" s="42">
        <f>IF(W3978=W3977,W3977,Interp1(V3977:V3978,W3977:W3978,V3976))</f>
        <v>17.175000000000001</v>
      </c>
      <c r="AA3973" s="30"/>
    </row>
    <row r="3974" spans="1:28">
      <c r="A3974" s="1">
        <v>0</v>
      </c>
      <c r="B3974" s="1">
        <v>0.29599999999999999</v>
      </c>
      <c r="C3974" s="1">
        <v>0.29299999999999998</v>
      </c>
      <c r="D3974" s="1">
        <v>0.29099999999999998</v>
      </c>
      <c r="E3974" s="1">
        <v>0.28999999999999998</v>
      </c>
      <c r="F3974" s="1">
        <v>0.28799999999999998</v>
      </c>
      <c r="G3974" s="1">
        <v>0.28599999999999998</v>
      </c>
      <c r="H3974" s="1">
        <v>0.28299999999999997</v>
      </c>
      <c r="I3974" s="1">
        <v>0.28000000000000003</v>
      </c>
      <c r="J3974" s="21">
        <v>5994</v>
      </c>
      <c r="K3974" s="1">
        <v>0</v>
      </c>
      <c r="L3974" s="1">
        <v>0</v>
      </c>
      <c r="M3974" s="1">
        <v>0</v>
      </c>
      <c r="N3974" s="1">
        <v>0</v>
      </c>
      <c r="O3974" s="1">
        <v>0</v>
      </c>
      <c r="P3974" s="365">
        <v>0</v>
      </c>
      <c r="Q3974" s="1">
        <v>24.856000000000002</v>
      </c>
      <c r="R3974" s="1">
        <v>49.728000000000002</v>
      </c>
      <c r="S3974" s="1">
        <v>74.628</v>
      </c>
      <c r="T3974" s="1">
        <v>99.575000000000003</v>
      </c>
      <c r="U3974" s="24"/>
      <c r="V3974" s="1">
        <f>IF(V3973=tankSound14,V3973,CEILING(W3972,incHeel))</f>
        <v>3000</v>
      </c>
      <c r="W3974" s="1">
        <f>Interp2(tank14Heel1,tank14Heel2,tank14Heel3,V3974,V3972)</f>
        <v>0</v>
      </c>
      <c r="X3974" s="1">
        <f>IF(X3973=X3972,X3973,CEILING(X3972,inc))</f>
        <v>3000</v>
      </c>
      <c r="Y3974" s="42">
        <f>IF(X3978=X3977,X3977,Interp1(V3977:V3978,X3977:X3978,V3976))</f>
        <v>17.175000000000001</v>
      </c>
      <c r="AA3974" s="30"/>
      <c r="AB3974" s="42"/>
    </row>
    <row r="3975" spans="1:28">
      <c r="A3975" s="1">
        <v>50</v>
      </c>
      <c r="B3975" s="1">
        <v>0.57699999999999996</v>
      </c>
      <c r="C3975" s="1">
        <v>0.57399999999999995</v>
      </c>
      <c r="D3975" s="1">
        <v>0.57199999999999995</v>
      </c>
      <c r="E3975" s="1">
        <v>0.57099999999999995</v>
      </c>
      <c r="F3975" s="1">
        <v>0.56899999999999995</v>
      </c>
      <c r="G3975" s="1">
        <v>0.56799999999999995</v>
      </c>
      <c r="H3975" s="1">
        <v>0.56499999999999995</v>
      </c>
      <c r="I3975" s="1">
        <v>0.56200000000000006</v>
      </c>
      <c r="J3975" s="21">
        <v>4500</v>
      </c>
      <c r="K3975" s="1">
        <v>100</v>
      </c>
      <c r="L3975" s="1">
        <v>-89.436999999999998</v>
      </c>
      <c r="M3975" s="1">
        <v>-74.031999999999996</v>
      </c>
      <c r="N3975" s="1">
        <v>-49.726999999999997</v>
      </c>
      <c r="O3975" s="1">
        <v>-24.856000000000002</v>
      </c>
      <c r="P3975" s="365">
        <v>0</v>
      </c>
      <c r="Q3975" s="1">
        <v>24.856000000000002</v>
      </c>
      <c r="R3975" s="1">
        <v>49.728000000000002</v>
      </c>
      <c r="S3975" s="1">
        <v>74.629000000000005</v>
      </c>
      <c r="T3975" s="1">
        <v>99.575999999999993</v>
      </c>
      <c r="U3975" s="25"/>
      <c r="W3975" s="1">
        <f>IF(W3974=W3973,W3973,Interp1(V3973:V3974,W3973:W3974,W3972))</f>
        <v>0</v>
      </c>
      <c r="Y3975" s="42"/>
      <c r="AA3975" s="30"/>
      <c r="AB3975" s="42"/>
    </row>
    <row r="3976" spans="1:28">
      <c r="A3976" s="1">
        <v>100</v>
      </c>
      <c r="B3976" s="1">
        <v>0.85899999999999999</v>
      </c>
      <c r="C3976" s="1">
        <v>0.85499999999999998</v>
      </c>
      <c r="D3976" s="1">
        <v>0.85399999999999998</v>
      </c>
      <c r="E3976" s="1">
        <v>0.85199999999999998</v>
      </c>
      <c r="F3976" s="1">
        <v>0.85099999999999998</v>
      </c>
      <c r="G3976" s="1">
        <v>0.84899999999999998</v>
      </c>
      <c r="H3976" s="1">
        <v>0.84599999999999997</v>
      </c>
      <c r="I3976" s="1">
        <v>0.84299999999999997</v>
      </c>
      <c r="J3976" s="21">
        <v>4450</v>
      </c>
      <c r="K3976" s="1">
        <v>200</v>
      </c>
      <c r="L3976" s="1">
        <v>-99.575999999999993</v>
      </c>
      <c r="M3976" s="1">
        <v>-74.629000000000005</v>
      </c>
      <c r="N3976" s="1">
        <v>-49.726999999999997</v>
      </c>
      <c r="O3976" s="1">
        <v>-24.856000000000002</v>
      </c>
      <c r="P3976" s="365">
        <v>0</v>
      </c>
      <c r="Q3976" s="1">
        <v>24.856000000000002</v>
      </c>
      <c r="R3976" s="1">
        <v>49.726999999999997</v>
      </c>
      <c r="S3976" s="1">
        <v>74.628</v>
      </c>
      <c r="T3976" s="1">
        <v>99.575000000000003</v>
      </c>
      <c r="U3976" s="25"/>
      <c r="V3976" s="1">
        <f>trim</f>
        <v>0.36</v>
      </c>
      <c r="AA3976" s="30"/>
      <c r="AB3976" s="42"/>
    </row>
    <row r="3977" spans="1:28">
      <c r="A3977" s="1">
        <v>150</v>
      </c>
      <c r="B3977" s="1">
        <v>1.1399999999999999</v>
      </c>
      <c r="C3977" s="1">
        <v>1.137</v>
      </c>
      <c r="D3977" s="1">
        <v>1.135</v>
      </c>
      <c r="E3977" s="1">
        <v>1.1339999999999999</v>
      </c>
      <c r="F3977" s="1">
        <v>1.1319999999999999</v>
      </c>
      <c r="G3977" s="1">
        <v>1.131</v>
      </c>
      <c r="H3977" s="1">
        <v>1.1279999999999999</v>
      </c>
      <c r="I3977" s="1">
        <v>1.1240000000000001</v>
      </c>
      <c r="J3977" s="21">
        <v>4400</v>
      </c>
      <c r="K3977" s="1">
        <v>300</v>
      </c>
      <c r="L3977" s="1">
        <v>-99.573999999999998</v>
      </c>
      <c r="M3977" s="1">
        <v>-74.629000000000005</v>
      </c>
      <c r="N3977" s="1">
        <v>-49.726999999999997</v>
      </c>
      <c r="O3977" s="1">
        <v>-24.856000000000002</v>
      </c>
      <c r="P3977" s="365">
        <v>0</v>
      </c>
      <c r="Q3977" s="1">
        <v>24.856000000000002</v>
      </c>
      <c r="R3977" s="1">
        <v>49.725999999999999</v>
      </c>
      <c r="S3977" s="1">
        <v>74.628</v>
      </c>
      <c r="T3977" s="1">
        <v>99.575000000000003</v>
      </c>
      <c r="U3977" s="25"/>
      <c r="V3977" s="1">
        <f>INDEX(tank14Trim2,0,MATCH(V3976,tank14Trim2,1))</f>
        <v>0</v>
      </c>
      <c r="W3977" s="1">
        <f>Interp2(tank14Trim1,tank14Trim2,tank14Trim3,X3973,V3977)</f>
        <v>17.175999999999998</v>
      </c>
      <c r="X3977" s="1">
        <f>Interp2(tank14Trim1,tank14Trim2,tank14Trim3,X3974,V3977)</f>
        <v>17.175999999999998</v>
      </c>
      <c r="AA3977" s="30"/>
    </row>
    <row r="3978" spans="1:28">
      <c r="A3978" s="1">
        <v>200</v>
      </c>
      <c r="B3978" s="1">
        <v>1.421</v>
      </c>
      <c r="C3978" s="1">
        <v>1.4179999999999999</v>
      </c>
      <c r="D3978" s="1">
        <v>1.417</v>
      </c>
      <c r="E3978" s="1">
        <v>1.415</v>
      </c>
      <c r="F3978" s="1">
        <v>1.4139999999999999</v>
      </c>
      <c r="G3978" s="1">
        <v>1.4119999999999999</v>
      </c>
      <c r="H3978" s="1">
        <v>1.409</v>
      </c>
      <c r="I3978" s="1">
        <v>1.4059999999999999</v>
      </c>
      <c r="J3978" s="21">
        <v>4350</v>
      </c>
      <c r="K3978" s="1">
        <v>400</v>
      </c>
      <c r="L3978" s="1">
        <v>-99.575999999999993</v>
      </c>
      <c r="M3978" s="1">
        <v>-74.628</v>
      </c>
      <c r="N3978" s="1">
        <v>-49.728000000000002</v>
      </c>
      <c r="O3978" s="1">
        <v>-24.856000000000002</v>
      </c>
      <c r="P3978" s="365">
        <v>0</v>
      </c>
      <c r="Q3978" s="1">
        <v>24.856000000000002</v>
      </c>
      <c r="R3978" s="1">
        <v>49.726999999999997</v>
      </c>
      <c r="S3978" s="1">
        <v>74.63</v>
      </c>
      <c r="T3978" s="1">
        <v>99.575999999999993</v>
      </c>
      <c r="U3978" s="25"/>
      <c r="V3978" s="1">
        <f>IF(V3977=V3976,V3976,INDEX(tank14Trim2,0,MATCH(V3976,tank14Trim2,1)+1))</f>
        <v>0.5</v>
      </c>
      <c r="W3978" s="1">
        <f>Interp2(tank14Trim1,tank14Trim2,tank14Trim3,X3973,V3978)</f>
        <v>17.173999999999999</v>
      </c>
      <c r="X3978" s="1">
        <f>Interp2(tank14Trim1,tank14Trim2,tank14Trim3,X3974,V3978)</f>
        <v>17.173999999999999</v>
      </c>
      <c r="AA3978" s="30"/>
      <c r="AB3978" s="42"/>
    </row>
    <row r="3979" spans="1:28">
      <c r="A3979" s="1">
        <v>250</v>
      </c>
      <c r="B3979" s="1">
        <v>1.7030000000000001</v>
      </c>
      <c r="C3979" s="1">
        <v>1.7</v>
      </c>
      <c r="D3979" s="1">
        <v>1.698</v>
      </c>
      <c r="E3979" s="1">
        <v>1.696</v>
      </c>
      <c r="F3979" s="1">
        <v>1.6950000000000001</v>
      </c>
      <c r="G3979" s="1">
        <v>1.6930000000000001</v>
      </c>
      <c r="H3979" s="1">
        <v>1.69</v>
      </c>
      <c r="I3979" s="1">
        <v>1.6870000000000001</v>
      </c>
      <c r="J3979" s="21">
        <v>4300</v>
      </c>
      <c r="K3979" s="1">
        <v>500</v>
      </c>
      <c r="L3979" s="1">
        <v>-99.575999999999993</v>
      </c>
      <c r="M3979" s="1">
        <v>-74.629000000000005</v>
      </c>
      <c r="N3979" s="1">
        <v>-49.728000000000002</v>
      </c>
      <c r="O3979" s="1">
        <v>-24.856999999999999</v>
      </c>
      <c r="P3979" s="365">
        <v>0</v>
      </c>
      <c r="Q3979" s="1">
        <v>24.856000000000002</v>
      </c>
      <c r="R3979" s="1">
        <v>49.725999999999999</v>
      </c>
      <c r="S3979" s="1">
        <v>74.628</v>
      </c>
      <c r="T3979" s="1">
        <v>99.575000000000003</v>
      </c>
      <c r="U3979" s="25"/>
      <c r="W3979" s="43"/>
      <c r="X3979" s="42"/>
      <c r="AA3979" s="30"/>
      <c r="AB3979" s="42"/>
    </row>
    <row r="3980" spans="1:28">
      <c r="A3980" s="1">
        <v>300</v>
      </c>
      <c r="B3980" s="1">
        <v>1.984</v>
      </c>
      <c r="C3980" s="1">
        <v>1.9810000000000001</v>
      </c>
      <c r="D3980" s="1">
        <v>1.9790000000000001</v>
      </c>
      <c r="E3980" s="1">
        <v>1.978</v>
      </c>
      <c r="F3980" s="1">
        <v>1.976</v>
      </c>
      <c r="G3980" s="1">
        <v>1.9750000000000001</v>
      </c>
      <c r="H3980" s="1">
        <v>1.972</v>
      </c>
      <c r="I3980" s="1">
        <v>1.9690000000000001</v>
      </c>
      <c r="J3980" s="21">
        <v>4250</v>
      </c>
      <c r="K3980" s="1">
        <v>600</v>
      </c>
      <c r="L3980" s="1">
        <v>-99.575000000000003</v>
      </c>
      <c r="M3980" s="1">
        <v>-74.63</v>
      </c>
      <c r="N3980" s="1">
        <v>-49.728000000000002</v>
      </c>
      <c r="O3980" s="1">
        <v>-24.856999999999999</v>
      </c>
      <c r="P3980" s="365">
        <v>0</v>
      </c>
      <c r="Q3980" s="1">
        <v>24.856000000000002</v>
      </c>
      <c r="R3980" s="1">
        <v>49.726999999999997</v>
      </c>
      <c r="S3980" s="1">
        <v>74.629000000000005</v>
      </c>
      <c r="T3980" s="1">
        <v>99.575999999999993</v>
      </c>
      <c r="U3980" s="25"/>
    </row>
    <row r="3981" spans="1:28">
      <c r="A3981" s="1">
        <v>350</v>
      </c>
      <c r="B3981" s="1">
        <v>2.2650000000000001</v>
      </c>
      <c r="C3981" s="1">
        <v>2.262</v>
      </c>
      <c r="D3981" s="1">
        <v>2.2610000000000001</v>
      </c>
      <c r="E3981" s="1">
        <v>2.2589999999999999</v>
      </c>
      <c r="F3981" s="1">
        <v>2.258</v>
      </c>
      <c r="G3981" s="1">
        <v>2.2559999999999998</v>
      </c>
      <c r="H3981" s="1">
        <v>2.2530000000000001</v>
      </c>
      <c r="I3981" s="1">
        <v>2.25</v>
      </c>
      <c r="J3981" s="21">
        <v>4200</v>
      </c>
      <c r="K3981" s="1">
        <v>700</v>
      </c>
      <c r="L3981" s="1">
        <v>-99.576999999999998</v>
      </c>
      <c r="M3981" s="1">
        <v>-74.63</v>
      </c>
      <c r="N3981" s="1">
        <v>-49.726999999999997</v>
      </c>
      <c r="O3981" s="1">
        <v>-24.856999999999999</v>
      </c>
      <c r="P3981" s="365">
        <v>0</v>
      </c>
      <c r="Q3981" s="1">
        <v>24.856000000000002</v>
      </c>
      <c r="R3981" s="1">
        <v>49.728000000000002</v>
      </c>
      <c r="S3981" s="1">
        <v>74.63</v>
      </c>
      <c r="T3981" s="1">
        <v>99.575999999999993</v>
      </c>
      <c r="U3981" s="25"/>
      <c r="V3981" s="1">
        <f>Bunkering!heeling1</f>
        <v>0</v>
      </c>
      <c r="W3981" s="382">
        <f>sound314</f>
        <v>3150</v>
      </c>
      <c r="X3981" s="186">
        <f>IF((W3981+W3984)&lt;0,W3981,W3981+W3984)</f>
        <v>3150</v>
      </c>
      <c r="Y3981" s="381">
        <f>IF(Y3983=Y3982,Y3982,Interp1(X3982:X3983,Y3982:Y3983,X3981))</f>
        <v>18.018999999999998</v>
      </c>
    </row>
    <row r="3982" spans="1:28">
      <c r="A3982" s="1">
        <v>400</v>
      </c>
      <c r="B3982" s="1">
        <v>2.5470000000000002</v>
      </c>
      <c r="C3982" s="1">
        <v>2.544</v>
      </c>
      <c r="D3982" s="1">
        <v>2.5419999999999998</v>
      </c>
      <c r="E3982" s="1">
        <v>2.5409999999999999</v>
      </c>
      <c r="F3982" s="1">
        <v>2.5390000000000001</v>
      </c>
      <c r="G3982" s="1">
        <v>2.5379999999999998</v>
      </c>
      <c r="H3982" s="1">
        <v>2.5339999999999998</v>
      </c>
      <c r="I3982" s="1">
        <v>2.5310000000000001</v>
      </c>
      <c r="J3982" s="21">
        <v>4150</v>
      </c>
      <c r="K3982" s="1">
        <v>800</v>
      </c>
      <c r="L3982" s="1">
        <v>-99.575999999999993</v>
      </c>
      <c r="M3982" s="1">
        <v>-74.629000000000005</v>
      </c>
      <c r="N3982" s="1">
        <v>-49.728000000000002</v>
      </c>
      <c r="O3982" s="1">
        <v>-24.856999999999999</v>
      </c>
      <c r="P3982" s="365">
        <v>0</v>
      </c>
      <c r="Q3982" s="1">
        <v>24.855</v>
      </c>
      <c r="R3982" s="1">
        <v>49.726999999999997</v>
      </c>
      <c r="S3982" s="1">
        <v>74.626999999999995</v>
      </c>
      <c r="T3982" s="1">
        <v>99.573999999999998</v>
      </c>
      <c r="U3982" s="25"/>
      <c r="V3982" s="1">
        <f>IF(tankSound214=soundingPipe14,tankSound214,FLOOR(W3981,incHeel))</f>
        <v>3100</v>
      </c>
      <c r="W3982" s="1">
        <f>Interp2(tank14Heel1,tank14Heel2,tank14Heel3,V3982,V3981)</f>
        <v>0</v>
      </c>
      <c r="X3982" s="1">
        <f>IF(X3981=soundingPipe14,Tank1!X3981,FLOOR(X3981,inc))</f>
        <v>3150</v>
      </c>
      <c r="Y3982" s="42">
        <f>IF(W3987=W3986,W3986,Interp1(V3986:V3987,W3986:W3987,V3985))</f>
        <v>18.018999999999998</v>
      </c>
      <c r="Z3982" s="918"/>
      <c r="AA3982" s="918"/>
      <c r="AB3982" s="42"/>
    </row>
    <row r="3983" spans="1:28">
      <c r="A3983" s="1">
        <v>450</v>
      </c>
      <c r="B3983" s="1">
        <v>2.8279999999999998</v>
      </c>
      <c r="C3983" s="1">
        <v>2.8250000000000002</v>
      </c>
      <c r="D3983" s="1">
        <v>2.8239999999999998</v>
      </c>
      <c r="E3983" s="1">
        <v>2.8220000000000001</v>
      </c>
      <c r="F3983" s="1">
        <v>2.82</v>
      </c>
      <c r="G3983" s="1">
        <v>2.819</v>
      </c>
      <c r="H3983" s="1">
        <v>2.8159999999999998</v>
      </c>
      <c r="I3983" s="1">
        <v>2.8130000000000002</v>
      </c>
      <c r="J3983" s="21">
        <v>4100</v>
      </c>
      <c r="K3983" s="1">
        <v>900</v>
      </c>
      <c r="L3983" s="1">
        <v>-99.575000000000003</v>
      </c>
      <c r="M3983" s="1">
        <v>-74.628</v>
      </c>
      <c r="N3983" s="1">
        <v>-49.728000000000002</v>
      </c>
      <c r="O3983" s="1">
        <v>-24.855</v>
      </c>
      <c r="P3983" s="365">
        <v>0</v>
      </c>
      <c r="Q3983" s="1">
        <v>24.856000000000002</v>
      </c>
      <c r="R3983" s="1">
        <v>49.728000000000002</v>
      </c>
      <c r="S3983" s="1">
        <v>74.629000000000005</v>
      </c>
      <c r="T3983" s="1">
        <v>99.575999999999993</v>
      </c>
      <c r="U3983" s="25"/>
      <c r="V3983" s="1">
        <f>IF(V3982=tankSound214,V3982,CEILING(W3981,incHeel))</f>
        <v>3200</v>
      </c>
      <c r="W3983" s="1">
        <f>Interp2(tank14Heel1,tank14Heel2,tank14Heel3,V3983,V3981)</f>
        <v>0</v>
      </c>
      <c r="X3983" s="1">
        <f>IF(X3982=X3981,X3982,CEILING(X3981,inc))</f>
        <v>3150</v>
      </c>
      <c r="Y3983" s="42">
        <f>IF(X3987=X3986,X3986,Interp1(V3986:V3987,X3986:X3987,V3985))</f>
        <v>18.018999999999998</v>
      </c>
    </row>
    <row r="3984" spans="1:28">
      <c r="A3984" s="1">
        <v>500</v>
      </c>
      <c r="B3984" s="1">
        <v>3.11</v>
      </c>
      <c r="C3984" s="1">
        <v>3.1059999999999999</v>
      </c>
      <c r="D3984" s="1">
        <v>3.105</v>
      </c>
      <c r="E3984" s="1">
        <v>3.1030000000000002</v>
      </c>
      <c r="F3984" s="1">
        <v>3.1019999999999999</v>
      </c>
      <c r="G3984" s="1">
        <v>3.1</v>
      </c>
      <c r="H3984" s="1">
        <v>3.097</v>
      </c>
      <c r="I3984" s="1">
        <v>3.0939999999999999</v>
      </c>
      <c r="J3984" s="21">
        <v>4050</v>
      </c>
      <c r="K3984" s="1">
        <v>1000</v>
      </c>
      <c r="L3984" s="1">
        <v>-99.575999999999993</v>
      </c>
      <c r="M3984" s="1">
        <v>-74.629000000000005</v>
      </c>
      <c r="N3984" s="1">
        <v>-49.728000000000002</v>
      </c>
      <c r="O3984" s="1">
        <v>-24.856999999999999</v>
      </c>
      <c r="P3984" s="365">
        <v>0</v>
      </c>
      <c r="Q3984" s="1">
        <v>24.856000000000002</v>
      </c>
      <c r="R3984" s="1">
        <v>49.726999999999997</v>
      </c>
      <c r="S3984" s="1">
        <v>74.628</v>
      </c>
      <c r="T3984" s="1">
        <v>99.575000000000003</v>
      </c>
      <c r="U3984" s="26"/>
      <c r="W3984" s="1">
        <f>IF(W3983=W3982,W3982,Interp1(V3982:V3983,W3982:W3983,W3981))</f>
        <v>0</v>
      </c>
      <c r="Y3984" s="42"/>
    </row>
    <row r="3985" spans="1:28">
      <c r="A3985" s="1">
        <v>550</v>
      </c>
      <c r="B3985" s="1">
        <v>3.391</v>
      </c>
      <c r="C3985" s="1">
        <v>3.3879999999999999</v>
      </c>
      <c r="D3985" s="1">
        <v>3.3860000000000001</v>
      </c>
      <c r="E3985" s="1">
        <v>3.3849999999999998</v>
      </c>
      <c r="F3985" s="1">
        <v>3.383</v>
      </c>
      <c r="G3985" s="1">
        <v>3.3820000000000001</v>
      </c>
      <c r="H3985" s="1">
        <v>3.379</v>
      </c>
      <c r="I3985" s="1">
        <v>3.375</v>
      </c>
      <c r="J3985" s="21">
        <v>4000</v>
      </c>
      <c r="K3985" s="1">
        <v>1100</v>
      </c>
      <c r="L3985" s="1">
        <v>-99.576999999999998</v>
      </c>
      <c r="M3985" s="1">
        <v>-74.628</v>
      </c>
      <c r="N3985" s="1">
        <v>-49.728000000000002</v>
      </c>
      <c r="O3985" s="1">
        <v>-24.856000000000002</v>
      </c>
      <c r="P3985" s="365">
        <v>0</v>
      </c>
      <c r="Q3985" s="1">
        <v>24.856000000000002</v>
      </c>
      <c r="R3985" s="1">
        <v>49.725999999999999</v>
      </c>
      <c r="S3985" s="1">
        <v>74.629000000000005</v>
      </c>
      <c r="T3985" s="1">
        <v>99.575000000000003</v>
      </c>
      <c r="U3985" s="25"/>
      <c r="V3985" s="1">
        <f>Bunkering!trim1</f>
        <v>0.36</v>
      </c>
    </row>
    <row r="3986" spans="1:28">
      <c r="A3986" s="1">
        <v>600</v>
      </c>
      <c r="B3986" s="1">
        <v>3.6720000000000002</v>
      </c>
      <c r="C3986" s="1">
        <v>3.669</v>
      </c>
      <c r="D3986" s="1">
        <v>3.6680000000000001</v>
      </c>
      <c r="E3986" s="1">
        <v>3.6659999999999999</v>
      </c>
      <c r="F3986" s="1">
        <v>3.665</v>
      </c>
      <c r="G3986" s="1">
        <v>3.6629999999999998</v>
      </c>
      <c r="H3986" s="1">
        <v>3.66</v>
      </c>
      <c r="I3986" s="1">
        <v>3.657</v>
      </c>
      <c r="J3986" s="21">
        <v>3950</v>
      </c>
      <c r="K3986" s="1">
        <v>1200</v>
      </c>
      <c r="L3986" s="1">
        <v>-99.576999999999998</v>
      </c>
      <c r="M3986" s="1">
        <v>-74.63</v>
      </c>
      <c r="N3986" s="1">
        <v>-49.726999999999997</v>
      </c>
      <c r="O3986" s="1">
        <v>-24.856999999999999</v>
      </c>
      <c r="P3986" s="365">
        <v>0</v>
      </c>
      <c r="Q3986" s="1">
        <v>24.856000000000002</v>
      </c>
      <c r="R3986" s="1">
        <v>49.726999999999997</v>
      </c>
      <c r="S3986" s="1">
        <v>74.629000000000005</v>
      </c>
      <c r="T3986" s="1">
        <v>99.575999999999993</v>
      </c>
      <c r="U3986" s="25"/>
      <c r="V3986" s="1">
        <f>INDEX(tank14Trim2,0,MATCH(V3985,tank14Trim2,1))</f>
        <v>0</v>
      </c>
      <c r="W3986" s="1">
        <f>Interp2(tank14Trim1,tank14Trim2,tank14Trim3,X3982,V3986)</f>
        <v>18.02</v>
      </c>
      <c r="X3986" s="1">
        <f>Interp2(tank14Trim1,tank14Trim2,tank14Trim3,X3983,V3986)</f>
        <v>18.02</v>
      </c>
      <c r="Z3986" s="916"/>
      <c r="AA3986" s="916"/>
      <c r="AB3986" s="40"/>
    </row>
    <row r="3987" spans="1:28">
      <c r="A3987" s="1">
        <v>650</v>
      </c>
      <c r="B3987" s="1">
        <v>3.9540000000000002</v>
      </c>
      <c r="C3987" s="1">
        <v>3.9510000000000001</v>
      </c>
      <c r="D3987" s="1">
        <v>3.9489999999999998</v>
      </c>
      <c r="E3987" s="1">
        <v>3.948</v>
      </c>
      <c r="F3987" s="1">
        <v>3.9460000000000002</v>
      </c>
      <c r="G3987" s="1">
        <v>3.944</v>
      </c>
      <c r="H3987" s="1">
        <v>3.9409999999999998</v>
      </c>
      <c r="I3987" s="1">
        <v>3.9380000000000002</v>
      </c>
      <c r="J3987" s="21">
        <v>3900</v>
      </c>
      <c r="K3987" s="1">
        <v>1300</v>
      </c>
      <c r="L3987" s="1">
        <v>-99.578000000000003</v>
      </c>
      <c r="M3987" s="1">
        <v>-74.63</v>
      </c>
      <c r="N3987" s="1">
        <v>-49.728999999999999</v>
      </c>
      <c r="O3987" s="1">
        <v>-24.856999999999999</v>
      </c>
      <c r="P3987" s="365">
        <v>0</v>
      </c>
      <c r="Q3987" s="1">
        <v>24.856000000000002</v>
      </c>
      <c r="R3987" s="1">
        <v>49.725999999999999</v>
      </c>
      <c r="S3987" s="1">
        <v>74.629000000000005</v>
      </c>
      <c r="T3987" s="1">
        <v>99.575000000000003</v>
      </c>
      <c r="U3987" s="25"/>
      <c r="V3987" s="1">
        <f>IF(V3986=V3985,V3985,INDEX(tank14Trim2,0,MATCH(V3985,tank14Trim2,1)+1))</f>
        <v>0.5</v>
      </c>
      <c r="W3987" s="1">
        <f>Interp2(tank14Trim1,tank14Trim2,tank14Trim3,X3982,V3987)</f>
        <v>18.018000000000001</v>
      </c>
      <c r="X3987" s="1">
        <f>Interp2(tank14Trim1,tank14Trim2,tank14Trim3,X3983,V3987)</f>
        <v>18.018000000000001</v>
      </c>
      <c r="AA3987" s="30"/>
    </row>
    <row r="3988" spans="1:28">
      <c r="A3988" s="1">
        <v>700</v>
      </c>
      <c r="B3988" s="1">
        <v>4.2350000000000003</v>
      </c>
      <c r="C3988" s="1">
        <v>4.2320000000000002</v>
      </c>
      <c r="D3988" s="1">
        <v>4.2300000000000004</v>
      </c>
      <c r="E3988" s="1">
        <v>4.2290000000000001</v>
      </c>
      <c r="F3988" s="1">
        <v>4.2270000000000003</v>
      </c>
      <c r="G3988" s="1">
        <v>4.226</v>
      </c>
      <c r="H3988" s="1">
        <v>4.2229999999999999</v>
      </c>
      <c r="I3988" s="1">
        <v>4.22</v>
      </c>
      <c r="J3988" s="21">
        <v>3850</v>
      </c>
      <c r="K3988" s="1">
        <v>1400</v>
      </c>
      <c r="L3988" s="1">
        <v>-99.576999999999998</v>
      </c>
      <c r="M3988" s="1">
        <v>-74.628</v>
      </c>
      <c r="N3988" s="1">
        <v>-49.726999999999997</v>
      </c>
      <c r="O3988" s="1">
        <v>-24.856000000000002</v>
      </c>
      <c r="P3988" s="365">
        <v>0</v>
      </c>
      <c r="Q3988" s="1">
        <v>24.856000000000002</v>
      </c>
      <c r="R3988" s="1">
        <v>49.726999999999997</v>
      </c>
      <c r="S3988" s="1">
        <v>74.629000000000005</v>
      </c>
      <c r="T3988" s="1">
        <v>99.575000000000003</v>
      </c>
      <c r="U3988" s="25"/>
      <c r="W3988" s="30"/>
      <c r="AA3988" s="30"/>
    </row>
    <row r="3989" spans="1:28">
      <c r="A3989" s="1">
        <v>750</v>
      </c>
      <c r="B3989" s="1">
        <v>4.516</v>
      </c>
      <c r="C3989" s="1">
        <v>4.5129999999999999</v>
      </c>
      <c r="D3989" s="1">
        <v>4.5119999999999996</v>
      </c>
      <c r="E3989" s="1">
        <v>4.51</v>
      </c>
      <c r="F3989" s="1">
        <v>4.5090000000000003</v>
      </c>
      <c r="G3989" s="1">
        <v>4.5069999999999997</v>
      </c>
      <c r="H3989" s="1">
        <v>4.5039999999999996</v>
      </c>
      <c r="I3989" s="1">
        <v>4.5010000000000003</v>
      </c>
      <c r="J3989" s="21">
        <v>3800</v>
      </c>
      <c r="K3989" s="1">
        <v>1500</v>
      </c>
      <c r="L3989" s="1">
        <v>-99.576999999999998</v>
      </c>
      <c r="M3989" s="1">
        <v>-74.628</v>
      </c>
      <c r="N3989" s="1">
        <v>-49.728000000000002</v>
      </c>
      <c r="O3989" s="1">
        <v>-24.856000000000002</v>
      </c>
      <c r="P3989" s="365">
        <v>0</v>
      </c>
      <c r="Q3989" s="1">
        <v>24.856000000000002</v>
      </c>
      <c r="R3989" s="1">
        <v>49.725999999999999</v>
      </c>
      <c r="S3989" s="1">
        <v>74.628</v>
      </c>
      <c r="T3989" s="1">
        <v>99.573999999999998</v>
      </c>
      <c r="U3989" s="24"/>
      <c r="W3989" s="30"/>
      <c r="X3989" s="42"/>
      <c r="AA3989" s="30"/>
      <c r="AB3989" s="42"/>
    </row>
    <row r="3990" spans="1:28">
      <c r="A3990" s="1">
        <v>800</v>
      </c>
      <c r="B3990" s="1">
        <v>4.798</v>
      </c>
      <c r="C3990" s="1">
        <v>4.7949999999999999</v>
      </c>
      <c r="D3990" s="1">
        <v>4.7930000000000001</v>
      </c>
      <c r="E3990" s="1">
        <v>4.7919999999999998</v>
      </c>
      <c r="F3990" s="1">
        <v>4.79</v>
      </c>
      <c r="G3990" s="1">
        <v>4.7889999999999997</v>
      </c>
      <c r="H3990" s="1">
        <v>4.7850000000000001</v>
      </c>
      <c r="I3990" s="1">
        <v>4.782</v>
      </c>
      <c r="J3990" s="21">
        <v>3750</v>
      </c>
      <c r="K3990" s="1">
        <v>1600</v>
      </c>
      <c r="L3990" s="1">
        <v>-99.575000000000003</v>
      </c>
      <c r="M3990" s="1">
        <v>-74.628</v>
      </c>
      <c r="N3990" s="1">
        <v>-49.728000000000002</v>
      </c>
      <c r="O3990" s="1">
        <v>-24.856999999999999</v>
      </c>
      <c r="P3990" s="365">
        <v>0</v>
      </c>
      <c r="Q3990" s="1">
        <v>24.856999999999999</v>
      </c>
      <c r="R3990" s="1">
        <v>49.725999999999999</v>
      </c>
      <c r="S3990" s="1">
        <v>74.628</v>
      </c>
      <c r="T3990" s="1">
        <v>99.576999999999998</v>
      </c>
      <c r="U3990" s="24"/>
      <c r="W3990" s="30"/>
      <c r="X3990" s="42"/>
      <c r="AA3990" s="30"/>
      <c r="AB3990" s="42"/>
    </row>
    <row r="3991" spans="1:28">
      <c r="A3991" s="1">
        <v>850</v>
      </c>
      <c r="B3991" s="1">
        <v>5.0789999999999997</v>
      </c>
      <c r="C3991" s="1">
        <v>5.0759999999999996</v>
      </c>
      <c r="D3991" s="1">
        <v>5.0750000000000002</v>
      </c>
      <c r="E3991" s="1">
        <v>5.0730000000000004</v>
      </c>
      <c r="F3991" s="1">
        <v>5.0720000000000001</v>
      </c>
      <c r="G3991" s="1">
        <v>5.07</v>
      </c>
      <c r="H3991" s="1">
        <v>5.0670000000000002</v>
      </c>
      <c r="I3991" s="1">
        <v>5.0640000000000001</v>
      </c>
      <c r="J3991" s="21">
        <v>3700</v>
      </c>
      <c r="K3991" s="1">
        <v>1700</v>
      </c>
      <c r="L3991" s="1">
        <v>-99.575000000000003</v>
      </c>
      <c r="M3991" s="1">
        <v>-74.628</v>
      </c>
      <c r="N3991" s="1">
        <v>-49.726999999999997</v>
      </c>
      <c r="O3991" s="1">
        <v>-24.856000000000002</v>
      </c>
      <c r="P3991" s="365">
        <v>0</v>
      </c>
      <c r="Q3991" s="1">
        <v>24.856999999999999</v>
      </c>
      <c r="R3991" s="1">
        <v>49.726999999999997</v>
      </c>
      <c r="S3991" s="1">
        <v>74.63</v>
      </c>
      <c r="T3991" s="1">
        <v>99.576999999999998</v>
      </c>
      <c r="U3991" s="24"/>
      <c r="W3991" s="30"/>
      <c r="X3991" s="42"/>
      <c r="AA3991" s="30"/>
      <c r="AB3991" s="42"/>
    </row>
    <row r="3992" spans="1:28">
      <c r="A3992" s="1">
        <v>900</v>
      </c>
      <c r="B3992" s="1">
        <v>5.3609999999999998</v>
      </c>
      <c r="C3992" s="1">
        <v>5.3579999999999997</v>
      </c>
      <c r="D3992" s="1">
        <v>5.3559999999999999</v>
      </c>
      <c r="E3992" s="1">
        <v>5.3540000000000001</v>
      </c>
      <c r="F3992" s="1">
        <v>5.3529999999999998</v>
      </c>
      <c r="G3992" s="1">
        <v>5.351</v>
      </c>
      <c r="H3992" s="1">
        <v>5.3479999999999999</v>
      </c>
      <c r="I3992" s="1">
        <v>5.3449999999999998</v>
      </c>
      <c r="J3992" s="21">
        <v>3650</v>
      </c>
      <c r="K3992" s="1">
        <v>1800</v>
      </c>
      <c r="L3992" s="1">
        <v>-99.578999999999994</v>
      </c>
      <c r="M3992" s="1">
        <v>-74.629000000000005</v>
      </c>
      <c r="N3992" s="1">
        <v>-49.728000000000002</v>
      </c>
      <c r="O3992" s="1">
        <v>-24.856999999999999</v>
      </c>
      <c r="P3992" s="365">
        <v>0</v>
      </c>
      <c r="Q3992" s="1">
        <v>24.856999999999999</v>
      </c>
      <c r="R3992" s="1">
        <v>49.725999999999999</v>
      </c>
      <c r="S3992" s="1">
        <v>74.628</v>
      </c>
      <c r="T3992" s="1">
        <v>99.575000000000003</v>
      </c>
      <c r="U3992" s="24"/>
      <c r="W3992" s="30"/>
      <c r="AA3992" s="30"/>
    </row>
    <row r="3993" spans="1:28">
      <c r="A3993" s="1">
        <v>950</v>
      </c>
      <c r="B3993" s="1">
        <v>5.6420000000000003</v>
      </c>
      <c r="C3993" s="1">
        <v>5.6390000000000002</v>
      </c>
      <c r="D3993" s="1">
        <v>5.6369999999999996</v>
      </c>
      <c r="E3993" s="1">
        <v>5.6360000000000001</v>
      </c>
      <c r="F3993" s="1">
        <v>5.6340000000000003</v>
      </c>
      <c r="G3993" s="1">
        <v>5.633</v>
      </c>
      <c r="H3993" s="1">
        <v>5.63</v>
      </c>
      <c r="I3993" s="1">
        <v>5.6269999999999998</v>
      </c>
      <c r="J3993" s="21">
        <v>3600</v>
      </c>
      <c r="K3993" s="1">
        <v>1900</v>
      </c>
      <c r="L3993" s="1">
        <v>-99.576999999999998</v>
      </c>
      <c r="M3993" s="1">
        <v>-74.628</v>
      </c>
      <c r="N3993" s="1">
        <v>-49.725999999999999</v>
      </c>
      <c r="O3993" s="1">
        <v>-24.856999999999999</v>
      </c>
      <c r="P3993" s="365">
        <v>0</v>
      </c>
      <c r="Q3993" s="1">
        <v>24.856999999999999</v>
      </c>
      <c r="R3993" s="1">
        <v>49.726999999999997</v>
      </c>
      <c r="S3993" s="1">
        <v>74.63</v>
      </c>
      <c r="T3993" s="1">
        <v>99.575000000000003</v>
      </c>
      <c r="U3993" s="25"/>
      <c r="W3993" s="43"/>
      <c r="X3993" s="42"/>
      <c r="AA3993" s="30"/>
      <c r="AB3993" s="42"/>
    </row>
    <row r="3994" spans="1:28">
      <c r="A3994" s="1">
        <v>1000</v>
      </c>
      <c r="B3994" s="1">
        <v>5.923</v>
      </c>
      <c r="C3994" s="1">
        <v>5.92</v>
      </c>
      <c r="D3994" s="1">
        <v>5.9189999999999996</v>
      </c>
      <c r="E3994" s="1">
        <v>5.9169999999999998</v>
      </c>
      <c r="F3994" s="1">
        <v>5.9160000000000004</v>
      </c>
      <c r="G3994" s="1">
        <v>5.9139999999999997</v>
      </c>
      <c r="H3994" s="1">
        <v>5.9109999999999996</v>
      </c>
      <c r="I3994" s="1">
        <v>5.9080000000000004</v>
      </c>
      <c r="J3994" s="21">
        <v>3550</v>
      </c>
      <c r="K3994" s="1">
        <v>2000</v>
      </c>
      <c r="L3994" s="1">
        <v>-99.575000000000003</v>
      </c>
      <c r="M3994" s="1">
        <v>-74.628</v>
      </c>
      <c r="N3994" s="1">
        <v>-49.725999999999999</v>
      </c>
      <c r="O3994" s="1">
        <v>-24.856999999999999</v>
      </c>
      <c r="P3994" s="365">
        <v>0</v>
      </c>
      <c r="Q3994" s="1">
        <v>24.856000000000002</v>
      </c>
      <c r="R3994" s="1">
        <v>49.728000000000002</v>
      </c>
      <c r="S3994" s="1">
        <v>71.628</v>
      </c>
      <c r="T3994" s="1">
        <v>99.576999999999998</v>
      </c>
      <c r="U3994" s="27"/>
      <c r="W3994" s="43"/>
      <c r="X3994" s="42"/>
      <c r="AA3994" s="30"/>
      <c r="AB3994" s="42"/>
    </row>
    <row r="3995" spans="1:28">
      <c r="A3995" s="1">
        <v>1050</v>
      </c>
      <c r="B3995" s="1">
        <v>6.2050000000000001</v>
      </c>
      <c r="C3995" s="1">
        <v>6.202</v>
      </c>
      <c r="D3995" s="1">
        <v>6.2</v>
      </c>
      <c r="E3995" s="1">
        <v>6.1989999999999998</v>
      </c>
      <c r="F3995" s="1">
        <v>6.1970000000000001</v>
      </c>
      <c r="G3995" s="1">
        <v>6.1950000000000003</v>
      </c>
      <c r="H3995" s="1">
        <v>6.1920000000000002</v>
      </c>
      <c r="I3995" s="1">
        <v>6.1890000000000001</v>
      </c>
      <c r="J3995" s="21">
        <v>3500</v>
      </c>
      <c r="K3995" s="1">
        <v>2100</v>
      </c>
      <c r="L3995" s="1">
        <v>-99.576999999999998</v>
      </c>
      <c r="M3995" s="1">
        <v>-74.628</v>
      </c>
      <c r="N3995" s="1">
        <v>-49.725999999999999</v>
      </c>
      <c r="O3995" s="1">
        <v>-24.858000000000001</v>
      </c>
      <c r="P3995" s="365">
        <v>0</v>
      </c>
      <c r="Q3995" s="1">
        <v>24.856999999999999</v>
      </c>
      <c r="R3995" s="1">
        <v>49.728000000000002</v>
      </c>
      <c r="S3995" s="1">
        <v>74.629000000000005</v>
      </c>
      <c r="T3995" s="1">
        <v>99.576999999999998</v>
      </c>
      <c r="U3995" s="25"/>
    </row>
    <row r="3996" spans="1:28">
      <c r="A3996" s="1">
        <v>1100</v>
      </c>
      <c r="B3996" s="1">
        <v>6.4859999999999998</v>
      </c>
      <c r="C3996" s="1">
        <v>6.4829999999999997</v>
      </c>
      <c r="D3996" s="1">
        <v>6.4820000000000002</v>
      </c>
      <c r="E3996" s="1">
        <v>6.48</v>
      </c>
      <c r="F3996" s="1">
        <v>6.4779999999999998</v>
      </c>
      <c r="G3996" s="1">
        <v>6.4770000000000003</v>
      </c>
      <c r="H3996" s="1">
        <v>6.4740000000000002</v>
      </c>
      <c r="I3996" s="1">
        <v>6.4710000000000001</v>
      </c>
      <c r="J3996" s="21">
        <v>3450</v>
      </c>
      <c r="K3996" s="1">
        <v>2200</v>
      </c>
      <c r="L3996" s="1">
        <v>-99.578999999999994</v>
      </c>
      <c r="M3996" s="1">
        <v>-74.629000000000005</v>
      </c>
      <c r="N3996" s="1">
        <v>-49.725999999999999</v>
      </c>
      <c r="O3996" s="1">
        <v>-24.859000000000002</v>
      </c>
      <c r="P3996" s="365">
        <v>0</v>
      </c>
      <c r="Q3996" s="1">
        <v>24.856999999999999</v>
      </c>
      <c r="R3996" s="1">
        <v>49.726999999999997</v>
      </c>
      <c r="S3996" s="1">
        <v>74.628</v>
      </c>
      <c r="T3996" s="1">
        <v>99.575999999999993</v>
      </c>
      <c r="U3996" s="24"/>
    </row>
    <row r="3997" spans="1:28">
      <c r="A3997" s="1">
        <v>1150</v>
      </c>
      <c r="B3997" s="1">
        <v>6.7679999999999998</v>
      </c>
      <c r="C3997" s="1">
        <v>6.7640000000000002</v>
      </c>
      <c r="D3997" s="1">
        <v>6.7629999999999999</v>
      </c>
      <c r="E3997" s="1">
        <v>6.7610000000000001</v>
      </c>
      <c r="F3997" s="1">
        <v>6.76</v>
      </c>
      <c r="G3997" s="1">
        <v>6.758</v>
      </c>
      <c r="H3997" s="1">
        <v>6.7549999999999999</v>
      </c>
      <c r="I3997" s="1">
        <v>6.7519999999999998</v>
      </c>
      <c r="J3997" s="21">
        <v>3400</v>
      </c>
      <c r="K3997" s="1">
        <v>2300</v>
      </c>
      <c r="L3997" s="1">
        <v>-99.575999999999993</v>
      </c>
      <c r="M3997" s="1">
        <v>-74.628</v>
      </c>
      <c r="N3997" s="1">
        <v>-49.725999999999999</v>
      </c>
      <c r="O3997" s="1">
        <v>-24.858000000000001</v>
      </c>
      <c r="P3997" s="365">
        <v>0</v>
      </c>
      <c r="Q3997" s="1">
        <v>24.856000000000002</v>
      </c>
      <c r="R3997" s="1">
        <v>49.728000000000002</v>
      </c>
      <c r="S3997" s="1">
        <v>74.628</v>
      </c>
      <c r="T3997" s="1">
        <v>99.576999999999998</v>
      </c>
      <c r="U3997" s="25"/>
      <c r="V3997" s="918"/>
      <c r="W3997" s="918"/>
      <c r="X3997" s="42"/>
      <c r="Z3997" s="918"/>
      <c r="AA3997" s="918"/>
      <c r="AB3997" s="42"/>
    </row>
    <row r="3998" spans="1:28">
      <c r="A3998" s="1">
        <v>1200</v>
      </c>
      <c r="B3998" s="1">
        <v>7.0490000000000004</v>
      </c>
      <c r="C3998" s="1">
        <v>7.0460000000000003</v>
      </c>
      <c r="D3998" s="1">
        <v>7.0439999999999996</v>
      </c>
      <c r="E3998" s="1">
        <v>7.0430000000000001</v>
      </c>
      <c r="F3998" s="1">
        <v>7.0410000000000004</v>
      </c>
      <c r="G3998" s="1">
        <v>7.04</v>
      </c>
      <c r="H3998" s="1">
        <v>7.0369999999999999</v>
      </c>
      <c r="I3998" s="1">
        <v>7.0330000000000004</v>
      </c>
      <c r="J3998" s="21">
        <v>3350</v>
      </c>
      <c r="K3998" s="1">
        <v>2400</v>
      </c>
      <c r="L3998" s="1">
        <v>-99.575000000000003</v>
      </c>
      <c r="M3998" s="1">
        <v>-74.628</v>
      </c>
      <c r="N3998" s="1">
        <v>-49.728000000000002</v>
      </c>
      <c r="O3998" s="1">
        <v>-24.858000000000001</v>
      </c>
      <c r="P3998" s="365">
        <v>0</v>
      </c>
      <c r="Q3998" s="1">
        <v>24.856999999999999</v>
      </c>
      <c r="R3998" s="1">
        <v>49.728000000000002</v>
      </c>
      <c r="S3998" s="1">
        <v>74.628</v>
      </c>
      <c r="T3998" s="1">
        <v>99.576999999999998</v>
      </c>
      <c r="U3998" s="25"/>
    </row>
    <row r="3999" spans="1:28">
      <c r="A3999" s="1">
        <v>1250</v>
      </c>
      <c r="B3999" s="1">
        <v>7.33</v>
      </c>
      <c r="C3999" s="1">
        <v>7.327</v>
      </c>
      <c r="D3999" s="1">
        <v>7.3259999999999996</v>
      </c>
      <c r="E3999" s="1">
        <v>7.3239999999999998</v>
      </c>
      <c r="F3999" s="1">
        <v>7.3230000000000004</v>
      </c>
      <c r="G3999" s="1">
        <v>7.3209999999999997</v>
      </c>
      <c r="H3999" s="1">
        <v>7.3179999999999996</v>
      </c>
      <c r="I3999" s="1">
        <v>7.3150000000000004</v>
      </c>
      <c r="J3999" s="21">
        <v>3300</v>
      </c>
      <c r="K3999" s="1">
        <v>2500</v>
      </c>
      <c r="L3999" s="1">
        <v>-99.576999999999998</v>
      </c>
      <c r="M3999" s="1">
        <v>-74.63</v>
      </c>
      <c r="N3999" s="1">
        <v>-49.726999999999997</v>
      </c>
      <c r="O3999" s="1">
        <v>-24.858000000000001</v>
      </c>
      <c r="P3999" s="365">
        <v>0</v>
      </c>
      <c r="Q3999" s="1">
        <v>24.856999999999999</v>
      </c>
      <c r="R3999" s="1">
        <v>49.728999999999999</v>
      </c>
      <c r="S3999" s="1">
        <v>74.63</v>
      </c>
      <c r="T3999" s="1">
        <v>99.576999999999998</v>
      </c>
      <c r="U3999" s="25"/>
    </row>
    <row r="4000" spans="1:28">
      <c r="A4000" s="1">
        <v>1300</v>
      </c>
      <c r="B4000" s="1">
        <v>7.6120000000000001</v>
      </c>
      <c r="C4000" s="1">
        <v>7.609</v>
      </c>
      <c r="D4000" s="1">
        <v>7.6070000000000002</v>
      </c>
      <c r="E4000" s="1">
        <v>7.6050000000000004</v>
      </c>
      <c r="F4000" s="1">
        <v>7.6040000000000001</v>
      </c>
      <c r="G4000" s="1">
        <v>7.6020000000000003</v>
      </c>
      <c r="H4000" s="1">
        <v>7.5990000000000002</v>
      </c>
      <c r="I4000" s="1">
        <v>7.5960000000000001</v>
      </c>
      <c r="J4000" s="21">
        <v>3250</v>
      </c>
      <c r="K4000" s="1">
        <v>2600</v>
      </c>
      <c r="L4000" s="1">
        <v>-99.578999999999994</v>
      </c>
      <c r="M4000" s="1">
        <v>-74.63</v>
      </c>
      <c r="N4000" s="1">
        <v>-49.728999999999999</v>
      </c>
      <c r="O4000" s="1">
        <v>-24.859000000000002</v>
      </c>
      <c r="P4000" s="365">
        <v>0</v>
      </c>
      <c r="Q4000" s="1">
        <v>24.856000000000002</v>
      </c>
      <c r="R4000" s="1">
        <v>49.725999999999999</v>
      </c>
      <c r="S4000" s="1">
        <v>74.628</v>
      </c>
      <c r="T4000" s="1">
        <v>99.572999999999993</v>
      </c>
      <c r="U4000" s="25"/>
    </row>
    <row r="4001" spans="1:21">
      <c r="A4001" s="1">
        <v>1350</v>
      </c>
      <c r="B4001" s="1">
        <v>7.8929999999999998</v>
      </c>
      <c r="C4001" s="1">
        <v>7.89</v>
      </c>
      <c r="D4001" s="1">
        <v>7.8879999999999999</v>
      </c>
      <c r="E4001" s="1">
        <v>7.8869999999999996</v>
      </c>
      <c r="F4001" s="1">
        <v>7.8849999999999998</v>
      </c>
      <c r="G4001" s="1">
        <v>7.8840000000000003</v>
      </c>
      <c r="H4001" s="1">
        <v>7.8810000000000002</v>
      </c>
      <c r="I4001" s="1">
        <v>7.8780000000000001</v>
      </c>
      <c r="J4001" s="21">
        <v>3200</v>
      </c>
      <c r="K4001" s="1">
        <v>2700</v>
      </c>
      <c r="L4001" s="1">
        <v>-99.572999999999993</v>
      </c>
      <c r="M4001" s="1">
        <v>-74.626000000000005</v>
      </c>
      <c r="N4001" s="1">
        <v>-49.726999999999997</v>
      </c>
      <c r="O4001" s="1">
        <v>-24.856000000000002</v>
      </c>
      <c r="P4001" s="365">
        <v>0</v>
      </c>
      <c r="Q4001" s="1">
        <v>24.859000000000002</v>
      </c>
      <c r="R4001" s="1">
        <v>49.728000000000002</v>
      </c>
      <c r="S4001" s="1">
        <v>74.629000000000005</v>
      </c>
      <c r="T4001" s="1">
        <v>99.578000000000003</v>
      </c>
      <c r="U4001" s="24"/>
    </row>
    <row r="4002" spans="1:21">
      <c r="A4002" s="1">
        <v>1400</v>
      </c>
      <c r="B4002" s="1">
        <v>8.1739999999999995</v>
      </c>
      <c r="C4002" s="1">
        <v>8.1709999999999994</v>
      </c>
      <c r="D4002" s="1">
        <v>8.17</v>
      </c>
      <c r="E4002" s="1">
        <v>8.1679999999999993</v>
      </c>
      <c r="F4002" s="1">
        <v>8.1669999999999998</v>
      </c>
      <c r="G4002" s="1">
        <v>8.1649999999999991</v>
      </c>
      <c r="H4002" s="1">
        <v>8.1620000000000008</v>
      </c>
      <c r="I4002" s="1">
        <v>8.1590000000000007</v>
      </c>
      <c r="J4002" s="21">
        <v>3150</v>
      </c>
      <c r="K4002" s="1">
        <v>2800</v>
      </c>
      <c r="L4002" s="1">
        <v>-99.578999999999994</v>
      </c>
      <c r="M4002" s="1">
        <v>-74.63</v>
      </c>
      <c r="N4002" s="1">
        <v>-49.728999999999999</v>
      </c>
      <c r="O4002" s="1">
        <v>-24.856999999999999</v>
      </c>
      <c r="P4002" s="365">
        <v>0</v>
      </c>
      <c r="Q4002" s="1">
        <v>24.858000000000001</v>
      </c>
      <c r="R4002" s="1">
        <v>49.728000000000002</v>
      </c>
      <c r="S4002" s="1">
        <v>74.628</v>
      </c>
      <c r="T4002" s="1">
        <v>99.575000000000003</v>
      </c>
      <c r="U4002" s="25"/>
    </row>
    <row r="4003" spans="1:21">
      <c r="A4003" s="1">
        <v>1450</v>
      </c>
      <c r="B4003" s="1">
        <v>8.4559999999999995</v>
      </c>
      <c r="C4003" s="1">
        <v>8.4529999999999994</v>
      </c>
      <c r="D4003" s="1">
        <v>8.4510000000000005</v>
      </c>
      <c r="E4003" s="1">
        <v>8.4499999999999993</v>
      </c>
      <c r="F4003" s="1">
        <v>8.4480000000000004</v>
      </c>
      <c r="G4003" s="1">
        <v>8.4469999999999992</v>
      </c>
      <c r="H4003" s="1">
        <v>8.4429999999999996</v>
      </c>
      <c r="I4003" s="1">
        <v>8.44</v>
      </c>
      <c r="J4003" s="21">
        <v>3100</v>
      </c>
      <c r="K4003" s="1">
        <v>2900</v>
      </c>
      <c r="L4003" s="1">
        <v>-99.576999999999998</v>
      </c>
      <c r="M4003" s="1">
        <v>-74.628</v>
      </c>
      <c r="N4003" s="1">
        <v>-49.728000000000002</v>
      </c>
      <c r="O4003" s="1">
        <v>-24.856000000000002</v>
      </c>
      <c r="P4003" s="365">
        <v>0</v>
      </c>
      <c r="Q4003" s="1">
        <v>24.858000000000001</v>
      </c>
      <c r="R4003" s="1">
        <v>49.726999999999997</v>
      </c>
      <c r="S4003" s="1">
        <v>74.628</v>
      </c>
      <c r="T4003" s="1">
        <v>99.575000000000003</v>
      </c>
      <c r="U4003" s="24"/>
    </row>
    <row r="4004" spans="1:21">
      <c r="A4004" s="1">
        <v>1500</v>
      </c>
      <c r="B4004" s="1">
        <v>8.7370000000000001</v>
      </c>
      <c r="C4004" s="1">
        <v>8.734</v>
      </c>
      <c r="D4004" s="1">
        <v>8.7330000000000005</v>
      </c>
      <c r="E4004" s="1">
        <v>8.7309999999999999</v>
      </c>
      <c r="F4004" s="1">
        <v>8.7289999999999992</v>
      </c>
      <c r="G4004" s="1">
        <v>8.7279999999999998</v>
      </c>
      <c r="H4004" s="1">
        <v>8.7249999999999996</v>
      </c>
      <c r="I4004" s="1">
        <v>8.7219999999999995</v>
      </c>
      <c r="J4004" s="21">
        <v>3050</v>
      </c>
      <c r="K4004" s="1">
        <v>3000</v>
      </c>
      <c r="L4004" s="1">
        <v>-99.575000000000003</v>
      </c>
      <c r="M4004" s="1">
        <v>-74.628</v>
      </c>
      <c r="N4004" s="1">
        <v>-49.726999999999997</v>
      </c>
      <c r="O4004" s="1">
        <v>-24.856999999999999</v>
      </c>
      <c r="P4004" s="365">
        <v>0</v>
      </c>
      <c r="Q4004" s="1">
        <v>24.858000000000001</v>
      </c>
      <c r="R4004" s="1">
        <v>49.725000000000001</v>
      </c>
      <c r="S4004" s="1">
        <v>74.628</v>
      </c>
      <c r="T4004" s="1">
        <v>99.576999999999998</v>
      </c>
      <c r="U4004" s="26"/>
    </row>
    <row r="4005" spans="1:21">
      <c r="A4005" s="1">
        <v>1550</v>
      </c>
      <c r="B4005" s="1">
        <v>9.0190000000000001</v>
      </c>
      <c r="C4005" s="1">
        <v>9.0150000000000006</v>
      </c>
      <c r="D4005" s="1">
        <v>9.0139999999999993</v>
      </c>
      <c r="E4005" s="1">
        <v>9.0120000000000005</v>
      </c>
      <c r="F4005" s="1">
        <v>9.0109999999999992</v>
      </c>
      <c r="G4005" s="1">
        <v>9.0090000000000003</v>
      </c>
      <c r="H4005" s="1">
        <v>9.0060000000000002</v>
      </c>
      <c r="I4005" s="1">
        <v>9.0030000000000001</v>
      </c>
      <c r="J4005" s="21">
        <v>3000</v>
      </c>
      <c r="K4005" s="1">
        <v>3100</v>
      </c>
      <c r="L4005" s="1">
        <v>-99.575999999999993</v>
      </c>
      <c r="M4005" s="1">
        <v>-74.628</v>
      </c>
      <c r="N4005" s="1">
        <v>-49.726999999999997</v>
      </c>
      <c r="O4005" s="1">
        <v>-24.856999999999999</v>
      </c>
      <c r="P4005" s="365">
        <v>0</v>
      </c>
      <c r="Q4005" s="1">
        <v>24.858000000000001</v>
      </c>
      <c r="R4005" s="1">
        <v>49.725999999999999</v>
      </c>
      <c r="S4005" s="1">
        <v>74.628</v>
      </c>
      <c r="T4005" s="1">
        <v>99.578000000000003</v>
      </c>
      <c r="U4005" s="24"/>
    </row>
    <row r="4006" spans="1:21">
      <c r="A4006" s="1">
        <v>1600</v>
      </c>
      <c r="B4006" s="1">
        <v>9.3000000000000007</v>
      </c>
      <c r="C4006" s="1">
        <v>9.2970000000000006</v>
      </c>
      <c r="D4006" s="1">
        <v>9.2949999999999999</v>
      </c>
      <c r="E4006" s="1">
        <v>9.2940000000000005</v>
      </c>
      <c r="F4006" s="1">
        <v>9.2919999999999998</v>
      </c>
      <c r="G4006" s="1">
        <v>9.2910000000000004</v>
      </c>
      <c r="H4006" s="1">
        <v>9.2880000000000003</v>
      </c>
      <c r="I4006" s="1">
        <v>9.2840000000000007</v>
      </c>
      <c r="J4006" s="21">
        <v>2950</v>
      </c>
      <c r="K4006" s="1">
        <v>3200</v>
      </c>
      <c r="L4006" s="1">
        <v>-99.576999999999998</v>
      </c>
      <c r="M4006" s="1">
        <v>-74.63</v>
      </c>
      <c r="N4006" s="1">
        <v>-49.720999999999997</v>
      </c>
      <c r="O4006" s="1">
        <v>-24.856999999999999</v>
      </c>
      <c r="P4006" s="365">
        <v>0</v>
      </c>
      <c r="Q4006" s="1">
        <v>24.859000000000002</v>
      </c>
      <c r="R4006" s="1">
        <v>49.726999999999997</v>
      </c>
      <c r="S4006" s="1">
        <v>74.63</v>
      </c>
      <c r="T4006" s="1">
        <v>99.576999999999998</v>
      </c>
      <c r="U4006" s="24"/>
    </row>
    <row r="4007" spans="1:21">
      <c r="A4007" s="1">
        <v>1650</v>
      </c>
      <c r="B4007" s="1">
        <v>9.5809999999999995</v>
      </c>
      <c r="C4007" s="1">
        <v>9.5779999999999994</v>
      </c>
      <c r="D4007" s="1">
        <v>9.577</v>
      </c>
      <c r="E4007" s="1">
        <v>9.5749999999999993</v>
      </c>
      <c r="F4007" s="1">
        <v>9.5739999999999998</v>
      </c>
      <c r="G4007" s="1">
        <v>9.5719999999999992</v>
      </c>
      <c r="H4007" s="1">
        <v>9.5690000000000008</v>
      </c>
      <c r="I4007" s="1">
        <v>9.5660000000000007</v>
      </c>
      <c r="J4007" s="21">
        <v>2900</v>
      </c>
      <c r="K4007" s="1">
        <v>3300</v>
      </c>
      <c r="L4007" s="1">
        <v>-99.578999999999994</v>
      </c>
      <c r="M4007" s="1">
        <v>-74.63</v>
      </c>
      <c r="N4007" s="1">
        <v>-49.728000000000002</v>
      </c>
      <c r="O4007" s="1">
        <v>-24.856999999999999</v>
      </c>
      <c r="P4007" s="365">
        <v>0</v>
      </c>
      <c r="Q4007" s="1">
        <v>24.856000000000002</v>
      </c>
      <c r="R4007" s="1">
        <v>49.725999999999999</v>
      </c>
      <c r="S4007" s="1">
        <v>74.631</v>
      </c>
      <c r="T4007" s="1">
        <v>99.575000000000003</v>
      </c>
      <c r="U4007" s="25"/>
    </row>
    <row r="4008" spans="1:21">
      <c r="A4008" s="1">
        <v>1700</v>
      </c>
      <c r="B4008" s="1">
        <v>9.8629999999999995</v>
      </c>
      <c r="C4008" s="1">
        <v>9.86</v>
      </c>
      <c r="D4008" s="1">
        <v>9.8580000000000005</v>
      </c>
      <c r="E4008" s="1">
        <v>9.8569999999999993</v>
      </c>
      <c r="F4008" s="1">
        <v>9.8550000000000004</v>
      </c>
      <c r="G4008" s="1">
        <v>9.8529999999999998</v>
      </c>
      <c r="H4008" s="1">
        <v>9.85</v>
      </c>
      <c r="I4008" s="1">
        <v>9.8469999999999995</v>
      </c>
      <c r="J4008" s="21">
        <v>2850</v>
      </c>
      <c r="K4008" s="1">
        <v>3400</v>
      </c>
      <c r="L4008" s="1">
        <v>-99.575000000000003</v>
      </c>
      <c r="M4008" s="1">
        <v>-74.628</v>
      </c>
      <c r="N4008" s="1">
        <v>-49.726999999999997</v>
      </c>
      <c r="O4008" s="1">
        <v>-24.856999999999999</v>
      </c>
      <c r="P4008" s="365">
        <v>0</v>
      </c>
      <c r="Q4008" s="1">
        <v>24.856999999999999</v>
      </c>
      <c r="R4008" s="1">
        <v>49.725999999999999</v>
      </c>
      <c r="S4008" s="1">
        <v>74.628</v>
      </c>
      <c r="T4008" s="1">
        <v>99.576999999999998</v>
      </c>
      <c r="U4008" s="28"/>
    </row>
    <row r="4009" spans="1:21">
      <c r="A4009" s="1">
        <v>1750</v>
      </c>
      <c r="B4009" s="1">
        <v>10.144</v>
      </c>
      <c r="C4009" s="1">
        <v>10.141</v>
      </c>
      <c r="D4009" s="1">
        <v>10.138999999999999</v>
      </c>
      <c r="E4009" s="1">
        <v>10.138</v>
      </c>
      <c r="F4009" s="1">
        <v>10.135999999999999</v>
      </c>
      <c r="G4009" s="1">
        <v>10.135</v>
      </c>
      <c r="H4009" s="1">
        <v>10.132</v>
      </c>
      <c r="I4009" s="1">
        <v>10.129</v>
      </c>
      <c r="J4009" s="21">
        <v>2800</v>
      </c>
      <c r="K4009" s="1">
        <v>3500</v>
      </c>
      <c r="L4009" s="1">
        <v>-99.576999999999998</v>
      </c>
      <c r="M4009" s="1">
        <v>-74.628</v>
      </c>
      <c r="N4009" s="1">
        <v>-49.725999999999999</v>
      </c>
      <c r="O4009" s="1">
        <v>-24.856999999999999</v>
      </c>
      <c r="P4009" s="365">
        <v>0</v>
      </c>
      <c r="Q4009" s="1">
        <v>24.856999999999999</v>
      </c>
      <c r="R4009" s="1">
        <v>49.726999999999997</v>
      </c>
      <c r="S4009" s="1">
        <v>-74.628</v>
      </c>
      <c r="T4009" s="1">
        <v>99.575000000000003</v>
      </c>
    </row>
    <row r="4010" spans="1:21">
      <c r="A4010" s="1">
        <v>1800</v>
      </c>
      <c r="B4010" s="1">
        <v>10.425000000000001</v>
      </c>
      <c r="C4010" s="1">
        <v>10.422000000000001</v>
      </c>
      <c r="D4010" s="1">
        <v>10.420999999999999</v>
      </c>
      <c r="E4010" s="1">
        <v>10.419</v>
      </c>
      <c r="F4010" s="1">
        <v>10.417999999999999</v>
      </c>
      <c r="G4010" s="1">
        <v>10.416</v>
      </c>
      <c r="H4010" s="1">
        <v>10.413</v>
      </c>
      <c r="I4010" s="1">
        <v>10.41</v>
      </c>
      <c r="J4010" s="21">
        <v>2750</v>
      </c>
      <c r="K4010" s="1">
        <v>3600</v>
      </c>
      <c r="L4010" s="1">
        <v>-99.576999999999998</v>
      </c>
      <c r="M4010" s="1">
        <v>-74.628</v>
      </c>
      <c r="N4010" s="1">
        <v>-49.725999999999999</v>
      </c>
      <c r="O4010" s="1">
        <v>-24.856999999999999</v>
      </c>
      <c r="P4010" s="365">
        <v>0</v>
      </c>
      <c r="Q4010" s="1">
        <v>24.856999999999999</v>
      </c>
      <c r="R4010" s="1">
        <v>49.726999999999997</v>
      </c>
      <c r="S4010" s="1">
        <v>74.628</v>
      </c>
      <c r="T4010" s="1">
        <v>99.575000000000003</v>
      </c>
    </row>
    <row r="4011" spans="1:21">
      <c r="A4011" s="1">
        <v>1850</v>
      </c>
      <c r="B4011" s="1">
        <v>10.707000000000001</v>
      </c>
      <c r="C4011" s="1">
        <v>10.704000000000001</v>
      </c>
      <c r="D4011" s="1">
        <v>10.702</v>
      </c>
      <c r="E4011" s="1">
        <v>10.701000000000001</v>
      </c>
      <c r="F4011" s="1">
        <v>10.699</v>
      </c>
      <c r="G4011" s="1">
        <v>10.698</v>
      </c>
      <c r="H4011" s="1">
        <v>10.695</v>
      </c>
      <c r="I4011" s="1">
        <v>10.691000000000001</v>
      </c>
      <c r="J4011" s="21">
        <v>2700</v>
      </c>
      <c r="K4011" s="1">
        <v>3700</v>
      </c>
      <c r="L4011" s="1">
        <v>-99.575000000000003</v>
      </c>
      <c r="M4011" s="1">
        <v>-74.628</v>
      </c>
      <c r="N4011" s="1">
        <v>-49.725000000000001</v>
      </c>
      <c r="O4011" s="1">
        <v>-24.856999999999999</v>
      </c>
      <c r="P4011" s="365">
        <v>0</v>
      </c>
      <c r="Q4011" s="1">
        <v>24.856999999999999</v>
      </c>
      <c r="R4011" s="1">
        <v>49.728999999999999</v>
      </c>
      <c r="S4011" s="1">
        <v>74.63</v>
      </c>
      <c r="T4011" s="1">
        <v>99.578999999999994</v>
      </c>
    </row>
    <row r="4012" spans="1:21">
      <c r="A4012" s="1">
        <v>1900</v>
      </c>
      <c r="B4012" s="1">
        <v>10.988</v>
      </c>
      <c r="C4012" s="1">
        <v>10.984999999999999</v>
      </c>
      <c r="D4012" s="1">
        <v>10.984</v>
      </c>
      <c r="E4012" s="1">
        <v>10.981999999999999</v>
      </c>
      <c r="F4012" s="1">
        <v>10.981</v>
      </c>
      <c r="G4012" s="1">
        <v>10.978999999999999</v>
      </c>
      <c r="H4012" s="1">
        <v>10.976000000000001</v>
      </c>
      <c r="I4012" s="1">
        <v>10.973000000000001</v>
      </c>
      <c r="J4012" s="21">
        <v>2650</v>
      </c>
      <c r="K4012" s="1">
        <v>3800</v>
      </c>
      <c r="L4012" s="1">
        <v>-99.576999999999998</v>
      </c>
      <c r="M4012" s="1">
        <v>-74.63</v>
      </c>
      <c r="N4012" s="1">
        <v>-49.725999999999999</v>
      </c>
      <c r="O4012" s="1">
        <v>-24.856999999999999</v>
      </c>
      <c r="P4012" s="365">
        <v>0</v>
      </c>
      <c r="Q4012" s="1">
        <v>24.856000000000002</v>
      </c>
      <c r="R4012" s="1">
        <v>49.726999999999997</v>
      </c>
      <c r="S4012" s="1">
        <v>74.626999999999995</v>
      </c>
      <c r="T4012" s="1">
        <v>99.575999999999993</v>
      </c>
    </row>
    <row r="4013" spans="1:21">
      <c r="A4013" s="1">
        <v>1950</v>
      </c>
      <c r="B4013" s="1">
        <v>11.27</v>
      </c>
      <c r="C4013" s="1">
        <v>11.266999999999999</v>
      </c>
      <c r="D4013" s="1">
        <v>11.265000000000001</v>
      </c>
      <c r="E4013" s="1">
        <v>11.263</v>
      </c>
      <c r="F4013" s="1">
        <v>11.262</v>
      </c>
      <c r="G4013" s="1">
        <v>11.26</v>
      </c>
      <c r="H4013" s="1">
        <v>11.257</v>
      </c>
      <c r="I4013" s="1">
        <v>11.254</v>
      </c>
      <c r="J4013" s="21">
        <v>2600</v>
      </c>
      <c r="K4013" s="1">
        <v>3900</v>
      </c>
      <c r="L4013" s="1">
        <v>-99.575999999999993</v>
      </c>
      <c r="M4013" s="1">
        <v>-74.629000000000005</v>
      </c>
      <c r="N4013" s="1">
        <v>-49.725000000000001</v>
      </c>
      <c r="O4013" s="1">
        <v>-24.856000000000002</v>
      </c>
      <c r="P4013" s="365">
        <v>0</v>
      </c>
      <c r="Q4013" s="1">
        <v>24.856999999999999</v>
      </c>
      <c r="R4013" s="1">
        <v>49.728999999999999</v>
      </c>
      <c r="S4013" s="1">
        <v>74.629000000000005</v>
      </c>
      <c r="T4013" s="1">
        <v>99.576999999999998</v>
      </c>
    </row>
    <row r="4014" spans="1:21">
      <c r="A4014" s="1">
        <v>2000</v>
      </c>
      <c r="B4014" s="1">
        <v>11.551</v>
      </c>
      <c r="C4014" s="1">
        <v>11.548</v>
      </c>
      <c r="D4014" s="1">
        <v>11.545999999999999</v>
      </c>
      <c r="E4014" s="1">
        <v>11.545</v>
      </c>
      <c r="F4014" s="1">
        <v>11.542999999999999</v>
      </c>
      <c r="G4014" s="1">
        <v>11.542</v>
      </c>
      <c r="H4014" s="1">
        <v>11.539</v>
      </c>
      <c r="I4014" s="1">
        <v>11.536</v>
      </c>
      <c r="J4014" s="21">
        <v>2550</v>
      </c>
      <c r="K4014" s="1">
        <v>4000</v>
      </c>
      <c r="L4014" s="1">
        <v>-99.576999999999998</v>
      </c>
      <c r="M4014" s="1">
        <v>-74.629000000000005</v>
      </c>
      <c r="N4014" s="1">
        <v>-49.728000000000002</v>
      </c>
      <c r="O4014" s="1">
        <v>-24.856999999999999</v>
      </c>
      <c r="P4014" s="365">
        <v>0</v>
      </c>
      <c r="Q4014" s="1">
        <v>24.856999999999999</v>
      </c>
      <c r="R4014" s="1">
        <v>49.728000000000002</v>
      </c>
      <c r="S4014" s="1">
        <v>74.63</v>
      </c>
      <c r="T4014" s="1">
        <v>99.578000000000003</v>
      </c>
    </row>
    <row r="4015" spans="1:21">
      <c r="A4015" s="1">
        <v>2050</v>
      </c>
      <c r="B4015" s="1">
        <v>11.832000000000001</v>
      </c>
      <c r="C4015" s="1">
        <v>11.829000000000001</v>
      </c>
      <c r="D4015" s="1">
        <v>11.827999999999999</v>
      </c>
      <c r="E4015" s="1">
        <v>11.826000000000001</v>
      </c>
      <c r="F4015" s="1">
        <v>11.824999999999999</v>
      </c>
      <c r="G4015" s="1">
        <v>11.823</v>
      </c>
      <c r="H4015" s="1">
        <v>11.82</v>
      </c>
      <c r="I4015" s="1">
        <v>11.817</v>
      </c>
      <c r="J4015" s="21">
        <v>2500</v>
      </c>
      <c r="K4015" s="1">
        <v>4100</v>
      </c>
      <c r="L4015" s="1">
        <v>-99.575999999999993</v>
      </c>
      <c r="M4015" s="1">
        <v>-74.629000000000005</v>
      </c>
      <c r="N4015" s="1">
        <v>-49.726999999999997</v>
      </c>
      <c r="O4015" s="1">
        <v>-24.856000000000002</v>
      </c>
      <c r="P4015" s="365">
        <v>0</v>
      </c>
      <c r="Q4015" s="1">
        <v>24.856000000000002</v>
      </c>
      <c r="R4015" s="1">
        <v>49.726999999999997</v>
      </c>
      <c r="S4015" s="1">
        <v>74.628</v>
      </c>
      <c r="T4015" s="1">
        <v>99.575999999999993</v>
      </c>
    </row>
    <row r="4016" spans="1:21">
      <c r="A4016" s="1">
        <v>2100</v>
      </c>
      <c r="B4016" s="1">
        <v>12.114000000000001</v>
      </c>
      <c r="C4016" s="1">
        <v>12.111000000000001</v>
      </c>
      <c r="D4016" s="1">
        <v>12.109</v>
      </c>
      <c r="E4016" s="1">
        <v>12.108000000000001</v>
      </c>
      <c r="F4016" s="1">
        <v>12.106</v>
      </c>
      <c r="G4016" s="1">
        <v>12.105</v>
      </c>
      <c r="H4016" s="1">
        <v>12.101000000000001</v>
      </c>
      <c r="I4016" s="1">
        <v>12.098000000000001</v>
      </c>
      <c r="J4016" s="21">
        <v>2450</v>
      </c>
      <c r="K4016" s="1">
        <v>4200</v>
      </c>
      <c r="L4016" s="1">
        <v>-99.576999999999998</v>
      </c>
      <c r="M4016" s="1">
        <v>-74.628</v>
      </c>
      <c r="N4016" s="1">
        <v>-49.726999999999997</v>
      </c>
      <c r="O4016" s="1">
        <v>-24.856000000000002</v>
      </c>
      <c r="P4016" s="365">
        <v>0</v>
      </c>
      <c r="Q4016" s="1">
        <v>24.856999999999999</v>
      </c>
      <c r="R4016" s="1">
        <v>49.728000000000002</v>
      </c>
      <c r="S4016" s="1">
        <v>74.63</v>
      </c>
      <c r="T4016" s="1">
        <v>99.575999999999993</v>
      </c>
    </row>
    <row r="4017" spans="1:20">
      <c r="A4017" s="1">
        <v>2150</v>
      </c>
      <c r="B4017" s="1">
        <v>12.395</v>
      </c>
      <c r="C4017" s="1">
        <v>12.391999999999999</v>
      </c>
      <c r="D4017" s="1">
        <v>12.391</v>
      </c>
      <c r="E4017" s="1">
        <v>12.388999999999999</v>
      </c>
      <c r="F4017" s="1">
        <v>12.387</v>
      </c>
      <c r="G4017" s="1">
        <v>12.385999999999999</v>
      </c>
      <c r="H4017" s="1">
        <v>12.382999999999999</v>
      </c>
      <c r="I4017" s="1">
        <v>12.38</v>
      </c>
      <c r="J4017" s="21">
        <v>2400</v>
      </c>
      <c r="K4017" s="1">
        <v>4300</v>
      </c>
      <c r="L4017" s="1">
        <v>-99.578999999999994</v>
      </c>
      <c r="M4017" s="1">
        <v>-74.63</v>
      </c>
      <c r="N4017" s="1">
        <v>-49.728000000000002</v>
      </c>
      <c r="O4017" s="1">
        <v>-24.856999999999999</v>
      </c>
      <c r="P4017" s="365">
        <v>0</v>
      </c>
      <c r="Q4017" s="1">
        <v>24.856000000000002</v>
      </c>
      <c r="R4017" s="1">
        <v>49.726999999999997</v>
      </c>
      <c r="S4017" s="1">
        <v>73.456000000000003</v>
      </c>
      <c r="T4017" s="1">
        <v>87.653000000000006</v>
      </c>
    </row>
    <row r="4018" spans="1:20">
      <c r="A4018" s="1">
        <v>2200</v>
      </c>
      <c r="B4018" s="1">
        <v>12.677</v>
      </c>
      <c r="C4018" s="1">
        <v>12.673</v>
      </c>
      <c r="D4018" s="1">
        <v>12.672000000000001</v>
      </c>
      <c r="E4018" s="1">
        <v>12.67</v>
      </c>
      <c r="F4018" s="1">
        <v>12.669</v>
      </c>
      <c r="G4018" s="1">
        <v>12.667</v>
      </c>
      <c r="H4018" s="1">
        <v>12.664</v>
      </c>
      <c r="I4018" s="1">
        <v>12.661</v>
      </c>
      <c r="J4018" s="21">
        <v>2350</v>
      </c>
      <c r="K4018" s="1">
        <v>4400</v>
      </c>
      <c r="L4018" s="1">
        <v>-99.575000000000003</v>
      </c>
      <c r="M4018" s="1">
        <v>-74.628</v>
      </c>
      <c r="N4018" s="1">
        <v>-49.726999999999997</v>
      </c>
      <c r="O4018" s="1">
        <v>-24.856000000000002</v>
      </c>
      <c r="P4018" s="365">
        <v>0</v>
      </c>
      <c r="Q4018" s="1">
        <v>51.521000000000001</v>
      </c>
      <c r="R4018" s="1">
        <v>69.775000000000006</v>
      </c>
      <c r="S4018" s="1">
        <v>75.418000000000006</v>
      </c>
      <c r="T4018" s="1">
        <v>77.912000000000006</v>
      </c>
    </row>
    <row r="4019" spans="1:20">
      <c r="A4019" s="1">
        <v>2250</v>
      </c>
      <c r="B4019" s="1">
        <v>12.958</v>
      </c>
      <c r="C4019" s="1">
        <v>12.955</v>
      </c>
      <c r="D4019" s="1">
        <v>12.952999999999999</v>
      </c>
      <c r="E4019" s="1">
        <v>12.952</v>
      </c>
      <c r="F4019" s="1">
        <v>12.95</v>
      </c>
      <c r="G4019" s="1">
        <v>12.949</v>
      </c>
      <c r="H4019" s="1">
        <v>12.946</v>
      </c>
      <c r="I4019" s="1">
        <v>12.942</v>
      </c>
      <c r="J4019" s="21">
        <v>2300</v>
      </c>
      <c r="K4019" s="1">
        <v>4500</v>
      </c>
      <c r="L4019" s="1">
        <v>-111.762</v>
      </c>
      <c r="M4019" s="1">
        <v>-75.295000000000002</v>
      </c>
      <c r="N4019" s="1">
        <v>-29.673999999999999</v>
      </c>
      <c r="O4019" s="1">
        <v>0</v>
      </c>
      <c r="P4019" s="365">
        <v>0</v>
      </c>
      <c r="Q4019" s="1">
        <v>0</v>
      </c>
      <c r="R4019" s="1">
        <v>0</v>
      </c>
      <c r="S4019" s="1">
        <v>0</v>
      </c>
      <c r="T4019" s="1">
        <v>0</v>
      </c>
    </row>
    <row r="4020" spans="1:20">
      <c r="A4020" s="1">
        <v>2300</v>
      </c>
      <c r="B4020" s="1">
        <v>13.239000000000001</v>
      </c>
      <c r="C4020" s="1">
        <v>13.236000000000001</v>
      </c>
      <c r="D4020" s="1">
        <v>13.234999999999999</v>
      </c>
      <c r="E4020" s="1">
        <v>13.233000000000001</v>
      </c>
      <c r="F4020" s="1">
        <v>13.231999999999999</v>
      </c>
      <c r="G4020" s="1">
        <v>13.23</v>
      </c>
      <c r="H4020" s="1">
        <v>13.227</v>
      </c>
      <c r="I4020" s="1">
        <v>13.224</v>
      </c>
      <c r="J4020" s="21">
        <v>2250</v>
      </c>
      <c r="K4020" s="1">
        <v>5994</v>
      </c>
      <c r="L4020" s="1">
        <v>0</v>
      </c>
      <c r="M4020" s="1">
        <v>0</v>
      </c>
      <c r="N4020" s="1">
        <v>0</v>
      </c>
      <c r="O4020" s="1">
        <v>0</v>
      </c>
      <c r="P4020" s="365">
        <v>0</v>
      </c>
      <c r="Q4020" s="1">
        <v>0</v>
      </c>
      <c r="R4020" s="1">
        <v>0</v>
      </c>
      <c r="S4020" s="1">
        <v>0</v>
      </c>
      <c r="T4020" s="1">
        <v>0</v>
      </c>
    </row>
    <row r="4021" spans="1:20">
      <c r="A4021" s="1">
        <v>2350</v>
      </c>
      <c r="B4021" s="1">
        <v>13.521000000000001</v>
      </c>
      <c r="C4021" s="1">
        <v>13.518000000000001</v>
      </c>
      <c r="D4021" s="1">
        <v>13.516</v>
      </c>
      <c r="E4021" s="1">
        <v>13.515000000000001</v>
      </c>
      <c r="F4021" s="1">
        <v>13.513</v>
      </c>
      <c r="G4021" s="1">
        <v>13.510999999999999</v>
      </c>
      <c r="H4021" s="1">
        <v>13.507999999999999</v>
      </c>
      <c r="I4021" s="1">
        <v>13.505000000000001</v>
      </c>
      <c r="J4021" s="21">
        <v>2200</v>
      </c>
      <c r="K4021" s="1"/>
      <c r="L4021" s="1"/>
      <c r="M4021" s="1"/>
      <c r="N4021" s="1"/>
      <c r="O4021" s="1"/>
      <c r="P4021" s="365"/>
      <c r="Q4021" s="1"/>
      <c r="R4021" s="1"/>
      <c r="S4021" s="1"/>
      <c r="T4021" s="1"/>
    </row>
    <row r="4022" spans="1:20">
      <c r="A4022" s="1">
        <v>2400</v>
      </c>
      <c r="B4022" s="1">
        <v>13.802</v>
      </c>
      <c r="C4022" s="1">
        <v>13.798999999999999</v>
      </c>
      <c r="D4022" s="1">
        <v>13.797000000000001</v>
      </c>
      <c r="E4022" s="1">
        <v>13.795999999999999</v>
      </c>
      <c r="F4022" s="1">
        <v>13.794</v>
      </c>
      <c r="G4022" s="1">
        <v>13.792999999999999</v>
      </c>
      <c r="H4022" s="1">
        <v>13.79</v>
      </c>
      <c r="I4022" s="1">
        <v>13.787000000000001</v>
      </c>
      <c r="J4022" s="21">
        <v>2150</v>
      </c>
      <c r="K4022" s="1"/>
      <c r="L4022" s="1"/>
      <c r="M4022" s="1"/>
      <c r="N4022" s="1"/>
      <c r="O4022" s="1"/>
      <c r="P4022" s="365"/>
      <c r="Q4022" s="1"/>
      <c r="R4022" s="1"/>
      <c r="S4022" s="1"/>
      <c r="T4022" s="1"/>
    </row>
    <row r="4023" spans="1:20">
      <c r="A4023" s="1">
        <v>2450</v>
      </c>
      <c r="B4023" s="1">
        <v>14.083</v>
      </c>
      <c r="C4023" s="1">
        <v>14.08</v>
      </c>
      <c r="D4023" s="1">
        <v>14.079000000000001</v>
      </c>
      <c r="E4023" s="1">
        <v>14.077</v>
      </c>
      <c r="F4023" s="1">
        <v>14.076000000000001</v>
      </c>
      <c r="G4023" s="1">
        <v>14.074</v>
      </c>
      <c r="H4023" s="1">
        <v>14.071</v>
      </c>
      <c r="I4023" s="1">
        <v>14.068</v>
      </c>
      <c r="J4023" s="21">
        <v>2100</v>
      </c>
      <c r="K4023" s="1"/>
      <c r="L4023" s="1"/>
      <c r="M4023" s="1"/>
      <c r="N4023" s="1"/>
      <c r="O4023" s="1"/>
      <c r="P4023" s="365"/>
      <c r="Q4023" s="1"/>
      <c r="R4023" s="1"/>
      <c r="S4023" s="1"/>
      <c r="T4023" s="1"/>
    </row>
    <row r="4024" spans="1:20">
      <c r="A4024" s="1">
        <v>2500</v>
      </c>
      <c r="B4024" s="1">
        <v>14.365</v>
      </c>
      <c r="C4024" s="1">
        <v>14.362</v>
      </c>
      <c r="D4024" s="1">
        <v>14.36</v>
      </c>
      <c r="E4024" s="1">
        <v>14.359</v>
      </c>
      <c r="F4024" s="1">
        <v>14.356999999999999</v>
      </c>
      <c r="G4024" s="1">
        <v>14.356</v>
      </c>
      <c r="H4024" s="1">
        <v>14.352</v>
      </c>
      <c r="I4024" s="1">
        <v>14.349</v>
      </c>
      <c r="J4024" s="21">
        <v>2050</v>
      </c>
      <c r="K4024" s="1"/>
      <c r="L4024" s="1"/>
      <c r="M4024" s="1"/>
      <c r="N4024" s="1"/>
      <c r="O4024" s="1"/>
      <c r="P4024" s="365"/>
      <c r="Q4024" s="1"/>
      <c r="R4024" s="1"/>
      <c r="S4024" s="1"/>
      <c r="T4024" s="1"/>
    </row>
    <row r="4025" spans="1:20">
      <c r="A4025" s="1">
        <v>2550</v>
      </c>
      <c r="B4025" s="1">
        <v>14.646000000000001</v>
      </c>
      <c r="C4025" s="1">
        <v>14.643000000000001</v>
      </c>
      <c r="D4025" s="1">
        <v>14.641999999999999</v>
      </c>
      <c r="E4025" s="1">
        <v>14.64</v>
      </c>
      <c r="F4025" s="1">
        <v>14.638</v>
      </c>
      <c r="G4025" s="1">
        <v>14.637</v>
      </c>
      <c r="H4025" s="1">
        <v>14.634</v>
      </c>
      <c r="I4025" s="1">
        <v>14.631</v>
      </c>
      <c r="J4025" s="21">
        <v>2000</v>
      </c>
      <c r="K4025" s="1"/>
      <c r="L4025" s="1"/>
      <c r="M4025" s="1"/>
      <c r="N4025" s="1"/>
      <c r="O4025" s="1"/>
      <c r="P4025" s="365"/>
      <c r="Q4025" s="1"/>
      <c r="R4025" s="1"/>
      <c r="S4025" s="1"/>
      <c r="T4025" s="1"/>
    </row>
    <row r="4026" spans="1:20">
      <c r="A4026" s="1">
        <v>2600</v>
      </c>
      <c r="B4026" s="1">
        <v>14.928000000000001</v>
      </c>
      <c r="C4026" s="1">
        <v>14.925000000000001</v>
      </c>
      <c r="D4026" s="1">
        <v>14.923</v>
      </c>
      <c r="E4026" s="1">
        <v>14.920999999999999</v>
      </c>
      <c r="F4026" s="1">
        <v>14.92</v>
      </c>
      <c r="G4026" s="1">
        <v>14.917999999999999</v>
      </c>
      <c r="H4026" s="1">
        <v>14.914999999999999</v>
      </c>
      <c r="I4026" s="1">
        <v>14.912000000000001</v>
      </c>
      <c r="J4026" s="21">
        <v>1950</v>
      </c>
      <c r="K4026" s="1"/>
      <c r="L4026" s="1"/>
      <c r="M4026" s="1"/>
      <c r="N4026" s="1"/>
      <c r="O4026" s="1"/>
      <c r="P4026" s="365"/>
      <c r="Q4026" s="1"/>
      <c r="R4026" s="1"/>
      <c r="S4026" s="1"/>
      <c r="T4026" s="1"/>
    </row>
    <row r="4027" spans="1:20">
      <c r="A4027" s="1">
        <v>2650</v>
      </c>
      <c r="B4027" s="1">
        <v>15.209</v>
      </c>
      <c r="C4027" s="1">
        <v>15.206</v>
      </c>
      <c r="D4027" s="1">
        <v>15.204000000000001</v>
      </c>
      <c r="E4027" s="1">
        <v>15.202999999999999</v>
      </c>
      <c r="F4027" s="1">
        <v>15.201000000000001</v>
      </c>
      <c r="G4027" s="1">
        <v>15.2</v>
      </c>
      <c r="H4027" s="1">
        <v>15.196999999999999</v>
      </c>
      <c r="I4027" s="1">
        <v>15.194000000000001</v>
      </c>
      <c r="J4027" s="21">
        <v>1900</v>
      </c>
      <c r="K4027" s="1"/>
      <c r="L4027" s="1"/>
      <c r="M4027" s="1"/>
      <c r="N4027" s="1"/>
      <c r="O4027" s="1"/>
      <c r="P4027" s="365"/>
      <c r="Q4027" s="1"/>
      <c r="R4027" s="1"/>
      <c r="S4027" s="1"/>
      <c r="T4027" s="1"/>
    </row>
    <row r="4028" spans="1:20">
      <c r="A4028" s="1">
        <v>2700</v>
      </c>
      <c r="B4028" s="1">
        <v>15.49</v>
      </c>
      <c r="C4028" s="1">
        <v>15.487</v>
      </c>
      <c r="D4028" s="1">
        <v>15.486000000000001</v>
      </c>
      <c r="E4028" s="1">
        <v>15.484</v>
      </c>
      <c r="F4028" s="1">
        <v>15.483000000000001</v>
      </c>
      <c r="G4028" s="1">
        <v>15.481</v>
      </c>
      <c r="H4028" s="1">
        <v>15.478</v>
      </c>
      <c r="I4028" s="1">
        <v>15.475</v>
      </c>
      <c r="J4028" s="21">
        <v>1850</v>
      </c>
      <c r="K4028" s="1"/>
      <c r="L4028" s="1"/>
      <c r="M4028" s="1"/>
      <c r="N4028" s="1"/>
      <c r="O4028" s="1"/>
      <c r="P4028" s="365"/>
      <c r="Q4028" s="1"/>
      <c r="R4028" s="1"/>
      <c r="S4028" s="1"/>
      <c r="T4028" s="1"/>
    </row>
    <row r="4029" spans="1:20">
      <c r="A4029" s="1">
        <v>2750</v>
      </c>
      <c r="B4029" s="1">
        <v>15.772</v>
      </c>
      <c r="C4029" s="1">
        <v>15.769</v>
      </c>
      <c r="D4029" s="1">
        <v>15.766999999999999</v>
      </c>
      <c r="E4029" s="1">
        <v>15.766</v>
      </c>
      <c r="F4029" s="1">
        <v>15.763999999999999</v>
      </c>
      <c r="G4029" s="1">
        <v>15.762</v>
      </c>
      <c r="H4029" s="1">
        <v>15.759</v>
      </c>
      <c r="I4029" s="1">
        <v>15.756</v>
      </c>
      <c r="J4029" s="21">
        <v>1800</v>
      </c>
      <c r="K4029" s="1"/>
      <c r="L4029" s="1"/>
      <c r="M4029" s="1"/>
      <c r="N4029" s="1"/>
      <c r="O4029" s="1"/>
      <c r="P4029" s="365"/>
      <c r="Q4029" s="1"/>
      <c r="R4029" s="1"/>
      <c r="S4029" s="1"/>
      <c r="T4029" s="1"/>
    </row>
    <row r="4030" spans="1:20">
      <c r="A4030" s="1">
        <v>2800</v>
      </c>
      <c r="B4030" s="1">
        <v>16.053000000000001</v>
      </c>
      <c r="C4030" s="1">
        <v>16.05</v>
      </c>
      <c r="D4030" s="1">
        <v>16.047999999999998</v>
      </c>
      <c r="E4030" s="1">
        <v>16.047000000000001</v>
      </c>
      <c r="F4030" s="1">
        <v>16.045000000000002</v>
      </c>
      <c r="G4030" s="1">
        <v>16.044</v>
      </c>
      <c r="H4030" s="1">
        <v>16.041</v>
      </c>
      <c r="I4030" s="1">
        <v>16.038</v>
      </c>
      <c r="J4030" s="21">
        <v>1750</v>
      </c>
      <c r="K4030" s="1"/>
      <c r="L4030" s="1"/>
      <c r="M4030" s="1"/>
      <c r="N4030" s="1"/>
      <c r="O4030" s="1"/>
      <c r="P4030" s="365"/>
      <c r="Q4030" s="1"/>
      <c r="R4030" s="1"/>
      <c r="S4030" s="1"/>
      <c r="T4030" s="1"/>
    </row>
    <row r="4031" spans="1:20">
      <c r="A4031" s="1">
        <v>2850</v>
      </c>
      <c r="B4031" s="1">
        <v>16.335000000000001</v>
      </c>
      <c r="C4031" s="1">
        <v>16.331</v>
      </c>
      <c r="D4031" s="1">
        <v>16.329999999999998</v>
      </c>
      <c r="E4031" s="1">
        <v>16.327999999999999</v>
      </c>
      <c r="F4031" s="1">
        <v>16.327000000000002</v>
      </c>
      <c r="G4031" s="1">
        <v>16.324999999999999</v>
      </c>
      <c r="H4031" s="1">
        <v>16.321999999999999</v>
      </c>
      <c r="I4031" s="1">
        <v>16.318999999999999</v>
      </c>
      <c r="J4031" s="21">
        <v>1700</v>
      </c>
      <c r="K4031" s="1"/>
      <c r="L4031" s="1"/>
      <c r="M4031" s="1"/>
      <c r="N4031" s="1"/>
      <c r="O4031" s="1"/>
      <c r="P4031" s="365"/>
      <c r="Q4031" s="1"/>
      <c r="R4031" s="1"/>
      <c r="S4031" s="1"/>
      <c r="T4031" s="1"/>
    </row>
    <row r="4032" spans="1:20">
      <c r="A4032" s="1">
        <v>2900</v>
      </c>
      <c r="B4032" s="1">
        <v>16.616</v>
      </c>
      <c r="C4032" s="1">
        <v>16.613</v>
      </c>
      <c r="D4032" s="1">
        <v>16.611000000000001</v>
      </c>
      <c r="E4032" s="1">
        <v>16.61</v>
      </c>
      <c r="F4032" s="1">
        <v>16.608000000000001</v>
      </c>
      <c r="G4032" s="1">
        <v>16.606999999999999</v>
      </c>
      <c r="H4032" s="1">
        <v>16.603999999999999</v>
      </c>
      <c r="I4032" s="1">
        <v>16.600000000000001</v>
      </c>
      <c r="J4032" s="21">
        <v>1650</v>
      </c>
      <c r="K4032" s="1"/>
      <c r="L4032" s="1"/>
      <c r="M4032" s="1"/>
      <c r="N4032" s="1"/>
      <c r="O4032" s="1"/>
      <c r="P4032" s="365"/>
      <c r="Q4032" s="1"/>
      <c r="R4032" s="1"/>
      <c r="S4032" s="1"/>
      <c r="T4032" s="1"/>
    </row>
    <row r="4033" spans="1:20">
      <c r="A4033" s="1">
        <v>2950</v>
      </c>
      <c r="B4033" s="1">
        <v>16.896999999999998</v>
      </c>
      <c r="C4033" s="1">
        <v>16.893999999999998</v>
      </c>
      <c r="D4033" s="1">
        <v>16.893000000000001</v>
      </c>
      <c r="E4033" s="1">
        <v>16.890999999999998</v>
      </c>
      <c r="F4033" s="1">
        <v>16.89</v>
      </c>
      <c r="G4033" s="1">
        <v>16.888000000000002</v>
      </c>
      <c r="H4033" s="1">
        <v>16.885000000000002</v>
      </c>
      <c r="I4033" s="1">
        <v>16.882000000000001</v>
      </c>
      <c r="J4033" s="21">
        <v>1600</v>
      </c>
      <c r="K4033" s="1"/>
      <c r="L4033" s="1"/>
      <c r="M4033" s="1"/>
      <c r="N4033" s="1"/>
      <c r="O4033" s="1"/>
      <c r="P4033" s="365"/>
      <c r="Q4033" s="1"/>
      <c r="R4033" s="1"/>
      <c r="S4033" s="1"/>
      <c r="T4033" s="1"/>
    </row>
    <row r="4034" spans="1:20">
      <c r="A4034" s="1">
        <v>3000</v>
      </c>
      <c r="B4034" s="1">
        <v>17.178999999999998</v>
      </c>
      <c r="C4034" s="1">
        <v>17.175999999999998</v>
      </c>
      <c r="D4034" s="1">
        <v>17.173999999999999</v>
      </c>
      <c r="E4034" s="1">
        <v>17.172000000000001</v>
      </c>
      <c r="F4034" s="1">
        <v>17.170999999999999</v>
      </c>
      <c r="G4034" s="1">
        <v>17.169</v>
      </c>
      <c r="H4034" s="1">
        <v>17.166</v>
      </c>
      <c r="I4034" s="1">
        <v>17.163</v>
      </c>
      <c r="J4034" s="21">
        <v>1550</v>
      </c>
      <c r="K4034" s="1"/>
      <c r="L4034" s="1"/>
      <c r="M4034" s="1"/>
      <c r="N4034" s="1"/>
      <c r="O4034" s="1"/>
      <c r="P4034" s="365"/>
      <c r="Q4034" s="1"/>
      <c r="R4034" s="1"/>
      <c r="S4034" s="1"/>
      <c r="T4034" s="1"/>
    </row>
    <row r="4035" spans="1:20">
      <c r="A4035" s="1">
        <v>3050</v>
      </c>
      <c r="B4035" s="1">
        <v>17.46</v>
      </c>
      <c r="C4035" s="1">
        <v>17.457000000000001</v>
      </c>
      <c r="D4035" s="1">
        <v>17.454999999999998</v>
      </c>
      <c r="E4035" s="1">
        <v>17.454000000000001</v>
      </c>
      <c r="F4035" s="1">
        <v>17.452000000000002</v>
      </c>
      <c r="G4035" s="1">
        <v>17.451000000000001</v>
      </c>
      <c r="H4035" s="1">
        <v>17.448</v>
      </c>
      <c r="I4035" s="1">
        <v>17.445</v>
      </c>
      <c r="J4035" s="21">
        <v>1500</v>
      </c>
      <c r="K4035" s="1"/>
      <c r="L4035" s="1"/>
      <c r="M4035" s="1"/>
      <c r="N4035" s="1"/>
      <c r="O4035" s="1"/>
      <c r="P4035" s="365"/>
      <c r="Q4035" s="1"/>
      <c r="R4035" s="1"/>
      <c r="S4035" s="1"/>
      <c r="T4035" s="1"/>
    </row>
    <row r="4036" spans="1:20">
      <c r="A4036" s="1">
        <v>3100</v>
      </c>
      <c r="B4036" s="1">
        <v>17.741</v>
      </c>
      <c r="C4036" s="1">
        <v>17.738</v>
      </c>
      <c r="D4036" s="1">
        <v>17.736999999999998</v>
      </c>
      <c r="E4036" s="1">
        <v>17.734999999999999</v>
      </c>
      <c r="F4036" s="1">
        <v>17.734000000000002</v>
      </c>
      <c r="G4036" s="1">
        <v>17.731999999999999</v>
      </c>
      <c r="H4036" s="1">
        <v>17.728999999999999</v>
      </c>
      <c r="I4036" s="1">
        <v>17.725999999999999</v>
      </c>
      <c r="J4036" s="21">
        <v>1450</v>
      </c>
      <c r="K4036" s="1"/>
      <c r="L4036" s="1"/>
      <c r="M4036" s="1"/>
      <c r="N4036" s="1"/>
      <c r="O4036" s="1"/>
      <c r="P4036" s="365"/>
      <c r="Q4036" s="1"/>
      <c r="R4036" s="1"/>
      <c r="S4036" s="1"/>
      <c r="T4036" s="1"/>
    </row>
    <row r="4037" spans="1:20">
      <c r="A4037" s="1">
        <v>3150</v>
      </c>
      <c r="B4037" s="1">
        <v>18.023</v>
      </c>
      <c r="C4037" s="1">
        <v>18.02</v>
      </c>
      <c r="D4037" s="1">
        <v>18.018000000000001</v>
      </c>
      <c r="E4037" s="1">
        <v>18.016999999999999</v>
      </c>
      <c r="F4037" s="1">
        <v>18.015000000000001</v>
      </c>
      <c r="G4037" s="1">
        <v>18.013999999999999</v>
      </c>
      <c r="H4037" s="1">
        <v>18.010000000000002</v>
      </c>
      <c r="I4037" s="1">
        <v>18.007000000000001</v>
      </c>
      <c r="J4037" s="21">
        <v>1400</v>
      </c>
      <c r="K4037" s="1"/>
      <c r="L4037" s="1"/>
      <c r="M4037" s="1"/>
      <c r="N4037" s="1"/>
      <c r="O4037" s="1"/>
      <c r="P4037" s="365"/>
      <c r="Q4037" s="1"/>
      <c r="R4037" s="1"/>
      <c r="S4037" s="1"/>
      <c r="T4037" s="1"/>
    </row>
    <row r="4038" spans="1:20">
      <c r="A4038" s="1">
        <v>3200</v>
      </c>
      <c r="B4038" s="1">
        <v>8.3040000000000003</v>
      </c>
      <c r="C4038" s="1">
        <v>18.300999999999998</v>
      </c>
      <c r="D4038" s="1">
        <v>18.3</v>
      </c>
      <c r="E4038" s="1">
        <v>18.297999999999998</v>
      </c>
      <c r="F4038" s="1">
        <v>18.295999999999999</v>
      </c>
      <c r="G4038" s="1">
        <v>18.295000000000002</v>
      </c>
      <c r="H4038" s="1">
        <v>18.292000000000002</v>
      </c>
      <c r="I4038" s="1">
        <v>18.289000000000001</v>
      </c>
      <c r="J4038" s="21">
        <v>1350</v>
      </c>
      <c r="K4038" s="1"/>
      <c r="L4038" s="1"/>
      <c r="M4038" s="1"/>
      <c r="N4038" s="1"/>
      <c r="O4038" s="1"/>
      <c r="P4038" s="365"/>
      <c r="Q4038" s="1"/>
      <c r="R4038" s="1"/>
      <c r="S4038" s="1"/>
      <c r="T4038" s="1"/>
    </row>
    <row r="4039" spans="1:20">
      <c r="A4039" s="1">
        <v>3250</v>
      </c>
      <c r="B4039" s="1">
        <v>18.585999999999999</v>
      </c>
      <c r="C4039" s="1">
        <v>18.582000000000001</v>
      </c>
      <c r="D4039" s="1">
        <v>18.581</v>
      </c>
      <c r="E4039" s="1">
        <v>18.579000000000001</v>
      </c>
      <c r="F4039" s="1">
        <v>18.577999999999999</v>
      </c>
      <c r="G4039" s="1">
        <v>18.576000000000001</v>
      </c>
      <c r="H4039" s="1">
        <v>18.573</v>
      </c>
      <c r="I4039" s="1">
        <v>18.57</v>
      </c>
      <c r="J4039" s="21">
        <v>1300</v>
      </c>
      <c r="K4039" s="1"/>
      <c r="L4039" s="1"/>
      <c r="M4039" s="1"/>
      <c r="N4039" s="1"/>
      <c r="O4039" s="1"/>
      <c r="P4039" s="365"/>
      <c r="Q4039" s="1"/>
      <c r="R4039" s="1"/>
      <c r="S4039" s="1"/>
      <c r="T4039" s="1"/>
    </row>
    <row r="4040" spans="1:20">
      <c r="A4040" s="1">
        <v>3300</v>
      </c>
      <c r="B4040" s="1">
        <v>18.867000000000001</v>
      </c>
      <c r="C4040" s="1">
        <v>18.864000000000001</v>
      </c>
      <c r="D4040" s="1">
        <v>18.861999999999998</v>
      </c>
      <c r="E4040" s="1">
        <v>18.861000000000001</v>
      </c>
      <c r="F4040" s="1">
        <v>18.859000000000002</v>
      </c>
      <c r="G4040" s="1">
        <v>18.858000000000001</v>
      </c>
      <c r="H4040" s="1">
        <v>18.855</v>
      </c>
      <c r="I4040" s="1">
        <v>18.850999999999999</v>
      </c>
      <c r="J4040" s="21">
        <v>1250</v>
      </c>
      <c r="K4040" s="1"/>
      <c r="L4040" s="1"/>
      <c r="M4040" s="1"/>
      <c r="N4040" s="1"/>
      <c r="O4040" s="1"/>
      <c r="P4040" s="365"/>
      <c r="Q4040" s="1"/>
      <c r="R4040" s="1"/>
      <c r="S4040" s="1"/>
      <c r="T4040" s="1"/>
    </row>
    <row r="4041" spans="1:20">
      <c r="A4041" s="1">
        <v>3350</v>
      </c>
      <c r="B4041" s="1">
        <v>19.148</v>
      </c>
      <c r="C4041" s="1">
        <v>19.145</v>
      </c>
      <c r="D4041" s="1">
        <v>19.143999999999998</v>
      </c>
      <c r="E4041" s="1">
        <v>19.141999999999999</v>
      </c>
      <c r="F4041" s="1">
        <v>19.140999999999998</v>
      </c>
      <c r="G4041" s="1">
        <v>19.138999999999999</v>
      </c>
      <c r="H4041" s="1">
        <v>19.135999999999999</v>
      </c>
      <c r="I4041" s="1">
        <v>19.132999999999999</v>
      </c>
      <c r="J4041" s="21">
        <v>1200</v>
      </c>
      <c r="K4041" s="1"/>
      <c r="L4041" s="1"/>
      <c r="M4041" s="1"/>
      <c r="N4041" s="1"/>
      <c r="O4041" s="1"/>
      <c r="P4041" s="365"/>
      <c r="Q4041" s="1"/>
      <c r="R4041" s="1"/>
      <c r="S4041" s="1"/>
      <c r="T4041" s="1"/>
    </row>
    <row r="4042" spans="1:20">
      <c r="A4042" s="1">
        <v>3400</v>
      </c>
      <c r="B4042" s="1">
        <v>19.43</v>
      </c>
      <c r="C4042" s="1">
        <v>19.427</v>
      </c>
      <c r="D4042" s="1">
        <v>19.425000000000001</v>
      </c>
      <c r="E4042" s="1">
        <v>19.423999999999999</v>
      </c>
      <c r="F4042" s="1">
        <v>19.422000000000001</v>
      </c>
      <c r="G4042" s="1">
        <v>19.420000000000002</v>
      </c>
      <c r="H4042" s="1">
        <v>19.417000000000002</v>
      </c>
      <c r="I4042" s="1">
        <v>19.414000000000001</v>
      </c>
      <c r="J4042" s="21">
        <v>1150</v>
      </c>
      <c r="K4042" s="1"/>
      <c r="L4042" s="1"/>
      <c r="M4042" s="1"/>
      <c r="N4042" s="1"/>
      <c r="O4042" s="1"/>
      <c r="P4042" s="365"/>
      <c r="Q4042" s="1"/>
      <c r="R4042" s="1"/>
      <c r="S4042" s="1"/>
      <c r="T4042" s="1"/>
    </row>
    <row r="4043" spans="1:20">
      <c r="A4043" s="1">
        <v>3450</v>
      </c>
      <c r="B4043" s="1">
        <v>19.710999999999999</v>
      </c>
      <c r="C4043" s="1">
        <v>19.707999999999998</v>
      </c>
      <c r="D4043" s="1">
        <v>19.706</v>
      </c>
      <c r="E4043" s="1">
        <v>19.704999999999998</v>
      </c>
      <c r="F4043" s="1">
        <v>19.702999999999999</v>
      </c>
      <c r="G4043" s="1">
        <v>19.702000000000002</v>
      </c>
      <c r="H4043" s="1">
        <v>19.699000000000002</v>
      </c>
      <c r="I4043" s="1">
        <v>19.696000000000002</v>
      </c>
      <c r="J4043" s="21">
        <v>1100</v>
      </c>
      <c r="K4043" s="1"/>
      <c r="L4043" s="1"/>
      <c r="M4043" s="1"/>
      <c r="N4043" s="1"/>
      <c r="O4043" s="1"/>
      <c r="P4043" s="365"/>
      <c r="Q4043" s="1"/>
      <c r="R4043" s="1"/>
      <c r="S4043" s="1"/>
      <c r="T4043" s="1"/>
    </row>
    <row r="4044" spans="1:20">
      <c r="A4044" s="1">
        <v>3500</v>
      </c>
      <c r="B4044" s="1">
        <v>19.992999999999999</v>
      </c>
      <c r="C4044" s="1">
        <v>19.989000000000001</v>
      </c>
      <c r="D4044" s="1">
        <v>19.988</v>
      </c>
      <c r="E4044" s="1">
        <v>19.986000000000001</v>
      </c>
      <c r="F4044" s="1">
        <v>19.984999999999999</v>
      </c>
      <c r="G4044" s="1">
        <v>19.983000000000001</v>
      </c>
      <c r="H4044" s="1">
        <v>19.98</v>
      </c>
      <c r="I4044" s="1">
        <v>19.977</v>
      </c>
      <c r="J4044" s="21">
        <v>1050</v>
      </c>
      <c r="K4044" s="1"/>
      <c r="L4044" s="1"/>
      <c r="M4044" s="1"/>
      <c r="N4044" s="1"/>
      <c r="O4044" s="1"/>
      <c r="P4044" s="365"/>
      <c r="Q4044" s="1"/>
      <c r="R4044" s="1"/>
      <c r="S4044" s="1"/>
      <c r="T4044" s="1"/>
    </row>
    <row r="4045" spans="1:20">
      <c r="A4045" s="1">
        <v>3550</v>
      </c>
      <c r="B4045" s="1">
        <v>20.274000000000001</v>
      </c>
      <c r="C4045" s="1">
        <v>20.271000000000001</v>
      </c>
      <c r="D4045" s="1">
        <v>20.268999999999998</v>
      </c>
      <c r="E4045" s="1">
        <v>20.268000000000001</v>
      </c>
      <c r="F4045" s="1">
        <v>20.265999999999998</v>
      </c>
      <c r="G4045" s="1">
        <v>20.265000000000001</v>
      </c>
      <c r="H4045" s="1">
        <v>20.260999999999999</v>
      </c>
      <c r="I4045" s="1">
        <v>20.257999999999999</v>
      </c>
      <c r="J4045" s="21">
        <v>1000</v>
      </c>
      <c r="K4045" s="1"/>
      <c r="L4045" s="1"/>
      <c r="M4045" s="1"/>
      <c r="N4045" s="1"/>
      <c r="O4045" s="1"/>
      <c r="P4045" s="365"/>
      <c r="Q4045" s="1"/>
      <c r="R4045" s="1"/>
      <c r="S4045" s="1"/>
      <c r="T4045" s="1"/>
    </row>
    <row r="4046" spans="1:20">
      <c r="A4046" s="1">
        <v>3600</v>
      </c>
      <c r="B4046" s="1">
        <v>20.555</v>
      </c>
      <c r="C4046" s="1">
        <v>20.552</v>
      </c>
      <c r="D4046" s="1">
        <v>20.550999999999998</v>
      </c>
      <c r="E4046" s="1">
        <v>20.548999999999999</v>
      </c>
      <c r="F4046" s="1">
        <v>20.547999999999998</v>
      </c>
      <c r="G4046" s="1">
        <v>20.545999999999999</v>
      </c>
      <c r="H4046" s="1">
        <v>20.542999999999999</v>
      </c>
      <c r="I4046" s="1">
        <v>20.54</v>
      </c>
      <c r="J4046" s="21">
        <v>950</v>
      </c>
      <c r="K4046" s="1"/>
      <c r="L4046" s="1"/>
      <c r="M4046" s="1"/>
      <c r="N4046" s="1"/>
      <c r="O4046" s="1"/>
      <c r="P4046" s="365"/>
      <c r="Q4046" s="1"/>
      <c r="R4046" s="1"/>
      <c r="S4046" s="1"/>
      <c r="T4046" s="1"/>
    </row>
    <row r="4047" spans="1:20">
      <c r="A4047" s="1">
        <v>3650</v>
      </c>
      <c r="B4047" s="1">
        <v>20.837</v>
      </c>
      <c r="C4047" s="1">
        <v>20.834</v>
      </c>
      <c r="D4047" s="1">
        <v>20.832000000000001</v>
      </c>
      <c r="E4047" s="1">
        <v>20.83</v>
      </c>
      <c r="F4047" s="1">
        <v>20.829000000000001</v>
      </c>
      <c r="G4047" s="1">
        <v>20.827000000000002</v>
      </c>
      <c r="H4047" s="1">
        <v>20.824000000000002</v>
      </c>
      <c r="I4047" s="1">
        <v>20.821000000000002</v>
      </c>
      <c r="J4047" s="21">
        <v>900</v>
      </c>
      <c r="K4047" s="1"/>
      <c r="L4047" s="1"/>
      <c r="M4047" s="1"/>
      <c r="N4047" s="1"/>
      <c r="O4047" s="1"/>
      <c r="P4047" s="365"/>
      <c r="Q4047" s="1"/>
      <c r="R4047" s="1"/>
      <c r="S4047" s="1"/>
      <c r="T4047" s="1"/>
    </row>
    <row r="4048" spans="1:20">
      <c r="A4048" s="1">
        <v>3700</v>
      </c>
      <c r="B4048" s="1">
        <v>21.117999999999999</v>
      </c>
      <c r="C4048" s="1">
        <v>21.114999999999998</v>
      </c>
      <c r="D4048" s="1">
        <v>21.113</v>
      </c>
      <c r="E4048" s="1">
        <v>21.111999999999998</v>
      </c>
      <c r="F4048" s="1">
        <v>21.11</v>
      </c>
      <c r="G4048" s="1">
        <v>21.109000000000002</v>
      </c>
      <c r="H4048" s="1">
        <v>21.106000000000002</v>
      </c>
      <c r="I4048" s="1">
        <v>21.103000000000002</v>
      </c>
      <c r="J4048" s="21">
        <v>850</v>
      </c>
      <c r="K4048" s="1"/>
      <c r="L4048" s="1"/>
      <c r="M4048" s="1"/>
      <c r="N4048" s="1"/>
      <c r="O4048" s="1"/>
      <c r="P4048" s="365"/>
      <c r="Q4048" s="1"/>
      <c r="R4048" s="1"/>
      <c r="S4048" s="1"/>
      <c r="T4048" s="1"/>
    </row>
    <row r="4049" spans="1:20">
      <c r="A4049" s="1">
        <v>3750</v>
      </c>
      <c r="B4049" s="1">
        <v>21.399000000000001</v>
      </c>
      <c r="C4049" s="1">
        <v>21.396000000000001</v>
      </c>
      <c r="D4049" s="1">
        <v>21.395</v>
      </c>
      <c r="E4049" s="1">
        <v>21.393000000000001</v>
      </c>
      <c r="F4049" s="1">
        <v>21.391999999999999</v>
      </c>
      <c r="G4049" s="1">
        <v>21.39</v>
      </c>
      <c r="H4049" s="1">
        <v>21.387</v>
      </c>
      <c r="I4049" s="1">
        <v>21.384</v>
      </c>
      <c r="J4049" s="21">
        <v>800</v>
      </c>
      <c r="K4049" s="1"/>
      <c r="L4049" s="1"/>
      <c r="M4049" s="1"/>
      <c r="N4049" s="1"/>
      <c r="O4049" s="1"/>
      <c r="P4049" s="365"/>
      <c r="Q4049" s="1"/>
      <c r="R4049" s="1"/>
      <c r="S4049" s="1"/>
      <c r="T4049" s="1"/>
    </row>
    <row r="4050" spans="1:20">
      <c r="A4050" s="1">
        <v>3800</v>
      </c>
      <c r="B4050" s="1">
        <v>21.681000000000001</v>
      </c>
      <c r="C4050" s="1">
        <v>21.678000000000001</v>
      </c>
      <c r="D4050" s="1">
        <v>21.675999999999998</v>
      </c>
      <c r="E4050" s="1">
        <v>21.675000000000001</v>
      </c>
      <c r="F4050" s="1">
        <v>21.672999999999998</v>
      </c>
      <c r="G4050" s="1">
        <v>21.672000000000001</v>
      </c>
      <c r="H4050" s="1">
        <v>21.667999999999999</v>
      </c>
      <c r="I4050" s="1">
        <v>21.664999999999999</v>
      </c>
      <c r="J4050" s="21">
        <v>750</v>
      </c>
      <c r="K4050" s="1"/>
      <c r="L4050" s="1"/>
      <c r="M4050" s="1"/>
      <c r="N4050" s="1"/>
      <c r="O4050" s="1"/>
      <c r="P4050" s="365"/>
      <c r="Q4050" s="1"/>
      <c r="R4050" s="1"/>
      <c r="S4050" s="1"/>
      <c r="T4050" s="1"/>
    </row>
    <row r="4051" spans="1:20">
      <c r="A4051" s="1">
        <v>3850</v>
      </c>
      <c r="B4051" s="1">
        <v>21.962</v>
      </c>
      <c r="C4051" s="1">
        <v>21.959</v>
      </c>
      <c r="D4051" s="1">
        <v>21.957999999999998</v>
      </c>
      <c r="E4051" s="1">
        <v>21.956</v>
      </c>
      <c r="F4051" s="1">
        <v>21.954000000000001</v>
      </c>
      <c r="G4051" s="1">
        <v>21.952999999999999</v>
      </c>
      <c r="H4051" s="1">
        <v>21.95</v>
      </c>
      <c r="I4051" s="1">
        <v>21.946999999999999</v>
      </c>
      <c r="J4051" s="21">
        <v>700</v>
      </c>
      <c r="K4051" s="1"/>
      <c r="L4051" s="1"/>
      <c r="M4051" s="1"/>
      <c r="N4051" s="1"/>
      <c r="O4051" s="1"/>
      <c r="P4051" s="365"/>
      <c r="Q4051" s="1"/>
      <c r="R4051" s="1"/>
      <c r="S4051" s="1"/>
      <c r="T4051" s="1"/>
    </row>
    <row r="4052" spans="1:20">
      <c r="A4052" s="1">
        <v>3900</v>
      </c>
      <c r="B4052" s="1">
        <v>22.244</v>
      </c>
      <c r="C4052" s="1">
        <v>22.24</v>
      </c>
      <c r="D4052" s="1">
        <v>22.239000000000001</v>
      </c>
      <c r="E4052" s="1">
        <v>22.236999999999998</v>
      </c>
      <c r="F4052" s="1">
        <v>22.236000000000001</v>
      </c>
      <c r="G4052" s="1">
        <v>22.234000000000002</v>
      </c>
      <c r="H4052" s="1">
        <v>22.231000000000002</v>
      </c>
      <c r="I4052" s="1">
        <v>22.228000000000002</v>
      </c>
      <c r="J4052" s="21">
        <v>650</v>
      </c>
      <c r="K4052" s="1"/>
      <c r="L4052" s="1"/>
      <c r="M4052" s="1"/>
      <c r="N4052" s="1"/>
      <c r="O4052" s="1"/>
      <c r="P4052" s="365"/>
      <c r="Q4052" s="1"/>
      <c r="R4052" s="1"/>
      <c r="S4052" s="1"/>
      <c r="T4052" s="1"/>
    </row>
    <row r="4053" spans="1:20">
      <c r="A4053" s="1">
        <v>3950</v>
      </c>
      <c r="B4053" s="1">
        <v>22.524999999999999</v>
      </c>
      <c r="C4053" s="1">
        <v>22.521999999999998</v>
      </c>
      <c r="D4053" s="1">
        <v>22.52</v>
      </c>
      <c r="E4053" s="1">
        <v>22.518999999999998</v>
      </c>
      <c r="F4053" s="1">
        <v>22.516999999999999</v>
      </c>
      <c r="G4053" s="1">
        <v>22.515999999999998</v>
      </c>
      <c r="H4053" s="1">
        <v>22.513000000000002</v>
      </c>
      <c r="I4053" s="1">
        <v>22.509</v>
      </c>
      <c r="J4053" s="21">
        <v>600</v>
      </c>
      <c r="K4053" s="1"/>
      <c r="L4053" s="1"/>
      <c r="M4053" s="1"/>
      <c r="N4053" s="1"/>
      <c r="O4053" s="1"/>
      <c r="P4053" s="365"/>
      <c r="Q4053" s="1"/>
      <c r="R4053" s="1"/>
      <c r="S4053" s="1"/>
      <c r="T4053" s="1"/>
    </row>
    <row r="4054" spans="1:20">
      <c r="A4054" s="1">
        <v>4000</v>
      </c>
      <c r="B4054" s="1">
        <v>22.806000000000001</v>
      </c>
      <c r="C4054" s="1">
        <v>22.803000000000001</v>
      </c>
      <c r="D4054" s="1">
        <v>22.802</v>
      </c>
      <c r="E4054" s="1">
        <v>22.8</v>
      </c>
      <c r="F4054" s="1">
        <v>22.798999999999999</v>
      </c>
      <c r="G4054" s="1">
        <v>22.797000000000001</v>
      </c>
      <c r="H4054" s="1">
        <v>22.794</v>
      </c>
      <c r="I4054" s="1">
        <v>22.791</v>
      </c>
      <c r="J4054" s="21">
        <v>550</v>
      </c>
      <c r="K4054" s="1"/>
      <c r="L4054" s="1"/>
      <c r="M4054" s="1"/>
      <c r="N4054" s="1"/>
      <c r="O4054" s="1"/>
      <c r="P4054" s="365"/>
      <c r="Q4054" s="1"/>
      <c r="R4054" s="1"/>
      <c r="S4054" s="1"/>
      <c r="T4054" s="1"/>
    </row>
    <row r="4055" spans="1:20">
      <c r="A4055" s="1">
        <v>4050</v>
      </c>
      <c r="B4055" s="1">
        <v>23.088000000000001</v>
      </c>
      <c r="C4055" s="1">
        <v>23.085000000000001</v>
      </c>
      <c r="D4055" s="1">
        <v>23.082999999999998</v>
      </c>
      <c r="E4055" s="1">
        <v>23.082000000000001</v>
      </c>
      <c r="F4055" s="1">
        <v>23.08</v>
      </c>
      <c r="G4055" s="1">
        <v>23.077999999999999</v>
      </c>
      <c r="H4055" s="1">
        <v>23.074999999999999</v>
      </c>
      <c r="I4055" s="1">
        <v>23.071999999999999</v>
      </c>
      <c r="J4055" s="21">
        <v>500</v>
      </c>
      <c r="K4055" s="1"/>
      <c r="L4055" s="1"/>
      <c r="M4055" s="1"/>
      <c r="N4055" s="1"/>
      <c r="O4055" s="1"/>
      <c r="P4055" s="365"/>
      <c r="Q4055" s="1"/>
      <c r="R4055" s="1"/>
      <c r="S4055" s="1"/>
      <c r="T4055" s="1"/>
    </row>
    <row r="4056" spans="1:20">
      <c r="A4056" s="1">
        <v>4100</v>
      </c>
      <c r="B4056" s="1">
        <v>23.369</v>
      </c>
      <c r="C4056" s="1">
        <v>23.366</v>
      </c>
      <c r="D4056" s="1">
        <v>23.364000000000001</v>
      </c>
      <c r="E4056" s="1">
        <v>23.363</v>
      </c>
      <c r="F4056" s="1">
        <v>23.361000000000001</v>
      </c>
      <c r="G4056" s="1">
        <v>23.36</v>
      </c>
      <c r="H4056" s="1">
        <v>23.356999999999999</v>
      </c>
      <c r="I4056" s="1">
        <v>23.353999999999999</v>
      </c>
      <c r="J4056" s="21">
        <v>450</v>
      </c>
      <c r="K4056" s="1"/>
      <c r="L4056" s="1"/>
      <c r="M4056" s="1"/>
      <c r="N4056" s="1"/>
      <c r="O4056" s="1"/>
      <c r="P4056" s="365"/>
      <c r="Q4056" s="1"/>
      <c r="R4056" s="1"/>
      <c r="S4056" s="1"/>
      <c r="T4056" s="1"/>
    </row>
    <row r="4057" spans="1:20">
      <c r="A4057" s="1">
        <v>4150</v>
      </c>
      <c r="B4057" s="1">
        <v>23.65</v>
      </c>
      <c r="C4057" s="1">
        <v>23.646999999999998</v>
      </c>
      <c r="D4057" s="1">
        <v>23.646000000000001</v>
      </c>
      <c r="E4057" s="1">
        <v>23.643999999999998</v>
      </c>
      <c r="F4057" s="1">
        <v>23.643000000000001</v>
      </c>
      <c r="G4057" s="1">
        <v>23.640999999999998</v>
      </c>
      <c r="H4057" s="1">
        <v>23.638000000000002</v>
      </c>
      <c r="I4057" s="1">
        <v>23.635000000000002</v>
      </c>
      <c r="J4057" s="21">
        <v>400</v>
      </c>
      <c r="K4057" s="1"/>
      <c r="L4057" s="1"/>
      <c r="M4057" s="1"/>
      <c r="N4057" s="1"/>
      <c r="O4057" s="1"/>
      <c r="P4057" s="365"/>
      <c r="Q4057" s="1"/>
      <c r="R4057" s="1"/>
      <c r="S4057" s="1"/>
      <c r="T4057" s="1"/>
    </row>
    <row r="4058" spans="1:20">
      <c r="A4058" s="1">
        <v>4200</v>
      </c>
      <c r="B4058" s="1">
        <v>23.931999999999999</v>
      </c>
      <c r="C4058" s="1">
        <v>23.928999999999998</v>
      </c>
      <c r="D4058" s="1">
        <v>23.927</v>
      </c>
      <c r="E4058" s="1">
        <v>23.925999999999998</v>
      </c>
      <c r="F4058" s="1">
        <v>23.923999999999999</v>
      </c>
      <c r="G4058" s="1">
        <v>23.922999999999998</v>
      </c>
      <c r="H4058" s="1">
        <v>23.919</v>
      </c>
      <c r="I4058" s="1">
        <v>23.916</v>
      </c>
      <c r="J4058" s="21">
        <v>350</v>
      </c>
      <c r="K4058" s="1"/>
      <c r="L4058" s="1"/>
      <c r="M4058" s="1"/>
      <c r="N4058" s="1"/>
      <c r="O4058" s="1"/>
      <c r="P4058" s="365"/>
      <c r="Q4058" s="1"/>
      <c r="R4058" s="1"/>
      <c r="S4058" s="1"/>
      <c r="T4058" s="1"/>
    </row>
    <row r="4059" spans="1:20">
      <c r="A4059" s="1">
        <v>4250</v>
      </c>
      <c r="B4059" s="1">
        <v>24.213000000000001</v>
      </c>
      <c r="C4059" s="1">
        <v>24.21</v>
      </c>
      <c r="D4059" s="1">
        <v>24.209</v>
      </c>
      <c r="E4059" s="1">
        <v>24.207000000000001</v>
      </c>
      <c r="F4059" s="1">
        <v>24.204999999999998</v>
      </c>
      <c r="G4059" s="1">
        <v>24.204000000000001</v>
      </c>
      <c r="H4059" s="1">
        <v>24.201000000000001</v>
      </c>
      <c r="I4059" s="1">
        <v>24.198</v>
      </c>
      <c r="J4059" s="21">
        <v>300</v>
      </c>
      <c r="K4059" s="1"/>
      <c r="L4059" s="1"/>
      <c r="M4059" s="1"/>
      <c r="N4059" s="1"/>
      <c r="O4059" s="1"/>
      <c r="P4059" s="365"/>
      <c r="Q4059" s="1"/>
      <c r="R4059" s="1"/>
      <c r="S4059" s="1"/>
      <c r="T4059" s="1"/>
    </row>
    <row r="4060" spans="1:20">
      <c r="A4060" s="1">
        <v>4300</v>
      </c>
      <c r="B4060" s="1">
        <v>24.495000000000001</v>
      </c>
      <c r="C4060" s="1">
        <v>24.492000000000001</v>
      </c>
      <c r="D4060" s="1">
        <v>24.49</v>
      </c>
      <c r="E4060" s="1">
        <v>24.488</v>
      </c>
      <c r="F4060" s="1">
        <v>24.486999999999998</v>
      </c>
      <c r="G4060" s="1">
        <v>24.484999999999999</v>
      </c>
      <c r="H4060" s="1">
        <v>24.481999999999999</v>
      </c>
      <c r="I4060" s="1">
        <v>24.478999999999999</v>
      </c>
      <c r="J4060" s="21">
        <v>250</v>
      </c>
      <c r="K4060" s="1"/>
      <c r="L4060" s="1"/>
      <c r="M4060" s="1"/>
      <c r="N4060" s="1"/>
      <c r="O4060" s="1"/>
      <c r="P4060" s="365"/>
      <c r="Q4060" s="1"/>
      <c r="R4060" s="1"/>
      <c r="S4060" s="1"/>
      <c r="T4060" s="1"/>
    </row>
    <row r="4061" spans="1:20">
      <c r="A4061" s="1">
        <v>4350</v>
      </c>
      <c r="B4061" s="1">
        <v>24.776</v>
      </c>
      <c r="C4061" s="1">
        <v>24.773</v>
      </c>
      <c r="D4061" s="1">
        <v>24.771000000000001</v>
      </c>
      <c r="E4061" s="1">
        <v>24.77</v>
      </c>
      <c r="F4061" s="1">
        <v>24.768000000000001</v>
      </c>
      <c r="G4061" s="1">
        <v>24.766999999999999</v>
      </c>
      <c r="H4061" s="1">
        <v>24.763999999999999</v>
      </c>
      <c r="I4061" s="1">
        <v>24.760999999999999</v>
      </c>
      <c r="J4061" s="21">
        <v>200</v>
      </c>
      <c r="K4061" s="1"/>
      <c r="L4061" s="1"/>
      <c r="M4061" s="1"/>
      <c r="N4061" s="1"/>
      <c r="O4061" s="1"/>
      <c r="P4061" s="365"/>
      <c r="Q4061" s="1"/>
      <c r="R4061" s="1"/>
      <c r="S4061" s="1"/>
      <c r="T4061" s="1"/>
    </row>
    <row r="4062" spans="1:20">
      <c r="A4062" s="1">
        <v>4400</v>
      </c>
      <c r="B4062" s="1">
        <v>25.056999999999999</v>
      </c>
      <c r="C4062" s="1">
        <v>25.053999999999998</v>
      </c>
      <c r="D4062" s="1">
        <v>25.053000000000001</v>
      </c>
      <c r="E4062" s="1">
        <v>25.050999999999998</v>
      </c>
      <c r="F4062" s="1">
        <v>25.05</v>
      </c>
      <c r="G4062" s="1">
        <v>25.047999999999998</v>
      </c>
      <c r="H4062" s="1">
        <v>25.045000000000002</v>
      </c>
      <c r="I4062" s="1">
        <v>25.042000000000002</v>
      </c>
      <c r="J4062" s="21">
        <v>150</v>
      </c>
      <c r="K4062" s="1"/>
      <c r="L4062" s="1"/>
      <c r="M4062" s="1"/>
      <c r="N4062" s="1"/>
      <c r="O4062" s="1"/>
      <c r="P4062" s="365"/>
      <c r="Q4062" s="1"/>
      <c r="R4062" s="1"/>
      <c r="S4062" s="1"/>
      <c r="T4062" s="1"/>
    </row>
    <row r="4063" spans="1:20">
      <c r="A4063" s="1">
        <v>4450</v>
      </c>
      <c r="B4063" s="1">
        <v>25.324000000000002</v>
      </c>
      <c r="C4063" s="1">
        <v>25.324000000000002</v>
      </c>
      <c r="D4063" s="1">
        <v>25.324000000000002</v>
      </c>
      <c r="E4063" s="1">
        <v>25.323</v>
      </c>
      <c r="F4063" s="1">
        <v>25.32</v>
      </c>
      <c r="G4063" s="1">
        <v>25.317</v>
      </c>
      <c r="H4063" s="1">
        <v>25.31</v>
      </c>
      <c r="I4063" s="1">
        <v>25.303999999999998</v>
      </c>
      <c r="J4063" s="21">
        <v>100</v>
      </c>
      <c r="K4063" s="1"/>
      <c r="L4063" s="1"/>
      <c r="M4063" s="1"/>
      <c r="N4063" s="1"/>
      <c r="O4063" s="1"/>
      <c r="P4063" s="365"/>
      <c r="Q4063" s="1"/>
      <c r="R4063" s="1"/>
      <c r="S4063" s="1"/>
      <c r="T4063" s="1"/>
    </row>
    <row r="4064" spans="1:20">
      <c r="A4064" s="1">
        <v>4500</v>
      </c>
      <c r="B4064" s="1">
        <v>25.324000000000002</v>
      </c>
      <c r="C4064" s="1">
        <v>25.324000000000002</v>
      </c>
      <c r="D4064" s="1">
        <v>25.324000000000002</v>
      </c>
      <c r="E4064" s="1">
        <v>25.324000000000002</v>
      </c>
      <c r="F4064" s="1">
        <v>25.324000000000002</v>
      </c>
      <c r="G4064" s="1">
        <v>25.324000000000002</v>
      </c>
      <c r="H4064" s="1">
        <v>25.324000000000002</v>
      </c>
      <c r="I4064" s="1">
        <v>25.324000000000002</v>
      </c>
      <c r="J4064" s="21">
        <v>50</v>
      </c>
      <c r="K4064" s="1"/>
      <c r="L4064" s="1"/>
      <c r="M4064" s="1"/>
      <c r="N4064" s="1"/>
      <c r="O4064" s="1"/>
      <c r="P4064" s="365"/>
      <c r="Q4064" s="1"/>
      <c r="R4064" s="1"/>
      <c r="S4064" s="1"/>
      <c r="T4064" s="1"/>
    </row>
    <row r="4065" spans="1:20">
      <c r="A4065" s="1">
        <v>5994</v>
      </c>
      <c r="B4065" s="1">
        <v>25.324000000000002</v>
      </c>
      <c r="C4065" s="1">
        <v>25.324000000000002</v>
      </c>
      <c r="D4065" s="1">
        <v>25.324000000000002</v>
      </c>
      <c r="E4065" s="1">
        <v>25.324000000000002</v>
      </c>
      <c r="F4065" s="1">
        <v>25.324000000000002</v>
      </c>
      <c r="G4065" s="1">
        <v>25.324000000000002</v>
      </c>
      <c r="H4065" s="1">
        <v>25.324000000000002</v>
      </c>
      <c r="I4065" s="1">
        <v>25.324000000000002</v>
      </c>
      <c r="J4065" s="21">
        <v>0</v>
      </c>
      <c r="K4065" s="1"/>
      <c r="L4065" s="1"/>
      <c r="M4065" s="1"/>
      <c r="N4065" s="1"/>
      <c r="O4065" s="1"/>
      <c r="P4065" s="365"/>
      <c r="Q4065" s="1"/>
      <c r="R4065" s="1"/>
      <c r="S4065" s="1"/>
      <c r="T4065" s="1"/>
    </row>
    <row r="4066" spans="1:20" hidden="1">
      <c r="B4066" s="19"/>
      <c r="C4066" s="19"/>
      <c r="D4066" s="19"/>
      <c r="E4066" s="19"/>
      <c r="F4066" s="19"/>
      <c r="G4066" s="19"/>
      <c r="H4066" s="19"/>
      <c r="I4066" s="19"/>
      <c r="J4066" s="19"/>
      <c r="K4066" s="421"/>
      <c r="L4066" s="23"/>
      <c r="M4066" s="19"/>
      <c r="N4066" s="19"/>
      <c r="O4066" s="19"/>
      <c r="P4066" s="19"/>
      <c r="Q4066" s="19"/>
    </row>
    <row r="4067" spans="1:20" hidden="1">
      <c r="B4067" s="19"/>
      <c r="C4067" s="19"/>
      <c r="D4067" s="19"/>
      <c r="E4067" s="19"/>
      <c r="F4067" s="19"/>
      <c r="G4067" s="19"/>
      <c r="H4067" s="19"/>
      <c r="I4067" s="19"/>
      <c r="J4067" s="19"/>
      <c r="K4067" s="421"/>
      <c r="L4067" s="23"/>
      <c r="M4067" s="19"/>
      <c r="N4067" s="19"/>
      <c r="O4067" s="19"/>
      <c r="P4067" s="19"/>
      <c r="Q4067" s="19"/>
    </row>
    <row r="4068" spans="1:20" hidden="1">
      <c r="B4068" s="19"/>
      <c r="C4068" s="19"/>
      <c r="D4068" s="19"/>
      <c r="E4068" s="19"/>
      <c r="F4068" s="19"/>
      <c r="G4068" s="19"/>
      <c r="H4068" s="19"/>
      <c r="I4068" s="19"/>
      <c r="J4068" s="19"/>
      <c r="K4068" s="421"/>
      <c r="L4068" s="23"/>
      <c r="M4068" s="19"/>
      <c r="N4068" s="19"/>
      <c r="O4068" s="19"/>
      <c r="P4068" s="19"/>
      <c r="Q4068" s="19"/>
    </row>
    <row r="4069" spans="1:20" hidden="1">
      <c r="B4069" s="19"/>
      <c r="C4069" s="19"/>
      <c r="D4069" s="19"/>
      <c r="E4069" s="19"/>
      <c r="F4069" s="19"/>
      <c r="G4069" s="19"/>
      <c r="H4069" s="19"/>
      <c r="I4069" s="19"/>
      <c r="J4069" s="19"/>
      <c r="K4069" s="421"/>
      <c r="L4069" s="23"/>
      <c r="M4069" s="19"/>
      <c r="N4069" s="19"/>
      <c r="O4069" s="19"/>
      <c r="P4069" s="19"/>
      <c r="Q4069" s="19"/>
    </row>
    <row r="4070" spans="1:20" hidden="1">
      <c r="B4070" s="19"/>
      <c r="C4070" s="19"/>
      <c r="D4070" s="19"/>
      <c r="E4070" s="19"/>
      <c r="F4070" s="19"/>
      <c r="G4070" s="19"/>
      <c r="H4070" s="19"/>
      <c r="I4070" s="19"/>
      <c r="J4070" s="19"/>
      <c r="K4070" s="421"/>
      <c r="L4070" s="23"/>
      <c r="M4070" s="19"/>
      <c r="N4070" s="19"/>
      <c r="O4070" s="19"/>
      <c r="P4070" s="19"/>
      <c r="Q4070" s="19"/>
    </row>
    <row r="4071" spans="1:20" hidden="1">
      <c r="B4071" s="19"/>
      <c r="C4071" s="19"/>
      <c r="D4071" s="19"/>
      <c r="E4071" s="19"/>
      <c r="F4071" s="19"/>
      <c r="G4071" s="19"/>
      <c r="H4071" s="19"/>
      <c r="I4071" s="19"/>
      <c r="J4071" s="19"/>
      <c r="K4071" s="421"/>
      <c r="L4071" s="23"/>
      <c r="M4071" s="19"/>
      <c r="N4071" s="19"/>
      <c r="O4071" s="19"/>
      <c r="P4071" s="19"/>
      <c r="Q4071" s="19"/>
    </row>
    <row r="4072" spans="1:20" hidden="1">
      <c r="B4072" s="19"/>
      <c r="C4072" s="19"/>
      <c r="D4072" s="19"/>
      <c r="E4072" s="19"/>
      <c r="F4072" s="19"/>
      <c r="G4072" s="19"/>
      <c r="H4072" s="19"/>
      <c r="I4072" s="19"/>
      <c r="J4072" s="19"/>
      <c r="K4072" s="421"/>
      <c r="L4072" s="23"/>
      <c r="M4072" s="19"/>
      <c r="N4072" s="19"/>
      <c r="O4072" s="19"/>
      <c r="P4072" s="19"/>
      <c r="Q4072" s="19"/>
    </row>
    <row r="4073" spans="1:20" hidden="1">
      <c r="B4073" s="19"/>
      <c r="C4073" s="19"/>
      <c r="D4073" s="19"/>
      <c r="E4073" s="19"/>
      <c r="F4073" s="19"/>
      <c r="G4073" s="19"/>
      <c r="H4073" s="19"/>
      <c r="I4073" s="19"/>
      <c r="J4073" s="19"/>
      <c r="K4073" s="421"/>
      <c r="L4073" s="23"/>
      <c r="M4073" s="19"/>
      <c r="N4073" s="19"/>
      <c r="O4073" s="19"/>
      <c r="P4073" s="19"/>
      <c r="Q4073" s="19"/>
    </row>
    <row r="4074" spans="1:20" hidden="1">
      <c r="B4074" s="19"/>
      <c r="C4074" s="19"/>
      <c r="D4074" s="19"/>
      <c r="E4074" s="19"/>
      <c r="F4074" s="19"/>
      <c r="G4074" s="19"/>
      <c r="H4074" s="19"/>
      <c r="I4074" s="19"/>
      <c r="J4074" s="19"/>
      <c r="K4074" s="421"/>
      <c r="L4074" s="23"/>
      <c r="M4074" s="19"/>
      <c r="N4074" s="19"/>
      <c r="O4074" s="19"/>
      <c r="P4074" s="19"/>
      <c r="Q4074" s="19"/>
    </row>
    <row r="4075" spans="1:20" hidden="1">
      <c r="B4075" s="19"/>
      <c r="C4075" s="19"/>
      <c r="D4075" s="19"/>
      <c r="E4075" s="19"/>
      <c r="F4075" s="19"/>
      <c r="G4075" s="19"/>
      <c r="H4075" s="19"/>
      <c r="I4075" s="19"/>
      <c r="J4075" s="19"/>
      <c r="K4075" s="421"/>
      <c r="L4075" s="23"/>
      <c r="M4075" s="19"/>
      <c r="N4075" s="19"/>
      <c r="O4075" s="19"/>
      <c r="P4075" s="19"/>
      <c r="Q4075" s="19"/>
    </row>
    <row r="4076" spans="1:20" hidden="1">
      <c r="B4076" s="19"/>
      <c r="C4076" s="19"/>
      <c r="D4076" s="19"/>
      <c r="E4076" s="19"/>
      <c r="F4076" s="19"/>
      <c r="G4076" s="19"/>
      <c r="H4076" s="19"/>
      <c r="I4076" s="19"/>
      <c r="J4076" s="19"/>
      <c r="K4076" s="421"/>
      <c r="L4076" s="23"/>
      <c r="M4076" s="19"/>
      <c r="N4076" s="19"/>
      <c r="O4076" s="19"/>
      <c r="P4076" s="19"/>
      <c r="Q4076" s="19"/>
    </row>
    <row r="4077" spans="1:20" hidden="1">
      <c r="B4077" s="19"/>
      <c r="C4077" s="19"/>
      <c r="D4077" s="19"/>
      <c r="E4077" s="19"/>
      <c r="F4077" s="19"/>
      <c r="G4077" s="19"/>
      <c r="H4077" s="19"/>
      <c r="I4077" s="19"/>
      <c r="J4077" s="19"/>
      <c r="K4077" s="421"/>
      <c r="L4077" s="23"/>
      <c r="M4077" s="19"/>
      <c r="N4077" s="19"/>
      <c r="O4077" s="19"/>
      <c r="P4077" s="19"/>
      <c r="Q4077" s="19"/>
    </row>
    <row r="4078" spans="1:20" hidden="1">
      <c r="B4078" s="19"/>
      <c r="C4078" s="19"/>
      <c r="D4078" s="19"/>
      <c r="E4078" s="19"/>
      <c r="F4078" s="19"/>
      <c r="G4078" s="19"/>
      <c r="H4078" s="19"/>
      <c r="I4078" s="19"/>
      <c r="J4078" s="19"/>
      <c r="K4078" s="421"/>
      <c r="L4078" s="23"/>
      <c r="M4078" s="19"/>
      <c r="N4078" s="19"/>
      <c r="O4078" s="19"/>
      <c r="P4078" s="19"/>
      <c r="Q4078" s="19"/>
    </row>
    <row r="4079" spans="1:20" hidden="1">
      <c r="B4079" s="19"/>
      <c r="C4079" s="19"/>
      <c r="D4079" s="19"/>
      <c r="E4079" s="19"/>
      <c r="F4079" s="19"/>
      <c r="G4079" s="19"/>
      <c r="H4079" s="19"/>
      <c r="I4079" s="19"/>
      <c r="J4079" s="19"/>
      <c r="K4079" s="421"/>
      <c r="L4079" s="23"/>
      <c r="M4079" s="19"/>
      <c r="N4079" s="19"/>
      <c r="O4079" s="19"/>
      <c r="P4079" s="19"/>
      <c r="Q4079" s="19"/>
    </row>
    <row r="4080" spans="1:20" hidden="1">
      <c r="B4080" s="19"/>
      <c r="C4080" s="19"/>
      <c r="D4080" s="19"/>
      <c r="E4080" s="19"/>
      <c r="F4080" s="19"/>
      <c r="G4080" s="19"/>
      <c r="H4080" s="19"/>
      <c r="I4080" s="19"/>
      <c r="J4080" s="19"/>
      <c r="K4080" s="421"/>
      <c r="L4080" s="23"/>
      <c r="M4080" s="19"/>
      <c r="N4080" s="19"/>
      <c r="O4080" s="19"/>
      <c r="P4080" s="19"/>
      <c r="Q4080" s="19"/>
    </row>
    <row r="4081" spans="2:16372" hidden="1">
      <c r="B4081" s="19"/>
      <c r="C4081" s="19"/>
      <c r="D4081" s="19"/>
      <c r="E4081" s="19"/>
      <c r="F4081" s="19"/>
      <c r="G4081" s="19"/>
      <c r="H4081" s="19"/>
      <c r="I4081" s="19"/>
      <c r="J4081" s="19"/>
      <c r="K4081" s="421"/>
      <c r="L4081" s="23"/>
      <c r="M4081" s="19"/>
      <c r="N4081" s="19"/>
      <c r="O4081" s="19"/>
      <c r="P4081" s="19"/>
      <c r="Q4081" s="19"/>
    </row>
    <row r="4082" spans="2:16372" hidden="1">
      <c r="B4082" s="19"/>
      <c r="C4082" s="19"/>
      <c r="D4082" s="19"/>
      <c r="E4082" s="19"/>
      <c r="F4082" s="19"/>
      <c r="G4082" s="19"/>
      <c r="H4082" s="19"/>
      <c r="I4082" s="19"/>
      <c r="J4082" s="19"/>
      <c r="K4082" s="421"/>
      <c r="L4082" s="23"/>
      <c r="M4082" s="19"/>
      <c r="N4082" s="19"/>
      <c r="O4082" s="19"/>
      <c r="P4082" s="19"/>
      <c r="Q4082" s="19"/>
    </row>
    <row r="4083" spans="2:16372" hidden="1">
      <c r="B4083" s="19"/>
      <c r="C4083" s="19"/>
      <c r="D4083" s="19"/>
      <c r="E4083" s="19"/>
      <c r="F4083" s="19"/>
      <c r="G4083" s="19"/>
      <c r="H4083" s="19"/>
      <c r="I4083" s="19"/>
      <c r="J4083" s="19"/>
      <c r="K4083" s="421"/>
      <c r="L4083" s="23"/>
      <c r="M4083" s="19"/>
      <c r="N4083" s="19"/>
      <c r="O4083" s="19"/>
      <c r="P4083" s="19"/>
      <c r="Q4083" s="19"/>
    </row>
    <row r="4084" spans="2:16372" hidden="1">
      <c r="B4084" s="19"/>
      <c r="C4084" s="19"/>
      <c r="D4084" s="19"/>
      <c r="E4084" s="19"/>
      <c r="F4084" s="19"/>
      <c r="G4084" s="19"/>
      <c r="H4084" s="19"/>
      <c r="I4084" s="19"/>
      <c r="J4084" s="19"/>
      <c r="K4084" s="421"/>
      <c r="L4084" s="23"/>
      <c r="M4084" s="19"/>
      <c r="N4084" s="19"/>
      <c r="O4084" s="19"/>
      <c r="P4084" s="19"/>
      <c r="Q4084" s="19"/>
    </row>
    <row r="4085" spans="2:16372" hidden="1">
      <c r="B4085" s="19"/>
      <c r="C4085" s="19"/>
      <c r="D4085" s="19"/>
      <c r="E4085" s="19"/>
      <c r="F4085" s="19"/>
      <c r="G4085" s="19"/>
      <c r="H4085" s="19"/>
      <c r="I4085" s="19"/>
      <c r="J4085" s="19"/>
      <c r="K4085" s="421"/>
      <c r="L4085" s="23"/>
      <c r="M4085" s="19"/>
      <c r="N4085" s="19"/>
      <c r="O4085" s="19"/>
      <c r="P4085" s="19"/>
      <c r="Q4085" s="19"/>
    </row>
    <row r="4086" spans="2:16372" hidden="1">
      <c r="B4086" s="19"/>
      <c r="C4086" s="19"/>
      <c r="D4086" s="19"/>
      <c r="E4086" s="19"/>
      <c r="F4086" s="19"/>
      <c r="G4086" s="19"/>
      <c r="H4086" s="19"/>
      <c r="I4086" s="19"/>
      <c r="J4086" s="19"/>
      <c r="K4086" s="421"/>
      <c r="L4086" s="23"/>
      <c r="M4086" s="19"/>
      <c r="N4086" s="19"/>
      <c r="O4086" s="19"/>
      <c r="P4086" s="19"/>
      <c r="Q4086" s="19"/>
    </row>
    <row r="4087" spans="2:16372" hidden="1">
      <c r="B4087" s="19"/>
      <c r="C4087" s="19"/>
      <c r="D4087" s="19"/>
      <c r="E4087" s="19"/>
      <c r="F4087" s="19"/>
      <c r="G4087" s="19"/>
      <c r="H4087" s="19"/>
      <c r="I4087" s="19"/>
      <c r="J4087" s="19"/>
      <c r="K4087" s="421"/>
      <c r="L4087" s="23"/>
      <c r="M4087" s="19"/>
      <c r="N4087" s="19"/>
      <c r="O4087" s="19"/>
      <c r="P4087" s="19"/>
      <c r="Q4087" s="19"/>
    </row>
    <row r="4088" spans="2:16372" hidden="1">
      <c r="B4088" s="19"/>
      <c r="C4088" s="19"/>
      <c r="D4088" s="19"/>
      <c r="E4088" s="19"/>
      <c r="F4088" s="19"/>
      <c r="G4088" s="19"/>
      <c r="H4088" s="19"/>
      <c r="I4088" s="19"/>
      <c r="J4088" s="19"/>
      <c r="K4088" s="421"/>
      <c r="L4088" s="23"/>
      <c r="M4088" s="19"/>
      <c r="N4088" s="19"/>
      <c r="O4088" s="19"/>
      <c r="P4088" s="19"/>
      <c r="Q4088" s="19"/>
    </row>
    <row r="4089" spans="2:16372" hidden="1">
      <c r="B4089" s="19"/>
      <c r="C4089" s="19"/>
      <c r="D4089" s="19"/>
      <c r="E4089" s="19"/>
      <c r="F4089" s="19"/>
      <c r="G4089" s="19"/>
      <c r="H4089" s="19"/>
      <c r="I4089" s="19"/>
      <c r="J4089" s="19"/>
      <c r="K4089" s="421"/>
      <c r="L4089" s="23"/>
      <c r="M4089" s="19"/>
      <c r="N4089" s="19"/>
      <c r="O4089" s="19"/>
      <c r="P4089" s="19"/>
      <c r="Q4089" s="19"/>
    </row>
    <row r="4090" spans="2:16372" hidden="1">
      <c r="B4090" s="19"/>
      <c r="C4090" s="19"/>
      <c r="D4090" s="19"/>
      <c r="E4090" s="19"/>
      <c r="F4090" s="19"/>
      <c r="G4090" s="19"/>
      <c r="H4090" s="19"/>
      <c r="I4090" s="19"/>
      <c r="J4090" s="19"/>
      <c r="K4090" s="421"/>
      <c r="L4090" s="23"/>
      <c r="M4090" s="19"/>
      <c r="N4090" s="19"/>
      <c r="O4090" s="19"/>
      <c r="P4090" s="19"/>
      <c r="Q4090" s="19"/>
    </row>
    <row r="4091" spans="2:16372" hidden="1">
      <c r="B4091" s="19"/>
      <c r="C4091" s="19"/>
      <c r="D4091" s="19"/>
      <c r="E4091" s="19"/>
      <c r="F4091" s="19"/>
      <c r="G4091" s="19"/>
      <c r="H4091" s="19"/>
      <c r="I4091" s="19"/>
      <c r="J4091" s="19"/>
      <c r="K4091" s="421"/>
      <c r="L4091" s="23"/>
      <c r="M4091" s="19"/>
      <c r="N4091" s="19"/>
      <c r="O4091" s="19"/>
      <c r="P4091" s="19"/>
      <c r="Q4091" s="19"/>
    </row>
    <row r="4092" spans="2:16372" ht="18.75" hidden="1">
      <c r="B4092" s="19"/>
      <c r="C4092" s="19"/>
      <c r="D4092" s="19"/>
      <c r="E4092" s="19"/>
      <c r="F4092" s="19"/>
      <c r="G4092" s="19"/>
      <c r="H4092" s="19"/>
      <c r="I4092" s="19"/>
      <c r="J4092" s="19"/>
      <c r="K4092" s="421"/>
      <c r="L4092" s="23"/>
      <c r="M4092" s="19"/>
      <c r="N4092" s="19"/>
      <c r="O4092" s="19"/>
      <c r="P4092" s="19"/>
      <c r="Q4092" s="19"/>
      <c r="AC4092" s="29"/>
      <c r="AD4092" s="29"/>
      <c r="AE4092" s="29"/>
      <c r="AF4092" s="29"/>
      <c r="AG4092" s="29"/>
      <c r="AH4092" s="29"/>
      <c r="AI4092" s="29"/>
      <c r="AJ4092" s="29"/>
      <c r="AK4092" s="29"/>
      <c r="AL4092" s="29"/>
      <c r="AM4092" s="29"/>
      <c r="AN4092" s="29"/>
      <c r="AO4092" s="29"/>
      <c r="AP4092" s="29"/>
      <c r="AQ4092" s="29"/>
      <c r="AR4092" s="29"/>
      <c r="AS4092" s="29"/>
      <c r="AT4092" s="29"/>
      <c r="AU4092" s="29"/>
      <c r="AV4092" s="29"/>
      <c r="AW4092" s="29"/>
      <c r="AX4092" s="29"/>
      <c r="AY4092" s="29"/>
      <c r="AZ4092" s="29"/>
      <c r="BA4092" s="917" t="s">
        <v>78</v>
      </c>
      <c r="BB4092" s="917"/>
      <c r="BC4092" s="917"/>
      <c r="BD4092" s="917"/>
      <c r="BE4092" s="917"/>
      <c r="BF4092" s="917"/>
      <c r="BG4092" s="917"/>
      <c r="BH4092" s="917"/>
      <c r="BI4092" s="917"/>
      <c r="BJ4092" s="917"/>
      <c r="BK4092" s="917"/>
      <c r="BL4092" s="917"/>
      <c r="BM4092" s="917"/>
      <c r="BN4092" s="917"/>
      <c r="BO4092" s="917"/>
      <c r="BP4092" s="917"/>
      <c r="BQ4092" s="917"/>
      <c r="BR4092" s="917"/>
      <c r="BS4092" s="917"/>
      <c r="BT4092" s="917"/>
      <c r="BU4092" s="917"/>
      <c r="BV4092" s="917"/>
      <c r="BW4092" s="917"/>
      <c r="BX4092" s="917"/>
      <c r="BY4092" s="917"/>
      <c r="BZ4092" s="917"/>
      <c r="CA4092" s="917"/>
      <c r="CB4092" s="917"/>
      <c r="CC4092" s="917"/>
      <c r="CD4092" s="917"/>
      <c r="CE4092" s="917"/>
      <c r="CF4092" s="917"/>
      <c r="CG4092" s="917" t="s">
        <v>78</v>
      </c>
      <c r="CH4092" s="917"/>
      <c r="CI4092" s="917"/>
      <c r="CJ4092" s="917"/>
      <c r="CK4092" s="917"/>
      <c r="CL4092" s="917"/>
      <c r="CM4092" s="917"/>
      <c r="CN4092" s="917"/>
      <c r="CO4092" s="917"/>
      <c r="CP4092" s="917"/>
      <c r="CQ4092" s="917"/>
      <c r="CR4092" s="917"/>
      <c r="CS4092" s="917"/>
      <c r="CT4092" s="917"/>
      <c r="CU4092" s="917"/>
      <c r="CV4092" s="917"/>
      <c r="CW4092" s="917"/>
      <c r="CX4092" s="917"/>
      <c r="CY4092" s="917"/>
      <c r="CZ4092" s="917"/>
      <c r="DA4092" s="917"/>
      <c r="DB4092" s="917"/>
      <c r="DC4092" s="917"/>
      <c r="DD4092" s="917"/>
      <c r="DE4092" s="917"/>
      <c r="DF4092" s="917"/>
      <c r="DG4092" s="917"/>
      <c r="DH4092" s="917"/>
      <c r="DI4092" s="917"/>
      <c r="DJ4092" s="917"/>
      <c r="DK4092" s="917"/>
      <c r="DL4092" s="917"/>
      <c r="DM4092" s="917" t="s">
        <v>78</v>
      </c>
      <c r="DN4092" s="917"/>
      <c r="DO4092" s="917"/>
      <c r="DP4092" s="917"/>
      <c r="DQ4092" s="917"/>
      <c r="DR4092" s="917"/>
      <c r="DS4092" s="917"/>
      <c r="DT4092" s="917"/>
      <c r="DU4092" s="917"/>
      <c r="DV4092" s="917"/>
      <c r="DW4092" s="917"/>
      <c r="DX4092" s="917"/>
      <c r="DY4092" s="917"/>
      <c r="DZ4092" s="917"/>
      <c r="EA4092" s="917"/>
      <c r="EB4092" s="917"/>
      <c r="EC4092" s="917"/>
      <c r="ED4092" s="917"/>
      <c r="EE4092" s="917"/>
      <c r="EF4092" s="917"/>
      <c r="EG4092" s="917"/>
      <c r="EH4092" s="917"/>
      <c r="EI4092" s="917"/>
      <c r="EJ4092" s="917"/>
      <c r="EK4092" s="917"/>
      <c r="EL4092" s="917"/>
      <c r="EM4092" s="917"/>
      <c r="EN4092" s="917"/>
      <c r="EO4092" s="917"/>
      <c r="EP4092" s="917"/>
      <c r="EQ4092" s="917"/>
      <c r="ER4092" s="917"/>
      <c r="ES4092" s="917" t="s">
        <v>78</v>
      </c>
      <c r="ET4092" s="917"/>
      <c r="EU4092" s="917"/>
      <c r="EV4092" s="917"/>
      <c r="EW4092" s="917"/>
      <c r="EX4092" s="917"/>
      <c r="EY4092" s="917"/>
      <c r="EZ4092" s="917"/>
      <c r="FA4092" s="917"/>
      <c r="FB4092" s="917"/>
      <c r="FC4092" s="917"/>
      <c r="FD4092" s="917"/>
      <c r="FE4092" s="917"/>
      <c r="FF4092" s="917"/>
      <c r="FG4092" s="917"/>
      <c r="FH4092" s="917"/>
      <c r="FI4092" s="917"/>
      <c r="FJ4092" s="917"/>
      <c r="FK4092" s="917"/>
      <c r="FL4092" s="917"/>
      <c r="FM4092" s="917"/>
      <c r="FN4092" s="917"/>
      <c r="FO4092" s="917"/>
      <c r="FP4092" s="917"/>
      <c r="FQ4092" s="917"/>
      <c r="FR4092" s="917"/>
      <c r="FS4092" s="917"/>
      <c r="FT4092" s="917"/>
      <c r="FU4092" s="917"/>
      <c r="FV4092" s="917"/>
      <c r="FW4092" s="917"/>
      <c r="FX4092" s="917"/>
      <c r="FY4092" s="917" t="s">
        <v>78</v>
      </c>
      <c r="FZ4092" s="917"/>
      <c r="GA4092" s="917"/>
      <c r="GB4092" s="917"/>
      <c r="GC4092" s="917"/>
      <c r="GD4092" s="917"/>
      <c r="GE4092" s="917"/>
      <c r="GF4092" s="917"/>
      <c r="GG4092" s="917"/>
      <c r="GH4092" s="917"/>
      <c r="GI4092" s="917"/>
      <c r="GJ4092" s="917"/>
      <c r="GK4092" s="917"/>
      <c r="GL4092" s="917"/>
      <c r="GM4092" s="917"/>
      <c r="GN4092" s="917"/>
      <c r="GO4092" s="917"/>
      <c r="GP4092" s="917"/>
      <c r="GQ4092" s="917"/>
      <c r="GR4092" s="917"/>
      <c r="GS4092" s="917"/>
      <c r="GT4092" s="917"/>
      <c r="GU4092" s="917"/>
      <c r="GV4092" s="917"/>
      <c r="GW4092" s="917"/>
      <c r="GX4092" s="917"/>
      <c r="GY4092" s="917"/>
      <c r="GZ4092" s="917"/>
      <c r="HA4092" s="917"/>
      <c r="HB4092" s="917"/>
      <c r="HC4092" s="917"/>
      <c r="HD4092" s="917"/>
      <c r="HE4092" s="917" t="s">
        <v>78</v>
      </c>
      <c r="HF4092" s="917"/>
      <c r="HG4092" s="917"/>
      <c r="HH4092" s="917"/>
      <c r="HI4092" s="917"/>
      <c r="HJ4092" s="917"/>
      <c r="HK4092" s="917"/>
      <c r="HL4092" s="917"/>
      <c r="HM4092" s="917"/>
      <c r="HN4092" s="917"/>
      <c r="HO4092" s="917"/>
      <c r="HP4092" s="917"/>
      <c r="HQ4092" s="917"/>
      <c r="HR4092" s="917"/>
      <c r="HS4092" s="917"/>
      <c r="HT4092" s="917"/>
      <c r="HU4092" s="917"/>
      <c r="HV4092" s="917"/>
      <c r="HW4092" s="917"/>
      <c r="HX4092" s="917"/>
      <c r="HY4092" s="917"/>
      <c r="HZ4092" s="917"/>
      <c r="IA4092" s="917"/>
      <c r="IB4092" s="917"/>
      <c r="IC4092" s="917"/>
      <c r="ID4092" s="917"/>
      <c r="IE4092" s="917"/>
      <c r="IF4092" s="917"/>
      <c r="IG4092" s="917"/>
      <c r="IH4092" s="917"/>
      <c r="II4092" s="917"/>
      <c r="IJ4092" s="917"/>
      <c r="IK4092" s="917" t="s">
        <v>78</v>
      </c>
      <c r="IL4092" s="917"/>
      <c r="IM4092" s="917"/>
      <c r="IN4092" s="917"/>
      <c r="IO4092" s="917"/>
      <c r="IP4092" s="917"/>
      <c r="IQ4092" s="917"/>
      <c r="IR4092" s="917"/>
      <c r="IS4092" s="917"/>
      <c r="IT4092" s="917"/>
      <c r="IU4092" s="917"/>
      <c r="IV4092" s="917"/>
      <c r="IW4092" s="917"/>
      <c r="IX4092" s="917"/>
      <c r="IY4092" s="917"/>
      <c r="IZ4092" s="917"/>
      <c r="JA4092" s="917"/>
      <c r="JB4092" s="917"/>
      <c r="JC4092" s="917"/>
      <c r="JD4092" s="917"/>
      <c r="JE4092" s="917"/>
      <c r="JF4092" s="917"/>
      <c r="JG4092" s="917"/>
      <c r="JH4092" s="917"/>
      <c r="JI4092" s="917"/>
      <c r="JJ4092" s="917"/>
      <c r="JK4092" s="917"/>
      <c r="JL4092" s="917"/>
      <c r="JM4092" s="917"/>
      <c r="JN4092" s="917"/>
      <c r="JO4092" s="917"/>
      <c r="JP4092" s="917"/>
      <c r="JQ4092" s="917" t="s">
        <v>78</v>
      </c>
      <c r="JR4092" s="917"/>
      <c r="JS4092" s="917"/>
      <c r="JT4092" s="917"/>
      <c r="JU4092" s="917"/>
      <c r="JV4092" s="917"/>
      <c r="JW4092" s="917"/>
      <c r="JX4092" s="917"/>
      <c r="JY4092" s="917"/>
      <c r="JZ4092" s="917"/>
      <c r="KA4092" s="917"/>
      <c r="KB4092" s="917"/>
      <c r="KC4092" s="917"/>
      <c r="KD4092" s="917"/>
      <c r="KE4092" s="917"/>
      <c r="KF4092" s="917"/>
      <c r="KG4092" s="917"/>
      <c r="KH4092" s="917"/>
      <c r="KI4092" s="917"/>
      <c r="KJ4092" s="917"/>
      <c r="KK4092" s="917"/>
      <c r="KL4092" s="917"/>
      <c r="KM4092" s="917"/>
      <c r="KN4092" s="917"/>
      <c r="KO4092" s="917"/>
      <c r="KP4092" s="917"/>
      <c r="KQ4092" s="917"/>
      <c r="KR4092" s="917"/>
      <c r="KS4092" s="917"/>
      <c r="KT4092" s="917"/>
      <c r="KU4092" s="917"/>
      <c r="KV4092" s="917"/>
      <c r="KW4092" s="917" t="s">
        <v>78</v>
      </c>
      <c r="KX4092" s="917"/>
      <c r="KY4092" s="917"/>
      <c r="KZ4092" s="917"/>
      <c r="LA4092" s="917"/>
      <c r="LB4092" s="917"/>
      <c r="LC4092" s="917"/>
      <c r="LD4092" s="917"/>
      <c r="LE4092" s="917"/>
      <c r="LF4092" s="917"/>
      <c r="LG4092" s="917"/>
      <c r="LH4092" s="917"/>
      <c r="LI4092" s="917"/>
      <c r="LJ4092" s="917"/>
      <c r="LK4092" s="917"/>
      <c r="LL4092" s="917"/>
      <c r="LM4092" s="917"/>
      <c r="LN4092" s="917"/>
      <c r="LO4092" s="917"/>
      <c r="LP4092" s="917"/>
      <c r="LQ4092" s="917"/>
      <c r="LR4092" s="917"/>
      <c r="LS4092" s="917"/>
      <c r="LT4092" s="917"/>
      <c r="LU4092" s="917"/>
      <c r="LV4092" s="917"/>
      <c r="LW4092" s="917"/>
      <c r="LX4092" s="917"/>
      <c r="LY4092" s="917"/>
      <c r="LZ4092" s="917"/>
      <c r="MA4092" s="917"/>
      <c r="MB4092" s="917"/>
      <c r="MC4092" s="917" t="s">
        <v>78</v>
      </c>
      <c r="MD4092" s="917"/>
      <c r="ME4092" s="917"/>
      <c r="MF4092" s="917"/>
      <c r="MG4092" s="917"/>
      <c r="MH4092" s="917"/>
      <c r="MI4092" s="917"/>
      <c r="MJ4092" s="917"/>
      <c r="MK4092" s="917"/>
      <c r="ML4092" s="917"/>
      <c r="MM4092" s="917"/>
      <c r="MN4092" s="917"/>
      <c r="MO4092" s="917"/>
      <c r="MP4092" s="917"/>
      <c r="MQ4092" s="917"/>
      <c r="MR4092" s="917"/>
      <c r="MS4092" s="917"/>
      <c r="MT4092" s="917"/>
      <c r="MU4092" s="917"/>
      <c r="MV4092" s="917"/>
      <c r="MW4092" s="917"/>
      <c r="MX4092" s="917"/>
      <c r="MY4092" s="917"/>
      <c r="MZ4092" s="917"/>
      <c r="NA4092" s="917"/>
      <c r="NB4092" s="917"/>
      <c r="NC4092" s="917"/>
      <c r="ND4092" s="917"/>
      <c r="NE4092" s="917"/>
      <c r="NF4092" s="917"/>
      <c r="NG4092" s="917"/>
      <c r="NH4092" s="917"/>
      <c r="NI4092" s="917" t="s">
        <v>78</v>
      </c>
      <c r="NJ4092" s="917"/>
      <c r="NK4092" s="917"/>
      <c r="NL4092" s="917"/>
      <c r="NM4092" s="917"/>
      <c r="NN4092" s="917"/>
      <c r="NO4092" s="917"/>
      <c r="NP4092" s="917"/>
      <c r="NQ4092" s="917"/>
      <c r="NR4092" s="917"/>
      <c r="NS4092" s="917"/>
      <c r="NT4092" s="917"/>
      <c r="NU4092" s="917"/>
      <c r="NV4092" s="917"/>
      <c r="NW4092" s="917"/>
      <c r="NX4092" s="917"/>
      <c r="NY4092" s="917"/>
      <c r="NZ4092" s="917"/>
      <c r="OA4092" s="917"/>
      <c r="OB4092" s="917"/>
      <c r="OC4092" s="917"/>
      <c r="OD4092" s="917"/>
      <c r="OE4092" s="917"/>
      <c r="OF4092" s="917"/>
      <c r="OG4092" s="917"/>
      <c r="OH4092" s="917"/>
      <c r="OI4092" s="917"/>
      <c r="OJ4092" s="917"/>
      <c r="OK4092" s="917"/>
      <c r="OL4092" s="917"/>
      <c r="OM4092" s="917"/>
      <c r="ON4092" s="917"/>
      <c r="OO4092" s="917" t="s">
        <v>78</v>
      </c>
      <c r="OP4092" s="917"/>
      <c r="OQ4092" s="917"/>
      <c r="OR4092" s="917"/>
      <c r="OS4092" s="917"/>
      <c r="OT4092" s="917"/>
      <c r="OU4092" s="917"/>
      <c r="OV4092" s="917"/>
      <c r="OW4092" s="917"/>
      <c r="OX4092" s="917"/>
      <c r="OY4092" s="917"/>
      <c r="OZ4092" s="917"/>
      <c r="PA4092" s="917"/>
      <c r="PB4092" s="917"/>
      <c r="PC4092" s="917"/>
      <c r="PD4092" s="917"/>
      <c r="PE4092" s="917"/>
      <c r="PF4092" s="917"/>
      <c r="PG4092" s="917"/>
      <c r="PH4092" s="917"/>
      <c r="PI4092" s="917"/>
      <c r="PJ4092" s="917"/>
      <c r="PK4092" s="917"/>
      <c r="PL4092" s="917"/>
      <c r="PM4092" s="917"/>
      <c r="PN4092" s="917"/>
      <c r="PO4092" s="917"/>
      <c r="PP4092" s="917"/>
      <c r="PQ4092" s="917"/>
      <c r="PR4092" s="917"/>
      <c r="PS4092" s="917"/>
      <c r="PT4092" s="917"/>
      <c r="PU4092" s="917" t="s">
        <v>78</v>
      </c>
      <c r="PV4092" s="917"/>
      <c r="PW4092" s="917"/>
      <c r="PX4092" s="917"/>
      <c r="PY4092" s="917"/>
      <c r="PZ4092" s="917"/>
      <c r="QA4092" s="917"/>
      <c r="QB4092" s="917"/>
      <c r="QC4092" s="917"/>
      <c r="QD4092" s="917"/>
      <c r="QE4092" s="917"/>
      <c r="QF4092" s="917"/>
      <c r="QG4092" s="917"/>
      <c r="QH4092" s="917"/>
      <c r="QI4092" s="917"/>
      <c r="QJ4092" s="917"/>
      <c r="QK4092" s="917"/>
      <c r="QL4092" s="917"/>
      <c r="QM4092" s="917"/>
      <c r="QN4092" s="917"/>
      <c r="QO4092" s="917"/>
      <c r="QP4092" s="917"/>
      <c r="QQ4092" s="917"/>
      <c r="QR4092" s="917"/>
      <c r="QS4092" s="917"/>
      <c r="QT4092" s="917"/>
      <c r="QU4092" s="917"/>
      <c r="QV4092" s="917"/>
      <c r="QW4092" s="917"/>
      <c r="QX4092" s="917"/>
      <c r="QY4092" s="917"/>
      <c r="QZ4092" s="917"/>
      <c r="RA4092" s="917" t="s">
        <v>78</v>
      </c>
      <c r="RB4092" s="917"/>
      <c r="RC4092" s="917"/>
      <c r="RD4092" s="917"/>
      <c r="RE4092" s="917"/>
      <c r="RF4092" s="917"/>
      <c r="RG4092" s="917"/>
      <c r="RH4092" s="917"/>
      <c r="RI4092" s="917"/>
      <c r="RJ4092" s="917"/>
      <c r="RK4092" s="917"/>
      <c r="RL4092" s="917"/>
      <c r="RM4092" s="917"/>
      <c r="RN4092" s="917"/>
      <c r="RO4092" s="917"/>
      <c r="RP4092" s="917"/>
      <c r="RQ4092" s="917"/>
      <c r="RR4092" s="917"/>
      <c r="RS4092" s="917"/>
      <c r="RT4092" s="917"/>
      <c r="RU4092" s="917"/>
      <c r="RV4092" s="917"/>
      <c r="RW4092" s="917"/>
      <c r="RX4092" s="917"/>
      <c r="RY4092" s="917"/>
      <c r="RZ4092" s="917"/>
      <c r="SA4092" s="917"/>
      <c r="SB4092" s="917"/>
      <c r="SC4092" s="917"/>
      <c r="SD4092" s="917"/>
      <c r="SE4092" s="917"/>
      <c r="SF4092" s="917"/>
      <c r="SG4092" s="917" t="s">
        <v>78</v>
      </c>
      <c r="SH4092" s="917"/>
      <c r="SI4092" s="917"/>
      <c r="SJ4092" s="917"/>
      <c r="SK4092" s="917"/>
      <c r="SL4092" s="917"/>
      <c r="SM4092" s="917"/>
      <c r="SN4092" s="917"/>
      <c r="SO4092" s="917"/>
      <c r="SP4092" s="917"/>
      <c r="SQ4092" s="917"/>
      <c r="SR4092" s="917"/>
      <c r="SS4092" s="917"/>
      <c r="ST4092" s="917"/>
      <c r="SU4092" s="917"/>
      <c r="SV4092" s="917"/>
      <c r="SW4092" s="917"/>
      <c r="SX4092" s="917"/>
      <c r="SY4092" s="917"/>
      <c r="SZ4092" s="917"/>
      <c r="TA4092" s="917"/>
      <c r="TB4092" s="917"/>
      <c r="TC4092" s="917"/>
      <c r="TD4092" s="917"/>
      <c r="TE4092" s="917"/>
      <c r="TF4092" s="917"/>
      <c r="TG4092" s="917"/>
      <c r="TH4092" s="917"/>
      <c r="TI4092" s="917"/>
      <c r="TJ4092" s="917"/>
      <c r="TK4092" s="917"/>
      <c r="TL4092" s="917"/>
      <c r="TM4092" s="917" t="s">
        <v>78</v>
      </c>
      <c r="TN4092" s="917"/>
      <c r="TO4092" s="917"/>
      <c r="TP4092" s="917"/>
      <c r="TQ4092" s="917"/>
      <c r="TR4092" s="917"/>
      <c r="TS4092" s="917"/>
      <c r="TT4092" s="917"/>
      <c r="TU4092" s="917"/>
      <c r="TV4092" s="917"/>
      <c r="TW4092" s="917"/>
      <c r="TX4092" s="917"/>
      <c r="TY4092" s="917"/>
      <c r="TZ4092" s="917"/>
      <c r="UA4092" s="917"/>
      <c r="UB4092" s="917"/>
      <c r="UC4092" s="917"/>
      <c r="UD4092" s="917"/>
      <c r="UE4092" s="917"/>
      <c r="UF4092" s="917"/>
      <c r="UG4092" s="917"/>
      <c r="UH4092" s="917"/>
      <c r="UI4092" s="917"/>
      <c r="UJ4092" s="917"/>
      <c r="UK4092" s="917"/>
      <c r="UL4092" s="917"/>
      <c r="UM4092" s="917"/>
      <c r="UN4092" s="917"/>
      <c r="UO4092" s="917"/>
      <c r="UP4092" s="917"/>
      <c r="UQ4092" s="917"/>
      <c r="UR4092" s="917"/>
      <c r="US4092" s="917" t="s">
        <v>78</v>
      </c>
      <c r="UT4092" s="917"/>
      <c r="UU4092" s="917"/>
      <c r="UV4092" s="917"/>
      <c r="UW4092" s="917"/>
      <c r="UX4092" s="917"/>
      <c r="UY4092" s="917"/>
      <c r="UZ4092" s="917"/>
      <c r="VA4092" s="917"/>
      <c r="VB4092" s="917"/>
      <c r="VC4092" s="917"/>
      <c r="VD4092" s="917"/>
      <c r="VE4092" s="917"/>
      <c r="VF4092" s="917"/>
      <c r="VG4092" s="917"/>
      <c r="VH4092" s="917"/>
      <c r="VI4092" s="917"/>
      <c r="VJ4092" s="917"/>
      <c r="VK4092" s="917"/>
      <c r="VL4092" s="917"/>
      <c r="VM4092" s="917"/>
      <c r="VN4092" s="917"/>
      <c r="VO4092" s="917"/>
      <c r="VP4092" s="917"/>
      <c r="VQ4092" s="917"/>
      <c r="VR4092" s="917"/>
      <c r="VS4092" s="917"/>
      <c r="VT4092" s="917"/>
      <c r="VU4092" s="917"/>
      <c r="VV4092" s="917"/>
      <c r="VW4092" s="917"/>
      <c r="VX4092" s="917"/>
      <c r="VY4092" s="917" t="s">
        <v>78</v>
      </c>
      <c r="VZ4092" s="917"/>
      <c r="WA4092" s="917"/>
      <c r="WB4092" s="917"/>
      <c r="WC4092" s="917"/>
      <c r="WD4092" s="917"/>
      <c r="WE4092" s="917"/>
      <c r="WF4092" s="917"/>
      <c r="WG4092" s="917"/>
      <c r="WH4092" s="917"/>
      <c r="WI4092" s="917"/>
      <c r="WJ4092" s="917"/>
      <c r="WK4092" s="917"/>
      <c r="WL4092" s="917"/>
      <c r="WM4092" s="917"/>
      <c r="WN4092" s="917"/>
      <c r="WO4092" s="917"/>
      <c r="WP4092" s="917"/>
      <c r="WQ4092" s="917"/>
      <c r="WR4092" s="917"/>
      <c r="WS4092" s="917"/>
      <c r="WT4092" s="917"/>
      <c r="WU4092" s="917"/>
      <c r="WV4092" s="917"/>
      <c r="WW4092" s="917"/>
      <c r="WX4092" s="917"/>
      <c r="WY4092" s="917"/>
      <c r="WZ4092" s="917"/>
      <c r="XA4092" s="917"/>
      <c r="XB4092" s="917"/>
      <c r="XC4092" s="917"/>
      <c r="XD4092" s="917"/>
      <c r="XE4092" s="917" t="s">
        <v>78</v>
      </c>
      <c r="XF4092" s="917"/>
      <c r="XG4092" s="917"/>
      <c r="XH4092" s="917"/>
      <c r="XI4092" s="917"/>
      <c r="XJ4092" s="917"/>
      <c r="XK4092" s="917"/>
      <c r="XL4092" s="917"/>
      <c r="XM4092" s="917"/>
      <c r="XN4092" s="917"/>
      <c r="XO4092" s="917"/>
      <c r="XP4092" s="917"/>
      <c r="XQ4092" s="917"/>
      <c r="XR4092" s="917"/>
      <c r="XS4092" s="917"/>
      <c r="XT4092" s="917"/>
      <c r="XU4092" s="917"/>
      <c r="XV4092" s="917"/>
      <c r="XW4092" s="917"/>
      <c r="XX4092" s="917"/>
      <c r="XY4092" s="917"/>
      <c r="XZ4092" s="917"/>
      <c r="YA4092" s="917"/>
      <c r="YB4092" s="917"/>
      <c r="YC4092" s="917"/>
      <c r="YD4092" s="917"/>
      <c r="YE4092" s="917"/>
      <c r="YF4092" s="917"/>
      <c r="YG4092" s="917"/>
      <c r="YH4092" s="917"/>
      <c r="YI4092" s="917"/>
      <c r="YJ4092" s="917"/>
      <c r="YK4092" s="917" t="s">
        <v>78</v>
      </c>
      <c r="YL4092" s="917"/>
      <c r="YM4092" s="917"/>
      <c r="YN4092" s="917"/>
      <c r="YO4092" s="917"/>
      <c r="YP4092" s="917"/>
      <c r="YQ4092" s="917"/>
      <c r="YR4092" s="917"/>
      <c r="YS4092" s="917"/>
      <c r="YT4092" s="917"/>
      <c r="YU4092" s="917"/>
      <c r="YV4092" s="917"/>
      <c r="YW4092" s="917"/>
      <c r="YX4092" s="917"/>
      <c r="YY4092" s="917"/>
      <c r="YZ4092" s="917"/>
      <c r="ZA4092" s="917"/>
      <c r="ZB4092" s="917"/>
      <c r="ZC4092" s="917"/>
      <c r="ZD4092" s="917"/>
      <c r="ZE4092" s="917"/>
      <c r="ZF4092" s="917"/>
      <c r="ZG4092" s="917"/>
      <c r="ZH4092" s="917"/>
      <c r="ZI4092" s="917"/>
      <c r="ZJ4092" s="917"/>
      <c r="ZK4092" s="917"/>
      <c r="ZL4092" s="917"/>
      <c r="ZM4092" s="917"/>
      <c r="ZN4092" s="917"/>
      <c r="ZO4092" s="917"/>
      <c r="ZP4092" s="917"/>
      <c r="ZQ4092" s="917" t="s">
        <v>78</v>
      </c>
      <c r="ZR4092" s="917"/>
      <c r="ZS4092" s="917"/>
      <c r="ZT4092" s="917"/>
      <c r="ZU4092" s="917"/>
      <c r="ZV4092" s="917"/>
      <c r="ZW4092" s="917"/>
      <c r="ZX4092" s="917"/>
      <c r="ZY4092" s="917"/>
      <c r="ZZ4092" s="917"/>
      <c r="AAA4092" s="917"/>
      <c r="AAB4092" s="917"/>
      <c r="AAC4092" s="917"/>
      <c r="AAD4092" s="917"/>
      <c r="AAE4092" s="917"/>
      <c r="AAF4092" s="917"/>
      <c r="AAG4092" s="917"/>
      <c r="AAH4092" s="917"/>
      <c r="AAI4092" s="917"/>
      <c r="AAJ4092" s="917"/>
      <c r="AAK4092" s="917"/>
      <c r="AAL4092" s="917"/>
      <c r="AAM4092" s="917"/>
      <c r="AAN4092" s="917"/>
      <c r="AAO4092" s="917"/>
      <c r="AAP4092" s="917"/>
      <c r="AAQ4092" s="917"/>
      <c r="AAR4092" s="917"/>
      <c r="AAS4092" s="917"/>
      <c r="AAT4092" s="917"/>
      <c r="AAU4092" s="917"/>
      <c r="AAV4092" s="917"/>
      <c r="AAW4092" s="917" t="s">
        <v>78</v>
      </c>
      <c r="AAX4092" s="917"/>
      <c r="AAY4092" s="917"/>
      <c r="AAZ4092" s="917"/>
      <c r="ABA4092" s="917"/>
      <c r="ABB4092" s="917"/>
      <c r="ABC4092" s="917"/>
      <c r="ABD4092" s="917"/>
      <c r="ABE4092" s="917"/>
      <c r="ABF4092" s="917"/>
      <c r="ABG4092" s="917"/>
      <c r="ABH4092" s="917"/>
      <c r="ABI4092" s="917"/>
      <c r="ABJ4092" s="917"/>
      <c r="ABK4092" s="917"/>
      <c r="ABL4092" s="917"/>
      <c r="ABM4092" s="917"/>
      <c r="ABN4092" s="917"/>
      <c r="ABO4092" s="917"/>
      <c r="ABP4092" s="917"/>
      <c r="ABQ4092" s="917"/>
      <c r="ABR4092" s="917"/>
      <c r="ABS4092" s="917"/>
      <c r="ABT4092" s="917"/>
      <c r="ABU4092" s="917"/>
      <c r="ABV4092" s="917"/>
      <c r="ABW4092" s="917"/>
      <c r="ABX4092" s="917"/>
      <c r="ABY4092" s="917"/>
      <c r="ABZ4092" s="917"/>
      <c r="ACA4092" s="917"/>
      <c r="ACB4092" s="917"/>
      <c r="ACC4092" s="917" t="s">
        <v>78</v>
      </c>
      <c r="ACD4092" s="917"/>
      <c r="ACE4092" s="917"/>
      <c r="ACF4092" s="917"/>
      <c r="ACG4092" s="917"/>
      <c r="ACH4092" s="917"/>
      <c r="ACI4092" s="917"/>
      <c r="ACJ4092" s="917"/>
      <c r="ACK4092" s="917"/>
      <c r="ACL4092" s="917"/>
      <c r="ACM4092" s="917"/>
      <c r="ACN4092" s="917"/>
      <c r="ACO4092" s="917"/>
      <c r="ACP4092" s="917"/>
      <c r="ACQ4092" s="917"/>
      <c r="ACR4092" s="917"/>
      <c r="ACS4092" s="917"/>
      <c r="ACT4092" s="917"/>
      <c r="ACU4092" s="917"/>
      <c r="ACV4092" s="917"/>
      <c r="ACW4092" s="917"/>
      <c r="ACX4092" s="917"/>
      <c r="ACY4092" s="917"/>
      <c r="ACZ4092" s="917"/>
      <c r="ADA4092" s="917"/>
      <c r="ADB4092" s="917"/>
      <c r="ADC4092" s="917"/>
      <c r="ADD4092" s="917"/>
      <c r="ADE4092" s="917"/>
      <c r="ADF4092" s="917"/>
      <c r="ADG4092" s="917"/>
      <c r="ADH4092" s="917"/>
      <c r="ADI4092" s="917" t="s">
        <v>78</v>
      </c>
      <c r="ADJ4092" s="917"/>
      <c r="ADK4092" s="917"/>
      <c r="ADL4092" s="917"/>
      <c r="ADM4092" s="917"/>
      <c r="ADN4092" s="917"/>
      <c r="ADO4092" s="917"/>
      <c r="ADP4092" s="917"/>
      <c r="ADQ4092" s="917"/>
      <c r="ADR4092" s="917"/>
      <c r="ADS4092" s="917"/>
      <c r="ADT4092" s="917"/>
      <c r="ADU4092" s="917"/>
      <c r="ADV4092" s="917"/>
      <c r="ADW4092" s="917"/>
      <c r="ADX4092" s="917"/>
      <c r="ADY4092" s="917"/>
      <c r="ADZ4092" s="917"/>
      <c r="AEA4092" s="917"/>
      <c r="AEB4092" s="917"/>
      <c r="AEC4092" s="917"/>
      <c r="AED4092" s="917"/>
      <c r="AEE4092" s="917"/>
      <c r="AEF4092" s="917"/>
      <c r="AEG4092" s="917"/>
      <c r="AEH4092" s="917"/>
      <c r="AEI4092" s="917"/>
      <c r="AEJ4092" s="917"/>
      <c r="AEK4092" s="917"/>
      <c r="AEL4092" s="917"/>
      <c r="AEM4092" s="917"/>
      <c r="AEN4092" s="917"/>
      <c r="AEO4092" s="917" t="s">
        <v>78</v>
      </c>
      <c r="AEP4092" s="917"/>
      <c r="AEQ4092" s="917"/>
      <c r="AER4092" s="917"/>
      <c r="AES4092" s="917"/>
      <c r="AET4092" s="917"/>
      <c r="AEU4092" s="917"/>
      <c r="AEV4092" s="917"/>
      <c r="AEW4092" s="917"/>
      <c r="AEX4092" s="917"/>
      <c r="AEY4092" s="917"/>
      <c r="AEZ4092" s="917"/>
      <c r="AFA4092" s="917"/>
      <c r="AFB4092" s="917"/>
      <c r="AFC4092" s="917"/>
      <c r="AFD4092" s="917"/>
      <c r="AFE4092" s="917"/>
      <c r="AFF4092" s="917"/>
      <c r="AFG4092" s="917"/>
      <c r="AFH4092" s="917"/>
      <c r="AFI4092" s="917"/>
      <c r="AFJ4092" s="917"/>
      <c r="AFK4092" s="917"/>
      <c r="AFL4092" s="917"/>
      <c r="AFM4092" s="917"/>
      <c r="AFN4092" s="917"/>
      <c r="AFO4092" s="917"/>
      <c r="AFP4092" s="917"/>
      <c r="AFQ4092" s="917"/>
      <c r="AFR4092" s="917"/>
      <c r="AFS4092" s="917"/>
      <c r="AFT4092" s="917"/>
      <c r="AFU4092" s="917" t="s">
        <v>78</v>
      </c>
      <c r="AFV4092" s="917"/>
      <c r="AFW4092" s="917"/>
      <c r="AFX4092" s="917"/>
      <c r="AFY4092" s="917"/>
      <c r="AFZ4092" s="917"/>
      <c r="AGA4092" s="917"/>
      <c r="AGB4092" s="917"/>
      <c r="AGC4092" s="917"/>
      <c r="AGD4092" s="917"/>
      <c r="AGE4092" s="917"/>
      <c r="AGF4092" s="917"/>
      <c r="AGG4092" s="917"/>
      <c r="AGH4092" s="917"/>
      <c r="AGI4092" s="917"/>
      <c r="AGJ4092" s="917"/>
      <c r="AGK4092" s="917"/>
      <c r="AGL4092" s="917"/>
      <c r="AGM4092" s="917"/>
      <c r="AGN4092" s="917"/>
      <c r="AGO4092" s="917"/>
      <c r="AGP4092" s="917"/>
      <c r="AGQ4092" s="917"/>
      <c r="AGR4092" s="917"/>
      <c r="AGS4092" s="917"/>
      <c r="AGT4092" s="917"/>
      <c r="AGU4092" s="917"/>
      <c r="AGV4092" s="917"/>
      <c r="AGW4092" s="917"/>
      <c r="AGX4092" s="917"/>
      <c r="AGY4092" s="917"/>
      <c r="AGZ4092" s="917"/>
      <c r="AHA4092" s="917" t="s">
        <v>78</v>
      </c>
      <c r="AHB4092" s="917"/>
      <c r="AHC4092" s="917"/>
      <c r="AHD4092" s="917"/>
      <c r="AHE4092" s="917"/>
      <c r="AHF4092" s="917"/>
      <c r="AHG4092" s="917"/>
      <c r="AHH4092" s="917"/>
      <c r="AHI4092" s="917"/>
      <c r="AHJ4092" s="917"/>
      <c r="AHK4092" s="917"/>
      <c r="AHL4092" s="917"/>
      <c r="AHM4092" s="917"/>
      <c r="AHN4092" s="917"/>
      <c r="AHO4092" s="917"/>
      <c r="AHP4092" s="917"/>
      <c r="AHQ4092" s="917"/>
      <c r="AHR4092" s="917"/>
      <c r="AHS4092" s="917"/>
      <c r="AHT4092" s="917"/>
      <c r="AHU4092" s="917"/>
      <c r="AHV4092" s="917"/>
      <c r="AHW4092" s="917"/>
      <c r="AHX4092" s="917"/>
      <c r="AHY4092" s="917"/>
      <c r="AHZ4092" s="917"/>
      <c r="AIA4092" s="917"/>
      <c r="AIB4092" s="917"/>
      <c r="AIC4092" s="917"/>
      <c r="AID4092" s="917"/>
      <c r="AIE4092" s="917"/>
      <c r="AIF4092" s="917"/>
      <c r="AIG4092" s="917" t="s">
        <v>78</v>
      </c>
      <c r="AIH4092" s="917"/>
      <c r="AII4092" s="917"/>
      <c r="AIJ4092" s="917"/>
      <c r="AIK4092" s="917"/>
      <c r="AIL4092" s="917"/>
      <c r="AIM4092" s="917"/>
      <c r="AIN4092" s="917"/>
      <c r="AIO4092" s="917"/>
      <c r="AIP4092" s="917"/>
      <c r="AIQ4092" s="917"/>
      <c r="AIR4092" s="917"/>
      <c r="AIS4092" s="917"/>
      <c r="AIT4092" s="917"/>
      <c r="AIU4092" s="917"/>
      <c r="AIV4092" s="917"/>
      <c r="AIW4092" s="917"/>
      <c r="AIX4092" s="917"/>
      <c r="AIY4092" s="917"/>
      <c r="AIZ4092" s="917"/>
      <c r="AJA4092" s="917"/>
      <c r="AJB4092" s="917"/>
      <c r="AJC4092" s="917"/>
      <c r="AJD4092" s="917"/>
      <c r="AJE4092" s="917"/>
      <c r="AJF4092" s="917"/>
      <c r="AJG4092" s="917"/>
      <c r="AJH4092" s="917"/>
      <c r="AJI4092" s="917"/>
      <c r="AJJ4092" s="917"/>
      <c r="AJK4092" s="917"/>
      <c r="AJL4092" s="917"/>
      <c r="AJM4092" s="917" t="s">
        <v>78</v>
      </c>
      <c r="AJN4092" s="917"/>
      <c r="AJO4092" s="917"/>
      <c r="AJP4092" s="917"/>
      <c r="AJQ4092" s="917"/>
      <c r="AJR4092" s="917"/>
      <c r="AJS4092" s="917"/>
      <c r="AJT4092" s="917"/>
      <c r="AJU4092" s="917"/>
      <c r="AJV4092" s="917"/>
      <c r="AJW4092" s="917"/>
      <c r="AJX4092" s="917"/>
      <c r="AJY4092" s="917"/>
      <c r="AJZ4092" s="917"/>
      <c r="AKA4092" s="917"/>
      <c r="AKB4092" s="917"/>
      <c r="AKC4092" s="917"/>
      <c r="AKD4092" s="917"/>
      <c r="AKE4092" s="917"/>
      <c r="AKF4092" s="917"/>
      <c r="AKG4092" s="917"/>
      <c r="AKH4092" s="917"/>
      <c r="AKI4092" s="917"/>
      <c r="AKJ4092" s="917"/>
      <c r="AKK4092" s="917"/>
      <c r="AKL4092" s="917"/>
      <c r="AKM4092" s="917"/>
      <c r="AKN4092" s="917"/>
      <c r="AKO4092" s="917"/>
      <c r="AKP4092" s="917"/>
      <c r="AKQ4092" s="917"/>
      <c r="AKR4092" s="917"/>
      <c r="AKS4092" s="917" t="s">
        <v>78</v>
      </c>
      <c r="AKT4092" s="917"/>
      <c r="AKU4092" s="917"/>
      <c r="AKV4092" s="917"/>
      <c r="AKW4092" s="917"/>
      <c r="AKX4092" s="917"/>
      <c r="AKY4092" s="917"/>
      <c r="AKZ4092" s="917"/>
      <c r="ALA4092" s="917"/>
      <c r="ALB4092" s="917"/>
      <c r="ALC4092" s="917"/>
      <c r="ALD4092" s="917"/>
      <c r="ALE4092" s="917"/>
      <c r="ALF4092" s="917"/>
      <c r="ALG4092" s="917"/>
      <c r="ALH4092" s="917"/>
      <c r="ALI4092" s="917"/>
      <c r="ALJ4092" s="917"/>
      <c r="ALK4092" s="917"/>
      <c r="ALL4092" s="917"/>
      <c r="ALM4092" s="917"/>
      <c r="ALN4092" s="917"/>
      <c r="ALO4092" s="917"/>
      <c r="ALP4092" s="917"/>
      <c r="ALQ4092" s="917"/>
      <c r="ALR4092" s="917"/>
      <c r="ALS4092" s="917"/>
      <c r="ALT4092" s="917"/>
      <c r="ALU4092" s="917"/>
      <c r="ALV4092" s="917"/>
      <c r="ALW4092" s="917"/>
      <c r="ALX4092" s="917"/>
      <c r="ALY4092" s="917" t="s">
        <v>78</v>
      </c>
      <c r="ALZ4092" s="917"/>
      <c r="AMA4092" s="917"/>
      <c r="AMB4092" s="917"/>
      <c r="AMC4092" s="917"/>
      <c r="AMD4092" s="917"/>
      <c r="AME4092" s="917"/>
      <c r="AMF4092" s="917"/>
      <c r="AMG4092" s="917"/>
      <c r="AMH4092" s="917"/>
      <c r="AMI4092" s="917"/>
      <c r="AMJ4092" s="917"/>
      <c r="AMK4092" s="917"/>
      <c r="AML4092" s="917"/>
      <c r="AMM4092" s="917"/>
      <c r="AMN4092" s="917"/>
      <c r="AMO4092" s="917"/>
      <c r="AMP4092" s="917"/>
      <c r="AMQ4092" s="917"/>
      <c r="AMR4092" s="917"/>
      <c r="AMS4092" s="917"/>
      <c r="AMT4092" s="917"/>
      <c r="AMU4092" s="917"/>
      <c r="AMV4092" s="917"/>
      <c r="AMW4092" s="917"/>
      <c r="AMX4092" s="917"/>
      <c r="AMY4092" s="917"/>
      <c r="AMZ4092" s="917"/>
      <c r="ANA4092" s="917"/>
      <c r="ANB4092" s="917"/>
      <c r="ANC4092" s="917"/>
      <c r="AND4092" s="917"/>
      <c r="ANE4092" s="917" t="s">
        <v>78</v>
      </c>
      <c r="ANF4092" s="917"/>
      <c r="ANG4092" s="917"/>
      <c r="ANH4092" s="917"/>
      <c r="ANI4092" s="917"/>
      <c r="ANJ4092" s="917"/>
      <c r="ANK4092" s="917"/>
      <c r="ANL4092" s="917"/>
      <c r="ANM4092" s="917"/>
      <c r="ANN4092" s="917"/>
      <c r="ANO4092" s="917"/>
      <c r="ANP4092" s="917"/>
      <c r="ANQ4092" s="917"/>
      <c r="ANR4092" s="917"/>
      <c r="ANS4092" s="917"/>
      <c r="ANT4092" s="917"/>
      <c r="ANU4092" s="917"/>
      <c r="ANV4092" s="917"/>
      <c r="ANW4092" s="917"/>
      <c r="ANX4092" s="917"/>
      <c r="ANY4092" s="917"/>
      <c r="ANZ4092" s="917"/>
      <c r="AOA4092" s="917"/>
      <c r="AOB4092" s="917"/>
      <c r="AOC4092" s="917"/>
      <c r="AOD4092" s="917"/>
      <c r="AOE4092" s="917"/>
      <c r="AOF4092" s="917"/>
      <c r="AOG4092" s="917"/>
      <c r="AOH4092" s="917"/>
      <c r="AOI4092" s="917"/>
      <c r="AOJ4092" s="917"/>
      <c r="AOK4092" s="917" t="s">
        <v>78</v>
      </c>
      <c r="AOL4092" s="917"/>
      <c r="AOM4092" s="917"/>
      <c r="AON4092" s="917"/>
      <c r="AOO4092" s="917"/>
      <c r="AOP4092" s="917"/>
      <c r="AOQ4092" s="917"/>
      <c r="AOR4092" s="917"/>
      <c r="AOS4092" s="917"/>
      <c r="AOT4092" s="917"/>
      <c r="AOU4092" s="917"/>
      <c r="AOV4092" s="917"/>
      <c r="AOW4092" s="917"/>
      <c r="AOX4092" s="917"/>
      <c r="AOY4092" s="917"/>
      <c r="AOZ4092" s="917"/>
      <c r="APA4092" s="917"/>
      <c r="APB4092" s="917"/>
      <c r="APC4092" s="917"/>
      <c r="APD4092" s="917"/>
      <c r="APE4092" s="917"/>
      <c r="APF4092" s="917"/>
      <c r="APG4092" s="917"/>
      <c r="APH4092" s="917"/>
      <c r="API4092" s="917"/>
      <c r="APJ4092" s="917"/>
      <c r="APK4092" s="917"/>
      <c r="APL4092" s="917"/>
      <c r="APM4092" s="917"/>
      <c r="APN4092" s="917"/>
      <c r="APO4092" s="917"/>
      <c r="APP4092" s="917"/>
      <c r="APQ4092" s="917" t="s">
        <v>78</v>
      </c>
      <c r="APR4092" s="917"/>
      <c r="APS4092" s="917"/>
      <c r="APT4092" s="917"/>
      <c r="APU4092" s="917"/>
      <c r="APV4092" s="917"/>
      <c r="APW4092" s="917"/>
      <c r="APX4092" s="917"/>
      <c r="APY4092" s="917"/>
      <c r="APZ4092" s="917"/>
      <c r="AQA4092" s="917"/>
      <c r="AQB4092" s="917"/>
      <c r="AQC4092" s="917"/>
      <c r="AQD4092" s="917"/>
      <c r="AQE4092" s="917"/>
      <c r="AQF4092" s="917"/>
      <c r="AQG4092" s="917"/>
      <c r="AQH4092" s="917"/>
      <c r="AQI4092" s="917"/>
      <c r="AQJ4092" s="917"/>
      <c r="AQK4092" s="917"/>
      <c r="AQL4092" s="917"/>
      <c r="AQM4092" s="917"/>
      <c r="AQN4092" s="917"/>
      <c r="AQO4092" s="917"/>
      <c r="AQP4092" s="917"/>
      <c r="AQQ4092" s="917"/>
      <c r="AQR4092" s="917"/>
      <c r="AQS4092" s="917"/>
      <c r="AQT4092" s="917"/>
      <c r="AQU4092" s="917"/>
      <c r="AQV4092" s="917"/>
      <c r="AQW4092" s="917" t="s">
        <v>78</v>
      </c>
      <c r="AQX4092" s="917"/>
      <c r="AQY4092" s="917"/>
      <c r="AQZ4092" s="917"/>
      <c r="ARA4092" s="917"/>
      <c r="ARB4092" s="917"/>
      <c r="ARC4092" s="917"/>
      <c r="ARD4092" s="917"/>
      <c r="ARE4092" s="917"/>
      <c r="ARF4092" s="917"/>
      <c r="ARG4092" s="917"/>
      <c r="ARH4092" s="917"/>
      <c r="ARI4092" s="917"/>
      <c r="ARJ4092" s="917"/>
      <c r="ARK4092" s="917"/>
      <c r="ARL4092" s="917"/>
      <c r="ARM4092" s="917"/>
      <c r="ARN4092" s="917"/>
      <c r="ARO4092" s="917"/>
      <c r="ARP4092" s="917"/>
      <c r="ARQ4092" s="917"/>
      <c r="ARR4092" s="917"/>
      <c r="ARS4092" s="917"/>
      <c r="ART4092" s="917"/>
      <c r="ARU4092" s="917"/>
      <c r="ARV4092" s="917"/>
      <c r="ARW4092" s="917"/>
      <c r="ARX4092" s="917"/>
      <c r="ARY4092" s="917"/>
      <c r="ARZ4092" s="917"/>
      <c r="ASA4092" s="917"/>
      <c r="ASB4092" s="917"/>
      <c r="ASC4092" s="917" t="s">
        <v>78</v>
      </c>
      <c r="ASD4092" s="917"/>
      <c r="ASE4092" s="917"/>
      <c r="ASF4092" s="917"/>
      <c r="ASG4092" s="917"/>
      <c r="ASH4092" s="917"/>
      <c r="ASI4092" s="917"/>
      <c r="ASJ4092" s="917"/>
      <c r="ASK4092" s="917"/>
      <c r="ASL4092" s="917"/>
      <c r="ASM4092" s="917"/>
      <c r="ASN4092" s="917"/>
      <c r="ASO4092" s="917"/>
      <c r="ASP4092" s="917"/>
      <c r="ASQ4092" s="917"/>
      <c r="ASR4092" s="917"/>
      <c r="ASS4092" s="917"/>
      <c r="AST4092" s="917"/>
      <c r="ASU4092" s="917"/>
      <c r="ASV4092" s="917"/>
      <c r="ASW4092" s="917"/>
      <c r="ASX4092" s="917"/>
      <c r="ASY4092" s="917"/>
      <c r="ASZ4092" s="917"/>
      <c r="ATA4092" s="917"/>
      <c r="ATB4092" s="917"/>
      <c r="ATC4092" s="917"/>
      <c r="ATD4092" s="917"/>
      <c r="ATE4092" s="917"/>
      <c r="ATF4092" s="917"/>
      <c r="ATG4092" s="917"/>
      <c r="ATH4092" s="917"/>
      <c r="ATI4092" s="917" t="s">
        <v>78</v>
      </c>
      <c r="ATJ4092" s="917"/>
      <c r="ATK4092" s="917"/>
      <c r="ATL4092" s="917"/>
      <c r="ATM4092" s="917"/>
      <c r="ATN4092" s="917"/>
      <c r="ATO4092" s="917"/>
      <c r="ATP4092" s="917"/>
      <c r="ATQ4092" s="917"/>
      <c r="ATR4092" s="917"/>
      <c r="ATS4092" s="917"/>
      <c r="ATT4092" s="917"/>
      <c r="ATU4092" s="917"/>
      <c r="ATV4092" s="917"/>
      <c r="ATW4092" s="917"/>
      <c r="ATX4092" s="917"/>
      <c r="ATY4092" s="917"/>
      <c r="ATZ4092" s="917"/>
      <c r="AUA4092" s="917"/>
      <c r="AUB4092" s="917"/>
      <c r="AUC4092" s="917"/>
      <c r="AUD4092" s="917"/>
      <c r="AUE4092" s="917"/>
      <c r="AUF4092" s="917"/>
      <c r="AUG4092" s="917"/>
      <c r="AUH4092" s="917"/>
      <c r="AUI4092" s="917"/>
      <c r="AUJ4092" s="917"/>
      <c r="AUK4092" s="917"/>
      <c r="AUL4092" s="917"/>
      <c r="AUM4092" s="917"/>
      <c r="AUN4092" s="917"/>
      <c r="AUO4092" s="917" t="s">
        <v>78</v>
      </c>
      <c r="AUP4092" s="917"/>
      <c r="AUQ4092" s="917"/>
      <c r="AUR4092" s="917"/>
      <c r="AUS4092" s="917"/>
      <c r="AUT4092" s="917"/>
      <c r="AUU4092" s="917"/>
      <c r="AUV4092" s="917"/>
      <c r="AUW4092" s="917"/>
      <c r="AUX4092" s="917"/>
      <c r="AUY4092" s="917"/>
      <c r="AUZ4092" s="917"/>
      <c r="AVA4092" s="917"/>
      <c r="AVB4092" s="917"/>
      <c r="AVC4092" s="917"/>
      <c r="AVD4092" s="917"/>
      <c r="AVE4092" s="917"/>
      <c r="AVF4092" s="917"/>
      <c r="AVG4092" s="917"/>
      <c r="AVH4092" s="917"/>
      <c r="AVI4092" s="917"/>
      <c r="AVJ4092" s="917"/>
      <c r="AVK4092" s="917"/>
      <c r="AVL4092" s="917"/>
      <c r="AVM4092" s="917"/>
      <c r="AVN4092" s="917"/>
      <c r="AVO4092" s="917"/>
      <c r="AVP4092" s="917"/>
      <c r="AVQ4092" s="917"/>
      <c r="AVR4092" s="917"/>
      <c r="AVS4092" s="917"/>
      <c r="AVT4092" s="917"/>
      <c r="AVU4092" s="917" t="s">
        <v>78</v>
      </c>
      <c r="AVV4092" s="917"/>
      <c r="AVW4092" s="917"/>
      <c r="AVX4092" s="917"/>
      <c r="AVY4092" s="917"/>
      <c r="AVZ4092" s="917"/>
      <c r="AWA4092" s="917"/>
      <c r="AWB4092" s="917"/>
      <c r="AWC4092" s="917"/>
      <c r="AWD4092" s="917"/>
      <c r="AWE4092" s="917"/>
      <c r="AWF4092" s="917"/>
      <c r="AWG4092" s="917"/>
      <c r="AWH4092" s="917"/>
      <c r="AWI4092" s="917"/>
      <c r="AWJ4092" s="917"/>
      <c r="AWK4092" s="917"/>
      <c r="AWL4092" s="917"/>
      <c r="AWM4092" s="917"/>
      <c r="AWN4092" s="917"/>
      <c r="AWO4092" s="917"/>
      <c r="AWP4092" s="917"/>
      <c r="AWQ4092" s="917"/>
      <c r="AWR4092" s="917"/>
      <c r="AWS4092" s="917"/>
      <c r="AWT4092" s="917"/>
      <c r="AWU4092" s="917"/>
      <c r="AWV4092" s="917"/>
      <c r="AWW4092" s="917"/>
      <c r="AWX4092" s="917"/>
      <c r="AWY4092" s="917"/>
      <c r="AWZ4092" s="917"/>
      <c r="AXA4092" s="917" t="s">
        <v>78</v>
      </c>
      <c r="AXB4092" s="917"/>
      <c r="AXC4092" s="917"/>
      <c r="AXD4092" s="917"/>
      <c r="AXE4092" s="917"/>
      <c r="AXF4092" s="917"/>
      <c r="AXG4092" s="917"/>
      <c r="AXH4092" s="917"/>
      <c r="AXI4092" s="917"/>
      <c r="AXJ4092" s="917"/>
      <c r="AXK4092" s="917"/>
      <c r="AXL4092" s="917"/>
      <c r="AXM4092" s="917"/>
      <c r="AXN4092" s="917"/>
      <c r="AXO4092" s="917"/>
      <c r="AXP4092" s="917"/>
      <c r="AXQ4092" s="917"/>
      <c r="AXR4092" s="917"/>
      <c r="AXS4092" s="917"/>
      <c r="AXT4092" s="917"/>
      <c r="AXU4092" s="917"/>
      <c r="AXV4092" s="917"/>
      <c r="AXW4092" s="917"/>
      <c r="AXX4092" s="917"/>
      <c r="AXY4092" s="917"/>
      <c r="AXZ4092" s="917"/>
      <c r="AYA4092" s="917"/>
      <c r="AYB4092" s="917"/>
      <c r="AYC4092" s="917"/>
      <c r="AYD4092" s="917"/>
      <c r="AYE4092" s="917"/>
      <c r="AYF4092" s="917"/>
      <c r="AYG4092" s="917" t="s">
        <v>78</v>
      </c>
      <c r="AYH4092" s="917"/>
      <c r="AYI4092" s="917"/>
      <c r="AYJ4092" s="917"/>
      <c r="AYK4092" s="917"/>
      <c r="AYL4092" s="917"/>
      <c r="AYM4092" s="917"/>
      <c r="AYN4092" s="917"/>
      <c r="AYO4092" s="917"/>
      <c r="AYP4092" s="917"/>
      <c r="AYQ4092" s="917"/>
      <c r="AYR4092" s="917"/>
      <c r="AYS4092" s="917"/>
      <c r="AYT4092" s="917"/>
      <c r="AYU4092" s="917"/>
      <c r="AYV4092" s="917"/>
      <c r="AYW4092" s="917"/>
      <c r="AYX4092" s="917"/>
      <c r="AYY4092" s="917"/>
      <c r="AYZ4092" s="917"/>
      <c r="AZA4092" s="917"/>
      <c r="AZB4092" s="917"/>
      <c r="AZC4092" s="917"/>
      <c r="AZD4092" s="917"/>
      <c r="AZE4092" s="917"/>
      <c r="AZF4092" s="917"/>
      <c r="AZG4092" s="917"/>
      <c r="AZH4092" s="917"/>
      <c r="AZI4092" s="917"/>
      <c r="AZJ4092" s="917"/>
      <c r="AZK4092" s="917"/>
      <c r="AZL4092" s="917"/>
      <c r="AZM4092" s="917" t="s">
        <v>78</v>
      </c>
      <c r="AZN4092" s="917"/>
      <c r="AZO4092" s="917"/>
      <c r="AZP4092" s="917"/>
      <c r="AZQ4092" s="917"/>
      <c r="AZR4092" s="917"/>
      <c r="AZS4092" s="917"/>
      <c r="AZT4092" s="917"/>
      <c r="AZU4092" s="917"/>
      <c r="AZV4092" s="917"/>
      <c r="AZW4092" s="917"/>
      <c r="AZX4092" s="917"/>
      <c r="AZY4092" s="917"/>
      <c r="AZZ4092" s="917"/>
      <c r="BAA4092" s="917"/>
      <c r="BAB4092" s="917"/>
      <c r="BAC4092" s="917"/>
      <c r="BAD4092" s="917"/>
      <c r="BAE4092" s="917"/>
      <c r="BAF4092" s="917"/>
      <c r="BAG4092" s="917"/>
      <c r="BAH4092" s="917"/>
      <c r="BAI4092" s="917"/>
      <c r="BAJ4092" s="917"/>
      <c r="BAK4092" s="917"/>
      <c r="BAL4092" s="917"/>
      <c r="BAM4092" s="917"/>
      <c r="BAN4092" s="917"/>
      <c r="BAO4092" s="917"/>
      <c r="BAP4092" s="917"/>
      <c r="BAQ4092" s="917"/>
      <c r="BAR4092" s="917"/>
      <c r="BAS4092" s="917" t="s">
        <v>78</v>
      </c>
      <c r="BAT4092" s="917"/>
      <c r="BAU4092" s="917"/>
      <c r="BAV4092" s="917"/>
      <c r="BAW4092" s="917"/>
      <c r="BAX4092" s="917"/>
      <c r="BAY4092" s="917"/>
      <c r="BAZ4092" s="917"/>
      <c r="BBA4092" s="917"/>
      <c r="BBB4092" s="917"/>
      <c r="BBC4092" s="917"/>
      <c r="BBD4092" s="917"/>
      <c r="BBE4092" s="917"/>
      <c r="BBF4092" s="917"/>
      <c r="BBG4092" s="917"/>
      <c r="BBH4092" s="917"/>
      <c r="BBI4092" s="917"/>
      <c r="BBJ4092" s="917"/>
      <c r="BBK4092" s="917"/>
      <c r="BBL4092" s="917"/>
      <c r="BBM4092" s="917"/>
      <c r="BBN4092" s="917"/>
      <c r="BBO4092" s="917"/>
      <c r="BBP4092" s="917"/>
      <c r="BBQ4092" s="917"/>
      <c r="BBR4092" s="917"/>
      <c r="BBS4092" s="917"/>
      <c r="BBT4092" s="917"/>
      <c r="BBU4092" s="917"/>
      <c r="BBV4092" s="917"/>
      <c r="BBW4092" s="917"/>
      <c r="BBX4092" s="917"/>
      <c r="BBY4092" s="917" t="s">
        <v>78</v>
      </c>
      <c r="BBZ4092" s="917"/>
      <c r="BCA4092" s="917"/>
      <c r="BCB4092" s="917"/>
      <c r="BCC4092" s="917"/>
      <c r="BCD4092" s="917"/>
      <c r="BCE4092" s="917"/>
      <c r="BCF4092" s="917"/>
      <c r="BCG4092" s="917"/>
      <c r="BCH4092" s="917"/>
      <c r="BCI4092" s="917"/>
      <c r="BCJ4092" s="917"/>
      <c r="BCK4092" s="917"/>
      <c r="BCL4092" s="917"/>
      <c r="BCM4092" s="917"/>
      <c r="BCN4092" s="917"/>
      <c r="BCO4092" s="917"/>
      <c r="BCP4092" s="917"/>
      <c r="BCQ4092" s="917"/>
      <c r="BCR4092" s="917"/>
      <c r="BCS4092" s="917"/>
      <c r="BCT4092" s="917"/>
      <c r="BCU4092" s="917"/>
      <c r="BCV4092" s="917"/>
      <c r="BCW4092" s="917"/>
      <c r="BCX4092" s="917"/>
      <c r="BCY4092" s="917"/>
      <c r="BCZ4092" s="917"/>
      <c r="BDA4092" s="917"/>
      <c r="BDB4092" s="917"/>
      <c r="BDC4092" s="917"/>
      <c r="BDD4092" s="917"/>
      <c r="BDE4092" s="917" t="s">
        <v>78</v>
      </c>
      <c r="BDF4092" s="917"/>
      <c r="BDG4092" s="917"/>
      <c r="BDH4092" s="917"/>
      <c r="BDI4092" s="917"/>
      <c r="BDJ4092" s="917"/>
      <c r="BDK4092" s="917"/>
      <c r="BDL4092" s="917"/>
      <c r="BDM4092" s="917"/>
      <c r="BDN4092" s="917"/>
      <c r="BDO4092" s="917"/>
      <c r="BDP4092" s="917"/>
      <c r="BDQ4092" s="917"/>
      <c r="BDR4092" s="917"/>
      <c r="BDS4092" s="917"/>
      <c r="BDT4092" s="917"/>
      <c r="BDU4092" s="917"/>
      <c r="BDV4092" s="917"/>
      <c r="BDW4092" s="917"/>
      <c r="BDX4092" s="917"/>
      <c r="BDY4092" s="917"/>
      <c r="BDZ4092" s="917"/>
      <c r="BEA4092" s="917"/>
      <c r="BEB4092" s="917"/>
      <c r="BEC4092" s="917"/>
      <c r="BED4092" s="917"/>
      <c r="BEE4092" s="917"/>
      <c r="BEF4092" s="917"/>
      <c r="BEG4092" s="917"/>
      <c r="BEH4092" s="917"/>
      <c r="BEI4092" s="917"/>
      <c r="BEJ4092" s="917"/>
      <c r="BEK4092" s="917" t="s">
        <v>78</v>
      </c>
      <c r="BEL4092" s="917"/>
      <c r="BEM4092" s="917"/>
      <c r="BEN4092" s="917"/>
      <c r="BEO4092" s="917"/>
      <c r="BEP4092" s="917"/>
      <c r="BEQ4092" s="917"/>
      <c r="BER4092" s="917"/>
      <c r="BES4092" s="917"/>
      <c r="BET4092" s="917"/>
      <c r="BEU4092" s="917"/>
      <c r="BEV4092" s="917"/>
      <c r="BEW4092" s="917"/>
      <c r="BEX4092" s="917"/>
      <c r="BEY4092" s="917"/>
      <c r="BEZ4092" s="917"/>
      <c r="BFA4092" s="917"/>
      <c r="BFB4092" s="917"/>
      <c r="BFC4092" s="917"/>
      <c r="BFD4092" s="917"/>
      <c r="BFE4092" s="917"/>
      <c r="BFF4092" s="917"/>
      <c r="BFG4092" s="917"/>
      <c r="BFH4092" s="917"/>
      <c r="BFI4092" s="917"/>
      <c r="BFJ4092" s="917"/>
      <c r="BFK4092" s="917"/>
      <c r="BFL4092" s="917"/>
      <c r="BFM4092" s="917"/>
      <c r="BFN4092" s="917"/>
      <c r="BFO4092" s="917"/>
      <c r="BFP4092" s="917"/>
      <c r="BFQ4092" s="917" t="s">
        <v>78</v>
      </c>
      <c r="BFR4092" s="917"/>
      <c r="BFS4092" s="917"/>
      <c r="BFT4092" s="917"/>
      <c r="BFU4092" s="917"/>
      <c r="BFV4092" s="917"/>
      <c r="BFW4092" s="917"/>
      <c r="BFX4092" s="917"/>
      <c r="BFY4092" s="917"/>
      <c r="BFZ4092" s="917"/>
      <c r="BGA4092" s="917"/>
      <c r="BGB4092" s="917"/>
      <c r="BGC4092" s="917"/>
      <c r="BGD4092" s="917"/>
      <c r="BGE4092" s="917"/>
      <c r="BGF4092" s="917"/>
      <c r="BGG4092" s="917"/>
      <c r="BGH4092" s="917"/>
      <c r="BGI4092" s="917"/>
      <c r="BGJ4092" s="917"/>
      <c r="BGK4092" s="917"/>
      <c r="BGL4092" s="917"/>
      <c r="BGM4092" s="917"/>
      <c r="BGN4092" s="917"/>
      <c r="BGO4092" s="917"/>
      <c r="BGP4092" s="917"/>
      <c r="BGQ4092" s="917"/>
      <c r="BGR4092" s="917"/>
      <c r="BGS4092" s="917"/>
      <c r="BGT4092" s="917"/>
      <c r="BGU4092" s="917"/>
      <c r="BGV4092" s="917"/>
      <c r="BGW4092" s="917" t="s">
        <v>78</v>
      </c>
      <c r="BGX4092" s="917"/>
      <c r="BGY4092" s="917"/>
      <c r="BGZ4092" s="917"/>
      <c r="BHA4092" s="917"/>
      <c r="BHB4092" s="917"/>
      <c r="BHC4092" s="917"/>
      <c r="BHD4092" s="917"/>
      <c r="BHE4092" s="917"/>
      <c r="BHF4092" s="917"/>
      <c r="BHG4092" s="917"/>
      <c r="BHH4092" s="917"/>
      <c r="BHI4092" s="917"/>
      <c r="BHJ4092" s="917"/>
      <c r="BHK4092" s="917"/>
      <c r="BHL4092" s="917"/>
      <c r="BHM4092" s="917"/>
      <c r="BHN4092" s="917"/>
      <c r="BHO4092" s="917"/>
      <c r="BHP4092" s="917"/>
      <c r="BHQ4092" s="917"/>
      <c r="BHR4092" s="917"/>
      <c r="BHS4092" s="917"/>
      <c r="BHT4092" s="917"/>
      <c r="BHU4092" s="917"/>
      <c r="BHV4092" s="917"/>
      <c r="BHW4092" s="917"/>
      <c r="BHX4092" s="917"/>
      <c r="BHY4092" s="917"/>
      <c r="BHZ4092" s="917"/>
      <c r="BIA4092" s="917"/>
      <c r="BIB4092" s="917"/>
      <c r="BIC4092" s="917" t="s">
        <v>78</v>
      </c>
      <c r="BID4092" s="917"/>
      <c r="BIE4092" s="917"/>
      <c r="BIF4092" s="917"/>
      <c r="BIG4092" s="917"/>
      <c r="BIH4092" s="917"/>
      <c r="BII4092" s="917"/>
      <c r="BIJ4092" s="917"/>
      <c r="BIK4092" s="917"/>
      <c r="BIL4092" s="917"/>
      <c r="BIM4092" s="917"/>
      <c r="BIN4092" s="917"/>
      <c r="BIO4092" s="917"/>
      <c r="BIP4092" s="917"/>
      <c r="BIQ4092" s="917"/>
      <c r="BIR4092" s="917"/>
      <c r="BIS4092" s="917"/>
      <c r="BIT4092" s="917"/>
      <c r="BIU4092" s="917"/>
      <c r="BIV4092" s="917"/>
      <c r="BIW4092" s="917"/>
      <c r="BIX4092" s="917"/>
      <c r="BIY4092" s="917"/>
      <c r="BIZ4092" s="917"/>
      <c r="BJA4092" s="917"/>
      <c r="BJB4092" s="917"/>
      <c r="BJC4092" s="917"/>
      <c r="BJD4092" s="917"/>
      <c r="BJE4092" s="917"/>
      <c r="BJF4092" s="917"/>
      <c r="BJG4092" s="917"/>
      <c r="BJH4092" s="917"/>
      <c r="BJI4092" s="917" t="s">
        <v>78</v>
      </c>
      <c r="BJJ4092" s="917"/>
      <c r="BJK4092" s="917"/>
      <c r="BJL4092" s="917"/>
      <c r="BJM4092" s="917"/>
      <c r="BJN4092" s="917"/>
      <c r="BJO4092" s="917"/>
      <c r="BJP4092" s="917"/>
      <c r="BJQ4092" s="917"/>
      <c r="BJR4092" s="917"/>
      <c r="BJS4092" s="917"/>
      <c r="BJT4092" s="917"/>
      <c r="BJU4092" s="917"/>
      <c r="BJV4092" s="917"/>
      <c r="BJW4092" s="917"/>
      <c r="BJX4092" s="917"/>
      <c r="BJY4092" s="917"/>
      <c r="BJZ4092" s="917"/>
      <c r="BKA4092" s="917"/>
      <c r="BKB4092" s="917"/>
      <c r="BKC4092" s="917"/>
      <c r="BKD4092" s="917"/>
      <c r="BKE4092" s="917"/>
      <c r="BKF4092" s="917"/>
      <c r="BKG4092" s="917"/>
      <c r="BKH4092" s="917"/>
      <c r="BKI4092" s="917"/>
      <c r="BKJ4092" s="917"/>
      <c r="BKK4092" s="917"/>
      <c r="BKL4092" s="917"/>
      <c r="BKM4092" s="917"/>
      <c r="BKN4092" s="917"/>
      <c r="BKO4092" s="917" t="s">
        <v>78</v>
      </c>
      <c r="BKP4092" s="917"/>
      <c r="BKQ4092" s="917"/>
      <c r="BKR4092" s="917"/>
      <c r="BKS4092" s="917"/>
      <c r="BKT4092" s="917"/>
      <c r="BKU4092" s="917"/>
      <c r="BKV4092" s="917"/>
      <c r="BKW4092" s="917"/>
      <c r="BKX4092" s="917"/>
      <c r="BKY4092" s="917"/>
      <c r="BKZ4092" s="917"/>
      <c r="BLA4092" s="917"/>
      <c r="BLB4092" s="917"/>
      <c r="BLC4092" s="917"/>
      <c r="BLD4092" s="917"/>
      <c r="BLE4092" s="917"/>
      <c r="BLF4092" s="917"/>
      <c r="BLG4092" s="917"/>
      <c r="BLH4092" s="917"/>
      <c r="BLI4092" s="917"/>
      <c r="BLJ4092" s="917"/>
      <c r="BLK4092" s="917"/>
      <c r="BLL4092" s="917"/>
      <c r="BLM4092" s="917"/>
      <c r="BLN4092" s="917"/>
      <c r="BLO4092" s="917"/>
      <c r="BLP4092" s="917"/>
      <c r="BLQ4092" s="917"/>
      <c r="BLR4092" s="917"/>
      <c r="BLS4092" s="917"/>
      <c r="BLT4092" s="917"/>
      <c r="BLU4092" s="917" t="s">
        <v>78</v>
      </c>
      <c r="BLV4092" s="917"/>
      <c r="BLW4092" s="917"/>
      <c r="BLX4092" s="917"/>
      <c r="BLY4092" s="917"/>
      <c r="BLZ4092" s="917"/>
      <c r="BMA4092" s="917"/>
      <c r="BMB4092" s="917"/>
      <c r="BMC4092" s="917"/>
      <c r="BMD4092" s="917"/>
      <c r="BME4092" s="917"/>
      <c r="BMF4092" s="917"/>
      <c r="BMG4092" s="917"/>
      <c r="BMH4092" s="917"/>
      <c r="BMI4092" s="917"/>
      <c r="BMJ4092" s="917"/>
      <c r="BMK4092" s="917"/>
      <c r="BML4092" s="917"/>
      <c r="BMM4092" s="917"/>
      <c r="BMN4092" s="917"/>
      <c r="BMO4092" s="917"/>
      <c r="BMP4092" s="917"/>
      <c r="BMQ4092" s="917"/>
      <c r="BMR4092" s="917"/>
      <c r="BMS4092" s="917"/>
      <c r="BMT4092" s="917"/>
      <c r="BMU4092" s="917"/>
      <c r="BMV4092" s="917"/>
      <c r="BMW4092" s="917"/>
      <c r="BMX4092" s="917"/>
      <c r="BMY4092" s="917"/>
      <c r="BMZ4092" s="917"/>
      <c r="BNA4092" s="917" t="s">
        <v>78</v>
      </c>
      <c r="BNB4092" s="917"/>
      <c r="BNC4092" s="917"/>
      <c r="BND4092" s="917"/>
      <c r="BNE4092" s="917"/>
      <c r="BNF4092" s="917"/>
      <c r="BNG4092" s="917"/>
      <c r="BNH4092" s="917"/>
      <c r="BNI4092" s="917"/>
      <c r="BNJ4092" s="917"/>
      <c r="BNK4092" s="917"/>
      <c r="BNL4092" s="917"/>
      <c r="BNM4092" s="917"/>
      <c r="BNN4092" s="917"/>
      <c r="BNO4092" s="917"/>
      <c r="BNP4092" s="917"/>
      <c r="BNQ4092" s="917"/>
      <c r="BNR4092" s="917"/>
      <c r="BNS4092" s="917"/>
      <c r="BNT4092" s="917"/>
      <c r="BNU4092" s="917"/>
      <c r="BNV4092" s="917"/>
      <c r="BNW4092" s="917"/>
      <c r="BNX4092" s="917"/>
      <c r="BNY4092" s="917"/>
      <c r="BNZ4092" s="917"/>
      <c r="BOA4092" s="917"/>
      <c r="BOB4092" s="917"/>
      <c r="BOC4092" s="917"/>
      <c r="BOD4092" s="917"/>
      <c r="BOE4092" s="917"/>
      <c r="BOF4092" s="917"/>
      <c r="BOG4092" s="917" t="s">
        <v>78</v>
      </c>
      <c r="BOH4092" s="917"/>
      <c r="BOI4092" s="917"/>
      <c r="BOJ4092" s="917"/>
      <c r="BOK4092" s="917"/>
      <c r="BOL4092" s="917"/>
      <c r="BOM4092" s="917"/>
      <c r="BON4092" s="917"/>
      <c r="BOO4092" s="917"/>
      <c r="BOP4092" s="917"/>
      <c r="BOQ4092" s="917"/>
      <c r="BOR4092" s="917"/>
      <c r="BOS4092" s="917"/>
      <c r="BOT4092" s="917"/>
      <c r="BOU4092" s="917"/>
      <c r="BOV4092" s="917"/>
      <c r="BOW4092" s="917"/>
      <c r="BOX4092" s="917"/>
      <c r="BOY4092" s="917"/>
      <c r="BOZ4092" s="917"/>
      <c r="BPA4092" s="917"/>
      <c r="BPB4092" s="917"/>
      <c r="BPC4092" s="917"/>
      <c r="BPD4092" s="917"/>
      <c r="BPE4092" s="917"/>
      <c r="BPF4092" s="917"/>
      <c r="BPG4092" s="917"/>
      <c r="BPH4092" s="917"/>
      <c r="BPI4092" s="917"/>
      <c r="BPJ4092" s="917"/>
      <c r="BPK4092" s="917"/>
      <c r="BPL4092" s="917"/>
      <c r="BPM4092" s="917" t="s">
        <v>78</v>
      </c>
      <c r="BPN4092" s="917"/>
      <c r="BPO4092" s="917"/>
      <c r="BPP4092" s="917"/>
      <c r="BPQ4092" s="917"/>
      <c r="BPR4092" s="917"/>
      <c r="BPS4092" s="917"/>
      <c r="BPT4092" s="917"/>
      <c r="BPU4092" s="917"/>
      <c r="BPV4092" s="917"/>
      <c r="BPW4092" s="917"/>
      <c r="BPX4092" s="917"/>
      <c r="BPY4092" s="917"/>
      <c r="BPZ4092" s="917"/>
      <c r="BQA4092" s="917"/>
      <c r="BQB4092" s="917"/>
      <c r="BQC4092" s="917"/>
      <c r="BQD4092" s="917"/>
      <c r="BQE4092" s="917"/>
      <c r="BQF4092" s="917"/>
      <c r="BQG4092" s="917"/>
      <c r="BQH4092" s="917"/>
      <c r="BQI4092" s="917"/>
      <c r="BQJ4092" s="917"/>
      <c r="BQK4092" s="917"/>
      <c r="BQL4092" s="917"/>
      <c r="BQM4092" s="917"/>
      <c r="BQN4092" s="917"/>
      <c r="BQO4092" s="917"/>
      <c r="BQP4092" s="917"/>
      <c r="BQQ4092" s="917"/>
      <c r="BQR4092" s="917"/>
      <c r="BQS4092" s="917" t="s">
        <v>78</v>
      </c>
      <c r="BQT4092" s="917"/>
      <c r="BQU4092" s="917"/>
      <c r="BQV4092" s="917"/>
      <c r="BQW4092" s="917"/>
      <c r="BQX4092" s="917"/>
      <c r="BQY4092" s="917"/>
      <c r="BQZ4092" s="917"/>
      <c r="BRA4092" s="917"/>
      <c r="BRB4092" s="917"/>
      <c r="BRC4092" s="917"/>
      <c r="BRD4092" s="917"/>
      <c r="BRE4092" s="917"/>
      <c r="BRF4092" s="917"/>
      <c r="BRG4092" s="917"/>
      <c r="BRH4092" s="917"/>
      <c r="BRI4092" s="917"/>
      <c r="BRJ4092" s="917"/>
      <c r="BRK4092" s="917"/>
      <c r="BRL4092" s="917"/>
      <c r="BRM4092" s="917"/>
      <c r="BRN4092" s="917"/>
      <c r="BRO4092" s="917"/>
      <c r="BRP4092" s="917"/>
      <c r="BRQ4092" s="917"/>
      <c r="BRR4092" s="917"/>
      <c r="BRS4092" s="917"/>
      <c r="BRT4092" s="917"/>
      <c r="BRU4092" s="917"/>
      <c r="BRV4092" s="917"/>
      <c r="BRW4092" s="917"/>
      <c r="BRX4092" s="917"/>
      <c r="BRY4092" s="917" t="s">
        <v>78</v>
      </c>
      <c r="BRZ4092" s="917"/>
      <c r="BSA4092" s="917"/>
      <c r="BSB4092" s="917"/>
      <c r="BSC4092" s="917"/>
      <c r="BSD4092" s="917"/>
      <c r="BSE4092" s="917"/>
      <c r="BSF4092" s="917"/>
      <c r="BSG4092" s="917"/>
      <c r="BSH4092" s="917"/>
      <c r="BSI4092" s="917"/>
      <c r="BSJ4092" s="917"/>
      <c r="BSK4092" s="917"/>
      <c r="BSL4092" s="917"/>
      <c r="BSM4092" s="917"/>
      <c r="BSN4092" s="917"/>
      <c r="BSO4092" s="917"/>
      <c r="BSP4092" s="917"/>
      <c r="BSQ4092" s="917"/>
      <c r="BSR4092" s="917"/>
      <c r="BSS4092" s="917"/>
      <c r="BST4092" s="917"/>
      <c r="BSU4092" s="917"/>
      <c r="BSV4092" s="917"/>
      <c r="BSW4092" s="917"/>
      <c r="BSX4092" s="917"/>
      <c r="BSY4092" s="917"/>
      <c r="BSZ4092" s="917"/>
      <c r="BTA4092" s="917"/>
      <c r="BTB4092" s="917"/>
      <c r="BTC4092" s="917"/>
      <c r="BTD4092" s="917"/>
      <c r="BTE4092" s="917" t="s">
        <v>78</v>
      </c>
      <c r="BTF4092" s="917"/>
      <c r="BTG4092" s="917"/>
      <c r="BTH4092" s="917"/>
      <c r="BTI4092" s="917"/>
      <c r="BTJ4092" s="917"/>
      <c r="BTK4092" s="917"/>
      <c r="BTL4092" s="917"/>
      <c r="BTM4092" s="917"/>
      <c r="BTN4092" s="917"/>
      <c r="BTO4092" s="917"/>
      <c r="BTP4092" s="917"/>
      <c r="BTQ4092" s="917"/>
      <c r="BTR4092" s="917"/>
      <c r="BTS4092" s="917"/>
      <c r="BTT4092" s="917"/>
      <c r="BTU4092" s="917"/>
      <c r="BTV4092" s="917"/>
      <c r="BTW4092" s="917"/>
      <c r="BTX4092" s="917"/>
      <c r="BTY4092" s="917"/>
      <c r="BTZ4092" s="917"/>
      <c r="BUA4092" s="917"/>
      <c r="BUB4092" s="917"/>
      <c r="BUC4092" s="917"/>
      <c r="BUD4092" s="917"/>
      <c r="BUE4092" s="917"/>
      <c r="BUF4092" s="917"/>
      <c r="BUG4092" s="917"/>
      <c r="BUH4092" s="917"/>
      <c r="BUI4092" s="917"/>
      <c r="BUJ4092" s="917"/>
      <c r="BUK4092" s="917" t="s">
        <v>78</v>
      </c>
      <c r="BUL4092" s="917"/>
      <c r="BUM4092" s="917"/>
      <c r="BUN4092" s="917"/>
      <c r="BUO4092" s="917"/>
      <c r="BUP4092" s="917"/>
      <c r="BUQ4092" s="917"/>
      <c r="BUR4092" s="917"/>
      <c r="BUS4092" s="917"/>
      <c r="BUT4092" s="917"/>
      <c r="BUU4092" s="917"/>
      <c r="BUV4092" s="917"/>
      <c r="BUW4092" s="917"/>
      <c r="BUX4092" s="917"/>
      <c r="BUY4092" s="917"/>
      <c r="BUZ4092" s="917"/>
      <c r="BVA4092" s="917"/>
      <c r="BVB4092" s="917"/>
      <c r="BVC4092" s="917"/>
      <c r="BVD4092" s="917"/>
      <c r="BVE4092" s="917"/>
      <c r="BVF4092" s="917"/>
      <c r="BVG4092" s="917"/>
      <c r="BVH4092" s="917"/>
      <c r="BVI4092" s="917"/>
      <c r="BVJ4092" s="917"/>
      <c r="BVK4092" s="917"/>
      <c r="BVL4092" s="917"/>
      <c r="BVM4092" s="917"/>
      <c r="BVN4092" s="917"/>
      <c r="BVO4092" s="917"/>
      <c r="BVP4092" s="917"/>
      <c r="BVQ4092" s="917" t="s">
        <v>78</v>
      </c>
      <c r="BVR4092" s="917"/>
      <c r="BVS4092" s="917"/>
      <c r="BVT4092" s="917"/>
      <c r="BVU4092" s="917"/>
      <c r="BVV4092" s="917"/>
      <c r="BVW4092" s="917"/>
      <c r="BVX4092" s="917"/>
      <c r="BVY4092" s="917"/>
      <c r="BVZ4092" s="917"/>
      <c r="BWA4092" s="917"/>
      <c r="BWB4092" s="917"/>
      <c r="BWC4092" s="917"/>
      <c r="BWD4092" s="917"/>
      <c r="BWE4092" s="917"/>
      <c r="BWF4092" s="917"/>
      <c r="BWG4092" s="917"/>
      <c r="BWH4092" s="917"/>
      <c r="BWI4092" s="917"/>
      <c r="BWJ4092" s="917"/>
      <c r="BWK4092" s="917"/>
      <c r="BWL4092" s="917"/>
      <c r="BWM4092" s="917"/>
      <c r="BWN4092" s="917"/>
      <c r="BWO4092" s="917"/>
      <c r="BWP4092" s="917"/>
      <c r="BWQ4092" s="917"/>
      <c r="BWR4092" s="917"/>
      <c r="BWS4092" s="917"/>
      <c r="BWT4092" s="917"/>
      <c r="BWU4092" s="917"/>
      <c r="BWV4092" s="917"/>
      <c r="BWW4092" s="917" t="s">
        <v>78</v>
      </c>
      <c r="BWX4092" s="917"/>
      <c r="BWY4092" s="917"/>
      <c r="BWZ4092" s="917"/>
      <c r="BXA4092" s="917"/>
      <c r="BXB4092" s="917"/>
      <c r="BXC4092" s="917"/>
      <c r="BXD4092" s="917"/>
      <c r="BXE4092" s="917"/>
      <c r="BXF4092" s="917"/>
      <c r="BXG4092" s="917"/>
      <c r="BXH4092" s="917"/>
      <c r="BXI4092" s="917"/>
      <c r="BXJ4092" s="917"/>
      <c r="BXK4092" s="917"/>
      <c r="BXL4092" s="917"/>
      <c r="BXM4092" s="917"/>
      <c r="BXN4092" s="917"/>
      <c r="BXO4092" s="917"/>
      <c r="BXP4092" s="917"/>
      <c r="BXQ4092" s="917"/>
      <c r="BXR4092" s="917"/>
      <c r="BXS4092" s="917"/>
      <c r="BXT4092" s="917"/>
      <c r="BXU4092" s="917"/>
      <c r="BXV4092" s="917"/>
      <c r="BXW4092" s="917"/>
      <c r="BXX4092" s="917"/>
      <c r="BXY4092" s="917"/>
      <c r="BXZ4092" s="917"/>
      <c r="BYA4092" s="917"/>
      <c r="BYB4092" s="917"/>
      <c r="BYC4092" s="917" t="s">
        <v>78</v>
      </c>
      <c r="BYD4092" s="917"/>
      <c r="BYE4092" s="917"/>
      <c r="BYF4092" s="917"/>
      <c r="BYG4092" s="917"/>
      <c r="BYH4092" s="917"/>
      <c r="BYI4092" s="917"/>
      <c r="BYJ4092" s="917"/>
      <c r="BYK4092" s="917"/>
      <c r="BYL4092" s="917"/>
      <c r="BYM4092" s="917"/>
      <c r="BYN4092" s="917"/>
      <c r="BYO4092" s="917"/>
      <c r="BYP4092" s="917"/>
      <c r="BYQ4092" s="917"/>
      <c r="BYR4092" s="917"/>
      <c r="BYS4092" s="917"/>
      <c r="BYT4092" s="917"/>
      <c r="BYU4092" s="917"/>
      <c r="BYV4092" s="917"/>
      <c r="BYW4092" s="917"/>
      <c r="BYX4092" s="917"/>
      <c r="BYY4092" s="917"/>
      <c r="BYZ4092" s="917"/>
      <c r="BZA4092" s="917"/>
      <c r="BZB4092" s="917"/>
      <c r="BZC4092" s="917"/>
      <c r="BZD4092" s="917"/>
      <c r="BZE4092" s="917"/>
      <c r="BZF4092" s="917"/>
      <c r="BZG4092" s="917"/>
      <c r="BZH4092" s="917"/>
      <c r="BZI4092" s="917" t="s">
        <v>78</v>
      </c>
      <c r="BZJ4092" s="917"/>
      <c r="BZK4092" s="917"/>
      <c r="BZL4092" s="917"/>
      <c r="BZM4092" s="917"/>
      <c r="BZN4092" s="917"/>
      <c r="BZO4092" s="917"/>
      <c r="BZP4092" s="917"/>
      <c r="BZQ4092" s="917"/>
      <c r="BZR4092" s="917"/>
      <c r="BZS4092" s="917"/>
      <c r="BZT4092" s="917"/>
      <c r="BZU4092" s="917"/>
      <c r="BZV4092" s="917"/>
      <c r="BZW4092" s="917"/>
      <c r="BZX4092" s="917"/>
      <c r="BZY4092" s="917"/>
      <c r="BZZ4092" s="917"/>
      <c r="CAA4092" s="917"/>
      <c r="CAB4092" s="917"/>
      <c r="CAC4092" s="917"/>
      <c r="CAD4092" s="917"/>
      <c r="CAE4092" s="917"/>
      <c r="CAF4092" s="917"/>
      <c r="CAG4092" s="917"/>
      <c r="CAH4092" s="917"/>
      <c r="CAI4092" s="917"/>
      <c r="CAJ4092" s="917"/>
      <c r="CAK4092" s="917"/>
      <c r="CAL4092" s="917"/>
      <c r="CAM4092" s="917"/>
      <c r="CAN4092" s="917"/>
      <c r="CAO4092" s="917" t="s">
        <v>78</v>
      </c>
      <c r="CAP4092" s="917"/>
      <c r="CAQ4092" s="917"/>
      <c r="CAR4092" s="917"/>
      <c r="CAS4092" s="917"/>
      <c r="CAT4092" s="917"/>
      <c r="CAU4092" s="917"/>
      <c r="CAV4092" s="917"/>
      <c r="CAW4092" s="917"/>
      <c r="CAX4092" s="917"/>
      <c r="CAY4092" s="917"/>
      <c r="CAZ4092" s="917"/>
      <c r="CBA4092" s="917"/>
      <c r="CBB4092" s="917"/>
      <c r="CBC4092" s="917"/>
      <c r="CBD4092" s="917"/>
      <c r="CBE4092" s="917"/>
      <c r="CBF4092" s="917"/>
      <c r="CBG4092" s="917"/>
      <c r="CBH4092" s="917"/>
      <c r="CBI4092" s="917"/>
      <c r="CBJ4092" s="917"/>
      <c r="CBK4092" s="917"/>
      <c r="CBL4092" s="917"/>
      <c r="CBM4092" s="917"/>
      <c r="CBN4092" s="917"/>
      <c r="CBO4092" s="917"/>
      <c r="CBP4092" s="917"/>
      <c r="CBQ4092" s="917"/>
      <c r="CBR4092" s="917"/>
      <c r="CBS4092" s="917"/>
      <c r="CBT4092" s="917"/>
      <c r="CBU4092" s="917" t="s">
        <v>78</v>
      </c>
      <c r="CBV4092" s="917"/>
      <c r="CBW4092" s="917"/>
      <c r="CBX4092" s="917"/>
      <c r="CBY4092" s="917"/>
      <c r="CBZ4092" s="917"/>
      <c r="CCA4092" s="917"/>
      <c r="CCB4092" s="917"/>
      <c r="CCC4092" s="917"/>
      <c r="CCD4092" s="917"/>
      <c r="CCE4092" s="917"/>
      <c r="CCF4092" s="917"/>
      <c r="CCG4092" s="917"/>
      <c r="CCH4092" s="917"/>
      <c r="CCI4092" s="917"/>
      <c r="CCJ4092" s="917"/>
      <c r="CCK4092" s="917"/>
      <c r="CCL4092" s="917"/>
      <c r="CCM4092" s="917"/>
      <c r="CCN4092" s="917"/>
      <c r="CCO4092" s="917"/>
      <c r="CCP4092" s="917"/>
      <c r="CCQ4092" s="917"/>
      <c r="CCR4092" s="917"/>
      <c r="CCS4092" s="917"/>
      <c r="CCT4092" s="917"/>
      <c r="CCU4092" s="917"/>
      <c r="CCV4092" s="917"/>
      <c r="CCW4092" s="917"/>
      <c r="CCX4092" s="917"/>
      <c r="CCY4092" s="917"/>
      <c r="CCZ4092" s="917"/>
      <c r="CDA4092" s="917" t="s">
        <v>78</v>
      </c>
      <c r="CDB4092" s="917"/>
      <c r="CDC4092" s="917"/>
      <c r="CDD4092" s="917"/>
      <c r="CDE4092" s="917"/>
      <c r="CDF4092" s="917"/>
      <c r="CDG4092" s="917"/>
      <c r="CDH4092" s="917"/>
      <c r="CDI4092" s="917"/>
      <c r="CDJ4092" s="917"/>
      <c r="CDK4092" s="917"/>
      <c r="CDL4092" s="917"/>
      <c r="CDM4092" s="917"/>
      <c r="CDN4092" s="917"/>
      <c r="CDO4092" s="917"/>
      <c r="CDP4092" s="917"/>
      <c r="CDQ4092" s="917"/>
      <c r="CDR4092" s="917"/>
      <c r="CDS4092" s="917"/>
      <c r="CDT4092" s="917"/>
      <c r="CDU4092" s="917"/>
      <c r="CDV4092" s="917"/>
      <c r="CDW4092" s="917"/>
      <c r="CDX4092" s="917"/>
      <c r="CDY4092" s="917"/>
      <c r="CDZ4092" s="917"/>
      <c r="CEA4092" s="917"/>
      <c r="CEB4092" s="917"/>
      <c r="CEC4092" s="917"/>
      <c r="CED4092" s="917"/>
      <c r="CEE4092" s="917"/>
      <c r="CEF4092" s="917"/>
      <c r="CEG4092" s="917" t="s">
        <v>78</v>
      </c>
      <c r="CEH4092" s="917"/>
      <c r="CEI4092" s="917"/>
      <c r="CEJ4092" s="917"/>
      <c r="CEK4092" s="917"/>
      <c r="CEL4092" s="917"/>
      <c r="CEM4092" s="917"/>
      <c r="CEN4092" s="917"/>
      <c r="CEO4092" s="917"/>
      <c r="CEP4092" s="917"/>
      <c r="CEQ4092" s="917"/>
      <c r="CER4092" s="917"/>
      <c r="CES4092" s="917"/>
      <c r="CET4092" s="917"/>
      <c r="CEU4092" s="917"/>
      <c r="CEV4092" s="917"/>
      <c r="CEW4092" s="917"/>
      <c r="CEX4092" s="917"/>
      <c r="CEY4092" s="917"/>
      <c r="CEZ4092" s="917"/>
      <c r="CFA4092" s="917"/>
      <c r="CFB4092" s="917"/>
      <c r="CFC4092" s="917"/>
      <c r="CFD4092" s="917"/>
      <c r="CFE4092" s="917"/>
      <c r="CFF4092" s="917"/>
      <c r="CFG4092" s="917"/>
      <c r="CFH4092" s="917"/>
      <c r="CFI4092" s="917"/>
      <c r="CFJ4092" s="917"/>
      <c r="CFK4092" s="917"/>
      <c r="CFL4092" s="917"/>
      <c r="CFM4092" s="917" t="s">
        <v>78</v>
      </c>
      <c r="CFN4092" s="917"/>
      <c r="CFO4092" s="917"/>
      <c r="CFP4092" s="917"/>
      <c r="CFQ4092" s="917"/>
      <c r="CFR4092" s="917"/>
      <c r="CFS4092" s="917"/>
      <c r="CFT4092" s="917"/>
      <c r="CFU4092" s="917"/>
      <c r="CFV4092" s="917"/>
      <c r="CFW4092" s="917"/>
      <c r="CFX4092" s="917"/>
      <c r="CFY4092" s="917"/>
      <c r="CFZ4092" s="917"/>
      <c r="CGA4092" s="917"/>
      <c r="CGB4092" s="917"/>
      <c r="CGC4092" s="917"/>
      <c r="CGD4092" s="917"/>
      <c r="CGE4092" s="917"/>
      <c r="CGF4092" s="917"/>
      <c r="CGG4092" s="917"/>
      <c r="CGH4092" s="917"/>
      <c r="CGI4092" s="917"/>
      <c r="CGJ4092" s="917"/>
      <c r="CGK4092" s="917"/>
      <c r="CGL4092" s="917"/>
      <c r="CGM4092" s="917"/>
      <c r="CGN4092" s="917"/>
      <c r="CGO4092" s="917"/>
      <c r="CGP4092" s="917"/>
      <c r="CGQ4092" s="917"/>
      <c r="CGR4092" s="917"/>
      <c r="CGS4092" s="917" t="s">
        <v>78</v>
      </c>
      <c r="CGT4092" s="917"/>
      <c r="CGU4092" s="917"/>
      <c r="CGV4092" s="917"/>
      <c r="CGW4092" s="917"/>
      <c r="CGX4092" s="917"/>
      <c r="CGY4092" s="917"/>
      <c r="CGZ4092" s="917"/>
      <c r="CHA4092" s="917"/>
      <c r="CHB4092" s="917"/>
      <c r="CHC4092" s="917"/>
      <c r="CHD4092" s="917"/>
      <c r="CHE4092" s="917"/>
      <c r="CHF4092" s="917"/>
      <c r="CHG4092" s="917"/>
      <c r="CHH4092" s="917"/>
      <c r="CHI4092" s="917"/>
      <c r="CHJ4092" s="917"/>
      <c r="CHK4092" s="917"/>
      <c r="CHL4092" s="917"/>
      <c r="CHM4092" s="917"/>
      <c r="CHN4092" s="917"/>
      <c r="CHO4092" s="917"/>
      <c r="CHP4092" s="917"/>
      <c r="CHQ4092" s="917"/>
      <c r="CHR4092" s="917"/>
      <c r="CHS4092" s="917"/>
      <c r="CHT4092" s="917"/>
      <c r="CHU4092" s="917"/>
      <c r="CHV4092" s="917"/>
      <c r="CHW4092" s="917"/>
      <c r="CHX4092" s="917"/>
      <c r="CHY4092" s="917" t="s">
        <v>78</v>
      </c>
      <c r="CHZ4092" s="917"/>
      <c r="CIA4092" s="917"/>
      <c r="CIB4092" s="917"/>
      <c r="CIC4092" s="917"/>
      <c r="CID4092" s="917"/>
      <c r="CIE4092" s="917"/>
      <c r="CIF4092" s="917"/>
      <c r="CIG4092" s="917"/>
      <c r="CIH4092" s="917"/>
      <c r="CII4092" s="917"/>
      <c r="CIJ4092" s="917"/>
      <c r="CIK4092" s="917"/>
      <c r="CIL4092" s="917"/>
      <c r="CIM4092" s="917"/>
      <c r="CIN4092" s="917"/>
      <c r="CIO4092" s="917"/>
      <c r="CIP4092" s="917"/>
      <c r="CIQ4092" s="917"/>
      <c r="CIR4092" s="917"/>
      <c r="CIS4092" s="917"/>
      <c r="CIT4092" s="917"/>
      <c r="CIU4092" s="917"/>
      <c r="CIV4092" s="917"/>
      <c r="CIW4092" s="917"/>
      <c r="CIX4092" s="917"/>
      <c r="CIY4092" s="917"/>
      <c r="CIZ4092" s="917"/>
      <c r="CJA4092" s="917"/>
      <c r="CJB4092" s="917"/>
      <c r="CJC4092" s="917"/>
      <c r="CJD4092" s="917"/>
      <c r="CJE4092" s="917" t="s">
        <v>78</v>
      </c>
      <c r="CJF4092" s="917"/>
      <c r="CJG4092" s="917"/>
      <c r="CJH4092" s="917"/>
      <c r="CJI4092" s="917"/>
      <c r="CJJ4092" s="917"/>
      <c r="CJK4092" s="917"/>
      <c r="CJL4092" s="917"/>
      <c r="CJM4092" s="917"/>
      <c r="CJN4092" s="917"/>
      <c r="CJO4092" s="917"/>
      <c r="CJP4092" s="917"/>
      <c r="CJQ4092" s="917"/>
      <c r="CJR4092" s="917"/>
      <c r="CJS4092" s="917"/>
      <c r="CJT4092" s="917"/>
      <c r="CJU4092" s="917"/>
      <c r="CJV4092" s="917"/>
      <c r="CJW4092" s="917"/>
      <c r="CJX4092" s="917"/>
      <c r="CJY4092" s="917"/>
      <c r="CJZ4092" s="917"/>
      <c r="CKA4092" s="917"/>
      <c r="CKB4092" s="917"/>
      <c r="CKC4092" s="917"/>
      <c r="CKD4092" s="917"/>
      <c r="CKE4092" s="917"/>
      <c r="CKF4092" s="917"/>
      <c r="CKG4092" s="917"/>
      <c r="CKH4092" s="917"/>
      <c r="CKI4092" s="917"/>
      <c r="CKJ4092" s="917"/>
      <c r="CKK4092" s="917" t="s">
        <v>78</v>
      </c>
      <c r="CKL4092" s="917"/>
      <c r="CKM4092" s="917"/>
      <c r="CKN4092" s="917"/>
      <c r="CKO4092" s="917"/>
      <c r="CKP4092" s="917"/>
      <c r="CKQ4092" s="917"/>
      <c r="CKR4092" s="917"/>
      <c r="CKS4092" s="917"/>
      <c r="CKT4092" s="917"/>
      <c r="CKU4092" s="917"/>
      <c r="CKV4092" s="917"/>
      <c r="CKW4092" s="917"/>
      <c r="CKX4092" s="917"/>
      <c r="CKY4092" s="917"/>
      <c r="CKZ4092" s="917"/>
      <c r="CLA4092" s="917"/>
      <c r="CLB4092" s="917"/>
      <c r="CLC4092" s="917"/>
      <c r="CLD4092" s="917"/>
      <c r="CLE4092" s="917"/>
      <c r="CLF4092" s="917"/>
      <c r="CLG4092" s="917"/>
      <c r="CLH4092" s="917"/>
      <c r="CLI4092" s="917"/>
      <c r="CLJ4092" s="917"/>
      <c r="CLK4092" s="917"/>
      <c r="CLL4092" s="917"/>
      <c r="CLM4092" s="917"/>
      <c r="CLN4092" s="917"/>
      <c r="CLO4092" s="917"/>
      <c r="CLP4092" s="917"/>
      <c r="CLQ4092" s="917" t="s">
        <v>78</v>
      </c>
      <c r="CLR4092" s="917"/>
      <c r="CLS4092" s="917"/>
      <c r="CLT4092" s="917"/>
      <c r="CLU4092" s="917"/>
      <c r="CLV4092" s="917"/>
      <c r="CLW4092" s="917"/>
      <c r="CLX4092" s="917"/>
      <c r="CLY4092" s="917"/>
      <c r="CLZ4092" s="917"/>
      <c r="CMA4092" s="917"/>
      <c r="CMB4092" s="917"/>
      <c r="CMC4092" s="917"/>
      <c r="CMD4092" s="917"/>
      <c r="CME4092" s="917"/>
      <c r="CMF4092" s="917"/>
      <c r="CMG4092" s="917"/>
      <c r="CMH4092" s="917"/>
      <c r="CMI4092" s="917"/>
      <c r="CMJ4092" s="917"/>
      <c r="CMK4092" s="917"/>
      <c r="CML4092" s="917"/>
      <c r="CMM4092" s="917"/>
      <c r="CMN4092" s="917"/>
      <c r="CMO4092" s="917"/>
      <c r="CMP4092" s="917"/>
      <c r="CMQ4092" s="917"/>
      <c r="CMR4092" s="917"/>
      <c r="CMS4092" s="917"/>
      <c r="CMT4092" s="917"/>
      <c r="CMU4092" s="917"/>
      <c r="CMV4092" s="917"/>
      <c r="CMW4092" s="917" t="s">
        <v>78</v>
      </c>
      <c r="CMX4092" s="917"/>
      <c r="CMY4092" s="917"/>
      <c r="CMZ4092" s="917"/>
      <c r="CNA4092" s="917"/>
      <c r="CNB4092" s="917"/>
      <c r="CNC4092" s="917"/>
      <c r="CND4092" s="917"/>
      <c r="CNE4092" s="917"/>
      <c r="CNF4092" s="917"/>
      <c r="CNG4092" s="917"/>
      <c r="CNH4092" s="917"/>
      <c r="CNI4092" s="917"/>
      <c r="CNJ4092" s="917"/>
      <c r="CNK4092" s="917"/>
      <c r="CNL4092" s="917"/>
      <c r="CNM4092" s="917"/>
      <c r="CNN4092" s="917"/>
      <c r="CNO4092" s="917"/>
      <c r="CNP4092" s="917"/>
      <c r="CNQ4092" s="917"/>
      <c r="CNR4092" s="917"/>
      <c r="CNS4092" s="917"/>
      <c r="CNT4092" s="917"/>
      <c r="CNU4092" s="917"/>
      <c r="CNV4092" s="917"/>
      <c r="CNW4092" s="917"/>
      <c r="CNX4092" s="917"/>
      <c r="CNY4092" s="917"/>
      <c r="CNZ4092" s="917"/>
      <c r="COA4092" s="917"/>
      <c r="COB4092" s="917"/>
      <c r="COC4092" s="917" t="s">
        <v>78</v>
      </c>
      <c r="COD4092" s="917"/>
      <c r="COE4092" s="917"/>
      <c r="COF4092" s="917"/>
      <c r="COG4092" s="917"/>
      <c r="COH4092" s="917"/>
      <c r="COI4092" s="917"/>
      <c r="COJ4092" s="917"/>
      <c r="COK4092" s="917"/>
      <c r="COL4092" s="917"/>
      <c r="COM4092" s="917"/>
      <c r="CON4092" s="917"/>
      <c r="COO4092" s="917"/>
      <c r="COP4092" s="917"/>
      <c r="COQ4092" s="917"/>
      <c r="COR4092" s="917"/>
      <c r="COS4092" s="917"/>
      <c r="COT4092" s="917"/>
      <c r="COU4092" s="917"/>
      <c r="COV4092" s="917"/>
      <c r="COW4092" s="917"/>
      <c r="COX4092" s="917"/>
      <c r="COY4092" s="917"/>
      <c r="COZ4092" s="917"/>
      <c r="CPA4092" s="917"/>
      <c r="CPB4092" s="917"/>
      <c r="CPC4092" s="917"/>
      <c r="CPD4092" s="917"/>
      <c r="CPE4092" s="917"/>
      <c r="CPF4092" s="917"/>
      <c r="CPG4092" s="917"/>
      <c r="CPH4092" s="917"/>
      <c r="CPI4092" s="917" t="s">
        <v>78</v>
      </c>
      <c r="CPJ4092" s="917"/>
      <c r="CPK4092" s="917"/>
      <c r="CPL4092" s="917"/>
      <c r="CPM4092" s="917"/>
      <c r="CPN4092" s="917"/>
      <c r="CPO4092" s="917"/>
      <c r="CPP4092" s="917"/>
      <c r="CPQ4092" s="917"/>
      <c r="CPR4092" s="917"/>
      <c r="CPS4092" s="917"/>
      <c r="CPT4092" s="917"/>
      <c r="CPU4092" s="917"/>
      <c r="CPV4092" s="917"/>
      <c r="CPW4092" s="917"/>
      <c r="CPX4092" s="917"/>
      <c r="CPY4092" s="917"/>
      <c r="CPZ4092" s="917"/>
      <c r="CQA4092" s="917"/>
      <c r="CQB4092" s="917"/>
      <c r="CQC4092" s="917"/>
      <c r="CQD4092" s="917"/>
      <c r="CQE4092" s="917"/>
      <c r="CQF4092" s="917"/>
      <c r="CQG4092" s="917"/>
      <c r="CQH4092" s="917"/>
      <c r="CQI4092" s="917"/>
      <c r="CQJ4092" s="917"/>
      <c r="CQK4092" s="917"/>
      <c r="CQL4092" s="917"/>
      <c r="CQM4092" s="917"/>
      <c r="CQN4092" s="917"/>
      <c r="CQO4092" s="917" t="s">
        <v>78</v>
      </c>
      <c r="CQP4092" s="917"/>
      <c r="CQQ4092" s="917"/>
      <c r="CQR4092" s="917"/>
      <c r="CQS4092" s="917"/>
      <c r="CQT4092" s="917"/>
      <c r="CQU4092" s="917"/>
      <c r="CQV4092" s="917"/>
      <c r="CQW4092" s="917"/>
      <c r="CQX4092" s="917"/>
      <c r="CQY4092" s="917"/>
      <c r="CQZ4092" s="917"/>
      <c r="CRA4092" s="917"/>
      <c r="CRB4092" s="917"/>
      <c r="CRC4092" s="917"/>
      <c r="CRD4092" s="917"/>
      <c r="CRE4092" s="917"/>
      <c r="CRF4092" s="917"/>
      <c r="CRG4092" s="917"/>
      <c r="CRH4092" s="917"/>
      <c r="CRI4092" s="917"/>
      <c r="CRJ4092" s="917"/>
      <c r="CRK4092" s="917"/>
      <c r="CRL4092" s="917"/>
      <c r="CRM4092" s="917"/>
      <c r="CRN4092" s="917"/>
      <c r="CRO4092" s="917"/>
      <c r="CRP4092" s="917"/>
      <c r="CRQ4092" s="917"/>
      <c r="CRR4092" s="917"/>
      <c r="CRS4092" s="917"/>
      <c r="CRT4092" s="917"/>
      <c r="CRU4092" s="917" t="s">
        <v>78</v>
      </c>
      <c r="CRV4092" s="917"/>
      <c r="CRW4092" s="917"/>
      <c r="CRX4092" s="917"/>
      <c r="CRY4092" s="917"/>
      <c r="CRZ4092" s="917"/>
      <c r="CSA4092" s="917"/>
      <c r="CSB4092" s="917"/>
      <c r="CSC4092" s="917"/>
      <c r="CSD4092" s="917"/>
      <c r="CSE4092" s="917"/>
      <c r="CSF4092" s="917"/>
      <c r="CSG4092" s="917"/>
      <c r="CSH4092" s="917"/>
      <c r="CSI4092" s="917"/>
      <c r="CSJ4092" s="917"/>
      <c r="CSK4092" s="917"/>
      <c r="CSL4092" s="917"/>
      <c r="CSM4092" s="917"/>
      <c r="CSN4092" s="917"/>
      <c r="CSO4092" s="917"/>
      <c r="CSP4092" s="917"/>
      <c r="CSQ4092" s="917"/>
      <c r="CSR4092" s="917"/>
      <c r="CSS4092" s="917"/>
      <c r="CST4092" s="917"/>
      <c r="CSU4092" s="917"/>
      <c r="CSV4092" s="917"/>
      <c r="CSW4092" s="917"/>
      <c r="CSX4092" s="917"/>
      <c r="CSY4092" s="917"/>
      <c r="CSZ4092" s="917"/>
      <c r="CTA4092" s="917" t="s">
        <v>78</v>
      </c>
      <c r="CTB4092" s="917"/>
      <c r="CTC4092" s="917"/>
      <c r="CTD4092" s="917"/>
      <c r="CTE4092" s="917"/>
      <c r="CTF4092" s="917"/>
      <c r="CTG4092" s="917"/>
      <c r="CTH4092" s="917"/>
      <c r="CTI4092" s="917"/>
      <c r="CTJ4092" s="917"/>
      <c r="CTK4092" s="917"/>
      <c r="CTL4092" s="917"/>
      <c r="CTM4092" s="917"/>
      <c r="CTN4092" s="917"/>
      <c r="CTO4092" s="917"/>
      <c r="CTP4092" s="917"/>
      <c r="CTQ4092" s="917"/>
      <c r="CTR4092" s="917"/>
      <c r="CTS4092" s="917"/>
      <c r="CTT4092" s="917"/>
      <c r="CTU4092" s="917"/>
      <c r="CTV4092" s="917"/>
      <c r="CTW4092" s="917"/>
      <c r="CTX4092" s="917"/>
      <c r="CTY4092" s="917"/>
      <c r="CTZ4092" s="917"/>
      <c r="CUA4092" s="917"/>
      <c r="CUB4092" s="917"/>
      <c r="CUC4092" s="917"/>
      <c r="CUD4092" s="917"/>
      <c r="CUE4092" s="917"/>
      <c r="CUF4092" s="917"/>
      <c r="CUG4092" s="917" t="s">
        <v>78</v>
      </c>
      <c r="CUH4092" s="917"/>
      <c r="CUI4092" s="917"/>
      <c r="CUJ4092" s="917"/>
      <c r="CUK4092" s="917"/>
      <c r="CUL4092" s="917"/>
      <c r="CUM4092" s="917"/>
      <c r="CUN4092" s="917"/>
      <c r="CUO4092" s="917"/>
      <c r="CUP4092" s="917"/>
      <c r="CUQ4092" s="917"/>
      <c r="CUR4092" s="917"/>
      <c r="CUS4092" s="917"/>
      <c r="CUT4092" s="917"/>
      <c r="CUU4092" s="917"/>
      <c r="CUV4092" s="917"/>
      <c r="CUW4092" s="917"/>
      <c r="CUX4092" s="917"/>
      <c r="CUY4092" s="917"/>
      <c r="CUZ4092" s="917"/>
      <c r="CVA4092" s="917"/>
      <c r="CVB4092" s="917"/>
      <c r="CVC4092" s="917"/>
      <c r="CVD4092" s="917"/>
      <c r="CVE4092" s="917"/>
      <c r="CVF4092" s="917"/>
      <c r="CVG4092" s="917"/>
      <c r="CVH4092" s="917"/>
      <c r="CVI4092" s="917"/>
      <c r="CVJ4092" s="917"/>
      <c r="CVK4092" s="917"/>
      <c r="CVL4092" s="917"/>
      <c r="CVM4092" s="917" t="s">
        <v>78</v>
      </c>
      <c r="CVN4092" s="917"/>
      <c r="CVO4092" s="917"/>
      <c r="CVP4092" s="917"/>
      <c r="CVQ4092" s="917"/>
      <c r="CVR4092" s="917"/>
      <c r="CVS4092" s="917"/>
      <c r="CVT4092" s="917"/>
      <c r="CVU4092" s="917"/>
      <c r="CVV4092" s="917"/>
      <c r="CVW4092" s="917"/>
      <c r="CVX4092" s="917"/>
      <c r="CVY4092" s="917"/>
      <c r="CVZ4092" s="917"/>
      <c r="CWA4092" s="917"/>
      <c r="CWB4092" s="917"/>
      <c r="CWC4092" s="917"/>
      <c r="CWD4092" s="917"/>
      <c r="CWE4092" s="917"/>
      <c r="CWF4092" s="917"/>
      <c r="CWG4092" s="917"/>
      <c r="CWH4092" s="917"/>
      <c r="CWI4092" s="917"/>
      <c r="CWJ4092" s="917"/>
      <c r="CWK4092" s="917"/>
      <c r="CWL4092" s="917"/>
      <c r="CWM4092" s="917"/>
      <c r="CWN4092" s="917"/>
      <c r="CWO4092" s="917"/>
      <c r="CWP4092" s="917"/>
      <c r="CWQ4092" s="917"/>
      <c r="CWR4092" s="917"/>
      <c r="CWS4092" s="917" t="s">
        <v>78</v>
      </c>
      <c r="CWT4092" s="917"/>
      <c r="CWU4092" s="917"/>
      <c r="CWV4092" s="917"/>
      <c r="CWW4092" s="917"/>
      <c r="CWX4092" s="917"/>
      <c r="CWY4092" s="917"/>
      <c r="CWZ4092" s="917"/>
      <c r="CXA4092" s="917"/>
      <c r="CXB4092" s="917"/>
      <c r="CXC4092" s="917"/>
      <c r="CXD4092" s="917"/>
      <c r="CXE4092" s="917"/>
      <c r="CXF4092" s="917"/>
      <c r="CXG4092" s="917"/>
      <c r="CXH4092" s="917"/>
      <c r="CXI4092" s="917"/>
      <c r="CXJ4092" s="917"/>
      <c r="CXK4092" s="917"/>
      <c r="CXL4092" s="917"/>
      <c r="CXM4092" s="917"/>
      <c r="CXN4092" s="917"/>
      <c r="CXO4092" s="917"/>
      <c r="CXP4092" s="917"/>
      <c r="CXQ4092" s="917"/>
      <c r="CXR4092" s="917"/>
      <c r="CXS4092" s="917"/>
      <c r="CXT4092" s="917"/>
      <c r="CXU4092" s="917"/>
      <c r="CXV4092" s="917"/>
      <c r="CXW4092" s="917"/>
      <c r="CXX4092" s="917"/>
      <c r="CXY4092" s="917" t="s">
        <v>78</v>
      </c>
      <c r="CXZ4092" s="917"/>
      <c r="CYA4092" s="917"/>
      <c r="CYB4092" s="917"/>
      <c r="CYC4092" s="917"/>
      <c r="CYD4092" s="917"/>
      <c r="CYE4092" s="917"/>
      <c r="CYF4092" s="917"/>
      <c r="CYG4092" s="917"/>
      <c r="CYH4092" s="917"/>
      <c r="CYI4092" s="917"/>
      <c r="CYJ4092" s="917"/>
      <c r="CYK4092" s="917"/>
      <c r="CYL4092" s="917"/>
      <c r="CYM4092" s="917"/>
      <c r="CYN4092" s="917"/>
      <c r="CYO4092" s="917"/>
      <c r="CYP4092" s="917"/>
      <c r="CYQ4092" s="917"/>
      <c r="CYR4092" s="917"/>
      <c r="CYS4092" s="917"/>
      <c r="CYT4092" s="917"/>
      <c r="CYU4092" s="917"/>
      <c r="CYV4092" s="917"/>
      <c r="CYW4092" s="917"/>
      <c r="CYX4092" s="917"/>
      <c r="CYY4092" s="917"/>
      <c r="CYZ4092" s="917"/>
      <c r="CZA4092" s="917"/>
      <c r="CZB4092" s="917"/>
      <c r="CZC4092" s="917"/>
      <c r="CZD4092" s="917"/>
      <c r="CZE4092" s="917" t="s">
        <v>78</v>
      </c>
      <c r="CZF4092" s="917"/>
      <c r="CZG4092" s="917"/>
      <c r="CZH4092" s="917"/>
      <c r="CZI4092" s="917"/>
      <c r="CZJ4092" s="917"/>
      <c r="CZK4092" s="917"/>
      <c r="CZL4092" s="917"/>
      <c r="CZM4092" s="917"/>
      <c r="CZN4092" s="917"/>
      <c r="CZO4092" s="917"/>
      <c r="CZP4092" s="917"/>
      <c r="CZQ4092" s="917"/>
      <c r="CZR4092" s="917"/>
      <c r="CZS4092" s="917"/>
      <c r="CZT4092" s="917"/>
      <c r="CZU4092" s="917"/>
      <c r="CZV4092" s="917"/>
      <c r="CZW4092" s="917"/>
      <c r="CZX4092" s="917"/>
      <c r="CZY4092" s="917"/>
      <c r="CZZ4092" s="917"/>
      <c r="DAA4092" s="917"/>
      <c r="DAB4092" s="917"/>
      <c r="DAC4092" s="917"/>
      <c r="DAD4092" s="917"/>
      <c r="DAE4092" s="917"/>
      <c r="DAF4092" s="917"/>
      <c r="DAG4092" s="917"/>
      <c r="DAH4092" s="917"/>
      <c r="DAI4092" s="917"/>
      <c r="DAJ4092" s="917"/>
      <c r="DAK4092" s="917" t="s">
        <v>78</v>
      </c>
      <c r="DAL4092" s="917"/>
      <c r="DAM4092" s="917"/>
      <c r="DAN4092" s="917"/>
      <c r="DAO4092" s="917"/>
      <c r="DAP4092" s="917"/>
      <c r="DAQ4092" s="917"/>
      <c r="DAR4092" s="917"/>
      <c r="DAS4092" s="917"/>
      <c r="DAT4092" s="917"/>
      <c r="DAU4092" s="917"/>
      <c r="DAV4092" s="917"/>
      <c r="DAW4092" s="917"/>
      <c r="DAX4092" s="917"/>
      <c r="DAY4092" s="917"/>
      <c r="DAZ4092" s="917"/>
      <c r="DBA4092" s="917"/>
      <c r="DBB4092" s="917"/>
      <c r="DBC4092" s="917"/>
      <c r="DBD4092" s="917"/>
      <c r="DBE4092" s="917"/>
      <c r="DBF4092" s="917"/>
      <c r="DBG4092" s="917"/>
      <c r="DBH4092" s="917"/>
      <c r="DBI4092" s="917"/>
      <c r="DBJ4092" s="917"/>
      <c r="DBK4092" s="917"/>
      <c r="DBL4092" s="917"/>
      <c r="DBM4092" s="917"/>
      <c r="DBN4092" s="917"/>
      <c r="DBO4092" s="917"/>
      <c r="DBP4092" s="917"/>
      <c r="DBQ4092" s="917" t="s">
        <v>78</v>
      </c>
      <c r="DBR4092" s="917"/>
      <c r="DBS4092" s="917"/>
      <c r="DBT4092" s="917"/>
      <c r="DBU4092" s="917"/>
      <c r="DBV4092" s="917"/>
      <c r="DBW4092" s="917"/>
      <c r="DBX4092" s="917"/>
      <c r="DBY4092" s="917"/>
      <c r="DBZ4092" s="917"/>
      <c r="DCA4092" s="917"/>
      <c r="DCB4092" s="917"/>
      <c r="DCC4092" s="917"/>
      <c r="DCD4092" s="917"/>
      <c r="DCE4092" s="917"/>
      <c r="DCF4092" s="917"/>
      <c r="DCG4092" s="917"/>
      <c r="DCH4092" s="917"/>
      <c r="DCI4092" s="917"/>
      <c r="DCJ4092" s="917"/>
      <c r="DCK4092" s="917"/>
      <c r="DCL4092" s="917"/>
      <c r="DCM4092" s="917"/>
      <c r="DCN4092" s="917"/>
      <c r="DCO4092" s="917"/>
      <c r="DCP4092" s="917"/>
      <c r="DCQ4092" s="917"/>
      <c r="DCR4092" s="917"/>
      <c r="DCS4092" s="917"/>
      <c r="DCT4092" s="917"/>
      <c r="DCU4092" s="917"/>
      <c r="DCV4092" s="917"/>
      <c r="DCW4092" s="917" t="s">
        <v>78</v>
      </c>
      <c r="DCX4092" s="917"/>
      <c r="DCY4092" s="917"/>
      <c r="DCZ4092" s="917"/>
      <c r="DDA4092" s="917"/>
      <c r="DDB4092" s="917"/>
      <c r="DDC4092" s="917"/>
      <c r="DDD4092" s="917"/>
      <c r="DDE4092" s="917"/>
      <c r="DDF4092" s="917"/>
      <c r="DDG4092" s="917"/>
      <c r="DDH4092" s="917"/>
      <c r="DDI4092" s="917"/>
      <c r="DDJ4092" s="917"/>
      <c r="DDK4092" s="917"/>
      <c r="DDL4092" s="917"/>
      <c r="DDM4092" s="917"/>
      <c r="DDN4092" s="917"/>
      <c r="DDO4092" s="917"/>
      <c r="DDP4092" s="917"/>
      <c r="DDQ4092" s="917"/>
      <c r="DDR4092" s="917"/>
      <c r="DDS4092" s="917"/>
      <c r="DDT4092" s="917"/>
      <c r="DDU4092" s="917"/>
      <c r="DDV4092" s="917"/>
      <c r="DDW4092" s="917"/>
      <c r="DDX4092" s="917"/>
      <c r="DDY4092" s="917"/>
      <c r="DDZ4092" s="917"/>
      <c r="DEA4092" s="917"/>
      <c r="DEB4092" s="917"/>
      <c r="DEC4092" s="917" t="s">
        <v>78</v>
      </c>
      <c r="DED4092" s="917"/>
      <c r="DEE4092" s="917"/>
      <c r="DEF4092" s="917"/>
      <c r="DEG4092" s="917"/>
      <c r="DEH4092" s="917"/>
      <c r="DEI4092" s="917"/>
      <c r="DEJ4092" s="917"/>
      <c r="DEK4092" s="917"/>
      <c r="DEL4092" s="917"/>
      <c r="DEM4092" s="917"/>
      <c r="DEN4092" s="917"/>
      <c r="DEO4092" s="917"/>
      <c r="DEP4092" s="917"/>
      <c r="DEQ4092" s="917"/>
      <c r="DER4092" s="917"/>
      <c r="DES4092" s="917"/>
      <c r="DET4092" s="917"/>
      <c r="DEU4092" s="917"/>
      <c r="DEV4092" s="917"/>
      <c r="DEW4092" s="917"/>
      <c r="DEX4092" s="917"/>
      <c r="DEY4092" s="917"/>
      <c r="DEZ4092" s="917"/>
      <c r="DFA4092" s="917"/>
      <c r="DFB4092" s="917"/>
      <c r="DFC4092" s="917"/>
      <c r="DFD4092" s="917"/>
      <c r="DFE4092" s="917"/>
      <c r="DFF4092" s="917"/>
      <c r="DFG4092" s="917"/>
      <c r="DFH4092" s="917"/>
      <c r="DFI4092" s="917" t="s">
        <v>78</v>
      </c>
      <c r="DFJ4092" s="917"/>
      <c r="DFK4092" s="917"/>
      <c r="DFL4092" s="917"/>
      <c r="DFM4092" s="917"/>
      <c r="DFN4092" s="917"/>
      <c r="DFO4092" s="917"/>
      <c r="DFP4092" s="917"/>
      <c r="DFQ4092" s="917"/>
      <c r="DFR4092" s="917"/>
      <c r="DFS4092" s="917"/>
      <c r="DFT4092" s="917"/>
      <c r="DFU4092" s="917"/>
      <c r="DFV4092" s="917"/>
      <c r="DFW4092" s="917"/>
      <c r="DFX4092" s="917"/>
      <c r="DFY4092" s="917"/>
      <c r="DFZ4092" s="917"/>
      <c r="DGA4092" s="917"/>
      <c r="DGB4092" s="917"/>
      <c r="DGC4092" s="917"/>
      <c r="DGD4092" s="917"/>
      <c r="DGE4092" s="917"/>
      <c r="DGF4092" s="917"/>
      <c r="DGG4092" s="917"/>
      <c r="DGH4092" s="917"/>
      <c r="DGI4092" s="917"/>
      <c r="DGJ4092" s="917"/>
      <c r="DGK4092" s="917"/>
      <c r="DGL4092" s="917"/>
      <c r="DGM4092" s="917"/>
      <c r="DGN4092" s="917"/>
      <c r="DGO4092" s="917" t="s">
        <v>78</v>
      </c>
      <c r="DGP4092" s="917"/>
      <c r="DGQ4092" s="917"/>
      <c r="DGR4092" s="917"/>
      <c r="DGS4092" s="917"/>
      <c r="DGT4092" s="917"/>
      <c r="DGU4092" s="917"/>
      <c r="DGV4092" s="917"/>
      <c r="DGW4092" s="917"/>
      <c r="DGX4092" s="917"/>
      <c r="DGY4092" s="917"/>
      <c r="DGZ4092" s="917"/>
      <c r="DHA4092" s="917"/>
      <c r="DHB4092" s="917"/>
      <c r="DHC4092" s="917"/>
      <c r="DHD4092" s="917"/>
      <c r="DHE4092" s="917"/>
      <c r="DHF4092" s="917"/>
      <c r="DHG4092" s="917"/>
      <c r="DHH4092" s="917"/>
      <c r="DHI4092" s="917"/>
      <c r="DHJ4092" s="917"/>
      <c r="DHK4092" s="917"/>
      <c r="DHL4092" s="917"/>
      <c r="DHM4092" s="917"/>
      <c r="DHN4092" s="917"/>
      <c r="DHO4092" s="917"/>
      <c r="DHP4092" s="917"/>
      <c r="DHQ4092" s="917"/>
      <c r="DHR4092" s="917"/>
      <c r="DHS4092" s="917"/>
      <c r="DHT4092" s="917"/>
      <c r="DHU4092" s="917" t="s">
        <v>78</v>
      </c>
      <c r="DHV4092" s="917"/>
      <c r="DHW4092" s="917"/>
      <c r="DHX4092" s="917"/>
      <c r="DHY4092" s="917"/>
      <c r="DHZ4092" s="917"/>
      <c r="DIA4092" s="917"/>
      <c r="DIB4092" s="917"/>
      <c r="DIC4092" s="917"/>
      <c r="DID4092" s="917"/>
      <c r="DIE4092" s="917"/>
      <c r="DIF4092" s="917"/>
      <c r="DIG4092" s="917"/>
      <c r="DIH4092" s="917"/>
      <c r="DII4092" s="917"/>
      <c r="DIJ4092" s="917"/>
      <c r="DIK4092" s="917"/>
      <c r="DIL4092" s="917"/>
      <c r="DIM4092" s="917"/>
      <c r="DIN4092" s="917"/>
      <c r="DIO4092" s="917"/>
      <c r="DIP4092" s="917"/>
      <c r="DIQ4092" s="917"/>
      <c r="DIR4092" s="917"/>
      <c r="DIS4092" s="917"/>
      <c r="DIT4092" s="917"/>
      <c r="DIU4092" s="917"/>
      <c r="DIV4092" s="917"/>
      <c r="DIW4092" s="917"/>
      <c r="DIX4092" s="917"/>
      <c r="DIY4092" s="917"/>
      <c r="DIZ4092" s="917"/>
      <c r="DJA4092" s="917" t="s">
        <v>78</v>
      </c>
      <c r="DJB4092" s="917"/>
      <c r="DJC4092" s="917"/>
      <c r="DJD4092" s="917"/>
      <c r="DJE4092" s="917"/>
      <c r="DJF4092" s="917"/>
      <c r="DJG4092" s="917"/>
      <c r="DJH4092" s="917"/>
      <c r="DJI4092" s="917"/>
      <c r="DJJ4092" s="917"/>
      <c r="DJK4092" s="917"/>
      <c r="DJL4092" s="917"/>
      <c r="DJM4092" s="917"/>
      <c r="DJN4092" s="917"/>
      <c r="DJO4092" s="917"/>
      <c r="DJP4092" s="917"/>
      <c r="DJQ4092" s="917"/>
      <c r="DJR4092" s="917"/>
      <c r="DJS4092" s="917"/>
      <c r="DJT4092" s="917"/>
      <c r="DJU4092" s="917"/>
      <c r="DJV4092" s="917"/>
      <c r="DJW4092" s="917"/>
      <c r="DJX4092" s="917"/>
      <c r="DJY4092" s="917"/>
      <c r="DJZ4092" s="917"/>
      <c r="DKA4092" s="917"/>
      <c r="DKB4092" s="917"/>
      <c r="DKC4092" s="917"/>
      <c r="DKD4092" s="917"/>
      <c r="DKE4092" s="917"/>
      <c r="DKF4092" s="917"/>
      <c r="DKG4092" s="917" t="s">
        <v>78</v>
      </c>
      <c r="DKH4092" s="917"/>
      <c r="DKI4092" s="917"/>
      <c r="DKJ4092" s="917"/>
      <c r="DKK4092" s="917"/>
      <c r="DKL4092" s="917"/>
      <c r="DKM4092" s="917"/>
      <c r="DKN4092" s="917"/>
      <c r="DKO4092" s="917"/>
      <c r="DKP4092" s="917"/>
      <c r="DKQ4092" s="917"/>
      <c r="DKR4092" s="917"/>
      <c r="DKS4092" s="917"/>
      <c r="DKT4092" s="917"/>
      <c r="DKU4092" s="917"/>
      <c r="DKV4092" s="917"/>
      <c r="DKW4092" s="917"/>
      <c r="DKX4092" s="917"/>
      <c r="DKY4092" s="917"/>
      <c r="DKZ4092" s="917"/>
      <c r="DLA4092" s="917"/>
      <c r="DLB4092" s="917"/>
      <c r="DLC4092" s="917"/>
      <c r="DLD4092" s="917"/>
      <c r="DLE4092" s="917"/>
      <c r="DLF4092" s="917"/>
      <c r="DLG4092" s="917"/>
      <c r="DLH4092" s="917"/>
      <c r="DLI4092" s="917"/>
      <c r="DLJ4092" s="917"/>
      <c r="DLK4092" s="917"/>
      <c r="DLL4092" s="917"/>
      <c r="DLM4092" s="917" t="s">
        <v>78</v>
      </c>
      <c r="DLN4092" s="917"/>
      <c r="DLO4092" s="917"/>
      <c r="DLP4092" s="917"/>
      <c r="DLQ4092" s="917"/>
      <c r="DLR4092" s="917"/>
      <c r="DLS4092" s="917"/>
      <c r="DLT4092" s="917"/>
      <c r="DLU4092" s="917"/>
      <c r="DLV4092" s="917"/>
      <c r="DLW4092" s="917"/>
      <c r="DLX4092" s="917"/>
      <c r="DLY4092" s="917"/>
      <c r="DLZ4092" s="917"/>
      <c r="DMA4092" s="917"/>
      <c r="DMB4092" s="917"/>
      <c r="DMC4092" s="917"/>
      <c r="DMD4092" s="917"/>
      <c r="DME4092" s="917"/>
      <c r="DMF4092" s="917"/>
      <c r="DMG4092" s="917"/>
      <c r="DMH4092" s="917"/>
      <c r="DMI4092" s="917"/>
      <c r="DMJ4092" s="917"/>
      <c r="DMK4092" s="917"/>
      <c r="DML4092" s="917"/>
      <c r="DMM4092" s="917"/>
      <c r="DMN4092" s="917"/>
      <c r="DMO4092" s="917"/>
      <c r="DMP4092" s="917"/>
      <c r="DMQ4092" s="917"/>
      <c r="DMR4092" s="917"/>
      <c r="DMS4092" s="917" t="s">
        <v>78</v>
      </c>
      <c r="DMT4092" s="917"/>
      <c r="DMU4092" s="917"/>
      <c r="DMV4092" s="917"/>
      <c r="DMW4092" s="917"/>
      <c r="DMX4092" s="917"/>
      <c r="DMY4092" s="917"/>
      <c r="DMZ4092" s="917"/>
      <c r="DNA4092" s="917"/>
      <c r="DNB4092" s="917"/>
      <c r="DNC4092" s="917"/>
      <c r="DND4092" s="917"/>
      <c r="DNE4092" s="917"/>
      <c r="DNF4092" s="917"/>
      <c r="DNG4092" s="917"/>
      <c r="DNH4092" s="917"/>
      <c r="DNI4092" s="917"/>
      <c r="DNJ4092" s="917"/>
      <c r="DNK4092" s="917"/>
      <c r="DNL4092" s="917"/>
      <c r="DNM4092" s="917"/>
      <c r="DNN4092" s="917"/>
      <c r="DNO4092" s="917"/>
      <c r="DNP4092" s="917"/>
      <c r="DNQ4092" s="917"/>
      <c r="DNR4092" s="917"/>
      <c r="DNS4092" s="917"/>
      <c r="DNT4092" s="917"/>
      <c r="DNU4092" s="917"/>
      <c r="DNV4092" s="917"/>
      <c r="DNW4092" s="917"/>
      <c r="DNX4092" s="917"/>
      <c r="DNY4092" s="917" t="s">
        <v>78</v>
      </c>
      <c r="DNZ4092" s="917"/>
      <c r="DOA4092" s="917"/>
      <c r="DOB4092" s="917"/>
      <c r="DOC4092" s="917"/>
      <c r="DOD4092" s="917"/>
      <c r="DOE4092" s="917"/>
      <c r="DOF4092" s="917"/>
      <c r="DOG4092" s="917"/>
      <c r="DOH4092" s="917"/>
      <c r="DOI4092" s="917"/>
      <c r="DOJ4092" s="917"/>
      <c r="DOK4092" s="917"/>
      <c r="DOL4092" s="917"/>
      <c r="DOM4092" s="917"/>
      <c r="DON4092" s="917"/>
      <c r="DOO4092" s="917"/>
      <c r="DOP4092" s="917"/>
      <c r="DOQ4092" s="917"/>
      <c r="DOR4092" s="917"/>
      <c r="DOS4092" s="917"/>
      <c r="DOT4092" s="917"/>
      <c r="DOU4092" s="917"/>
      <c r="DOV4092" s="917"/>
      <c r="DOW4092" s="917"/>
      <c r="DOX4092" s="917"/>
      <c r="DOY4092" s="917"/>
      <c r="DOZ4092" s="917"/>
      <c r="DPA4092" s="917"/>
      <c r="DPB4092" s="917"/>
      <c r="DPC4092" s="917"/>
      <c r="DPD4092" s="917"/>
      <c r="DPE4092" s="917" t="s">
        <v>78</v>
      </c>
      <c r="DPF4092" s="917"/>
      <c r="DPG4092" s="917"/>
      <c r="DPH4092" s="917"/>
      <c r="DPI4092" s="917"/>
      <c r="DPJ4092" s="917"/>
      <c r="DPK4092" s="917"/>
      <c r="DPL4092" s="917"/>
      <c r="DPM4092" s="917"/>
      <c r="DPN4092" s="917"/>
      <c r="DPO4092" s="917"/>
      <c r="DPP4092" s="917"/>
      <c r="DPQ4092" s="917"/>
      <c r="DPR4092" s="917"/>
      <c r="DPS4092" s="917"/>
      <c r="DPT4092" s="917"/>
      <c r="DPU4092" s="917"/>
      <c r="DPV4092" s="917"/>
      <c r="DPW4092" s="917"/>
      <c r="DPX4092" s="917"/>
      <c r="DPY4092" s="917"/>
      <c r="DPZ4092" s="917"/>
      <c r="DQA4092" s="917"/>
      <c r="DQB4092" s="917"/>
      <c r="DQC4092" s="917"/>
      <c r="DQD4092" s="917"/>
      <c r="DQE4092" s="917"/>
      <c r="DQF4092" s="917"/>
      <c r="DQG4092" s="917"/>
      <c r="DQH4092" s="917"/>
      <c r="DQI4092" s="917"/>
      <c r="DQJ4092" s="917"/>
      <c r="DQK4092" s="917" t="s">
        <v>78</v>
      </c>
      <c r="DQL4092" s="917"/>
      <c r="DQM4092" s="917"/>
      <c r="DQN4092" s="917"/>
      <c r="DQO4092" s="917"/>
      <c r="DQP4092" s="917"/>
      <c r="DQQ4092" s="917"/>
      <c r="DQR4092" s="917"/>
      <c r="DQS4092" s="917"/>
      <c r="DQT4092" s="917"/>
      <c r="DQU4092" s="917"/>
      <c r="DQV4092" s="917"/>
      <c r="DQW4092" s="917"/>
      <c r="DQX4092" s="917"/>
      <c r="DQY4092" s="917"/>
      <c r="DQZ4092" s="917"/>
      <c r="DRA4092" s="917"/>
      <c r="DRB4092" s="917"/>
      <c r="DRC4092" s="917"/>
      <c r="DRD4092" s="917"/>
      <c r="DRE4092" s="917"/>
      <c r="DRF4092" s="917"/>
      <c r="DRG4092" s="917"/>
      <c r="DRH4092" s="917"/>
      <c r="DRI4092" s="917"/>
      <c r="DRJ4092" s="917"/>
      <c r="DRK4092" s="917"/>
      <c r="DRL4092" s="917"/>
      <c r="DRM4092" s="917"/>
      <c r="DRN4092" s="917"/>
      <c r="DRO4092" s="917"/>
      <c r="DRP4092" s="917"/>
      <c r="DRQ4092" s="917" t="s">
        <v>78</v>
      </c>
      <c r="DRR4092" s="917"/>
      <c r="DRS4092" s="917"/>
      <c r="DRT4092" s="917"/>
      <c r="DRU4092" s="917"/>
      <c r="DRV4092" s="917"/>
      <c r="DRW4092" s="917"/>
      <c r="DRX4092" s="917"/>
      <c r="DRY4092" s="917"/>
      <c r="DRZ4092" s="917"/>
      <c r="DSA4092" s="917"/>
      <c r="DSB4092" s="917"/>
      <c r="DSC4092" s="917"/>
      <c r="DSD4092" s="917"/>
      <c r="DSE4092" s="917"/>
      <c r="DSF4092" s="917"/>
      <c r="DSG4092" s="917"/>
      <c r="DSH4092" s="917"/>
      <c r="DSI4092" s="917"/>
      <c r="DSJ4092" s="917"/>
      <c r="DSK4092" s="917"/>
      <c r="DSL4092" s="917"/>
      <c r="DSM4092" s="917"/>
      <c r="DSN4092" s="917"/>
      <c r="DSO4092" s="917"/>
      <c r="DSP4092" s="917"/>
      <c r="DSQ4092" s="917"/>
      <c r="DSR4092" s="917"/>
      <c r="DSS4092" s="917"/>
      <c r="DST4092" s="917"/>
      <c r="DSU4092" s="917"/>
      <c r="DSV4092" s="917"/>
      <c r="DSW4092" s="917" t="s">
        <v>78</v>
      </c>
      <c r="DSX4092" s="917"/>
      <c r="DSY4092" s="917"/>
      <c r="DSZ4092" s="917"/>
      <c r="DTA4092" s="917"/>
      <c r="DTB4092" s="917"/>
      <c r="DTC4092" s="917"/>
      <c r="DTD4092" s="917"/>
      <c r="DTE4092" s="917"/>
      <c r="DTF4092" s="917"/>
      <c r="DTG4092" s="917"/>
      <c r="DTH4092" s="917"/>
      <c r="DTI4092" s="917"/>
      <c r="DTJ4092" s="917"/>
      <c r="DTK4092" s="917"/>
      <c r="DTL4092" s="917"/>
      <c r="DTM4092" s="917"/>
      <c r="DTN4092" s="917"/>
      <c r="DTO4092" s="917"/>
      <c r="DTP4092" s="917"/>
      <c r="DTQ4092" s="917"/>
      <c r="DTR4092" s="917"/>
      <c r="DTS4092" s="917"/>
      <c r="DTT4092" s="917"/>
      <c r="DTU4092" s="917"/>
      <c r="DTV4092" s="917"/>
      <c r="DTW4092" s="917"/>
      <c r="DTX4092" s="917"/>
      <c r="DTY4092" s="917"/>
      <c r="DTZ4092" s="917"/>
      <c r="DUA4092" s="917"/>
      <c r="DUB4092" s="917"/>
      <c r="DUC4092" s="917" t="s">
        <v>78</v>
      </c>
      <c r="DUD4092" s="917"/>
      <c r="DUE4092" s="917"/>
      <c r="DUF4092" s="917"/>
      <c r="DUG4092" s="917"/>
      <c r="DUH4092" s="917"/>
      <c r="DUI4092" s="917"/>
      <c r="DUJ4092" s="917"/>
      <c r="DUK4092" s="917"/>
      <c r="DUL4092" s="917"/>
      <c r="DUM4092" s="917"/>
      <c r="DUN4092" s="917"/>
      <c r="DUO4092" s="917"/>
      <c r="DUP4092" s="917"/>
      <c r="DUQ4092" s="917"/>
      <c r="DUR4092" s="917"/>
      <c r="DUS4092" s="917"/>
      <c r="DUT4092" s="917"/>
      <c r="DUU4092" s="917"/>
      <c r="DUV4092" s="917"/>
      <c r="DUW4092" s="917"/>
      <c r="DUX4092" s="917"/>
      <c r="DUY4092" s="917"/>
      <c r="DUZ4092" s="917"/>
      <c r="DVA4092" s="917"/>
      <c r="DVB4092" s="917"/>
      <c r="DVC4092" s="917"/>
      <c r="DVD4092" s="917"/>
      <c r="DVE4092" s="917"/>
      <c r="DVF4092" s="917"/>
      <c r="DVG4092" s="917"/>
      <c r="DVH4092" s="917"/>
      <c r="DVI4092" s="917" t="s">
        <v>78</v>
      </c>
      <c r="DVJ4092" s="917"/>
      <c r="DVK4092" s="917"/>
      <c r="DVL4092" s="917"/>
      <c r="DVM4092" s="917"/>
      <c r="DVN4092" s="917"/>
      <c r="DVO4092" s="917"/>
      <c r="DVP4092" s="917"/>
      <c r="DVQ4092" s="917"/>
      <c r="DVR4092" s="917"/>
      <c r="DVS4092" s="917"/>
      <c r="DVT4092" s="917"/>
      <c r="DVU4092" s="917"/>
      <c r="DVV4092" s="917"/>
      <c r="DVW4092" s="917"/>
      <c r="DVX4092" s="917"/>
      <c r="DVY4092" s="917"/>
      <c r="DVZ4092" s="917"/>
      <c r="DWA4092" s="917"/>
      <c r="DWB4092" s="917"/>
      <c r="DWC4092" s="917"/>
      <c r="DWD4092" s="917"/>
      <c r="DWE4092" s="917"/>
      <c r="DWF4092" s="917"/>
      <c r="DWG4092" s="917"/>
      <c r="DWH4092" s="917"/>
      <c r="DWI4092" s="917"/>
      <c r="DWJ4092" s="917"/>
      <c r="DWK4092" s="917"/>
      <c r="DWL4092" s="917"/>
      <c r="DWM4092" s="917"/>
      <c r="DWN4092" s="917"/>
      <c r="DWO4092" s="917" t="s">
        <v>78</v>
      </c>
      <c r="DWP4092" s="917"/>
      <c r="DWQ4092" s="917"/>
      <c r="DWR4092" s="917"/>
      <c r="DWS4092" s="917"/>
      <c r="DWT4092" s="917"/>
      <c r="DWU4092" s="917"/>
      <c r="DWV4092" s="917"/>
      <c r="DWW4092" s="917"/>
      <c r="DWX4092" s="917"/>
      <c r="DWY4092" s="917"/>
      <c r="DWZ4092" s="917"/>
      <c r="DXA4092" s="917"/>
      <c r="DXB4092" s="917"/>
      <c r="DXC4092" s="917"/>
      <c r="DXD4092" s="917"/>
      <c r="DXE4092" s="917"/>
      <c r="DXF4092" s="917"/>
      <c r="DXG4092" s="917"/>
      <c r="DXH4092" s="917"/>
      <c r="DXI4092" s="917"/>
      <c r="DXJ4092" s="917"/>
      <c r="DXK4092" s="917"/>
      <c r="DXL4092" s="917"/>
      <c r="DXM4092" s="917"/>
      <c r="DXN4092" s="917"/>
      <c r="DXO4092" s="917"/>
      <c r="DXP4092" s="917"/>
      <c r="DXQ4092" s="917"/>
      <c r="DXR4092" s="917"/>
      <c r="DXS4092" s="917"/>
      <c r="DXT4092" s="917"/>
      <c r="DXU4092" s="917" t="s">
        <v>78</v>
      </c>
      <c r="DXV4092" s="917"/>
      <c r="DXW4092" s="917"/>
      <c r="DXX4092" s="917"/>
      <c r="DXY4092" s="917"/>
      <c r="DXZ4092" s="917"/>
      <c r="DYA4092" s="917"/>
      <c r="DYB4092" s="917"/>
      <c r="DYC4092" s="917"/>
      <c r="DYD4092" s="917"/>
      <c r="DYE4092" s="917"/>
      <c r="DYF4092" s="917"/>
      <c r="DYG4092" s="917"/>
      <c r="DYH4092" s="917"/>
      <c r="DYI4092" s="917"/>
      <c r="DYJ4092" s="917"/>
      <c r="DYK4092" s="917"/>
      <c r="DYL4092" s="917"/>
      <c r="DYM4092" s="917"/>
      <c r="DYN4092" s="917"/>
      <c r="DYO4092" s="917"/>
      <c r="DYP4092" s="917"/>
      <c r="DYQ4092" s="917"/>
      <c r="DYR4092" s="917"/>
      <c r="DYS4092" s="917"/>
      <c r="DYT4092" s="917"/>
      <c r="DYU4092" s="917"/>
      <c r="DYV4092" s="917"/>
      <c r="DYW4092" s="917"/>
      <c r="DYX4092" s="917"/>
      <c r="DYY4092" s="917"/>
      <c r="DYZ4092" s="917"/>
      <c r="DZA4092" s="917" t="s">
        <v>78</v>
      </c>
      <c r="DZB4092" s="917"/>
      <c r="DZC4092" s="917"/>
      <c r="DZD4092" s="917"/>
      <c r="DZE4092" s="917"/>
      <c r="DZF4092" s="917"/>
      <c r="DZG4092" s="917"/>
      <c r="DZH4092" s="917"/>
      <c r="DZI4092" s="917"/>
      <c r="DZJ4092" s="917"/>
      <c r="DZK4092" s="917"/>
      <c r="DZL4092" s="917"/>
      <c r="DZM4092" s="917"/>
      <c r="DZN4092" s="917"/>
      <c r="DZO4092" s="917"/>
      <c r="DZP4092" s="917"/>
      <c r="DZQ4092" s="917"/>
      <c r="DZR4092" s="917"/>
      <c r="DZS4092" s="917"/>
      <c r="DZT4092" s="917"/>
      <c r="DZU4092" s="917"/>
      <c r="DZV4092" s="917"/>
      <c r="DZW4092" s="917"/>
      <c r="DZX4092" s="917"/>
      <c r="DZY4092" s="917"/>
      <c r="DZZ4092" s="917"/>
      <c r="EAA4092" s="917"/>
      <c r="EAB4092" s="917"/>
      <c r="EAC4092" s="917"/>
      <c r="EAD4092" s="917"/>
      <c r="EAE4092" s="917"/>
      <c r="EAF4092" s="917"/>
      <c r="EAG4092" s="917" t="s">
        <v>78</v>
      </c>
      <c r="EAH4092" s="917"/>
      <c r="EAI4092" s="917"/>
      <c r="EAJ4092" s="917"/>
      <c r="EAK4092" s="917"/>
      <c r="EAL4092" s="917"/>
      <c r="EAM4092" s="917"/>
      <c r="EAN4092" s="917"/>
      <c r="EAO4092" s="917"/>
      <c r="EAP4092" s="917"/>
      <c r="EAQ4092" s="917"/>
      <c r="EAR4092" s="917"/>
      <c r="EAS4092" s="917"/>
      <c r="EAT4092" s="917"/>
      <c r="EAU4092" s="917"/>
      <c r="EAV4092" s="917"/>
      <c r="EAW4092" s="917"/>
      <c r="EAX4092" s="917"/>
      <c r="EAY4092" s="917"/>
      <c r="EAZ4092" s="917"/>
      <c r="EBA4092" s="917"/>
      <c r="EBB4092" s="917"/>
      <c r="EBC4092" s="917"/>
      <c r="EBD4092" s="917"/>
      <c r="EBE4092" s="917"/>
      <c r="EBF4092" s="917"/>
      <c r="EBG4092" s="917"/>
      <c r="EBH4092" s="917"/>
      <c r="EBI4092" s="917"/>
      <c r="EBJ4092" s="917"/>
      <c r="EBK4092" s="917"/>
      <c r="EBL4092" s="917"/>
      <c r="EBM4092" s="917" t="s">
        <v>78</v>
      </c>
      <c r="EBN4092" s="917"/>
      <c r="EBO4092" s="917"/>
      <c r="EBP4092" s="917"/>
      <c r="EBQ4092" s="917"/>
      <c r="EBR4092" s="917"/>
      <c r="EBS4092" s="917"/>
      <c r="EBT4092" s="917"/>
      <c r="EBU4092" s="917"/>
      <c r="EBV4092" s="917"/>
      <c r="EBW4092" s="917"/>
      <c r="EBX4092" s="917"/>
      <c r="EBY4092" s="917"/>
      <c r="EBZ4092" s="917"/>
      <c r="ECA4092" s="917"/>
      <c r="ECB4092" s="917"/>
      <c r="ECC4092" s="917"/>
      <c r="ECD4092" s="917"/>
      <c r="ECE4092" s="917"/>
      <c r="ECF4092" s="917"/>
      <c r="ECG4092" s="917"/>
      <c r="ECH4092" s="917"/>
      <c r="ECI4092" s="917"/>
      <c r="ECJ4092" s="917"/>
      <c r="ECK4092" s="917"/>
      <c r="ECL4092" s="917"/>
      <c r="ECM4092" s="917"/>
      <c r="ECN4092" s="917"/>
      <c r="ECO4092" s="917"/>
      <c r="ECP4092" s="917"/>
      <c r="ECQ4092" s="917"/>
      <c r="ECR4092" s="917"/>
      <c r="ECS4092" s="917" t="s">
        <v>78</v>
      </c>
      <c r="ECT4092" s="917"/>
      <c r="ECU4092" s="917"/>
      <c r="ECV4092" s="917"/>
      <c r="ECW4092" s="917"/>
      <c r="ECX4092" s="917"/>
      <c r="ECY4092" s="917"/>
      <c r="ECZ4092" s="917"/>
      <c r="EDA4092" s="917"/>
      <c r="EDB4092" s="917"/>
      <c r="EDC4092" s="917"/>
      <c r="EDD4092" s="917"/>
      <c r="EDE4092" s="917"/>
      <c r="EDF4092" s="917"/>
      <c r="EDG4092" s="917"/>
      <c r="EDH4092" s="917"/>
      <c r="EDI4092" s="917"/>
      <c r="EDJ4092" s="917"/>
      <c r="EDK4092" s="917"/>
      <c r="EDL4092" s="917"/>
      <c r="EDM4092" s="917"/>
      <c r="EDN4092" s="917"/>
      <c r="EDO4092" s="917"/>
      <c r="EDP4092" s="917"/>
      <c r="EDQ4092" s="917"/>
      <c r="EDR4092" s="917"/>
      <c r="EDS4092" s="917"/>
      <c r="EDT4092" s="917"/>
      <c r="EDU4092" s="917"/>
      <c r="EDV4092" s="917"/>
      <c r="EDW4092" s="917"/>
      <c r="EDX4092" s="917"/>
      <c r="EDY4092" s="917" t="s">
        <v>78</v>
      </c>
      <c r="EDZ4092" s="917"/>
      <c r="EEA4092" s="917"/>
      <c r="EEB4092" s="917"/>
      <c r="EEC4092" s="917"/>
      <c r="EED4092" s="917"/>
      <c r="EEE4092" s="917"/>
      <c r="EEF4092" s="917"/>
      <c r="EEG4092" s="917"/>
      <c r="EEH4092" s="917"/>
      <c r="EEI4092" s="917"/>
      <c r="EEJ4092" s="917"/>
      <c r="EEK4092" s="917"/>
      <c r="EEL4092" s="917"/>
      <c r="EEM4092" s="917"/>
      <c r="EEN4092" s="917"/>
      <c r="EEO4092" s="917"/>
      <c r="EEP4092" s="917"/>
      <c r="EEQ4092" s="917"/>
      <c r="EER4092" s="917"/>
      <c r="EES4092" s="917"/>
      <c r="EET4092" s="917"/>
      <c r="EEU4092" s="917"/>
      <c r="EEV4092" s="917"/>
      <c r="EEW4092" s="917"/>
      <c r="EEX4092" s="917"/>
      <c r="EEY4092" s="917"/>
      <c r="EEZ4092" s="917"/>
      <c r="EFA4092" s="917"/>
      <c r="EFB4092" s="917"/>
      <c r="EFC4092" s="917"/>
      <c r="EFD4092" s="917"/>
      <c r="EFE4092" s="917" t="s">
        <v>78</v>
      </c>
      <c r="EFF4092" s="917"/>
      <c r="EFG4092" s="917"/>
      <c r="EFH4092" s="917"/>
      <c r="EFI4092" s="917"/>
      <c r="EFJ4092" s="917"/>
      <c r="EFK4092" s="917"/>
      <c r="EFL4092" s="917"/>
      <c r="EFM4092" s="917"/>
      <c r="EFN4092" s="917"/>
      <c r="EFO4092" s="917"/>
      <c r="EFP4092" s="917"/>
      <c r="EFQ4092" s="917"/>
      <c r="EFR4092" s="917"/>
      <c r="EFS4092" s="917"/>
      <c r="EFT4092" s="917"/>
      <c r="EFU4092" s="917"/>
      <c r="EFV4092" s="917"/>
      <c r="EFW4092" s="917"/>
      <c r="EFX4092" s="917"/>
      <c r="EFY4092" s="917"/>
      <c r="EFZ4092" s="917"/>
      <c r="EGA4092" s="917"/>
      <c r="EGB4092" s="917"/>
      <c r="EGC4092" s="917"/>
      <c r="EGD4092" s="917"/>
      <c r="EGE4092" s="917"/>
      <c r="EGF4092" s="917"/>
      <c r="EGG4092" s="917"/>
      <c r="EGH4092" s="917"/>
      <c r="EGI4092" s="917"/>
      <c r="EGJ4092" s="917"/>
      <c r="EGK4092" s="917" t="s">
        <v>78</v>
      </c>
      <c r="EGL4092" s="917"/>
      <c r="EGM4092" s="917"/>
      <c r="EGN4092" s="917"/>
      <c r="EGO4092" s="917"/>
      <c r="EGP4092" s="917"/>
      <c r="EGQ4092" s="917"/>
      <c r="EGR4092" s="917"/>
      <c r="EGS4092" s="917"/>
      <c r="EGT4092" s="917"/>
      <c r="EGU4092" s="917"/>
      <c r="EGV4092" s="917"/>
      <c r="EGW4092" s="917"/>
      <c r="EGX4092" s="917"/>
      <c r="EGY4092" s="917"/>
      <c r="EGZ4092" s="917"/>
      <c r="EHA4092" s="917"/>
      <c r="EHB4092" s="917"/>
      <c r="EHC4092" s="917"/>
      <c r="EHD4092" s="917"/>
      <c r="EHE4092" s="917"/>
      <c r="EHF4092" s="917"/>
      <c r="EHG4092" s="917"/>
      <c r="EHH4092" s="917"/>
      <c r="EHI4092" s="917"/>
      <c r="EHJ4092" s="917"/>
      <c r="EHK4092" s="917"/>
      <c r="EHL4092" s="917"/>
      <c r="EHM4092" s="917"/>
      <c r="EHN4092" s="917"/>
      <c r="EHO4092" s="917"/>
      <c r="EHP4092" s="917"/>
      <c r="EHQ4092" s="917" t="s">
        <v>78</v>
      </c>
      <c r="EHR4092" s="917"/>
      <c r="EHS4092" s="917"/>
      <c r="EHT4092" s="917"/>
      <c r="EHU4092" s="917"/>
      <c r="EHV4092" s="917"/>
      <c r="EHW4092" s="917"/>
      <c r="EHX4092" s="917"/>
      <c r="EHY4092" s="917"/>
      <c r="EHZ4092" s="917"/>
      <c r="EIA4092" s="917"/>
      <c r="EIB4092" s="917"/>
      <c r="EIC4092" s="917"/>
      <c r="EID4092" s="917"/>
      <c r="EIE4092" s="917"/>
      <c r="EIF4092" s="917"/>
      <c r="EIG4092" s="917"/>
      <c r="EIH4092" s="917"/>
      <c r="EII4092" s="917"/>
      <c r="EIJ4092" s="917"/>
      <c r="EIK4092" s="917"/>
      <c r="EIL4092" s="917"/>
      <c r="EIM4092" s="917"/>
      <c r="EIN4092" s="917"/>
      <c r="EIO4092" s="917"/>
      <c r="EIP4092" s="917"/>
      <c r="EIQ4092" s="917"/>
      <c r="EIR4092" s="917"/>
      <c r="EIS4092" s="917"/>
      <c r="EIT4092" s="917"/>
      <c r="EIU4092" s="917"/>
      <c r="EIV4092" s="917"/>
      <c r="EIW4092" s="917" t="s">
        <v>78</v>
      </c>
      <c r="EIX4092" s="917"/>
      <c r="EIY4092" s="917"/>
      <c r="EIZ4092" s="917"/>
      <c r="EJA4092" s="917"/>
      <c r="EJB4092" s="917"/>
      <c r="EJC4092" s="917"/>
      <c r="EJD4092" s="917"/>
      <c r="EJE4092" s="917"/>
      <c r="EJF4092" s="917"/>
      <c r="EJG4092" s="917"/>
      <c r="EJH4092" s="917"/>
      <c r="EJI4092" s="917"/>
      <c r="EJJ4092" s="917"/>
      <c r="EJK4092" s="917"/>
      <c r="EJL4092" s="917"/>
      <c r="EJM4092" s="917"/>
      <c r="EJN4092" s="917"/>
      <c r="EJO4092" s="917"/>
      <c r="EJP4092" s="917"/>
      <c r="EJQ4092" s="917"/>
      <c r="EJR4092" s="917"/>
      <c r="EJS4092" s="917"/>
      <c r="EJT4092" s="917"/>
      <c r="EJU4092" s="917"/>
      <c r="EJV4092" s="917"/>
      <c r="EJW4092" s="917"/>
      <c r="EJX4092" s="917"/>
      <c r="EJY4092" s="917"/>
      <c r="EJZ4092" s="917"/>
      <c r="EKA4092" s="917"/>
      <c r="EKB4092" s="917"/>
      <c r="EKC4092" s="917" t="s">
        <v>78</v>
      </c>
      <c r="EKD4092" s="917"/>
      <c r="EKE4092" s="917"/>
      <c r="EKF4092" s="917"/>
      <c r="EKG4092" s="917"/>
      <c r="EKH4092" s="917"/>
      <c r="EKI4092" s="917"/>
      <c r="EKJ4092" s="917"/>
      <c r="EKK4092" s="917"/>
      <c r="EKL4092" s="917"/>
      <c r="EKM4092" s="917"/>
      <c r="EKN4092" s="917"/>
      <c r="EKO4092" s="917"/>
      <c r="EKP4092" s="917"/>
      <c r="EKQ4092" s="917"/>
      <c r="EKR4092" s="917"/>
      <c r="EKS4092" s="917"/>
      <c r="EKT4092" s="917"/>
      <c r="EKU4092" s="917"/>
      <c r="EKV4092" s="917"/>
      <c r="EKW4092" s="917"/>
      <c r="EKX4092" s="917"/>
      <c r="EKY4092" s="917"/>
      <c r="EKZ4092" s="917"/>
      <c r="ELA4092" s="917"/>
      <c r="ELB4092" s="917"/>
      <c r="ELC4092" s="917"/>
      <c r="ELD4092" s="917"/>
      <c r="ELE4092" s="917"/>
      <c r="ELF4092" s="917"/>
      <c r="ELG4092" s="917"/>
      <c r="ELH4092" s="917"/>
      <c r="ELI4092" s="917" t="s">
        <v>78</v>
      </c>
      <c r="ELJ4092" s="917"/>
      <c r="ELK4092" s="917"/>
      <c r="ELL4092" s="917"/>
      <c r="ELM4092" s="917"/>
      <c r="ELN4092" s="917"/>
      <c r="ELO4092" s="917"/>
      <c r="ELP4092" s="917"/>
      <c r="ELQ4092" s="917"/>
      <c r="ELR4092" s="917"/>
      <c r="ELS4092" s="917"/>
      <c r="ELT4092" s="917"/>
      <c r="ELU4092" s="917"/>
      <c r="ELV4092" s="917"/>
      <c r="ELW4092" s="917"/>
      <c r="ELX4092" s="917"/>
      <c r="ELY4092" s="917"/>
      <c r="ELZ4092" s="917"/>
      <c r="EMA4092" s="917"/>
      <c r="EMB4092" s="917"/>
      <c r="EMC4092" s="917"/>
      <c r="EMD4092" s="917"/>
      <c r="EME4092" s="917"/>
      <c r="EMF4092" s="917"/>
      <c r="EMG4092" s="917"/>
      <c r="EMH4092" s="917"/>
      <c r="EMI4092" s="917"/>
      <c r="EMJ4092" s="917"/>
      <c r="EMK4092" s="917"/>
      <c r="EML4092" s="917"/>
      <c r="EMM4092" s="917"/>
      <c r="EMN4092" s="917"/>
      <c r="EMO4092" s="917" t="s">
        <v>78</v>
      </c>
      <c r="EMP4092" s="917"/>
      <c r="EMQ4092" s="917"/>
      <c r="EMR4092" s="917"/>
      <c r="EMS4092" s="917"/>
      <c r="EMT4092" s="917"/>
      <c r="EMU4092" s="917"/>
      <c r="EMV4092" s="917"/>
      <c r="EMW4092" s="917"/>
      <c r="EMX4092" s="917"/>
      <c r="EMY4092" s="917"/>
      <c r="EMZ4092" s="917"/>
      <c r="ENA4092" s="917"/>
      <c r="ENB4092" s="917"/>
      <c r="ENC4092" s="917"/>
      <c r="END4092" s="917"/>
      <c r="ENE4092" s="917"/>
      <c r="ENF4092" s="917"/>
      <c r="ENG4092" s="917"/>
      <c r="ENH4092" s="917"/>
      <c r="ENI4092" s="917"/>
      <c r="ENJ4092" s="917"/>
      <c r="ENK4092" s="917"/>
      <c r="ENL4092" s="917"/>
      <c r="ENM4092" s="917"/>
      <c r="ENN4092" s="917"/>
      <c r="ENO4092" s="917"/>
      <c r="ENP4092" s="917"/>
      <c r="ENQ4092" s="917"/>
      <c r="ENR4092" s="917"/>
      <c r="ENS4092" s="917"/>
      <c r="ENT4092" s="917"/>
      <c r="ENU4092" s="917" t="s">
        <v>78</v>
      </c>
      <c r="ENV4092" s="917"/>
      <c r="ENW4092" s="917"/>
      <c r="ENX4092" s="917"/>
      <c r="ENY4092" s="917"/>
      <c r="ENZ4092" s="917"/>
      <c r="EOA4092" s="917"/>
      <c r="EOB4092" s="917"/>
      <c r="EOC4092" s="917"/>
      <c r="EOD4092" s="917"/>
      <c r="EOE4092" s="917"/>
      <c r="EOF4092" s="917"/>
      <c r="EOG4092" s="917"/>
      <c r="EOH4092" s="917"/>
      <c r="EOI4092" s="917"/>
      <c r="EOJ4092" s="917"/>
      <c r="EOK4092" s="917"/>
      <c r="EOL4092" s="917"/>
      <c r="EOM4092" s="917"/>
      <c r="EON4092" s="917"/>
      <c r="EOO4092" s="917"/>
      <c r="EOP4092" s="917"/>
      <c r="EOQ4092" s="917"/>
      <c r="EOR4092" s="917"/>
      <c r="EOS4092" s="917"/>
      <c r="EOT4092" s="917"/>
      <c r="EOU4092" s="917"/>
      <c r="EOV4092" s="917"/>
      <c r="EOW4092" s="917"/>
      <c r="EOX4092" s="917"/>
      <c r="EOY4092" s="917"/>
      <c r="EOZ4092" s="917"/>
      <c r="EPA4092" s="917" t="s">
        <v>78</v>
      </c>
      <c r="EPB4092" s="917"/>
      <c r="EPC4092" s="917"/>
      <c r="EPD4092" s="917"/>
      <c r="EPE4092" s="917"/>
      <c r="EPF4092" s="917"/>
      <c r="EPG4092" s="917"/>
      <c r="EPH4092" s="917"/>
      <c r="EPI4092" s="917"/>
      <c r="EPJ4092" s="917"/>
      <c r="EPK4092" s="917"/>
      <c r="EPL4092" s="917"/>
      <c r="EPM4092" s="917"/>
      <c r="EPN4092" s="917"/>
      <c r="EPO4092" s="917"/>
      <c r="EPP4092" s="917"/>
      <c r="EPQ4092" s="917"/>
      <c r="EPR4092" s="917"/>
      <c r="EPS4092" s="917"/>
      <c r="EPT4092" s="917"/>
      <c r="EPU4092" s="917"/>
      <c r="EPV4092" s="917"/>
      <c r="EPW4092" s="917"/>
      <c r="EPX4092" s="917"/>
      <c r="EPY4092" s="917"/>
      <c r="EPZ4092" s="917"/>
      <c r="EQA4092" s="917"/>
      <c r="EQB4092" s="917"/>
      <c r="EQC4092" s="917"/>
      <c r="EQD4092" s="917"/>
      <c r="EQE4092" s="917"/>
      <c r="EQF4092" s="917"/>
      <c r="EQG4092" s="917" t="s">
        <v>78</v>
      </c>
      <c r="EQH4092" s="917"/>
      <c r="EQI4092" s="917"/>
      <c r="EQJ4092" s="917"/>
      <c r="EQK4092" s="917"/>
      <c r="EQL4092" s="917"/>
      <c r="EQM4092" s="917"/>
      <c r="EQN4092" s="917"/>
      <c r="EQO4092" s="917"/>
      <c r="EQP4092" s="917"/>
      <c r="EQQ4092" s="917"/>
      <c r="EQR4092" s="917"/>
      <c r="EQS4092" s="917"/>
      <c r="EQT4092" s="917"/>
      <c r="EQU4092" s="917"/>
      <c r="EQV4092" s="917"/>
      <c r="EQW4092" s="917"/>
      <c r="EQX4092" s="917"/>
      <c r="EQY4092" s="917"/>
      <c r="EQZ4092" s="917"/>
      <c r="ERA4092" s="917"/>
      <c r="ERB4092" s="917"/>
      <c r="ERC4092" s="917"/>
      <c r="ERD4092" s="917"/>
      <c r="ERE4092" s="917"/>
      <c r="ERF4092" s="917"/>
      <c r="ERG4092" s="917"/>
      <c r="ERH4092" s="917"/>
      <c r="ERI4092" s="917"/>
      <c r="ERJ4092" s="917"/>
      <c r="ERK4092" s="917"/>
      <c r="ERL4092" s="917"/>
      <c r="ERM4092" s="917" t="s">
        <v>78</v>
      </c>
      <c r="ERN4092" s="917"/>
      <c r="ERO4092" s="917"/>
      <c r="ERP4092" s="917"/>
      <c r="ERQ4092" s="917"/>
      <c r="ERR4092" s="917"/>
      <c r="ERS4092" s="917"/>
      <c r="ERT4092" s="917"/>
      <c r="ERU4092" s="917"/>
      <c r="ERV4092" s="917"/>
      <c r="ERW4092" s="917"/>
      <c r="ERX4092" s="917"/>
      <c r="ERY4092" s="917"/>
      <c r="ERZ4092" s="917"/>
      <c r="ESA4092" s="917"/>
      <c r="ESB4092" s="917"/>
      <c r="ESC4092" s="917"/>
      <c r="ESD4092" s="917"/>
      <c r="ESE4092" s="917"/>
      <c r="ESF4092" s="917"/>
      <c r="ESG4092" s="917"/>
      <c r="ESH4092" s="917"/>
      <c r="ESI4092" s="917"/>
      <c r="ESJ4092" s="917"/>
      <c r="ESK4092" s="917"/>
      <c r="ESL4092" s="917"/>
      <c r="ESM4092" s="917"/>
      <c r="ESN4092" s="917"/>
      <c r="ESO4092" s="917"/>
      <c r="ESP4092" s="917"/>
      <c r="ESQ4092" s="917"/>
      <c r="ESR4092" s="917"/>
      <c r="ESS4092" s="917" t="s">
        <v>78</v>
      </c>
      <c r="EST4092" s="917"/>
      <c r="ESU4092" s="917"/>
      <c r="ESV4092" s="917"/>
      <c r="ESW4092" s="917"/>
      <c r="ESX4092" s="917"/>
      <c r="ESY4092" s="917"/>
      <c r="ESZ4092" s="917"/>
      <c r="ETA4092" s="917"/>
      <c r="ETB4092" s="917"/>
      <c r="ETC4092" s="917"/>
      <c r="ETD4092" s="917"/>
      <c r="ETE4092" s="917"/>
      <c r="ETF4092" s="917"/>
      <c r="ETG4092" s="917"/>
      <c r="ETH4092" s="917"/>
      <c r="ETI4092" s="917"/>
      <c r="ETJ4092" s="917"/>
      <c r="ETK4092" s="917"/>
      <c r="ETL4092" s="917"/>
      <c r="ETM4092" s="917"/>
      <c r="ETN4092" s="917"/>
      <c r="ETO4092" s="917"/>
      <c r="ETP4092" s="917"/>
      <c r="ETQ4092" s="917"/>
      <c r="ETR4092" s="917"/>
      <c r="ETS4092" s="917"/>
      <c r="ETT4092" s="917"/>
      <c r="ETU4092" s="917"/>
      <c r="ETV4092" s="917"/>
      <c r="ETW4092" s="917"/>
      <c r="ETX4092" s="917"/>
      <c r="ETY4092" s="917" t="s">
        <v>78</v>
      </c>
      <c r="ETZ4092" s="917"/>
      <c r="EUA4092" s="917"/>
      <c r="EUB4092" s="917"/>
      <c r="EUC4092" s="917"/>
      <c r="EUD4092" s="917"/>
      <c r="EUE4092" s="917"/>
      <c r="EUF4092" s="917"/>
      <c r="EUG4092" s="917"/>
      <c r="EUH4092" s="917"/>
      <c r="EUI4092" s="917"/>
      <c r="EUJ4092" s="917"/>
      <c r="EUK4092" s="917"/>
      <c r="EUL4092" s="917"/>
      <c r="EUM4092" s="917"/>
      <c r="EUN4092" s="917"/>
      <c r="EUO4092" s="917"/>
      <c r="EUP4092" s="917"/>
      <c r="EUQ4092" s="917"/>
      <c r="EUR4092" s="917"/>
      <c r="EUS4092" s="917"/>
      <c r="EUT4092" s="917"/>
      <c r="EUU4092" s="917"/>
      <c r="EUV4092" s="917"/>
      <c r="EUW4092" s="917"/>
      <c r="EUX4092" s="917"/>
      <c r="EUY4092" s="917"/>
      <c r="EUZ4092" s="917"/>
      <c r="EVA4092" s="917"/>
      <c r="EVB4092" s="917"/>
      <c r="EVC4092" s="917"/>
      <c r="EVD4092" s="917"/>
      <c r="EVE4092" s="917" t="s">
        <v>78</v>
      </c>
      <c r="EVF4092" s="917"/>
      <c r="EVG4092" s="917"/>
      <c r="EVH4092" s="917"/>
      <c r="EVI4092" s="917"/>
      <c r="EVJ4092" s="917"/>
      <c r="EVK4092" s="917"/>
      <c r="EVL4092" s="917"/>
      <c r="EVM4092" s="917"/>
      <c r="EVN4092" s="917"/>
      <c r="EVO4092" s="917"/>
      <c r="EVP4092" s="917"/>
      <c r="EVQ4092" s="917"/>
      <c r="EVR4092" s="917"/>
      <c r="EVS4092" s="917"/>
      <c r="EVT4092" s="917"/>
      <c r="EVU4092" s="917"/>
      <c r="EVV4092" s="917"/>
      <c r="EVW4092" s="917"/>
      <c r="EVX4092" s="917"/>
      <c r="EVY4092" s="917"/>
      <c r="EVZ4092" s="917"/>
      <c r="EWA4092" s="917"/>
      <c r="EWB4092" s="917"/>
      <c r="EWC4092" s="917"/>
      <c r="EWD4092" s="917"/>
      <c r="EWE4092" s="917"/>
      <c r="EWF4092" s="917"/>
      <c r="EWG4092" s="917"/>
      <c r="EWH4092" s="917"/>
      <c r="EWI4092" s="917"/>
      <c r="EWJ4092" s="917"/>
      <c r="EWK4092" s="917" t="s">
        <v>78</v>
      </c>
      <c r="EWL4092" s="917"/>
      <c r="EWM4092" s="917"/>
      <c r="EWN4092" s="917"/>
      <c r="EWO4092" s="917"/>
      <c r="EWP4092" s="917"/>
      <c r="EWQ4092" s="917"/>
      <c r="EWR4092" s="917"/>
      <c r="EWS4092" s="917"/>
      <c r="EWT4092" s="917"/>
      <c r="EWU4092" s="917"/>
      <c r="EWV4092" s="917"/>
      <c r="EWW4092" s="917"/>
      <c r="EWX4092" s="917"/>
      <c r="EWY4092" s="917"/>
      <c r="EWZ4092" s="917"/>
      <c r="EXA4092" s="917"/>
      <c r="EXB4092" s="917"/>
      <c r="EXC4092" s="917"/>
      <c r="EXD4092" s="917"/>
      <c r="EXE4092" s="917"/>
      <c r="EXF4092" s="917"/>
      <c r="EXG4092" s="917"/>
      <c r="EXH4092" s="917"/>
      <c r="EXI4092" s="917"/>
      <c r="EXJ4092" s="917"/>
      <c r="EXK4092" s="917"/>
      <c r="EXL4092" s="917"/>
      <c r="EXM4092" s="917"/>
      <c r="EXN4092" s="917"/>
      <c r="EXO4092" s="917"/>
      <c r="EXP4092" s="917"/>
      <c r="EXQ4092" s="917" t="s">
        <v>78</v>
      </c>
      <c r="EXR4092" s="917"/>
      <c r="EXS4092" s="917"/>
      <c r="EXT4092" s="917"/>
      <c r="EXU4092" s="917"/>
      <c r="EXV4092" s="917"/>
      <c r="EXW4092" s="917"/>
      <c r="EXX4092" s="917"/>
      <c r="EXY4092" s="917"/>
      <c r="EXZ4092" s="917"/>
      <c r="EYA4092" s="917"/>
      <c r="EYB4092" s="917"/>
      <c r="EYC4092" s="917"/>
      <c r="EYD4092" s="917"/>
      <c r="EYE4092" s="917"/>
      <c r="EYF4092" s="917"/>
      <c r="EYG4092" s="917"/>
      <c r="EYH4092" s="917"/>
      <c r="EYI4092" s="917"/>
      <c r="EYJ4092" s="917"/>
      <c r="EYK4092" s="917"/>
      <c r="EYL4092" s="917"/>
      <c r="EYM4092" s="917"/>
      <c r="EYN4092" s="917"/>
      <c r="EYO4092" s="917"/>
      <c r="EYP4092" s="917"/>
      <c r="EYQ4092" s="917"/>
      <c r="EYR4092" s="917"/>
      <c r="EYS4092" s="917"/>
      <c r="EYT4092" s="917"/>
      <c r="EYU4092" s="917"/>
      <c r="EYV4092" s="917"/>
      <c r="EYW4092" s="917" t="s">
        <v>78</v>
      </c>
      <c r="EYX4092" s="917"/>
      <c r="EYY4092" s="917"/>
      <c r="EYZ4092" s="917"/>
      <c r="EZA4092" s="917"/>
      <c r="EZB4092" s="917"/>
      <c r="EZC4092" s="917"/>
      <c r="EZD4092" s="917"/>
      <c r="EZE4092" s="917"/>
      <c r="EZF4092" s="917"/>
      <c r="EZG4092" s="917"/>
      <c r="EZH4092" s="917"/>
      <c r="EZI4092" s="917"/>
      <c r="EZJ4092" s="917"/>
      <c r="EZK4092" s="917"/>
      <c r="EZL4092" s="917"/>
      <c r="EZM4092" s="917"/>
      <c r="EZN4092" s="917"/>
      <c r="EZO4092" s="917"/>
      <c r="EZP4092" s="917"/>
      <c r="EZQ4092" s="917"/>
      <c r="EZR4092" s="917"/>
      <c r="EZS4092" s="917"/>
      <c r="EZT4092" s="917"/>
      <c r="EZU4092" s="917"/>
      <c r="EZV4092" s="917"/>
      <c r="EZW4092" s="917"/>
      <c r="EZX4092" s="917"/>
      <c r="EZY4092" s="917"/>
      <c r="EZZ4092" s="917"/>
      <c r="FAA4092" s="917"/>
      <c r="FAB4092" s="917"/>
      <c r="FAC4092" s="917" t="s">
        <v>78</v>
      </c>
      <c r="FAD4092" s="917"/>
      <c r="FAE4092" s="917"/>
      <c r="FAF4092" s="917"/>
      <c r="FAG4092" s="917"/>
      <c r="FAH4092" s="917"/>
      <c r="FAI4092" s="917"/>
      <c r="FAJ4092" s="917"/>
      <c r="FAK4092" s="917"/>
      <c r="FAL4092" s="917"/>
      <c r="FAM4092" s="917"/>
      <c r="FAN4092" s="917"/>
      <c r="FAO4092" s="917"/>
      <c r="FAP4092" s="917"/>
      <c r="FAQ4092" s="917"/>
      <c r="FAR4092" s="917"/>
      <c r="FAS4092" s="917"/>
      <c r="FAT4092" s="917"/>
      <c r="FAU4092" s="917"/>
      <c r="FAV4092" s="917"/>
      <c r="FAW4092" s="917"/>
      <c r="FAX4092" s="917"/>
      <c r="FAY4092" s="917"/>
      <c r="FAZ4092" s="917"/>
      <c r="FBA4092" s="917"/>
      <c r="FBB4092" s="917"/>
      <c r="FBC4092" s="917"/>
      <c r="FBD4092" s="917"/>
      <c r="FBE4092" s="917"/>
      <c r="FBF4092" s="917"/>
      <c r="FBG4092" s="917"/>
      <c r="FBH4092" s="917"/>
      <c r="FBI4092" s="917" t="s">
        <v>78</v>
      </c>
      <c r="FBJ4092" s="917"/>
      <c r="FBK4092" s="917"/>
      <c r="FBL4092" s="917"/>
      <c r="FBM4092" s="917"/>
      <c r="FBN4092" s="917"/>
      <c r="FBO4092" s="917"/>
      <c r="FBP4092" s="917"/>
      <c r="FBQ4092" s="917"/>
      <c r="FBR4092" s="917"/>
      <c r="FBS4092" s="917"/>
      <c r="FBT4092" s="917"/>
      <c r="FBU4092" s="917"/>
      <c r="FBV4092" s="917"/>
      <c r="FBW4092" s="917"/>
      <c r="FBX4092" s="917"/>
      <c r="FBY4092" s="917"/>
      <c r="FBZ4092" s="917"/>
      <c r="FCA4092" s="917"/>
      <c r="FCB4092" s="917"/>
      <c r="FCC4092" s="917"/>
      <c r="FCD4092" s="917"/>
      <c r="FCE4092" s="917"/>
      <c r="FCF4092" s="917"/>
      <c r="FCG4092" s="917"/>
      <c r="FCH4092" s="917"/>
      <c r="FCI4092" s="917"/>
      <c r="FCJ4092" s="917"/>
      <c r="FCK4092" s="917"/>
      <c r="FCL4092" s="917"/>
      <c r="FCM4092" s="917"/>
      <c r="FCN4092" s="917"/>
      <c r="FCO4092" s="917" t="s">
        <v>78</v>
      </c>
      <c r="FCP4092" s="917"/>
      <c r="FCQ4092" s="917"/>
      <c r="FCR4092" s="917"/>
      <c r="FCS4092" s="917"/>
      <c r="FCT4092" s="917"/>
      <c r="FCU4092" s="917"/>
      <c r="FCV4092" s="917"/>
      <c r="FCW4092" s="917"/>
      <c r="FCX4092" s="917"/>
      <c r="FCY4092" s="917"/>
      <c r="FCZ4092" s="917"/>
      <c r="FDA4092" s="917"/>
      <c r="FDB4092" s="917"/>
      <c r="FDC4092" s="917"/>
      <c r="FDD4092" s="917"/>
      <c r="FDE4092" s="917"/>
      <c r="FDF4092" s="917"/>
      <c r="FDG4092" s="917"/>
      <c r="FDH4092" s="917"/>
      <c r="FDI4092" s="917"/>
      <c r="FDJ4092" s="917"/>
      <c r="FDK4092" s="917"/>
      <c r="FDL4092" s="917"/>
      <c r="FDM4092" s="917"/>
      <c r="FDN4092" s="917"/>
      <c r="FDO4092" s="917"/>
      <c r="FDP4092" s="917"/>
      <c r="FDQ4092" s="917"/>
      <c r="FDR4092" s="917"/>
      <c r="FDS4092" s="917"/>
      <c r="FDT4092" s="917"/>
      <c r="FDU4092" s="917" t="s">
        <v>78</v>
      </c>
      <c r="FDV4092" s="917"/>
      <c r="FDW4092" s="917"/>
      <c r="FDX4092" s="917"/>
      <c r="FDY4092" s="917"/>
      <c r="FDZ4092" s="917"/>
      <c r="FEA4092" s="917"/>
      <c r="FEB4092" s="917"/>
      <c r="FEC4092" s="917"/>
      <c r="FED4092" s="917"/>
      <c r="FEE4092" s="917"/>
      <c r="FEF4092" s="917"/>
      <c r="FEG4092" s="917"/>
      <c r="FEH4092" s="917"/>
      <c r="FEI4092" s="917"/>
      <c r="FEJ4092" s="917"/>
      <c r="FEK4092" s="917"/>
      <c r="FEL4092" s="917"/>
      <c r="FEM4092" s="917"/>
      <c r="FEN4092" s="917"/>
      <c r="FEO4092" s="917"/>
      <c r="FEP4092" s="917"/>
      <c r="FEQ4092" s="917"/>
      <c r="FER4092" s="917"/>
      <c r="FES4092" s="917"/>
      <c r="FET4092" s="917"/>
      <c r="FEU4092" s="917"/>
      <c r="FEV4092" s="917"/>
      <c r="FEW4092" s="917"/>
      <c r="FEX4092" s="917"/>
      <c r="FEY4092" s="917"/>
      <c r="FEZ4092" s="917"/>
      <c r="FFA4092" s="917" t="s">
        <v>78</v>
      </c>
      <c r="FFB4092" s="917"/>
      <c r="FFC4092" s="917"/>
      <c r="FFD4092" s="917"/>
      <c r="FFE4092" s="917"/>
      <c r="FFF4092" s="917"/>
      <c r="FFG4092" s="917"/>
      <c r="FFH4092" s="917"/>
      <c r="FFI4092" s="917"/>
      <c r="FFJ4092" s="917"/>
      <c r="FFK4092" s="917"/>
      <c r="FFL4092" s="917"/>
      <c r="FFM4092" s="917"/>
      <c r="FFN4092" s="917"/>
      <c r="FFO4092" s="917"/>
      <c r="FFP4092" s="917"/>
      <c r="FFQ4092" s="917"/>
      <c r="FFR4092" s="917"/>
      <c r="FFS4092" s="917"/>
      <c r="FFT4092" s="917"/>
      <c r="FFU4092" s="917"/>
      <c r="FFV4092" s="917"/>
      <c r="FFW4092" s="917"/>
      <c r="FFX4092" s="917"/>
      <c r="FFY4092" s="917"/>
      <c r="FFZ4092" s="917"/>
      <c r="FGA4092" s="917"/>
      <c r="FGB4092" s="917"/>
      <c r="FGC4092" s="917"/>
      <c r="FGD4092" s="917"/>
      <c r="FGE4092" s="917"/>
      <c r="FGF4092" s="917"/>
      <c r="FGG4092" s="917" t="s">
        <v>78</v>
      </c>
      <c r="FGH4092" s="917"/>
      <c r="FGI4092" s="917"/>
      <c r="FGJ4092" s="917"/>
      <c r="FGK4092" s="917"/>
      <c r="FGL4092" s="917"/>
      <c r="FGM4092" s="917"/>
      <c r="FGN4092" s="917"/>
      <c r="FGO4092" s="917"/>
      <c r="FGP4092" s="917"/>
      <c r="FGQ4092" s="917"/>
      <c r="FGR4092" s="917"/>
      <c r="FGS4092" s="917"/>
      <c r="FGT4092" s="917"/>
      <c r="FGU4092" s="917"/>
      <c r="FGV4092" s="917"/>
      <c r="FGW4092" s="917"/>
      <c r="FGX4092" s="917"/>
      <c r="FGY4092" s="917"/>
      <c r="FGZ4092" s="917"/>
      <c r="FHA4092" s="917"/>
      <c r="FHB4092" s="917"/>
      <c r="FHC4092" s="917"/>
      <c r="FHD4092" s="917"/>
      <c r="FHE4092" s="917"/>
      <c r="FHF4092" s="917"/>
      <c r="FHG4092" s="917"/>
      <c r="FHH4092" s="917"/>
      <c r="FHI4092" s="917"/>
      <c r="FHJ4092" s="917"/>
      <c r="FHK4092" s="917"/>
      <c r="FHL4092" s="917"/>
      <c r="FHM4092" s="917" t="s">
        <v>78</v>
      </c>
      <c r="FHN4092" s="917"/>
      <c r="FHO4092" s="917"/>
      <c r="FHP4092" s="917"/>
      <c r="FHQ4092" s="917"/>
      <c r="FHR4092" s="917"/>
      <c r="FHS4092" s="917"/>
      <c r="FHT4092" s="917"/>
      <c r="FHU4092" s="917"/>
      <c r="FHV4092" s="917"/>
      <c r="FHW4092" s="917"/>
      <c r="FHX4092" s="917"/>
      <c r="FHY4092" s="917"/>
      <c r="FHZ4092" s="917"/>
      <c r="FIA4092" s="917"/>
      <c r="FIB4092" s="917"/>
      <c r="FIC4092" s="917"/>
      <c r="FID4092" s="917"/>
      <c r="FIE4092" s="917"/>
      <c r="FIF4092" s="917"/>
      <c r="FIG4092" s="917"/>
      <c r="FIH4092" s="917"/>
      <c r="FII4092" s="917"/>
      <c r="FIJ4092" s="917"/>
      <c r="FIK4092" s="917"/>
      <c r="FIL4092" s="917"/>
      <c r="FIM4092" s="917"/>
      <c r="FIN4092" s="917"/>
      <c r="FIO4092" s="917"/>
      <c r="FIP4092" s="917"/>
      <c r="FIQ4092" s="917"/>
      <c r="FIR4092" s="917"/>
      <c r="FIS4092" s="917" t="s">
        <v>78</v>
      </c>
      <c r="FIT4092" s="917"/>
      <c r="FIU4092" s="917"/>
      <c r="FIV4092" s="917"/>
      <c r="FIW4092" s="917"/>
      <c r="FIX4092" s="917"/>
      <c r="FIY4092" s="917"/>
      <c r="FIZ4092" s="917"/>
      <c r="FJA4092" s="917"/>
      <c r="FJB4092" s="917"/>
      <c r="FJC4092" s="917"/>
      <c r="FJD4092" s="917"/>
      <c r="FJE4092" s="917"/>
      <c r="FJF4092" s="917"/>
      <c r="FJG4092" s="917"/>
      <c r="FJH4092" s="917"/>
      <c r="FJI4092" s="917"/>
      <c r="FJJ4092" s="917"/>
      <c r="FJK4092" s="917"/>
      <c r="FJL4092" s="917"/>
      <c r="FJM4092" s="917"/>
      <c r="FJN4092" s="917"/>
      <c r="FJO4092" s="917"/>
      <c r="FJP4092" s="917"/>
      <c r="FJQ4092" s="917"/>
      <c r="FJR4092" s="917"/>
      <c r="FJS4092" s="917"/>
      <c r="FJT4092" s="917"/>
      <c r="FJU4092" s="917"/>
      <c r="FJV4092" s="917"/>
      <c r="FJW4092" s="917"/>
      <c r="FJX4092" s="917"/>
      <c r="FJY4092" s="917" t="s">
        <v>78</v>
      </c>
      <c r="FJZ4092" s="917"/>
      <c r="FKA4092" s="917"/>
      <c r="FKB4092" s="917"/>
      <c r="FKC4092" s="917"/>
      <c r="FKD4092" s="917"/>
      <c r="FKE4092" s="917"/>
      <c r="FKF4092" s="917"/>
      <c r="FKG4092" s="917"/>
      <c r="FKH4092" s="917"/>
      <c r="FKI4092" s="917"/>
      <c r="FKJ4092" s="917"/>
      <c r="FKK4092" s="917"/>
      <c r="FKL4092" s="917"/>
      <c r="FKM4092" s="917"/>
      <c r="FKN4092" s="917"/>
      <c r="FKO4092" s="917"/>
      <c r="FKP4092" s="917"/>
      <c r="FKQ4092" s="917"/>
      <c r="FKR4092" s="917"/>
      <c r="FKS4092" s="917"/>
      <c r="FKT4092" s="917"/>
      <c r="FKU4092" s="917"/>
      <c r="FKV4092" s="917"/>
      <c r="FKW4092" s="917"/>
      <c r="FKX4092" s="917"/>
      <c r="FKY4092" s="917"/>
      <c r="FKZ4092" s="917"/>
      <c r="FLA4092" s="917"/>
      <c r="FLB4092" s="917"/>
      <c r="FLC4092" s="917"/>
      <c r="FLD4092" s="917"/>
      <c r="FLE4092" s="917" t="s">
        <v>78</v>
      </c>
      <c r="FLF4092" s="917"/>
      <c r="FLG4092" s="917"/>
      <c r="FLH4092" s="917"/>
      <c r="FLI4092" s="917"/>
      <c r="FLJ4092" s="917"/>
      <c r="FLK4092" s="917"/>
      <c r="FLL4092" s="917"/>
      <c r="FLM4092" s="917"/>
      <c r="FLN4092" s="917"/>
      <c r="FLO4092" s="917"/>
      <c r="FLP4092" s="917"/>
      <c r="FLQ4092" s="917"/>
      <c r="FLR4092" s="917"/>
      <c r="FLS4092" s="917"/>
      <c r="FLT4092" s="917"/>
      <c r="FLU4092" s="917"/>
      <c r="FLV4092" s="917"/>
      <c r="FLW4092" s="917"/>
      <c r="FLX4092" s="917"/>
      <c r="FLY4092" s="917"/>
      <c r="FLZ4092" s="917"/>
      <c r="FMA4092" s="917"/>
      <c r="FMB4092" s="917"/>
      <c r="FMC4092" s="917"/>
      <c r="FMD4092" s="917"/>
      <c r="FME4092" s="917"/>
      <c r="FMF4092" s="917"/>
      <c r="FMG4092" s="917"/>
      <c r="FMH4092" s="917"/>
      <c r="FMI4092" s="917"/>
      <c r="FMJ4092" s="917"/>
      <c r="FMK4092" s="917" t="s">
        <v>78</v>
      </c>
      <c r="FML4092" s="917"/>
      <c r="FMM4092" s="917"/>
      <c r="FMN4092" s="917"/>
      <c r="FMO4092" s="917"/>
      <c r="FMP4092" s="917"/>
      <c r="FMQ4092" s="917"/>
      <c r="FMR4092" s="917"/>
      <c r="FMS4092" s="917"/>
      <c r="FMT4092" s="917"/>
      <c r="FMU4092" s="917"/>
      <c r="FMV4092" s="917"/>
      <c r="FMW4092" s="917"/>
      <c r="FMX4092" s="917"/>
      <c r="FMY4092" s="917"/>
      <c r="FMZ4092" s="917"/>
      <c r="FNA4092" s="917"/>
      <c r="FNB4092" s="917"/>
      <c r="FNC4092" s="917"/>
      <c r="FND4092" s="917"/>
      <c r="FNE4092" s="917"/>
      <c r="FNF4092" s="917"/>
      <c r="FNG4092" s="917"/>
      <c r="FNH4092" s="917"/>
      <c r="FNI4092" s="917"/>
      <c r="FNJ4092" s="917"/>
      <c r="FNK4092" s="917"/>
      <c r="FNL4092" s="917"/>
      <c r="FNM4092" s="917"/>
      <c r="FNN4092" s="917"/>
      <c r="FNO4092" s="917"/>
      <c r="FNP4092" s="917"/>
      <c r="FNQ4092" s="917" t="s">
        <v>78</v>
      </c>
      <c r="FNR4092" s="917"/>
      <c r="FNS4092" s="917"/>
      <c r="FNT4092" s="917"/>
      <c r="FNU4092" s="917"/>
      <c r="FNV4092" s="917"/>
      <c r="FNW4092" s="917"/>
      <c r="FNX4092" s="917"/>
      <c r="FNY4092" s="917"/>
      <c r="FNZ4092" s="917"/>
      <c r="FOA4092" s="917"/>
      <c r="FOB4092" s="917"/>
      <c r="FOC4092" s="917"/>
      <c r="FOD4092" s="917"/>
      <c r="FOE4092" s="917"/>
      <c r="FOF4092" s="917"/>
      <c r="FOG4092" s="917"/>
      <c r="FOH4092" s="917"/>
      <c r="FOI4092" s="917"/>
      <c r="FOJ4092" s="917"/>
      <c r="FOK4092" s="917"/>
      <c r="FOL4092" s="917"/>
      <c r="FOM4092" s="917"/>
      <c r="FON4092" s="917"/>
      <c r="FOO4092" s="917"/>
      <c r="FOP4092" s="917"/>
      <c r="FOQ4092" s="917"/>
      <c r="FOR4092" s="917"/>
      <c r="FOS4092" s="917"/>
      <c r="FOT4092" s="917"/>
      <c r="FOU4092" s="917"/>
      <c r="FOV4092" s="917"/>
      <c r="FOW4092" s="917" t="s">
        <v>78</v>
      </c>
      <c r="FOX4092" s="917"/>
      <c r="FOY4092" s="917"/>
      <c r="FOZ4092" s="917"/>
      <c r="FPA4092" s="917"/>
      <c r="FPB4092" s="917"/>
      <c r="FPC4092" s="917"/>
      <c r="FPD4092" s="917"/>
      <c r="FPE4092" s="917"/>
      <c r="FPF4092" s="917"/>
      <c r="FPG4092" s="917"/>
      <c r="FPH4092" s="917"/>
      <c r="FPI4092" s="917"/>
      <c r="FPJ4092" s="917"/>
      <c r="FPK4092" s="917"/>
      <c r="FPL4092" s="917"/>
      <c r="FPM4092" s="917"/>
      <c r="FPN4092" s="917"/>
      <c r="FPO4092" s="917"/>
      <c r="FPP4092" s="917"/>
      <c r="FPQ4092" s="917"/>
      <c r="FPR4092" s="917"/>
      <c r="FPS4092" s="917"/>
      <c r="FPT4092" s="917"/>
      <c r="FPU4092" s="917"/>
      <c r="FPV4092" s="917"/>
      <c r="FPW4092" s="917"/>
      <c r="FPX4092" s="917"/>
      <c r="FPY4092" s="917"/>
      <c r="FPZ4092" s="917"/>
      <c r="FQA4092" s="917"/>
      <c r="FQB4092" s="917"/>
      <c r="FQC4092" s="917" t="s">
        <v>78</v>
      </c>
      <c r="FQD4092" s="917"/>
      <c r="FQE4092" s="917"/>
      <c r="FQF4092" s="917"/>
      <c r="FQG4092" s="917"/>
      <c r="FQH4092" s="917"/>
      <c r="FQI4092" s="917"/>
      <c r="FQJ4092" s="917"/>
      <c r="FQK4092" s="917"/>
      <c r="FQL4092" s="917"/>
      <c r="FQM4092" s="917"/>
      <c r="FQN4092" s="917"/>
      <c r="FQO4092" s="917"/>
      <c r="FQP4092" s="917"/>
      <c r="FQQ4092" s="917"/>
      <c r="FQR4092" s="917"/>
      <c r="FQS4092" s="917"/>
      <c r="FQT4092" s="917"/>
      <c r="FQU4092" s="917"/>
      <c r="FQV4092" s="917"/>
      <c r="FQW4092" s="917"/>
      <c r="FQX4092" s="917"/>
      <c r="FQY4092" s="917"/>
      <c r="FQZ4092" s="917"/>
      <c r="FRA4092" s="917"/>
      <c r="FRB4092" s="917"/>
      <c r="FRC4092" s="917"/>
      <c r="FRD4092" s="917"/>
      <c r="FRE4092" s="917"/>
      <c r="FRF4092" s="917"/>
      <c r="FRG4092" s="917"/>
      <c r="FRH4092" s="917"/>
      <c r="FRI4092" s="917" t="s">
        <v>78</v>
      </c>
      <c r="FRJ4092" s="917"/>
      <c r="FRK4092" s="917"/>
      <c r="FRL4092" s="917"/>
      <c r="FRM4092" s="917"/>
      <c r="FRN4092" s="917"/>
      <c r="FRO4092" s="917"/>
      <c r="FRP4092" s="917"/>
      <c r="FRQ4092" s="917"/>
      <c r="FRR4092" s="917"/>
      <c r="FRS4092" s="917"/>
      <c r="FRT4092" s="917"/>
      <c r="FRU4092" s="917"/>
      <c r="FRV4092" s="917"/>
      <c r="FRW4092" s="917"/>
      <c r="FRX4092" s="917"/>
      <c r="FRY4092" s="917"/>
      <c r="FRZ4092" s="917"/>
      <c r="FSA4092" s="917"/>
      <c r="FSB4092" s="917"/>
      <c r="FSC4092" s="917"/>
      <c r="FSD4092" s="917"/>
      <c r="FSE4092" s="917"/>
      <c r="FSF4092" s="917"/>
      <c r="FSG4092" s="917"/>
      <c r="FSH4092" s="917"/>
      <c r="FSI4092" s="917"/>
      <c r="FSJ4092" s="917"/>
      <c r="FSK4092" s="917"/>
      <c r="FSL4092" s="917"/>
      <c r="FSM4092" s="917"/>
      <c r="FSN4092" s="917"/>
      <c r="FSO4092" s="917" t="s">
        <v>78</v>
      </c>
      <c r="FSP4092" s="917"/>
      <c r="FSQ4092" s="917"/>
      <c r="FSR4092" s="917"/>
      <c r="FSS4092" s="917"/>
      <c r="FST4092" s="917"/>
      <c r="FSU4092" s="917"/>
      <c r="FSV4092" s="917"/>
      <c r="FSW4092" s="917"/>
      <c r="FSX4092" s="917"/>
      <c r="FSY4092" s="917"/>
      <c r="FSZ4092" s="917"/>
      <c r="FTA4092" s="917"/>
      <c r="FTB4092" s="917"/>
      <c r="FTC4092" s="917"/>
      <c r="FTD4092" s="917"/>
      <c r="FTE4092" s="917"/>
      <c r="FTF4092" s="917"/>
      <c r="FTG4092" s="917"/>
      <c r="FTH4092" s="917"/>
      <c r="FTI4092" s="917"/>
      <c r="FTJ4092" s="917"/>
      <c r="FTK4092" s="917"/>
      <c r="FTL4092" s="917"/>
      <c r="FTM4092" s="917"/>
      <c r="FTN4092" s="917"/>
      <c r="FTO4092" s="917"/>
      <c r="FTP4092" s="917"/>
      <c r="FTQ4092" s="917"/>
      <c r="FTR4092" s="917"/>
      <c r="FTS4092" s="917"/>
      <c r="FTT4092" s="917"/>
      <c r="FTU4092" s="917" t="s">
        <v>78</v>
      </c>
      <c r="FTV4092" s="917"/>
      <c r="FTW4092" s="917"/>
      <c r="FTX4092" s="917"/>
      <c r="FTY4092" s="917"/>
      <c r="FTZ4092" s="917"/>
      <c r="FUA4092" s="917"/>
      <c r="FUB4092" s="917"/>
      <c r="FUC4092" s="917"/>
      <c r="FUD4092" s="917"/>
      <c r="FUE4092" s="917"/>
      <c r="FUF4092" s="917"/>
      <c r="FUG4092" s="917"/>
      <c r="FUH4092" s="917"/>
      <c r="FUI4092" s="917"/>
      <c r="FUJ4092" s="917"/>
      <c r="FUK4092" s="917"/>
      <c r="FUL4092" s="917"/>
      <c r="FUM4092" s="917"/>
      <c r="FUN4092" s="917"/>
      <c r="FUO4092" s="917"/>
      <c r="FUP4092" s="917"/>
      <c r="FUQ4092" s="917"/>
      <c r="FUR4092" s="917"/>
      <c r="FUS4092" s="917"/>
      <c r="FUT4092" s="917"/>
      <c r="FUU4092" s="917"/>
      <c r="FUV4092" s="917"/>
      <c r="FUW4092" s="917"/>
      <c r="FUX4092" s="917"/>
      <c r="FUY4092" s="917"/>
      <c r="FUZ4092" s="917"/>
      <c r="FVA4092" s="917" t="s">
        <v>78</v>
      </c>
      <c r="FVB4092" s="917"/>
      <c r="FVC4092" s="917"/>
      <c r="FVD4092" s="917"/>
      <c r="FVE4092" s="917"/>
      <c r="FVF4092" s="917"/>
      <c r="FVG4092" s="917"/>
      <c r="FVH4092" s="917"/>
      <c r="FVI4092" s="917"/>
      <c r="FVJ4092" s="917"/>
      <c r="FVK4092" s="917"/>
      <c r="FVL4092" s="917"/>
      <c r="FVM4092" s="917"/>
      <c r="FVN4092" s="917"/>
      <c r="FVO4092" s="917"/>
      <c r="FVP4092" s="917"/>
      <c r="FVQ4092" s="917"/>
      <c r="FVR4092" s="917"/>
      <c r="FVS4092" s="917"/>
      <c r="FVT4092" s="917"/>
      <c r="FVU4092" s="917"/>
      <c r="FVV4092" s="917"/>
      <c r="FVW4092" s="917"/>
      <c r="FVX4092" s="917"/>
      <c r="FVY4092" s="917"/>
      <c r="FVZ4092" s="917"/>
      <c r="FWA4092" s="917"/>
      <c r="FWB4092" s="917"/>
      <c r="FWC4092" s="917"/>
      <c r="FWD4092" s="917"/>
      <c r="FWE4092" s="917"/>
      <c r="FWF4092" s="917"/>
      <c r="FWG4092" s="917" t="s">
        <v>78</v>
      </c>
      <c r="FWH4092" s="917"/>
      <c r="FWI4092" s="917"/>
      <c r="FWJ4092" s="917"/>
      <c r="FWK4092" s="917"/>
      <c r="FWL4092" s="917"/>
      <c r="FWM4092" s="917"/>
      <c r="FWN4092" s="917"/>
      <c r="FWO4092" s="917"/>
      <c r="FWP4092" s="917"/>
      <c r="FWQ4092" s="917"/>
      <c r="FWR4092" s="917"/>
      <c r="FWS4092" s="917"/>
      <c r="FWT4092" s="917"/>
      <c r="FWU4092" s="917"/>
      <c r="FWV4092" s="917"/>
      <c r="FWW4092" s="917"/>
      <c r="FWX4092" s="917"/>
      <c r="FWY4092" s="917"/>
      <c r="FWZ4092" s="917"/>
      <c r="FXA4092" s="917"/>
      <c r="FXB4092" s="917"/>
      <c r="FXC4092" s="917"/>
      <c r="FXD4092" s="917"/>
      <c r="FXE4092" s="917"/>
      <c r="FXF4092" s="917"/>
      <c r="FXG4092" s="917"/>
      <c r="FXH4092" s="917"/>
      <c r="FXI4092" s="917"/>
      <c r="FXJ4092" s="917"/>
      <c r="FXK4092" s="917"/>
      <c r="FXL4092" s="917"/>
      <c r="FXM4092" s="917" t="s">
        <v>78</v>
      </c>
      <c r="FXN4092" s="917"/>
      <c r="FXO4092" s="917"/>
      <c r="FXP4092" s="917"/>
      <c r="FXQ4092" s="917"/>
      <c r="FXR4092" s="917"/>
      <c r="FXS4092" s="917"/>
      <c r="FXT4092" s="917"/>
      <c r="FXU4092" s="917"/>
      <c r="FXV4092" s="917"/>
      <c r="FXW4092" s="917"/>
      <c r="FXX4092" s="917"/>
      <c r="FXY4092" s="917"/>
      <c r="FXZ4092" s="917"/>
      <c r="FYA4092" s="917"/>
      <c r="FYB4092" s="917"/>
      <c r="FYC4092" s="917"/>
      <c r="FYD4092" s="917"/>
      <c r="FYE4092" s="917"/>
      <c r="FYF4092" s="917"/>
      <c r="FYG4092" s="917"/>
      <c r="FYH4092" s="917"/>
      <c r="FYI4092" s="917"/>
      <c r="FYJ4092" s="917"/>
      <c r="FYK4092" s="917"/>
      <c r="FYL4092" s="917"/>
      <c r="FYM4092" s="917"/>
      <c r="FYN4092" s="917"/>
      <c r="FYO4092" s="917"/>
      <c r="FYP4092" s="917"/>
      <c r="FYQ4092" s="917"/>
      <c r="FYR4092" s="917"/>
      <c r="FYS4092" s="917" t="s">
        <v>78</v>
      </c>
      <c r="FYT4092" s="917"/>
      <c r="FYU4092" s="917"/>
      <c r="FYV4092" s="917"/>
      <c r="FYW4092" s="917"/>
      <c r="FYX4092" s="917"/>
      <c r="FYY4092" s="917"/>
      <c r="FYZ4092" s="917"/>
      <c r="FZA4092" s="917"/>
      <c r="FZB4092" s="917"/>
      <c r="FZC4092" s="917"/>
      <c r="FZD4092" s="917"/>
      <c r="FZE4092" s="917"/>
      <c r="FZF4092" s="917"/>
      <c r="FZG4092" s="917"/>
      <c r="FZH4092" s="917"/>
      <c r="FZI4092" s="917"/>
      <c r="FZJ4092" s="917"/>
      <c r="FZK4092" s="917"/>
      <c r="FZL4092" s="917"/>
      <c r="FZM4092" s="917"/>
      <c r="FZN4092" s="917"/>
      <c r="FZO4092" s="917"/>
      <c r="FZP4092" s="917"/>
      <c r="FZQ4092" s="917"/>
      <c r="FZR4092" s="917"/>
      <c r="FZS4092" s="917"/>
      <c r="FZT4092" s="917"/>
      <c r="FZU4092" s="917"/>
      <c r="FZV4092" s="917"/>
      <c r="FZW4092" s="917"/>
      <c r="FZX4092" s="917"/>
      <c r="FZY4092" s="917" t="s">
        <v>78</v>
      </c>
      <c r="FZZ4092" s="917"/>
      <c r="GAA4092" s="917"/>
      <c r="GAB4092" s="917"/>
      <c r="GAC4092" s="917"/>
      <c r="GAD4092" s="917"/>
      <c r="GAE4092" s="917"/>
      <c r="GAF4092" s="917"/>
      <c r="GAG4092" s="917"/>
      <c r="GAH4092" s="917"/>
      <c r="GAI4092" s="917"/>
      <c r="GAJ4092" s="917"/>
      <c r="GAK4092" s="917"/>
      <c r="GAL4092" s="917"/>
      <c r="GAM4092" s="917"/>
      <c r="GAN4092" s="917"/>
      <c r="GAO4092" s="917"/>
      <c r="GAP4092" s="917"/>
      <c r="GAQ4092" s="917"/>
      <c r="GAR4092" s="917"/>
      <c r="GAS4092" s="917"/>
      <c r="GAT4092" s="917"/>
      <c r="GAU4092" s="917"/>
      <c r="GAV4092" s="917"/>
      <c r="GAW4092" s="917"/>
      <c r="GAX4092" s="917"/>
      <c r="GAY4092" s="917"/>
      <c r="GAZ4092" s="917"/>
      <c r="GBA4092" s="917"/>
      <c r="GBB4092" s="917"/>
      <c r="GBC4092" s="917"/>
      <c r="GBD4092" s="917"/>
      <c r="GBE4092" s="917" t="s">
        <v>78</v>
      </c>
      <c r="GBF4092" s="917"/>
      <c r="GBG4092" s="917"/>
      <c r="GBH4092" s="917"/>
      <c r="GBI4092" s="917"/>
      <c r="GBJ4092" s="917"/>
      <c r="GBK4092" s="917"/>
      <c r="GBL4092" s="917"/>
      <c r="GBM4092" s="917"/>
      <c r="GBN4092" s="917"/>
      <c r="GBO4092" s="917"/>
      <c r="GBP4092" s="917"/>
      <c r="GBQ4092" s="917"/>
      <c r="GBR4092" s="917"/>
      <c r="GBS4092" s="917"/>
      <c r="GBT4092" s="917"/>
      <c r="GBU4092" s="917"/>
      <c r="GBV4092" s="917"/>
      <c r="GBW4092" s="917"/>
      <c r="GBX4092" s="917"/>
      <c r="GBY4092" s="917"/>
      <c r="GBZ4092" s="917"/>
      <c r="GCA4092" s="917"/>
      <c r="GCB4092" s="917"/>
      <c r="GCC4092" s="917"/>
      <c r="GCD4092" s="917"/>
      <c r="GCE4092" s="917"/>
      <c r="GCF4092" s="917"/>
      <c r="GCG4092" s="917"/>
      <c r="GCH4092" s="917"/>
      <c r="GCI4092" s="917"/>
      <c r="GCJ4092" s="917"/>
      <c r="GCK4092" s="917" t="s">
        <v>78</v>
      </c>
      <c r="GCL4092" s="917"/>
      <c r="GCM4092" s="917"/>
      <c r="GCN4092" s="917"/>
      <c r="GCO4092" s="917"/>
      <c r="GCP4092" s="917"/>
      <c r="GCQ4092" s="917"/>
      <c r="GCR4092" s="917"/>
      <c r="GCS4092" s="917"/>
      <c r="GCT4092" s="917"/>
      <c r="GCU4092" s="917"/>
      <c r="GCV4092" s="917"/>
      <c r="GCW4092" s="917"/>
      <c r="GCX4092" s="917"/>
      <c r="GCY4092" s="917"/>
      <c r="GCZ4092" s="917"/>
      <c r="GDA4092" s="917"/>
      <c r="GDB4092" s="917"/>
      <c r="GDC4092" s="917"/>
      <c r="GDD4092" s="917"/>
      <c r="GDE4092" s="917"/>
      <c r="GDF4092" s="917"/>
      <c r="GDG4092" s="917"/>
      <c r="GDH4092" s="917"/>
      <c r="GDI4092" s="917"/>
      <c r="GDJ4092" s="917"/>
      <c r="GDK4092" s="917"/>
      <c r="GDL4092" s="917"/>
      <c r="GDM4092" s="917"/>
      <c r="GDN4092" s="917"/>
      <c r="GDO4092" s="917"/>
      <c r="GDP4092" s="917"/>
      <c r="GDQ4092" s="917" t="s">
        <v>78</v>
      </c>
      <c r="GDR4092" s="917"/>
      <c r="GDS4092" s="917"/>
      <c r="GDT4092" s="917"/>
      <c r="GDU4092" s="917"/>
      <c r="GDV4092" s="917"/>
      <c r="GDW4092" s="917"/>
      <c r="GDX4092" s="917"/>
      <c r="GDY4092" s="917"/>
      <c r="GDZ4092" s="917"/>
      <c r="GEA4092" s="917"/>
      <c r="GEB4092" s="917"/>
      <c r="GEC4092" s="917"/>
      <c r="GED4092" s="917"/>
      <c r="GEE4092" s="917"/>
      <c r="GEF4092" s="917"/>
      <c r="GEG4092" s="917"/>
      <c r="GEH4092" s="917"/>
      <c r="GEI4092" s="917"/>
      <c r="GEJ4092" s="917"/>
      <c r="GEK4092" s="917"/>
      <c r="GEL4092" s="917"/>
      <c r="GEM4092" s="917"/>
      <c r="GEN4092" s="917"/>
      <c r="GEO4092" s="917"/>
      <c r="GEP4092" s="917"/>
      <c r="GEQ4092" s="917"/>
      <c r="GER4092" s="917"/>
      <c r="GES4092" s="917"/>
      <c r="GET4092" s="917"/>
      <c r="GEU4092" s="917"/>
      <c r="GEV4092" s="917"/>
      <c r="GEW4092" s="917" t="s">
        <v>78</v>
      </c>
      <c r="GEX4092" s="917"/>
      <c r="GEY4092" s="917"/>
      <c r="GEZ4092" s="917"/>
      <c r="GFA4092" s="917"/>
      <c r="GFB4092" s="917"/>
      <c r="GFC4092" s="917"/>
      <c r="GFD4092" s="917"/>
      <c r="GFE4092" s="917"/>
      <c r="GFF4092" s="917"/>
      <c r="GFG4092" s="917"/>
      <c r="GFH4092" s="917"/>
      <c r="GFI4092" s="917"/>
      <c r="GFJ4092" s="917"/>
      <c r="GFK4092" s="917"/>
      <c r="GFL4092" s="917"/>
      <c r="GFM4092" s="917"/>
      <c r="GFN4092" s="917"/>
      <c r="GFO4092" s="917"/>
      <c r="GFP4092" s="917"/>
      <c r="GFQ4092" s="917"/>
      <c r="GFR4092" s="917"/>
      <c r="GFS4092" s="917"/>
      <c r="GFT4092" s="917"/>
      <c r="GFU4092" s="917"/>
      <c r="GFV4092" s="917"/>
      <c r="GFW4092" s="917"/>
      <c r="GFX4092" s="917"/>
      <c r="GFY4092" s="917"/>
      <c r="GFZ4092" s="917"/>
      <c r="GGA4092" s="917"/>
      <c r="GGB4092" s="917"/>
      <c r="GGC4092" s="917" t="s">
        <v>78</v>
      </c>
      <c r="GGD4092" s="917"/>
      <c r="GGE4092" s="917"/>
      <c r="GGF4092" s="917"/>
      <c r="GGG4092" s="917"/>
      <c r="GGH4092" s="917"/>
      <c r="GGI4092" s="917"/>
      <c r="GGJ4092" s="917"/>
      <c r="GGK4092" s="917"/>
      <c r="GGL4092" s="917"/>
      <c r="GGM4092" s="917"/>
      <c r="GGN4092" s="917"/>
      <c r="GGO4092" s="917"/>
      <c r="GGP4092" s="917"/>
      <c r="GGQ4092" s="917"/>
      <c r="GGR4092" s="917"/>
      <c r="GGS4092" s="917"/>
      <c r="GGT4092" s="917"/>
      <c r="GGU4092" s="917"/>
      <c r="GGV4092" s="917"/>
      <c r="GGW4092" s="917"/>
      <c r="GGX4092" s="917"/>
      <c r="GGY4092" s="917"/>
      <c r="GGZ4092" s="917"/>
      <c r="GHA4092" s="917"/>
      <c r="GHB4092" s="917"/>
      <c r="GHC4092" s="917"/>
      <c r="GHD4092" s="917"/>
      <c r="GHE4092" s="917"/>
      <c r="GHF4092" s="917"/>
      <c r="GHG4092" s="917"/>
      <c r="GHH4092" s="917"/>
      <c r="GHI4092" s="917" t="s">
        <v>78</v>
      </c>
      <c r="GHJ4092" s="917"/>
      <c r="GHK4092" s="917"/>
      <c r="GHL4092" s="917"/>
      <c r="GHM4092" s="917"/>
      <c r="GHN4092" s="917"/>
      <c r="GHO4092" s="917"/>
      <c r="GHP4092" s="917"/>
      <c r="GHQ4092" s="917"/>
      <c r="GHR4092" s="917"/>
      <c r="GHS4092" s="917"/>
      <c r="GHT4092" s="917"/>
      <c r="GHU4092" s="917"/>
      <c r="GHV4092" s="917"/>
      <c r="GHW4092" s="917"/>
      <c r="GHX4092" s="917"/>
      <c r="GHY4092" s="917"/>
      <c r="GHZ4092" s="917"/>
      <c r="GIA4092" s="917"/>
      <c r="GIB4092" s="917"/>
      <c r="GIC4092" s="917"/>
      <c r="GID4092" s="917"/>
      <c r="GIE4092" s="917"/>
      <c r="GIF4092" s="917"/>
      <c r="GIG4092" s="917"/>
      <c r="GIH4092" s="917"/>
      <c r="GII4092" s="917"/>
      <c r="GIJ4092" s="917"/>
      <c r="GIK4092" s="917"/>
      <c r="GIL4092" s="917"/>
      <c r="GIM4092" s="917"/>
      <c r="GIN4092" s="917"/>
      <c r="GIO4092" s="917" t="s">
        <v>78</v>
      </c>
      <c r="GIP4092" s="917"/>
      <c r="GIQ4092" s="917"/>
      <c r="GIR4092" s="917"/>
      <c r="GIS4092" s="917"/>
      <c r="GIT4092" s="917"/>
      <c r="GIU4092" s="917"/>
      <c r="GIV4092" s="917"/>
      <c r="GIW4092" s="917"/>
      <c r="GIX4092" s="917"/>
      <c r="GIY4092" s="917"/>
      <c r="GIZ4092" s="917"/>
      <c r="GJA4092" s="917"/>
      <c r="GJB4092" s="917"/>
      <c r="GJC4092" s="917"/>
      <c r="GJD4092" s="917"/>
      <c r="GJE4092" s="917"/>
      <c r="GJF4092" s="917"/>
      <c r="GJG4092" s="917"/>
      <c r="GJH4092" s="917"/>
      <c r="GJI4092" s="917"/>
      <c r="GJJ4092" s="917"/>
      <c r="GJK4092" s="917"/>
      <c r="GJL4092" s="917"/>
      <c r="GJM4092" s="917"/>
      <c r="GJN4092" s="917"/>
      <c r="GJO4092" s="917"/>
      <c r="GJP4092" s="917"/>
      <c r="GJQ4092" s="917"/>
      <c r="GJR4092" s="917"/>
      <c r="GJS4092" s="917"/>
      <c r="GJT4092" s="917"/>
      <c r="GJU4092" s="917" t="s">
        <v>78</v>
      </c>
      <c r="GJV4092" s="917"/>
      <c r="GJW4092" s="917"/>
      <c r="GJX4092" s="917"/>
      <c r="GJY4092" s="917"/>
      <c r="GJZ4092" s="917"/>
      <c r="GKA4092" s="917"/>
      <c r="GKB4092" s="917"/>
      <c r="GKC4092" s="917"/>
      <c r="GKD4092" s="917"/>
      <c r="GKE4092" s="917"/>
      <c r="GKF4092" s="917"/>
      <c r="GKG4092" s="917"/>
      <c r="GKH4092" s="917"/>
      <c r="GKI4092" s="917"/>
      <c r="GKJ4092" s="917"/>
      <c r="GKK4092" s="917"/>
      <c r="GKL4092" s="917"/>
      <c r="GKM4092" s="917"/>
      <c r="GKN4092" s="917"/>
      <c r="GKO4092" s="917"/>
      <c r="GKP4092" s="917"/>
      <c r="GKQ4092" s="917"/>
      <c r="GKR4092" s="917"/>
      <c r="GKS4092" s="917"/>
      <c r="GKT4092" s="917"/>
      <c r="GKU4092" s="917"/>
      <c r="GKV4092" s="917"/>
      <c r="GKW4092" s="917"/>
      <c r="GKX4092" s="917"/>
      <c r="GKY4092" s="917"/>
      <c r="GKZ4092" s="917"/>
      <c r="GLA4092" s="917" t="s">
        <v>78</v>
      </c>
      <c r="GLB4092" s="917"/>
      <c r="GLC4092" s="917"/>
      <c r="GLD4092" s="917"/>
      <c r="GLE4092" s="917"/>
      <c r="GLF4092" s="917"/>
      <c r="GLG4092" s="917"/>
      <c r="GLH4092" s="917"/>
      <c r="GLI4092" s="917"/>
      <c r="GLJ4092" s="917"/>
      <c r="GLK4092" s="917"/>
      <c r="GLL4092" s="917"/>
      <c r="GLM4092" s="917"/>
      <c r="GLN4092" s="917"/>
      <c r="GLO4092" s="917"/>
      <c r="GLP4092" s="917"/>
      <c r="GLQ4092" s="917"/>
      <c r="GLR4092" s="917"/>
      <c r="GLS4092" s="917"/>
      <c r="GLT4092" s="917"/>
      <c r="GLU4092" s="917"/>
      <c r="GLV4092" s="917"/>
      <c r="GLW4092" s="917"/>
      <c r="GLX4092" s="917"/>
      <c r="GLY4092" s="917"/>
      <c r="GLZ4092" s="917"/>
      <c r="GMA4092" s="917"/>
      <c r="GMB4092" s="917"/>
      <c r="GMC4092" s="917"/>
      <c r="GMD4092" s="917"/>
      <c r="GME4092" s="917"/>
      <c r="GMF4092" s="917"/>
      <c r="GMG4092" s="917" t="s">
        <v>78</v>
      </c>
      <c r="GMH4092" s="917"/>
      <c r="GMI4092" s="917"/>
      <c r="GMJ4092" s="917"/>
      <c r="GMK4092" s="917"/>
      <c r="GML4092" s="917"/>
      <c r="GMM4092" s="917"/>
      <c r="GMN4092" s="917"/>
      <c r="GMO4092" s="917"/>
      <c r="GMP4092" s="917"/>
      <c r="GMQ4092" s="917"/>
      <c r="GMR4092" s="917"/>
      <c r="GMS4092" s="917"/>
      <c r="GMT4092" s="917"/>
      <c r="GMU4092" s="917"/>
      <c r="GMV4092" s="917"/>
      <c r="GMW4092" s="917"/>
      <c r="GMX4092" s="917"/>
      <c r="GMY4092" s="917"/>
      <c r="GMZ4092" s="917"/>
      <c r="GNA4092" s="917"/>
      <c r="GNB4092" s="917"/>
      <c r="GNC4092" s="917"/>
      <c r="GND4092" s="917"/>
      <c r="GNE4092" s="917"/>
      <c r="GNF4092" s="917"/>
      <c r="GNG4092" s="917"/>
      <c r="GNH4092" s="917"/>
      <c r="GNI4092" s="917"/>
      <c r="GNJ4092" s="917"/>
      <c r="GNK4092" s="917"/>
      <c r="GNL4092" s="917"/>
      <c r="GNM4092" s="917" t="s">
        <v>78</v>
      </c>
      <c r="GNN4092" s="917"/>
      <c r="GNO4092" s="917"/>
      <c r="GNP4092" s="917"/>
      <c r="GNQ4092" s="917"/>
      <c r="GNR4092" s="917"/>
      <c r="GNS4092" s="917"/>
      <c r="GNT4092" s="917"/>
      <c r="GNU4092" s="917"/>
      <c r="GNV4092" s="917"/>
      <c r="GNW4092" s="917"/>
      <c r="GNX4092" s="917"/>
      <c r="GNY4092" s="917"/>
      <c r="GNZ4092" s="917"/>
      <c r="GOA4092" s="917"/>
      <c r="GOB4092" s="917"/>
      <c r="GOC4092" s="917"/>
      <c r="GOD4092" s="917"/>
      <c r="GOE4092" s="917"/>
      <c r="GOF4092" s="917"/>
      <c r="GOG4092" s="917"/>
      <c r="GOH4092" s="917"/>
      <c r="GOI4092" s="917"/>
      <c r="GOJ4092" s="917"/>
      <c r="GOK4092" s="917"/>
      <c r="GOL4092" s="917"/>
      <c r="GOM4092" s="917"/>
      <c r="GON4092" s="917"/>
      <c r="GOO4092" s="917"/>
      <c r="GOP4092" s="917"/>
      <c r="GOQ4092" s="917"/>
      <c r="GOR4092" s="917"/>
      <c r="GOS4092" s="917" t="s">
        <v>78</v>
      </c>
      <c r="GOT4092" s="917"/>
      <c r="GOU4092" s="917"/>
      <c r="GOV4092" s="917"/>
      <c r="GOW4092" s="917"/>
      <c r="GOX4092" s="917"/>
      <c r="GOY4092" s="917"/>
      <c r="GOZ4092" s="917"/>
      <c r="GPA4092" s="917"/>
      <c r="GPB4092" s="917"/>
      <c r="GPC4092" s="917"/>
      <c r="GPD4092" s="917"/>
      <c r="GPE4092" s="917"/>
      <c r="GPF4092" s="917"/>
      <c r="GPG4092" s="917"/>
      <c r="GPH4092" s="917"/>
      <c r="GPI4092" s="917"/>
      <c r="GPJ4092" s="917"/>
      <c r="GPK4092" s="917"/>
      <c r="GPL4092" s="917"/>
      <c r="GPM4092" s="917"/>
      <c r="GPN4092" s="917"/>
      <c r="GPO4092" s="917"/>
      <c r="GPP4092" s="917"/>
      <c r="GPQ4092" s="917"/>
      <c r="GPR4092" s="917"/>
      <c r="GPS4092" s="917"/>
      <c r="GPT4092" s="917"/>
      <c r="GPU4092" s="917"/>
      <c r="GPV4092" s="917"/>
      <c r="GPW4092" s="917"/>
      <c r="GPX4092" s="917"/>
      <c r="GPY4092" s="917" t="s">
        <v>78</v>
      </c>
      <c r="GPZ4092" s="917"/>
      <c r="GQA4092" s="917"/>
      <c r="GQB4092" s="917"/>
      <c r="GQC4092" s="917"/>
      <c r="GQD4092" s="917"/>
      <c r="GQE4092" s="917"/>
      <c r="GQF4092" s="917"/>
      <c r="GQG4092" s="917"/>
      <c r="GQH4092" s="917"/>
      <c r="GQI4092" s="917"/>
      <c r="GQJ4092" s="917"/>
      <c r="GQK4092" s="917"/>
      <c r="GQL4092" s="917"/>
      <c r="GQM4092" s="917"/>
      <c r="GQN4092" s="917"/>
      <c r="GQO4092" s="917"/>
      <c r="GQP4092" s="917"/>
      <c r="GQQ4092" s="917"/>
      <c r="GQR4092" s="917"/>
      <c r="GQS4092" s="917"/>
      <c r="GQT4092" s="917"/>
      <c r="GQU4092" s="917"/>
      <c r="GQV4092" s="917"/>
      <c r="GQW4092" s="917"/>
      <c r="GQX4092" s="917"/>
      <c r="GQY4092" s="917"/>
      <c r="GQZ4092" s="917"/>
      <c r="GRA4092" s="917"/>
      <c r="GRB4092" s="917"/>
      <c r="GRC4092" s="917"/>
      <c r="GRD4092" s="917"/>
      <c r="GRE4092" s="917" t="s">
        <v>78</v>
      </c>
      <c r="GRF4092" s="917"/>
      <c r="GRG4092" s="917"/>
      <c r="GRH4092" s="917"/>
      <c r="GRI4092" s="917"/>
      <c r="GRJ4092" s="917"/>
      <c r="GRK4092" s="917"/>
      <c r="GRL4092" s="917"/>
      <c r="GRM4092" s="917"/>
      <c r="GRN4092" s="917"/>
      <c r="GRO4092" s="917"/>
      <c r="GRP4092" s="917"/>
      <c r="GRQ4092" s="917"/>
      <c r="GRR4092" s="917"/>
      <c r="GRS4092" s="917"/>
      <c r="GRT4092" s="917"/>
      <c r="GRU4092" s="917"/>
      <c r="GRV4092" s="917"/>
      <c r="GRW4092" s="917"/>
      <c r="GRX4092" s="917"/>
      <c r="GRY4092" s="917"/>
      <c r="GRZ4092" s="917"/>
      <c r="GSA4092" s="917"/>
      <c r="GSB4092" s="917"/>
      <c r="GSC4092" s="917"/>
      <c r="GSD4092" s="917"/>
      <c r="GSE4092" s="917"/>
      <c r="GSF4092" s="917"/>
      <c r="GSG4092" s="917"/>
      <c r="GSH4092" s="917"/>
      <c r="GSI4092" s="917"/>
      <c r="GSJ4092" s="917"/>
      <c r="GSK4092" s="917" t="s">
        <v>78</v>
      </c>
      <c r="GSL4092" s="917"/>
      <c r="GSM4092" s="917"/>
      <c r="GSN4092" s="917"/>
      <c r="GSO4092" s="917"/>
      <c r="GSP4092" s="917"/>
      <c r="GSQ4092" s="917"/>
      <c r="GSR4092" s="917"/>
      <c r="GSS4092" s="917"/>
      <c r="GST4092" s="917"/>
      <c r="GSU4092" s="917"/>
      <c r="GSV4092" s="917"/>
      <c r="GSW4092" s="917"/>
      <c r="GSX4092" s="917"/>
      <c r="GSY4092" s="917"/>
      <c r="GSZ4092" s="917"/>
      <c r="GTA4092" s="917"/>
      <c r="GTB4092" s="917"/>
      <c r="GTC4092" s="917"/>
      <c r="GTD4092" s="917"/>
      <c r="GTE4092" s="917"/>
      <c r="GTF4092" s="917"/>
      <c r="GTG4092" s="917"/>
      <c r="GTH4092" s="917"/>
      <c r="GTI4092" s="917"/>
      <c r="GTJ4092" s="917"/>
      <c r="GTK4092" s="917"/>
      <c r="GTL4092" s="917"/>
      <c r="GTM4092" s="917"/>
      <c r="GTN4092" s="917"/>
      <c r="GTO4092" s="917"/>
      <c r="GTP4092" s="917"/>
      <c r="GTQ4092" s="917" t="s">
        <v>78</v>
      </c>
      <c r="GTR4092" s="917"/>
      <c r="GTS4092" s="917"/>
      <c r="GTT4092" s="917"/>
      <c r="GTU4092" s="917"/>
      <c r="GTV4092" s="917"/>
      <c r="GTW4092" s="917"/>
      <c r="GTX4092" s="917"/>
      <c r="GTY4092" s="917"/>
      <c r="GTZ4092" s="917"/>
      <c r="GUA4092" s="917"/>
      <c r="GUB4092" s="917"/>
      <c r="GUC4092" s="917"/>
      <c r="GUD4092" s="917"/>
      <c r="GUE4092" s="917"/>
      <c r="GUF4092" s="917"/>
      <c r="GUG4092" s="917"/>
      <c r="GUH4092" s="917"/>
      <c r="GUI4092" s="917"/>
      <c r="GUJ4092" s="917"/>
      <c r="GUK4092" s="917"/>
      <c r="GUL4092" s="917"/>
      <c r="GUM4092" s="917"/>
      <c r="GUN4092" s="917"/>
      <c r="GUO4092" s="917"/>
      <c r="GUP4092" s="917"/>
      <c r="GUQ4092" s="917"/>
      <c r="GUR4092" s="917"/>
      <c r="GUS4092" s="917"/>
      <c r="GUT4092" s="917"/>
      <c r="GUU4092" s="917"/>
      <c r="GUV4092" s="917"/>
      <c r="GUW4092" s="917" t="s">
        <v>78</v>
      </c>
      <c r="GUX4092" s="917"/>
      <c r="GUY4092" s="917"/>
      <c r="GUZ4092" s="917"/>
      <c r="GVA4092" s="917"/>
      <c r="GVB4092" s="917"/>
      <c r="GVC4092" s="917"/>
      <c r="GVD4092" s="917"/>
      <c r="GVE4092" s="917"/>
      <c r="GVF4092" s="917"/>
      <c r="GVG4092" s="917"/>
      <c r="GVH4092" s="917"/>
      <c r="GVI4092" s="917"/>
      <c r="GVJ4092" s="917"/>
      <c r="GVK4092" s="917"/>
      <c r="GVL4092" s="917"/>
      <c r="GVM4092" s="917"/>
      <c r="GVN4092" s="917"/>
      <c r="GVO4092" s="917"/>
      <c r="GVP4092" s="917"/>
      <c r="GVQ4092" s="917"/>
      <c r="GVR4092" s="917"/>
      <c r="GVS4092" s="917"/>
      <c r="GVT4092" s="917"/>
      <c r="GVU4092" s="917"/>
      <c r="GVV4092" s="917"/>
      <c r="GVW4092" s="917"/>
      <c r="GVX4092" s="917"/>
      <c r="GVY4092" s="917"/>
      <c r="GVZ4092" s="917"/>
      <c r="GWA4092" s="917"/>
      <c r="GWB4092" s="917"/>
      <c r="GWC4092" s="917" t="s">
        <v>78</v>
      </c>
      <c r="GWD4092" s="917"/>
      <c r="GWE4092" s="917"/>
      <c r="GWF4092" s="917"/>
      <c r="GWG4092" s="917"/>
      <c r="GWH4092" s="917"/>
      <c r="GWI4092" s="917"/>
      <c r="GWJ4092" s="917"/>
      <c r="GWK4092" s="917"/>
      <c r="GWL4092" s="917"/>
      <c r="GWM4092" s="917"/>
      <c r="GWN4092" s="917"/>
      <c r="GWO4092" s="917"/>
      <c r="GWP4092" s="917"/>
      <c r="GWQ4092" s="917"/>
      <c r="GWR4092" s="917"/>
      <c r="GWS4092" s="917"/>
      <c r="GWT4092" s="917"/>
      <c r="GWU4092" s="917"/>
      <c r="GWV4092" s="917"/>
      <c r="GWW4092" s="917"/>
      <c r="GWX4092" s="917"/>
      <c r="GWY4092" s="917"/>
      <c r="GWZ4092" s="917"/>
      <c r="GXA4092" s="917"/>
      <c r="GXB4092" s="917"/>
      <c r="GXC4092" s="917"/>
      <c r="GXD4092" s="917"/>
      <c r="GXE4092" s="917"/>
      <c r="GXF4092" s="917"/>
      <c r="GXG4092" s="917"/>
      <c r="GXH4092" s="917"/>
      <c r="GXI4092" s="917" t="s">
        <v>78</v>
      </c>
      <c r="GXJ4092" s="917"/>
      <c r="GXK4092" s="917"/>
      <c r="GXL4092" s="917"/>
      <c r="GXM4092" s="917"/>
      <c r="GXN4092" s="917"/>
      <c r="GXO4092" s="917"/>
      <c r="GXP4092" s="917"/>
      <c r="GXQ4092" s="917"/>
      <c r="GXR4092" s="917"/>
      <c r="GXS4092" s="917"/>
      <c r="GXT4092" s="917"/>
      <c r="GXU4092" s="917"/>
      <c r="GXV4092" s="917"/>
      <c r="GXW4092" s="917"/>
      <c r="GXX4092" s="917"/>
      <c r="GXY4092" s="917"/>
      <c r="GXZ4092" s="917"/>
      <c r="GYA4092" s="917"/>
      <c r="GYB4092" s="917"/>
      <c r="GYC4092" s="917"/>
      <c r="GYD4092" s="917"/>
      <c r="GYE4092" s="917"/>
      <c r="GYF4092" s="917"/>
      <c r="GYG4092" s="917"/>
      <c r="GYH4092" s="917"/>
      <c r="GYI4092" s="917"/>
      <c r="GYJ4092" s="917"/>
      <c r="GYK4092" s="917"/>
      <c r="GYL4092" s="917"/>
      <c r="GYM4092" s="917"/>
      <c r="GYN4092" s="917"/>
      <c r="GYO4092" s="917" t="s">
        <v>78</v>
      </c>
      <c r="GYP4092" s="917"/>
      <c r="GYQ4092" s="917"/>
      <c r="GYR4092" s="917"/>
      <c r="GYS4092" s="917"/>
      <c r="GYT4092" s="917"/>
      <c r="GYU4092" s="917"/>
      <c r="GYV4092" s="917"/>
      <c r="GYW4092" s="917"/>
      <c r="GYX4092" s="917"/>
      <c r="GYY4092" s="917"/>
      <c r="GYZ4092" s="917"/>
      <c r="GZA4092" s="917"/>
      <c r="GZB4092" s="917"/>
      <c r="GZC4092" s="917"/>
      <c r="GZD4092" s="917"/>
      <c r="GZE4092" s="917"/>
      <c r="GZF4092" s="917"/>
      <c r="GZG4092" s="917"/>
      <c r="GZH4092" s="917"/>
      <c r="GZI4092" s="917"/>
      <c r="GZJ4092" s="917"/>
      <c r="GZK4092" s="917"/>
      <c r="GZL4092" s="917"/>
      <c r="GZM4092" s="917"/>
      <c r="GZN4092" s="917"/>
      <c r="GZO4092" s="917"/>
      <c r="GZP4092" s="917"/>
      <c r="GZQ4092" s="917"/>
      <c r="GZR4092" s="917"/>
      <c r="GZS4092" s="917"/>
      <c r="GZT4092" s="917"/>
      <c r="GZU4092" s="917" t="s">
        <v>78</v>
      </c>
      <c r="GZV4092" s="917"/>
      <c r="GZW4092" s="917"/>
      <c r="GZX4092" s="917"/>
      <c r="GZY4092" s="917"/>
      <c r="GZZ4092" s="917"/>
      <c r="HAA4092" s="917"/>
      <c r="HAB4092" s="917"/>
      <c r="HAC4092" s="917"/>
      <c r="HAD4092" s="917"/>
      <c r="HAE4092" s="917"/>
      <c r="HAF4092" s="917"/>
      <c r="HAG4092" s="917"/>
      <c r="HAH4092" s="917"/>
      <c r="HAI4092" s="917"/>
      <c r="HAJ4092" s="917"/>
      <c r="HAK4092" s="917"/>
      <c r="HAL4092" s="917"/>
      <c r="HAM4092" s="917"/>
      <c r="HAN4092" s="917"/>
      <c r="HAO4092" s="917"/>
      <c r="HAP4092" s="917"/>
      <c r="HAQ4092" s="917"/>
      <c r="HAR4092" s="917"/>
      <c r="HAS4092" s="917"/>
      <c r="HAT4092" s="917"/>
      <c r="HAU4092" s="917"/>
      <c r="HAV4092" s="917"/>
      <c r="HAW4092" s="917"/>
      <c r="HAX4092" s="917"/>
      <c r="HAY4092" s="917"/>
      <c r="HAZ4092" s="917"/>
      <c r="HBA4092" s="917" t="s">
        <v>78</v>
      </c>
      <c r="HBB4092" s="917"/>
      <c r="HBC4092" s="917"/>
      <c r="HBD4092" s="917"/>
      <c r="HBE4092" s="917"/>
      <c r="HBF4092" s="917"/>
      <c r="HBG4092" s="917"/>
      <c r="HBH4092" s="917"/>
      <c r="HBI4092" s="917"/>
      <c r="HBJ4092" s="917"/>
      <c r="HBK4092" s="917"/>
      <c r="HBL4092" s="917"/>
      <c r="HBM4092" s="917"/>
      <c r="HBN4092" s="917"/>
      <c r="HBO4092" s="917"/>
      <c r="HBP4092" s="917"/>
      <c r="HBQ4092" s="917"/>
      <c r="HBR4092" s="917"/>
      <c r="HBS4092" s="917"/>
      <c r="HBT4092" s="917"/>
      <c r="HBU4092" s="917"/>
      <c r="HBV4092" s="917"/>
      <c r="HBW4092" s="917"/>
      <c r="HBX4092" s="917"/>
      <c r="HBY4092" s="917"/>
      <c r="HBZ4092" s="917"/>
      <c r="HCA4092" s="917"/>
      <c r="HCB4092" s="917"/>
      <c r="HCC4092" s="917"/>
      <c r="HCD4092" s="917"/>
      <c r="HCE4092" s="917"/>
      <c r="HCF4092" s="917"/>
      <c r="HCG4092" s="917" t="s">
        <v>78</v>
      </c>
      <c r="HCH4092" s="917"/>
      <c r="HCI4092" s="917"/>
      <c r="HCJ4092" s="917"/>
      <c r="HCK4092" s="917"/>
      <c r="HCL4092" s="917"/>
      <c r="HCM4092" s="917"/>
      <c r="HCN4092" s="917"/>
      <c r="HCO4092" s="917"/>
      <c r="HCP4092" s="917"/>
      <c r="HCQ4092" s="917"/>
      <c r="HCR4092" s="917"/>
      <c r="HCS4092" s="917"/>
      <c r="HCT4092" s="917"/>
      <c r="HCU4092" s="917"/>
      <c r="HCV4092" s="917"/>
      <c r="HCW4092" s="917"/>
      <c r="HCX4092" s="917"/>
      <c r="HCY4092" s="917"/>
      <c r="HCZ4092" s="917"/>
      <c r="HDA4092" s="917"/>
      <c r="HDB4092" s="917"/>
      <c r="HDC4092" s="917"/>
      <c r="HDD4092" s="917"/>
      <c r="HDE4092" s="917"/>
      <c r="HDF4092" s="917"/>
      <c r="HDG4092" s="917"/>
      <c r="HDH4092" s="917"/>
      <c r="HDI4092" s="917"/>
      <c r="HDJ4092" s="917"/>
      <c r="HDK4092" s="917"/>
      <c r="HDL4092" s="917"/>
      <c r="HDM4092" s="917" t="s">
        <v>78</v>
      </c>
      <c r="HDN4092" s="917"/>
      <c r="HDO4092" s="917"/>
      <c r="HDP4092" s="917"/>
      <c r="HDQ4092" s="917"/>
      <c r="HDR4092" s="917"/>
      <c r="HDS4092" s="917"/>
      <c r="HDT4092" s="917"/>
      <c r="HDU4092" s="917"/>
      <c r="HDV4092" s="917"/>
      <c r="HDW4092" s="917"/>
      <c r="HDX4092" s="917"/>
      <c r="HDY4092" s="917"/>
      <c r="HDZ4092" s="917"/>
      <c r="HEA4092" s="917"/>
      <c r="HEB4092" s="917"/>
      <c r="HEC4092" s="917"/>
      <c r="HED4092" s="917"/>
      <c r="HEE4092" s="917"/>
      <c r="HEF4092" s="917"/>
      <c r="HEG4092" s="917"/>
      <c r="HEH4092" s="917"/>
      <c r="HEI4092" s="917"/>
      <c r="HEJ4092" s="917"/>
      <c r="HEK4092" s="917"/>
      <c r="HEL4092" s="917"/>
      <c r="HEM4092" s="917"/>
      <c r="HEN4092" s="917"/>
      <c r="HEO4092" s="917"/>
      <c r="HEP4092" s="917"/>
      <c r="HEQ4092" s="917"/>
      <c r="HER4092" s="917"/>
      <c r="HES4092" s="917" t="s">
        <v>78</v>
      </c>
      <c r="HET4092" s="917"/>
      <c r="HEU4092" s="917"/>
      <c r="HEV4092" s="917"/>
      <c r="HEW4092" s="917"/>
      <c r="HEX4092" s="917"/>
      <c r="HEY4092" s="917"/>
      <c r="HEZ4092" s="917"/>
      <c r="HFA4092" s="917"/>
      <c r="HFB4092" s="917"/>
      <c r="HFC4092" s="917"/>
      <c r="HFD4092" s="917"/>
      <c r="HFE4092" s="917"/>
      <c r="HFF4092" s="917"/>
      <c r="HFG4092" s="917"/>
      <c r="HFH4092" s="917"/>
      <c r="HFI4092" s="917"/>
      <c r="HFJ4092" s="917"/>
      <c r="HFK4092" s="917"/>
      <c r="HFL4092" s="917"/>
      <c r="HFM4092" s="917"/>
      <c r="HFN4092" s="917"/>
      <c r="HFO4092" s="917"/>
      <c r="HFP4092" s="917"/>
      <c r="HFQ4092" s="917"/>
      <c r="HFR4092" s="917"/>
      <c r="HFS4092" s="917"/>
      <c r="HFT4092" s="917"/>
      <c r="HFU4092" s="917"/>
      <c r="HFV4092" s="917"/>
      <c r="HFW4092" s="917"/>
      <c r="HFX4092" s="917"/>
      <c r="HFY4092" s="917" t="s">
        <v>78</v>
      </c>
      <c r="HFZ4092" s="917"/>
      <c r="HGA4092" s="917"/>
      <c r="HGB4092" s="917"/>
      <c r="HGC4092" s="917"/>
      <c r="HGD4092" s="917"/>
      <c r="HGE4092" s="917"/>
      <c r="HGF4092" s="917"/>
      <c r="HGG4092" s="917"/>
      <c r="HGH4092" s="917"/>
      <c r="HGI4092" s="917"/>
      <c r="HGJ4092" s="917"/>
      <c r="HGK4092" s="917"/>
      <c r="HGL4092" s="917"/>
      <c r="HGM4092" s="917"/>
      <c r="HGN4092" s="917"/>
      <c r="HGO4092" s="917"/>
      <c r="HGP4092" s="917"/>
      <c r="HGQ4092" s="917"/>
      <c r="HGR4092" s="917"/>
      <c r="HGS4092" s="917"/>
      <c r="HGT4092" s="917"/>
      <c r="HGU4092" s="917"/>
      <c r="HGV4092" s="917"/>
      <c r="HGW4092" s="917"/>
      <c r="HGX4092" s="917"/>
      <c r="HGY4092" s="917"/>
      <c r="HGZ4092" s="917"/>
      <c r="HHA4092" s="917"/>
      <c r="HHB4092" s="917"/>
      <c r="HHC4092" s="917"/>
      <c r="HHD4092" s="917"/>
      <c r="HHE4092" s="917" t="s">
        <v>78</v>
      </c>
      <c r="HHF4092" s="917"/>
      <c r="HHG4092" s="917"/>
      <c r="HHH4092" s="917"/>
      <c r="HHI4092" s="917"/>
      <c r="HHJ4092" s="917"/>
      <c r="HHK4092" s="917"/>
      <c r="HHL4092" s="917"/>
      <c r="HHM4092" s="917"/>
      <c r="HHN4092" s="917"/>
      <c r="HHO4092" s="917"/>
      <c r="HHP4092" s="917"/>
      <c r="HHQ4092" s="917"/>
      <c r="HHR4092" s="917"/>
      <c r="HHS4092" s="917"/>
      <c r="HHT4092" s="917"/>
      <c r="HHU4092" s="917"/>
      <c r="HHV4092" s="917"/>
      <c r="HHW4092" s="917"/>
      <c r="HHX4092" s="917"/>
      <c r="HHY4092" s="917"/>
      <c r="HHZ4092" s="917"/>
      <c r="HIA4092" s="917"/>
      <c r="HIB4092" s="917"/>
      <c r="HIC4092" s="917"/>
      <c r="HID4092" s="917"/>
      <c r="HIE4092" s="917"/>
      <c r="HIF4092" s="917"/>
      <c r="HIG4092" s="917"/>
      <c r="HIH4092" s="917"/>
      <c r="HII4092" s="917"/>
      <c r="HIJ4092" s="917"/>
      <c r="HIK4092" s="917" t="s">
        <v>78</v>
      </c>
      <c r="HIL4092" s="917"/>
      <c r="HIM4092" s="917"/>
      <c r="HIN4092" s="917"/>
      <c r="HIO4092" s="917"/>
      <c r="HIP4092" s="917"/>
      <c r="HIQ4092" s="917"/>
      <c r="HIR4092" s="917"/>
      <c r="HIS4092" s="917"/>
      <c r="HIT4092" s="917"/>
      <c r="HIU4092" s="917"/>
      <c r="HIV4092" s="917"/>
      <c r="HIW4092" s="917"/>
      <c r="HIX4092" s="917"/>
      <c r="HIY4092" s="917"/>
      <c r="HIZ4092" s="917"/>
      <c r="HJA4092" s="917"/>
      <c r="HJB4092" s="917"/>
      <c r="HJC4092" s="917"/>
      <c r="HJD4092" s="917"/>
      <c r="HJE4092" s="917"/>
      <c r="HJF4092" s="917"/>
      <c r="HJG4092" s="917"/>
      <c r="HJH4092" s="917"/>
      <c r="HJI4092" s="917"/>
      <c r="HJJ4092" s="917"/>
      <c r="HJK4092" s="917"/>
      <c r="HJL4092" s="917"/>
      <c r="HJM4092" s="917"/>
      <c r="HJN4092" s="917"/>
      <c r="HJO4092" s="917"/>
      <c r="HJP4092" s="917"/>
      <c r="HJQ4092" s="917" t="s">
        <v>78</v>
      </c>
      <c r="HJR4092" s="917"/>
      <c r="HJS4092" s="917"/>
      <c r="HJT4092" s="917"/>
      <c r="HJU4092" s="917"/>
      <c r="HJV4092" s="917"/>
      <c r="HJW4092" s="917"/>
      <c r="HJX4092" s="917"/>
      <c r="HJY4092" s="917"/>
      <c r="HJZ4092" s="917"/>
      <c r="HKA4092" s="917"/>
      <c r="HKB4092" s="917"/>
      <c r="HKC4092" s="917"/>
      <c r="HKD4092" s="917"/>
      <c r="HKE4092" s="917"/>
      <c r="HKF4092" s="917"/>
      <c r="HKG4092" s="917"/>
      <c r="HKH4092" s="917"/>
      <c r="HKI4092" s="917"/>
      <c r="HKJ4092" s="917"/>
      <c r="HKK4092" s="917"/>
      <c r="HKL4092" s="917"/>
      <c r="HKM4092" s="917"/>
      <c r="HKN4092" s="917"/>
      <c r="HKO4092" s="917"/>
      <c r="HKP4092" s="917"/>
      <c r="HKQ4092" s="917"/>
      <c r="HKR4092" s="917"/>
      <c r="HKS4092" s="917"/>
      <c r="HKT4092" s="917"/>
      <c r="HKU4092" s="917"/>
      <c r="HKV4092" s="917"/>
      <c r="HKW4092" s="917" t="s">
        <v>78</v>
      </c>
      <c r="HKX4092" s="917"/>
      <c r="HKY4092" s="917"/>
      <c r="HKZ4092" s="917"/>
      <c r="HLA4092" s="917"/>
      <c r="HLB4092" s="917"/>
      <c r="HLC4092" s="917"/>
      <c r="HLD4092" s="917"/>
      <c r="HLE4092" s="917"/>
      <c r="HLF4092" s="917"/>
      <c r="HLG4092" s="917"/>
      <c r="HLH4092" s="917"/>
      <c r="HLI4092" s="917"/>
      <c r="HLJ4092" s="917"/>
      <c r="HLK4092" s="917"/>
      <c r="HLL4092" s="917"/>
      <c r="HLM4092" s="917"/>
      <c r="HLN4092" s="917"/>
      <c r="HLO4092" s="917"/>
      <c r="HLP4092" s="917"/>
      <c r="HLQ4092" s="917"/>
      <c r="HLR4092" s="917"/>
      <c r="HLS4092" s="917"/>
      <c r="HLT4092" s="917"/>
      <c r="HLU4092" s="917"/>
      <c r="HLV4092" s="917"/>
      <c r="HLW4092" s="917"/>
      <c r="HLX4092" s="917"/>
      <c r="HLY4092" s="917"/>
      <c r="HLZ4092" s="917"/>
      <c r="HMA4092" s="917"/>
      <c r="HMB4092" s="917"/>
      <c r="HMC4092" s="917" t="s">
        <v>78</v>
      </c>
      <c r="HMD4092" s="917"/>
      <c r="HME4092" s="917"/>
      <c r="HMF4092" s="917"/>
      <c r="HMG4092" s="917"/>
      <c r="HMH4092" s="917"/>
      <c r="HMI4092" s="917"/>
      <c r="HMJ4092" s="917"/>
      <c r="HMK4092" s="917"/>
      <c r="HML4092" s="917"/>
      <c r="HMM4092" s="917"/>
      <c r="HMN4092" s="917"/>
      <c r="HMO4092" s="917"/>
      <c r="HMP4092" s="917"/>
      <c r="HMQ4092" s="917"/>
      <c r="HMR4092" s="917"/>
      <c r="HMS4092" s="917"/>
      <c r="HMT4092" s="917"/>
      <c r="HMU4092" s="917"/>
      <c r="HMV4092" s="917"/>
      <c r="HMW4092" s="917"/>
      <c r="HMX4092" s="917"/>
      <c r="HMY4092" s="917"/>
      <c r="HMZ4092" s="917"/>
      <c r="HNA4092" s="917"/>
      <c r="HNB4092" s="917"/>
      <c r="HNC4092" s="917"/>
      <c r="HND4092" s="917"/>
      <c r="HNE4092" s="917"/>
      <c r="HNF4092" s="917"/>
      <c r="HNG4092" s="917"/>
      <c r="HNH4092" s="917"/>
      <c r="HNI4092" s="917" t="s">
        <v>78</v>
      </c>
      <c r="HNJ4092" s="917"/>
      <c r="HNK4092" s="917"/>
      <c r="HNL4092" s="917"/>
      <c r="HNM4092" s="917"/>
      <c r="HNN4092" s="917"/>
      <c r="HNO4092" s="917"/>
      <c r="HNP4092" s="917"/>
      <c r="HNQ4092" s="917"/>
      <c r="HNR4092" s="917"/>
      <c r="HNS4092" s="917"/>
      <c r="HNT4092" s="917"/>
      <c r="HNU4092" s="917"/>
      <c r="HNV4092" s="917"/>
      <c r="HNW4092" s="917"/>
      <c r="HNX4092" s="917"/>
      <c r="HNY4092" s="917"/>
      <c r="HNZ4092" s="917"/>
      <c r="HOA4092" s="917"/>
      <c r="HOB4092" s="917"/>
      <c r="HOC4092" s="917"/>
      <c r="HOD4092" s="917"/>
      <c r="HOE4092" s="917"/>
      <c r="HOF4092" s="917"/>
      <c r="HOG4092" s="917"/>
      <c r="HOH4092" s="917"/>
      <c r="HOI4092" s="917"/>
      <c r="HOJ4092" s="917"/>
      <c r="HOK4092" s="917"/>
      <c r="HOL4092" s="917"/>
      <c r="HOM4092" s="917"/>
      <c r="HON4092" s="917"/>
      <c r="HOO4092" s="917" t="s">
        <v>78</v>
      </c>
      <c r="HOP4092" s="917"/>
      <c r="HOQ4092" s="917"/>
      <c r="HOR4092" s="917"/>
      <c r="HOS4092" s="917"/>
      <c r="HOT4092" s="917"/>
      <c r="HOU4092" s="917"/>
      <c r="HOV4092" s="917"/>
      <c r="HOW4092" s="917"/>
      <c r="HOX4092" s="917"/>
      <c r="HOY4092" s="917"/>
      <c r="HOZ4092" s="917"/>
      <c r="HPA4092" s="917"/>
      <c r="HPB4092" s="917"/>
      <c r="HPC4092" s="917"/>
      <c r="HPD4092" s="917"/>
      <c r="HPE4092" s="917"/>
      <c r="HPF4092" s="917"/>
      <c r="HPG4092" s="917"/>
      <c r="HPH4092" s="917"/>
      <c r="HPI4092" s="917"/>
      <c r="HPJ4092" s="917"/>
      <c r="HPK4092" s="917"/>
      <c r="HPL4092" s="917"/>
      <c r="HPM4092" s="917"/>
      <c r="HPN4092" s="917"/>
      <c r="HPO4092" s="917"/>
      <c r="HPP4092" s="917"/>
      <c r="HPQ4092" s="917"/>
      <c r="HPR4092" s="917"/>
      <c r="HPS4092" s="917"/>
      <c r="HPT4092" s="917"/>
      <c r="HPU4092" s="917" t="s">
        <v>78</v>
      </c>
      <c r="HPV4092" s="917"/>
      <c r="HPW4092" s="917"/>
      <c r="HPX4092" s="917"/>
      <c r="HPY4092" s="917"/>
      <c r="HPZ4092" s="917"/>
      <c r="HQA4092" s="917"/>
      <c r="HQB4092" s="917"/>
      <c r="HQC4092" s="917"/>
      <c r="HQD4092" s="917"/>
      <c r="HQE4092" s="917"/>
      <c r="HQF4092" s="917"/>
      <c r="HQG4092" s="917"/>
      <c r="HQH4092" s="917"/>
      <c r="HQI4092" s="917"/>
      <c r="HQJ4092" s="917"/>
      <c r="HQK4092" s="917"/>
      <c r="HQL4092" s="917"/>
      <c r="HQM4092" s="917"/>
      <c r="HQN4092" s="917"/>
      <c r="HQO4092" s="917"/>
      <c r="HQP4092" s="917"/>
      <c r="HQQ4092" s="917"/>
      <c r="HQR4092" s="917"/>
      <c r="HQS4092" s="917"/>
      <c r="HQT4092" s="917"/>
      <c r="HQU4092" s="917"/>
      <c r="HQV4092" s="917"/>
      <c r="HQW4092" s="917"/>
      <c r="HQX4092" s="917"/>
      <c r="HQY4092" s="917"/>
      <c r="HQZ4092" s="917"/>
      <c r="HRA4092" s="917" t="s">
        <v>78</v>
      </c>
      <c r="HRB4092" s="917"/>
      <c r="HRC4092" s="917"/>
      <c r="HRD4092" s="917"/>
      <c r="HRE4092" s="917"/>
      <c r="HRF4092" s="917"/>
      <c r="HRG4092" s="917"/>
      <c r="HRH4092" s="917"/>
      <c r="HRI4092" s="917"/>
      <c r="HRJ4092" s="917"/>
      <c r="HRK4092" s="917"/>
      <c r="HRL4092" s="917"/>
      <c r="HRM4092" s="917"/>
      <c r="HRN4092" s="917"/>
      <c r="HRO4092" s="917"/>
      <c r="HRP4092" s="917"/>
      <c r="HRQ4092" s="917"/>
      <c r="HRR4092" s="917"/>
      <c r="HRS4092" s="917"/>
      <c r="HRT4092" s="917"/>
      <c r="HRU4092" s="917"/>
      <c r="HRV4092" s="917"/>
      <c r="HRW4092" s="917"/>
      <c r="HRX4092" s="917"/>
      <c r="HRY4092" s="917"/>
      <c r="HRZ4092" s="917"/>
      <c r="HSA4092" s="917"/>
      <c r="HSB4092" s="917"/>
      <c r="HSC4092" s="917"/>
      <c r="HSD4092" s="917"/>
      <c r="HSE4092" s="917"/>
      <c r="HSF4092" s="917"/>
      <c r="HSG4092" s="917" t="s">
        <v>78</v>
      </c>
      <c r="HSH4092" s="917"/>
      <c r="HSI4092" s="917"/>
      <c r="HSJ4092" s="917"/>
      <c r="HSK4092" s="917"/>
      <c r="HSL4092" s="917"/>
      <c r="HSM4092" s="917"/>
      <c r="HSN4092" s="917"/>
      <c r="HSO4092" s="917"/>
      <c r="HSP4092" s="917"/>
      <c r="HSQ4092" s="917"/>
      <c r="HSR4092" s="917"/>
      <c r="HSS4092" s="917"/>
      <c r="HST4092" s="917"/>
      <c r="HSU4092" s="917"/>
      <c r="HSV4092" s="917"/>
      <c r="HSW4092" s="917"/>
      <c r="HSX4092" s="917"/>
      <c r="HSY4092" s="917"/>
      <c r="HSZ4092" s="917"/>
      <c r="HTA4092" s="917"/>
      <c r="HTB4092" s="917"/>
      <c r="HTC4092" s="917"/>
      <c r="HTD4092" s="917"/>
      <c r="HTE4092" s="917"/>
      <c r="HTF4092" s="917"/>
      <c r="HTG4092" s="917"/>
      <c r="HTH4092" s="917"/>
      <c r="HTI4092" s="917"/>
      <c r="HTJ4092" s="917"/>
      <c r="HTK4092" s="917"/>
      <c r="HTL4092" s="917"/>
      <c r="HTM4092" s="917" t="s">
        <v>78</v>
      </c>
      <c r="HTN4092" s="917"/>
      <c r="HTO4092" s="917"/>
      <c r="HTP4092" s="917"/>
      <c r="HTQ4092" s="917"/>
      <c r="HTR4092" s="917"/>
      <c r="HTS4092" s="917"/>
      <c r="HTT4092" s="917"/>
      <c r="HTU4092" s="917"/>
      <c r="HTV4092" s="917"/>
      <c r="HTW4092" s="917"/>
      <c r="HTX4092" s="917"/>
      <c r="HTY4092" s="917"/>
      <c r="HTZ4092" s="917"/>
      <c r="HUA4092" s="917"/>
      <c r="HUB4092" s="917"/>
      <c r="HUC4092" s="917"/>
      <c r="HUD4092" s="917"/>
      <c r="HUE4092" s="917"/>
      <c r="HUF4092" s="917"/>
      <c r="HUG4092" s="917"/>
      <c r="HUH4092" s="917"/>
      <c r="HUI4092" s="917"/>
      <c r="HUJ4092" s="917"/>
      <c r="HUK4092" s="917"/>
      <c r="HUL4092" s="917"/>
      <c r="HUM4092" s="917"/>
      <c r="HUN4092" s="917"/>
      <c r="HUO4092" s="917"/>
      <c r="HUP4092" s="917"/>
      <c r="HUQ4092" s="917"/>
      <c r="HUR4092" s="917"/>
      <c r="HUS4092" s="917" t="s">
        <v>78</v>
      </c>
      <c r="HUT4092" s="917"/>
      <c r="HUU4092" s="917"/>
      <c r="HUV4092" s="917"/>
      <c r="HUW4092" s="917"/>
      <c r="HUX4092" s="917"/>
      <c r="HUY4092" s="917"/>
      <c r="HUZ4092" s="917"/>
      <c r="HVA4092" s="917"/>
      <c r="HVB4092" s="917"/>
      <c r="HVC4092" s="917"/>
      <c r="HVD4092" s="917"/>
      <c r="HVE4092" s="917"/>
      <c r="HVF4092" s="917"/>
      <c r="HVG4092" s="917"/>
      <c r="HVH4092" s="917"/>
      <c r="HVI4092" s="917"/>
      <c r="HVJ4092" s="917"/>
      <c r="HVK4092" s="917"/>
      <c r="HVL4092" s="917"/>
      <c r="HVM4092" s="917"/>
      <c r="HVN4092" s="917"/>
      <c r="HVO4092" s="917"/>
      <c r="HVP4092" s="917"/>
      <c r="HVQ4092" s="917"/>
      <c r="HVR4092" s="917"/>
      <c r="HVS4092" s="917"/>
      <c r="HVT4092" s="917"/>
      <c r="HVU4092" s="917"/>
      <c r="HVV4092" s="917"/>
      <c r="HVW4092" s="917"/>
      <c r="HVX4092" s="917"/>
      <c r="HVY4092" s="917" t="s">
        <v>78</v>
      </c>
      <c r="HVZ4092" s="917"/>
      <c r="HWA4092" s="917"/>
      <c r="HWB4092" s="917"/>
      <c r="HWC4092" s="917"/>
      <c r="HWD4092" s="917"/>
      <c r="HWE4092" s="917"/>
      <c r="HWF4092" s="917"/>
      <c r="HWG4092" s="917"/>
      <c r="HWH4092" s="917"/>
      <c r="HWI4092" s="917"/>
      <c r="HWJ4092" s="917"/>
      <c r="HWK4092" s="917"/>
      <c r="HWL4092" s="917"/>
      <c r="HWM4092" s="917"/>
      <c r="HWN4092" s="917"/>
      <c r="HWO4092" s="917"/>
      <c r="HWP4092" s="917"/>
      <c r="HWQ4092" s="917"/>
      <c r="HWR4092" s="917"/>
      <c r="HWS4092" s="917"/>
      <c r="HWT4092" s="917"/>
      <c r="HWU4092" s="917"/>
      <c r="HWV4092" s="917"/>
      <c r="HWW4092" s="917"/>
      <c r="HWX4092" s="917"/>
      <c r="HWY4092" s="917"/>
      <c r="HWZ4092" s="917"/>
      <c r="HXA4092" s="917"/>
      <c r="HXB4092" s="917"/>
      <c r="HXC4092" s="917"/>
      <c r="HXD4092" s="917"/>
      <c r="HXE4092" s="917" t="s">
        <v>78</v>
      </c>
      <c r="HXF4092" s="917"/>
      <c r="HXG4092" s="917"/>
      <c r="HXH4092" s="917"/>
      <c r="HXI4092" s="917"/>
      <c r="HXJ4092" s="917"/>
      <c r="HXK4092" s="917"/>
      <c r="HXL4092" s="917"/>
      <c r="HXM4092" s="917"/>
      <c r="HXN4092" s="917"/>
      <c r="HXO4092" s="917"/>
      <c r="HXP4092" s="917"/>
      <c r="HXQ4092" s="917"/>
      <c r="HXR4092" s="917"/>
      <c r="HXS4092" s="917"/>
      <c r="HXT4092" s="917"/>
      <c r="HXU4092" s="917"/>
      <c r="HXV4092" s="917"/>
      <c r="HXW4092" s="917"/>
      <c r="HXX4092" s="917"/>
      <c r="HXY4092" s="917"/>
      <c r="HXZ4092" s="917"/>
      <c r="HYA4092" s="917"/>
      <c r="HYB4092" s="917"/>
      <c r="HYC4092" s="917"/>
      <c r="HYD4092" s="917"/>
      <c r="HYE4092" s="917"/>
      <c r="HYF4092" s="917"/>
      <c r="HYG4092" s="917"/>
      <c r="HYH4092" s="917"/>
      <c r="HYI4092" s="917"/>
      <c r="HYJ4092" s="917"/>
      <c r="HYK4092" s="917" t="s">
        <v>78</v>
      </c>
      <c r="HYL4092" s="917"/>
      <c r="HYM4092" s="917"/>
      <c r="HYN4092" s="917"/>
      <c r="HYO4092" s="917"/>
      <c r="HYP4092" s="917"/>
      <c r="HYQ4092" s="917"/>
      <c r="HYR4092" s="917"/>
      <c r="HYS4092" s="917"/>
      <c r="HYT4092" s="917"/>
      <c r="HYU4092" s="917"/>
      <c r="HYV4092" s="917"/>
      <c r="HYW4092" s="917"/>
      <c r="HYX4092" s="917"/>
      <c r="HYY4092" s="917"/>
      <c r="HYZ4092" s="917"/>
      <c r="HZA4092" s="917"/>
      <c r="HZB4092" s="917"/>
      <c r="HZC4092" s="917"/>
      <c r="HZD4092" s="917"/>
      <c r="HZE4092" s="917"/>
      <c r="HZF4092" s="917"/>
      <c r="HZG4092" s="917"/>
      <c r="HZH4092" s="917"/>
      <c r="HZI4092" s="917"/>
      <c r="HZJ4092" s="917"/>
      <c r="HZK4092" s="917"/>
      <c r="HZL4092" s="917"/>
      <c r="HZM4092" s="917"/>
      <c r="HZN4092" s="917"/>
      <c r="HZO4092" s="917"/>
      <c r="HZP4092" s="917"/>
      <c r="HZQ4092" s="917" t="s">
        <v>78</v>
      </c>
      <c r="HZR4092" s="917"/>
      <c r="HZS4092" s="917"/>
      <c r="HZT4092" s="917"/>
      <c r="HZU4092" s="917"/>
      <c r="HZV4092" s="917"/>
      <c r="HZW4092" s="917"/>
      <c r="HZX4092" s="917"/>
      <c r="HZY4092" s="917"/>
      <c r="HZZ4092" s="917"/>
      <c r="IAA4092" s="917"/>
      <c r="IAB4092" s="917"/>
      <c r="IAC4092" s="917"/>
      <c r="IAD4092" s="917"/>
      <c r="IAE4092" s="917"/>
      <c r="IAF4092" s="917"/>
      <c r="IAG4092" s="917"/>
      <c r="IAH4092" s="917"/>
      <c r="IAI4092" s="917"/>
      <c r="IAJ4092" s="917"/>
      <c r="IAK4092" s="917"/>
      <c r="IAL4092" s="917"/>
      <c r="IAM4092" s="917"/>
      <c r="IAN4092" s="917"/>
      <c r="IAO4092" s="917"/>
      <c r="IAP4092" s="917"/>
      <c r="IAQ4092" s="917"/>
      <c r="IAR4092" s="917"/>
      <c r="IAS4092" s="917"/>
      <c r="IAT4092" s="917"/>
      <c r="IAU4092" s="917"/>
      <c r="IAV4092" s="917"/>
      <c r="IAW4092" s="917" t="s">
        <v>78</v>
      </c>
      <c r="IAX4092" s="917"/>
      <c r="IAY4092" s="917"/>
      <c r="IAZ4092" s="917"/>
      <c r="IBA4092" s="917"/>
      <c r="IBB4092" s="917"/>
      <c r="IBC4092" s="917"/>
      <c r="IBD4092" s="917"/>
      <c r="IBE4092" s="917"/>
      <c r="IBF4092" s="917"/>
      <c r="IBG4092" s="917"/>
      <c r="IBH4092" s="917"/>
      <c r="IBI4092" s="917"/>
      <c r="IBJ4092" s="917"/>
      <c r="IBK4092" s="917"/>
      <c r="IBL4092" s="917"/>
      <c r="IBM4092" s="917"/>
      <c r="IBN4092" s="917"/>
      <c r="IBO4092" s="917"/>
      <c r="IBP4092" s="917"/>
      <c r="IBQ4092" s="917"/>
      <c r="IBR4092" s="917"/>
      <c r="IBS4092" s="917"/>
      <c r="IBT4092" s="917"/>
      <c r="IBU4092" s="917"/>
      <c r="IBV4092" s="917"/>
      <c r="IBW4092" s="917"/>
      <c r="IBX4092" s="917"/>
      <c r="IBY4092" s="917"/>
      <c r="IBZ4092" s="917"/>
      <c r="ICA4092" s="917"/>
      <c r="ICB4092" s="917"/>
      <c r="ICC4092" s="917" t="s">
        <v>78</v>
      </c>
      <c r="ICD4092" s="917"/>
      <c r="ICE4092" s="917"/>
      <c r="ICF4092" s="917"/>
      <c r="ICG4092" s="917"/>
      <c r="ICH4092" s="917"/>
      <c r="ICI4092" s="917"/>
      <c r="ICJ4092" s="917"/>
      <c r="ICK4092" s="917"/>
      <c r="ICL4092" s="917"/>
      <c r="ICM4092" s="917"/>
      <c r="ICN4092" s="917"/>
      <c r="ICO4092" s="917"/>
      <c r="ICP4092" s="917"/>
      <c r="ICQ4092" s="917"/>
      <c r="ICR4092" s="917"/>
      <c r="ICS4092" s="917"/>
      <c r="ICT4092" s="917"/>
      <c r="ICU4092" s="917"/>
      <c r="ICV4092" s="917"/>
      <c r="ICW4092" s="917"/>
      <c r="ICX4092" s="917"/>
      <c r="ICY4092" s="917"/>
      <c r="ICZ4092" s="917"/>
      <c r="IDA4092" s="917"/>
      <c r="IDB4092" s="917"/>
      <c r="IDC4092" s="917"/>
      <c r="IDD4092" s="917"/>
      <c r="IDE4092" s="917"/>
      <c r="IDF4092" s="917"/>
      <c r="IDG4092" s="917"/>
      <c r="IDH4092" s="917"/>
      <c r="IDI4092" s="917" t="s">
        <v>78</v>
      </c>
      <c r="IDJ4092" s="917"/>
      <c r="IDK4092" s="917"/>
      <c r="IDL4092" s="917"/>
      <c r="IDM4092" s="917"/>
      <c r="IDN4092" s="917"/>
      <c r="IDO4092" s="917"/>
      <c r="IDP4092" s="917"/>
      <c r="IDQ4092" s="917"/>
      <c r="IDR4092" s="917"/>
      <c r="IDS4092" s="917"/>
      <c r="IDT4092" s="917"/>
      <c r="IDU4092" s="917"/>
      <c r="IDV4092" s="917"/>
      <c r="IDW4092" s="917"/>
      <c r="IDX4092" s="917"/>
      <c r="IDY4092" s="917"/>
      <c r="IDZ4092" s="917"/>
      <c r="IEA4092" s="917"/>
      <c r="IEB4092" s="917"/>
      <c r="IEC4092" s="917"/>
      <c r="IED4092" s="917"/>
      <c r="IEE4092" s="917"/>
      <c r="IEF4092" s="917"/>
      <c r="IEG4092" s="917"/>
      <c r="IEH4092" s="917"/>
      <c r="IEI4092" s="917"/>
      <c r="IEJ4092" s="917"/>
      <c r="IEK4092" s="917"/>
      <c r="IEL4092" s="917"/>
      <c r="IEM4092" s="917"/>
      <c r="IEN4092" s="917"/>
      <c r="IEO4092" s="917" t="s">
        <v>78</v>
      </c>
      <c r="IEP4092" s="917"/>
      <c r="IEQ4092" s="917"/>
      <c r="IER4092" s="917"/>
      <c r="IES4092" s="917"/>
      <c r="IET4092" s="917"/>
      <c r="IEU4092" s="917"/>
      <c r="IEV4092" s="917"/>
      <c r="IEW4092" s="917"/>
      <c r="IEX4092" s="917"/>
      <c r="IEY4092" s="917"/>
      <c r="IEZ4092" s="917"/>
      <c r="IFA4092" s="917"/>
      <c r="IFB4092" s="917"/>
      <c r="IFC4092" s="917"/>
      <c r="IFD4092" s="917"/>
      <c r="IFE4092" s="917"/>
      <c r="IFF4092" s="917"/>
      <c r="IFG4092" s="917"/>
      <c r="IFH4092" s="917"/>
      <c r="IFI4092" s="917"/>
      <c r="IFJ4092" s="917"/>
      <c r="IFK4092" s="917"/>
      <c r="IFL4092" s="917"/>
      <c r="IFM4092" s="917"/>
      <c r="IFN4092" s="917"/>
      <c r="IFO4092" s="917"/>
      <c r="IFP4092" s="917"/>
      <c r="IFQ4092" s="917"/>
      <c r="IFR4092" s="917"/>
      <c r="IFS4092" s="917"/>
      <c r="IFT4092" s="917"/>
      <c r="IFU4092" s="917" t="s">
        <v>78</v>
      </c>
      <c r="IFV4092" s="917"/>
      <c r="IFW4092" s="917"/>
      <c r="IFX4092" s="917"/>
      <c r="IFY4092" s="917"/>
      <c r="IFZ4092" s="917"/>
      <c r="IGA4092" s="917"/>
      <c r="IGB4092" s="917"/>
      <c r="IGC4092" s="917"/>
      <c r="IGD4092" s="917"/>
      <c r="IGE4092" s="917"/>
      <c r="IGF4092" s="917"/>
      <c r="IGG4092" s="917"/>
      <c r="IGH4092" s="917"/>
      <c r="IGI4092" s="917"/>
      <c r="IGJ4092" s="917"/>
      <c r="IGK4092" s="917"/>
      <c r="IGL4092" s="917"/>
      <c r="IGM4092" s="917"/>
      <c r="IGN4092" s="917"/>
      <c r="IGO4092" s="917"/>
      <c r="IGP4092" s="917"/>
      <c r="IGQ4092" s="917"/>
      <c r="IGR4092" s="917"/>
      <c r="IGS4092" s="917"/>
      <c r="IGT4092" s="917"/>
      <c r="IGU4092" s="917"/>
      <c r="IGV4092" s="917"/>
      <c r="IGW4092" s="917"/>
      <c r="IGX4092" s="917"/>
      <c r="IGY4092" s="917"/>
      <c r="IGZ4092" s="917"/>
      <c r="IHA4092" s="917" t="s">
        <v>78</v>
      </c>
      <c r="IHB4092" s="917"/>
      <c r="IHC4092" s="917"/>
      <c r="IHD4092" s="917"/>
      <c r="IHE4092" s="917"/>
      <c r="IHF4092" s="917"/>
      <c r="IHG4092" s="917"/>
      <c r="IHH4092" s="917"/>
      <c r="IHI4092" s="917"/>
      <c r="IHJ4092" s="917"/>
      <c r="IHK4092" s="917"/>
      <c r="IHL4092" s="917"/>
      <c r="IHM4092" s="917"/>
      <c r="IHN4092" s="917"/>
      <c r="IHO4092" s="917"/>
      <c r="IHP4092" s="917"/>
      <c r="IHQ4092" s="917"/>
      <c r="IHR4092" s="917"/>
      <c r="IHS4092" s="917"/>
      <c r="IHT4092" s="917"/>
      <c r="IHU4092" s="917"/>
      <c r="IHV4092" s="917"/>
      <c r="IHW4092" s="917"/>
      <c r="IHX4092" s="917"/>
      <c r="IHY4092" s="917"/>
      <c r="IHZ4092" s="917"/>
      <c r="IIA4092" s="917"/>
      <c r="IIB4092" s="917"/>
      <c r="IIC4092" s="917"/>
      <c r="IID4092" s="917"/>
      <c r="IIE4092" s="917"/>
      <c r="IIF4092" s="917"/>
      <c r="IIG4092" s="917" t="s">
        <v>78</v>
      </c>
      <c r="IIH4092" s="917"/>
      <c r="III4092" s="917"/>
      <c r="IIJ4092" s="917"/>
      <c r="IIK4092" s="917"/>
      <c r="IIL4092" s="917"/>
      <c r="IIM4092" s="917"/>
      <c r="IIN4092" s="917"/>
      <c r="IIO4092" s="917"/>
      <c r="IIP4092" s="917"/>
      <c r="IIQ4092" s="917"/>
      <c r="IIR4092" s="917"/>
      <c r="IIS4092" s="917"/>
      <c r="IIT4092" s="917"/>
      <c r="IIU4092" s="917"/>
      <c r="IIV4092" s="917"/>
      <c r="IIW4092" s="917"/>
      <c r="IIX4092" s="917"/>
      <c r="IIY4092" s="917"/>
      <c r="IIZ4092" s="917"/>
      <c r="IJA4092" s="917"/>
      <c r="IJB4092" s="917"/>
      <c r="IJC4092" s="917"/>
      <c r="IJD4092" s="917"/>
      <c r="IJE4092" s="917"/>
      <c r="IJF4092" s="917"/>
      <c r="IJG4092" s="917"/>
      <c r="IJH4092" s="917"/>
      <c r="IJI4092" s="917"/>
      <c r="IJJ4092" s="917"/>
      <c r="IJK4092" s="917"/>
      <c r="IJL4092" s="917"/>
      <c r="IJM4092" s="917" t="s">
        <v>78</v>
      </c>
      <c r="IJN4092" s="917"/>
      <c r="IJO4092" s="917"/>
      <c r="IJP4092" s="917"/>
      <c r="IJQ4092" s="917"/>
      <c r="IJR4092" s="917"/>
      <c r="IJS4092" s="917"/>
      <c r="IJT4092" s="917"/>
      <c r="IJU4092" s="917"/>
      <c r="IJV4092" s="917"/>
      <c r="IJW4092" s="917"/>
      <c r="IJX4092" s="917"/>
      <c r="IJY4092" s="917"/>
      <c r="IJZ4092" s="917"/>
      <c r="IKA4092" s="917"/>
      <c r="IKB4092" s="917"/>
      <c r="IKC4092" s="917"/>
      <c r="IKD4092" s="917"/>
      <c r="IKE4092" s="917"/>
      <c r="IKF4092" s="917"/>
      <c r="IKG4092" s="917"/>
      <c r="IKH4092" s="917"/>
      <c r="IKI4092" s="917"/>
      <c r="IKJ4092" s="917"/>
      <c r="IKK4092" s="917"/>
      <c r="IKL4092" s="917"/>
      <c r="IKM4092" s="917"/>
      <c r="IKN4092" s="917"/>
      <c r="IKO4092" s="917"/>
      <c r="IKP4092" s="917"/>
      <c r="IKQ4092" s="917"/>
      <c r="IKR4092" s="917"/>
      <c r="IKS4092" s="917" t="s">
        <v>78</v>
      </c>
      <c r="IKT4092" s="917"/>
      <c r="IKU4092" s="917"/>
      <c r="IKV4092" s="917"/>
      <c r="IKW4092" s="917"/>
      <c r="IKX4092" s="917"/>
      <c r="IKY4092" s="917"/>
      <c r="IKZ4092" s="917"/>
      <c r="ILA4092" s="917"/>
      <c r="ILB4092" s="917"/>
      <c r="ILC4092" s="917"/>
      <c r="ILD4092" s="917"/>
      <c r="ILE4092" s="917"/>
      <c r="ILF4092" s="917"/>
      <c r="ILG4092" s="917"/>
      <c r="ILH4092" s="917"/>
      <c r="ILI4092" s="917"/>
      <c r="ILJ4092" s="917"/>
      <c r="ILK4092" s="917"/>
      <c r="ILL4092" s="917"/>
      <c r="ILM4092" s="917"/>
      <c r="ILN4092" s="917"/>
      <c r="ILO4092" s="917"/>
      <c r="ILP4092" s="917"/>
      <c r="ILQ4092" s="917"/>
      <c r="ILR4092" s="917"/>
      <c r="ILS4092" s="917"/>
      <c r="ILT4092" s="917"/>
      <c r="ILU4092" s="917"/>
      <c r="ILV4092" s="917"/>
      <c r="ILW4092" s="917"/>
      <c r="ILX4092" s="917"/>
      <c r="ILY4092" s="917" t="s">
        <v>78</v>
      </c>
      <c r="ILZ4092" s="917"/>
      <c r="IMA4092" s="917"/>
      <c r="IMB4092" s="917"/>
      <c r="IMC4092" s="917"/>
      <c r="IMD4092" s="917"/>
      <c r="IME4092" s="917"/>
      <c r="IMF4092" s="917"/>
      <c r="IMG4092" s="917"/>
      <c r="IMH4092" s="917"/>
      <c r="IMI4092" s="917"/>
      <c r="IMJ4092" s="917"/>
      <c r="IMK4092" s="917"/>
      <c r="IML4092" s="917"/>
      <c r="IMM4092" s="917"/>
      <c r="IMN4092" s="917"/>
      <c r="IMO4092" s="917"/>
      <c r="IMP4092" s="917"/>
      <c r="IMQ4092" s="917"/>
      <c r="IMR4092" s="917"/>
      <c r="IMS4092" s="917"/>
      <c r="IMT4092" s="917"/>
      <c r="IMU4092" s="917"/>
      <c r="IMV4092" s="917"/>
      <c r="IMW4092" s="917"/>
      <c r="IMX4092" s="917"/>
      <c r="IMY4092" s="917"/>
      <c r="IMZ4092" s="917"/>
      <c r="INA4092" s="917"/>
      <c r="INB4092" s="917"/>
      <c r="INC4092" s="917"/>
      <c r="IND4092" s="917"/>
      <c r="INE4092" s="917" t="s">
        <v>78</v>
      </c>
      <c r="INF4092" s="917"/>
      <c r="ING4092" s="917"/>
      <c r="INH4092" s="917"/>
      <c r="INI4092" s="917"/>
      <c r="INJ4092" s="917"/>
      <c r="INK4092" s="917"/>
      <c r="INL4092" s="917"/>
      <c r="INM4092" s="917"/>
      <c r="INN4092" s="917"/>
      <c r="INO4092" s="917"/>
      <c r="INP4092" s="917"/>
      <c r="INQ4092" s="917"/>
      <c r="INR4092" s="917"/>
      <c r="INS4092" s="917"/>
      <c r="INT4092" s="917"/>
      <c r="INU4092" s="917"/>
      <c r="INV4092" s="917"/>
      <c r="INW4092" s="917"/>
      <c r="INX4092" s="917"/>
      <c r="INY4092" s="917"/>
      <c r="INZ4092" s="917"/>
      <c r="IOA4092" s="917"/>
      <c r="IOB4092" s="917"/>
      <c r="IOC4092" s="917"/>
      <c r="IOD4092" s="917"/>
      <c r="IOE4092" s="917"/>
      <c r="IOF4092" s="917"/>
      <c r="IOG4092" s="917"/>
      <c r="IOH4092" s="917"/>
      <c r="IOI4092" s="917"/>
      <c r="IOJ4092" s="917"/>
      <c r="IOK4092" s="917" t="s">
        <v>78</v>
      </c>
      <c r="IOL4092" s="917"/>
      <c r="IOM4092" s="917"/>
      <c r="ION4092" s="917"/>
      <c r="IOO4092" s="917"/>
      <c r="IOP4092" s="917"/>
      <c r="IOQ4092" s="917"/>
      <c r="IOR4092" s="917"/>
      <c r="IOS4092" s="917"/>
      <c r="IOT4092" s="917"/>
      <c r="IOU4092" s="917"/>
      <c r="IOV4092" s="917"/>
      <c r="IOW4092" s="917"/>
      <c r="IOX4092" s="917"/>
      <c r="IOY4092" s="917"/>
      <c r="IOZ4092" s="917"/>
      <c r="IPA4092" s="917"/>
      <c r="IPB4092" s="917"/>
      <c r="IPC4092" s="917"/>
      <c r="IPD4092" s="917"/>
      <c r="IPE4092" s="917"/>
      <c r="IPF4092" s="917"/>
      <c r="IPG4092" s="917"/>
      <c r="IPH4092" s="917"/>
      <c r="IPI4092" s="917"/>
      <c r="IPJ4092" s="917"/>
      <c r="IPK4092" s="917"/>
      <c r="IPL4092" s="917"/>
      <c r="IPM4092" s="917"/>
      <c r="IPN4092" s="917"/>
      <c r="IPO4092" s="917"/>
      <c r="IPP4092" s="917"/>
      <c r="IPQ4092" s="917" t="s">
        <v>78</v>
      </c>
      <c r="IPR4092" s="917"/>
      <c r="IPS4092" s="917"/>
      <c r="IPT4092" s="917"/>
      <c r="IPU4092" s="917"/>
      <c r="IPV4092" s="917"/>
      <c r="IPW4092" s="917"/>
      <c r="IPX4092" s="917"/>
      <c r="IPY4092" s="917"/>
      <c r="IPZ4092" s="917"/>
      <c r="IQA4092" s="917"/>
      <c r="IQB4092" s="917"/>
      <c r="IQC4092" s="917"/>
      <c r="IQD4092" s="917"/>
      <c r="IQE4092" s="917"/>
      <c r="IQF4092" s="917"/>
      <c r="IQG4092" s="917"/>
      <c r="IQH4092" s="917"/>
      <c r="IQI4092" s="917"/>
      <c r="IQJ4092" s="917"/>
      <c r="IQK4092" s="917"/>
      <c r="IQL4092" s="917"/>
      <c r="IQM4092" s="917"/>
      <c r="IQN4092" s="917"/>
      <c r="IQO4092" s="917"/>
      <c r="IQP4092" s="917"/>
      <c r="IQQ4092" s="917"/>
      <c r="IQR4092" s="917"/>
      <c r="IQS4092" s="917"/>
      <c r="IQT4092" s="917"/>
      <c r="IQU4092" s="917"/>
      <c r="IQV4092" s="917"/>
      <c r="IQW4092" s="917" t="s">
        <v>78</v>
      </c>
      <c r="IQX4092" s="917"/>
      <c r="IQY4092" s="917"/>
      <c r="IQZ4092" s="917"/>
      <c r="IRA4092" s="917"/>
      <c r="IRB4092" s="917"/>
      <c r="IRC4092" s="917"/>
      <c r="IRD4092" s="917"/>
      <c r="IRE4092" s="917"/>
      <c r="IRF4092" s="917"/>
      <c r="IRG4092" s="917"/>
      <c r="IRH4092" s="917"/>
      <c r="IRI4092" s="917"/>
      <c r="IRJ4092" s="917"/>
      <c r="IRK4092" s="917"/>
      <c r="IRL4092" s="917"/>
      <c r="IRM4092" s="917"/>
      <c r="IRN4092" s="917"/>
      <c r="IRO4092" s="917"/>
      <c r="IRP4092" s="917"/>
      <c r="IRQ4092" s="917"/>
      <c r="IRR4092" s="917"/>
      <c r="IRS4092" s="917"/>
      <c r="IRT4092" s="917"/>
      <c r="IRU4092" s="917"/>
      <c r="IRV4092" s="917"/>
      <c r="IRW4092" s="917"/>
      <c r="IRX4092" s="917"/>
      <c r="IRY4092" s="917"/>
      <c r="IRZ4092" s="917"/>
      <c r="ISA4092" s="917"/>
      <c r="ISB4092" s="917"/>
      <c r="ISC4092" s="917" t="s">
        <v>78</v>
      </c>
      <c r="ISD4092" s="917"/>
      <c r="ISE4092" s="917"/>
      <c r="ISF4092" s="917"/>
      <c r="ISG4092" s="917"/>
      <c r="ISH4092" s="917"/>
      <c r="ISI4092" s="917"/>
      <c r="ISJ4092" s="917"/>
      <c r="ISK4092" s="917"/>
      <c r="ISL4092" s="917"/>
      <c r="ISM4092" s="917"/>
      <c r="ISN4092" s="917"/>
      <c r="ISO4092" s="917"/>
      <c r="ISP4092" s="917"/>
      <c r="ISQ4092" s="917"/>
      <c r="ISR4092" s="917"/>
      <c r="ISS4092" s="917"/>
      <c r="IST4092" s="917"/>
      <c r="ISU4092" s="917"/>
      <c r="ISV4092" s="917"/>
      <c r="ISW4092" s="917"/>
      <c r="ISX4092" s="917"/>
      <c r="ISY4092" s="917"/>
      <c r="ISZ4092" s="917"/>
      <c r="ITA4092" s="917"/>
      <c r="ITB4092" s="917"/>
      <c r="ITC4092" s="917"/>
      <c r="ITD4092" s="917"/>
      <c r="ITE4092" s="917"/>
      <c r="ITF4092" s="917"/>
      <c r="ITG4092" s="917"/>
      <c r="ITH4092" s="917"/>
      <c r="ITI4092" s="917" t="s">
        <v>78</v>
      </c>
      <c r="ITJ4092" s="917"/>
      <c r="ITK4092" s="917"/>
      <c r="ITL4092" s="917"/>
      <c r="ITM4092" s="917"/>
      <c r="ITN4092" s="917"/>
      <c r="ITO4092" s="917"/>
      <c r="ITP4092" s="917"/>
      <c r="ITQ4092" s="917"/>
      <c r="ITR4092" s="917"/>
      <c r="ITS4092" s="917"/>
      <c r="ITT4092" s="917"/>
      <c r="ITU4092" s="917"/>
      <c r="ITV4092" s="917"/>
      <c r="ITW4092" s="917"/>
      <c r="ITX4092" s="917"/>
      <c r="ITY4092" s="917"/>
      <c r="ITZ4092" s="917"/>
      <c r="IUA4092" s="917"/>
      <c r="IUB4092" s="917"/>
      <c r="IUC4092" s="917"/>
      <c r="IUD4092" s="917"/>
      <c r="IUE4092" s="917"/>
      <c r="IUF4092" s="917"/>
      <c r="IUG4092" s="917"/>
      <c r="IUH4092" s="917"/>
      <c r="IUI4092" s="917"/>
      <c r="IUJ4092" s="917"/>
      <c r="IUK4092" s="917"/>
      <c r="IUL4092" s="917"/>
      <c r="IUM4092" s="917"/>
      <c r="IUN4092" s="917"/>
      <c r="IUO4092" s="917" t="s">
        <v>78</v>
      </c>
      <c r="IUP4092" s="917"/>
      <c r="IUQ4092" s="917"/>
      <c r="IUR4092" s="917"/>
      <c r="IUS4092" s="917"/>
      <c r="IUT4092" s="917"/>
      <c r="IUU4092" s="917"/>
      <c r="IUV4092" s="917"/>
      <c r="IUW4092" s="917"/>
      <c r="IUX4092" s="917"/>
      <c r="IUY4092" s="917"/>
      <c r="IUZ4092" s="917"/>
      <c r="IVA4092" s="917"/>
      <c r="IVB4092" s="917"/>
      <c r="IVC4092" s="917"/>
      <c r="IVD4092" s="917"/>
      <c r="IVE4092" s="917"/>
      <c r="IVF4092" s="917"/>
      <c r="IVG4092" s="917"/>
      <c r="IVH4092" s="917"/>
      <c r="IVI4092" s="917"/>
      <c r="IVJ4092" s="917"/>
      <c r="IVK4092" s="917"/>
      <c r="IVL4092" s="917"/>
      <c r="IVM4092" s="917"/>
      <c r="IVN4092" s="917"/>
      <c r="IVO4092" s="917"/>
      <c r="IVP4092" s="917"/>
      <c r="IVQ4092" s="917"/>
      <c r="IVR4092" s="917"/>
      <c r="IVS4092" s="917"/>
      <c r="IVT4092" s="917"/>
      <c r="IVU4092" s="917" t="s">
        <v>78</v>
      </c>
      <c r="IVV4092" s="917"/>
      <c r="IVW4092" s="917"/>
      <c r="IVX4092" s="917"/>
      <c r="IVY4092" s="917"/>
      <c r="IVZ4092" s="917"/>
      <c r="IWA4092" s="917"/>
      <c r="IWB4092" s="917"/>
      <c r="IWC4092" s="917"/>
      <c r="IWD4092" s="917"/>
      <c r="IWE4092" s="917"/>
      <c r="IWF4092" s="917"/>
      <c r="IWG4092" s="917"/>
      <c r="IWH4092" s="917"/>
      <c r="IWI4092" s="917"/>
      <c r="IWJ4092" s="917"/>
      <c r="IWK4092" s="917"/>
      <c r="IWL4092" s="917"/>
      <c r="IWM4092" s="917"/>
      <c r="IWN4092" s="917"/>
      <c r="IWO4092" s="917"/>
      <c r="IWP4092" s="917"/>
      <c r="IWQ4092" s="917"/>
      <c r="IWR4092" s="917"/>
      <c r="IWS4092" s="917"/>
      <c r="IWT4092" s="917"/>
      <c r="IWU4092" s="917"/>
      <c r="IWV4092" s="917"/>
      <c r="IWW4092" s="917"/>
      <c r="IWX4092" s="917"/>
      <c r="IWY4092" s="917"/>
      <c r="IWZ4092" s="917"/>
      <c r="IXA4092" s="917" t="s">
        <v>78</v>
      </c>
      <c r="IXB4092" s="917"/>
      <c r="IXC4092" s="917"/>
      <c r="IXD4092" s="917"/>
      <c r="IXE4092" s="917"/>
      <c r="IXF4092" s="917"/>
      <c r="IXG4092" s="917"/>
      <c r="IXH4092" s="917"/>
      <c r="IXI4092" s="917"/>
      <c r="IXJ4092" s="917"/>
      <c r="IXK4092" s="917"/>
      <c r="IXL4092" s="917"/>
      <c r="IXM4092" s="917"/>
      <c r="IXN4092" s="917"/>
      <c r="IXO4092" s="917"/>
      <c r="IXP4092" s="917"/>
      <c r="IXQ4092" s="917"/>
      <c r="IXR4092" s="917"/>
      <c r="IXS4092" s="917"/>
      <c r="IXT4092" s="917"/>
      <c r="IXU4092" s="917"/>
      <c r="IXV4092" s="917"/>
      <c r="IXW4092" s="917"/>
      <c r="IXX4092" s="917"/>
      <c r="IXY4092" s="917"/>
      <c r="IXZ4092" s="917"/>
      <c r="IYA4092" s="917"/>
      <c r="IYB4092" s="917"/>
      <c r="IYC4092" s="917"/>
      <c r="IYD4092" s="917"/>
      <c r="IYE4092" s="917"/>
      <c r="IYF4092" s="917"/>
      <c r="IYG4092" s="917" t="s">
        <v>78</v>
      </c>
      <c r="IYH4092" s="917"/>
      <c r="IYI4092" s="917"/>
      <c r="IYJ4092" s="917"/>
      <c r="IYK4092" s="917"/>
      <c r="IYL4092" s="917"/>
      <c r="IYM4092" s="917"/>
      <c r="IYN4092" s="917"/>
      <c r="IYO4092" s="917"/>
      <c r="IYP4092" s="917"/>
      <c r="IYQ4092" s="917"/>
      <c r="IYR4092" s="917"/>
      <c r="IYS4092" s="917"/>
      <c r="IYT4092" s="917"/>
      <c r="IYU4092" s="917"/>
      <c r="IYV4092" s="917"/>
      <c r="IYW4092" s="917"/>
      <c r="IYX4092" s="917"/>
      <c r="IYY4092" s="917"/>
      <c r="IYZ4092" s="917"/>
      <c r="IZA4092" s="917"/>
      <c r="IZB4092" s="917"/>
      <c r="IZC4092" s="917"/>
      <c r="IZD4092" s="917"/>
      <c r="IZE4092" s="917"/>
      <c r="IZF4092" s="917"/>
      <c r="IZG4092" s="917"/>
      <c r="IZH4092" s="917"/>
      <c r="IZI4092" s="917"/>
      <c r="IZJ4092" s="917"/>
      <c r="IZK4092" s="917"/>
      <c r="IZL4092" s="917"/>
      <c r="IZM4092" s="917" t="s">
        <v>78</v>
      </c>
      <c r="IZN4092" s="917"/>
      <c r="IZO4092" s="917"/>
      <c r="IZP4092" s="917"/>
      <c r="IZQ4092" s="917"/>
      <c r="IZR4092" s="917"/>
      <c r="IZS4092" s="917"/>
      <c r="IZT4092" s="917"/>
      <c r="IZU4092" s="917"/>
      <c r="IZV4092" s="917"/>
      <c r="IZW4092" s="917"/>
      <c r="IZX4092" s="917"/>
      <c r="IZY4092" s="917"/>
      <c r="IZZ4092" s="917"/>
      <c r="JAA4092" s="917"/>
      <c r="JAB4092" s="917"/>
      <c r="JAC4092" s="917"/>
      <c r="JAD4092" s="917"/>
      <c r="JAE4092" s="917"/>
      <c r="JAF4092" s="917"/>
      <c r="JAG4092" s="917"/>
      <c r="JAH4092" s="917"/>
      <c r="JAI4092" s="917"/>
      <c r="JAJ4092" s="917"/>
      <c r="JAK4092" s="917"/>
      <c r="JAL4092" s="917"/>
      <c r="JAM4092" s="917"/>
      <c r="JAN4092" s="917"/>
      <c r="JAO4092" s="917"/>
      <c r="JAP4092" s="917"/>
      <c r="JAQ4092" s="917"/>
      <c r="JAR4092" s="917"/>
      <c r="JAS4092" s="917" t="s">
        <v>78</v>
      </c>
      <c r="JAT4092" s="917"/>
      <c r="JAU4092" s="917"/>
      <c r="JAV4092" s="917"/>
      <c r="JAW4092" s="917"/>
      <c r="JAX4092" s="917"/>
      <c r="JAY4092" s="917"/>
      <c r="JAZ4092" s="917"/>
      <c r="JBA4092" s="917"/>
      <c r="JBB4092" s="917"/>
      <c r="JBC4092" s="917"/>
      <c r="JBD4092" s="917"/>
      <c r="JBE4092" s="917"/>
      <c r="JBF4092" s="917"/>
      <c r="JBG4092" s="917"/>
      <c r="JBH4092" s="917"/>
      <c r="JBI4092" s="917"/>
      <c r="JBJ4092" s="917"/>
      <c r="JBK4092" s="917"/>
      <c r="JBL4092" s="917"/>
      <c r="JBM4092" s="917"/>
      <c r="JBN4092" s="917"/>
      <c r="JBO4092" s="917"/>
      <c r="JBP4092" s="917"/>
      <c r="JBQ4092" s="917"/>
      <c r="JBR4092" s="917"/>
      <c r="JBS4092" s="917"/>
      <c r="JBT4092" s="917"/>
      <c r="JBU4092" s="917"/>
      <c r="JBV4092" s="917"/>
      <c r="JBW4092" s="917"/>
      <c r="JBX4092" s="917"/>
      <c r="JBY4092" s="917" t="s">
        <v>78</v>
      </c>
      <c r="JBZ4092" s="917"/>
      <c r="JCA4092" s="917"/>
      <c r="JCB4092" s="917"/>
      <c r="JCC4092" s="917"/>
      <c r="JCD4092" s="917"/>
      <c r="JCE4092" s="917"/>
      <c r="JCF4092" s="917"/>
      <c r="JCG4092" s="917"/>
      <c r="JCH4092" s="917"/>
      <c r="JCI4092" s="917"/>
      <c r="JCJ4092" s="917"/>
      <c r="JCK4092" s="917"/>
      <c r="JCL4092" s="917"/>
      <c r="JCM4092" s="917"/>
      <c r="JCN4092" s="917"/>
      <c r="JCO4092" s="917"/>
      <c r="JCP4092" s="917"/>
      <c r="JCQ4092" s="917"/>
      <c r="JCR4092" s="917"/>
      <c r="JCS4092" s="917"/>
      <c r="JCT4092" s="917"/>
      <c r="JCU4092" s="917"/>
      <c r="JCV4092" s="917"/>
      <c r="JCW4092" s="917"/>
      <c r="JCX4092" s="917"/>
      <c r="JCY4092" s="917"/>
      <c r="JCZ4092" s="917"/>
      <c r="JDA4092" s="917"/>
      <c r="JDB4092" s="917"/>
      <c r="JDC4092" s="917"/>
      <c r="JDD4092" s="917"/>
      <c r="JDE4092" s="917" t="s">
        <v>78</v>
      </c>
      <c r="JDF4092" s="917"/>
      <c r="JDG4092" s="917"/>
      <c r="JDH4092" s="917"/>
      <c r="JDI4092" s="917"/>
      <c r="JDJ4092" s="917"/>
      <c r="JDK4092" s="917"/>
      <c r="JDL4092" s="917"/>
      <c r="JDM4092" s="917"/>
      <c r="JDN4092" s="917"/>
      <c r="JDO4092" s="917"/>
      <c r="JDP4092" s="917"/>
      <c r="JDQ4092" s="917"/>
      <c r="JDR4092" s="917"/>
      <c r="JDS4092" s="917"/>
      <c r="JDT4092" s="917"/>
      <c r="JDU4092" s="917"/>
      <c r="JDV4092" s="917"/>
      <c r="JDW4092" s="917"/>
      <c r="JDX4092" s="917"/>
      <c r="JDY4092" s="917"/>
      <c r="JDZ4092" s="917"/>
      <c r="JEA4092" s="917"/>
      <c r="JEB4092" s="917"/>
      <c r="JEC4092" s="917"/>
      <c r="JED4092" s="917"/>
      <c r="JEE4092" s="917"/>
      <c r="JEF4092" s="917"/>
      <c r="JEG4092" s="917"/>
      <c r="JEH4092" s="917"/>
      <c r="JEI4092" s="917"/>
      <c r="JEJ4092" s="917"/>
      <c r="JEK4092" s="917" t="s">
        <v>78</v>
      </c>
      <c r="JEL4092" s="917"/>
      <c r="JEM4092" s="917"/>
      <c r="JEN4092" s="917"/>
      <c r="JEO4092" s="917"/>
      <c r="JEP4092" s="917"/>
      <c r="JEQ4092" s="917"/>
      <c r="JER4092" s="917"/>
      <c r="JES4092" s="917"/>
      <c r="JET4092" s="917"/>
      <c r="JEU4092" s="917"/>
      <c r="JEV4092" s="917"/>
      <c r="JEW4092" s="917"/>
      <c r="JEX4092" s="917"/>
      <c r="JEY4092" s="917"/>
      <c r="JEZ4092" s="917"/>
      <c r="JFA4092" s="917"/>
      <c r="JFB4092" s="917"/>
      <c r="JFC4092" s="917"/>
      <c r="JFD4092" s="917"/>
      <c r="JFE4092" s="917"/>
      <c r="JFF4092" s="917"/>
      <c r="JFG4092" s="917"/>
      <c r="JFH4092" s="917"/>
      <c r="JFI4092" s="917"/>
      <c r="JFJ4092" s="917"/>
      <c r="JFK4092" s="917"/>
      <c r="JFL4092" s="917"/>
      <c r="JFM4092" s="917"/>
      <c r="JFN4092" s="917"/>
      <c r="JFO4092" s="917"/>
      <c r="JFP4092" s="917"/>
      <c r="JFQ4092" s="917" t="s">
        <v>78</v>
      </c>
      <c r="JFR4092" s="917"/>
      <c r="JFS4092" s="917"/>
      <c r="JFT4092" s="917"/>
      <c r="JFU4092" s="917"/>
      <c r="JFV4092" s="917"/>
      <c r="JFW4092" s="917"/>
      <c r="JFX4092" s="917"/>
      <c r="JFY4092" s="917"/>
      <c r="JFZ4092" s="917"/>
      <c r="JGA4092" s="917"/>
      <c r="JGB4092" s="917"/>
      <c r="JGC4092" s="917"/>
      <c r="JGD4092" s="917"/>
      <c r="JGE4092" s="917"/>
      <c r="JGF4092" s="917"/>
      <c r="JGG4092" s="917"/>
      <c r="JGH4092" s="917"/>
      <c r="JGI4092" s="917"/>
      <c r="JGJ4092" s="917"/>
      <c r="JGK4092" s="917"/>
      <c r="JGL4092" s="917"/>
      <c r="JGM4092" s="917"/>
      <c r="JGN4092" s="917"/>
      <c r="JGO4092" s="917"/>
      <c r="JGP4092" s="917"/>
      <c r="JGQ4092" s="917"/>
      <c r="JGR4092" s="917"/>
      <c r="JGS4092" s="917"/>
      <c r="JGT4092" s="917"/>
      <c r="JGU4092" s="917"/>
      <c r="JGV4092" s="917"/>
      <c r="JGW4092" s="917" t="s">
        <v>78</v>
      </c>
      <c r="JGX4092" s="917"/>
      <c r="JGY4092" s="917"/>
      <c r="JGZ4092" s="917"/>
      <c r="JHA4092" s="917"/>
      <c r="JHB4092" s="917"/>
      <c r="JHC4092" s="917"/>
      <c r="JHD4092" s="917"/>
      <c r="JHE4092" s="917"/>
      <c r="JHF4092" s="917"/>
      <c r="JHG4092" s="917"/>
      <c r="JHH4092" s="917"/>
      <c r="JHI4092" s="917"/>
      <c r="JHJ4092" s="917"/>
      <c r="JHK4092" s="917"/>
      <c r="JHL4092" s="917"/>
      <c r="JHM4092" s="917"/>
      <c r="JHN4092" s="917"/>
      <c r="JHO4092" s="917"/>
      <c r="JHP4092" s="917"/>
      <c r="JHQ4092" s="917"/>
      <c r="JHR4092" s="917"/>
      <c r="JHS4092" s="917"/>
      <c r="JHT4092" s="917"/>
      <c r="JHU4092" s="917"/>
      <c r="JHV4092" s="917"/>
      <c r="JHW4092" s="917"/>
      <c r="JHX4092" s="917"/>
      <c r="JHY4092" s="917"/>
      <c r="JHZ4092" s="917"/>
      <c r="JIA4092" s="917"/>
      <c r="JIB4092" s="917"/>
      <c r="JIC4092" s="917" t="s">
        <v>78</v>
      </c>
      <c r="JID4092" s="917"/>
      <c r="JIE4092" s="917"/>
      <c r="JIF4092" s="917"/>
      <c r="JIG4092" s="917"/>
      <c r="JIH4092" s="917"/>
      <c r="JII4092" s="917"/>
      <c r="JIJ4092" s="917"/>
      <c r="JIK4092" s="917"/>
      <c r="JIL4092" s="917"/>
      <c r="JIM4092" s="917"/>
      <c r="JIN4092" s="917"/>
      <c r="JIO4092" s="917"/>
      <c r="JIP4092" s="917"/>
      <c r="JIQ4092" s="917"/>
      <c r="JIR4092" s="917"/>
      <c r="JIS4092" s="917"/>
      <c r="JIT4092" s="917"/>
      <c r="JIU4092" s="917"/>
      <c r="JIV4092" s="917"/>
      <c r="JIW4092" s="917"/>
      <c r="JIX4092" s="917"/>
      <c r="JIY4092" s="917"/>
      <c r="JIZ4092" s="917"/>
      <c r="JJA4092" s="917"/>
      <c r="JJB4092" s="917"/>
      <c r="JJC4092" s="917"/>
      <c r="JJD4092" s="917"/>
      <c r="JJE4092" s="917"/>
      <c r="JJF4092" s="917"/>
      <c r="JJG4092" s="917"/>
      <c r="JJH4092" s="917"/>
      <c r="JJI4092" s="917" t="s">
        <v>78</v>
      </c>
      <c r="JJJ4092" s="917"/>
      <c r="JJK4092" s="917"/>
      <c r="JJL4092" s="917"/>
      <c r="JJM4092" s="917"/>
      <c r="JJN4092" s="917"/>
      <c r="JJO4092" s="917"/>
      <c r="JJP4092" s="917"/>
      <c r="JJQ4092" s="917"/>
      <c r="JJR4092" s="917"/>
      <c r="JJS4092" s="917"/>
      <c r="JJT4092" s="917"/>
      <c r="JJU4092" s="917"/>
      <c r="JJV4092" s="917"/>
      <c r="JJW4092" s="917"/>
      <c r="JJX4092" s="917"/>
      <c r="JJY4092" s="917"/>
      <c r="JJZ4092" s="917"/>
      <c r="JKA4092" s="917"/>
      <c r="JKB4092" s="917"/>
      <c r="JKC4092" s="917"/>
      <c r="JKD4092" s="917"/>
      <c r="JKE4092" s="917"/>
      <c r="JKF4092" s="917"/>
      <c r="JKG4092" s="917"/>
      <c r="JKH4092" s="917"/>
      <c r="JKI4092" s="917"/>
      <c r="JKJ4092" s="917"/>
      <c r="JKK4092" s="917"/>
      <c r="JKL4092" s="917"/>
      <c r="JKM4092" s="917"/>
      <c r="JKN4092" s="917"/>
      <c r="JKO4092" s="917" t="s">
        <v>78</v>
      </c>
      <c r="JKP4092" s="917"/>
      <c r="JKQ4092" s="917"/>
      <c r="JKR4092" s="917"/>
      <c r="JKS4092" s="917"/>
      <c r="JKT4092" s="917"/>
      <c r="JKU4092" s="917"/>
      <c r="JKV4092" s="917"/>
      <c r="JKW4092" s="917"/>
      <c r="JKX4092" s="917"/>
      <c r="JKY4092" s="917"/>
      <c r="JKZ4092" s="917"/>
      <c r="JLA4092" s="917"/>
      <c r="JLB4092" s="917"/>
      <c r="JLC4092" s="917"/>
      <c r="JLD4092" s="917"/>
      <c r="JLE4092" s="917"/>
      <c r="JLF4092" s="917"/>
      <c r="JLG4092" s="917"/>
      <c r="JLH4092" s="917"/>
      <c r="JLI4092" s="917"/>
      <c r="JLJ4092" s="917"/>
      <c r="JLK4092" s="917"/>
      <c r="JLL4092" s="917"/>
      <c r="JLM4092" s="917"/>
      <c r="JLN4092" s="917"/>
      <c r="JLO4092" s="917"/>
      <c r="JLP4092" s="917"/>
      <c r="JLQ4092" s="917"/>
      <c r="JLR4092" s="917"/>
      <c r="JLS4092" s="917"/>
      <c r="JLT4092" s="917"/>
      <c r="JLU4092" s="917" t="s">
        <v>78</v>
      </c>
      <c r="JLV4092" s="917"/>
      <c r="JLW4092" s="917"/>
      <c r="JLX4092" s="917"/>
      <c r="JLY4092" s="917"/>
      <c r="JLZ4092" s="917"/>
      <c r="JMA4092" s="917"/>
      <c r="JMB4092" s="917"/>
      <c r="JMC4092" s="917"/>
      <c r="JMD4092" s="917"/>
      <c r="JME4092" s="917"/>
      <c r="JMF4092" s="917"/>
      <c r="JMG4092" s="917"/>
      <c r="JMH4092" s="917"/>
      <c r="JMI4092" s="917"/>
      <c r="JMJ4092" s="917"/>
      <c r="JMK4092" s="917"/>
      <c r="JML4092" s="917"/>
      <c r="JMM4092" s="917"/>
      <c r="JMN4092" s="917"/>
      <c r="JMO4092" s="917"/>
      <c r="JMP4092" s="917"/>
      <c r="JMQ4092" s="917"/>
      <c r="JMR4092" s="917"/>
      <c r="JMS4092" s="917"/>
      <c r="JMT4092" s="917"/>
      <c r="JMU4092" s="917"/>
      <c r="JMV4092" s="917"/>
      <c r="JMW4092" s="917"/>
      <c r="JMX4092" s="917"/>
      <c r="JMY4092" s="917"/>
      <c r="JMZ4092" s="917"/>
      <c r="JNA4092" s="917" t="s">
        <v>78</v>
      </c>
      <c r="JNB4092" s="917"/>
      <c r="JNC4092" s="917"/>
      <c r="JND4092" s="917"/>
      <c r="JNE4092" s="917"/>
      <c r="JNF4092" s="917"/>
      <c r="JNG4092" s="917"/>
      <c r="JNH4092" s="917"/>
      <c r="JNI4092" s="917"/>
      <c r="JNJ4092" s="917"/>
      <c r="JNK4092" s="917"/>
      <c r="JNL4092" s="917"/>
      <c r="JNM4092" s="917"/>
      <c r="JNN4092" s="917"/>
      <c r="JNO4092" s="917"/>
      <c r="JNP4092" s="917"/>
      <c r="JNQ4092" s="917"/>
      <c r="JNR4092" s="917"/>
      <c r="JNS4092" s="917"/>
      <c r="JNT4092" s="917"/>
      <c r="JNU4092" s="917"/>
      <c r="JNV4092" s="917"/>
      <c r="JNW4092" s="917"/>
      <c r="JNX4092" s="917"/>
      <c r="JNY4092" s="917"/>
      <c r="JNZ4092" s="917"/>
      <c r="JOA4092" s="917"/>
      <c r="JOB4092" s="917"/>
      <c r="JOC4092" s="917"/>
      <c r="JOD4092" s="917"/>
      <c r="JOE4092" s="917"/>
      <c r="JOF4092" s="917"/>
      <c r="JOG4092" s="917" t="s">
        <v>78</v>
      </c>
      <c r="JOH4092" s="917"/>
      <c r="JOI4092" s="917"/>
      <c r="JOJ4092" s="917"/>
      <c r="JOK4092" s="917"/>
      <c r="JOL4092" s="917"/>
      <c r="JOM4092" s="917"/>
      <c r="JON4092" s="917"/>
      <c r="JOO4092" s="917"/>
      <c r="JOP4092" s="917"/>
      <c r="JOQ4092" s="917"/>
      <c r="JOR4092" s="917"/>
      <c r="JOS4092" s="917"/>
      <c r="JOT4092" s="917"/>
      <c r="JOU4092" s="917"/>
      <c r="JOV4092" s="917"/>
      <c r="JOW4092" s="917"/>
      <c r="JOX4092" s="917"/>
      <c r="JOY4092" s="917"/>
      <c r="JOZ4092" s="917"/>
      <c r="JPA4092" s="917"/>
      <c r="JPB4092" s="917"/>
      <c r="JPC4092" s="917"/>
      <c r="JPD4092" s="917"/>
      <c r="JPE4092" s="917"/>
      <c r="JPF4092" s="917"/>
      <c r="JPG4092" s="917"/>
      <c r="JPH4092" s="917"/>
      <c r="JPI4092" s="917"/>
      <c r="JPJ4092" s="917"/>
      <c r="JPK4092" s="917"/>
      <c r="JPL4092" s="917"/>
      <c r="JPM4092" s="917" t="s">
        <v>78</v>
      </c>
      <c r="JPN4092" s="917"/>
      <c r="JPO4092" s="917"/>
      <c r="JPP4092" s="917"/>
      <c r="JPQ4092" s="917"/>
      <c r="JPR4092" s="917"/>
      <c r="JPS4092" s="917"/>
      <c r="JPT4092" s="917"/>
      <c r="JPU4092" s="917"/>
      <c r="JPV4092" s="917"/>
      <c r="JPW4092" s="917"/>
      <c r="JPX4092" s="917"/>
      <c r="JPY4092" s="917"/>
      <c r="JPZ4092" s="917"/>
      <c r="JQA4092" s="917"/>
      <c r="JQB4092" s="917"/>
      <c r="JQC4092" s="917"/>
      <c r="JQD4092" s="917"/>
      <c r="JQE4092" s="917"/>
      <c r="JQF4092" s="917"/>
      <c r="JQG4092" s="917"/>
      <c r="JQH4092" s="917"/>
      <c r="JQI4092" s="917"/>
      <c r="JQJ4092" s="917"/>
      <c r="JQK4092" s="917"/>
      <c r="JQL4092" s="917"/>
      <c r="JQM4092" s="917"/>
      <c r="JQN4092" s="917"/>
      <c r="JQO4092" s="917"/>
      <c r="JQP4092" s="917"/>
      <c r="JQQ4092" s="917"/>
      <c r="JQR4092" s="917"/>
      <c r="JQS4092" s="917" t="s">
        <v>78</v>
      </c>
      <c r="JQT4092" s="917"/>
      <c r="JQU4092" s="917"/>
      <c r="JQV4092" s="917"/>
      <c r="JQW4092" s="917"/>
      <c r="JQX4092" s="917"/>
      <c r="JQY4092" s="917"/>
      <c r="JQZ4092" s="917"/>
      <c r="JRA4092" s="917"/>
      <c r="JRB4092" s="917"/>
      <c r="JRC4092" s="917"/>
      <c r="JRD4092" s="917"/>
      <c r="JRE4092" s="917"/>
      <c r="JRF4092" s="917"/>
      <c r="JRG4092" s="917"/>
      <c r="JRH4092" s="917"/>
      <c r="JRI4092" s="917"/>
      <c r="JRJ4092" s="917"/>
      <c r="JRK4092" s="917"/>
      <c r="JRL4092" s="917"/>
      <c r="JRM4092" s="917"/>
      <c r="JRN4092" s="917"/>
      <c r="JRO4092" s="917"/>
      <c r="JRP4092" s="917"/>
      <c r="JRQ4092" s="917"/>
      <c r="JRR4092" s="917"/>
      <c r="JRS4092" s="917"/>
      <c r="JRT4092" s="917"/>
      <c r="JRU4092" s="917"/>
      <c r="JRV4092" s="917"/>
      <c r="JRW4092" s="917"/>
      <c r="JRX4092" s="917"/>
      <c r="JRY4092" s="917" t="s">
        <v>78</v>
      </c>
      <c r="JRZ4092" s="917"/>
      <c r="JSA4092" s="917"/>
      <c r="JSB4092" s="917"/>
      <c r="JSC4092" s="917"/>
      <c r="JSD4092" s="917"/>
      <c r="JSE4092" s="917"/>
      <c r="JSF4092" s="917"/>
      <c r="JSG4092" s="917"/>
      <c r="JSH4092" s="917"/>
      <c r="JSI4092" s="917"/>
      <c r="JSJ4092" s="917"/>
      <c r="JSK4092" s="917"/>
      <c r="JSL4092" s="917"/>
      <c r="JSM4092" s="917"/>
      <c r="JSN4092" s="917"/>
      <c r="JSO4092" s="917"/>
      <c r="JSP4092" s="917"/>
      <c r="JSQ4092" s="917"/>
      <c r="JSR4092" s="917"/>
      <c r="JSS4092" s="917"/>
      <c r="JST4092" s="917"/>
      <c r="JSU4092" s="917"/>
      <c r="JSV4092" s="917"/>
      <c r="JSW4092" s="917"/>
      <c r="JSX4092" s="917"/>
      <c r="JSY4092" s="917"/>
      <c r="JSZ4092" s="917"/>
      <c r="JTA4092" s="917"/>
      <c r="JTB4092" s="917"/>
      <c r="JTC4092" s="917"/>
      <c r="JTD4092" s="917"/>
      <c r="JTE4092" s="917" t="s">
        <v>78</v>
      </c>
      <c r="JTF4092" s="917"/>
      <c r="JTG4092" s="917"/>
      <c r="JTH4092" s="917"/>
      <c r="JTI4092" s="917"/>
      <c r="JTJ4092" s="917"/>
      <c r="JTK4092" s="917"/>
      <c r="JTL4092" s="917"/>
      <c r="JTM4092" s="917"/>
      <c r="JTN4092" s="917"/>
      <c r="JTO4092" s="917"/>
      <c r="JTP4092" s="917"/>
      <c r="JTQ4092" s="917"/>
      <c r="JTR4092" s="917"/>
      <c r="JTS4092" s="917"/>
      <c r="JTT4092" s="917"/>
      <c r="JTU4092" s="917"/>
      <c r="JTV4092" s="917"/>
      <c r="JTW4092" s="917"/>
      <c r="JTX4092" s="917"/>
      <c r="JTY4092" s="917"/>
      <c r="JTZ4092" s="917"/>
      <c r="JUA4092" s="917"/>
      <c r="JUB4092" s="917"/>
      <c r="JUC4092" s="917"/>
      <c r="JUD4092" s="917"/>
      <c r="JUE4092" s="917"/>
      <c r="JUF4092" s="917"/>
      <c r="JUG4092" s="917"/>
      <c r="JUH4092" s="917"/>
      <c r="JUI4092" s="917"/>
      <c r="JUJ4092" s="917"/>
      <c r="JUK4092" s="917" t="s">
        <v>78</v>
      </c>
      <c r="JUL4092" s="917"/>
      <c r="JUM4092" s="917"/>
      <c r="JUN4092" s="917"/>
      <c r="JUO4092" s="917"/>
      <c r="JUP4092" s="917"/>
      <c r="JUQ4092" s="917"/>
      <c r="JUR4092" s="917"/>
      <c r="JUS4092" s="917"/>
      <c r="JUT4092" s="917"/>
      <c r="JUU4092" s="917"/>
      <c r="JUV4092" s="917"/>
      <c r="JUW4092" s="917"/>
      <c r="JUX4092" s="917"/>
      <c r="JUY4092" s="917"/>
      <c r="JUZ4092" s="917"/>
      <c r="JVA4092" s="917"/>
      <c r="JVB4092" s="917"/>
      <c r="JVC4092" s="917"/>
      <c r="JVD4092" s="917"/>
      <c r="JVE4092" s="917"/>
      <c r="JVF4092" s="917"/>
      <c r="JVG4092" s="917"/>
      <c r="JVH4092" s="917"/>
      <c r="JVI4092" s="917"/>
      <c r="JVJ4092" s="917"/>
      <c r="JVK4092" s="917"/>
      <c r="JVL4092" s="917"/>
      <c r="JVM4092" s="917"/>
      <c r="JVN4092" s="917"/>
      <c r="JVO4092" s="917"/>
      <c r="JVP4092" s="917"/>
      <c r="JVQ4092" s="917" t="s">
        <v>78</v>
      </c>
      <c r="JVR4092" s="917"/>
      <c r="JVS4092" s="917"/>
      <c r="JVT4092" s="917"/>
      <c r="JVU4092" s="917"/>
      <c r="JVV4092" s="917"/>
      <c r="JVW4092" s="917"/>
      <c r="JVX4092" s="917"/>
      <c r="JVY4092" s="917"/>
      <c r="JVZ4092" s="917"/>
      <c r="JWA4092" s="917"/>
      <c r="JWB4092" s="917"/>
      <c r="JWC4092" s="917"/>
      <c r="JWD4092" s="917"/>
      <c r="JWE4092" s="917"/>
      <c r="JWF4092" s="917"/>
      <c r="JWG4092" s="917"/>
      <c r="JWH4092" s="917"/>
      <c r="JWI4092" s="917"/>
      <c r="JWJ4092" s="917"/>
      <c r="JWK4092" s="917"/>
      <c r="JWL4092" s="917"/>
      <c r="JWM4092" s="917"/>
      <c r="JWN4092" s="917"/>
      <c r="JWO4092" s="917"/>
      <c r="JWP4092" s="917"/>
      <c r="JWQ4092" s="917"/>
      <c r="JWR4092" s="917"/>
      <c r="JWS4092" s="917"/>
      <c r="JWT4092" s="917"/>
      <c r="JWU4092" s="917"/>
      <c r="JWV4092" s="917"/>
      <c r="JWW4092" s="917" t="s">
        <v>78</v>
      </c>
      <c r="JWX4092" s="917"/>
      <c r="JWY4092" s="917"/>
      <c r="JWZ4092" s="917"/>
      <c r="JXA4092" s="917"/>
      <c r="JXB4092" s="917"/>
      <c r="JXC4092" s="917"/>
      <c r="JXD4092" s="917"/>
      <c r="JXE4092" s="917"/>
      <c r="JXF4092" s="917"/>
      <c r="JXG4092" s="917"/>
      <c r="JXH4092" s="917"/>
      <c r="JXI4092" s="917"/>
      <c r="JXJ4092" s="917"/>
      <c r="JXK4092" s="917"/>
      <c r="JXL4092" s="917"/>
      <c r="JXM4092" s="917"/>
      <c r="JXN4092" s="917"/>
      <c r="JXO4092" s="917"/>
      <c r="JXP4092" s="917"/>
      <c r="JXQ4092" s="917"/>
      <c r="JXR4092" s="917"/>
      <c r="JXS4092" s="917"/>
      <c r="JXT4092" s="917"/>
      <c r="JXU4092" s="917"/>
      <c r="JXV4092" s="917"/>
      <c r="JXW4092" s="917"/>
      <c r="JXX4092" s="917"/>
      <c r="JXY4092" s="917"/>
      <c r="JXZ4092" s="917"/>
      <c r="JYA4092" s="917"/>
      <c r="JYB4092" s="917"/>
      <c r="JYC4092" s="917" t="s">
        <v>78</v>
      </c>
      <c r="JYD4092" s="917"/>
      <c r="JYE4092" s="917"/>
      <c r="JYF4092" s="917"/>
      <c r="JYG4092" s="917"/>
      <c r="JYH4092" s="917"/>
      <c r="JYI4092" s="917"/>
      <c r="JYJ4092" s="917"/>
      <c r="JYK4092" s="917"/>
      <c r="JYL4092" s="917"/>
      <c r="JYM4092" s="917"/>
      <c r="JYN4092" s="917"/>
      <c r="JYO4092" s="917"/>
      <c r="JYP4092" s="917"/>
      <c r="JYQ4092" s="917"/>
      <c r="JYR4092" s="917"/>
      <c r="JYS4092" s="917"/>
      <c r="JYT4092" s="917"/>
      <c r="JYU4092" s="917"/>
      <c r="JYV4092" s="917"/>
      <c r="JYW4092" s="917"/>
      <c r="JYX4092" s="917"/>
      <c r="JYY4092" s="917"/>
      <c r="JYZ4092" s="917"/>
      <c r="JZA4092" s="917"/>
      <c r="JZB4092" s="917"/>
      <c r="JZC4092" s="917"/>
      <c r="JZD4092" s="917"/>
      <c r="JZE4092" s="917"/>
      <c r="JZF4092" s="917"/>
      <c r="JZG4092" s="917"/>
      <c r="JZH4092" s="917"/>
      <c r="JZI4092" s="917" t="s">
        <v>78</v>
      </c>
      <c r="JZJ4092" s="917"/>
      <c r="JZK4092" s="917"/>
      <c r="JZL4092" s="917"/>
      <c r="JZM4092" s="917"/>
      <c r="JZN4092" s="917"/>
      <c r="JZO4092" s="917"/>
      <c r="JZP4092" s="917"/>
      <c r="JZQ4092" s="917"/>
      <c r="JZR4092" s="917"/>
      <c r="JZS4092" s="917"/>
      <c r="JZT4092" s="917"/>
      <c r="JZU4092" s="917"/>
      <c r="JZV4092" s="917"/>
      <c r="JZW4092" s="917"/>
      <c r="JZX4092" s="917"/>
      <c r="JZY4092" s="917"/>
      <c r="JZZ4092" s="917"/>
      <c r="KAA4092" s="917"/>
      <c r="KAB4092" s="917"/>
      <c r="KAC4092" s="917"/>
      <c r="KAD4092" s="917"/>
      <c r="KAE4092" s="917"/>
      <c r="KAF4092" s="917"/>
      <c r="KAG4092" s="917"/>
      <c r="KAH4092" s="917"/>
      <c r="KAI4092" s="917"/>
      <c r="KAJ4092" s="917"/>
      <c r="KAK4092" s="917"/>
      <c r="KAL4092" s="917"/>
      <c r="KAM4092" s="917"/>
      <c r="KAN4092" s="917"/>
      <c r="KAO4092" s="917" t="s">
        <v>78</v>
      </c>
      <c r="KAP4092" s="917"/>
      <c r="KAQ4092" s="917"/>
      <c r="KAR4092" s="917"/>
      <c r="KAS4092" s="917"/>
      <c r="KAT4092" s="917"/>
      <c r="KAU4092" s="917"/>
      <c r="KAV4092" s="917"/>
      <c r="KAW4092" s="917"/>
      <c r="KAX4092" s="917"/>
      <c r="KAY4092" s="917"/>
      <c r="KAZ4092" s="917"/>
      <c r="KBA4092" s="917"/>
      <c r="KBB4092" s="917"/>
      <c r="KBC4092" s="917"/>
      <c r="KBD4092" s="917"/>
      <c r="KBE4092" s="917"/>
      <c r="KBF4092" s="917"/>
      <c r="KBG4092" s="917"/>
      <c r="KBH4092" s="917"/>
      <c r="KBI4092" s="917"/>
      <c r="KBJ4092" s="917"/>
      <c r="KBK4092" s="917"/>
      <c r="KBL4092" s="917"/>
      <c r="KBM4092" s="917"/>
      <c r="KBN4092" s="917"/>
      <c r="KBO4092" s="917"/>
      <c r="KBP4092" s="917"/>
      <c r="KBQ4092" s="917"/>
      <c r="KBR4092" s="917"/>
      <c r="KBS4092" s="917"/>
      <c r="KBT4092" s="917"/>
      <c r="KBU4092" s="917" t="s">
        <v>78</v>
      </c>
      <c r="KBV4092" s="917"/>
      <c r="KBW4092" s="917"/>
      <c r="KBX4092" s="917"/>
      <c r="KBY4092" s="917"/>
      <c r="KBZ4092" s="917"/>
      <c r="KCA4092" s="917"/>
      <c r="KCB4092" s="917"/>
      <c r="KCC4092" s="917"/>
      <c r="KCD4092" s="917"/>
      <c r="KCE4092" s="917"/>
      <c r="KCF4092" s="917"/>
      <c r="KCG4092" s="917"/>
      <c r="KCH4092" s="917"/>
      <c r="KCI4092" s="917"/>
      <c r="KCJ4092" s="917"/>
      <c r="KCK4092" s="917"/>
      <c r="KCL4092" s="917"/>
      <c r="KCM4092" s="917"/>
      <c r="KCN4092" s="917"/>
      <c r="KCO4092" s="917"/>
      <c r="KCP4092" s="917"/>
      <c r="KCQ4092" s="917"/>
      <c r="KCR4092" s="917"/>
      <c r="KCS4092" s="917"/>
      <c r="KCT4092" s="917"/>
      <c r="KCU4092" s="917"/>
      <c r="KCV4092" s="917"/>
      <c r="KCW4092" s="917"/>
      <c r="KCX4092" s="917"/>
      <c r="KCY4092" s="917"/>
      <c r="KCZ4092" s="917"/>
      <c r="KDA4092" s="917" t="s">
        <v>78</v>
      </c>
      <c r="KDB4092" s="917"/>
      <c r="KDC4092" s="917"/>
      <c r="KDD4092" s="917"/>
      <c r="KDE4092" s="917"/>
      <c r="KDF4092" s="917"/>
      <c r="KDG4092" s="917"/>
      <c r="KDH4092" s="917"/>
      <c r="KDI4092" s="917"/>
      <c r="KDJ4092" s="917"/>
      <c r="KDK4092" s="917"/>
      <c r="KDL4092" s="917"/>
      <c r="KDM4092" s="917"/>
      <c r="KDN4092" s="917"/>
      <c r="KDO4092" s="917"/>
      <c r="KDP4092" s="917"/>
      <c r="KDQ4092" s="917"/>
      <c r="KDR4092" s="917"/>
      <c r="KDS4092" s="917"/>
      <c r="KDT4092" s="917"/>
      <c r="KDU4092" s="917"/>
      <c r="KDV4092" s="917"/>
      <c r="KDW4092" s="917"/>
      <c r="KDX4092" s="917"/>
      <c r="KDY4092" s="917"/>
      <c r="KDZ4092" s="917"/>
      <c r="KEA4092" s="917"/>
      <c r="KEB4092" s="917"/>
      <c r="KEC4092" s="917"/>
      <c r="KED4092" s="917"/>
      <c r="KEE4092" s="917"/>
      <c r="KEF4092" s="917"/>
      <c r="KEG4092" s="917" t="s">
        <v>78</v>
      </c>
      <c r="KEH4092" s="917"/>
      <c r="KEI4092" s="917"/>
      <c r="KEJ4092" s="917"/>
      <c r="KEK4092" s="917"/>
      <c r="KEL4092" s="917"/>
      <c r="KEM4092" s="917"/>
      <c r="KEN4092" s="917"/>
      <c r="KEO4092" s="917"/>
      <c r="KEP4092" s="917"/>
      <c r="KEQ4092" s="917"/>
      <c r="KER4092" s="917"/>
      <c r="KES4092" s="917"/>
      <c r="KET4092" s="917"/>
      <c r="KEU4092" s="917"/>
      <c r="KEV4092" s="917"/>
      <c r="KEW4092" s="917"/>
      <c r="KEX4092" s="917"/>
      <c r="KEY4092" s="917"/>
      <c r="KEZ4092" s="917"/>
      <c r="KFA4092" s="917"/>
      <c r="KFB4092" s="917"/>
      <c r="KFC4092" s="917"/>
      <c r="KFD4092" s="917"/>
      <c r="KFE4092" s="917"/>
      <c r="KFF4092" s="917"/>
      <c r="KFG4092" s="917"/>
      <c r="KFH4092" s="917"/>
      <c r="KFI4092" s="917"/>
      <c r="KFJ4092" s="917"/>
      <c r="KFK4092" s="917"/>
      <c r="KFL4092" s="917"/>
      <c r="KFM4092" s="917" t="s">
        <v>78</v>
      </c>
      <c r="KFN4092" s="917"/>
      <c r="KFO4092" s="917"/>
      <c r="KFP4092" s="917"/>
      <c r="KFQ4092" s="917"/>
      <c r="KFR4092" s="917"/>
      <c r="KFS4092" s="917"/>
      <c r="KFT4092" s="917"/>
      <c r="KFU4092" s="917"/>
      <c r="KFV4092" s="917"/>
      <c r="KFW4092" s="917"/>
      <c r="KFX4092" s="917"/>
      <c r="KFY4092" s="917"/>
      <c r="KFZ4092" s="917"/>
      <c r="KGA4092" s="917"/>
      <c r="KGB4092" s="917"/>
      <c r="KGC4092" s="917"/>
      <c r="KGD4092" s="917"/>
      <c r="KGE4092" s="917"/>
      <c r="KGF4092" s="917"/>
      <c r="KGG4092" s="917"/>
      <c r="KGH4092" s="917"/>
      <c r="KGI4092" s="917"/>
      <c r="KGJ4092" s="917"/>
      <c r="KGK4092" s="917"/>
      <c r="KGL4092" s="917"/>
      <c r="KGM4092" s="917"/>
      <c r="KGN4092" s="917"/>
      <c r="KGO4092" s="917"/>
      <c r="KGP4092" s="917"/>
      <c r="KGQ4092" s="917"/>
      <c r="KGR4092" s="917"/>
      <c r="KGS4092" s="917" t="s">
        <v>78</v>
      </c>
      <c r="KGT4092" s="917"/>
      <c r="KGU4092" s="917"/>
      <c r="KGV4092" s="917"/>
      <c r="KGW4092" s="917"/>
      <c r="KGX4092" s="917"/>
      <c r="KGY4092" s="917"/>
      <c r="KGZ4092" s="917"/>
      <c r="KHA4092" s="917"/>
      <c r="KHB4092" s="917"/>
      <c r="KHC4092" s="917"/>
      <c r="KHD4092" s="917"/>
      <c r="KHE4092" s="917"/>
      <c r="KHF4092" s="917"/>
      <c r="KHG4092" s="917"/>
      <c r="KHH4092" s="917"/>
      <c r="KHI4092" s="917"/>
      <c r="KHJ4092" s="917"/>
      <c r="KHK4092" s="917"/>
      <c r="KHL4092" s="917"/>
      <c r="KHM4092" s="917"/>
      <c r="KHN4092" s="917"/>
      <c r="KHO4092" s="917"/>
      <c r="KHP4092" s="917"/>
      <c r="KHQ4092" s="917"/>
      <c r="KHR4092" s="917"/>
      <c r="KHS4092" s="917"/>
      <c r="KHT4092" s="917"/>
      <c r="KHU4092" s="917"/>
      <c r="KHV4092" s="917"/>
      <c r="KHW4092" s="917"/>
      <c r="KHX4092" s="917"/>
      <c r="KHY4092" s="917" t="s">
        <v>78</v>
      </c>
      <c r="KHZ4092" s="917"/>
      <c r="KIA4092" s="917"/>
      <c r="KIB4092" s="917"/>
      <c r="KIC4092" s="917"/>
      <c r="KID4092" s="917"/>
      <c r="KIE4092" s="917"/>
      <c r="KIF4092" s="917"/>
      <c r="KIG4092" s="917"/>
      <c r="KIH4092" s="917"/>
      <c r="KII4092" s="917"/>
      <c r="KIJ4092" s="917"/>
      <c r="KIK4092" s="917"/>
      <c r="KIL4092" s="917"/>
      <c r="KIM4092" s="917"/>
      <c r="KIN4092" s="917"/>
      <c r="KIO4092" s="917"/>
      <c r="KIP4092" s="917"/>
      <c r="KIQ4092" s="917"/>
      <c r="KIR4092" s="917"/>
      <c r="KIS4092" s="917"/>
      <c r="KIT4092" s="917"/>
      <c r="KIU4092" s="917"/>
      <c r="KIV4092" s="917"/>
      <c r="KIW4092" s="917"/>
      <c r="KIX4092" s="917"/>
      <c r="KIY4092" s="917"/>
      <c r="KIZ4092" s="917"/>
      <c r="KJA4092" s="917"/>
      <c r="KJB4092" s="917"/>
      <c r="KJC4092" s="917"/>
      <c r="KJD4092" s="917"/>
      <c r="KJE4092" s="917" t="s">
        <v>78</v>
      </c>
      <c r="KJF4092" s="917"/>
      <c r="KJG4092" s="917"/>
      <c r="KJH4092" s="917"/>
      <c r="KJI4092" s="917"/>
      <c r="KJJ4092" s="917"/>
      <c r="KJK4092" s="917"/>
      <c r="KJL4092" s="917"/>
      <c r="KJM4092" s="917"/>
      <c r="KJN4092" s="917"/>
      <c r="KJO4092" s="917"/>
      <c r="KJP4092" s="917"/>
      <c r="KJQ4092" s="917"/>
      <c r="KJR4092" s="917"/>
      <c r="KJS4092" s="917"/>
      <c r="KJT4092" s="917"/>
      <c r="KJU4092" s="917"/>
      <c r="KJV4092" s="917"/>
      <c r="KJW4092" s="917"/>
      <c r="KJX4092" s="917"/>
      <c r="KJY4092" s="917"/>
      <c r="KJZ4092" s="917"/>
      <c r="KKA4092" s="917"/>
      <c r="KKB4092" s="917"/>
      <c r="KKC4092" s="917"/>
      <c r="KKD4092" s="917"/>
      <c r="KKE4092" s="917"/>
      <c r="KKF4092" s="917"/>
      <c r="KKG4092" s="917"/>
      <c r="KKH4092" s="917"/>
      <c r="KKI4092" s="917"/>
      <c r="KKJ4092" s="917"/>
      <c r="KKK4092" s="917" t="s">
        <v>78</v>
      </c>
      <c r="KKL4092" s="917"/>
      <c r="KKM4092" s="917"/>
      <c r="KKN4092" s="917"/>
      <c r="KKO4092" s="917"/>
      <c r="KKP4092" s="917"/>
      <c r="KKQ4092" s="917"/>
      <c r="KKR4092" s="917"/>
      <c r="KKS4092" s="917"/>
      <c r="KKT4092" s="917"/>
      <c r="KKU4092" s="917"/>
      <c r="KKV4092" s="917"/>
      <c r="KKW4092" s="917"/>
      <c r="KKX4092" s="917"/>
      <c r="KKY4092" s="917"/>
      <c r="KKZ4092" s="917"/>
      <c r="KLA4092" s="917"/>
      <c r="KLB4092" s="917"/>
      <c r="KLC4092" s="917"/>
      <c r="KLD4092" s="917"/>
      <c r="KLE4092" s="917"/>
      <c r="KLF4092" s="917"/>
      <c r="KLG4092" s="917"/>
      <c r="KLH4092" s="917"/>
      <c r="KLI4092" s="917"/>
      <c r="KLJ4092" s="917"/>
      <c r="KLK4092" s="917"/>
      <c r="KLL4092" s="917"/>
      <c r="KLM4092" s="917"/>
      <c r="KLN4092" s="917"/>
      <c r="KLO4092" s="917"/>
      <c r="KLP4092" s="917"/>
      <c r="KLQ4092" s="917" t="s">
        <v>78</v>
      </c>
      <c r="KLR4092" s="917"/>
      <c r="KLS4092" s="917"/>
      <c r="KLT4092" s="917"/>
      <c r="KLU4092" s="917"/>
      <c r="KLV4092" s="917"/>
      <c r="KLW4092" s="917"/>
      <c r="KLX4092" s="917"/>
      <c r="KLY4092" s="917"/>
      <c r="KLZ4092" s="917"/>
      <c r="KMA4092" s="917"/>
      <c r="KMB4092" s="917"/>
      <c r="KMC4092" s="917"/>
      <c r="KMD4092" s="917"/>
      <c r="KME4092" s="917"/>
      <c r="KMF4092" s="917"/>
      <c r="KMG4092" s="917"/>
      <c r="KMH4092" s="917"/>
      <c r="KMI4092" s="917"/>
      <c r="KMJ4092" s="917"/>
      <c r="KMK4092" s="917"/>
      <c r="KML4092" s="917"/>
      <c r="KMM4092" s="917"/>
      <c r="KMN4092" s="917"/>
      <c r="KMO4092" s="917"/>
      <c r="KMP4092" s="917"/>
      <c r="KMQ4092" s="917"/>
      <c r="KMR4092" s="917"/>
      <c r="KMS4092" s="917"/>
      <c r="KMT4092" s="917"/>
      <c r="KMU4092" s="917"/>
      <c r="KMV4092" s="917"/>
      <c r="KMW4092" s="917" t="s">
        <v>78</v>
      </c>
      <c r="KMX4092" s="917"/>
      <c r="KMY4092" s="917"/>
      <c r="KMZ4092" s="917"/>
      <c r="KNA4092" s="917"/>
      <c r="KNB4092" s="917"/>
      <c r="KNC4092" s="917"/>
      <c r="KND4092" s="917"/>
      <c r="KNE4092" s="917"/>
      <c r="KNF4092" s="917"/>
      <c r="KNG4092" s="917"/>
      <c r="KNH4092" s="917"/>
      <c r="KNI4092" s="917"/>
      <c r="KNJ4092" s="917"/>
      <c r="KNK4092" s="917"/>
      <c r="KNL4092" s="917"/>
      <c r="KNM4092" s="917"/>
      <c r="KNN4092" s="917"/>
      <c r="KNO4092" s="917"/>
      <c r="KNP4092" s="917"/>
      <c r="KNQ4092" s="917"/>
      <c r="KNR4092" s="917"/>
      <c r="KNS4092" s="917"/>
      <c r="KNT4092" s="917"/>
      <c r="KNU4092" s="917"/>
      <c r="KNV4092" s="917"/>
      <c r="KNW4092" s="917"/>
      <c r="KNX4092" s="917"/>
      <c r="KNY4092" s="917"/>
      <c r="KNZ4092" s="917"/>
      <c r="KOA4092" s="917"/>
      <c r="KOB4092" s="917"/>
      <c r="KOC4092" s="917" t="s">
        <v>78</v>
      </c>
      <c r="KOD4092" s="917"/>
      <c r="KOE4092" s="917"/>
      <c r="KOF4092" s="917"/>
      <c r="KOG4092" s="917"/>
      <c r="KOH4092" s="917"/>
      <c r="KOI4092" s="917"/>
      <c r="KOJ4092" s="917"/>
      <c r="KOK4092" s="917"/>
      <c r="KOL4092" s="917"/>
      <c r="KOM4092" s="917"/>
      <c r="KON4092" s="917"/>
      <c r="KOO4092" s="917"/>
      <c r="KOP4092" s="917"/>
      <c r="KOQ4092" s="917"/>
      <c r="KOR4092" s="917"/>
      <c r="KOS4092" s="917"/>
      <c r="KOT4092" s="917"/>
      <c r="KOU4092" s="917"/>
      <c r="KOV4092" s="917"/>
      <c r="KOW4092" s="917"/>
      <c r="KOX4092" s="917"/>
      <c r="KOY4092" s="917"/>
      <c r="KOZ4092" s="917"/>
      <c r="KPA4092" s="917"/>
      <c r="KPB4092" s="917"/>
      <c r="KPC4092" s="917"/>
      <c r="KPD4092" s="917"/>
      <c r="KPE4092" s="917"/>
      <c r="KPF4092" s="917"/>
      <c r="KPG4092" s="917"/>
      <c r="KPH4092" s="917"/>
      <c r="KPI4092" s="917" t="s">
        <v>78</v>
      </c>
      <c r="KPJ4092" s="917"/>
      <c r="KPK4092" s="917"/>
      <c r="KPL4092" s="917"/>
      <c r="KPM4092" s="917"/>
      <c r="KPN4092" s="917"/>
      <c r="KPO4092" s="917"/>
      <c r="KPP4092" s="917"/>
      <c r="KPQ4092" s="917"/>
      <c r="KPR4092" s="917"/>
      <c r="KPS4092" s="917"/>
      <c r="KPT4092" s="917"/>
      <c r="KPU4092" s="917"/>
      <c r="KPV4092" s="917"/>
      <c r="KPW4092" s="917"/>
      <c r="KPX4092" s="917"/>
      <c r="KPY4092" s="917"/>
      <c r="KPZ4092" s="917"/>
      <c r="KQA4092" s="917"/>
      <c r="KQB4092" s="917"/>
      <c r="KQC4092" s="917"/>
      <c r="KQD4092" s="917"/>
      <c r="KQE4092" s="917"/>
      <c r="KQF4092" s="917"/>
      <c r="KQG4092" s="917"/>
      <c r="KQH4092" s="917"/>
      <c r="KQI4092" s="917"/>
      <c r="KQJ4092" s="917"/>
      <c r="KQK4092" s="917"/>
      <c r="KQL4092" s="917"/>
      <c r="KQM4092" s="917"/>
      <c r="KQN4092" s="917"/>
      <c r="KQO4092" s="917" t="s">
        <v>78</v>
      </c>
      <c r="KQP4092" s="917"/>
      <c r="KQQ4092" s="917"/>
      <c r="KQR4092" s="917"/>
      <c r="KQS4092" s="917"/>
      <c r="KQT4092" s="917"/>
      <c r="KQU4092" s="917"/>
      <c r="KQV4092" s="917"/>
      <c r="KQW4092" s="917"/>
      <c r="KQX4092" s="917"/>
      <c r="KQY4092" s="917"/>
      <c r="KQZ4092" s="917"/>
      <c r="KRA4092" s="917"/>
      <c r="KRB4092" s="917"/>
      <c r="KRC4092" s="917"/>
      <c r="KRD4092" s="917"/>
      <c r="KRE4092" s="917"/>
      <c r="KRF4092" s="917"/>
      <c r="KRG4092" s="917"/>
      <c r="KRH4092" s="917"/>
      <c r="KRI4092" s="917"/>
      <c r="KRJ4092" s="917"/>
      <c r="KRK4092" s="917"/>
      <c r="KRL4092" s="917"/>
      <c r="KRM4092" s="917"/>
      <c r="KRN4092" s="917"/>
      <c r="KRO4092" s="917"/>
      <c r="KRP4092" s="917"/>
      <c r="KRQ4092" s="917"/>
      <c r="KRR4092" s="917"/>
      <c r="KRS4092" s="917"/>
      <c r="KRT4092" s="917"/>
      <c r="KRU4092" s="917" t="s">
        <v>78</v>
      </c>
      <c r="KRV4092" s="917"/>
      <c r="KRW4092" s="917"/>
      <c r="KRX4092" s="917"/>
      <c r="KRY4092" s="917"/>
      <c r="KRZ4092" s="917"/>
      <c r="KSA4092" s="917"/>
      <c r="KSB4092" s="917"/>
      <c r="KSC4092" s="917"/>
      <c r="KSD4092" s="917"/>
      <c r="KSE4092" s="917"/>
      <c r="KSF4092" s="917"/>
      <c r="KSG4092" s="917"/>
      <c r="KSH4092" s="917"/>
      <c r="KSI4092" s="917"/>
      <c r="KSJ4092" s="917"/>
      <c r="KSK4092" s="917"/>
      <c r="KSL4092" s="917"/>
      <c r="KSM4092" s="917"/>
      <c r="KSN4092" s="917"/>
      <c r="KSO4092" s="917"/>
      <c r="KSP4092" s="917"/>
      <c r="KSQ4092" s="917"/>
      <c r="KSR4092" s="917"/>
      <c r="KSS4092" s="917"/>
      <c r="KST4092" s="917"/>
      <c r="KSU4092" s="917"/>
      <c r="KSV4092" s="917"/>
      <c r="KSW4092" s="917"/>
      <c r="KSX4092" s="917"/>
      <c r="KSY4092" s="917"/>
      <c r="KSZ4092" s="917"/>
      <c r="KTA4092" s="917" t="s">
        <v>78</v>
      </c>
      <c r="KTB4092" s="917"/>
      <c r="KTC4092" s="917"/>
      <c r="KTD4092" s="917"/>
      <c r="KTE4092" s="917"/>
      <c r="KTF4092" s="917"/>
      <c r="KTG4092" s="917"/>
      <c r="KTH4092" s="917"/>
      <c r="KTI4092" s="917"/>
      <c r="KTJ4092" s="917"/>
      <c r="KTK4092" s="917"/>
      <c r="KTL4092" s="917"/>
      <c r="KTM4092" s="917"/>
      <c r="KTN4092" s="917"/>
      <c r="KTO4092" s="917"/>
      <c r="KTP4092" s="917"/>
      <c r="KTQ4092" s="917"/>
      <c r="KTR4092" s="917"/>
      <c r="KTS4092" s="917"/>
      <c r="KTT4092" s="917"/>
      <c r="KTU4092" s="917"/>
      <c r="KTV4092" s="917"/>
      <c r="KTW4092" s="917"/>
      <c r="KTX4092" s="917"/>
      <c r="KTY4092" s="917"/>
      <c r="KTZ4092" s="917"/>
      <c r="KUA4092" s="917"/>
      <c r="KUB4092" s="917"/>
      <c r="KUC4092" s="917"/>
      <c r="KUD4092" s="917"/>
      <c r="KUE4092" s="917"/>
      <c r="KUF4092" s="917"/>
      <c r="KUG4092" s="917" t="s">
        <v>78</v>
      </c>
      <c r="KUH4092" s="917"/>
      <c r="KUI4092" s="917"/>
      <c r="KUJ4092" s="917"/>
      <c r="KUK4092" s="917"/>
      <c r="KUL4092" s="917"/>
      <c r="KUM4092" s="917"/>
      <c r="KUN4092" s="917"/>
      <c r="KUO4092" s="917"/>
      <c r="KUP4092" s="917"/>
      <c r="KUQ4092" s="917"/>
      <c r="KUR4092" s="917"/>
      <c r="KUS4092" s="917"/>
      <c r="KUT4092" s="917"/>
      <c r="KUU4092" s="917"/>
      <c r="KUV4092" s="917"/>
      <c r="KUW4092" s="917"/>
      <c r="KUX4092" s="917"/>
      <c r="KUY4092" s="917"/>
      <c r="KUZ4092" s="917"/>
      <c r="KVA4092" s="917"/>
      <c r="KVB4092" s="917"/>
      <c r="KVC4092" s="917"/>
      <c r="KVD4092" s="917"/>
      <c r="KVE4092" s="917"/>
      <c r="KVF4092" s="917"/>
      <c r="KVG4092" s="917"/>
      <c r="KVH4092" s="917"/>
      <c r="KVI4092" s="917"/>
      <c r="KVJ4092" s="917"/>
      <c r="KVK4092" s="917"/>
      <c r="KVL4092" s="917"/>
      <c r="KVM4092" s="917" t="s">
        <v>78</v>
      </c>
      <c r="KVN4092" s="917"/>
      <c r="KVO4092" s="917"/>
      <c r="KVP4092" s="917"/>
      <c r="KVQ4092" s="917"/>
      <c r="KVR4092" s="917"/>
      <c r="KVS4092" s="917"/>
      <c r="KVT4092" s="917"/>
      <c r="KVU4092" s="917"/>
      <c r="KVV4092" s="917"/>
      <c r="KVW4092" s="917"/>
      <c r="KVX4092" s="917"/>
      <c r="KVY4092" s="917"/>
      <c r="KVZ4092" s="917"/>
      <c r="KWA4092" s="917"/>
      <c r="KWB4092" s="917"/>
      <c r="KWC4092" s="917"/>
      <c r="KWD4092" s="917"/>
      <c r="KWE4092" s="917"/>
      <c r="KWF4092" s="917"/>
      <c r="KWG4092" s="917"/>
      <c r="KWH4092" s="917"/>
      <c r="KWI4092" s="917"/>
      <c r="KWJ4092" s="917"/>
      <c r="KWK4092" s="917"/>
      <c r="KWL4092" s="917"/>
      <c r="KWM4092" s="917"/>
      <c r="KWN4092" s="917"/>
      <c r="KWO4092" s="917"/>
      <c r="KWP4092" s="917"/>
      <c r="KWQ4092" s="917"/>
      <c r="KWR4092" s="917"/>
      <c r="KWS4092" s="917" t="s">
        <v>78</v>
      </c>
      <c r="KWT4092" s="917"/>
      <c r="KWU4092" s="917"/>
      <c r="KWV4092" s="917"/>
      <c r="KWW4092" s="917"/>
      <c r="KWX4092" s="917"/>
      <c r="KWY4092" s="917"/>
      <c r="KWZ4092" s="917"/>
      <c r="KXA4092" s="917"/>
      <c r="KXB4092" s="917"/>
      <c r="KXC4092" s="917"/>
      <c r="KXD4092" s="917"/>
      <c r="KXE4092" s="917"/>
      <c r="KXF4092" s="917"/>
      <c r="KXG4092" s="917"/>
      <c r="KXH4092" s="917"/>
      <c r="KXI4092" s="917"/>
      <c r="KXJ4092" s="917"/>
      <c r="KXK4092" s="917"/>
      <c r="KXL4092" s="917"/>
      <c r="KXM4092" s="917"/>
      <c r="KXN4092" s="917"/>
      <c r="KXO4092" s="917"/>
      <c r="KXP4092" s="917"/>
      <c r="KXQ4092" s="917"/>
      <c r="KXR4092" s="917"/>
      <c r="KXS4092" s="917"/>
      <c r="KXT4092" s="917"/>
      <c r="KXU4092" s="917"/>
      <c r="KXV4092" s="917"/>
      <c r="KXW4092" s="917"/>
      <c r="KXX4092" s="917"/>
      <c r="KXY4092" s="917" t="s">
        <v>78</v>
      </c>
      <c r="KXZ4092" s="917"/>
      <c r="KYA4092" s="917"/>
      <c r="KYB4092" s="917"/>
      <c r="KYC4092" s="917"/>
      <c r="KYD4092" s="917"/>
      <c r="KYE4092" s="917"/>
      <c r="KYF4092" s="917"/>
      <c r="KYG4092" s="917"/>
      <c r="KYH4092" s="917"/>
      <c r="KYI4092" s="917"/>
      <c r="KYJ4092" s="917"/>
      <c r="KYK4092" s="917"/>
      <c r="KYL4092" s="917"/>
      <c r="KYM4092" s="917"/>
      <c r="KYN4092" s="917"/>
      <c r="KYO4092" s="917"/>
      <c r="KYP4092" s="917"/>
      <c r="KYQ4092" s="917"/>
      <c r="KYR4092" s="917"/>
      <c r="KYS4092" s="917"/>
      <c r="KYT4092" s="917"/>
      <c r="KYU4092" s="917"/>
      <c r="KYV4092" s="917"/>
      <c r="KYW4092" s="917"/>
      <c r="KYX4092" s="917"/>
      <c r="KYY4092" s="917"/>
      <c r="KYZ4092" s="917"/>
      <c r="KZA4092" s="917"/>
      <c r="KZB4092" s="917"/>
      <c r="KZC4092" s="917"/>
      <c r="KZD4092" s="917"/>
      <c r="KZE4092" s="917" t="s">
        <v>78</v>
      </c>
      <c r="KZF4092" s="917"/>
      <c r="KZG4092" s="917"/>
      <c r="KZH4092" s="917"/>
      <c r="KZI4092" s="917"/>
      <c r="KZJ4092" s="917"/>
      <c r="KZK4092" s="917"/>
      <c r="KZL4092" s="917"/>
      <c r="KZM4092" s="917"/>
      <c r="KZN4092" s="917"/>
      <c r="KZO4092" s="917"/>
      <c r="KZP4092" s="917"/>
      <c r="KZQ4092" s="917"/>
      <c r="KZR4092" s="917"/>
      <c r="KZS4092" s="917"/>
      <c r="KZT4092" s="917"/>
      <c r="KZU4092" s="917"/>
      <c r="KZV4092" s="917"/>
      <c r="KZW4092" s="917"/>
      <c r="KZX4092" s="917"/>
      <c r="KZY4092" s="917"/>
      <c r="KZZ4092" s="917"/>
      <c r="LAA4092" s="917"/>
      <c r="LAB4092" s="917"/>
      <c r="LAC4092" s="917"/>
      <c r="LAD4092" s="917"/>
      <c r="LAE4092" s="917"/>
      <c r="LAF4092" s="917"/>
      <c r="LAG4092" s="917"/>
      <c r="LAH4092" s="917"/>
      <c r="LAI4092" s="917"/>
      <c r="LAJ4092" s="917"/>
      <c r="LAK4092" s="917" t="s">
        <v>78</v>
      </c>
      <c r="LAL4092" s="917"/>
      <c r="LAM4092" s="917"/>
      <c r="LAN4092" s="917"/>
      <c r="LAO4092" s="917"/>
      <c r="LAP4092" s="917"/>
      <c r="LAQ4092" s="917"/>
      <c r="LAR4092" s="917"/>
      <c r="LAS4092" s="917"/>
      <c r="LAT4092" s="917"/>
      <c r="LAU4092" s="917"/>
      <c r="LAV4092" s="917"/>
      <c r="LAW4092" s="917"/>
      <c r="LAX4092" s="917"/>
      <c r="LAY4092" s="917"/>
      <c r="LAZ4092" s="917"/>
      <c r="LBA4092" s="917"/>
      <c r="LBB4092" s="917"/>
      <c r="LBC4092" s="917"/>
      <c r="LBD4092" s="917"/>
      <c r="LBE4092" s="917"/>
      <c r="LBF4092" s="917"/>
      <c r="LBG4092" s="917"/>
      <c r="LBH4092" s="917"/>
      <c r="LBI4092" s="917"/>
      <c r="LBJ4092" s="917"/>
      <c r="LBK4092" s="917"/>
      <c r="LBL4092" s="917"/>
      <c r="LBM4092" s="917"/>
      <c r="LBN4092" s="917"/>
      <c r="LBO4092" s="917"/>
      <c r="LBP4092" s="917"/>
      <c r="LBQ4092" s="917" t="s">
        <v>78</v>
      </c>
      <c r="LBR4092" s="917"/>
      <c r="LBS4092" s="917"/>
      <c r="LBT4092" s="917"/>
      <c r="LBU4092" s="917"/>
      <c r="LBV4092" s="917"/>
      <c r="LBW4092" s="917"/>
      <c r="LBX4092" s="917"/>
      <c r="LBY4092" s="917"/>
      <c r="LBZ4092" s="917"/>
      <c r="LCA4092" s="917"/>
      <c r="LCB4092" s="917"/>
      <c r="LCC4092" s="917"/>
      <c r="LCD4092" s="917"/>
      <c r="LCE4092" s="917"/>
      <c r="LCF4092" s="917"/>
      <c r="LCG4092" s="917"/>
      <c r="LCH4092" s="917"/>
      <c r="LCI4092" s="917"/>
      <c r="LCJ4092" s="917"/>
      <c r="LCK4092" s="917"/>
      <c r="LCL4092" s="917"/>
      <c r="LCM4092" s="917"/>
      <c r="LCN4092" s="917"/>
      <c r="LCO4092" s="917"/>
      <c r="LCP4092" s="917"/>
      <c r="LCQ4092" s="917"/>
      <c r="LCR4092" s="917"/>
      <c r="LCS4092" s="917"/>
      <c r="LCT4092" s="917"/>
      <c r="LCU4092" s="917"/>
      <c r="LCV4092" s="917"/>
      <c r="LCW4092" s="917" t="s">
        <v>78</v>
      </c>
      <c r="LCX4092" s="917"/>
      <c r="LCY4092" s="917"/>
      <c r="LCZ4092" s="917"/>
      <c r="LDA4092" s="917"/>
      <c r="LDB4092" s="917"/>
      <c r="LDC4092" s="917"/>
      <c r="LDD4092" s="917"/>
      <c r="LDE4092" s="917"/>
      <c r="LDF4092" s="917"/>
      <c r="LDG4092" s="917"/>
      <c r="LDH4092" s="917"/>
      <c r="LDI4092" s="917"/>
      <c r="LDJ4092" s="917"/>
      <c r="LDK4092" s="917"/>
      <c r="LDL4092" s="917"/>
      <c r="LDM4092" s="917"/>
      <c r="LDN4092" s="917"/>
      <c r="LDO4092" s="917"/>
      <c r="LDP4092" s="917"/>
      <c r="LDQ4092" s="917"/>
      <c r="LDR4092" s="917"/>
      <c r="LDS4092" s="917"/>
      <c r="LDT4092" s="917"/>
      <c r="LDU4092" s="917"/>
      <c r="LDV4092" s="917"/>
      <c r="LDW4092" s="917"/>
      <c r="LDX4092" s="917"/>
      <c r="LDY4092" s="917"/>
      <c r="LDZ4092" s="917"/>
      <c r="LEA4092" s="917"/>
      <c r="LEB4092" s="917"/>
      <c r="LEC4092" s="917" t="s">
        <v>78</v>
      </c>
      <c r="LED4092" s="917"/>
      <c r="LEE4092" s="917"/>
      <c r="LEF4092" s="917"/>
      <c r="LEG4092" s="917"/>
      <c r="LEH4092" s="917"/>
      <c r="LEI4092" s="917"/>
      <c r="LEJ4092" s="917"/>
      <c r="LEK4092" s="917"/>
      <c r="LEL4092" s="917"/>
      <c r="LEM4092" s="917"/>
      <c r="LEN4092" s="917"/>
      <c r="LEO4092" s="917"/>
      <c r="LEP4092" s="917"/>
      <c r="LEQ4092" s="917"/>
      <c r="LER4092" s="917"/>
      <c r="LES4092" s="917"/>
      <c r="LET4092" s="917"/>
      <c r="LEU4092" s="917"/>
      <c r="LEV4092" s="917"/>
      <c r="LEW4092" s="917"/>
      <c r="LEX4092" s="917"/>
      <c r="LEY4092" s="917"/>
      <c r="LEZ4092" s="917"/>
      <c r="LFA4092" s="917"/>
      <c r="LFB4092" s="917"/>
      <c r="LFC4092" s="917"/>
      <c r="LFD4092" s="917"/>
      <c r="LFE4092" s="917"/>
      <c r="LFF4092" s="917"/>
      <c r="LFG4092" s="917"/>
      <c r="LFH4092" s="917"/>
      <c r="LFI4092" s="917" t="s">
        <v>78</v>
      </c>
      <c r="LFJ4092" s="917"/>
      <c r="LFK4092" s="917"/>
      <c r="LFL4092" s="917"/>
      <c r="LFM4092" s="917"/>
      <c r="LFN4092" s="917"/>
      <c r="LFO4092" s="917"/>
      <c r="LFP4092" s="917"/>
      <c r="LFQ4092" s="917"/>
      <c r="LFR4092" s="917"/>
      <c r="LFS4092" s="917"/>
      <c r="LFT4092" s="917"/>
      <c r="LFU4092" s="917"/>
      <c r="LFV4092" s="917"/>
      <c r="LFW4092" s="917"/>
      <c r="LFX4092" s="917"/>
      <c r="LFY4092" s="917"/>
      <c r="LFZ4092" s="917"/>
      <c r="LGA4092" s="917"/>
      <c r="LGB4092" s="917"/>
      <c r="LGC4092" s="917"/>
      <c r="LGD4092" s="917"/>
      <c r="LGE4092" s="917"/>
      <c r="LGF4092" s="917"/>
      <c r="LGG4092" s="917"/>
      <c r="LGH4092" s="917"/>
      <c r="LGI4092" s="917"/>
      <c r="LGJ4092" s="917"/>
      <c r="LGK4092" s="917"/>
      <c r="LGL4092" s="917"/>
      <c r="LGM4092" s="917"/>
      <c r="LGN4092" s="917"/>
      <c r="LGO4092" s="917" t="s">
        <v>78</v>
      </c>
      <c r="LGP4092" s="917"/>
      <c r="LGQ4092" s="917"/>
      <c r="LGR4092" s="917"/>
      <c r="LGS4092" s="917"/>
      <c r="LGT4092" s="917"/>
      <c r="LGU4092" s="917"/>
      <c r="LGV4092" s="917"/>
      <c r="LGW4092" s="917"/>
      <c r="LGX4092" s="917"/>
      <c r="LGY4092" s="917"/>
      <c r="LGZ4092" s="917"/>
      <c r="LHA4092" s="917"/>
      <c r="LHB4092" s="917"/>
      <c r="LHC4092" s="917"/>
      <c r="LHD4092" s="917"/>
      <c r="LHE4092" s="917"/>
      <c r="LHF4092" s="917"/>
      <c r="LHG4092" s="917"/>
      <c r="LHH4092" s="917"/>
      <c r="LHI4092" s="917"/>
      <c r="LHJ4092" s="917"/>
      <c r="LHK4092" s="917"/>
      <c r="LHL4092" s="917"/>
      <c r="LHM4092" s="917"/>
      <c r="LHN4092" s="917"/>
      <c r="LHO4092" s="917"/>
      <c r="LHP4092" s="917"/>
      <c r="LHQ4092" s="917"/>
      <c r="LHR4092" s="917"/>
      <c r="LHS4092" s="917"/>
      <c r="LHT4092" s="917"/>
      <c r="LHU4092" s="917" t="s">
        <v>78</v>
      </c>
      <c r="LHV4092" s="917"/>
      <c r="LHW4092" s="917"/>
      <c r="LHX4092" s="917"/>
      <c r="LHY4092" s="917"/>
      <c r="LHZ4092" s="917"/>
      <c r="LIA4092" s="917"/>
      <c r="LIB4092" s="917"/>
      <c r="LIC4092" s="917"/>
      <c r="LID4092" s="917"/>
      <c r="LIE4092" s="917"/>
      <c r="LIF4092" s="917"/>
      <c r="LIG4092" s="917"/>
      <c r="LIH4092" s="917"/>
      <c r="LII4092" s="917"/>
      <c r="LIJ4092" s="917"/>
      <c r="LIK4092" s="917"/>
      <c r="LIL4092" s="917"/>
      <c r="LIM4092" s="917"/>
      <c r="LIN4092" s="917"/>
      <c r="LIO4092" s="917"/>
      <c r="LIP4092" s="917"/>
      <c r="LIQ4092" s="917"/>
      <c r="LIR4092" s="917"/>
      <c r="LIS4092" s="917"/>
      <c r="LIT4092" s="917"/>
      <c r="LIU4092" s="917"/>
      <c r="LIV4092" s="917"/>
      <c r="LIW4092" s="917"/>
      <c r="LIX4092" s="917"/>
      <c r="LIY4092" s="917"/>
      <c r="LIZ4092" s="917"/>
      <c r="LJA4092" s="917" t="s">
        <v>78</v>
      </c>
      <c r="LJB4092" s="917"/>
      <c r="LJC4092" s="917"/>
      <c r="LJD4092" s="917"/>
      <c r="LJE4092" s="917"/>
      <c r="LJF4092" s="917"/>
      <c r="LJG4092" s="917"/>
      <c r="LJH4092" s="917"/>
      <c r="LJI4092" s="917"/>
      <c r="LJJ4092" s="917"/>
      <c r="LJK4092" s="917"/>
      <c r="LJL4092" s="917"/>
      <c r="LJM4092" s="917"/>
      <c r="LJN4092" s="917"/>
      <c r="LJO4092" s="917"/>
      <c r="LJP4092" s="917"/>
      <c r="LJQ4092" s="917"/>
      <c r="LJR4092" s="917"/>
      <c r="LJS4092" s="917"/>
      <c r="LJT4092" s="917"/>
      <c r="LJU4092" s="917"/>
      <c r="LJV4092" s="917"/>
      <c r="LJW4092" s="917"/>
      <c r="LJX4092" s="917"/>
      <c r="LJY4092" s="917"/>
      <c r="LJZ4092" s="917"/>
      <c r="LKA4092" s="917"/>
      <c r="LKB4092" s="917"/>
      <c r="LKC4092" s="917"/>
      <c r="LKD4092" s="917"/>
      <c r="LKE4092" s="917"/>
      <c r="LKF4092" s="917"/>
      <c r="LKG4092" s="917" t="s">
        <v>78</v>
      </c>
      <c r="LKH4092" s="917"/>
      <c r="LKI4092" s="917"/>
      <c r="LKJ4092" s="917"/>
      <c r="LKK4092" s="917"/>
      <c r="LKL4092" s="917"/>
      <c r="LKM4092" s="917"/>
      <c r="LKN4092" s="917"/>
      <c r="LKO4092" s="917"/>
      <c r="LKP4092" s="917"/>
      <c r="LKQ4092" s="917"/>
      <c r="LKR4092" s="917"/>
      <c r="LKS4092" s="917"/>
      <c r="LKT4092" s="917"/>
      <c r="LKU4092" s="917"/>
      <c r="LKV4092" s="917"/>
      <c r="LKW4092" s="917"/>
      <c r="LKX4092" s="917"/>
      <c r="LKY4092" s="917"/>
      <c r="LKZ4092" s="917"/>
      <c r="LLA4092" s="917"/>
      <c r="LLB4092" s="917"/>
      <c r="LLC4092" s="917"/>
      <c r="LLD4092" s="917"/>
      <c r="LLE4092" s="917"/>
      <c r="LLF4092" s="917"/>
      <c r="LLG4092" s="917"/>
      <c r="LLH4092" s="917"/>
      <c r="LLI4092" s="917"/>
      <c r="LLJ4092" s="917"/>
      <c r="LLK4092" s="917"/>
      <c r="LLL4092" s="917"/>
      <c r="LLM4092" s="917" t="s">
        <v>78</v>
      </c>
      <c r="LLN4092" s="917"/>
      <c r="LLO4092" s="917"/>
      <c r="LLP4092" s="917"/>
      <c r="LLQ4092" s="917"/>
      <c r="LLR4092" s="917"/>
      <c r="LLS4092" s="917"/>
      <c r="LLT4092" s="917"/>
      <c r="LLU4092" s="917"/>
      <c r="LLV4092" s="917"/>
      <c r="LLW4092" s="917"/>
      <c r="LLX4092" s="917"/>
      <c r="LLY4092" s="917"/>
      <c r="LLZ4092" s="917"/>
      <c r="LMA4092" s="917"/>
      <c r="LMB4092" s="917"/>
      <c r="LMC4092" s="917"/>
      <c r="LMD4092" s="917"/>
      <c r="LME4092" s="917"/>
      <c r="LMF4092" s="917"/>
      <c r="LMG4092" s="917"/>
      <c r="LMH4092" s="917"/>
      <c r="LMI4092" s="917"/>
      <c r="LMJ4092" s="917"/>
      <c r="LMK4092" s="917"/>
      <c r="LML4092" s="917"/>
      <c r="LMM4092" s="917"/>
      <c r="LMN4092" s="917"/>
      <c r="LMO4092" s="917"/>
      <c r="LMP4092" s="917"/>
      <c r="LMQ4092" s="917"/>
      <c r="LMR4092" s="917"/>
      <c r="LMS4092" s="917" t="s">
        <v>78</v>
      </c>
      <c r="LMT4092" s="917"/>
      <c r="LMU4092" s="917"/>
      <c r="LMV4092" s="917"/>
      <c r="LMW4092" s="917"/>
      <c r="LMX4092" s="917"/>
      <c r="LMY4092" s="917"/>
      <c r="LMZ4092" s="917"/>
      <c r="LNA4092" s="917"/>
      <c r="LNB4092" s="917"/>
      <c r="LNC4092" s="917"/>
      <c r="LND4092" s="917"/>
      <c r="LNE4092" s="917"/>
      <c r="LNF4092" s="917"/>
      <c r="LNG4092" s="917"/>
      <c r="LNH4092" s="917"/>
      <c r="LNI4092" s="917"/>
      <c r="LNJ4092" s="917"/>
      <c r="LNK4092" s="917"/>
      <c r="LNL4092" s="917"/>
      <c r="LNM4092" s="917"/>
      <c r="LNN4092" s="917"/>
      <c r="LNO4092" s="917"/>
      <c r="LNP4092" s="917"/>
      <c r="LNQ4092" s="917"/>
      <c r="LNR4092" s="917"/>
      <c r="LNS4092" s="917"/>
      <c r="LNT4092" s="917"/>
      <c r="LNU4092" s="917"/>
      <c r="LNV4092" s="917"/>
      <c r="LNW4092" s="917"/>
      <c r="LNX4092" s="917"/>
      <c r="LNY4092" s="917" t="s">
        <v>78</v>
      </c>
      <c r="LNZ4092" s="917"/>
      <c r="LOA4092" s="917"/>
      <c r="LOB4092" s="917"/>
      <c r="LOC4092" s="917"/>
      <c r="LOD4092" s="917"/>
      <c r="LOE4092" s="917"/>
      <c r="LOF4092" s="917"/>
      <c r="LOG4092" s="917"/>
      <c r="LOH4092" s="917"/>
      <c r="LOI4092" s="917"/>
      <c r="LOJ4092" s="917"/>
      <c r="LOK4092" s="917"/>
      <c r="LOL4092" s="917"/>
      <c r="LOM4092" s="917"/>
      <c r="LON4092" s="917"/>
      <c r="LOO4092" s="917"/>
      <c r="LOP4092" s="917"/>
      <c r="LOQ4092" s="917"/>
      <c r="LOR4092" s="917"/>
      <c r="LOS4092" s="917"/>
      <c r="LOT4092" s="917"/>
      <c r="LOU4092" s="917"/>
      <c r="LOV4092" s="917"/>
      <c r="LOW4092" s="917"/>
      <c r="LOX4092" s="917"/>
      <c r="LOY4092" s="917"/>
      <c r="LOZ4092" s="917"/>
      <c r="LPA4092" s="917"/>
      <c r="LPB4092" s="917"/>
      <c r="LPC4092" s="917"/>
      <c r="LPD4092" s="917"/>
      <c r="LPE4092" s="917" t="s">
        <v>78</v>
      </c>
      <c r="LPF4092" s="917"/>
      <c r="LPG4092" s="917"/>
      <c r="LPH4092" s="917"/>
      <c r="LPI4092" s="917"/>
      <c r="LPJ4092" s="917"/>
      <c r="LPK4092" s="917"/>
      <c r="LPL4092" s="917"/>
      <c r="LPM4092" s="917"/>
      <c r="LPN4092" s="917"/>
      <c r="LPO4092" s="917"/>
      <c r="LPP4092" s="917"/>
      <c r="LPQ4092" s="917"/>
      <c r="LPR4092" s="917"/>
      <c r="LPS4092" s="917"/>
      <c r="LPT4092" s="917"/>
      <c r="LPU4092" s="917"/>
      <c r="LPV4092" s="917"/>
      <c r="LPW4092" s="917"/>
      <c r="LPX4092" s="917"/>
      <c r="LPY4092" s="917"/>
      <c r="LPZ4092" s="917"/>
      <c r="LQA4092" s="917"/>
      <c r="LQB4092" s="917"/>
      <c r="LQC4092" s="917"/>
      <c r="LQD4092" s="917"/>
      <c r="LQE4092" s="917"/>
      <c r="LQF4092" s="917"/>
      <c r="LQG4092" s="917"/>
      <c r="LQH4092" s="917"/>
      <c r="LQI4092" s="917"/>
      <c r="LQJ4092" s="917"/>
      <c r="LQK4092" s="917" t="s">
        <v>78</v>
      </c>
      <c r="LQL4092" s="917"/>
      <c r="LQM4092" s="917"/>
      <c r="LQN4092" s="917"/>
      <c r="LQO4092" s="917"/>
      <c r="LQP4092" s="917"/>
      <c r="LQQ4092" s="917"/>
      <c r="LQR4092" s="917"/>
      <c r="LQS4092" s="917"/>
      <c r="LQT4092" s="917"/>
      <c r="LQU4092" s="917"/>
      <c r="LQV4092" s="917"/>
      <c r="LQW4092" s="917"/>
      <c r="LQX4092" s="917"/>
      <c r="LQY4092" s="917"/>
      <c r="LQZ4092" s="917"/>
      <c r="LRA4092" s="917"/>
      <c r="LRB4092" s="917"/>
      <c r="LRC4092" s="917"/>
      <c r="LRD4092" s="917"/>
      <c r="LRE4092" s="917"/>
      <c r="LRF4092" s="917"/>
      <c r="LRG4092" s="917"/>
      <c r="LRH4092" s="917"/>
      <c r="LRI4092" s="917"/>
      <c r="LRJ4092" s="917"/>
      <c r="LRK4092" s="917"/>
      <c r="LRL4092" s="917"/>
      <c r="LRM4092" s="917"/>
      <c r="LRN4092" s="917"/>
      <c r="LRO4092" s="917"/>
      <c r="LRP4092" s="917"/>
      <c r="LRQ4092" s="917" t="s">
        <v>78</v>
      </c>
      <c r="LRR4092" s="917"/>
      <c r="LRS4092" s="917"/>
      <c r="LRT4092" s="917"/>
      <c r="LRU4092" s="917"/>
      <c r="LRV4092" s="917"/>
      <c r="LRW4092" s="917"/>
      <c r="LRX4092" s="917"/>
      <c r="LRY4092" s="917"/>
      <c r="LRZ4092" s="917"/>
      <c r="LSA4092" s="917"/>
      <c r="LSB4092" s="917"/>
      <c r="LSC4092" s="917"/>
      <c r="LSD4092" s="917"/>
      <c r="LSE4092" s="917"/>
      <c r="LSF4092" s="917"/>
      <c r="LSG4092" s="917"/>
      <c r="LSH4092" s="917"/>
      <c r="LSI4092" s="917"/>
      <c r="LSJ4092" s="917"/>
      <c r="LSK4092" s="917"/>
      <c r="LSL4092" s="917"/>
      <c r="LSM4092" s="917"/>
      <c r="LSN4092" s="917"/>
      <c r="LSO4092" s="917"/>
      <c r="LSP4092" s="917"/>
      <c r="LSQ4092" s="917"/>
      <c r="LSR4092" s="917"/>
      <c r="LSS4092" s="917"/>
      <c r="LST4092" s="917"/>
      <c r="LSU4092" s="917"/>
      <c r="LSV4092" s="917"/>
      <c r="LSW4092" s="917" t="s">
        <v>78</v>
      </c>
      <c r="LSX4092" s="917"/>
      <c r="LSY4092" s="917"/>
      <c r="LSZ4092" s="917"/>
      <c r="LTA4092" s="917"/>
      <c r="LTB4092" s="917"/>
      <c r="LTC4092" s="917"/>
      <c r="LTD4092" s="917"/>
      <c r="LTE4092" s="917"/>
      <c r="LTF4092" s="917"/>
      <c r="LTG4092" s="917"/>
      <c r="LTH4092" s="917"/>
      <c r="LTI4092" s="917"/>
      <c r="LTJ4092" s="917"/>
      <c r="LTK4092" s="917"/>
      <c r="LTL4092" s="917"/>
      <c r="LTM4092" s="917"/>
      <c r="LTN4092" s="917"/>
      <c r="LTO4092" s="917"/>
      <c r="LTP4092" s="917"/>
      <c r="LTQ4092" s="917"/>
      <c r="LTR4092" s="917"/>
      <c r="LTS4092" s="917"/>
      <c r="LTT4092" s="917"/>
      <c r="LTU4092" s="917"/>
      <c r="LTV4092" s="917"/>
      <c r="LTW4092" s="917"/>
      <c r="LTX4092" s="917"/>
      <c r="LTY4092" s="917"/>
      <c r="LTZ4092" s="917"/>
      <c r="LUA4092" s="917"/>
      <c r="LUB4092" s="917"/>
      <c r="LUC4092" s="917" t="s">
        <v>78</v>
      </c>
      <c r="LUD4092" s="917"/>
      <c r="LUE4092" s="917"/>
      <c r="LUF4092" s="917"/>
      <c r="LUG4092" s="917"/>
      <c r="LUH4092" s="917"/>
      <c r="LUI4092" s="917"/>
      <c r="LUJ4092" s="917"/>
      <c r="LUK4092" s="917"/>
      <c r="LUL4092" s="917"/>
      <c r="LUM4092" s="917"/>
      <c r="LUN4092" s="917"/>
      <c r="LUO4092" s="917"/>
      <c r="LUP4092" s="917"/>
      <c r="LUQ4092" s="917"/>
      <c r="LUR4092" s="917"/>
      <c r="LUS4092" s="917"/>
      <c r="LUT4092" s="917"/>
      <c r="LUU4092" s="917"/>
      <c r="LUV4092" s="917"/>
      <c r="LUW4092" s="917"/>
      <c r="LUX4092" s="917"/>
      <c r="LUY4092" s="917"/>
      <c r="LUZ4092" s="917"/>
      <c r="LVA4092" s="917"/>
      <c r="LVB4092" s="917"/>
      <c r="LVC4092" s="917"/>
      <c r="LVD4092" s="917"/>
      <c r="LVE4092" s="917"/>
      <c r="LVF4092" s="917"/>
      <c r="LVG4092" s="917"/>
      <c r="LVH4092" s="917"/>
      <c r="LVI4092" s="917" t="s">
        <v>78</v>
      </c>
      <c r="LVJ4092" s="917"/>
      <c r="LVK4092" s="917"/>
      <c r="LVL4092" s="917"/>
      <c r="LVM4092" s="917"/>
      <c r="LVN4092" s="917"/>
      <c r="LVO4092" s="917"/>
      <c r="LVP4092" s="917"/>
      <c r="LVQ4092" s="917"/>
      <c r="LVR4092" s="917"/>
      <c r="LVS4092" s="917"/>
      <c r="LVT4092" s="917"/>
      <c r="LVU4092" s="917"/>
      <c r="LVV4092" s="917"/>
      <c r="LVW4092" s="917"/>
      <c r="LVX4092" s="917"/>
      <c r="LVY4092" s="917"/>
      <c r="LVZ4092" s="917"/>
      <c r="LWA4092" s="917"/>
      <c r="LWB4092" s="917"/>
      <c r="LWC4092" s="917"/>
      <c r="LWD4092" s="917"/>
      <c r="LWE4092" s="917"/>
      <c r="LWF4092" s="917"/>
      <c r="LWG4092" s="917"/>
      <c r="LWH4092" s="917"/>
      <c r="LWI4092" s="917"/>
      <c r="LWJ4092" s="917"/>
      <c r="LWK4092" s="917"/>
      <c r="LWL4092" s="917"/>
      <c r="LWM4092" s="917"/>
      <c r="LWN4092" s="917"/>
      <c r="LWO4092" s="917" t="s">
        <v>78</v>
      </c>
      <c r="LWP4092" s="917"/>
      <c r="LWQ4092" s="917"/>
      <c r="LWR4092" s="917"/>
      <c r="LWS4092" s="917"/>
      <c r="LWT4092" s="917"/>
      <c r="LWU4092" s="917"/>
      <c r="LWV4092" s="917"/>
      <c r="LWW4092" s="917"/>
      <c r="LWX4092" s="917"/>
      <c r="LWY4092" s="917"/>
      <c r="LWZ4092" s="917"/>
      <c r="LXA4092" s="917"/>
      <c r="LXB4092" s="917"/>
      <c r="LXC4092" s="917"/>
      <c r="LXD4092" s="917"/>
      <c r="LXE4092" s="917"/>
      <c r="LXF4092" s="917"/>
      <c r="LXG4092" s="917"/>
      <c r="LXH4092" s="917"/>
      <c r="LXI4092" s="917"/>
      <c r="LXJ4092" s="917"/>
      <c r="LXK4092" s="917"/>
      <c r="LXL4092" s="917"/>
      <c r="LXM4092" s="917"/>
      <c r="LXN4092" s="917"/>
      <c r="LXO4092" s="917"/>
      <c r="LXP4092" s="917"/>
      <c r="LXQ4092" s="917"/>
      <c r="LXR4092" s="917"/>
      <c r="LXS4092" s="917"/>
      <c r="LXT4092" s="917"/>
      <c r="LXU4092" s="917" t="s">
        <v>78</v>
      </c>
      <c r="LXV4092" s="917"/>
      <c r="LXW4092" s="917"/>
      <c r="LXX4092" s="917"/>
      <c r="LXY4092" s="917"/>
      <c r="LXZ4092" s="917"/>
      <c r="LYA4092" s="917"/>
      <c r="LYB4092" s="917"/>
      <c r="LYC4092" s="917"/>
      <c r="LYD4092" s="917"/>
      <c r="LYE4092" s="917"/>
      <c r="LYF4092" s="917"/>
      <c r="LYG4092" s="917"/>
      <c r="LYH4092" s="917"/>
      <c r="LYI4092" s="917"/>
      <c r="LYJ4092" s="917"/>
      <c r="LYK4092" s="917"/>
      <c r="LYL4092" s="917"/>
      <c r="LYM4092" s="917"/>
      <c r="LYN4092" s="917"/>
      <c r="LYO4092" s="917"/>
      <c r="LYP4092" s="917"/>
      <c r="LYQ4092" s="917"/>
      <c r="LYR4092" s="917"/>
      <c r="LYS4092" s="917"/>
      <c r="LYT4092" s="917"/>
      <c r="LYU4092" s="917"/>
      <c r="LYV4092" s="917"/>
      <c r="LYW4092" s="917"/>
      <c r="LYX4092" s="917"/>
      <c r="LYY4092" s="917"/>
      <c r="LYZ4092" s="917"/>
      <c r="LZA4092" s="917" t="s">
        <v>78</v>
      </c>
      <c r="LZB4092" s="917"/>
      <c r="LZC4092" s="917"/>
      <c r="LZD4092" s="917"/>
      <c r="LZE4092" s="917"/>
      <c r="LZF4092" s="917"/>
      <c r="LZG4092" s="917"/>
      <c r="LZH4092" s="917"/>
      <c r="LZI4092" s="917"/>
      <c r="LZJ4092" s="917"/>
      <c r="LZK4092" s="917"/>
      <c r="LZL4092" s="917"/>
      <c r="LZM4092" s="917"/>
      <c r="LZN4092" s="917"/>
      <c r="LZO4092" s="917"/>
      <c r="LZP4092" s="917"/>
      <c r="LZQ4092" s="917"/>
      <c r="LZR4092" s="917"/>
      <c r="LZS4092" s="917"/>
      <c r="LZT4092" s="917"/>
      <c r="LZU4092" s="917"/>
      <c r="LZV4092" s="917"/>
      <c r="LZW4092" s="917"/>
      <c r="LZX4092" s="917"/>
      <c r="LZY4092" s="917"/>
      <c r="LZZ4092" s="917"/>
      <c r="MAA4092" s="917"/>
      <c r="MAB4092" s="917"/>
      <c r="MAC4092" s="917"/>
      <c r="MAD4092" s="917"/>
      <c r="MAE4092" s="917"/>
      <c r="MAF4092" s="917"/>
      <c r="MAG4092" s="917" t="s">
        <v>78</v>
      </c>
      <c r="MAH4092" s="917"/>
      <c r="MAI4092" s="917"/>
      <c r="MAJ4092" s="917"/>
      <c r="MAK4092" s="917"/>
      <c r="MAL4092" s="917"/>
      <c r="MAM4092" s="917"/>
      <c r="MAN4092" s="917"/>
      <c r="MAO4092" s="917"/>
      <c r="MAP4092" s="917"/>
      <c r="MAQ4092" s="917"/>
      <c r="MAR4092" s="917"/>
      <c r="MAS4092" s="917"/>
      <c r="MAT4092" s="917"/>
      <c r="MAU4092" s="917"/>
      <c r="MAV4092" s="917"/>
      <c r="MAW4092" s="917"/>
      <c r="MAX4092" s="917"/>
      <c r="MAY4092" s="917"/>
      <c r="MAZ4092" s="917"/>
      <c r="MBA4092" s="917"/>
      <c r="MBB4092" s="917"/>
      <c r="MBC4092" s="917"/>
      <c r="MBD4092" s="917"/>
      <c r="MBE4092" s="917"/>
      <c r="MBF4092" s="917"/>
      <c r="MBG4092" s="917"/>
      <c r="MBH4092" s="917"/>
      <c r="MBI4092" s="917"/>
      <c r="MBJ4092" s="917"/>
      <c r="MBK4092" s="917"/>
      <c r="MBL4092" s="917"/>
      <c r="MBM4092" s="917" t="s">
        <v>78</v>
      </c>
      <c r="MBN4092" s="917"/>
      <c r="MBO4092" s="917"/>
      <c r="MBP4092" s="917"/>
      <c r="MBQ4092" s="917"/>
      <c r="MBR4092" s="917"/>
      <c r="MBS4092" s="917"/>
      <c r="MBT4092" s="917"/>
      <c r="MBU4092" s="917"/>
      <c r="MBV4092" s="917"/>
      <c r="MBW4092" s="917"/>
      <c r="MBX4092" s="917"/>
      <c r="MBY4092" s="917"/>
      <c r="MBZ4092" s="917"/>
      <c r="MCA4092" s="917"/>
      <c r="MCB4092" s="917"/>
      <c r="MCC4092" s="917"/>
      <c r="MCD4092" s="917"/>
      <c r="MCE4092" s="917"/>
      <c r="MCF4092" s="917"/>
      <c r="MCG4092" s="917"/>
      <c r="MCH4092" s="917"/>
      <c r="MCI4092" s="917"/>
      <c r="MCJ4092" s="917"/>
      <c r="MCK4092" s="917"/>
      <c r="MCL4092" s="917"/>
      <c r="MCM4092" s="917"/>
      <c r="MCN4092" s="917"/>
      <c r="MCO4092" s="917"/>
      <c r="MCP4092" s="917"/>
      <c r="MCQ4092" s="917"/>
      <c r="MCR4092" s="917"/>
      <c r="MCS4092" s="917" t="s">
        <v>78</v>
      </c>
      <c r="MCT4092" s="917"/>
      <c r="MCU4092" s="917"/>
      <c r="MCV4092" s="917"/>
      <c r="MCW4092" s="917"/>
      <c r="MCX4092" s="917"/>
      <c r="MCY4092" s="917"/>
      <c r="MCZ4092" s="917"/>
      <c r="MDA4092" s="917"/>
      <c r="MDB4092" s="917"/>
      <c r="MDC4092" s="917"/>
      <c r="MDD4092" s="917"/>
      <c r="MDE4092" s="917"/>
      <c r="MDF4092" s="917"/>
      <c r="MDG4092" s="917"/>
      <c r="MDH4092" s="917"/>
      <c r="MDI4092" s="917"/>
      <c r="MDJ4092" s="917"/>
      <c r="MDK4092" s="917"/>
      <c r="MDL4092" s="917"/>
      <c r="MDM4092" s="917"/>
      <c r="MDN4092" s="917"/>
      <c r="MDO4092" s="917"/>
      <c r="MDP4092" s="917"/>
      <c r="MDQ4092" s="917"/>
      <c r="MDR4092" s="917"/>
      <c r="MDS4092" s="917"/>
      <c r="MDT4092" s="917"/>
      <c r="MDU4092" s="917"/>
      <c r="MDV4092" s="917"/>
      <c r="MDW4092" s="917"/>
      <c r="MDX4092" s="917"/>
      <c r="MDY4092" s="917" t="s">
        <v>78</v>
      </c>
      <c r="MDZ4092" s="917"/>
      <c r="MEA4092" s="917"/>
      <c r="MEB4092" s="917"/>
      <c r="MEC4092" s="917"/>
      <c r="MED4092" s="917"/>
      <c r="MEE4092" s="917"/>
      <c r="MEF4092" s="917"/>
      <c r="MEG4092" s="917"/>
      <c r="MEH4092" s="917"/>
      <c r="MEI4092" s="917"/>
      <c r="MEJ4092" s="917"/>
      <c r="MEK4092" s="917"/>
      <c r="MEL4092" s="917"/>
      <c r="MEM4092" s="917"/>
      <c r="MEN4092" s="917"/>
      <c r="MEO4092" s="917"/>
      <c r="MEP4092" s="917"/>
      <c r="MEQ4092" s="917"/>
      <c r="MER4092" s="917"/>
      <c r="MES4092" s="917"/>
      <c r="MET4092" s="917"/>
      <c r="MEU4092" s="917"/>
      <c r="MEV4092" s="917"/>
      <c r="MEW4092" s="917"/>
      <c r="MEX4092" s="917"/>
      <c r="MEY4092" s="917"/>
      <c r="MEZ4092" s="917"/>
      <c r="MFA4092" s="917"/>
      <c r="MFB4092" s="917"/>
      <c r="MFC4092" s="917"/>
      <c r="MFD4092" s="917"/>
      <c r="MFE4092" s="917" t="s">
        <v>78</v>
      </c>
      <c r="MFF4092" s="917"/>
      <c r="MFG4092" s="917"/>
      <c r="MFH4092" s="917"/>
      <c r="MFI4092" s="917"/>
      <c r="MFJ4092" s="917"/>
      <c r="MFK4092" s="917"/>
      <c r="MFL4092" s="917"/>
      <c r="MFM4092" s="917"/>
      <c r="MFN4092" s="917"/>
      <c r="MFO4092" s="917"/>
      <c r="MFP4092" s="917"/>
      <c r="MFQ4092" s="917"/>
      <c r="MFR4092" s="917"/>
      <c r="MFS4092" s="917"/>
      <c r="MFT4092" s="917"/>
      <c r="MFU4092" s="917"/>
      <c r="MFV4092" s="917"/>
      <c r="MFW4092" s="917"/>
      <c r="MFX4092" s="917"/>
      <c r="MFY4092" s="917"/>
      <c r="MFZ4092" s="917"/>
      <c r="MGA4092" s="917"/>
      <c r="MGB4092" s="917"/>
      <c r="MGC4092" s="917"/>
      <c r="MGD4092" s="917"/>
      <c r="MGE4092" s="917"/>
      <c r="MGF4092" s="917"/>
      <c r="MGG4092" s="917"/>
      <c r="MGH4092" s="917"/>
      <c r="MGI4092" s="917"/>
      <c r="MGJ4092" s="917"/>
      <c r="MGK4092" s="917" t="s">
        <v>78</v>
      </c>
      <c r="MGL4092" s="917"/>
      <c r="MGM4092" s="917"/>
      <c r="MGN4092" s="917"/>
      <c r="MGO4092" s="917"/>
      <c r="MGP4092" s="917"/>
      <c r="MGQ4092" s="917"/>
      <c r="MGR4092" s="917"/>
      <c r="MGS4092" s="917"/>
      <c r="MGT4092" s="917"/>
      <c r="MGU4092" s="917"/>
      <c r="MGV4092" s="917"/>
      <c r="MGW4092" s="917"/>
      <c r="MGX4092" s="917"/>
      <c r="MGY4092" s="917"/>
      <c r="MGZ4092" s="917"/>
      <c r="MHA4092" s="917"/>
      <c r="MHB4092" s="917"/>
      <c r="MHC4092" s="917"/>
      <c r="MHD4092" s="917"/>
      <c r="MHE4092" s="917"/>
      <c r="MHF4092" s="917"/>
      <c r="MHG4092" s="917"/>
      <c r="MHH4092" s="917"/>
      <c r="MHI4092" s="917"/>
      <c r="MHJ4092" s="917"/>
      <c r="MHK4092" s="917"/>
      <c r="MHL4092" s="917"/>
      <c r="MHM4092" s="917"/>
      <c r="MHN4092" s="917"/>
      <c r="MHO4092" s="917"/>
      <c r="MHP4092" s="917"/>
      <c r="MHQ4092" s="917" t="s">
        <v>78</v>
      </c>
      <c r="MHR4092" s="917"/>
      <c r="MHS4092" s="917"/>
      <c r="MHT4092" s="917"/>
      <c r="MHU4092" s="917"/>
      <c r="MHV4092" s="917"/>
      <c r="MHW4092" s="917"/>
      <c r="MHX4092" s="917"/>
      <c r="MHY4092" s="917"/>
      <c r="MHZ4092" s="917"/>
      <c r="MIA4092" s="917"/>
      <c r="MIB4092" s="917"/>
      <c r="MIC4092" s="917"/>
      <c r="MID4092" s="917"/>
      <c r="MIE4092" s="917"/>
      <c r="MIF4092" s="917"/>
      <c r="MIG4092" s="917"/>
      <c r="MIH4092" s="917"/>
      <c r="MII4092" s="917"/>
      <c r="MIJ4092" s="917"/>
      <c r="MIK4092" s="917"/>
      <c r="MIL4092" s="917"/>
      <c r="MIM4092" s="917"/>
      <c r="MIN4092" s="917"/>
      <c r="MIO4092" s="917"/>
      <c r="MIP4092" s="917"/>
      <c r="MIQ4092" s="917"/>
      <c r="MIR4092" s="917"/>
      <c r="MIS4092" s="917"/>
      <c r="MIT4092" s="917"/>
      <c r="MIU4092" s="917"/>
      <c r="MIV4092" s="917"/>
      <c r="MIW4092" s="917" t="s">
        <v>78</v>
      </c>
      <c r="MIX4092" s="917"/>
      <c r="MIY4092" s="917"/>
      <c r="MIZ4092" s="917"/>
      <c r="MJA4092" s="917"/>
      <c r="MJB4092" s="917"/>
      <c r="MJC4092" s="917"/>
      <c r="MJD4092" s="917"/>
      <c r="MJE4092" s="917"/>
      <c r="MJF4092" s="917"/>
      <c r="MJG4092" s="917"/>
      <c r="MJH4092" s="917"/>
      <c r="MJI4092" s="917"/>
      <c r="MJJ4092" s="917"/>
      <c r="MJK4092" s="917"/>
      <c r="MJL4092" s="917"/>
      <c r="MJM4092" s="917"/>
      <c r="MJN4092" s="917"/>
      <c r="MJO4092" s="917"/>
      <c r="MJP4092" s="917"/>
      <c r="MJQ4092" s="917"/>
      <c r="MJR4092" s="917"/>
      <c r="MJS4092" s="917"/>
      <c r="MJT4092" s="917"/>
      <c r="MJU4092" s="917"/>
      <c r="MJV4092" s="917"/>
      <c r="MJW4092" s="917"/>
      <c r="MJX4092" s="917"/>
      <c r="MJY4092" s="917"/>
      <c r="MJZ4092" s="917"/>
      <c r="MKA4092" s="917"/>
      <c r="MKB4092" s="917"/>
      <c r="MKC4092" s="917" t="s">
        <v>78</v>
      </c>
      <c r="MKD4092" s="917"/>
      <c r="MKE4092" s="917"/>
      <c r="MKF4092" s="917"/>
      <c r="MKG4092" s="917"/>
      <c r="MKH4092" s="917"/>
      <c r="MKI4092" s="917"/>
      <c r="MKJ4092" s="917"/>
      <c r="MKK4092" s="917"/>
      <c r="MKL4092" s="917"/>
      <c r="MKM4092" s="917"/>
      <c r="MKN4092" s="917"/>
      <c r="MKO4092" s="917"/>
      <c r="MKP4092" s="917"/>
      <c r="MKQ4092" s="917"/>
      <c r="MKR4092" s="917"/>
      <c r="MKS4092" s="917"/>
      <c r="MKT4092" s="917"/>
      <c r="MKU4092" s="917"/>
      <c r="MKV4092" s="917"/>
      <c r="MKW4092" s="917"/>
      <c r="MKX4092" s="917"/>
      <c r="MKY4092" s="917"/>
      <c r="MKZ4092" s="917"/>
      <c r="MLA4092" s="917"/>
      <c r="MLB4092" s="917"/>
      <c r="MLC4092" s="917"/>
      <c r="MLD4092" s="917"/>
      <c r="MLE4092" s="917"/>
      <c r="MLF4092" s="917"/>
      <c r="MLG4092" s="917"/>
      <c r="MLH4092" s="917"/>
      <c r="MLI4092" s="917" t="s">
        <v>78</v>
      </c>
      <c r="MLJ4092" s="917"/>
      <c r="MLK4092" s="917"/>
      <c r="MLL4092" s="917"/>
      <c r="MLM4092" s="917"/>
      <c r="MLN4092" s="917"/>
      <c r="MLO4092" s="917"/>
      <c r="MLP4092" s="917"/>
      <c r="MLQ4092" s="917"/>
      <c r="MLR4092" s="917"/>
      <c r="MLS4092" s="917"/>
      <c r="MLT4092" s="917"/>
      <c r="MLU4092" s="917"/>
      <c r="MLV4092" s="917"/>
      <c r="MLW4092" s="917"/>
      <c r="MLX4092" s="917"/>
      <c r="MLY4092" s="917"/>
      <c r="MLZ4092" s="917"/>
      <c r="MMA4092" s="917"/>
      <c r="MMB4092" s="917"/>
      <c r="MMC4092" s="917"/>
      <c r="MMD4092" s="917"/>
      <c r="MME4092" s="917"/>
      <c r="MMF4092" s="917"/>
      <c r="MMG4092" s="917"/>
      <c r="MMH4092" s="917"/>
      <c r="MMI4092" s="917"/>
      <c r="MMJ4092" s="917"/>
      <c r="MMK4092" s="917"/>
      <c r="MML4092" s="917"/>
      <c r="MMM4092" s="917"/>
      <c r="MMN4092" s="917"/>
      <c r="MMO4092" s="917" t="s">
        <v>78</v>
      </c>
      <c r="MMP4092" s="917"/>
      <c r="MMQ4092" s="917"/>
      <c r="MMR4092" s="917"/>
      <c r="MMS4092" s="917"/>
      <c r="MMT4092" s="917"/>
      <c r="MMU4092" s="917"/>
      <c r="MMV4092" s="917"/>
      <c r="MMW4092" s="917"/>
      <c r="MMX4092" s="917"/>
      <c r="MMY4092" s="917"/>
      <c r="MMZ4092" s="917"/>
      <c r="MNA4092" s="917"/>
      <c r="MNB4092" s="917"/>
      <c r="MNC4092" s="917"/>
      <c r="MND4092" s="917"/>
      <c r="MNE4092" s="917"/>
      <c r="MNF4092" s="917"/>
      <c r="MNG4092" s="917"/>
      <c r="MNH4092" s="917"/>
      <c r="MNI4092" s="917"/>
      <c r="MNJ4092" s="917"/>
      <c r="MNK4092" s="917"/>
      <c r="MNL4092" s="917"/>
      <c r="MNM4092" s="917"/>
      <c r="MNN4092" s="917"/>
      <c r="MNO4092" s="917"/>
      <c r="MNP4092" s="917"/>
      <c r="MNQ4092" s="917"/>
      <c r="MNR4092" s="917"/>
      <c r="MNS4092" s="917"/>
      <c r="MNT4092" s="917"/>
      <c r="MNU4092" s="917" t="s">
        <v>78</v>
      </c>
      <c r="MNV4092" s="917"/>
      <c r="MNW4092" s="917"/>
      <c r="MNX4092" s="917"/>
      <c r="MNY4092" s="917"/>
      <c r="MNZ4092" s="917"/>
      <c r="MOA4092" s="917"/>
      <c r="MOB4092" s="917"/>
      <c r="MOC4092" s="917"/>
      <c r="MOD4092" s="917"/>
      <c r="MOE4092" s="917"/>
      <c r="MOF4092" s="917"/>
      <c r="MOG4092" s="917"/>
      <c r="MOH4092" s="917"/>
      <c r="MOI4092" s="917"/>
      <c r="MOJ4092" s="917"/>
      <c r="MOK4092" s="917"/>
      <c r="MOL4092" s="917"/>
      <c r="MOM4092" s="917"/>
      <c r="MON4092" s="917"/>
      <c r="MOO4092" s="917"/>
      <c r="MOP4092" s="917"/>
      <c r="MOQ4092" s="917"/>
      <c r="MOR4092" s="917"/>
      <c r="MOS4092" s="917"/>
      <c r="MOT4092" s="917"/>
      <c r="MOU4092" s="917"/>
      <c r="MOV4092" s="917"/>
      <c r="MOW4092" s="917"/>
      <c r="MOX4092" s="917"/>
      <c r="MOY4092" s="917"/>
      <c r="MOZ4092" s="917"/>
      <c r="MPA4092" s="917" t="s">
        <v>78</v>
      </c>
      <c r="MPB4092" s="917"/>
      <c r="MPC4092" s="917"/>
      <c r="MPD4092" s="917"/>
      <c r="MPE4092" s="917"/>
      <c r="MPF4092" s="917"/>
      <c r="MPG4092" s="917"/>
      <c r="MPH4092" s="917"/>
      <c r="MPI4092" s="917"/>
      <c r="MPJ4092" s="917"/>
      <c r="MPK4092" s="917"/>
      <c r="MPL4092" s="917"/>
      <c r="MPM4092" s="917"/>
      <c r="MPN4092" s="917"/>
      <c r="MPO4092" s="917"/>
      <c r="MPP4092" s="917"/>
      <c r="MPQ4092" s="917"/>
      <c r="MPR4092" s="917"/>
      <c r="MPS4092" s="917"/>
      <c r="MPT4092" s="917"/>
      <c r="MPU4092" s="917"/>
      <c r="MPV4092" s="917"/>
      <c r="MPW4092" s="917"/>
      <c r="MPX4092" s="917"/>
      <c r="MPY4092" s="917"/>
      <c r="MPZ4092" s="917"/>
      <c r="MQA4092" s="917"/>
      <c r="MQB4092" s="917"/>
      <c r="MQC4092" s="917"/>
      <c r="MQD4092" s="917"/>
      <c r="MQE4092" s="917"/>
      <c r="MQF4092" s="917"/>
      <c r="MQG4092" s="917" t="s">
        <v>78</v>
      </c>
      <c r="MQH4092" s="917"/>
      <c r="MQI4092" s="917"/>
      <c r="MQJ4092" s="917"/>
      <c r="MQK4092" s="917"/>
      <c r="MQL4092" s="917"/>
      <c r="MQM4092" s="917"/>
      <c r="MQN4092" s="917"/>
      <c r="MQO4092" s="917"/>
      <c r="MQP4092" s="917"/>
      <c r="MQQ4092" s="917"/>
      <c r="MQR4092" s="917"/>
      <c r="MQS4092" s="917"/>
      <c r="MQT4092" s="917"/>
      <c r="MQU4092" s="917"/>
      <c r="MQV4092" s="917"/>
      <c r="MQW4092" s="917"/>
      <c r="MQX4092" s="917"/>
      <c r="MQY4092" s="917"/>
      <c r="MQZ4092" s="917"/>
      <c r="MRA4092" s="917"/>
      <c r="MRB4092" s="917"/>
      <c r="MRC4092" s="917"/>
      <c r="MRD4092" s="917"/>
      <c r="MRE4092" s="917"/>
      <c r="MRF4092" s="917"/>
      <c r="MRG4092" s="917"/>
      <c r="MRH4092" s="917"/>
      <c r="MRI4092" s="917"/>
      <c r="MRJ4092" s="917"/>
      <c r="MRK4092" s="917"/>
      <c r="MRL4092" s="917"/>
      <c r="MRM4092" s="917" t="s">
        <v>78</v>
      </c>
      <c r="MRN4092" s="917"/>
      <c r="MRO4092" s="917"/>
      <c r="MRP4092" s="917"/>
      <c r="MRQ4092" s="917"/>
      <c r="MRR4092" s="917"/>
      <c r="MRS4092" s="917"/>
      <c r="MRT4092" s="917"/>
      <c r="MRU4092" s="917"/>
      <c r="MRV4092" s="917"/>
      <c r="MRW4092" s="917"/>
      <c r="MRX4092" s="917"/>
      <c r="MRY4092" s="917"/>
      <c r="MRZ4092" s="917"/>
      <c r="MSA4092" s="917"/>
      <c r="MSB4092" s="917"/>
      <c r="MSC4092" s="917"/>
      <c r="MSD4092" s="917"/>
      <c r="MSE4092" s="917"/>
      <c r="MSF4092" s="917"/>
      <c r="MSG4092" s="917"/>
      <c r="MSH4092" s="917"/>
      <c r="MSI4092" s="917"/>
      <c r="MSJ4092" s="917"/>
      <c r="MSK4092" s="917"/>
      <c r="MSL4092" s="917"/>
      <c r="MSM4092" s="917"/>
      <c r="MSN4092" s="917"/>
      <c r="MSO4092" s="917"/>
      <c r="MSP4092" s="917"/>
      <c r="MSQ4092" s="917"/>
      <c r="MSR4092" s="917"/>
      <c r="MSS4092" s="917" t="s">
        <v>78</v>
      </c>
      <c r="MST4092" s="917"/>
      <c r="MSU4092" s="917"/>
      <c r="MSV4092" s="917"/>
      <c r="MSW4092" s="917"/>
      <c r="MSX4092" s="917"/>
      <c r="MSY4092" s="917"/>
      <c r="MSZ4092" s="917"/>
      <c r="MTA4092" s="917"/>
      <c r="MTB4092" s="917"/>
      <c r="MTC4092" s="917"/>
      <c r="MTD4092" s="917"/>
      <c r="MTE4092" s="917"/>
      <c r="MTF4092" s="917"/>
      <c r="MTG4092" s="917"/>
      <c r="MTH4092" s="917"/>
      <c r="MTI4092" s="917"/>
      <c r="MTJ4092" s="917"/>
      <c r="MTK4092" s="917"/>
      <c r="MTL4092" s="917"/>
      <c r="MTM4092" s="917"/>
      <c r="MTN4092" s="917"/>
      <c r="MTO4092" s="917"/>
      <c r="MTP4092" s="917"/>
      <c r="MTQ4092" s="917"/>
      <c r="MTR4092" s="917"/>
      <c r="MTS4092" s="917"/>
      <c r="MTT4092" s="917"/>
      <c r="MTU4092" s="917"/>
      <c r="MTV4092" s="917"/>
      <c r="MTW4092" s="917"/>
      <c r="MTX4092" s="917"/>
      <c r="MTY4092" s="917" t="s">
        <v>78</v>
      </c>
      <c r="MTZ4092" s="917"/>
      <c r="MUA4092" s="917"/>
      <c r="MUB4092" s="917"/>
      <c r="MUC4092" s="917"/>
      <c r="MUD4092" s="917"/>
      <c r="MUE4092" s="917"/>
      <c r="MUF4092" s="917"/>
      <c r="MUG4092" s="917"/>
      <c r="MUH4092" s="917"/>
      <c r="MUI4092" s="917"/>
      <c r="MUJ4092" s="917"/>
      <c r="MUK4092" s="917"/>
      <c r="MUL4092" s="917"/>
      <c r="MUM4092" s="917"/>
      <c r="MUN4092" s="917"/>
      <c r="MUO4092" s="917"/>
      <c r="MUP4092" s="917"/>
      <c r="MUQ4092" s="917"/>
      <c r="MUR4092" s="917"/>
      <c r="MUS4092" s="917"/>
      <c r="MUT4092" s="917"/>
      <c r="MUU4092" s="917"/>
      <c r="MUV4092" s="917"/>
      <c r="MUW4092" s="917"/>
      <c r="MUX4092" s="917"/>
      <c r="MUY4092" s="917"/>
      <c r="MUZ4092" s="917"/>
      <c r="MVA4092" s="917"/>
      <c r="MVB4092" s="917"/>
      <c r="MVC4092" s="917"/>
      <c r="MVD4092" s="917"/>
      <c r="MVE4092" s="917" t="s">
        <v>78</v>
      </c>
      <c r="MVF4092" s="917"/>
      <c r="MVG4092" s="917"/>
      <c r="MVH4092" s="917"/>
      <c r="MVI4092" s="917"/>
      <c r="MVJ4092" s="917"/>
      <c r="MVK4092" s="917"/>
      <c r="MVL4092" s="917"/>
      <c r="MVM4092" s="917"/>
      <c r="MVN4092" s="917"/>
      <c r="MVO4092" s="917"/>
      <c r="MVP4092" s="917"/>
      <c r="MVQ4092" s="917"/>
      <c r="MVR4092" s="917"/>
      <c r="MVS4092" s="917"/>
      <c r="MVT4092" s="917"/>
      <c r="MVU4092" s="917"/>
      <c r="MVV4092" s="917"/>
      <c r="MVW4092" s="917"/>
      <c r="MVX4092" s="917"/>
      <c r="MVY4092" s="917"/>
      <c r="MVZ4092" s="917"/>
      <c r="MWA4092" s="917"/>
      <c r="MWB4092" s="917"/>
      <c r="MWC4092" s="917"/>
      <c r="MWD4092" s="917"/>
      <c r="MWE4092" s="917"/>
      <c r="MWF4092" s="917"/>
      <c r="MWG4092" s="917"/>
      <c r="MWH4092" s="917"/>
      <c r="MWI4092" s="917"/>
      <c r="MWJ4092" s="917"/>
      <c r="MWK4092" s="917" t="s">
        <v>78</v>
      </c>
      <c r="MWL4092" s="917"/>
      <c r="MWM4092" s="917"/>
      <c r="MWN4092" s="917"/>
      <c r="MWO4092" s="917"/>
      <c r="MWP4092" s="917"/>
      <c r="MWQ4092" s="917"/>
      <c r="MWR4092" s="917"/>
      <c r="MWS4092" s="917"/>
      <c r="MWT4092" s="917"/>
      <c r="MWU4092" s="917"/>
      <c r="MWV4092" s="917"/>
      <c r="MWW4092" s="917"/>
      <c r="MWX4092" s="917"/>
      <c r="MWY4092" s="917"/>
      <c r="MWZ4092" s="917"/>
      <c r="MXA4092" s="917"/>
      <c r="MXB4092" s="917"/>
      <c r="MXC4092" s="917"/>
      <c r="MXD4092" s="917"/>
      <c r="MXE4092" s="917"/>
      <c r="MXF4092" s="917"/>
      <c r="MXG4092" s="917"/>
      <c r="MXH4092" s="917"/>
      <c r="MXI4092" s="917"/>
      <c r="MXJ4092" s="917"/>
      <c r="MXK4092" s="917"/>
      <c r="MXL4092" s="917"/>
      <c r="MXM4092" s="917"/>
      <c r="MXN4092" s="917"/>
      <c r="MXO4092" s="917"/>
      <c r="MXP4092" s="917"/>
      <c r="MXQ4092" s="917" t="s">
        <v>78</v>
      </c>
      <c r="MXR4092" s="917"/>
      <c r="MXS4092" s="917"/>
      <c r="MXT4092" s="917"/>
      <c r="MXU4092" s="917"/>
      <c r="MXV4092" s="917"/>
      <c r="MXW4092" s="917"/>
      <c r="MXX4092" s="917"/>
      <c r="MXY4092" s="917"/>
      <c r="MXZ4092" s="917"/>
      <c r="MYA4092" s="917"/>
      <c r="MYB4092" s="917"/>
      <c r="MYC4092" s="917"/>
      <c r="MYD4092" s="917"/>
      <c r="MYE4092" s="917"/>
      <c r="MYF4092" s="917"/>
      <c r="MYG4092" s="917"/>
      <c r="MYH4092" s="917"/>
      <c r="MYI4092" s="917"/>
      <c r="MYJ4092" s="917"/>
      <c r="MYK4092" s="917"/>
      <c r="MYL4092" s="917"/>
      <c r="MYM4092" s="917"/>
      <c r="MYN4092" s="917"/>
      <c r="MYO4092" s="917"/>
      <c r="MYP4092" s="917"/>
      <c r="MYQ4092" s="917"/>
      <c r="MYR4092" s="917"/>
      <c r="MYS4092" s="917"/>
      <c r="MYT4092" s="917"/>
      <c r="MYU4092" s="917"/>
      <c r="MYV4092" s="917"/>
      <c r="MYW4092" s="917" t="s">
        <v>78</v>
      </c>
      <c r="MYX4092" s="917"/>
      <c r="MYY4092" s="917"/>
      <c r="MYZ4092" s="917"/>
      <c r="MZA4092" s="917"/>
      <c r="MZB4092" s="917"/>
      <c r="MZC4092" s="917"/>
      <c r="MZD4092" s="917"/>
      <c r="MZE4092" s="917"/>
      <c r="MZF4092" s="917"/>
      <c r="MZG4092" s="917"/>
      <c r="MZH4092" s="917"/>
      <c r="MZI4092" s="917"/>
      <c r="MZJ4092" s="917"/>
      <c r="MZK4092" s="917"/>
      <c r="MZL4092" s="917"/>
      <c r="MZM4092" s="917"/>
      <c r="MZN4092" s="917"/>
      <c r="MZO4092" s="917"/>
      <c r="MZP4092" s="917"/>
      <c r="MZQ4092" s="917"/>
      <c r="MZR4092" s="917"/>
      <c r="MZS4092" s="917"/>
      <c r="MZT4092" s="917"/>
      <c r="MZU4092" s="917"/>
      <c r="MZV4092" s="917"/>
      <c r="MZW4092" s="917"/>
      <c r="MZX4092" s="917"/>
      <c r="MZY4092" s="917"/>
      <c r="MZZ4092" s="917"/>
      <c r="NAA4092" s="917"/>
      <c r="NAB4092" s="917"/>
      <c r="NAC4092" s="917" t="s">
        <v>78</v>
      </c>
      <c r="NAD4092" s="917"/>
      <c r="NAE4092" s="917"/>
      <c r="NAF4092" s="917"/>
      <c r="NAG4092" s="917"/>
      <c r="NAH4092" s="917"/>
      <c r="NAI4092" s="917"/>
      <c r="NAJ4092" s="917"/>
      <c r="NAK4092" s="917"/>
      <c r="NAL4092" s="917"/>
      <c r="NAM4092" s="917"/>
      <c r="NAN4092" s="917"/>
      <c r="NAO4092" s="917"/>
      <c r="NAP4092" s="917"/>
      <c r="NAQ4092" s="917"/>
      <c r="NAR4092" s="917"/>
      <c r="NAS4092" s="917"/>
      <c r="NAT4092" s="917"/>
      <c r="NAU4092" s="917"/>
      <c r="NAV4092" s="917"/>
      <c r="NAW4092" s="917"/>
      <c r="NAX4092" s="917"/>
      <c r="NAY4092" s="917"/>
      <c r="NAZ4092" s="917"/>
      <c r="NBA4092" s="917"/>
      <c r="NBB4092" s="917"/>
      <c r="NBC4092" s="917"/>
      <c r="NBD4092" s="917"/>
      <c r="NBE4092" s="917"/>
      <c r="NBF4092" s="917"/>
      <c r="NBG4092" s="917"/>
      <c r="NBH4092" s="917"/>
      <c r="NBI4092" s="917" t="s">
        <v>78</v>
      </c>
      <c r="NBJ4092" s="917"/>
      <c r="NBK4092" s="917"/>
      <c r="NBL4092" s="917"/>
      <c r="NBM4092" s="917"/>
      <c r="NBN4092" s="917"/>
      <c r="NBO4092" s="917"/>
      <c r="NBP4092" s="917"/>
      <c r="NBQ4092" s="917"/>
      <c r="NBR4092" s="917"/>
      <c r="NBS4092" s="917"/>
      <c r="NBT4092" s="917"/>
      <c r="NBU4092" s="917"/>
      <c r="NBV4092" s="917"/>
      <c r="NBW4092" s="917"/>
      <c r="NBX4092" s="917"/>
      <c r="NBY4092" s="917"/>
      <c r="NBZ4092" s="917"/>
      <c r="NCA4092" s="917"/>
      <c r="NCB4092" s="917"/>
      <c r="NCC4092" s="917"/>
      <c r="NCD4092" s="917"/>
      <c r="NCE4092" s="917"/>
      <c r="NCF4092" s="917"/>
      <c r="NCG4092" s="917"/>
      <c r="NCH4092" s="917"/>
      <c r="NCI4092" s="917"/>
      <c r="NCJ4092" s="917"/>
      <c r="NCK4092" s="917"/>
      <c r="NCL4092" s="917"/>
      <c r="NCM4092" s="917"/>
      <c r="NCN4092" s="917"/>
      <c r="NCO4092" s="917" t="s">
        <v>78</v>
      </c>
      <c r="NCP4092" s="917"/>
      <c r="NCQ4092" s="917"/>
      <c r="NCR4092" s="917"/>
      <c r="NCS4092" s="917"/>
      <c r="NCT4092" s="917"/>
      <c r="NCU4092" s="917"/>
      <c r="NCV4092" s="917"/>
      <c r="NCW4092" s="917"/>
      <c r="NCX4092" s="917"/>
      <c r="NCY4092" s="917"/>
      <c r="NCZ4092" s="917"/>
      <c r="NDA4092" s="917"/>
      <c r="NDB4092" s="917"/>
      <c r="NDC4092" s="917"/>
      <c r="NDD4092" s="917"/>
      <c r="NDE4092" s="917"/>
      <c r="NDF4092" s="917"/>
      <c r="NDG4092" s="917"/>
      <c r="NDH4092" s="917"/>
      <c r="NDI4092" s="917"/>
      <c r="NDJ4092" s="917"/>
      <c r="NDK4092" s="917"/>
      <c r="NDL4092" s="917"/>
      <c r="NDM4092" s="917"/>
      <c r="NDN4092" s="917"/>
      <c r="NDO4092" s="917"/>
      <c r="NDP4092" s="917"/>
      <c r="NDQ4092" s="917"/>
      <c r="NDR4092" s="917"/>
      <c r="NDS4092" s="917"/>
      <c r="NDT4092" s="917"/>
      <c r="NDU4092" s="917" t="s">
        <v>78</v>
      </c>
      <c r="NDV4092" s="917"/>
      <c r="NDW4092" s="917"/>
      <c r="NDX4092" s="917"/>
      <c r="NDY4092" s="917"/>
      <c r="NDZ4092" s="917"/>
      <c r="NEA4092" s="917"/>
      <c r="NEB4092" s="917"/>
      <c r="NEC4092" s="917"/>
      <c r="NED4092" s="917"/>
      <c r="NEE4092" s="917"/>
      <c r="NEF4092" s="917"/>
      <c r="NEG4092" s="917"/>
      <c r="NEH4092" s="917"/>
      <c r="NEI4092" s="917"/>
      <c r="NEJ4092" s="917"/>
      <c r="NEK4092" s="917"/>
      <c r="NEL4092" s="917"/>
      <c r="NEM4092" s="917"/>
      <c r="NEN4092" s="917"/>
      <c r="NEO4092" s="917"/>
      <c r="NEP4092" s="917"/>
      <c r="NEQ4092" s="917"/>
      <c r="NER4092" s="917"/>
      <c r="NES4092" s="917"/>
      <c r="NET4092" s="917"/>
      <c r="NEU4092" s="917"/>
      <c r="NEV4092" s="917"/>
      <c r="NEW4092" s="917"/>
      <c r="NEX4092" s="917"/>
      <c r="NEY4092" s="917"/>
      <c r="NEZ4092" s="917"/>
      <c r="NFA4092" s="917" t="s">
        <v>78</v>
      </c>
      <c r="NFB4092" s="917"/>
      <c r="NFC4092" s="917"/>
      <c r="NFD4092" s="917"/>
      <c r="NFE4092" s="917"/>
      <c r="NFF4092" s="917"/>
      <c r="NFG4092" s="917"/>
      <c r="NFH4092" s="917"/>
      <c r="NFI4092" s="917"/>
      <c r="NFJ4092" s="917"/>
      <c r="NFK4092" s="917"/>
      <c r="NFL4092" s="917"/>
      <c r="NFM4092" s="917"/>
      <c r="NFN4092" s="917"/>
      <c r="NFO4092" s="917"/>
      <c r="NFP4092" s="917"/>
      <c r="NFQ4092" s="917"/>
      <c r="NFR4092" s="917"/>
      <c r="NFS4092" s="917"/>
      <c r="NFT4092" s="917"/>
      <c r="NFU4092" s="917"/>
      <c r="NFV4092" s="917"/>
      <c r="NFW4092" s="917"/>
      <c r="NFX4092" s="917"/>
      <c r="NFY4092" s="917"/>
      <c r="NFZ4092" s="917"/>
      <c r="NGA4092" s="917"/>
      <c r="NGB4092" s="917"/>
      <c r="NGC4092" s="917"/>
      <c r="NGD4092" s="917"/>
      <c r="NGE4092" s="917"/>
      <c r="NGF4092" s="917"/>
      <c r="NGG4092" s="917" t="s">
        <v>78</v>
      </c>
      <c r="NGH4092" s="917"/>
      <c r="NGI4092" s="917"/>
      <c r="NGJ4092" s="917"/>
      <c r="NGK4092" s="917"/>
      <c r="NGL4092" s="917"/>
      <c r="NGM4092" s="917"/>
      <c r="NGN4092" s="917"/>
      <c r="NGO4092" s="917"/>
      <c r="NGP4092" s="917"/>
      <c r="NGQ4092" s="917"/>
      <c r="NGR4092" s="917"/>
      <c r="NGS4092" s="917"/>
      <c r="NGT4092" s="917"/>
      <c r="NGU4092" s="917"/>
      <c r="NGV4092" s="917"/>
      <c r="NGW4092" s="917"/>
      <c r="NGX4092" s="917"/>
      <c r="NGY4092" s="917"/>
      <c r="NGZ4092" s="917"/>
      <c r="NHA4092" s="917"/>
      <c r="NHB4092" s="917"/>
      <c r="NHC4092" s="917"/>
      <c r="NHD4092" s="917"/>
      <c r="NHE4092" s="917"/>
      <c r="NHF4092" s="917"/>
      <c r="NHG4092" s="917"/>
      <c r="NHH4092" s="917"/>
      <c r="NHI4092" s="917"/>
      <c r="NHJ4092" s="917"/>
      <c r="NHK4092" s="917"/>
      <c r="NHL4092" s="917"/>
      <c r="NHM4092" s="917" t="s">
        <v>78</v>
      </c>
      <c r="NHN4092" s="917"/>
      <c r="NHO4092" s="917"/>
      <c r="NHP4092" s="917"/>
      <c r="NHQ4092" s="917"/>
      <c r="NHR4092" s="917"/>
      <c r="NHS4092" s="917"/>
      <c r="NHT4092" s="917"/>
      <c r="NHU4092" s="917"/>
      <c r="NHV4092" s="917"/>
      <c r="NHW4092" s="917"/>
      <c r="NHX4092" s="917"/>
      <c r="NHY4092" s="917"/>
      <c r="NHZ4092" s="917"/>
      <c r="NIA4092" s="917"/>
      <c r="NIB4092" s="917"/>
      <c r="NIC4092" s="917"/>
      <c r="NID4092" s="917"/>
      <c r="NIE4092" s="917"/>
      <c r="NIF4092" s="917"/>
      <c r="NIG4092" s="917"/>
      <c r="NIH4092" s="917"/>
      <c r="NII4092" s="917"/>
      <c r="NIJ4092" s="917"/>
      <c r="NIK4092" s="917"/>
      <c r="NIL4092" s="917"/>
      <c r="NIM4092" s="917"/>
      <c r="NIN4092" s="917"/>
      <c r="NIO4092" s="917"/>
      <c r="NIP4092" s="917"/>
      <c r="NIQ4092" s="917"/>
      <c r="NIR4092" s="917"/>
      <c r="NIS4092" s="917" t="s">
        <v>78</v>
      </c>
      <c r="NIT4092" s="917"/>
      <c r="NIU4092" s="917"/>
      <c r="NIV4092" s="917"/>
      <c r="NIW4092" s="917"/>
      <c r="NIX4092" s="917"/>
      <c r="NIY4092" s="917"/>
      <c r="NIZ4092" s="917"/>
      <c r="NJA4092" s="917"/>
      <c r="NJB4092" s="917"/>
      <c r="NJC4092" s="917"/>
      <c r="NJD4092" s="917"/>
      <c r="NJE4092" s="917"/>
      <c r="NJF4092" s="917"/>
      <c r="NJG4092" s="917"/>
      <c r="NJH4092" s="917"/>
      <c r="NJI4092" s="917"/>
      <c r="NJJ4092" s="917"/>
      <c r="NJK4092" s="917"/>
      <c r="NJL4092" s="917"/>
      <c r="NJM4092" s="917"/>
      <c r="NJN4092" s="917"/>
      <c r="NJO4092" s="917"/>
      <c r="NJP4092" s="917"/>
      <c r="NJQ4092" s="917"/>
      <c r="NJR4092" s="917"/>
      <c r="NJS4092" s="917"/>
      <c r="NJT4092" s="917"/>
      <c r="NJU4092" s="917"/>
      <c r="NJV4092" s="917"/>
      <c r="NJW4092" s="917"/>
      <c r="NJX4092" s="917"/>
      <c r="NJY4092" s="917" t="s">
        <v>78</v>
      </c>
      <c r="NJZ4092" s="917"/>
      <c r="NKA4092" s="917"/>
      <c r="NKB4092" s="917"/>
      <c r="NKC4092" s="917"/>
      <c r="NKD4092" s="917"/>
      <c r="NKE4092" s="917"/>
      <c r="NKF4092" s="917"/>
      <c r="NKG4092" s="917"/>
      <c r="NKH4092" s="917"/>
      <c r="NKI4092" s="917"/>
      <c r="NKJ4092" s="917"/>
      <c r="NKK4092" s="917"/>
      <c r="NKL4092" s="917"/>
      <c r="NKM4092" s="917"/>
      <c r="NKN4092" s="917"/>
      <c r="NKO4092" s="917"/>
      <c r="NKP4092" s="917"/>
      <c r="NKQ4092" s="917"/>
      <c r="NKR4092" s="917"/>
      <c r="NKS4092" s="917"/>
      <c r="NKT4092" s="917"/>
      <c r="NKU4092" s="917"/>
      <c r="NKV4092" s="917"/>
      <c r="NKW4092" s="917"/>
      <c r="NKX4092" s="917"/>
      <c r="NKY4092" s="917"/>
      <c r="NKZ4092" s="917"/>
      <c r="NLA4092" s="917"/>
      <c r="NLB4092" s="917"/>
      <c r="NLC4092" s="917"/>
      <c r="NLD4092" s="917"/>
      <c r="NLE4092" s="917" t="s">
        <v>78</v>
      </c>
      <c r="NLF4092" s="917"/>
      <c r="NLG4092" s="917"/>
      <c r="NLH4092" s="917"/>
      <c r="NLI4092" s="917"/>
      <c r="NLJ4092" s="917"/>
      <c r="NLK4092" s="917"/>
      <c r="NLL4092" s="917"/>
      <c r="NLM4092" s="917"/>
      <c r="NLN4092" s="917"/>
      <c r="NLO4092" s="917"/>
      <c r="NLP4092" s="917"/>
      <c r="NLQ4092" s="917"/>
      <c r="NLR4092" s="917"/>
      <c r="NLS4092" s="917"/>
      <c r="NLT4092" s="917"/>
      <c r="NLU4092" s="917"/>
      <c r="NLV4092" s="917"/>
      <c r="NLW4092" s="917"/>
      <c r="NLX4092" s="917"/>
      <c r="NLY4092" s="917"/>
      <c r="NLZ4092" s="917"/>
      <c r="NMA4092" s="917"/>
      <c r="NMB4092" s="917"/>
      <c r="NMC4092" s="917"/>
      <c r="NMD4092" s="917"/>
      <c r="NME4092" s="917"/>
      <c r="NMF4092" s="917"/>
      <c r="NMG4092" s="917"/>
      <c r="NMH4092" s="917"/>
      <c r="NMI4092" s="917"/>
      <c r="NMJ4092" s="917"/>
      <c r="NMK4092" s="917" t="s">
        <v>78</v>
      </c>
      <c r="NML4092" s="917"/>
      <c r="NMM4092" s="917"/>
      <c r="NMN4092" s="917"/>
      <c r="NMO4092" s="917"/>
      <c r="NMP4092" s="917"/>
      <c r="NMQ4092" s="917"/>
      <c r="NMR4092" s="917"/>
      <c r="NMS4092" s="917"/>
      <c r="NMT4092" s="917"/>
      <c r="NMU4092" s="917"/>
      <c r="NMV4092" s="917"/>
      <c r="NMW4092" s="917"/>
      <c r="NMX4092" s="917"/>
      <c r="NMY4092" s="917"/>
      <c r="NMZ4092" s="917"/>
      <c r="NNA4092" s="917"/>
      <c r="NNB4092" s="917"/>
      <c r="NNC4092" s="917"/>
      <c r="NND4092" s="917"/>
      <c r="NNE4092" s="917"/>
      <c r="NNF4092" s="917"/>
      <c r="NNG4092" s="917"/>
      <c r="NNH4092" s="917"/>
      <c r="NNI4092" s="917"/>
      <c r="NNJ4092" s="917"/>
      <c r="NNK4092" s="917"/>
      <c r="NNL4092" s="917"/>
      <c r="NNM4092" s="917"/>
      <c r="NNN4092" s="917"/>
      <c r="NNO4092" s="917"/>
      <c r="NNP4092" s="917"/>
      <c r="NNQ4092" s="917" t="s">
        <v>78</v>
      </c>
      <c r="NNR4092" s="917"/>
      <c r="NNS4092" s="917"/>
      <c r="NNT4092" s="917"/>
      <c r="NNU4092" s="917"/>
      <c r="NNV4092" s="917"/>
      <c r="NNW4092" s="917"/>
      <c r="NNX4092" s="917"/>
      <c r="NNY4092" s="917"/>
      <c r="NNZ4092" s="917"/>
      <c r="NOA4092" s="917"/>
      <c r="NOB4092" s="917"/>
      <c r="NOC4092" s="917"/>
      <c r="NOD4092" s="917"/>
      <c r="NOE4092" s="917"/>
      <c r="NOF4092" s="917"/>
      <c r="NOG4092" s="917"/>
      <c r="NOH4092" s="917"/>
      <c r="NOI4092" s="917"/>
      <c r="NOJ4092" s="917"/>
      <c r="NOK4092" s="917"/>
      <c r="NOL4092" s="917"/>
      <c r="NOM4092" s="917"/>
      <c r="NON4092" s="917"/>
      <c r="NOO4092" s="917"/>
      <c r="NOP4092" s="917"/>
      <c r="NOQ4092" s="917"/>
      <c r="NOR4092" s="917"/>
      <c r="NOS4092" s="917"/>
      <c r="NOT4092" s="917"/>
      <c r="NOU4092" s="917"/>
      <c r="NOV4092" s="917"/>
      <c r="NOW4092" s="917" t="s">
        <v>78</v>
      </c>
      <c r="NOX4092" s="917"/>
      <c r="NOY4092" s="917"/>
      <c r="NOZ4092" s="917"/>
      <c r="NPA4092" s="917"/>
      <c r="NPB4092" s="917"/>
      <c r="NPC4092" s="917"/>
      <c r="NPD4092" s="917"/>
      <c r="NPE4092" s="917"/>
      <c r="NPF4092" s="917"/>
      <c r="NPG4092" s="917"/>
      <c r="NPH4092" s="917"/>
      <c r="NPI4092" s="917"/>
      <c r="NPJ4092" s="917"/>
      <c r="NPK4092" s="917"/>
      <c r="NPL4092" s="917"/>
      <c r="NPM4092" s="917"/>
      <c r="NPN4092" s="917"/>
      <c r="NPO4092" s="917"/>
      <c r="NPP4092" s="917"/>
      <c r="NPQ4092" s="917"/>
      <c r="NPR4092" s="917"/>
      <c r="NPS4092" s="917"/>
      <c r="NPT4092" s="917"/>
      <c r="NPU4092" s="917"/>
      <c r="NPV4092" s="917"/>
      <c r="NPW4092" s="917"/>
      <c r="NPX4092" s="917"/>
      <c r="NPY4092" s="917"/>
      <c r="NPZ4092" s="917"/>
      <c r="NQA4092" s="917"/>
      <c r="NQB4092" s="917"/>
      <c r="NQC4092" s="917" t="s">
        <v>78</v>
      </c>
      <c r="NQD4092" s="917"/>
      <c r="NQE4092" s="917"/>
      <c r="NQF4092" s="917"/>
      <c r="NQG4092" s="917"/>
      <c r="NQH4092" s="917"/>
      <c r="NQI4092" s="917"/>
      <c r="NQJ4092" s="917"/>
      <c r="NQK4092" s="917"/>
      <c r="NQL4092" s="917"/>
      <c r="NQM4092" s="917"/>
      <c r="NQN4092" s="917"/>
      <c r="NQO4092" s="917"/>
      <c r="NQP4092" s="917"/>
      <c r="NQQ4092" s="917"/>
      <c r="NQR4092" s="917"/>
      <c r="NQS4092" s="917"/>
      <c r="NQT4092" s="917"/>
      <c r="NQU4092" s="917"/>
      <c r="NQV4092" s="917"/>
      <c r="NQW4092" s="917"/>
      <c r="NQX4092" s="917"/>
      <c r="NQY4092" s="917"/>
      <c r="NQZ4092" s="917"/>
      <c r="NRA4092" s="917"/>
      <c r="NRB4092" s="917"/>
      <c r="NRC4092" s="917"/>
      <c r="NRD4092" s="917"/>
      <c r="NRE4092" s="917"/>
      <c r="NRF4092" s="917"/>
      <c r="NRG4092" s="917"/>
      <c r="NRH4092" s="917"/>
      <c r="NRI4092" s="917" t="s">
        <v>78</v>
      </c>
      <c r="NRJ4092" s="917"/>
      <c r="NRK4092" s="917"/>
      <c r="NRL4092" s="917"/>
      <c r="NRM4092" s="917"/>
      <c r="NRN4092" s="917"/>
      <c r="NRO4092" s="917"/>
      <c r="NRP4092" s="917"/>
      <c r="NRQ4092" s="917"/>
      <c r="NRR4092" s="917"/>
      <c r="NRS4092" s="917"/>
      <c r="NRT4092" s="917"/>
      <c r="NRU4092" s="917"/>
      <c r="NRV4092" s="917"/>
      <c r="NRW4092" s="917"/>
      <c r="NRX4092" s="917"/>
      <c r="NRY4092" s="917"/>
      <c r="NRZ4092" s="917"/>
      <c r="NSA4092" s="917"/>
      <c r="NSB4092" s="917"/>
      <c r="NSC4092" s="917"/>
      <c r="NSD4092" s="917"/>
      <c r="NSE4092" s="917"/>
      <c r="NSF4092" s="917"/>
      <c r="NSG4092" s="917"/>
      <c r="NSH4092" s="917"/>
      <c r="NSI4092" s="917"/>
      <c r="NSJ4092" s="917"/>
      <c r="NSK4092" s="917"/>
      <c r="NSL4092" s="917"/>
      <c r="NSM4092" s="917"/>
      <c r="NSN4092" s="917"/>
      <c r="NSO4092" s="917" t="s">
        <v>78</v>
      </c>
      <c r="NSP4092" s="917"/>
      <c r="NSQ4092" s="917"/>
      <c r="NSR4092" s="917"/>
      <c r="NSS4092" s="917"/>
      <c r="NST4092" s="917"/>
      <c r="NSU4092" s="917"/>
      <c r="NSV4092" s="917"/>
      <c r="NSW4092" s="917"/>
      <c r="NSX4092" s="917"/>
      <c r="NSY4092" s="917"/>
      <c r="NSZ4092" s="917"/>
      <c r="NTA4092" s="917"/>
      <c r="NTB4092" s="917"/>
      <c r="NTC4092" s="917"/>
      <c r="NTD4092" s="917"/>
      <c r="NTE4092" s="917"/>
      <c r="NTF4092" s="917"/>
      <c r="NTG4092" s="917"/>
      <c r="NTH4092" s="917"/>
      <c r="NTI4092" s="917"/>
      <c r="NTJ4092" s="917"/>
      <c r="NTK4092" s="917"/>
      <c r="NTL4092" s="917"/>
      <c r="NTM4092" s="917"/>
      <c r="NTN4092" s="917"/>
      <c r="NTO4092" s="917"/>
      <c r="NTP4092" s="917"/>
      <c r="NTQ4092" s="917"/>
      <c r="NTR4092" s="917"/>
      <c r="NTS4092" s="917"/>
      <c r="NTT4092" s="917"/>
      <c r="NTU4092" s="917" t="s">
        <v>78</v>
      </c>
      <c r="NTV4092" s="917"/>
      <c r="NTW4092" s="917"/>
      <c r="NTX4092" s="917"/>
      <c r="NTY4092" s="917"/>
      <c r="NTZ4092" s="917"/>
      <c r="NUA4092" s="917"/>
      <c r="NUB4092" s="917"/>
      <c r="NUC4092" s="917"/>
      <c r="NUD4092" s="917"/>
      <c r="NUE4092" s="917"/>
      <c r="NUF4092" s="917"/>
      <c r="NUG4092" s="917"/>
      <c r="NUH4092" s="917"/>
      <c r="NUI4092" s="917"/>
      <c r="NUJ4092" s="917"/>
      <c r="NUK4092" s="917"/>
      <c r="NUL4092" s="917"/>
      <c r="NUM4092" s="917"/>
      <c r="NUN4092" s="917"/>
      <c r="NUO4092" s="917"/>
      <c r="NUP4092" s="917"/>
      <c r="NUQ4092" s="917"/>
      <c r="NUR4092" s="917"/>
      <c r="NUS4092" s="917"/>
      <c r="NUT4092" s="917"/>
      <c r="NUU4092" s="917"/>
      <c r="NUV4092" s="917"/>
      <c r="NUW4092" s="917"/>
      <c r="NUX4092" s="917"/>
      <c r="NUY4092" s="917"/>
      <c r="NUZ4092" s="917"/>
      <c r="NVA4092" s="917" t="s">
        <v>78</v>
      </c>
      <c r="NVB4092" s="917"/>
      <c r="NVC4092" s="917"/>
      <c r="NVD4092" s="917"/>
      <c r="NVE4092" s="917"/>
      <c r="NVF4092" s="917"/>
      <c r="NVG4092" s="917"/>
      <c r="NVH4092" s="917"/>
      <c r="NVI4092" s="917"/>
      <c r="NVJ4092" s="917"/>
      <c r="NVK4092" s="917"/>
      <c r="NVL4092" s="917"/>
      <c r="NVM4092" s="917"/>
      <c r="NVN4092" s="917"/>
      <c r="NVO4092" s="917"/>
      <c r="NVP4092" s="917"/>
      <c r="NVQ4092" s="917"/>
      <c r="NVR4092" s="917"/>
      <c r="NVS4092" s="917"/>
      <c r="NVT4092" s="917"/>
      <c r="NVU4092" s="917"/>
      <c r="NVV4092" s="917"/>
      <c r="NVW4092" s="917"/>
      <c r="NVX4092" s="917"/>
      <c r="NVY4092" s="917"/>
      <c r="NVZ4092" s="917"/>
      <c r="NWA4092" s="917"/>
      <c r="NWB4092" s="917"/>
      <c r="NWC4092" s="917"/>
      <c r="NWD4092" s="917"/>
      <c r="NWE4092" s="917"/>
      <c r="NWF4092" s="917"/>
      <c r="NWG4092" s="917" t="s">
        <v>78</v>
      </c>
      <c r="NWH4092" s="917"/>
      <c r="NWI4092" s="917"/>
      <c r="NWJ4092" s="917"/>
      <c r="NWK4092" s="917"/>
      <c r="NWL4092" s="917"/>
      <c r="NWM4092" s="917"/>
      <c r="NWN4092" s="917"/>
      <c r="NWO4092" s="917"/>
      <c r="NWP4092" s="917"/>
      <c r="NWQ4092" s="917"/>
      <c r="NWR4092" s="917"/>
      <c r="NWS4092" s="917"/>
      <c r="NWT4092" s="917"/>
      <c r="NWU4092" s="917"/>
      <c r="NWV4092" s="917"/>
      <c r="NWW4092" s="917"/>
      <c r="NWX4092" s="917"/>
      <c r="NWY4092" s="917"/>
      <c r="NWZ4092" s="917"/>
      <c r="NXA4092" s="917"/>
      <c r="NXB4092" s="917"/>
      <c r="NXC4092" s="917"/>
      <c r="NXD4092" s="917"/>
      <c r="NXE4092" s="917"/>
      <c r="NXF4092" s="917"/>
      <c r="NXG4092" s="917"/>
      <c r="NXH4092" s="917"/>
      <c r="NXI4092" s="917"/>
      <c r="NXJ4092" s="917"/>
      <c r="NXK4092" s="917"/>
      <c r="NXL4092" s="917"/>
      <c r="NXM4092" s="917" t="s">
        <v>78</v>
      </c>
      <c r="NXN4092" s="917"/>
      <c r="NXO4092" s="917"/>
      <c r="NXP4092" s="917"/>
      <c r="NXQ4092" s="917"/>
      <c r="NXR4092" s="917"/>
      <c r="NXS4092" s="917"/>
      <c r="NXT4092" s="917"/>
      <c r="NXU4092" s="917"/>
      <c r="NXV4092" s="917"/>
      <c r="NXW4092" s="917"/>
      <c r="NXX4092" s="917"/>
      <c r="NXY4092" s="917"/>
      <c r="NXZ4092" s="917"/>
      <c r="NYA4092" s="917"/>
      <c r="NYB4092" s="917"/>
      <c r="NYC4092" s="917"/>
      <c r="NYD4092" s="917"/>
      <c r="NYE4092" s="917"/>
      <c r="NYF4092" s="917"/>
      <c r="NYG4092" s="917"/>
      <c r="NYH4092" s="917"/>
      <c r="NYI4092" s="917"/>
      <c r="NYJ4092" s="917"/>
      <c r="NYK4092" s="917"/>
      <c r="NYL4092" s="917"/>
      <c r="NYM4092" s="917"/>
      <c r="NYN4092" s="917"/>
      <c r="NYO4092" s="917"/>
      <c r="NYP4092" s="917"/>
      <c r="NYQ4092" s="917"/>
      <c r="NYR4092" s="917"/>
      <c r="NYS4092" s="917" t="s">
        <v>78</v>
      </c>
      <c r="NYT4092" s="917"/>
      <c r="NYU4092" s="917"/>
      <c r="NYV4092" s="917"/>
      <c r="NYW4092" s="917"/>
      <c r="NYX4092" s="917"/>
      <c r="NYY4092" s="917"/>
      <c r="NYZ4092" s="917"/>
      <c r="NZA4092" s="917"/>
      <c r="NZB4092" s="917"/>
      <c r="NZC4092" s="917"/>
      <c r="NZD4092" s="917"/>
      <c r="NZE4092" s="917"/>
      <c r="NZF4092" s="917"/>
      <c r="NZG4092" s="917"/>
      <c r="NZH4092" s="917"/>
      <c r="NZI4092" s="917"/>
      <c r="NZJ4092" s="917"/>
      <c r="NZK4092" s="917"/>
      <c r="NZL4092" s="917"/>
      <c r="NZM4092" s="917"/>
      <c r="NZN4092" s="917"/>
      <c r="NZO4092" s="917"/>
      <c r="NZP4092" s="917"/>
      <c r="NZQ4092" s="917"/>
      <c r="NZR4092" s="917"/>
      <c r="NZS4092" s="917"/>
      <c r="NZT4092" s="917"/>
      <c r="NZU4092" s="917"/>
      <c r="NZV4092" s="917"/>
      <c r="NZW4092" s="917"/>
      <c r="NZX4092" s="917"/>
      <c r="NZY4092" s="917" t="s">
        <v>78</v>
      </c>
      <c r="NZZ4092" s="917"/>
      <c r="OAA4092" s="917"/>
      <c r="OAB4092" s="917"/>
      <c r="OAC4092" s="917"/>
      <c r="OAD4092" s="917"/>
      <c r="OAE4092" s="917"/>
      <c r="OAF4092" s="917"/>
      <c r="OAG4092" s="917"/>
      <c r="OAH4092" s="917"/>
      <c r="OAI4092" s="917"/>
      <c r="OAJ4092" s="917"/>
      <c r="OAK4092" s="917"/>
      <c r="OAL4092" s="917"/>
      <c r="OAM4092" s="917"/>
      <c r="OAN4092" s="917"/>
      <c r="OAO4092" s="917"/>
      <c r="OAP4092" s="917"/>
      <c r="OAQ4092" s="917"/>
      <c r="OAR4092" s="917"/>
      <c r="OAS4092" s="917"/>
      <c r="OAT4092" s="917"/>
      <c r="OAU4092" s="917"/>
      <c r="OAV4092" s="917"/>
      <c r="OAW4092" s="917"/>
      <c r="OAX4092" s="917"/>
      <c r="OAY4092" s="917"/>
      <c r="OAZ4092" s="917"/>
      <c r="OBA4092" s="917"/>
      <c r="OBB4092" s="917"/>
      <c r="OBC4092" s="917"/>
      <c r="OBD4092" s="917"/>
      <c r="OBE4092" s="917" t="s">
        <v>78</v>
      </c>
      <c r="OBF4092" s="917"/>
      <c r="OBG4092" s="917"/>
      <c r="OBH4092" s="917"/>
      <c r="OBI4092" s="917"/>
      <c r="OBJ4092" s="917"/>
      <c r="OBK4092" s="917"/>
      <c r="OBL4092" s="917"/>
      <c r="OBM4092" s="917"/>
      <c r="OBN4092" s="917"/>
      <c r="OBO4092" s="917"/>
      <c r="OBP4092" s="917"/>
      <c r="OBQ4092" s="917"/>
      <c r="OBR4092" s="917"/>
      <c r="OBS4092" s="917"/>
      <c r="OBT4092" s="917"/>
      <c r="OBU4092" s="917"/>
      <c r="OBV4092" s="917"/>
      <c r="OBW4092" s="917"/>
      <c r="OBX4092" s="917"/>
      <c r="OBY4092" s="917"/>
      <c r="OBZ4092" s="917"/>
      <c r="OCA4092" s="917"/>
      <c r="OCB4092" s="917"/>
      <c r="OCC4092" s="917"/>
      <c r="OCD4092" s="917"/>
      <c r="OCE4092" s="917"/>
      <c r="OCF4092" s="917"/>
      <c r="OCG4092" s="917"/>
      <c r="OCH4092" s="917"/>
      <c r="OCI4092" s="917"/>
      <c r="OCJ4092" s="917"/>
      <c r="OCK4092" s="917" t="s">
        <v>78</v>
      </c>
      <c r="OCL4092" s="917"/>
      <c r="OCM4092" s="917"/>
      <c r="OCN4092" s="917"/>
      <c r="OCO4092" s="917"/>
      <c r="OCP4092" s="917"/>
      <c r="OCQ4092" s="917"/>
      <c r="OCR4092" s="917"/>
      <c r="OCS4092" s="917"/>
      <c r="OCT4092" s="917"/>
      <c r="OCU4092" s="917"/>
      <c r="OCV4092" s="917"/>
      <c r="OCW4092" s="917"/>
      <c r="OCX4092" s="917"/>
      <c r="OCY4092" s="917"/>
      <c r="OCZ4092" s="917"/>
      <c r="ODA4092" s="917"/>
      <c r="ODB4092" s="917"/>
      <c r="ODC4092" s="917"/>
      <c r="ODD4092" s="917"/>
      <c r="ODE4092" s="917"/>
      <c r="ODF4092" s="917"/>
      <c r="ODG4092" s="917"/>
      <c r="ODH4092" s="917"/>
      <c r="ODI4092" s="917"/>
      <c r="ODJ4092" s="917"/>
      <c r="ODK4092" s="917"/>
      <c r="ODL4092" s="917"/>
      <c r="ODM4092" s="917"/>
      <c r="ODN4092" s="917"/>
      <c r="ODO4092" s="917"/>
      <c r="ODP4092" s="917"/>
      <c r="ODQ4092" s="917" t="s">
        <v>78</v>
      </c>
      <c r="ODR4092" s="917"/>
      <c r="ODS4092" s="917"/>
      <c r="ODT4092" s="917"/>
      <c r="ODU4092" s="917"/>
      <c r="ODV4092" s="917"/>
      <c r="ODW4092" s="917"/>
      <c r="ODX4092" s="917"/>
      <c r="ODY4092" s="917"/>
      <c r="ODZ4092" s="917"/>
      <c r="OEA4092" s="917"/>
      <c r="OEB4092" s="917"/>
      <c r="OEC4092" s="917"/>
      <c r="OED4092" s="917"/>
      <c r="OEE4092" s="917"/>
      <c r="OEF4092" s="917"/>
      <c r="OEG4092" s="917"/>
      <c r="OEH4092" s="917"/>
      <c r="OEI4092" s="917"/>
      <c r="OEJ4092" s="917"/>
      <c r="OEK4092" s="917"/>
      <c r="OEL4092" s="917"/>
      <c r="OEM4092" s="917"/>
      <c r="OEN4092" s="917"/>
      <c r="OEO4092" s="917"/>
      <c r="OEP4092" s="917"/>
      <c r="OEQ4092" s="917"/>
      <c r="OER4092" s="917"/>
      <c r="OES4092" s="917"/>
      <c r="OET4092" s="917"/>
      <c r="OEU4092" s="917"/>
      <c r="OEV4092" s="917"/>
      <c r="OEW4092" s="917" t="s">
        <v>78</v>
      </c>
      <c r="OEX4092" s="917"/>
      <c r="OEY4092" s="917"/>
      <c r="OEZ4092" s="917"/>
      <c r="OFA4092" s="917"/>
      <c r="OFB4092" s="917"/>
      <c r="OFC4092" s="917"/>
      <c r="OFD4092" s="917"/>
      <c r="OFE4092" s="917"/>
      <c r="OFF4092" s="917"/>
      <c r="OFG4092" s="917"/>
      <c r="OFH4092" s="917"/>
      <c r="OFI4092" s="917"/>
      <c r="OFJ4092" s="917"/>
      <c r="OFK4092" s="917"/>
      <c r="OFL4092" s="917"/>
      <c r="OFM4092" s="917"/>
      <c r="OFN4092" s="917"/>
      <c r="OFO4092" s="917"/>
      <c r="OFP4092" s="917"/>
      <c r="OFQ4092" s="917"/>
      <c r="OFR4092" s="917"/>
      <c r="OFS4092" s="917"/>
      <c r="OFT4092" s="917"/>
      <c r="OFU4092" s="917"/>
      <c r="OFV4092" s="917"/>
      <c r="OFW4092" s="917"/>
      <c r="OFX4092" s="917"/>
      <c r="OFY4092" s="917"/>
      <c r="OFZ4092" s="917"/>
      <c r="OGA4092" s="917"/>
      <c r="OGB4092" s="917"/>
      <c r="OGC4092" s="917" t="s">
        <v>78</v>
      </c>
      <c r="OGD4092" s="917"/>
      <c r="OGE4092" s="917"/>
      <c r="OGF4092" s="917"/>
      <c r="OGG4092" s="917"/>
      <c r="OGH4092" s="917"/>
      <c r="OGI4092" s="917"/>
      <c r="OGJ4092" s="917"/>
      <c r="OGK4092" s="917"/>
      <c r="OGL4092" s="917"/>
      <c r="OGM4092" s="917"/>
      <c r="OGN4092" s="917"/>
      <c r="OGO4092" s="917"/>
      <c r="OGP4092" s="917"/>
      <c r="OGQ4092" s="917"/>
      <c r="OGR4092" s="917"/>
      <c r="OGS4092" s="917"/>
      <c r="OGT4092" s="917"/>
      <c r="OGU4092" s="917"/>
      <c r="OGV4092" s="917"/>
      <c r="OGW4092" s="917"/>
      <c r="OGX4092" s="917"/>
      <c r="OGY4092" s="917"/>
      <c r="OGZ4092" s="917"/>
      <c r="OHA4092" s="917"/>
      <c r="OHB4092" s="917"/>
      <c r="OHC4092" s="917"/>
      <c r="OHD4092" s="917"/>
      <c r="OHE4092" s="917"/>
      <c r="OHF4092" s="917"/>
      <c r="OHG4092" s="917"/>
      <c r="OHH4092" s="917"/>
      <c r="OHI4092" s="917" t="s">
        <v>78</v>
      </c>
      <c r="OHJ4092" s="917"/>
      <c r="OHK4092" s="917"/>
      <c r="OHL4092" s="917"/>
      <c r="OHM4092" s="917"/>
      <c r="OHN4092" s="917"/>
      <c r="OHO4092" s="917"/>
      <c r="OHP4092" s="917"/>
      <c r="OHQ4092" s="917"/>
      <c r="OHR4092" s="917"/>
      <c r="OHS4092" s="917"/>
      <c r="OHT4092" s="917"/>
      <c r="OHU4092" s="917"/>
      <c r="OHV4092" s="917"/>
      <c r="OHW4092" s="917"/>
      <c r="OHX4092" s="917"/>
      <c r="OHY4092" s="917"/>
      <c r="OHZ4092" s="917"/>
      <c r="OIA4092" s="917"/>
      <c r="OIB4092" s="917"/>
      <c r="OIC4092" s="917"/>
      <c r="OID4092" s="917"/>
      <c r="OIE4092" s="917"/>
      <c r="OIF4092" s="917"/>
      <c r="OIG4092" s="917"/>
      <c r="OIH4092" s="917"/>
      <c r="OII4092" s="917"/>
      <c r="OIJ4092" s="917"/>
      <c r="OIK4092" s="917"/>
      <c r="OIL4092" s="917"/>
      <c r="OIM4092" s="917"/>
      <c r="OIN4092" s="917"/>
      <c r="OIO4092" s="917" t="s">
        <v>78</v>
      </c>
      <c r="OIP4092" s="917"/>
      <c r="OIQ4092" s="917"/>
      <c r="OIR4092" s="917"/>
      <c r="OIS4092" s="917"/>
      <c r="OIT4092" s="917"/>
      <c r="OIU4092" s="917"/>
      <c r="OIV4092" s="917"/>
      <c r="OIW4092" s="917"/>
      <c r="OIX4092" s="917"/>
      <c r="OIY4092" s="917"/>
      <c r="OIZ4092" s="917"/>
      <c r="OJA4092" s="917"/>
      <c r="OJB4092" s="917"/>
      <c r="OJC4092" s="917"/>
      <c r="OJD4092" s="917"/>
      <c r="OJE4092" s="917"/>
      <c r="OJF4092" s="917"/>
      <c r="OJG4092" s="917"/>
      <c r="OJH4092" s="917"/>
      <c r="OJI4092" s="917"/>
      <c r="OJJ4092" s="917"/>
      <c r="OJK4092" s="917"/>
      <c r="OJL4092" s="917"/>
      <c r="OJM4092" s="917"/>
      <c r="OJN4092" s="917"/>
      <c r="OJO4092" s="917"/>
      <c r="OJP4092" s="917"/>
      <c r="OJQ4092" s="917"/>
      <c r="OJR4092" s="917"/>
      <c r="OJS4092" s="917"/>
      <c r="OJT4092" s="917"/>
      <c r="OJU4092" s="917" t="s">
        <v>78</v>
      </c>
      <c r="OJV4092" s="917"/>
      <c r="OJW4092" s="917"/>
      <c r="OJX4092" s="917"/>
      <c r="OJY4092" s="917"/>
      <c r="OJZ4092" s="917"/>
      <c r="OKA4092" s="917"/>
      <c r="OKB4092" s="917"/>
      <c r="OKC4092" s="917"/>
      <c r="OKD4092" s="917"/>
      <c r="OKE4092" s="917"/>
      <c r="OKF4092" s="917"/>
      <c r="OKG4092" s="917"/>
      <c r="OKH4092" s="917"/>
      <c r="OKI4092" s="917"/>
      <c r="OKJ4092" s="917"/>
      <c r="OKK4092" s="917"/>
      <c r="OKL4092" s="917"/>
      <c r="OKM4092" s="917"/>
      <c r="OKN4092" s="917"/>
      <c r="OKO4092" s="917"/>
      <c r="OKP4092" s="917"/>
      <c r="OKQ4092" s="917"/>
      <c r="OKR4092" s="917"/>
      <c r="OKS4092" s="917"/>
      <c r="OKT4092" s="917"/>
      <c r="OKU4092" s="917"/>
      <c r="OKV4092" s="917"/>
      <c r="OKW4092" s="917"/>
      <c r="OKX4092" s="917"/>
      <c r="OKY4092" s="917"/>
      <c r="OKZ4092" s="917"/>
      <c r="OLA4092" s="917" t="s">
        <v>78</v>
      </c>
      <c r="OLB4092" s="917"/>
      <c r="OLC4092" s="917"/>
      <c r="OLD4092" s="917"/>
      <c r="OLE4092" s="917"/>
      <c r="OLF4092" s="917"/>
      <c r="OLG4092" s="917"/>
      <c r="OLH4092" s="917"/>
      <c r="OLI4092" s="917"/>
      <c r="OLJ4092" s="917"/>
      <c r="OLK4092" s="917"/>
      <c r="OLL4092" s="917"/>
      <c r="OLM4092" s="917"/>
      <c r="OLN4092" s="917"/>
      <c r="OLO4092" s="917"/>
      <c r="OLP4092" s="917"/>
      <c r="OLQ4092" s="917"/>
      <c r="OLR4092" s="917"/>
      <c r="OLS4092" s="917"/>
      <c r="OLT4092" s="917"/>
      <c r="OLU4092" s="917"/>
      <c r="OLV4092" s="917"/>
      <c r="OLW4092" s="917"/>
      <c r="OLX4092" s="917"/>
      <c r="OLY4092" s="917"/>
      <c r="OLZ4092" s="917"/>
      <c r="OMA4092" s="917"/>
      <c r="OMB4092" s="917"/>
      <c r="OMC4092" s="917"/>
      <c r="OMD4092" s="917"/>
      <c r="OME4092" s="917"/>
      <c r="OMF4092" s="917"/>
      <c r="OMG4092" s="917" t="s">
        <v>78</v>
      </c>
      <c r="OMH4092" s="917"/>
      <c r="OMI4092" s="917"/>
      <c r="OMJ4092" s="917"/>
      <c r="OMK4092" s="917"/>
      <c r="OML4092" s="917"/>
      <c r="OMM4092" s="917"/>
      <c r="OMN4092" s="917"/>
      <c r="OMO4092" s="917"/>
      <c r="OMP4092" s="917"/>
      <c r="OMQ4092" s="917"/>
      <c r="OMR4092" s="917"/>
      <c r="OMS4092" s="917"/>
      <c r="OMT4092" s="917"/>
      <c r="OMU4092" s="917"/>
      <c r="OMV4092" s="917"/>
      <c r="OMW4092" s="917"/>
      <c r="OMX4092" s="917"/>
      <c r="OMY4092" s="917"/>
      <c r="OMZ4092" s="917"/>
      <c r="ONA4092" s="917"/>
      <c r="ONB4092" s="917"/>
      <c r="ONC4092" s="917"/>
      <c r="OND4092" s="917"/>
      <c r="ONE4092" s="917"/>
      <c r="ONF4092" s="917"/>
      <c r="ONG4092" s="917"/>
      <c r="ONH4092" s="917"/>
      <c r="ONI4092" s="917"/>
      <c r="ONJ4092" s="917"/>
      <c r="ONK4092" s="917"/>
      <c r="ONL4092" s="917"/>
      <c r="ONM4092" s="917" t="s">
        <v>78</v>
      </c>
      <c r="ONN4092" s="917"/>
      <c r="ONO4092" s="917"/>
      <c r="ONP4092" s="917"/>
      <c r="ONQ4092" s="917"/>
      <c r="ONR4092" s="917"/>
      <c r="ONS4092" s="917"/>
      <c r="ONT4092" s="917"/>
      <c r="ONU4092" s="917"/>
      <c r="ONV4092" s="917"/>
      <c r="ONW4092" s="917"/>
      <c r="ONX4092" s="917"/>
      <c r="ONY4092" s="917"/>
      <c r="ONZ4092" s="917"/>
      <c r="OOA4092" s="917"/>
      <c r="OOB4092" s="917"/>
      <c r="OOC4092" s="917"/>
      <c r="OOD4092" s="917"/>
      <c r="OOE4092" s="917"/>
      <c r="OOF4092" s="917"/>
      <c r="OOG4092" s="917"/>
      <c r="OOH4092" s="917"/>
      <c r="OOI4092" s="917"/>
      <c r="OOJ4092" s="917"/>
      <c r="OOK4092" s="917"/>
      <c r="OOL4092" s="917"/>
      <c r="OOM4092" s="917"/>
      <c r="OON4092" s="917"/>
      <c r="OOO4092" s="917"/>
      <c r="OOP4092" s="917"/>
      <c r="OOQ4092" s="917"/>
      <c r="OOR4092" s="917"/>
      <c r="OOS4092" s="917" t="s">
        <v>78</v>
      </c>
      <c r="OOT4092" s="917"/>
      <c r="OOU4092" s="917"/>
      <c r="OOV4092" s="917"/>
      <c r="OOW4092" s="917"/>
      <c r="OOX4092" s="917"/>
      <c r="OOY4092" s="917"/>
      <c r="OOZ4092" s="917"/>
      <c r="OPA4092" s="917"/>
      <c r="OPB4092" s="917"/>
      <c r="OPC4092" s="917"/>
      <c r="OPD4092" s="917"/>
      <c r="OPE4092" s="917"/>
      <c r="OPF4092" s="917"/>
      <c r="OPG4092" s="917"/>
      <c r="OPH4092" s="917"/>
      <c r="OPI4092" s="917"/>
      <c r="OPJ4092" s="917"/>
      <c r="OPK4092" s="917"/>
      <c r="OPL4092" s="917"/>
      <c r="OPM4092" s="917"/>
      <c r="OPN4092" s="917"/>
      <c r="OPO4092" s="917"/>
      <c r="OPP4092" s="917"/>
      <c r="OPQ4092" s="917"/>
      <c r="OPR4092" s="917"/>
      <c r="OPS4092" s="917"/>
      <c r="OPT4092" s="917"/>
      <c r="OPU4092" s="917"/>
      <c r="OPV4092" s="917"/>
      <c r="OPW4092" s="917"/>
      <c r="OPX4092" s="917"/>
      <c r="OPY4092" s="917" t="s">
        <v>78</v>
      </c>
      <c r="OPZ4092" s="917"/>
      <c r="OQA4092" s="917"/>
      <c r="OQB4092" s="917"/>
      <c r="OQC4092" s="917"/>
      <c r="OQD4092" s="917"/>
      <c r="OQE4092" s="917"/>
      <c r="OQF4092" s="917"/>
      <c r="OQG4092" s="917"/>
      <c r="OQH4092" s="917"/>
      <c r="OQI4092" s="917"/>
      <c r="OQJ4092" s="917"/>
      <c r="OQK4092" s="917"/>
      <c r="OQL4092" s="917"/>
      <c r="OQM4092" s="917"/>
      <c r="OQN4092" s="917"/>
      <c r="OQO4092" s="917"/>
      <c r="OQP4092" s="917"/>
      <c r="OQQ4092" s="917"/>
      <c r="OQR4092" s="917"/>
      <c r="OQS4092" s="917"/>
      <c r="OQT4092" s="917"/>
      <c r="OQU4092" s="917"/>
      <c r="OQV4092" s="917"/>
      <c r="OQW4092" s="917"/>
      <c r="OQX4092" s="917"/>
      <c r="OQY4092" s="917"/>
      <c r="OQZ4092" s="917"/>
      <c r="ORA4092" s="917"/>
      <c r="ORB4092" s="917"/>
      <c r="ORC4092" s="917"/>
      <c r="ORD4092" s="917"/>
      <c r="ORE4092" s="917" t="s">
        <v>78</v>
      </c>
      <c r="ORF4092" s="917"/>
      <c r="ORG4092" s="917"/>
      <c r="ORH4092" s="917"/>
      <c r="ORI4092" s="917"/>
      <c r="ORJ4092" s="917"/>
      <c r="ORK4092" s="917"/>
      <c r="ORL4092" s="917"/>
      <c r="ORM4092" s="917"/>
      <c r="ORN4092" s="917"/>
      <c r="ORO4092" s="917"/>
      <c r="ORP4092" s="917"/>
      <c r="ORQ4092" s="917"/>
      <c r="ORR4092" s="917"/>
      <c r="ORS4092" s="917"/>
      <c r="ORT4092" s="917"/>
      <c r="ORU4092" s="917"/>
      <c r="ORV4092" s="917"/>
      <c r="ORW4092" s="917"/>
      <c r="ORX4092" s="917"/>
      <c r="ORY4092" s="917"/>
      <c r="ORZ4092" s="917"/>
      <c r="OSA4092" s="917"/>
      <c r="OSB4092" s="917"/>
      <c r="OSC4092" s="917"/>
      <c r="OSD4092" s="917"/>
      <c r="OSE4092" s="917"/>
      <c r="OSF4092" s="917"/>
      <c r="OSG4092" s="917"/>
      <c r="OSH4092" s="917"/>
      <c r="OSI4092" s="917"/>
      <c r="OSJ4092" s="917"/>
      <c r="OSK4092" s="917" t="s">
        <v>78</v>
      </c>
      <c r="OSL4092" s="917"/>
      <c r="OSM4092" s="917"/>
      <c r="OSN4092" s="917"/>
      <c r="OSO4092" s="917"/>
      <c r="OSP4092" s="917"/>
      <c r="OSQ4092" s="917"/>
      <c r="OSR4092" s="917"/>
      <c r="OSS4092" s="917"/>
      <c r="OST4092" s="917"/>
      <c r="OSU4092" s="917"/>
      <c r="OSV4092" s="917"/>
      <c r="OSW4092" s="917"/>
      <c r="OSX4092" s="917"/>
      <c r="OSY4092" s="917"/>
      <c r="OSZ4092" s="917"/>
      <c r="OTA4092" s="917"/>
      <c r="OTB4092" s="917"/>
      <c r="OTC4092" s="917"/>
      <c r="OTD4092" s="917"/>
      <c r="OTE4092" s="917"/>
      <c r="OTF4092" s="917"/>
      <c r="OTG4092" s="917"/>
      <c r="OTH4092" s="917"/>
      <c r="OTI4092" s="917"/>
      <c r="OTJ4092" s="917"/>
      <c r="OTK4092" s="917"/>
      <c r="OTL4092" s="917"/>
      <c r="OTM4092" s="917"/>
      <c r="OTN4092" s="917"/>
      <c r="OTO4092" s="917"/>
      <c r="OTP4092" s="917"/>
      <c r="OTQ4092" s="917" t="s">
        <v>78</v>
      </c>
      <c r="OTR4092" s="917"/>
      <c r="OTS4092" s="917"/>
      <c r="OTT4092" s="917"/>
      <c r="OTU4092" s="917"/>
      <c r="OTV4092" s="917"/>
      <c r="OTW4092" s="917"/>
      <c r="OTX4092" s="917"/>
      <c r="OTY4092" s="917"/>
      <c r="OTZ4092" s="917"/>
      <c r="OUA4092" s="917"/>
      <c r="OUB4092" s="917"/>
      <c r="OUC4092" s="917"/>
      <c r="OUD4092" s="917"/>
      <c r="OUE4092" s="917"/>
      <c r="OUF4092" s="917"/>
      <c r="OUG4092" s="917"/>
      <c r="OUH4092" s="917"/>
      <c r="OUI4092" s="917"/>
      <c r="OUJ4092" s="917"/>
      <c r="OUK4092" s="917"/>
      <c r="OUL4092" s="917"/>
      <c r="OUM4092" s="917"/>
      <c r="OUN4092" s="917"/>
      <c r="OUO4092" s="917"/>
      <c r="OUP4092" s="917"/>
      <c r="OUQ4092" s="917"/>
      <c r="OUR4092" s="917"/>
      <c r="OUS4092" s="917"/>
      <c r="OUT4092" s="917"/>
      <c r="OUU4092" s="917"/>
      <c r="OUV4092" s="917"/>
      <c r="OUW4092" s="917" t="s">
        <v>78</v>
      </c>
      <c r="OUX4092" s="917"/>
      <c r="OUY4092" s="917"/>
      <c r="OUZ4092" s="917"/>
      <c r="OVA4092" s="917"/>
      <c r="OVB4092" s="917"/>
      <c r="OVC4092" s="917"/>
      <c r="OVD4092" s="917"/>
      <c r="OVE4092" s="917"/>
      <c r="OVF4092" s="917"/>
      <c r="OVG4092" s="917"/>
      <c r="OVH4092" s="917"/>
      <c r="OVI4092" s="917"/>
      <c r="OVJ4092" s="917"/>
      <c r="OVK4092" s="917"/>
      <c r="OVL4092" s="917"/>
      <c r="OVM4092" s="917"/>
      <c r="OVN4092" s="917"/>
      <c r="OVO4092" s="917"/>
      <c r="OVP4092" s="917"/>
      <c r="OVQ4092" s="917"/>
      <c r="OVR4092" s="917"/>
      <c r="OVS4092" s="917"/>
      <c r="OVT4092" s="917"/>
      <c r="OVU4092" s="917"/>
      <c r="OVV4092" s="917"/>
      <c r="OVW4092" s="917"/>
      <c r="OVX4092" s="917"/>
      <c r="OVY4092" s="917"/>
      <c r="OVZ4092" s="917"/>
      <c r="OWA4092" s="917"/>
      <c r="OWB4092" s="917"/>
      <c r="OWC4092" s="917" t="s">
        <v>78</v>
      </c>
      <c r="OWD4092" s="917"/>
      <c r="OWE4092" s="917"/>
      <c r="OWF4092" s="917"/>
      <c r="OWG4092" s="917"/>
      <c r="OWH4092" s="917"/>
      <c r="OWI4092" s="917"/>
      <c r="OWJ4092" s="917"/>
      <c r="OWK4092" s="917"/>
      <c r="OWL4092" s="917"/>
      <c r="OWM4092" s="917"/>
      <c r="OWN4092" s="917"/>
      <c r="OWO4092" s="917"/>
      <c r="OWP4092" s="917"/>
      <c r="OWQ4092" s="917"/>
      <c r="OWR4092" s="917"/>
      <c r="OWS4092" s="917"/>
      <c r="OWT4092" s="917"/>
      <c r="OWU4092" s="917"/>
      <c r="OWV4092" s="917"/>
      <c r="OWW4092" s="917"/>
      <c r="OWX4092" s="917"/>
      <c r="OWY4092" s="917"/>
      <c r="OWZ4092" s="917"/>
      <c r="OXA4092" s="917"/>
      <c r="OXB4092" s="917"/>
      <c r="OXC4092" s="917"/>
      <c r="OXD4092" s="917"/>
      <c r="OXE4092" s="917"/>
      <c r="OXF4092" s="917"/>
      <c r="OXG4092" s="917"/>
      <c r="OXH4092" s="917"/>
      <c r="OXI4092" s="917" t="s">
        <v>78</v>
      </c>
      <c r="OXJ4092" s="917"/>
      <c r="OXK4092" s="917"/>
      <c r="OXL4092" s="917"/>
      <c r="OXM4092" s="917"/>
      <c r="OXN4092" s="917"/>
      <c r="OXO4092" s="917"/>
      <c r="OXP4092" s="917"/>
      <c r="OXQ4092" s="917"/>
      <c r="OXR4092" s="917"/>
      <c r="OXS4092" s="917"/>
      <c r="OXT4092" s="917"/>
      <c r="OXU4092" s="917"/>
      <c r="OXV4092" s="917"/>
      <c r="OXW4092" s="917"/>
      <c r="OXX4092" s="917"/>
      <c r="OXY4092" s="917"/>
      <c r="OXZ4092" s="917"/>
      <c r="OYA4092" s="917"/>
      <c r="OYB4092" s="917"/>
      <c r="OYC4092" s="917"/>
      <c r="OYD4092" s="917"/>
      <c r="OYE4092" s="917"/>
      <c r="OYF4092" s="917"/>
      <c r="OYG4092" s="917"/>
      <c r="OYH4092" s="917"/>
      <c r="OYI4092" s="917"/>
      <c r="OYJ4092" s="917"/>
      <c r="OYK4092" s="917"/>
      <c r="OYL4092" s="917"/>
      <c r="OYM4092" s="917"/>
      <c r="OYN4092" s="917"/>
      <c r="OYO4092" s="917" t="s">
        <v>78</v>
      </c>
      <c r="OYP4092" s="917"/>
      <c r="OYQ4092" s="917"/>
      <c r="OYR4092" s="917"/>
      <c r="OYS4092" s="917"/>
      <c r="OYT4092" s="917"/>
      <c r="OYU4092" s="917"/>
      <c r="OYV4092" s="917"/>
      <c r="OYW4092" s="917"/>
      <c r="OYX4092" s="917"/>
      <c r="OYY4092" s="917"/>
      <c r="OYZ4092" s="917"/>
      <c r="OZA4092" s="917"/>
      <c r="OZB4092" s="917"/>
      <c r="OZC4092" s="917"/>
      <c r="OZD4092" s="917"/>
      <c r="OZE4092" s="917"/>
      <c r="OZF4092" s="917"/>
      <c r="OZG4092" s="917"/>
      <c r="OZH4092" s="917"/>
      <c r="OZI4092" s="917"/>
      <c r="OZJ4092" s="917"/>
      <c r="OZK4092" s="917"/>
      <c r="OZL4092" s="917"/>
      <c r="OZM4092" s="917"/>
      <c r="OZN4092" s="917"/>
      <c r="OZO4092" s="917"/>
      <c r="OZP4092" s="917"/>
      <c r="OZQ4092" s="917"/>
      <c r="OZR4092" s="917"/>
      <c r="OZS4092" s="917"/>
      <c r="OZT4092" s="917"/>
      <c r="OZU4092" s="917" t="s">
        <v>78</v>
      </c>
      <c r="OZV4092" s="917"/>
      <c r="OZW4092" s="917"/>
      <c r="OZX4092" s="917"/>
      <c r="OZY4092" s="917"/>
      <c r="OZZ4092" s="917"/>
      <c r="PAA4092" s="917"/>
      <c r="PAB4092" s="917"/>
      <c r="PAC4092" s="917"/>
      <c r="PAD4092" s="917"/>
      <c r="PAE4092" s="917"/>
      <c r="PAF4092" s="917"/>
      <c r="PAG4092" s="917"/>
      <c r="PAH4092" s="917"/>
      <c r="PAI4092" s="917"/>
      <c r="PAJ4092" s="917"/>
      <c r="PAK4092" s="917"/>
      <c r="PAL4092" s="917"/>
      <c r="PAM4092" s="917"/>
      <c r="PAN4092" s="917"/>
      <c r="PAO4092" s="917"/>
      <c r="PAP4092" s="917"/>
      <c r="PAQ4092" s="917"/>
      <c r="PAR4092" s="917"/>
      <c r="PAS4092" s="917"/>
      <c r="PAT4092" s="917"/>
      <c r="PAU4092" s="917"/>
      <c r="PAV4092" s="917"/>
      <c r="PAW4092" s="917"/>
      <c r="PAX4092" s="917"/>
      <c r="PAY4092" s="917"/>
      <c r="PAZ4092" s="917"/>
      <c r="PBA4092" s="917" t="s">
        <v>78</v>
      </c>
      <c r="PBB4092" s="917"/>
      <c r="PBC4092" s="917"/>
      <c r="PBD4092" s="917"/>
      <c r="PBE4092" s="917"/>
      <c r="PBF4092" s="917"/>
      <c r="PBG4092" s="917"/>
      <c r="PBH4092" s="917"/>
      <c r="PBI4092" s="917"/>
      <c r="PBJ4092" s="917"/>
      <c r="PBK4092" s="917"/>
      <c r="PBL4092" s="917"/>
      <c r="PBM4092" s="917"/>
      <c r="PBN4092" s="917"/>
      <c r="PBO4092" s="917"/>
      <c r="PBP4092" s="917"/>
      <c r="PBQ4092" s="917"/>
      <c r="PBR4092" s="917"/>
      <c r="PBS4092" s="917"/>
      <c r="PBT4092" s="917"/>
      <c r="PBU4092" s="917"/>
      <c r="PBV4092" s="917"/>
      <c r="PBW4092" s="917"/>
      <c r="PBX4092" s="917"/>
      <c r="PBY4092" s="917"/>
      <c r="PBZ4092" s="917"/>
      <c r="PCA4092" s="917"/>
      <c r="PCB4092" s="917"/>
      <c r="PCC4092" s="917"/>
      <c r="PCD4092" s="917"/>
      <c r="PCE4092" s="917"/>
      <c r="PCF4092" s="917"/>
      <c r="PCG4092" s="917" t="s">
        <v>78</v>
      </c>
      <c r="PCH4092" s="917"/>
      <c r="PCI4092" s="917"/>
      <c r="PCJ4092" s="917"/>
      <c r="PCK4092" s="917"/>
      <c r="PCL4092" s="917"/>
      <c r="PCM4092" s="917"/>
      <c r="PCN4092" s="917"/>
      <c r="PCO4092" s="917"/>
      <c r="PCP4092" s="917"/>
      <c r="PCQ4092" s="917"/>
      <c r="PCR4092" s="917"/>
      <c r="PCS4092" s="917"/>
      <c r="PCT4092" s="917"/>
      <c r="PCU4092" s="917"/>
      <c r="PCV4092" s="917"/>
      <c r="PCW4092" s="917"/>
      <c r="PCX4092" s="917"/>
      <c r="PCY4092" s="917"/>
      <c r="PCZ4092" s="917"/>
      <c r="PDA4092" s="917"/>
      <c r="PDB4092" s="917"/>
      <c r="PDC4092" s="917"/>
      <c r="PDD4092" s="917"/>
      <c r="PDE4092" s="917"/>
      <c r="PDF4092" s="917"/>
      <c r="PDG4092" s="917"/>
      <c r="PDH4092" s="917"/>
      <c r="PDI4092" s="917"/>
      <c r="PDJ4092" s="917"/>
      <c r="PDK4092" s="917"/>
      <c r="PDL4092" s="917"/>
      <c r="PDM4092" s="917" t="s">
        <v>78</v>
      </c>
      <c r="PDN4092" s="917"/>
      <c r="PDO4092" s="917"/>
      <c r="PDP4092" s="917"/>
      <c r="PDQ4092" s="917"/>
      <c r="PDR4092" s="917"/>
      <c r="PDS4092" s="917"/>
      <c r="PDT4092" s="917"/>
      <c r="PDU4092" s="917"/>
      <c r="PDV4092" s="917"/>
      <c r="PDW4092" s="917"/>
      <c r="PDX4092" s="917"/>
      <c r="PDY4092" s="917"/>
      <c r="PDZ4092" s="917"/>
      <c r="PEA4092" s="917"/>
      <c r="PEB4092" s="917"/>
      <c r="PEC4092" s="917"/>
      <c r="PED4092" s="917"/>
      <c r="PEE4092" s="917"/>
      <c r="PEF4092" s="917"/>
      <c r="PEG4092" s="917"/>
      <c r="PEH4092" s="917"/>
      <c r="PEI4092" s="917"/>
      <c r="PEJ4092" s="917"/>
      <c r="PEK4092" s="917"/>
      <c r="PEL4092" s="917"/>
      <c r="PEM4092" s="917"/>
      <c r="PEN4092" s="917"/>
      <c r="PEO4092" s="917"/>
      <c r="PEP4092" s="917"/>
      <c r="PEQ4092" s="917"/>
      <c r="PER4092" s="917"/>
      <c r="PES4092" s="917" t="s">
        <v>78</v>
      </c>
      <c r="PET4092" s="917"/>
      <c r="PEU4092" s="917"/>
      <c r="PEV4092" s="917"/>
      <c r="PEW4092" s="917"/>
      <c r="PEX4092" s="917"/>
      <c r="PEY4092" s="917"/>
      <c r="PEZ4092" s="917"/>
      <c r="PFA4092" s="917"/>
      <c r="PFB4092" s="917"/>
      <c r="PFC4092" s="917"/>
      <c r="PFD4092" s="917"/>
      <c r="PFE4092" s="917"/>
      <c r="PFF4092" s="917"/>
      <c r="PFG4092" s="917"/>
      <c r="PFH4092" s="917"/>
      <c r="PFI4092" s="917"/>
      <c r="PFJ4092" s="917"/>
      <c r="PFK4092" s="917"/>
      <c r="PFL4092" s="917"/>
      <c r="PFM4092" s="917"/>
      <c r="PFN4092" s="917"/>
      <c r="PFO4092" s="917"/>
      <c r="PFP4092" s="917"/>
      <c r="PFQ4092" s="917"/>
      <c r="PFR4092" s="917"/>
      <c r="PFS4092" s="917"/>
      <c r="PFT4092" s="917"/>
      <c r="PFU4092" s="917"/>
      <c r="PFV4092" s="917"/>
      <c r="PFW4092" s="917"/>
      <c r="PFX4092" s="917"/>
      <c r="PFY4092" s="917" t="s">
        <v>78</v>
      </c>
      <c r="PFZ4092" s="917"/>
      <c r="PGA4092" s="917"/>
      <c r="PGB4092" s="917"/>
      <c r="PGC4092" s="917"/>
      <c r="PGD4092" s="917"/>
      <c r="PGE4092" s="917"/>
      <c r="PGF4092" s="917"/>
      <c r="PGG4092" s="917"/>
      <c r="PGH4092" s="917"/>
      <c r="PGI4092" s="917"/>
      <c r="PGJ4092" s="917"/>
      <c r="PGK4092" s="917"/>
      <c r="PGL4092" s="917"/>
      <c r="PGM4092" s="917"/>
      <c r="PGN4092" s="917"/>
      <c r="PGO4092" s="917"/>
      <c r="PGP4092" s="917"/>
      <c r="PGQ4092" s="917"/>
      <c r="PGR4092" s="917"/>
      <c r="PGS4092" s="917"/>
      <c r="PGT4092" s="917"/>
      <c r="PGU4092" s="917"/>
      <c r="PGV4092" s="917"/>
      <c r="PGW4092" s="917"/>
      <c r="PGX4092" s="917"/>
      <c r="PGY4092" s="917"/>
      <c r="PGZ4092" s="917"/>
      <c r="PHA4092" s="917"/>
      <c r="PHB4092" s="917"/>
      <c r="PHC4092" s="917"/>
      <c r="PHD4092" s="917"/>
      <c r="PHE4092" s="917" t="s">
        <v>78</v>
      </c>
      <c r="PHF4092" s="917"/>
      <c r="PHG4092" s="917"/>
      <c r="PHH4092" s="917"/>
      <c r="PHI4092" s="917"/>
      <c r="PHJ4092" s="917"/>
      <c r="PHK4092" s="917"/>
      <c r="PHL4092" s="917"/>
      <c r="PHM4092" s="917"/>
      <c r="PHN4092" s="917"/>
      <c r="PHO4092" s="917"/>
      <c r="PHP4092" s="917"/>
      <c r="PHQ4092" s="917"/>
      <c r="PHR4092" s="917"/>
      <c r="PHS4092" s="917"/>
      <c r="PHT4092" s="917"/>
      <c r="PHU4092" s="917"/>
      <c r="PHV4092" s="917"/>
      <c r="PHW4092" s="917"/>
      <c r="PHX4092" s="917"/>
      <c r="PHY4092" s="917"/>
      <c r="PHZ4092" s="917"/>
      <c r="PIA4092" s="917"/>
      <c r="PIB4092" s="917"/>
      <c r="PIC4092" s="917"/>
      <c r="PID4092" s="917"/>
      <c r="PIE4092" s="917"/>
      <c r="PIF4092" s="917"/>
      <c r="PIG4092" s="917"/>
      <c r="PIH4092" s="917"/>
      <c r="PII4092" s="917"/>
      <c r="PIJ4092" s="917"/>
      <c r="PIK4092" s="917" t="s">
        <v>78</v>
      </c>
      <c r="PIL4092" s="917"/>
      <c r="PIM4092" s="917"/>
      <c r="PIN4092" s="917"/>
      <c r="PIO4092" s="917"/>
      <c r="PIP4092" s="917"/>
      <c r="PIQ4092" s="917"/>
      <c r="PIR4092" s="917"/>
      <c r="PIS4092" s="917"/>
      <c r="PIT4092" s="917"/>
      <c r="PIU4092" s="917"/>
      <c r="PIV4092" s="917"/>
      <c r="PIW4092" s="917"/>
      <c r="PIX4092" s="917"/>
      <c r="PIY4092" s="917"/>
      <c r="PIZ4092" s="917"/>
      <c r="PJA4092" s="917"/>
      <c r="PJB4092" s="917"/>
      <c r="PJC4092" s="917"/>
      <c r="PJD4092" s="917"/>
      <c r="PJE4092" s="917"/>
      <c r="PJF4092" s="917"/>
      <c r="PJG4092" s="917"/>
      <c r="PJH4092" s="917"/>
      <c r="PJI4092" s="917"/>
      <c r="PJJ4092" s="917"/>
      <c r="PJK4092" s="917"/>
      <c r="PJL4092" s="917"/>
      <c r="PJM4092" s="917"/>
      <c r="PJN4092" s="917"/>
      <c r="PJO4092" s="917"/>
      <c r="PJP4092" s="917"/>
      <c r="PJQ4092" s="917" t="s">
        <v>78</v>
      </c>
      <c r="PJR4092" s="917"/>
      <c r="PJS4092" s="917"/>
      <c r="PJT4092" s="917"/>
      <c r="PJU4092" s="917"/>
      <c r="PJV4092" s="917"/>
      <c r="PJW4092" s="917"/>
      <c r="PJX4092" s="917"/>
      <c r="PJY4092" s="917"/>
      <c r="PJZ4092" s="917"/>
      <c r="PKA4092" s="917"/>
      <c r="PKB4092" s="917"/>
      <c r="PKC4092" s="917"/>
      <c r="PKD4092" s="917"/>
      <c r="PKE4092" s="917"/>
      <c r="PKF4092" s="917"/>
      <c r="PKG4092" s="917"/>
      <c r="PKH4092" s="917"/>
      <c r="PKI4092" s="917"/>
      <c r="PKJ4092" s="917"/>
      <c r="PKK4092" s="917"/>
      <c r="PKL4092" s="917"/>
      <c r="PKM4092" s="917"/>
      <c r="PKN4092" s="917"/>
      <c r="PKO4092" s="917"/>
      <c r="PKP4092" s="917"/>
      <c r="PKQ4092" s="917"/>
      <c r="PKR4092" s="917"/>
      <c r="PKS4092" s="917"/>
      <c r="PKT4092" s="917"/>
      <c r="PKU4092" s="917"/>
      <c r="PKV4092" s="917"/>
      <c r="PKW4092" s="917" t="s">
        <v>78</v>
      </c>
      <c r="PKX4092" s="917"/>
      <c r="PKY4092" s="917"/>
      <c r="PKZ4092" s="917"/>
      <c r="PLA4092" s="917"/>
      <c r="PLB4092" s="917"/>
      <c r="PLC4092" s="917"/>
      <c r="PLD4092" s="917"/>
      <c r="PLE4092" s="917"/>
      <c r="PLF4092" s="917"/>
      <c r="PLG4092" s="917"/>
      <c r="PLH4092" s="917"/>
      <c r="PLI4092" s="917"/>
      <c r="PLJ4092" s="917"/>
      <c r="PLK4092" s="917"/>
      <c r="PLL4092" s="917"/>
      <c r="PLM4092" s="917"/>
      <c r="PLN4092" s="917"/>
      <c r="PLO4092" s="917"/>
      <c r="PLP4092" s="917"/>
      <c r="PLQ4092" s="917"/>
      <c r="PLR4092" s="917"/>
      <c r="PLS4092" s="917"/>
      <c r="PLT4092" s="917"/>
      <c r="PLU4092" s="917"/>
      <c r="PLV4092" s="917"/>
      <c r="PLW4092" s="917"/>
      <c r="PLX4092" s="917"/>
      <c r="PLY4092" s="917"/>
      <c r="PLZ4092" s="917"/>
      <c r="PMA4092" s="917"/>
      <c r="PMB4092" s="917"/>
      <c r="PMC4092" s="917" t="s">
        <v>78</v>
      </c>
      <c r="PMD4092" s="917"/>
      <c r="PME4092" s="917"/>
      <c r="PMF4092" s="917"/>
      <c r="PMG4092" s="917"/>
      <c r="PMH4092" s="917"/>
      <c r="PMI4092" s="917"/>
      <c r="PMJ4092" s="917"/>
      <c r="PMK4092" s="917"/>
      <c r="PML4092" s="917"/>
      <c r="PMM4092" s="917"/>
      <c r="PMN4092" s="917"/>
      <c r="PMO4092" s="917"/>
      <c r="PMP4092" s="917"/>
      <c r="PMQ4092" s="917"/>
      <c r="PMR4092" s="917"/>
      <c r="PMS4092" s="917"/>
      <c r="PMT4092" s="917"/>
      <c r="PMU4092" s="917"/>
      <c r="PMV4092" s="917"/>
      <c r="PMW4092" s="917"/>
      <c r="PMX4092" s="917"/>
      <c r="PMY4092" s="917"/>
      <c r="PMZ4092" s="917"/>
      <c r="PNA4092" s="917"/>
      <c r="PNB4092" s="917"/>
      <c r="PNC4092" s="917"/>
      <c r="PND4092" s="917"/>
      <c r="PNE4092" s="917"/>
      <c r="PNF4092" s="917"/>
      <c r="PNG4092" s="917"/>
      <c r="PNH4092" s="917"/>
      <c r="PNI4092" s="917" t="s">
        <v>78</v>
      </c>
      <c r="PNJ4092" s="917"/>
      <c r="PNK4092" s="917"/>
      <c r="PNL4092" s="917"/>
      <c r="PNM4092" s="917"/>
      <c r="PNN4092" s="917"/>
      <c r="PNO4092" s="917"/>
      <c r="PNP4092" s="917"/>
      <c r="PNQ4092" s="917"/>
      <c r="PNR4092" s="917"/>
      <c r="PNS4092" s="917"/>
      <c r="PNT4092" s="917"/>
      <c r="PNU4092" s="917"/>
      <c r="PNV4092" s="917"/>
      <c r="PNW4092" s="917"/>
      <c r="PNX4092" s="917"/>
      <c r="PNY4092" s="917"/>
      <c r="PNZ4092" s="917"/>
      <c r="POA4092" s="917"/>
      <c r="POB4092" s="917"/>
      <c r="POC4092" s="917"/>
      <c r="POD4092" s="917"/>
      <c r="POE4092" s="917"/>
      <c r="POF4092" s="917"/>
      <c r="POG4092" s="917"/>
      <c r="POH4092" s="917"/>
      <c r="POI4092" s="917"/>
      <c r="POJ4092" s="917"/>
      <c r="POK4092" s="917"/>
      <c r="POL4092" s="917"/>
      <c r="POM4092" s="917"/>
      <c r="PON4092" s="917"/>
      <c r="POO4092" s="917" t="s">
        <v>78</v>
      </c>
      <c r="POP4092" s="917"/>
      <c r="POQ4092" s="917"/>
      <c r="POR4092" s="917"/>
      <c r="POS4092" s="917"/>
      <c r="POT4092" s="917"/>
      <c r="POU4092" s="917"/>
      <c r="POV4092" s="917"/>
      <c r="POW4092" s="917"/>
      <c r="POX4092" s="917"/>
      <c r="POY4092" s="917"/>
      <c r="POZ4092" s="917"/>
      <c r="PPA4092" s="917"/>
      <c r="PPB4092" s="917"/>
      <c r="PPC4092" s="917"/>
      <c r="PPD4092" s="917"/>
      <c r="PPE4092" s="917"/>
      <c r="PPF4092" s="917"/>
      <c r="PPG4092" s="917"/>
      <c r="PPH4092" s="917"/>
      <c r="PPI4092" s="917"/>
      <c r="PPJ4092" s="917"/>
      <c r="PPK4092" s="917"/>
      <c r="PPL4092" s="917"/>
      <c r="PPM4092" s="917"/>
      <c r="PPN4092" s="917"/>
      <c r="PPO4092" s="917"/>
      <c r="PPP4092" s="917"/>
      <c r="PPQ4092" s="917"/>
      <c r="PPR4092" s="917"/>
      <c r="PPS4092" s="917"/>
      <c r="PPT4092" s="917"/>
      <c r="PPU4092" s="917" t="s">
        <v>78</v>
      </c>
      <c r="PPV4092" s="917"/>
      <c r="PPW4092" s="917"/>
      <c r="PPX4092" s="917"/>
      <c r="PPY4092" s="917"/>
      <c r="PPZ4092" s="917"/>
      <c r="PQA4092" s="917"/>
      <c r="PQB4092" s="917"/>
      <c r="PQC4092" s="917"/>
      <c r="PQD4092" s="917"/>
      <c r="PQE4092" s="917"/>
      <c r="PQF4092" s="917"/>
      <c r="PQG4092" s="917"/>
      <c r="PQH4092" s="917"/>
      <c r="PQI4092" s="917"/>
      <c r="PQJ4092" s="917"/>
      <c r="PQK4092" s="917"/>
      <c r="PQL4092" s="917"/>
      <c r="PQM4092" s="917"/>
      <c r="PQN4092" s="917"/>
      <c r="PQO4092" s="917"/>
      <c r="PQP4092" s="917"/>
      <c r="PQQ4092" s="917"/>
      <c r="PQR4092" s="917"/>
      <c r="PQS4092" s="917"/>
      <c r="PQT4092" s="917"/>
      <c r="PQU4092" s="917"/>
      <c r="PQV4092" s="917"/>
      <c r="PQW4092" s="917"/>
      <c r="PQX4092" s="917"/>
      <c r="PQY4092" s="917"/>
      <c r="PQZ4092" s="917"/>
      <c r="PRA4092" s="917" t="s">
        <v>78</v>
      </c>
      <c r="PRB4092" s="917"/>
      <c r="PRC4092" s="917"/>
      <c r="PRD4092" s="917"/>
      <c r="PRE4092" s="917"/>
      <c r="PRF4092" s="917"/>
      <c r="PRG4092" s="917"/>
      <c r="PRH4092" s="917"/>
      <c r="PRI4092" s="917"/>
      <c r="PRJ4092" s="917"/>
      <c r="PRK4092" s="917"/>
      <c r="PRL4092" s="917"/>
      <c r="PRM4092" s="917"/>
      <c r="PRN4092" s="917"/>
      <c r="PRO4092" s="917"/>
      <c r="PRP4092" s="917"/>
      <c r="PRQ4092" s="917"/>
      <c r="PRR4092" s="917"/>
      <c r="PRS4092" s="917"/>
      <c r="PRT4092" s="917"/>
      <c r="PRU4092" s="917"/>
      <c r="PRV4092" s="917"/>
      <c r="PRW4092" s="917"/>
      <c r="PRX4092" s="917"/>
      <c r="PRY4092" s="917"/>
      <c r="PRZ4092" s="917"/>
      <c r="PSA4092" s="917"/>
      <c r="PSB4092" s="917"/>
      <c r="PSC4092" s="917"/>
      <c r="PSD4092" s="917"/>
      <c r="PSE4092" s="917"/>
      <c r="PSF4092" s="917"/>
      <c r="PSG4092" s="917" t="s">
        <v>78</v>
      </c>
      <c r="PSH4092" s="917"/>
      <c r="PSI4092" s="917"/>
      <c r="PSJ4092" s="917"/>
      <c r="PSK4092" s="917"/>
      <c r="PSL4092" s="917"/>
      <c r="PSM4092" s="917"/>
      <c r="PSN4092" s="917"/>
      <c r="PSO4092" s="917"/>
      <c r="PSP4092" s="917"/>
      <c r="PSQ4092" s="917"/>
      <c r="PSR4092" s="917"/>
      <c r="PSS4092" s="917"/>
      <c r="PST4092" s="917"/>
      <c r="PSU4092" s="917"/>
      <c r="PSV4092" s="917"/>
      <c r="PSW4092" s="917"/>
      <c r="PSX4092" s="917"/>
      <c r="PSY4092" s="917"/>
      <c r="PSZ4092" s="917"/>
      <c r="PTA4092" s="917"/>
      <c r="PTB4092" s="917"/>
      <c r="PTC4092" s="917"/>
      <c r="PTD4092" s="917"/>
      <c r="PTE4092" s="917"/>
      <c r="PTF4092" s="917"/>
      <c r="PTG4092" s="917"/>
      <c r="PTH4092" s="917"/>
      <c r="PTI4092" s="917"/>
      <c r="PTJ4092" s="917"/>
      <c r="PTK4092" s="917"/>
      <c r="PTL4092" s="917"/>
      <c r="PTM4092" s="917" t="s">
        <v>78</v>
      </c>
      <c r="PTN4092" s="917"/>
      <c r="PTO4092" s="917"/>
      <c r="PTP4092" s="917"/>
      <c r="PTQ4092" s="917"/>
      <c r="PTR4092" s="917"/>
      <c r="PTS4092" s="917"/>
      <c r="PTT4092" s="917"/>
      <c r="PTU4092" s="917"/>
      <c r="PTV4092" s="917"/>
      <c r="PTW4092" s="917"/>
      <c r="PTX4092" s="917"/>
      <c r="PTY4092" s="917"/>
      <c r="PTZ4092" s="917"/>
      <c r="PUA4092" s="917"/>
      <c r="PUB4092" s="917"/>
      <c r="PUC4092" s="917"/>
      <c r="PUD4092" s="917"/>
      <c r="PUE4092" s="917"/>
      <c r="PUF4092" s="917"/>
      <c r="PUG4092" s="917"/>
      <c r="PUH4092" s="917"/>
      <c r="PUI4092" s="917"/>
      <c r="PUJ4092" s="917"/>
      <c r="PUK4092" s="917"/>
      <c r="PUL4092" s="917"/>
      <c r="PUM4092" s="917"/>
      <c r="PUN4092" s="917"/>
      <c r="PUO4092" s="917"/>
      <c r="PUP4092" s="917"/>
      <c r="PUQ4092" s="917"/>
      <c r="PUR4092" s="917"/>
      <c r="PUS4092" s="917" t="s">
        <v>78</v>
      </c>
      <c r="PUT4092" s="917"/>
      <c r="PUU4092" s="917"/>
      <c r="PUV4092" s="917"/>
      <c r="PUW4092" s="917"/>
      <c r="PUX4092" s="917"/>
      <c r="PUY4092" s="917"/>
      <c r="PUZ4092" s="917"/>
      <c r="PVA4092" s="917"/>
      <c r="PVB4092" s="917"/>
      <c r="PVC4092" s="917"/>
      <c r="PVD4092" s="917"/>
      <c r="PVE4092" s="917"/>
      <c r="PVF4092" s="917"/>
      <c r="PVG4092" s="917"/>
      <c r="PVH4092" s="917"/>
      <c r="PVI4092" s="917"/>
      <c r="PVJ4092" s="917"/>
      <c r="PVK4092" s="917"/>
      <c r="PVL4092" s="917"/>
      <c r="PVM4092" s="917"/>
      <c r="PVN4092" s="917"/>
      <c r="PVO4092" s="917"/>
      <c r="PVP4092" s="917"/>
      <c r="PVQ4092" s="917"/>
      <c r="PVR4092" s="917"/>
      <c r="PVS4092" s="917"/>
      <c r="PVT4092" s="917"/>
      <c r="PVU4092" s="917"/>
      <c r="PVV4092" s="917"/>
      <c r="PVW4092" s="917"/>
      <c r="PVX4092" s="917"/>
      <c r="PVY4092" s="917" t="s">
        <v>78</v>
      </c>
      <c r="PVZ4092" s="917"/>
      <c r="PWA4092" s="917"/>
      <c r="PWB4092" s="917"/>
      <c r="PWC4092" s="917"/>
      <c r="PWD4092" s="917"/>
      <c r="PWE4092" s="917"/>
      <c r="PWF4092" s="917"/>
      <c r="PWG4092" s="917"/>
      <c r="PWH4092" s="917"/>
      <c r="PWI4092" s="917"/>
      <c r="PWJ4092" s="917"/>
      <c r="PWK4092" s="917"/>
      <c r="PWL4092" s="917"/>
      <c r="PWM4092" s="917"/>
      <c r="PWN4092" s="917"/>
      <c r="PWO4092" s="917"/>
      <c r="PWP4092" s="917"/>
      <c r="PWQ4092" s="917"/>
      <c r="PWR4092" s="917"/>
      <c r="PWS4092" s="917"/>
      <c r="PWT4092" s="917"/>
      <c r="PWU4092" s="917"/>
      <c r="PWV4092" s="917"/>
      <c r="PWW4092" s="917"/>
      <c r="PWX4092" s="917"/>
      <c r="PWY4092" s="917"/>
      <c r="PWZ4092" s="917"/>
      <c r="PXA4092" s="917"/>
      <c r="PXB4092" s="917"/>
      <c r="PXC4092" s="917"/>
      <c r="PXD4092" s="917"/>
      <c r="PXE4092" s="917" t="s">
        <v>78</v>
      </c>
      <c r="PXF4092" s="917"/>
      <c r="PXG4092" s="917"/>
      <c r="PXH4092" s="917"/>
      <c r="PXI4092" s="917"/>
      <c r="PXJ4092" s="917"/>
      <c r="PXK4092" s="917"/>
      <c r="PXL4092" s="917"/>
      <c r="PXM4092" s="917"/>
      <c r="PXN4092" s="917"/>
      <c r="PXO4092" s="917"/>
      <c r="PXP4092" s="917"/>
      <c r="PXQ4092" s="917"/>
      <c r="PXR4092" s="917"/>
      <c r="PXS4092" s="917"/>
      <c r="PXT4092" s="917"/>
      <c r="PXU4092" s="917"/>
      <c r="PXV4092" s="917"/>
      <c r="PXW4092" s="917"/>
      <c r="PXX4092" s="917"/>
      <c r="PXY4092" s="917"/>
      <c r="PXZ4092" s="917"/>
      <c r="PYA4092" s="917"/>
      <c r="PYB4092" s="917"/>
      <c r="PYC4092" s="917"/>
      <c r="PYD4092" s="917"/>
      <c r="PYE4092" s="917"/>
      <c r="PYF4092" s="917"/>
      <c r="PYG4092" s="917"/>
      <c r="PYH4092" s="917"/>
      <c r="PYI4092" s="917"/>
      <c r="PYJ4092" s="917"/>
      <c r="PYK4092" s="917" t="s">
        <v>78</v>
      </c>
      <c r="PYL4092" s="917"/>
      <c r="PYM4092" s="917"/>
      <c r="PYN4092" s="917"/>
      <c r="PYO4092" s="917"/>
      <c r="PYP4092" s="917"/>
      <c r="PYQ4092" s="917"/>
      <c r="PYR4092" s="917"/>
      <c r="PYS4092" s="917"/>
      <c r="PYT4092" s="917"/>
      <c r="PYU4092" s="917"/>
      <c r="PYV4092" s="917"/>
      <c r="PYW4092" s="917"/>
      <c r="PYX4092" s="917"/>
      <c r="PYY4092" s="917"/>
      <c r="PYZ4092" s="917"/>
      <c r="PZA4092" s="917"/>
      <c r="PZB4092" s="917"/>
      <c r="PZC4092" s="917"/>
      <c r="PZD4092" s="917"/>
      <c r="PZE4092" s="917"/>
      <c r="PZF4092" s="917"/>
      <c r="PZG4092" s="917"/>
      <c r="PZH4092" s="917"/>
      <c r="PZI4092" s="917"/>
      <c r="PZJ4092" s="917"/>
      <c r="PZK4092" s="917"/>
      <c r="PZL4092" s="917"/>
      <c r="PZM4092" s="917"/>
      <c r="PZN4092" s="917"/>
      <c r="PZO4092" s="917"/>
      <c r="PZP4092" s="917"/>
      <c r="PZQ4092" s="917" t="s">
        <v>78</v>
      </c>
      <c r="PZR4092" s="917"/>
      <c r="PZS4092" s="917"/>
      <c r="PZT4092" s="917"/>
      <c r="PZU4092" s="917"/>
      <c r="PZV4092" s="917"/>
      <c r="PZW4092" s="917"/>
      <c r="PZX4092" s="917"/>
      <c r="PZY4092" s="917"/>
      <c r="PZZ4092" s="917"/>
      <c r="QAA4092" s="917"/>
      <c r="QAB4092" s="917"/>
      <c r="QAC4092" s="917"/>
      <c r="QAD4092" s="917"/>
      <c r="QAE4092" s="917"/>
      <c r="QAF4092" s="917"/>
      <c r="QAG4092" s="917"/>
      <c r="QAH4092" s="917"/>
      <c r="QAI4092" s="917"/>
      <c r="QAJ4092" s="917"/>
      <c r="QAK4092" s="917"/>
      <c r="QAL4092" s="917"/>
      <c r="QAM4092" s="917"/>
      <c r="QAN4092" s="917"/>
      <c r="QAO4092" s="917"/>
      <c r="QAP4092" s="917"/>
      <c r="QAQ4092" s="917"/>
      <c r="QAR4092" s="917"/>
      <c r="QAS4092" s="917"/>
      <c r="QAT4092" s="917"/>
      <c r="QAU4092" s="917"/>
      <c r="QAV4092" s="917"/>
      <c r="QAW4092" s="917" t="s">
        <v>78</v>
      </c>
      <c r="QAX4092" s="917"/>
      <c r="QAY4092" s="917"/>
      <c r="QAZ4092" s="917"/>
      <c r="QBA4092" s="917"/>
      <c r="QBB4092" s="917"/>
      <c r="QBC4092" s="917"/>
      <c r="QBD4092" s="917"/>
      <c r="QBE4092" s="917"/>
      <c r="QBF4092" s="917"/>
      <c r="QBG4092" s="917"/>
      <c r="QBH4092" s="917"/>
      <c r="QBI4092" s="917"/>
      <c r="QBJ4092" s="917"/>
      <c r="QBK4092" s="917"/>
      <c r="QBL4092" s="917"/>
      <c r="QBM4092" s="917"/>
      <c r="QBN4092" s="917"/>
      <c r="QBO4092" s="917"/>
      <c r="QBP4092" s="917"/>
      <c r="QBQ4092" s="917"/>
      <c r="QBR4092" s="917"/>
      <c r="QBS4092" s="917"/>
      <c r="QBT4092" s="917"/>
      <c r="QBU4092" s="917"/>
      <c r="QBV4092" s="917"/>
      <c r="QBW4092" s="917"/>
      <c r="QBX4092" s="917"/>
      <c r="QBY4092" s="917"/>
      <c r="QBZ4092" s="917"/>
      <c r="QCA4092" s="917"/>
      <c r="QCB4092" s="917"/>
      <c r="QCC4092" s="917" t="s">
        <v>78</v>
      </c>
      <c r="QCD4092" s="917"/>
      <c r="QCE4092" s="917"/>
      <c r="QCF4092" s="917"/>
      <c r="QCG4092" s="917"/>
      <c r="QCH4092" s="917"/>
      <c r="QCI4092" s="917"/>
      <c r="QCJ4092" s="917"/>
      <c r="QCK4092" s="917"/>
      <c r="QCL4092" s="917"/>
      <c r="QCM4092" s="917"/>
      <c r="QCN4092" s="917"/>
      <c r="QCO4092" s="917"/>
      <c r="QCP4092" s="917"/>
      <c r="QCQ4092" s="917"/>
      <c r="QCR4092" s="917"/>
      <c r="QCS4092" s="917"/>
      <c r="QCT4092" s="917"/>
      <c r="QCU4092" s="917"/>
      <c r="QCV4092" s="917"/>
      <c r="QCW4092" s="917"/>
      <c r="QCX4092" s="917"/>
      <c r="QCY4092" s="917"/>
      <c r="QCZ4092" s="917"/>
      <c r="QDA4092" s="917"/>
      <c r="QDB4092" s="917"/>
      <c r="QDC4092" s="917"/>
      <c r="QDD4092" s="917"/>
      <c r="QDE4092" s="917"/>
      <c r="QDF4092" s="917"/>
      <c r="QDG4092" s="917"/>
      <c r="QDH4092" s="917"/>
      <c r="QDI4092" s="917" t="s">
        <v>78</v>
      </c>
      <c r="QDJ4092" s="917"/>
      <c r="QDK4092" s="917"/>
      <c r="QDL4092" s="917"/>
      <c r="QDM4092" s="917"/>
      <c r="QDN4092" s="917"/>
      <c r="QDO4092" s="917"/>
      <c r="QDP4092" s="917"/>
      <c r="QDQ4092" s="917"/>
      <c r="QDR4092" s="917"/>
      <c r="QDS4092" s="917"/>
      <c r="QDT4092" s="917"/>
      <c r="QDU4092" s="917"/>
      <c r="QDV4092" s="917"/>
      <c r="QDW4092" s="917"/>
      <c r="QDX4092" s="917"/>
      <c r="QDY4092" s="917"/>
      <c r="QDZ4092" s="917"/>
      <c r="QEA4092" s="917"/>
      <c r="QEB4092" s="917"/>
      <c r="QEC4092" s="917"/>
      <c r="QED4092" s="917"/>
      <c r="QEE4092" s="917"/>
      <c r="QEF4092" s="917"/>
      <c r="QEG4092" s="917"/>
      <c r="QEH4092" s="917"/>
      <c r="QEI4092" s="917"/>
      <c r="QEJ4092" s="917"/>
      <c r="QEK4092" s="917"/>
      <c r="QEL4092" s="917"/>
      <c r="QEM4092" s="917"/>
      <c r="QEN4092" s="917"/>
      <c r="QEO4092" s="917" t="s">
        <v>78</v>
      </c>
      <c r="QEP4092" s="917"/>
      <c r="QEQ4092" s="917"/>
      <c r="QER4092" s="917"/>
      <c r="QES4092" s="917"/>
      <c r="QET4092" s="917"/>
      <c r="QEU4092" s="917"/>
      <c r="QEV4092" s="917"/>
      <c r="QEW4092" s="917"/>
      <c r="QEX4092" s="917"/>
      <c r="QEY4092" s="917"/>
      <c r="QEZ4092" s="917"/>
      <c r="QFA4092" s="917"/>
      <c r="QFB4092" s="917"/>
      <c r="QFC4092" s="917"/>
      <c r="QFD4092" s="917"/>
      <c r="QFE4092" s="917"/>
      <c r="QFF4092" s="917"/>
      <c r="QFG4092" s="917"/>
      <c r="QFH4092" s="917"/>
      <c r="QFI4092" s="917"/>
      <c r="QFJ4092" s="917"/>
      <c r="QFK4092" s="917"/>
      <c r="QFL4092" s="917"/>
      <c r="QFM4092" s="917"/>
      <c r="QFN4092" s="917"/>
      <c r="QFO4092" s="917"/>
      <c r="QFP4092" s="917"/>
      <c r="QFQ4092" s="917"/>
      <c r="QFR4092" s="917"/>
      <c r="QFS4092" s="917"/>
      <c r="QFT4092" s="917"/>
      <c r="QFU4092" s="917" t="s">
        <v>78</v>
      </c>
      <c r="QFV4092" s="917"/>
      <c r="QFW4092" s="917"/>
      <c r="QFX4092" s="917"/>
      <c r="QFY4092" s="917"/>
      <c r="QFZ4092" s="917"/>
      <c r="QGA4092" s="917"/>
      <c r="QGB4092" s="917"/>
      <c r="QGC4092" s="917"/>
      <c r="QGD4092" s="917"/>
      <c r="QGE4092" s="917"/>
      <c r="QGF4092" s="917"/>
      <c r="QGG4092" s="917"/>
      <c r="QGH4092" s="917"/>
      <c r="QGI4092" s="917"/>
      <c r="QGJ4092" s="917"/>
      <c r="QGK4092" s="917"/>
      <c r="QGL4092" s="917"/>
      <c r="QGM4092" s="917"/>
      <c r="QGN4092" s="917"/>
      <c r="QGO4092" s="917"/>
      <c r="QGP4092" s="917"/>
      <c r="QGQ4092" s="917"/>
      <c r="QGR4092" s="917"/>
      <c r="QGS4092" s="917"/>
      <c r="QGT4092" s="917"/>
      <c r="QGU4092" s="917"/>
      <c r="QGV4092" s="917"/>
      <c r="QGW4092" s="917"/>
      <c r="QGX4092" s="917"/>
      <c r="QGY4092" s="917"/>
      <c r="QGZ4092" s="917"/>
      <c r="QHA4092" s="917" t="s">
        <v>78</v>
      </c>
      <c r="QHB4092" s="917"/>
      <c r="QHC4092" s="917"/>
      <c r="QHD4092" s="917"/>
      <c r="QHE4092" s="917"/>
      <c r="QHF4092" s="917"/>
      <c r="QHG4092" s="917"/>
      <c r="QHH4092" s="917"/>
      <c r="QHI4092" s="917"/>
      <c r="QHJ4092" s="917"/>
      <c r="QHK4092" s="917"/>
      <c r="QHL4092" s="917"/>
      <c r="QHM4092" s="917"/>
      <c r="QHN4092" s="917"/>
      <c r="QHO4092" s="917"/>
      <c r="QHP4092" s="917"/>
      <c r="QHQ4092" s="917"/>
      <c r="QHR4092" s="917"/>
      <c r="QHS4092" s="917"/>
      <c r="QHT4092" s="917"/>
      <c r="QHU4092" s="917"/>
      <c r="QHV4092" s="917"/>
      <c r="QHW4092" s="917"/>
      <c r="QHX4092" s="917"/>
      <c r="QHY4092" s="917"/>
      <c r="QHZ4092" s="917"/>
      <c r="QIA4092" s="917"/>
      <c r="QIB4092" s="917"/>
      <c r="QIC4092" s="917"/>
      <c r="QID4092" s="917"/>
      <c r="QIE4092" s="917"/>
      <c r="QIF4092" s="917"/>
      <c r="QIG4092" s="917" t="s">
        <v>78</v>
      </c>
      <c r="QIH4092" s="917"/>
      <c r="QII4092" s="917"/>
      <c r="QIJ4092" s="917"/>
      <c r="QIK4092" s="917"/>
      <c r="QIL4092" s="917"/>
      <c r="QIM4092" s="917"/>
      <c r="QIN4092" s="917"/>
      <c r="QIO4092" s="917"/>
      <c r="QIP4092" s="917"/>
      <c r="QIQ4092" s="917"/>
      <c r="QIR4092" s="917"/>
      <c r="QIS4092" s="917"/>
      <c r="QIT4092" s="917"/>
      <c r="QIU4092" s="917"/>
      <c r="QIV4092" s="917"/>
      <c r="QIW4092" s="917"/>
      <c r="QIX4092" s="917"/>
      <c r="QIY4092" s="917"/>
      <c r="QIZ4092" s="917"/>
      <c r="QJA4092" s="917"/>
      <c r="QJB4092" s="917"/>
      <c r="QJC4092" s="917"/>
      <c r="QJD4092" s="917"/>
      <c r="QJE4092" s="917"/>
      <c r="QJF4092" s="917"/>
      <c r="QJG4092" s="917"/>
      <c r="QJH4092" s="917"/>
      <c r="QJI4092" s="917"/>
      <c r="QJJ4092" s="917"/>
      <c r="QJK4092" s="917"/>
      <c r="QJL4092" s="917"/>
      <c r="QJM4092" s="917" t="s">
        <v>78</v>
      </c>
      <c r="QJN4092" s="917"/>
      <c r="QJO4092" s="917"/>
      <c r="QJP4092" s="917"/>
      <c r="QJQ4092" s="917"/>
      <c r="QJR4092" s="917"/>
      <c r="QJS4092" s="917"/>
      <c r="QJT4092" s="917"/>
      <c r="QJU4092" s="917"/>
      <c r="QJV4092" s="917"/>
      <c r="QJW4092" s="917"/>
      <c r="QJX4092" s="917"/>
      <c r="QJY4092" s="917"/>
      <c r="QJZ4092" s="917"/>
      <c r="QKA4092" s="917"/>
      <c r="QKB4092" s="917"/>
      <c r="QKC4092" s="917"/>
      <c r="QKD4092" s="917"/>
      <c r="QKE4092" s="917"/>
      <c r="QKF4092" s="917"/>
      <c r="QKG4092" s="917"/>
      <c r="QKH4092" s="917"/>
      <c r="QKI4092" s="917"/>
      <c r="QKJ4092" s="917"/>
      <c r="QKK4092" s="917"/>
      <c r="QKL4092" s="917"/>
      <c r="QKM4092" s="917"/>
      <c r="QKN4092" s="917"/>
      <c r="QKO4092" s="917"/>
      <c r="QKP4092" s="917"/>
      <c r="QKQ4092" s="917"/>
      <c r="QKR4092" s="917"/>
      <c r="QKS4092" s="917" t="s">
        <v>78</v>
      </c>
      <c r="QKT4092" s="917"/>
      <c r="QKU4092" s="917"/>
      <c r="QKV4092" s="917"/>
      <c r="QKW4092" s="917"/>
      <c r="QKX4092" s="917"/>
      <c r="QKY4092" s="917"/>
      <c r="QKZ4092" s="917"/>
      <c r="QLA4092" s="917"/>
      <c r="QLB4092" s="917"/>
      <c r="QLC4092" s="917"/>
      <c r="QLD4092" s="917"/>
      <c r="QLE4092" s="917"/>
      <c r="QLF4092" s="917"/>
      <c r="QLG4092" s="917"/>
      <c r="QLH4092" s="917"/>
      <c r="QLI4092" s="917"/>
      <c r="QLJ4092" s="917"/>
      <c r="QLK4092" s="917"/>
      <c r="QLL4092" s="917"/>
      <c r="QLM4092" s="917"/>
      <c r="QLN4092" s="917"/>
      <c r="QLO4092" s="917"/>
      <c r="QLP4092" s="917"/>
      <c r="QLQ4092" s="917"/>
      <c r="QLR4092" s="917"/>
      <c r="QLS4092" s="917"/>
      <c r="QLT4092" s="917"/>
      <c r="QLU4092" s="917"/>
      <c r="QLV4092" s="917"/>
      <c r="QLW4092" s="917"/>
      <c r="QLX4092" s="917"/>
      <c r="QLY4092" s="917" t="s">
        <v>78</v>
      </c>
      <c r="QLZ4092" s="917"/>
      <c r="QMA4092" s="917"/>
      <c r="QMB4092" s="917"/>
      <c r="QMC4092" s="917"/>
      <c r="QMD4092" s="917"/>
      <c r="QME4092" s="917"/>
      <c r="QMF4092" s="917"/>
      <c r="QMG4092" s="917"/>
      <c r="QMH4092" s="917"/>
      <c r="QMI4092" s="917"/>
      <c r="QMJ4092" s="917"/>
      <c r="QMK4092" s="917"/>
      <c r="QML4092" s="917"/>
      <c r="QMM4092" s="917"/>
      <c r="QMN4092" s="917"/>
      <c r="QMO4092" s="917"/>
      <c r="QMP4092" s="917"/>
      <c r="QMQ4092" s="917"/>
      <c r="QMR4092" s="917"/>
      <c r="QMS4092" s="917"/>
      <c r="QMT4092" s="917"/>
      <c r="QMU4092" s="917"/>
      <c r="QMV4092" s="917"/>
      <c r="QMW4092" s="917"/>
      <c r="QMX4092" s="917"/>
      <c r="QMY4092" s="917"/>
      <c r="QMZ4092" s="917"/>
      <c r="QNA4092" s="917"/>
      <c r="QNB4092" s="917"/>
      <c r="QNC4092" s="917"/>
      <c r="QND4092" s="917"/>
      <c r="QNE4092" s="917" t="s">
        <v>78</v>
      </c>
      <c r="QNF4092" s="917"/>
      <c r="QNG4092" s="917"/>
      <c r="QNH4092" s="917"/>
      <c r="QNI4092" s="917"/>
      <c r="QNJ4092" s="917"/>
      <c r="QNK4092" s="917"/>
      <c r="QNL4092" s="917"/>
      <c r="QNM4092" s="917"/>
      <c r="QNN4092" s="917"/>
      <c r="QNO4092" s="917"/>
      <c r="QNP4092" s="917"/>
      <c r="QNQ4092" s="917"/>
      <c r="QNR4092" s="917"/>
      <c r="QNS4092" s="917"/>
      <c r="QNT4092" s="917"/>
      <c r="QNU4092" s="917"/>
      <c r="QNV4092" s="917"/>
      <c r="QNW4092" s="917"/>
      <c r="QNX4092" s="917"/>
      <c r="QNY4092" s="917"/>
      <c r="QNZ4092" s="917"/>
      <c r="QOA4092" s="917"/>
      <c r="QOB4092" s="917"/>
      <c r="QOC4092" s="917"/>
      <c r="QOD4092" s="917"/>
      <c r="QOE4092" s="917"/>
      <c r="QOF4092" s="917"/>
      <c r="QOG4092" s="917"/>
      <c r="QOH4092" s="917"/>
      <c r="QOI4092" s="917"/>
      <c r="QOJ4092" s="917"/>
      <c r="QOK4092" s="917" t="s">
        <v>78</v>
      </c>
      <c r="QOL4092" s="917"/>
      <c r="QOM4092" s="917"/>
      <c r="QON4092" s="917"/>
      <c r="QOO4092" s="917"/>
      <c r="QOP4092" s="917"/>
      <c r="QOQ4092" s="917"/>
      <c r="QOR4092" s="917"/>
      <c r="QOS4092" s="917"/>
      <c r="QOT4092" s="917"/>
      <c r="QOU4092" s="917"/>
      <c r="QOV4092" s="917"/>
      <c r="QOW4092" s="917"/>
      <c r="QOX4092" s="917"/>
      <c r="QOY4092" s="917"/>
      <c r="QOZ4092" s="917"/>
      <c r="QPA4092" s="917"/>
      <c r="QPB4092" s="917"/>
      <c r="QPC4092" s="917"/>
      <c r="QPD4092" s="917"/>
      <c r="QPE4092" s="917"/>
      <c r="QPF4092" s="917"/>
      <c r="QPG4092" s="917"/>
      <c r="QPH4092" s="917"/>
      <c r="QPI4092" s="917"/>
      <c r="QPJ4092" s="917"/>
      <c r="QPK4092" s="917"/>
      <c r="QPL4092" s="917"/>
      <c r="QPM4092" s="917"/>
      <c r="QPN4092" s="917"/>
      <c r="QPO4092" s="917"/>
      <c r="QPP4092" s="917"/>
      <c r="QPQ4092" s="917" t="s">
        <v>78</v>
      </c>
      <c r="QPR4092" s="917"/>
      <c r="QPS4092" s="917"/>
      <c r="QPT4092" s="917"/>
      <c r="QPU4092" s="917"/>
      <c r="QPV4092" s="917"/>
      <c r="QPW4092" s="917"/>
      <c r="QPX4092" s="917"/>
      <c r="QPY4092" s="917"/>
      <c r="QPZ4092" s="917"/>
      <c r="QQA4092" s="917"/>
      <c r="QQB4092" s="917"/>
      <c r="QQC4092" s="917"/>
      <c r="QQD4092" s="917"/>
      <c r="QQE4092" s="917"/>
      <c r="QQF4092" s="917"/>
      <c r="QQG4092" s="917"/>
      <c r="QQH4092" s="917"/>
      <c r="QQI4092" s="917"/>
      <c r="QQJ4092" s="917"/>
      <c r="QQK4092" s="917"/>
      <c r="QQL4092" s="917"/>
      <c r="QQM4092" s="917"/>
      <c r="QQN4092" s="917"/>
      <c r="QQO4092" s="917"/>
      <c r="QQP4092" s="917"/>
      <c r="QQQ4092" s="917"/>
      <c r="QQR4092" s="917"/>
      <c r="QQS4092" s="917"/>
      <c r="QQT4092" s="917"/>
      <c r="QQU4092" s="917"/>
      <c r="QQV4092" s="917"/>
      <c r="QQW4092" s="917" t="s">
        <v>78</v>
      </c>
      <c r="QQX4092" s="917"/>
      <c r="QQY4092" s="917"/>
      <c r="QQZ4092" s="917"/>
      <c r="QRA4092" s="917"/>
      <c r="QRB4092" s="917"/>
      <c r="QRC4092" s="917"/>
      <c r="QRD4092" s="917"/>
      <c r="QRE4092" s="917"/>
      <c r="QRF4092" s="917"/>
      <c r="QRG4092" s="917"/>
      <c r="QRH4092" s="917"/>
      <c r="QRI4092" s="917"/>
      <c r="QRJ4092" s="917"/>
      <c r="QRK4092" s="917"/>
      <c r="QRL4092" s="917"/>
      <c r="QRM4092" s="917"/>
      <c r="QRN4092" s="917"/>
      <c r="QRO4092" s="917"/>
      <c r="QRP4092" s="917"/>
      <c r="QRQ4092" s="917"/>
      <c r="QRR4092" s="917"/>
      <c r="QRS4092" s="917"/>
      <c r="QRT4092" s="917"/>
      <c r="QRU4092" s="917"/>
      <c r="QRV4092" s="917"/>
      <c r="QRW4092" s="917"/>
      <c r="QRX4092" s="917"/>
      <c r="QRY4092" s="917"/>
      <c r="QRZ4092" s="917"/>
      <c r="QSA4092" s="917"/>
      <c r="QSB4092" s="917"/>
      <c r="QSC4092" s="917" t="s">
        <v>78</v>
      </c>
      <c r="QSD4092" s="917"/>
      <c r="QSE4092" s="917"/>
      <c r="QSF4092" s="917"/>
      <c r="QSG4092" s="917"/>
      <c r="QSH4092" s="917"/>
      <c r="QSI4092" s="917"/>
      <c r="QSJ4092" s="917"/>
      <c r="QSK4092" s="917"/>
      <c r="QSL4092" s="917"/>
      <c r="QSM4092" s="917"/>
      <c r="QSN4092" s="917"/>
      <c r="QSO4092" s="917"/>
      <c r="QSP4092" s="917"/>
      <c r="QSQ4092" s="917"/>
      <c r="QSR4092" s="917"/>
      <c r="QSS4092" s="917"/>
      <c r="QST4092" s="917"/>
      <c r="QSU4092" s="917"/>
      <c r="QSV4092" s="917"/>
      <c r="QSW4092" s="917"/>
      <c r="QSX4092" s="917"/>
      <c r="QSY4092" s="917"/>
      <c r="QSZ4092" s="917"/>
      <c r="QTA4092" s="917"/>
      <c r="QTB4092" s="917"/>
      <c r="QTC4092" s="917"/>
      <c r="QTD4092" s="917"/>
      <c r="QTE4092" s="917"/>
      <c r="QTF4092" s="917"/>
      <c r="QTG4092" s="917"/>
      <c r="QTH4092" s="917"/>
      <c r="QTI4092" s="917" t="s">
        <v>78</v>
      </c>
      <c r="QTJ4092" s="917"/>
      <c r="QTK4092" s="917"/>
      <c r="QTL4092" s="917"/>
      <c r="QTM4092" s="917"/>
      <c r="QTN4092" s="917"/>
      <c r="QTO4092" s="917"/>
      <c r="QTP4092" s="917"/>
      <c r="QTQ4092" s="917"/>
      <c r="QTR4092" s="917"/>
      <c r="QTS4092" s="917"/>
      <c r="QTT4092" s="917"/>
      <c r="QTU4092" s="917"/>
      <c r="QTV4092" s="917"/>
      <c r="QTW4092" s="917"/>
      <c r="QTX4092" s="917"/>
      <c r="QTY4092" s="917"/>
      <c r="QTZ4092" s="917"/>
      <c r="QUA4092" s="917"/>
      <c r="QUB4092" s="917"/>
      <c r="QUC4092" s="917"/>
      <c r="QUD4092" s="917"/>
      <c r="QUE4092" s="917"/>
      <c r="QUF4092" s="917"/>
      <c r="QUG4092" s="917"/>
      <c r="QUH4092" s="917"/>
      <c r="QUI4092" s="917"/>
      <c r="QUJ4092" s="917"/>
      <c r="QUK4092" s="917"/>
      <c r="QUL4092" s="917"/>
      <c r="QUM4092" s="917"/>
      <c r="QUN4092" s="917"/>
      <c r="QUO4092" s="917" t="s">
        <v>78</v>
      </c>
      <c r="QUP4092" s="917"/>
      <c r="QUQ4092" s="917"/>
      <c r="QUR4092" s="917"/>
      <c r="QUS4092" s="917"/>
      <c r="QUT4092" s="917"/>
      <c r="QUU4092" s="917"/>
      <c r="QUV4092" s="917"/>
      <c r="QUW4092" s="917"/>
      <c r="QUX4092" s="917"/>
      <c r="QUY4092" s="917"/>
      <c r="QUZ4092" s="917"/>
      <c r="QVA4092" s="917"/>
      <c r="QVB4092" s="917"/>
      <c r="QVC4092" s="917"/>
      <c r="QVD4092" s="917"/>
      <c r="QVE4092" s="917"/>
      <c r="QVF4092" s="917"/>
      <c r="QVG4092" s="917"/>
      <c r="QVH4092" s="917"/>
      <c r="QVI4092" s="917"/>
      <c r="QVJ4092" s="917"/>
      <c r="QVK4092" s="917"/>
      <c r="QVL4092" s="917"/>
      <c r="QVM4092" s="917"/>
      <c r="QVN4092" s="917"/>
      <c r="QVO4092" s="917"/>
      <c r="QVP4092" s="917"/>
      <c r="QVQ4092" s="917"/>
      <c r="QVR4092" s="917"/>
      <c r="QVS4092" s="917"/>
      <c r="QVT4092" s="917"/>
      <c r="QVU4092" s="917" t="s">
        <v>78</v>
      </c>
      <c r="QVV4092" s="917"/>
      <c r="QVW4092" s="917"/>
      <c r="QVX4092" s="917"/>
      <c r="QVY4092" s="917"/>
      <c r="QVZ4092" s="917"/>
      <c r="QWA4092" s="917"/>
      <c r="QWB4092" s="917"/>
      <c r="QWC4092" s="917"/>
      <c r="QWD4092" s="917"/>
      <c r="QWE4092" s="917"/>
      <c r="QWF4092" s="917"/>
      <c r="QWG4092" s="917"/>
      <c r="QWH4092" s="917"/>
      <c r="QWI4092" s="917"/>
      <c r="QWJ4092" s="917"/>
      <c r="QWK4092" s="917"/>
      <c r="QWL4092" s="917"/>
      <c r="QWM4092" s="917"/>
      <c r="QWN4092" s="917"/>
      <c r="QWO4092" s="917"/>
      <c r="QWP4092" s="917"/>
      <c r="QWQ4092" s="917"/>
      <c r="QWR4092" s="917"/>
      <c r="QWS4092" s="917"/>
      <c r="QWT4092" s="917"/>
      <c r="QWU4092" s="917"/>
      <c r="QWV4092" s="917"/>
      <c r="QWW4092" s="917"/>
      <c r="QWX4092" s="917"/>
      <c r="QWY4092" s="917"/>
      <c r="QWZ4092" s="917"/>
      <c r="QXA4092" s="917" t="s">
        <v>78</v>
      </c>
      <c r="QXB4092" s="917"/>
      <c r="QXC4092" s="917"/>
      <c r="QXD4092" s="917"/>
      <c r="QXE4092" s="917"/>
      <c r="QXF4092" s="917"/>
      <c r="QXG4092" s="917"/>
      <c r="QXH4092" s="917"/>
      <c r="QXI4092" s="917"/>
      <c r="QXJ4092" s="917"/>
      <c r="QXK4092" s="917"/>
      <c r="QXL4092" s="917"/>
      <c r="QXM4092" s="917"/>
      <c r="QXN4092" s="917"/>
      <c r="QXO4092" s="917"/>
      <c r="QXP4092" s="917"/>
      <c r="QXQ4092" s="917"/>
      <c r="QXR4092" s="917"/>
      <c r="QXS4092" s="917"/>
      <c r="QXT4092" s="917"/>
      <c r="QXU4092" s="917"/>
      <c r="QXV4092" s="917"/>
      <c r="QXW4092" s="917"/>
      <c r="QXX4092" s="917"/>
      <c r="QXY4092" s="917"/>
      <c r="QXZ4092" s="917"/>
      <c r="QYA4092" s="917"/>
      <c r="QYB4092" s="917"/>
      <c r="QYC4092" s="917"/>
      <c r="QYD4092" s="917"/>
      <c r="QYE4092" s="917"/>
      <c r="QYF4092" s="917"/>
      <c r="QYG4092" s="917" t="s">
        <v>78</v>
      </c>
      <c r="QYH4092" s="917"/>
      <c r="QYI4092" s="917"/>
      <c r="QYJ4092" s="917"/>
      <c r="QYK4092" s="917"/>
      <c r="QYL4092" s="917"/>
      <c r="QYM4092" s="917"/>
      <c r="QYN4092" s="917"/>
      <c r="QYO4092" s="917"/>
      <c r="QYP4092" s="917"/>
      <c r="QYQ4092" s="917"/>
      <c r="QYR4092" s="917"/>
      <c r="QYS4092" s="917"/>
      <c r="QYT4092" s="917"/>
      <c r="QYU4092" s="917"/>
      <c r="QYV4092" s="917"/>
      <c r="QYW4092" s="917"/>
      <c r="QYX4092" s="917"/>
      <c r="QYY4092" s="917"/>
      <c r="QYZ4092" s="917"/>
      <c r="QZA4092" s="917"/>
      <c r="QZB4092" s="917"/>
      <c r="QZC4092" s="917"/>
      <c r="QZD4092" s="917"/>
      <c r="QZE4092" s="917"/>
      <c r="QZF4092" s="917"/>
      <c r="QZG4092" s="917"/>
      <c r="QZH4092" s="917"/>
      <c r="QZI4092" s="917"/>
      <c r="QZJ4092" s="917"/>
      <c r="QZK4092" s="917"/>
      <c r="QZL4092" s="917"/>
      <c r="QZM4092" s="917" t="s">
        <v>78</v>
      </c>
      <c r="QZN4092" s="917"/>
      <c r="QZO4092" s="917"/>
      <c r="QZP4092" s="917"/>
      <c r="QZQ4092" s="917"/>
      <c r="QZR4092" s="917"/>
      <c r="QZS4092" s="917"/>
      <c r="QZT4092" s="917"/>
      <c r="QZU4092" s="917"/>
      <c r="QZV4092" s="917"/>
      <c r="QZW4092" s="917"/>
      <c r="QZX4092" s="917"/>
      <c r="QZY4092" s="917"/>
      <c r="QZZ4092" s="917"/>
      <c r="RAA4092" s="917"/>
      <c r="RAB4092" s="917"/>
      <c r="RAC4092" s="917"/>
      <c r="RAD4092" s="917"/>
      <c r="RAE4092" s="917"/>
      <c r="RAF4092" s="917"/>
      <c r="RAG4092" s="917"/>
      <c r="RAH4092" s="917"/>
      <c r="RAI4092" s="917"/>
      <c r="RAJ4092" s="917"/>
      <c r="RAK4092" s="917"/>
      <c r="RAL4092" s="917"/>
      <c r="RAM4092" s="917"/>
      <c r="RAN4092" s="917"/>
      <c r="RAO4092" s="917"/>
      <c r="RAP4092" s="917"/>
      <c r="RAQ4092" s="917"/>
      <c r="RAR4092" s="917"/>
      <c r="RAS4092" s="917" t="s">
        <v>78</v>
      </c>
      <c r="RAT4092" s="917"/>
      <c r="RAU4092" s="917"/>
      <c r="RAV4092" s="917"/>
      <c r="RAW4092" s="917"/>
      <c r="RAX4092" s="917"/>
      <c r="RAY4092" s="917"/>
      <c r="RAZ4092" s="917"/>
      <c r="RBA4092" s="917"/>
      <c r="RBB4092" s="917"/>
      <c r="RBC4092" s="917"/>
      <c r="RBD4092" s="917"/>
      <c r="RBE4092" s="917"/>
      <c r="RBF4092" s="917"/>
      <c r="RBG4092" s="917"/>
      <c r="RBH4092" s="917"/>
      <c r="RBI4092" s="917"/>
      <c r="RBJ4092" s="917"/>
      <c r="RBK4092" s="917"/>
      <c r="RBL4092" s="917"/>
      <c r="RBM4092" s="917"/>
      <c r="RBN4092" s="917"/>
      <c r="RBO4092" s="917"/>
      <c r="RBP4092" s="917"/>
      <c r="RBQ4092" s="917"/>
      <c r="RBR4092" s="917"/>
      <c r="RBS4092" s="917"/>
      <c r="RBT4092" s="917"/>
      <c r="RBU4092" s="917"/>
      <c r="RBV4092" s="917"/>
      <c r="RBW4092" s="917"/>
      <c r="RBX4092" s="917"/>
      <c r="RBY4092" s="917" t="s">
        <v>78</v>
      </c>
      <c r="RBZ4092" s="917"/>
      <c r="RCA4092" s="917"/>
      <c r="RCB4092" s="917"/>
      <c r="RCC4092" s="917"/>
      <c r="RCD4092" s="917"/>
      <c r="RCE4092" s="917"/>
      <c r="RCF4092" s="917"/>
      <c r="RCG4092" s="917"/>
      <c r="RCH4092" s="917"/>
      <c r="RCI4092" s="917"/>
      <c r="RCJ4092" s="917"/>
      <c r="RCK4092" s="917"/>
      <c r="RCL4092" s="917"/>
      <c r="RCM4092" s="917"/>
      <c r="RCN4092" s="917"/>
      <c r="RCO4092" s="917"/>
      <c r="RCP4092" s="917"/>
      <c r="RCQ4092" s="917"/>
      <c r="RCR4092" s="917"/>
      <c r="RCS4092" s="917"/>
      <c r="RCT4092" s="917"/>
      <c r="RCU4092" s="917"/>
      <c r="RCV4092" s="917"/>
      <c r="RCW4092" s="917"/>
      <c r="RCX4092" s="917"/>
      <c r="RCY4092" s="917"/>
      <c r="RCZ4092" s="917"/>
      <c r="RDA4092" s="917"/>
      <c r="RDB4092" s="917"/>
      <c r="RDC4092" s="917"/>
      <c r="RDD4092" s="917"/>
      <c r="RDE4092" s="917" t="s">
        <v>78</v>
      </c>
      <c r="RDF4092" s="917"/>
      <c r="RDG4092" s="917"/>
      <c r="RDH4092" s="917"/>
      <c r="RDI4092" s="917"/>
      <c r="RDJ4092" s="917"/>
      <c r="RDK4092" s="917"/>
      <c r="RDL4092" s="917"/>
      <c r="RDM4092" s="917"/>
      <c r="RDN4092" s="917"/>
      <c r="RDO4092" s="917"/>
      <c r="RDP4092" s="917"/>
      <c r="RDQ4092" s="917"/>
      <c r="RDR4092" s="917"/>
      <c r="RDS4092" s="917"/>
      <c r="RDT4092" s="917"/>
      <c r="RDU4092" s="917"/>
      <c r="RDV4092" s="917"/>
      <c r="RDW4092" s="917"/>
      <c r="RDX4092" s="917"/>
      <c r="RDY4092" s="917"/>
      <c r="RDZ4092" s="917"/>
      <c r="REA4092" s="917"/>
      <c r="REB4092" s="917"/>
      <c r="REC4092" s="917"/>
      <c r="RED4092" s="917"/>
      <c r="REE4092" s="917"/>
      <c r="REF4092" s="917"/>
      <c r="REG4092" s="917"/>
      <c r="REH4092" s="917"/>
      <c r="REI4092" s="917"/>
      <c r="REJ4092" s="917"/>
      <c r="REK4092" s="917" t="s">
        <v>78</v>
      </c>
      <c r="REL4092" s="917"/>
      <c r="REM4092" s="917"/>
      <c r="REN4092" s="917"/>
      <c r="REO4092" s="917"/>
      <c r="REP4092" s="917"/>
      <c r="REQ4092" s="917"/>
      <c r="RER4092" s="917"/>
      <c r="RES4092" s="917"/>
      <c r="RET4092" s="917"/>
      <c r="REU4092" s="917"/>
      <c r="REV4092" s="917"/>
      <c r="REW4092" s="917"/>
      <c r="REX4092" s="917"/>
      <c r="REY4092" s="917"/>
      <c r="REZ4092" s="917"/>
      <c r="RFA4092" s="917"/>
      <c r="RFB4092" s="917"/>
      <c r="RFC4092" s="917"/>
      <c r="RFD4092" s="917"/>
      <c r="RFE4092" s="917"/>
      <c r="RFF4092" s="917"/>
      <c r="RFG4092" s="917"/>
      <c r="RFH4092" s="917"/>
      <c r="RFI4092" s="917"/>
      <c r="RFJ4092" s="917"/>
      <c r="RFK4092" s="917"/>
      <c r="RFL4092" s="917"/>
      <c r="RFM4092" s="917"/>
      <c r="RFN4092" s="917"/>
      <c r="RFO4092" s="917"/>
      <c r="RFP4092" s="917"/>
      <c r="RFQ4092" s="917" t="s">
        <v>78</v>
      </c>
      <c r="RFR4092" s="917"/>
      <c r="RFS4092" s="917"/>
      <c r="RFT4092" s="917"/>
      <c r="RFU4092" s="917"/>
      <c r="RFV4092" s="917"/>
      <c r="RFW4092" s="917"/>
      <c r="RFX4092" s="917"/>
      <c r="RFY4092" s="917"/>
      <c r="RFZ4092" s="917"/>
      <c r="RGA4092" s="917"/>
      <c r="RGB4092" s="917"/>
      <c r="RGC4092" s="917"/>
      <c r="RGD4092" s="917"/>
      <c r="RGE4092" s="917"/>
      <c r="RGF4092" s="917"/>
      <c r="RGG4092" s="917"/>
      <c r="RGH4092" s="917"/>
      <c r="RGI4092" s="917"/>
      <c r="RGJ4092" s="917"/>
      <c r="RGK4092" s="917"/>
      <c r="RGL4092" s="917"/>
      <c r="RGM4092" s="917"/>
      <c r="RGN4092" s="917"/>
      <c r="RGO4092" s="917"/>
      <c r="RGP4092" s="917"/>
      <c r="RGQ4092" s="917"/>
      <c r="RGR4092" s="917"/>
      <c r="RGS4092" s="917"/>
      <c r="RGT4092" s="917"/>
      <c r="RGU4092" s="917"/>
      <c r="RGV4092" s="917"/>
      <c r="RGW4092" s="917" t="s">
        <v>78</v>
      </c>
      <c r="RGX4092" s="917"/>
      <c r="RGY4092" s="917"/>
      <c r="RGZ4092" s="917"/>
      <c r="RHA4092" s="917"/>
      <c r="RHB4092" s="917"/>
      <c r="RHC4092" s="917"/>
      <c r="RHD4092" s="917"/>
      <c r="RHE4092" s="917"/>
      <c r="RHF4092" s="917"/>
      <c r="RHG4092" s="917"/>
      <c r="RHH4092" s="917"/>
      <c r="RHI4092" s="917"/>
      <c r="RHJ4092" s="917"/>
      <c r="RHK4092" s="917"/>
      <c r="RHL4092" s="917"/>
      <c r="RHM4092" s="917"/>
      <c r="RHN4092" s="917"/>
      <c r="RHO4092" s="917"/>
      <c r="RHP4092" s="917"/>
      <c r="RHQ4092" s="917"/>
      <c r="RHR4092" s="917"/>
      <c r="RHS4092" s="917"/>
      <c r="RHT4092" s="917"/>
      <c r="RHU4092" s="917"/>
      <c r="RHV4092" s="917"/>
      <c r="RHW4092" s="917"/>
      <c r="RHX4092" s="917"/>
      <c r="RHY4092" s="917"/>
      <c r="RHZ4092" s="917"/>
      <c r="RIA4092" s="917"/>
      <c r="RIB4092" s="917"/>
      <c r="RIC4092" s="917" t="s">
        <v>78</v>
      </c>
      <c r="RID4092" s="917"/>
      <c r="RIE4092" s="917"/>
      <c r="RIF4092" s="917"/>
      <c r="RIG4092" s="917"/>
      <c r="RIH4092" s="917"/>
      <c r="RII4092" s="917"/>
      <c r="RIJ4092" s="917"/>
      <c r="RIK4092" s="917"/>
      <c r="RIL4092" s="917"/>
      <c r="RIM4092" s="917"/>
      <c r="RIN4092" s="917"/>
      <c r="RIO4092" s="917"/>
      <c r="RIP4092" s="917"/>
      <c r="RIQ4092" s="917"/>
      <c r="RIR4092" s="917"/>
      <c r="RIS4092" s="917"/>
      <c r="RIT4092" s="917"/>
      <c r="RIU4092" s="917"/>
      <c r="RIV4092" s="917"/>
      <c r="RIW4092" s="917"/>
      <c r="RIX4092" s="917"/>
      <c r="RIY4092" s="917"/>
      <c r="RIZ4092" s="917"/>
      <c r="RJA4092" s="917"/>
      <c r="RJB4092" s="917"/>
      <c r="RJC4092" s="917"/>
      <c r="RJD4092" s="917"/>
      <c r="RJE4092" s="917"/>
      <c r="RJF4092" s="917"/>
      <c r="RJG4092" s="917"/>
      <c r="RJH4092" s="917"/>
      <c r="RJI4092" s="917" t="s">
        <v>78</v>
      </c>
      <c r="RJJ4092" s="917"/>
      <c r="RJK4092" s="917"/>
      <c r="RJL4092" s="917"/>
      <c r="RJM4092" s="917"/>
      <c r="RJN4092" s="917"/>
      <c r="RJO4092" s="917"/>
      <c r="RJP4092" s="917"/>
      <c r="RJQ4092" s="917"/>
      <c r="RJR4092" s="917"/>
      <c r="RJS4092" s="917"/>
      <c r="RJT4092" s="917"/>
      <c r="RJU4092" s="917"/>
      <c r="RJV4092" s="917"/>
      <c r="RJW4092" s="917"/>
      <c r="RJX4092" s="917"/>
      <c r="RJY4092" s="917"/>
      <c r="RJZ4092" s="917"/>
      <c r="RKA4092" s="917"/>
      <c r="RKB4092" s="917"/>
      <c r="RKC4092" s="917"/>
      <c r="RKD4092" s="917"/>
      <c r="RKE4092" s="917"/>
      <c r="RKF4092" s="917"/>
      <c r="RKG4092" s="917"/>
      <c r="RKH4092" s="917"/>
      <c r="RKI4092" s="917"/>
      <c r="RKJ4092" s="917"/>
      <c r="RKK4092" s="917"/>
      <c r="RKL4092" s="917"/>
      <c r="RKM4092" s="917"/>
      <c r="RKN4092" s="917"/>
      <c r="RKO4092" s="917" t="s">
        <v>78</v>
      </c>
      <c r="RKP4092" s="917"/>
      <c r="RKQ4092" s="917"/>
      <c r="RKR4092" s="917"/>
      <c r="RKS4092" s="917"/>
      <c r="RKT4092" s="917"/>
      <c r="RKU4092" s="917"/>
      <c r="RKV4092" s="917"/>
      <c r="RKW4092" s="917"/>
      <c r="RKX4092" s="917"/>
      <c r="RKY4092" s="917"/>
      <c r="RKZ4092" s="917"/>
      <c r="RLA4092" s="917"/>
      <c r="RLB4092" s="917"/>
      <c r="RLC4092" s="917"/>
      <c r="RLD4092" s="917"/>
      <c r="RLE4092" s="917"/>
      <c r="RLF4092" s="917"/>
      <c r="RLG4092" s="917"/>
      <c r="RLH4092" s="917"/>
      <c r="RLI4092" s="917"/>
      <c r="RLJ4092" s="917"/>
      <c r="RLK4092" s="917"/>
      <c r="RLL4092" s="917"/>
      <c r="RLM4092" s="917"/>
      <c r="RLN4092" s="917"/>
      <c r="RLO4092" s="917"/>
      <c r="RLP4092" s="917"/>
      <c r="RLQ4092" s="917"/>
      <c r="RLR4092" s="917"/>
      <c r="RLS4092" s="917"/>
      <c r="RLT4092" s="917"/>
      <c r="RLU4092" s="917" t="s">
        <v>78</v>
      </c>
      <c r="RLV4092" s="917"/>
      <c r="RLW4092" s="917"/>
      <c r="RLX4092" s="917"/>
      <c r="RLY4092" s="917"/>
      <c r="RLZ4092" s="917"/>
      <c r="RMA4092" s="917"/>
      <c r="RMB4092" s="917"/>
      <c r="RMC4092" s="917"/>
      <c r="RMD4092" s="917"/>
      <c r="RME4092" s="917"/>
      <c r="RMF4092" s="917"/>
      <c r="RMG4092" s="917"/>
      <c r="RMH4092" s="917"/>
      <c r="RMI4092" s="917"/>
      <c r="RMJ4092" s="917"/>
      <c r="RMK4092" s="917"/>
      <c r="RML4092" s="917"/>
      <c r="RMM4092" s="917"/>
      <c r="RMN4092" s="917"/>
      <c r="RMO4092" s="917"/>
      <c r="RMP4092" s="917"/>
      <c r="RMQ4092" s="917"/>
      <c r="RMR4092" s="917"/>
      <c r="RMS4092" s="917"/>
      <c r="RMT4092" s="917"/>
      <c r="RMU4092" s="917"/>
      <c r="RMV4092" s="917"/>
      <c r="RMW4092" s="917"/>
      <c r="RMX4092" s="917"/>
      <c r="RMY4092" s="917"/>
      <c r="RMZ4092" s="917"/>
      <c r="RNA4092" s="917" t="s">
        <v>78</v>
      </c>
      <c r="RNB4092" s="917"/>
      <c r="RNC4092" s="917"/>
      <c r="RND4092" s="917"/>
      <c r="RNE4092" s="917"/>
      <c r="RNF4092" s="917"/>
      <c r="RNG4092" s="917"/>
      <c r="RNH4092" s="917"/>
      <c r="RNI4092" s="917"/>
      <c r="RNJ4092" s="917"/>
      <c r="RNK4092" s="917"/>
      <c r="RNL4092" s="917"/>
      <c r="RNM4092" s="917"/>
      <c r="RNN4092" s="917"/>
      <c r="RNO4092" s="917"/>
      <c r="RNP4092" s="917"/>
      <c r="RNQ4092" s="917"/>
      <c r="RNR4092" s="917"/>
      <c r="RNS4092" s="917"/>
      <c r="RNT4092" s="917"/>
      <c r="RNU4092" s="917"/>
      <c r="RNV4092" s="917"/>
      <c r="RNW4092" s="917"/>
      <c r="RNX4092" s="917"/>
      <c r="RNY4092" s="917"/>
      <c r="RNZ4092" s="917"/>
      <c r="ROA4092" s="917"/>
      <c r="ROB4092" s="917"/>
      <c r="ROC4092" s="917"/>
      <c r="ROD4092" s="917"/>
      <c r="ROE4092" s="917"/>
      <c r="ROF4092" s="917"/>
      <c r="ROG4092" s="917" t="s">
        <v>78</v>
      </c>
      <c r="ROH4092" s="917"/>
      <c r="ROI4092" s="917"/>
      <c r="ROJ4092" s="917"/>
      <c r="ROK4092" s="917"/>
      <c r="ROL4092" s="917"/>
      <c r="ROM4092" s="917"/>
      <c r="RON4092" s="917"/>
      <c r="ROO4092" s="917"/>
      <c r="ROP4092" s="917"/>
      <c r="ROQ4092" s="917"/>
      <c r="ROR4092" s="917"/>
      <c r="ROS4092" s="917"/>
      <c r="ROT4092" s="917"/>
      <c r="ROU4092" s="917"/>
      <c r="ROV4092" s="917"/>
      <c r="ROW4092" s="917"/>
      <c r="ROX4092" s="917"/>
      <c r="ROY4092" s="917"/>
      <c r="ROZ4092" s="917"/>
      <c r="RPA4092" s="917"/>
      <c r="RPB4092" s="917"/>
      <c r="RPC4092" s="917"/>
      <c r="RPD4092" s="917"/>
      <c r="RPE4092" s="917"/>
      <c r="RPF4092" s="917"/>
      <c r="RPG4092" s="917"/>
      <c r="RPH4092" s="917"/>
      <c r="RPI4092" s="917"/>
      <c r="RPJ4092" s="917"/>
      <c r="RPK4092" s="917"/>
      <c r="RPL4092" s="917"/>
      <c r="RPM4092" s="917" t="s">
        <v>78</v>
      </c>
      <c r="RPN4092" s="917"/>
      <c r="RPO4092" s="917"/>
      <c r="RPP4092" s="917"/>
      <c r="RPQ4092" s="917"/>
      <c r="RPR4092" s="917"/>
      <c r="RPS4092" s="917"/>
      <c r="RPT4092" s="917"/>
      <c r="RPU4092" s="917"/>
      <c r="RPV4092" s="917"/>
      <c r="RPW4092" s="917"/>
      <c r="RPX4092" s="917"/>
      <c r="RPY4092" s="917"/>
      <c r="RPZ4092" s="917"/>
      <c r="RQA4092" s="917"/>
      <c r="RQB4092" s="917"/>
      <c r="RQC4092" s="917"/>
      <c r="RQD4092" s="917"/>
      <c r="RQE4092" s="917"/>
      <c r="RQF4092" s="917"/>
      <c r="RQG4092" s="917"/>
      <c r="RQH4092" s="917"/>
      <c r="RQI4092" s="917"/>
      <c r="RQJ4092" s="917"/>
      <c r="RQK4092" s="917"/>
      <c r="RQL4092" s="917"/>
      <c r="RQM4092" s="917"/>
      <c r="RQN4092" s="917"/>
      <c r="RQO4092" s="917"/>
      <c r="RQP4092" s="917"/>
      <c r="RQQ4092" s="917"/>
      <c r="RQR4092" s="917"/>
      <c r="RQS4092" s="917" t="s">
        <v>78</v>
      </c>
      <c r="RQT4092" s="917"/>
      <c r="RQU4092" s="917"/>
      <c r="RQV4092" s="917"/>
      <c r="RQW4092" s="917"/>
      <c r="RQX4092" s="917"/>
      <c r="RQY4092" s="917"/>
      <c r="RQZ4092" s="917"/>
      <c r="RRA4092" s="917"/>
      <c r="RRB4092" s="917"/>
      <c r="RRC4092" s="917"/>
      <c r="RRD4092" s="917"/>
      <c r="RRE4092" s="917"/>
      <c r="RRF4092" s="917"/>
      <c r="RRG4092" s="917"/>
      <c r="RRH4092" s="917"/>
      <c r="RRI4092" s="917"/>
      <c r="RRJ4092" s="917"/>
      <c r="RRK4092" s="917"/>
      <c r="RRL4092" s="917"/>
      <c r="RRM4092" s="917"/>
      <c r="RRN4092" s="917"/>
      <c r="RRO4092" s="917"/>
      <c r="RRP4092" s="917"/>
      <c r="RRQ4092" s="917"/>
      <c r="RRR4092" s="917"/>
      <c r="RRS4092" s="917"/>
      <c r="RRT4092" s="917"/>
      <c r="RRU4092" s="917"/>
      <c r="RRV4092" s="917"/>
      <c r="RRW4092" s="917"/>
      <c r="RRX4092" s="917"/>
      <c r="RRY4092" s="917" t="s">
        <v>78</v>
      </c>
      <c r="RRZ4092" s="917"/>
      <c r="RSA4092" s="917"/>
      <c r="RSB4092" s="917"/>
      <c r="RSC4092" s="917"/>
      <c r="RSD4092" s="917"/>
      <c r="RSE4092" s="917"/>
      <c r="RSF4092" s="917"/>
      <c r="RSG4092" s="917"/>
      <c r="RSH4092" s="917"/>
      <c r="RSI4092" s="917"/>
      <c r="RSJ4092" s="917"/>
      <c r="RSK4092" s="917"/>
      <c r="RSL4092" s="917"/>
      <c r="RSM4092" s="917"/>
      <c r="RSN4092" s="917"/>
      <c r="RSO4092" s="917"/>
      <c r="RSP4092" s="917"/>
      <c r="RSQ4092" s="917"/>
      <c r="RSR4092" s="917"/>
      <c r="RSS4092" s="917"/>
      <c r="RST4092" s="917"/>
      <c r="RSU4092" s="917"/>
      <c r="RSV4092" s="917"/>
      <c r="RSW4092" s="917"/>
      <c r="RSX4092" s="917"/>
      <c r="RSY4092" s="917"/>
      <c r="RSZ4092" s="917"/>
      <c r="RTA4092" s="917"/>
      <c r="RTB4092" s="917"/>
      <c r="RTC4092" s="917"/>
      <c r="RTD4092" s="917"/>
      <c r="RTE4092" s="917" t="s">
        <v>78</v>
      </c>
      <c r="RTF4092" s="917"/>
      <c r="RTG4092" s="917"/>
      <c r="RTH4092" s="917"/>
      <c r="RTI4092" s="917"/>
      <c r="RTJ4092" s="917"/>
      <c r="RTK4092" s="917"/>
      <c r="RTL4092" s="917"/>
      <c r="RTM4092" s="917"/>
      <c r="RTN4092" s="917"/>
      <c r="RTO4092" s="917"/>
      <c r="RTP4092" s="917"/>
      <c r="RTQ4092" s="917"/>
      <c r="RTR4092" s="917"/>
      <c r="RTS4092" s="917"/>
      <c r="RTT4092" s="917"/>
      <c r="RTU4092" s="917"/>
      <c r="RTV4092" s="917"/>
      <c r="RTW4092" s="917"/>
      <c r="RTX4092" s="917"/>
      <c r="RTY4092" s="917"/>
      <c r="RTZ4092" s="917"/>
      <c r="RUA4092" s="917"/>
      <c r="RUB4092" s="917"/>
      <c r="RUC4092" s="917"/>
      <c r="RUD4092" s="917"/>
      <c r="RUE4092" s="917"/>
      <c r="RUF4092" s="917"/>
      <c r="RUG4092" s="917"/>
      <c r="RUH4092" s="917"/>
      <c r="RUI4092" s="917"/>
      <c r="RUJ4092" s="917"/>
      <c r="RUK4092" s="917" t="s">
        <v>78</v>
      </c>
      <c r="RUL4092" s="917"/>
      <c r="RUM4092" s="917"/>
      <c r="RUN4092" s="917"/>
      <c r="RUO4092" s="917"/>
      <c r="RUP4092" s="917"/>
      <c r="RUQ4092" s="917"/>
      <c r="RUR4092" s="917"/>
      <c r="RUS4092" s="917"/>
      <c r="RUT4092" s="917"/>
      <c r="RUU4092" s="917"/>
      <c r="RUV4092" s="917"/>
      <c r="RUW4092" s="917"/>
      <c r="RUX4092" s="917"/>
      <c r="RUY4092" s="917"/>
      <c r="RUZ4092" s="917"/>
      <c r="RVA4092" s="917"/>
      <c r="RVB4092" s="917"/>
      <c r="RVC4092" s="917"/>
      <c r="RVD4092" s="917"/>
      <c r="RVE4092" s="917"/>
      <c r="RVF4092" s="917"/>
      <c r="RVG4092" s="917"/>
      <c r="RVH4092" s="917"/>
      <c r="RVI4092" s="917"/>
      <c r="RVJ4092" s="917"/>
      <c r="RVK4092" s="917"/>
      <c r="RVL4092" s="917"/>
      <c r="RVM4092" s="917"/>
      <c r="RVN4092" s="917"/>
      <c r="RVO4092" s="917"/>
      <c r="RVP4092" s="917"/>
      <c r="RVQ4092" s="917" t="s">
        <v>78</v>
      </c>
      <c r="RVR4092" s="917"/>
      <c r="RVS4092" s="917"/>
      <c r="RVT4092" s="917"/>
      <c r="RVU4092" s="917"/>
      <c r="RVV4092" s="917"/>
      <c r="RVW4092" s="917"/>
      <c r="RVX4092" s="917"/>
      <c r="RVY4092" s="917"/>
      <c r="RVZ4092" s="917"/>
      <c r="RWA4092" s="917"/>
      <c r="RWB4092" s="917"/>
      <c r="RWC4092" s="917"/>
      <c r="RWD4092" s="917"/>
      <c r="RWE4092" s="917"/>
      <c r="RWF4092" s="917"/>
      <c r="RWG4092" s="917"/>
      <c r="RWH4092" s="917"/>
      <c r="RWI4092" s="917"/>
      <c r="RWJ4092" s="917"/>
      <c r="RWK4092" s="917"/>
      <c r="RWL4092" s="917"/>
      <c r="RWM4092" s="917"/>
      <c r="RWN4092" s="917"/>
      <c r="RWO4092" s="917"/>
      <c r="RWP4092" s="917"/>
      <c r="RWQ4092" s="917"/>
      <c r="RWR4092" s="917"/>
      <c r="RWS4092" s="917"/>
      <c r="RWT4092" s="917"/>
      <c r="RWU4092" s="917"/>
      <c r="RWV4092" s="917"/>
      <c r="RWW4092" s="917" t="s">
        <v>78</v>
      </c>
      <c r="RWX4092" s="917"/>
      <c r="RWY4092" s="917"/>
      <c r="RWZ4092" s="917"/>
      <c r="RXA4092" s="917"/>
      <c r="RXB4092" s="917"/>
      <c r="RXC4092" s="917"/>
      <c r="RXD4092" s="917"/>
      <c r="RXE4092" s="917"/>
      <c r="RXF4092" s="917"/>
      <c r="RXG4092" s="917"/>
      <c r="RXH4092" s="917"/>
      <c r="RXI4092" s="917"/>
      <c r="RXJ4092" s="917"/>
      <c r="RXK4092" s="917"/>
      <c r="RXL4092" s="917"/>
      <c r="RXM4092" s="917"/>
      <c r="RXN4092" s="917"/>
      <c r="RXO4092" s="917"/>
      <c r="RXP4092" s="917"/>
      <c r="RXQ4092" s="917"/>
      <c r="RXR4092" s="917"/>
      <c r="RXS4092" s="917"/>
      <c r="RXT4092" s="917"/>
      <c r="RXU4092" s="917"/>
      <c r="RXV4092" s="917"/>
      <c r="RXW4092" s="917"/>
      <c r="RXX4092" s="917"/>
      <c r="RXY4092" s="917"/>
      <c r="RXZ4092" s="917"/>
      <c r="RYA4092" s="917"/>
      <c r="RYB4092" s="917"/>
      <c r="RYC4092" s="917" t="s">
        <v>78</v>
      </c>
      <c r="RYD4092" s="917"/>
      <c r="RYE4092" s="917"/>
      <c r="RYF4092" s="917"/>
      <c r="RYG4092" s="917"/>
      <c r="RYH4092" s="917"/>
      <c r="RYI4092" s="917"/>
      <c r="RYJ4092" s="917"/>
      <c r="RYK4092" s="917"/>
      <c r="RYL4092" s="917"/>
      <c r="RYM4092" s="917"/>
      <c r="RYN4092" s="917"/>
      <c r="RYO4092" s="917"/>
      <c r="RYP4092" s="917"/>
      <c r="RYQ4092" s="917"/>
      <c r="RYR4092" s="917"/>
      <c r="RYS4092" s="917"/>
      <c r="RYT4092" s="917"/>
      <c r="RYU4092" s="917"/>
      <c r="RYV4092" s="917"/>
      <c r="RYW4092" s="917"/>
      <c r="RYX4092" s="917"/>
      <c r="RYY4092" s="917"/>
      <c r="RYZ4092" s="917"/>
      <c r="RZA4092" s="917"/>
      <c r="RZB4092" s="917"/>
      <c r="RZC4092" s="917"/>
      <c r="RZD4092" s="917"/>
      <c r="RZE4092" s="917"/>
      <c r="RZF4092" s="917"/>
      <c r="RZG4092" s="917"/>
      <c r="RZH4092" s="917"/>
      <c r="RZI4092" s="917" t="s">
        <v>78</v>
      </c>
      <c r="RZJ4092" s="917"/>
      <c r="RZK4092" s="917"/>
      <c r="RZL4092" s="917"/>
      <c r="RZM4092" s="917"/>
      <c r="RZN4092" s="917"/>
      <c r="RZO4092" s="917"/>
      <c r="RZP4092" s="917"/>
      <c r="RZQ4092" s="917"/>
      <c r="RZR4092" s="917"/>
      <c r="RZS4092" s="917"/>
      <c r="RZT4092" s="917"/>
      <c r="RZU4092" s="917"/>
      <c r="RZV4092" s="917"/>
      <c r="RZW4092" s="917"/>
      <c r="RZX4092" s="917"/>
      <c r="RZY4092" s="917"/>
      <c r="RZZ4092" s="917"/>
      <c r="SAA4092" s="917"/>
      <c r="SAB4092" s="917"/>
      <c r="SAC4092" s="917"/>
      <c r="SAD4092" s="917"/>
      <c r="SAE4092" s="917"/>
      <c r="SAF4092" s="917"/>
      <c r="SAG4092" s="917"/>
      <c r="SAH4092" s="917"/>
      <c r="SAI4092" s="917"/>
      <c r="SAJ4092" s="917"/>
      <c r="SAK4092" s="917"/>
      <c r="SAL4092" s="917"/>
      <c r="SAM4092" s="917"/>
      <c r="SAN4092" s="917"/>
      <c r="SAO4092" s="917" t="s">
        <v>78</v>
      </c>
      <c r="SAP4092" s="917"/>
      <c r="SAQ4092" s="917"/>
      <c r="SAR4092" s="917"/>
      <c r="SAS4092" s="917"/>
      <c r="SAT4092" s="917"/>
      <c r="SAU4092" s="917"/>
      <c r="SAV4092" s="917"/>
      <c r="SAW4092" s="917"/>
      <c r="SAX4092" s="917"/>
      <c r="SAY4092" s="917"/>
      <c r="SAZ4092" s="917"/>
      <c r="SBA4092" s="917"/>
      <c r="SBB4092" s="917"/>
      <c r="SBC4092" s="917"/>
      <c r="SBD4092" s="917"/>
      <c r="SBE4092" s="917"/>
      <c r="SBF4092" s="917"/>
      <c r="SBG4092" s="917"/>
      <c r="SBH4092" s="917"/>
      <c r="SBI4092" s="917"/>
      <c r="SBJ4092" s="917"/>
      <c r="SBK4092" s="917"/>
      <c r="SBL4092" s="917"/>
      <c r="SBM4092" s="917"/>
      <c r="SBN4092" s="917"/>
      <c r="SBO4092" s="917"/>
      <c r="SBP4092" s="917"/>
      <c r="SBQ4092" s="917"/>
      <c r="SBR4092" s="917"/>
      <c r="SBS4092" s="917"/>
      <c r="SBT4092" s="917"/>
      <c r="SBU4092" s="917" t="s">
        <v>78</v>
      </c>
      <c r="SBV4092" s="917"/>
      <c r="SBW4092" s="917"/>
      <c r="SBX4092" s="917"/>
      <c r="SBY4092" s="917"/>
      <c r="SBZ4092" s="917"/>
      <c r="SCA4092" s="917"/>
      <c r="SCB4092" s="917"/>
      <c r="SCC4092" s="917"/>
      <c r="SCD4092" s="917"/>
      <c r="SCE4092" s="917"/>
      <c r="SCF4092" s="917"/>
      <c r="SCG4092" s="917"/>
      <c r="SCH4092" s="917"/>
      <c r="SCI4092" s="917"/>
      <c r="SCJ4092" s="917"/>
      <c r="SCK4092" s="917"/>
      <c r="SCL4092" s="917"/>
      <c r="SCM4092" s="917"/>
      <c r="SCN4092" s="917"/>
      <c r="SCO4092" s="917"/>
      <c r="SCP4092" s="917"/>
      <c r="SCQ4092" s="917"/>
      <c r="SCR4092" s="917"/>
      <c r="SCS4092" s="917"/>
      <c r="SCT4092" s="917"/>
      <c r="SCU4092" s="917"/>
      <c r="SCV4092" s="917"/>
      <c r="SCW4092" s="917"/>
      <c r="SCX4092" s="917"/>
      <c r="SCY4092" s="917"/>
      <c r="SCZ4092" s="917"/>
      <c r="SDA4092" s="917" t="s">
        <v>78</v>
      </c>
      <c r="SDB4092" s="917"/>
      <c r="SDC4092" s="917"/>
      <c r="SDD4092" s="917"/>
      <c r="SDE4092" s="917"/>
      <c r="SDF4092" s="917"/>
      <c r="SDG4092" s="917"/>
      <c r="SDH4092" s="917"/>
      <c r="SDI4092" s="917"/>
      <c r="SDJ4092" s="917"/>
      <c r="SDK4092" s="917"/>
      <c r="SDL4092" s="917"/>
      <c r="SDM4092" s="917"/>
      <c r="SDN4092" s="917"/>
      <c r="SDO4092" s="917"/>
      <c r="SDP4092" s="917"/>
      <c r="SDQ4092" s="917"/>
      <c r="SDR4092" s="917"/>
      <c r="SDS4092" s="917"/>
      <c r="SDT4092" s="917"/>
      <c r="SDU4092" s="917"/>
      <c r="SDV4092" s="917"/>
      <c r="SDW4092" s="917"/>
      <c r="SDX4092" s="917"/>
      <c r="SDY4092" s="917"/>
      <c r="SDZ4092" s="917"/>
      <c r="SEA4092" s="917"/>
      <c r="SEB4092" s="917"/>
      <c r="SEC4092" s="917"/>
      <c r="SED4092" s="917"/>
      <c r="SEE4092" s="917"/>
      <c r="SEF4092" s="917"/>
      <c r="SEG4092" s="917" t="s">
        <v>78</v>
      </c>
      <c r="SEH4092" s="917"/>
      <c r="SEI4092" s="917"/>
      <c r="SEJ4092" s="917"/>
      <c r="SEK4092" s="917"/>
      <c r="SEL4092" s="917"/>
      <c r="SEM4092" s="917"/>
      <c r="SEN4092" s="917"/>
      <c r="SEO4092" s="917"/>
      <c r="SEP4092" s="917"/>
      <c r="SEQ4092" s="917"/>
      <c r="SER4092" s="917"/>
      <c r="SES4092" s="917"/>
      <c r="SET4092" s="917"/>
      <c r="SEU4092" s="917"/>
      <c r="SEV4092" s="917"/>
      <c r="SEW4092" s="917"/>
      <c r="SEX4092" s="917"/>
      <c r="SEY4092" s="917"/>
      <c r="SEZ4092" s="917"/>
      <c r="SFA4092" s="917"/>
      <c r="SFB4092" s="917"/>
      <c r="SFC4092" s="917"/>
      <c r="SFD4092" s="917"/>
      <c r="SFE4092" s="917"/>
      <c r="SFF4092" s="917"/>
      <c r="SFG4092" s="917"/>
      <c r="SFH4092" s="917"/>
      <c r="SFI4092" s="917"/>
      <c r="SFJ4092" s="917"/>
      <c r="SFK4092" s="917"/>
      <c r="SFL4092" s="917"/>
      <c r="SFM4092" s="917" t="s">
        <v>78</v>
      </c>
      <c r="SFN4092" s="917"/>
      <c r="SFO4092" s="917"/>
      <c r="SFP4092" s="917"/>
      <c r="SFQ4092" s="917"/>
      <c r="SFR4092" s="917"/>
      <c r="SFS4092" s="917"/>
      <c r="SFT4092" s="917"/>
      <c r="SFU4092" s="917"/>
      <c r="SFV4092" s="917"/>
      <c r="SFW4092" s="917"/>
      <c r="SFX4092" s="917"/>
      <c r="SFY4092" s="917"/>
      <c r="SFZ4092" s="917"/>
      <c r="SGA4092" s="917"/>
      <c r="SGB4092" s="917"/>
      <c r="SGC4092" s="917"/>
      <c r="SGD4092" s="917"/>
      <c r="SGE4092" s="917"/>
      <c r="SGF4092" s="917"/>
      <c r="SGG4092" s="917"/>
      <c r="SGH4092" s="917"/>
      <c r="SGI4092" s="917"/>
      <c r="SGJ4092" s="917"/>
      <c r="SGK4092" s="917"/>
      <c r="SGL4092" s="917"/>
      <c r="SGM4092" s="917"/>
      <c r="SGN4092" s="917"/>
      <c r="SGO4092" s="917"/>
      <c r="SGP4092" s="917"/>
      <c r="SGQ4092" s="917"/>
      <c r="SGR4092" s="917"/>
      <c r="SGS4092" s="917" t="s">
        <v>78</v>
      </c>
      <c r="SGT4092" s="917"/>
      <c r="SGU4092" s="917"/>
      <c r="SGV4092" s="917"/>
      <c r="SGW4092" s="917"/>
      <c r="SGX4092" s="917"/>
      <c r="SGY4092" s="917"/>
      <c r="SGZ4092" s="917"/>
      <c r="SHA4092" s="917"/>
      <c r="SHB4092" s="917"/>
      <c r="SHC4092" s="917"/>
      <c r="SHD4092" s="917"/>
      <c r="SHE4092" s="917"/>
      <c r="SHF4092" s="917"/>
      <c r="SHG4092" s="917"/>
      <c r="SHH4092" s="917"/>
      <c r="SHI4092" s="917"/>
      <c r="SHJ4092" s="917"/>
      <c r="SHK4092" s="917"/>
      <c r="SHL4092" s="917"/>
      <c r="SHM4092" s="917"/>
      <c r="SHN4092" s="917"/>
      <c r="SHO4092" s="917"/>
      <c r="SHP4092" s="917"/>
      <c r="SHQ4092" s="917"/>
      <c r="SHR4092" s="917"/>
      <c r="SHS4092" s="917"/>
      <c r="SHT4092" s="917"/>
      <c r="SHU4092" s="917"/>
      <c r="SHV4092" s="917"/>
      <c r="SHW4092" s="917"/>
      <c r="SHX4092" s="917"/>
      <c r="SHY4092" s="917" t="s">
        <v>78</v>
      </c>
      <c r="SHZ4092" s="917"/>
      <c r="SIA4092" s="917"/>
      <c r="SIB4092" s="917"/>
      <c r="SIC4092" s="917"/>
      <c r="SID4092" s="917"/>
      <c r="SIE4092" s="917"/>
      <c r="SIF4092" s="917"/>
      <c r="SIG4092" s="917"/>
      <c r="SIH4092" s="917"/>
      <c r="SII4092" s="917"/>
      <c r="SIJ4092" s="917"/>
      <c r="SIK4092" s="917"/>
      <c r="SIL4092" s="917"/>
      <c r="SIM4092" s="917"/>
      <c r="SIN4092" s="917"/>
      <c r="SIO4092" s="917"/>
      <c r="SIP4092" s="917"/>
      <c r="SIQ4092" s="917"/>
      <c r="SIR4092" s="917"/>
      <c r="SIS4092" s="917"/>
      <c r="SIT4092" s="917"/>
      <c r="SIU4092" s="917"/>
      <c r="SIV4092" s="917"/>
      <c r="SIW4092" s="917"/>
      <c r="SIX4092" s="917"/>
      <c r="SIY4092" s="917"/>
      <c r="SIZ4092" s="917"/>
      <c r="SJA4092" s="917"/>
      <c r="SJB4092" s="917"/>
      <c r="SJC4092" s="917"/>
      <c r="SJD4092" s="917"/>
      <c r="SJE4092" s="917" t="s">
        <v>78</v>
      </c>
      <c r="SJF4092" s="917"/>
      <c r="SJG4092" s="917"/>
      <c r="SJH4092" s="917"/>
      <c r="SJI4092" s="917"/>
      <c r="SJJ4092" s="917"/>
      <c r="SJK4092" s="917"/>
      <c r="SJL4092" s="917"/>
      <c r="SJM4092" s="917"/>
      <c r="SJN4092" s="917"/>
      <c r="SJO4092" s="917"/>
      <c r="SJP4092" s="917"/>
      <c r="SJQ4092" s="917"/>
      <c r="SJR4092" s="917"/>
      <c r="SJS4092" s="917"/>
      <c r="SJT4092" s="917"/>
      <c r="SJU4092" s="917"/>
      <c r="SJV4092" s="917"/>
      <c r="SJW4092" s="917"/>
      <c r="SJX4092" s="917"/>
      <c r="SJY4092" s="917"/>
      <c r="SJZ4092" s="917"/>
      <c r="SKA4092" s="917"/>
      <c r="SKB4092" s="917"/>
      <c r="SKC4092" s="917"/>
      <c r="SKD4092" s="917"/>
      <c r="SKE4092" s="917"/>
      <c r="SKF4092" s="917"/>
      <c r="SKG4092" s="917"/>
      <c r="SKH4092" s="917"/>
      <c r="SKI4092" s="917"/>
      <c r="SKJ4092" s="917"/>
      <c r="SKK4092" s="917" t="s">
        <v>78</v>
      </c>
      <c r="SKL4092" s="917"/>
      <c r="SKM4092" s="917"/>
      <c r="SKN4092" s="917"/>
      <c r="SKO4092" s="917"/>
      <c r="SKP4092" s="917"/>
      <c r="SKQ4092" s="917"/>
      <c r="SKR4092" s="917"/>
      <c r="SKS4092" s="917"/>
      <c r="SKT4092" s="917"/>
      <c r="SKU4092" s="917"/>
      <c r="SKV4092" s="917"/>
      <c r="SKW4092" s="917"/>
      <c r="SKX4092" s="917"/>
      <c r="SKY4092" s="917"/>
      <c r="SKZ4092" s="917"/>
      <c r="SLA4092" s="917"/>
      <c r="SLB4092" s="917"/>
      <c r="SLC4092" s="917"/>
      <c r="SLD4092" s="917"/>
      <c r="SLE4092" s="917"/>
      <c r="SLF4092" s="917"/>
      <c r="SLG4092" s="917"/>
      <c r="SLH4092" s="917"/>
      <c r="SLI4092" s="917"/>
      <c r="SLJ4092" s="917"/>
      <c r="SLK4092" s="917"/>
      <c r="SLL4092" s="917"/>
      <c r="SLM4092" s="917"/>
      <c r="SLN4092" s="917"/>
      <c r="SLO4092" s="917"/>
      <c r="SLP4092" s="917"/>
      <c r="SLQ4092" s="917" t="s">
        <v>78</v>
      </c>
      <c r="SLR4092" s="917"/>
      <c r="SLS4092" s="917"/>
      <c r="SLT4092" s="917"/>
      <c r="SLU4092" s="917"/>
      <c r="SLV4092" s="917"/>
      <c r="SLW4092" s="917"/>
      <c r="SLX4092" s="917"/>
      <c r="SLY4092" s="917"/>
      <c r="SLZ4092" s="917"/>
      <c r="SMA4092" s="917"/>
      <c r="SMB4092" s="917"/>
      <c r="SMC4092" s="917"/>
      <c r="SMD4092" s="917"/>
      <c r="SME4092" s="917"/>
      <c r="SMF4092" s="917"/>
      <c r="SMG4092" s="917"/>
      <c r="SMH4092" s="917"/>
      <c r="SMI4092" s="917"/>
      <c r="SMJ4092" s="917"/>
      <c r="SMK4092" s="917"/>
      <c r="SML4092" s="917"/>
      <c r="SMM4092" s="917"/>
      <c r="SMN4092" s="917"/>
      <c r="SMO4092" s="917"/>
      <c r="SMP4092" s="917"/>
      <c r="SMQ4092" s="917"/>
      <c r="SMR4092" s="917"/>
      <c r="SMS4092" s="917"/>
      <c r="SMT4092" s="917"/>
      <c r="SMU4092" s="917"/>
      <c r="SMV4092" s="917"/>
      <c r="SMW4092" s="917" t="s">
        <v>78</v>
      </c>
      <c r="SMX4092" s="917"/>
      <c r="SMY4092" s="917"/>
      <c r="SMZ4092" s="917"/>
      <c r="SNA4092" s="917"/>
      <c r="SNB4092" s="917"/>
      <c r="SNC4092" s="917"/>
      <c r="SND4092" s="917"/>
      <c r="SNE4092" s="917"/>
      <c r="SNF4092" s="917"/>
      <c r="SNG4092" s="917"/>
      <c r="SNH4092" s="917"/>
      <c r="SNI4092" s="917"/>
      <c r="SNJ4092" s="917"/>
      <c r="SNK4092" s="917"/>
      <c r="SNL4092" s="917"/>
      <c r="SNM4092" s="917"/>
      <c r="SNN4092" s="917"/>
      <c r="SNO4092" s="917"/>
      <c r="SNP4092" s="917"/>
      <c r="SNQ4092" s="917"/>
      <c r="SNR4092" s="917"/>
      <c r="SNS4092" s="917"/>
      <c r="SNT4092" s="917"/>
      <c r="SNU4092" s="917"/>
      <c r="SNV4092" s="917"/>
      <c r="SNW4092" s="917"/>
      <c r="SNX4092" s="917"/>
      <c r="SNY4092" s="917"/>
      <c r="SNZ4092" s="917"/>
      <c r="SOA4092" s="917"/>
      <c r="SOB4092" s="917"/>
      <c r="SOC4092" s="917" t="s">
        <v>78</v>
      </c>
      <c r="SOD4092" s="917"/>
      <c r="SOE4092" s="917"/>
      <c r="SOF4092" s="917"/>
      <c r="SOG4092" s="917"/>
      <c r="SOH4092" s="917"/>
      <c r="SOI4092" s="917"/>
      <c r="SOJ4092" s="917"/>
      <c r="SOK4092" s="917"/>
      <c r="SOL4092" s="917"/>
      <c r="SOM4092" s="917"/>
      <c r="SON4092" s="917"/>
      <c r="SOO4092" s="917"/>
      <c r="SOP4092" s="917"/>
      <c r="SOQ4092" s="917"/>
      <c r="SOR4092" s="917"/>
      <c r="SOS4092" s="917"/>
      <c r="SOT4092" s="917"/>
      <c r="SOU4092" s="917"/>
      <c r="SOV4092" s="917"/>
      <c r="SOW4092" s="917"/>
      <c r="SOX4092" s="917"/>
      <c r="SOY4092" s="917"/>
      <c r="SOZ4092" s="917"/>
      <c r="SPA4092" s="917"/>
      <c r="SPB4092" s="917"/>
      <c r="SPC4092" s="917"/>
      <c r="SPD4092" s="917"/>
      <c r="SPE4092" s="917"/>
      <c r="SPF4092" s="917"/>
      <c r="SPG4092" s="917"/>
      <c r="SPH4092" s="917"/>
      <c r="SPI4092" s="917" t="s">
        <v>78</v>
      </c>
      <c r="SPJ4092" s="917"/>
      <c r="SPK4092" s="917"/>
      <c r="SPL4092" s="917"/>
      <c r="SPM4092" s="917"/>
      <c r="SPN4092" s="917"/>
      <c r="SPO4092" s="917"/>
      <c r="SPP4092" s="917"/>
      <c r="SPQ4092" s="917"/>
      <c r="SPR4092" s="917"/>
      <c r="SPS4092" s="917"/>
      <c r="SPT4092" s="917"/>
      <c r="SPU4092" s="917"/>
      <c r="SPV4092" s="917"/>
      <c r="SPW4092" s="917"/>
      <c r="SPX4092" s="917"/>
      <c r="SPY4092" s="917"/>
      <c r="SPZ4092" s="917"/>
      <c r="SQA4092" s="917"/>
      <c r="SQB4092" s="917"/>
      <c r="SQC4092" s="917"/>
      <c r="SQD4092" s="917"/>
      <c r="SQE4092" s="917"/>
      <c r="SQF4092" s="917"/>
      <c r="SQG4092" s="917"/>
      <c r="SQH4092" s="917"/>
      <c r="SQI4092" s="917"/>
      <c r="SQJ4092" s="917"/>
      <c r="SQK4092" s="917"/>
      <c r="SQL4092" s="917"/>
      <c r="SQM4092" s="917"/>
      <c r="SQN4092" s="917"/>
      <c r="SQO4092" s="917" t="s">
        <v>78</v>
      </c>
      <c r="SQP4092" s="917"/>
      <c r="SQQ4092" s="917"/>
      <c r="SQR4092" s="917"/>
      <c r="SQS4092" s="917"/>
      <c r="SQT4092" s="917"/>
      <c r="SQU4092" s="917"/>
      <c r="SQV4092" s="917"/>
      <c r="SQW4092" s="917"/>
      <c r="SQX4092" s="917"/>
      <c r="SQY4092" s="917"/>
      <c r="SQZ4092" s="917"/>
      <c r="SRA4092" s="917"/>
      <c r="SRB4092" s="917"/>
      <c r="SRC4092" s="917"/>
      <c r="SRD4092" s="917"/>
      <c r="SRE4092" s="917"/>
      <c r="SRF4092" s="917"/>
      <c r="SRG4092" s="917"/>
      <c r="SRH4092" s="917"/>
      <c r="SRI4092" s="917"/>
      <c r="SRJ4092" s="917"/>
      <c r="SRK4092" s="917"/>
      <c r="SRL4092" s="917"/>
      <c r="SRM4092" s="917"/>
      <c r="SRN4092" s="917"/>
      <c r="SRO4092" s="917"/>
      <c r="SRP4092" s="917"/>
      <c r="SRQ4092" s="917"/>
      <c r="SRR4092" s="917"/>
      <c r="SRS4092" s="917"/>
      <c r="SRT4092" s="917"/>
      <c r="SRU4092" s="917" t="s">
        <v>78</v>
      </c>
      <c r="SRV4092" s="917"/>
      <c r="SRW4092" s="917"/>
      <c r="SRX4092" s="917"/>
      <c r="SRY4092" s="917"/>
      <c r="SRZ4092" s="917"/>
      <c r="SSA4092" s="917"/>
      <c r="SSB4092" s="917"/>
      <c r="SSC4092" s="917"/>
      <c r="SSD4092" s="917"/>
      <c r="SSE4092" s="917"/>
      <c r="SSF4092" s="917"/>
      <c r="SSG4092" s="917"/>
      <c r="SSH4092" s="917"/>
      <c r="SSI4092" s="917"/>
      <c r="SSJ4092" s="917"/>
      <c r="SSK4092" s="917"/>
      <c r="SSL4092" s="917"/>
      <c r="SSM4092" s="917"/>
      <c r="SSN4092" s="917"/>
      <c r="SSO4092" s="917"/>
      <c r="SSP4092" s="917"/>
      <c r="SSQ4092" s="917"/>
      <c r="SSR4092" s="917"/>
      <c r="SSS4092" s="917"/>
      <c r="SST4092" s="917"/>
      <c r="SSU4092" s="917"/>
      <c r="SSV4092" s="917"/>
      <c r="SSW4092" s="917"/>
      <c r="SSX4092" s="917"/>
      <c r="SSY4092" s="917"/>
      <c r="SSZ4092" s="917"/>
      <c r="STA4092" s="917" t="s">
        <v>78</v>
      </c>
      <c r="STB4092" s="917"/>
      <c r="STC4092" s="917"/>
      <c r="STD4092" s="917"/>
      <c r="STE4092" s="917"/>
      <c r="STF4092" s="917"/>
      <c r="STG4092" s="917"/>
      <c r="STH4092" s="917"/>
      <c r="STI4092" s="917"/>
      <c r="STJ4092" s="917"/>
      <c r="STK4092" s="917"/>
      <c r="STL4092" s="917"/>
      <c r="STM4092" s="917"/>
      <c r="STN4092" s="917"/>
      <c r="STO4092" s="917"/>
      <c r="STP4092" s="917"/>
      <c r="STQ4092" s="917"/>
      <c r="STR4092" s="917"/>
      <c r="STS4092" s="917"/>
      <c r="STT4092" s="917"/>
      <c r="STU4092" s="917"/>
      <c r="STV4092" s="917"/>
      <c r="STW4092" s="917"/>
      <c r="STX4092" s="917"/>
      <c r="STY4092" s="917"/>
      <c r="STZ4092" s="917"/>
      <c r="SUA4092" s="917"/>
      <c r="SUB4092" s="917"/>
      <c r="SUC4092" s="917"/>
      <c r="SUD4092" s="917"/>
      <c r="SUE4092" s="917"/>
      <c r="SUF4092" s="917"/>
      <c r="SUG4092" s="917" t="s">
        <v>78</v>
      </c>
      <c r="SUH4092" s="917"/>
      <c r="SUI4092" s="917"/>
      <c r="SUJ4092" s="917"/>
      <c r="SUK4092" s="917"/>
      <c r="SUL4092" s="917"/>
      <c r="SUM4092" s="917"/>
      <c r="SUN4092" s="917"/>
      <c r="SUO4092" s="917"/>
      <c r="SUP4092" s="917"/>
      <c r="SUQ4092" s="917"/>
      <c r="SUR4092" s="917"/>
      <c r="SUS4092" s="917"/>
      <c r="SUT4092" s="917"/>
      <c r="SUU4092" s="917"/>
      <c r="SUV4092" s="917"/>
      <c r="SUW4092" s="917"/>
      <c r="SUX4092" s="917"/>
      <c r="SUY4092" s="917"/>
      <c r="SUZ4092" s="917"/>
      <c r="SVA4092" s="917"/>
      <c r="SVB4092" s="917"/>
      <c r="SVC4092" s="917"/>
      <c r="SVD4092" s="917"/>
      <c r="SVE4092" s="917"/>
      <c r="SVF4092" s="917"/>
      <c r="SVG4092" s="917"/>
      <c r="SVH4092" s="917"/>
      <c r="SVI4092" s="917"/>
      <c r="SVJ4092" s="917"/>
      <c r="SVK4092" s="917"/>
      <c r="SVL4092" s="917"/>
      <c r="SVM4092" s="917" t="s">
        <v>78</v>
      </c>
      <c r="SVN4092" s="917"/>
      <c r="SVO4092" s="917"/>
      <c r="SVP4092" s="917"/>
      <c r="SVQ4092" s="917"/>
      <c r="SVR4092" s="917"/>
      <c r="SVS4092" s="917"/>
      <c r="SVT4092" s="917"/>
      <c r="SVU4092" s="917"/>
      <c r="SVV4092" s="917"/>
      <c r="SVW4092" s="917"/>
      <c r="SVX4092" s="917"/>
      <c r="SVY4092" s="917"/>
      <c r="SVZ4092" s="917"/>
      <c r="SWA4092" s="917"/>
      <c r="SWB4092" s="917"/>
      <c r="SWC4092" s="917"/>
      <c r="SWD4092" s="917"/>
      <c r="SWE4092" s="917"/>
      <c r="SWF4092" s="917"/>
      <c r="SWG4092" s="917"/>
      <c r="SWH4092" s="917"/>
      <c r="SWI4092" s="917"/>
      <c r="SWJ4092" s="917"/>
      <c r="SWK4092" s="917"/>
      <c r="SWL4092" s="917"/>
      <c r="SWM4092" s="917"/>
      <c r="SWN4092" s="917"/>
      <c r="SWO4092" s="917"/>
      <c r="SWP4092" s="917"/>
      <c r="SWQ4092" s="917"/>
      <c r="SWR4092" s="917"/>
      <c r="SWS4092" s="917" t="s">
        <v>78</v>
      </c>
      <c r="SWT4092" s="917"/>
      <c r="SWU4092" s="917"/>
      <c r="SWV4092" s="917"/>
      <c r="SWW4092" s="917"/>
      <c r="SWX4092" s="917"/>
      <c r="SWY4092" s="917"/>
      <c r="SWZ4092" s="917"/>
      <c r="SXA4092" s="917"/>
      <c r="SXB4092" s="917"/>
      <c r="SXC4092" s="917"/>
      <c r="SXD4092" s="917"/>
      <c r="SXE4092" s="917"/>
      <c r="SXF4092" s="917"/>
      <c r="SXG4092" s="917"/>
      <c r="SXH4092" s="917"/>
      <c r="SXI4092" s="917"/>
      <c r="SXJ4092" s="917"/>
      <c r="SXK4092" s="917"/>
      <c r="SXL4092" s="917"/>
      <c r="SXM4092" s="917"/>
      <c r="SXN4092" s="917"/>
      <c r="SXO4092" s="917"/>
      <c r="SXP4092" s="917"/>
      <c r="SXQ4092" s="917"/>
      <c r="SXR4092" s="917"/>
      <c r="SXS4092" s="917"/>
      <c r="SXT4092" s="917"/>
      <c r="SXU4092" s="917"/>
      <c r="SXV4092" s="917"/>
      <c r="SXW4092" s="917"/>
      <c r="SXX4092" s="917"/>
      <c r="SXY4092" s="917" t="s">
        <v>78</v>
      </c>
      <c r="SXZ4092" s="917"/>
      <c r="SYA4092" s="917"/>
      <c r="SYB4092" s="917"/>
      <c r="SYC4092" s="917"/>
      <c r="SYD4092" s="917"/>
      <c r="SYE4092" s="917"/>
      <c r="SYF4092" s="917"/>
      <c r="SYG4092" s="917"/>
      <c r="SYH4092" s="917"/>
      <c r="SYI4092" s="917"/>
      <c r="SYJ4092" s="917"/>
      <c r="SYK4092" s="917"/>
      <c r="SYL4092" s="917"/>
      <c r="SYM4092" s="917"/>
      <c r="SYN4092" s="917"/>
      <c r="SYO4092" s="917"/>
      <c r="SYP4092" s="917"/>
      <c r="SYQ4092" s="917"/>
      <c r="SYR4092" s="917"/>
      <c r="SYS4092" s="917"/>
      <c r="SYT4092" s="917"/>
      <c r="SYU4092" s="917"/>
      <c r="SYV4092" s="917"/>
      <c r="SYW4092" s="917"/>
      <c r="SYX4092" s="917"/>
      <c r="SYY4092" s="917"/>
      <c r="SYZ4092" s="917"/>
      <c r="SZA4092" s="917"/>
      <c r="SZB4092" s="917"/>
      <c r="SZC4092" s="917"/>
      <c r="SZD4092" s="917"/>
      <c r="SZE4092" s="917" t="s">
        <v>78</v>
      </c>
      <c r="SZF4092" s="917"/>
      <c r="SZG4092" s="917"/>
      <c r="SZH4092" s="917"/>
      <c r="SZI4092" s="917"/>
      <c r="SZJ4092" s="917"/>
      <c r="SZK4092" s="917"/>
      <c r="SZL4092" s="917"/>
      <c r="SZM4092" s="917"/>
      <c r="SZN4092" s="917"/>
      <c r="SZO4092" s="917"/>
      <c r="SZP4092" s="917"/>
      <c r="SZQ4092" s="917"/>
      <c r="SZR4092" s="917"/>
      <c r="SZS4092" s="917"/>
      <c r="SZT4092" s="917"/>
      <c r="SZU4092" s="917"/>
      <c r="SZV4092" s="917"/>
      <c r="SZW4092" s="917"/>
      <c r="SZX4092" s="917"/>
      <c r="SZY4092" s="917"/>
      <c r="SZZ4092" s="917"/>
      <c r="TAA4092" s="917"/>
      <c r="TAB4092" s="917"/>
      <c r="TAC4092" s="917"/>
      <c r="TAD4092" s="917"/>
      <c r="TAE4092" s="917"/>
      <c r="TAF4092" s="917"/>
      <c r="TAG4092" s="917"/>
      <c r="TAH4092" s="917"/>
      <c r="TAI4092" s="917"/>
      <c r="TAJ4092" s="917"/>
      <c r="TAK4092" s="917" t="s">
        <v>78</v>
      </c>
      <c r="TAL4092" s="917"/>
      <c r="TAM4092" s="917"/>
      <c r="TAN4092" s="917"/>
      <c r="TAO4092" s="917"/>
      <c r="TAP4092" s="917"/>
      <c r="TAQ4092" s="917"/>
      <c r="TAR4092" s="917"/>
      <c r="TAS4092" s="917"/>
      <c r="TAT4092" s="917"/>
      <c r="TAU4092" s="917"/>
      <c r="TAV4092" s="917"/>
      <c r="TAW4092" s="917"/>
      <c r="TAX4092" s="917"/>
      <c r="TAY4092" s="917"/>
      <c r="TAZ4092" s="917"/>
      <c r="TBA4092" s="917"/>
      <c r="TBB4092" s="917"/>
      <c r="TBC4092" s="917"/>
      <c r="TBD4092" s="917"/>
      <c r="TBE4092" s="917"/>
      <c r="TBF4092" s="917"/>
      <c r="TBG4092" s="917"/>
      <c r="TBH4092" s="917"/>
      <c r="TBI4092" s="917"/>
      <c r="TBJ4092" s="917"/>
      <c r="TBK4092" s="917"/>
      <c r="TBL4092" s="917"/>
      <c r="TBM4092" s="917"/>
      <c r="TBN4092" s="917"/>
      <c r="TBO4092" s="917"/>
      <c r="TBP4092" s="917"/>
      <c r="TBQ4092" s="917" t="s">
        <v>78</v>
      </c>
      <c r="TBR4092" s="917"/>
      <c r="TBS4092" s="917"/>
      <c r="TBT4092" s="917"/>
      <c r="TBU4092" s="917"/>
      <c r="TBV4092" s="917"/>
      <c r="TBW4092" s="917"/>
      <c r="TBX4092" s="917"/>
      <c r="TBY4092" s="917"/>
      <c r="TBZ4092" s="917"/>
      <c r="TCA4092" s="917"/>
      <c r="TCB4092" s="917"/>
      <c r="TCC4092" s="917"/>
      <c r="TCD4092" s="917"/>
      <c r="TCE4092" s="917"/>
      <c r="TCF4092" s="917"/>
      <c r="TCG4092" s="917"/>
      <c r="TCH4092" s="917"/>
      <c r="TCI4092" s="917"/>
      <c r="TCJ4092" s="917"/>
      <c r="TCK4092" s="917"/>
      <c r="TCL4092" s="917"/>
      <c r="TCM4092" s="917"/>
      <c r="TCN4092" s="917"/>
      <c r="TCO4092" s="917"/>
      <c r="TCP4092" s="917"/>
      <c r="TCQ4092" s="917"/>
      <c r="TCR4092" s="917"/>
      <c r="TCS4092" s="917"/>
      <c r="TCT4092" s="917"/>
      <c r="TCU4092" s="917"/>
      <c r="TCV4092" s="917"/>
      <c r="TCW4092" s="917" t="s">
        <v>78</v>
      </c>
      <c r="TCX4092" s="917"/>
      <c r="TCY4092" s="917"/>
      <c r="TCZ4092" s="917"/>
      <c r="TDA4092" s="917"/>
      <c r="TDB4092" s="917"/>
      <c r="TDC4092" s="917"/>
      <c r="TDD4092" s="917"/>
      <c r="TDE4092" s="917"/>
      <c r="TDF4092" s="917"/>
      <c r="TDG4092" s="917"/>
      <c r="TDH4092" s="917"/>
      <c r="TDI4092" s="917"/>
      <c r="TDJ4092" s="917"/>
      <c r="TDK4092" s="917"/>
      <c r="TDL4092" s="917"/>
      <c r="TDM4092" s="917"/>
      <c r="TDN4092" s="917"/>
      <c r="TDO4092" s="917"/>
      <c r="TDP4092" s="917"/>
      <c r="TDQ4092" s="917"/>
      <c r="TDR4092" s="917"/>
      <c r="TDS4092" s="917"/>
      <c r="TDT4092" s="917"/>
      <c r="TDU4092" s="917"/>
      <c r="TDV4092" s="917"/>
      <c r="TDW4092" s="917"/>
      <c r="TDX4092" s="917"/>
      <c r="TDY4092" s="917"/>
      <c r="TDZ4092" s="917"/>
      <c r="TEA4092" s="917"/>
      <c r="TEB4092" s="917"/>
      <c r="TEC4092" s="917" t="s">
        <v>78</v>
      </c>
      <c r="TED4092" s="917"/>
      <c r="TEE4092" s="917"/>
      <c r="TEF4092" s="917"/>
      <c r="TEG4092" s="917"/>
      <c r="TEH4092" s="917"/>
      <c r="TEI4092" s="917"/>
      <c r="TEJ4092" s="917"/>
      <c r="TEK4092" s="917"/>
      <c r="TEL4092" s="917"/>
      <c r="TEM4092" s="917"/>
      <c r="TEN4092" s="917"/>
      <c r="TEO4092" s="917"/>
      <c r="TEP4092" s="917"/>
      <c r="TEQ4092" s="917"/>
      <c r="TER4092" s="917"/>
      <c r="TES4092" s="917"/>
      <c r="TET4092" s="917"/>
      <c r="TEU4092" s="917"/>
      <c r="TEV4092" s="917"/>
      <c r="TEW4092" s="917"/>
      <c r="TEX4092" s="917"/>
      <c r="TEY4092" s="917"/>
      <c r="TEZ4092" s="917"/>
      <c r="TFA4092" s="917"/>
      <c r="TFB4092" s="917"/>
      <c r="TFC4092" s="917"/>
      <c r="TFD4092" s="917"/>
      <c r="TFE4092" s="917"/>
      <c r="TFF4092" s="917"/>
      <c r="TFG4092" s="917"/>
      <c r="TFH4092" s="917"/>
      <c r="TFI4092" s="917" t="s">
        <v>78</v>
      </c>
      <c r="TFJ4092" s="917"/>
      <c r="TFK4092" s="917"/>
      <c r="TFL4092" s="917"/>
      <c r="TFM4092" s="917"/>
      <c r="TFN4092" s="917"/>
      <c r="TFO4092" s="917"/>
      <c r="TFP4092" s="917"/>
      <c r="TFQ4092" s="917"/>
      <c r="TFR4092" s="917"/>
      <c r="TFS4092" s="917"/>
      <c r="TFT4092" s="917"/>
      <c r="TFU4092" s="917"/>
      <c r="TFV4092" s="917"/>
      <c r="TFW4092" s="917"/>
      <c r="TFX4092" s="917"/>
      <c r="TFY4092" s="917"/>
      <c r="TFZ4092" s="917"/>
      <c r="TGA4092" s="917"/>
      <c r="TGB4092" s="917"/>
      <c r="TGC4092" s="917"/>
      <c r="TGD4092" s="917"/>
      <c r="TGE4092" s="917"/>
      <c r="TGF4092" s="917"/>
      <c r="TGG4092" s="917"/>
      <c r="TGH4092" s="917"/>
      <c r="TGI4092" s="917"/>
      <c r="TGJ4092" s="917"/>
      <c r="TGK4092" s="917"/>
      <c r="TGL4092" s="917"/>
      <c r="TGM4092" s="917"/>
      <c r="TGN4092" s="917"/>
      <c r="TGO4092" s="917" t="s">
        <v>78</v>
      </c>
      <c r="TGP4092" s="917"/>
      <c r="TGQ4092" s="917"/>
      <c r="TGR4092" s="917"/>
      <c r="TGS4092" s="917"/>
      <c r="TGT4092" s="917"/>
      <c r="TGU4092" s="917"/>
      <c r="TGV4092" s="917"/>
      <c r="TGW4092" s="917"/>
      <c r="TGX4092" s="917"/>
      <c r="TGY4092" s="917"/>
      <c r="TGZ4092" s="917"/>
      <c r="THA4092" s="917"/>
      <c r="THB4092" s="917"/>
      <c r="THC4092" s="917"/>
      <c r="THD4092" s="917"/>
      <c r="THE4092" s="917"/>
      <c r="THF4092" s="917"/>
      <c r="THG4092" s="917"/>
      <c r="THH4092" s="917"/>
      <c r="THI4092" s="917"/>
      <c r="THJ4092" s="917"/>
      <c r="THK4092" s="917"/>
      <c r="THL4092" s="917"/>
      <c r="THM4092" s="917"/>
      <c r="THN4092" s="917"/>
      <c r="THO4092" s="917"/>
      <c r="THP4092" s="917"/>
      <c r="THQ4092" s="917"/>
      <c r="THR4092" s="917"/>
      <c r="THS4092" s="917"/>
      <c r="THT4092" s="917"/>
      <c r="THU4092" s="917" t="s">
        <v>78</v>
      </c>
      <c r="THV4092" s="917"/>
      <c r="THW4092" s="917"/>
      <c r="THX4092" s="917"/>
      <c r="THY4092" s="917"/>
      <c r="THZ4092" s="917"/>
      <c r="TIA4092" s="917"/>
      <c r="TIB4092" s="917"/>
      <c r="TIC4092" s="917"/>
      <c r="TID4092" s="917"/>
      <c r="TIE4092" s="917"/>
      <c r="TIF4092" s="917"/>
      <c r="TIG4092" s="917"/>
      <c r="TIH4092" s="917"/>
      <c r="TII4092" s="917"/>
      <c r="TIJ4092" s="917"/>
      <c r="TIK4092" s="917"/>
      <c r="TIL4092" s="917"/>
      <c r="TIM4092" s="917"/>
      <c r="TIN4092" s="917"/>
      <c r="TIO4092" s="917"/>
      <c r="TIP4092" s="917"/>
      <c r="TIQ4092" s="917"/>
      <c r="TIR4092" s="917"/>
      <c r="TIS4092" s="917"/>
      <c r="TIT4092" s="917"/>
      <c r="TIU4092" s="917"/>
      <c r="TIV4092" s="917"/>
      <c r="TIW4092" s="917"/>
      <c r="TIX4092" s="917"/>
      <c r="TIY4092" s="917"/>
      <c r="TIZ4092" s="917"/>
      <c r="TJA4092" s="917" t="s">
        <v>78</v>
      </c>
      <c r="TJB4092" s="917"/>
      <c r="TJC4092" s="917"/>
      <c r="TJD4092" s="917"/>
      <c r="TJE4092" s="917"/>
      <c r="TJF4092" s="917"/>
      <c r="TJG4092" s="917"/>
      <c r="TJH4092" s="917"/>
      <c r="TJI4092" s="917"/>
      <c r="TJJ4092" s="917"/>
      <c r="TJK4092" s="917"/>
      <c r="TJL4092" s="917"/>
      <c r="TJM4092" s="917"/>
      <c r="TJN4092" s="917"/>
      <c r="TJO4092" s="917"/>
      <c r="TJP4092" s="917"/>
      <c r="TJQ4092" s="917"/>
      <c r="TJR4092" s="917"/>
      <c r="TJS4092" s="917"/>
      <c r="TJT4092" s="917"/>
      <c r="TJU4092" s="917"/>
      <c r="TJV4092" s="917"/>
      <c r="TJW4092" s="917"/>
      <c r="TJX4092" s="917"/>
      <c r="TJY4092" s="917"/>
      <c r="TJZ4092" s="917"/>
      <c r="TKA4092" s="917"/>
      <c r="TKB4092" s="917"/>
      <c r="TKC4092" s="917"/>
      <c r="TKD4092" s="917"/>
      <c r="TKE4092" s="917"/>
      <c r="TKF4092" s="917"/>
      <c r="TKG4092" s="917" t="s">
        <v>78</v>
      </c>
      <c r="TKH4092" s="917"/>
      <c r="TKI4092" s="917"/>
      <c r="TKJ4092" s="917"/>
      <c r="TKK4092" s="917"/>
      <c r="TKL4092" s="917"/>
      <c r="TKM4092" s="917"/>
      <c r="TKN4092" s="917"/>
      <c r="TKO4092" s="917"/>
      <c r="TKP4092" s="917"/>
      <c r="TKQ4092" s="917"/>
      <c r="TKR4092" s="917"/>
      <c r="TKS4092" s="917"/>
      <c r="TKT4092" s="917"/>
      <c r="TKU4092" s="917"/>
      <c r="TKV4092" s="917"/>
      <c r="TKW4092" s="917"/>
      <c r="TKX4092" s="917"/>
      <c r="TKY4092" s="917"/>
      <c r="TKZ4092" s="917"/>
      <c r="TLA4092" s="917"/>
      <c r="TLB4092" s="917"/>
      <c r="TLC4092" s="917"/>
      <c r="TLD4092" s="917"/>
      <c r="TLE4092" s="917"/>
      <c r="TLF4092" s="917"/>
      <c r="TLG4092" s="917"/>
      <c r="TLH4092" s="917"/>
      <c r="TLI4092" s="917"/>
      <c r="TLJ4092" s="917"/>
      <c r="TLK4092" s="917"/>
      <c r="TLL4092" s="917"/>
      <c r="TLM4092" s="917" t="s">
        <v>78</v>
      </c>
      <c r="TLN4092" s="917"/>
      <c r="TLO4092" s="917"/>
      <c r="TLP4092" s="917"/>
      <c r="TLQ4092" s="917"/>
      <c r="TLR4092" s="917"/>
      <c r="TLS4092" s="917"/>
      <c r="TLT4092" s="917"/>
      <c r="TLU4092" s="917"/>
      <c r="TLV4092" s="917"/>
      <c r="TLW4092" s="917"/>
      <c r="TLX4092" s="917"/>
      <c r="TLY4092" s="917"/>
      <c r="TLZ4092" s="917"/>
      <c r="TMA4092" s="917"/>
      <c r="TMB4092" s="917"/>
      <c r="TMC4092" s="917"/>
      <c r="TMD4092" s="917"/>
      <c r="TME4092" s="917"/>
      <c r="TMF4092" s="917"/>
      <c r="TMG4092" s="917"/>
      <c r="TMH4092" s="917"/>
      <c r="TMI4092" s="917"/>
      <c r="TMJ4092" s="917"/>
      <c r="TMK4092" s="917"/>
      <c r="TML4092" s="917"/>
      <c r="TMM4092" s="917"/>
      <c r="TMN4092" s="917"/>
      <c r="TMO4092" s="917"/>
      <c r="TMP4092" s="917"/>
      <c r="TMQ4092" s="917"/>
      <c r="TMR4092" s="917"/>
      <c r="TMS4092" s="917" t="s">
        <v>78</v>
      </c>
      <c r="TMT4092" s="917"/>
      <c r="TMU4092" s="917"/>
      <c r="TMV4092" s="917"/>
      <c r="TMW4092" s="917"/>
      <c r="TMX4092" s="917"/>
      <c r="TMY4092" s="917"/>
      <c r="TMZ4092" s="917"/>
      <c r="TNA4092" s="917"/>
      <c r="TNB4092" s="917"/>
      <c r="TNC4092" s="917"/>
      <c r="TND4092" s="917"/>
      <c r="TNE4092" s="917"/>
      <c r="TNF4092" s="917"/>
      <c r="TNG4092" s="917"/>
      <c r="TNH4092" s="917"/>
      <c r="TNI4092" s="917"/>
      <c r="TNJ4092" s="917"/>
      <c r="TNK4092" s="917"/>
      <c r="TNL4092" s="917"/>
      <c r="TNM4092" s="917"/>
      <c r="TNN4092" s="917"/>
      <c r="TNO4092" s="917"/>
      <c r="TNP4092" s="917"/>
      <c r="TNQ4092" s="917"/>
      <c r="TNR4092" s="917"/>
      <c r="TNS4092" s="917"/>
      <c r="TNT4092" s="917"/>
      <c r="TNU4092" s="917"/>
      <c r="TNV4092" s="917"/>
      <c r="TNW4092" s="917"/>
      <c r="TNX4092" s="917"/>
      <c r="TNY4092" s="917" t="s">
        <v>78</v>
      </c>
      <c r="TNZ4092" s="917"/>
      <c r="TOA4092" s="917"/>
      <c r="TOB4092" s="917"/>
      <c r="TOC4092" s="917"/>
      <c r="TOD4092" s="917"/>
      <c r="TOE4092" s="917"/>
      <c r="TOF4092" s="917"/>
      <c r="TOG4092" s="917"/>
      <c r="TOH4092" s="917"/>
      <c r="TOI4092" s="917"/>
      <c r="TOJ4092" s="917"/>
      <c r="TOK4092" s="917"/>
      <c r="TOL4092" s="917"/>
      <c r="TOM4092" s="917"/>
      <c r="TON4092" s="917"/>
      <c r="TOO4092" s="917"/>
      <c r="TOP4092" s="917"/>
      <c r="TOQ4092" s="917"/>
      <c r="TOR4092" s="917"/>
      <c r="TOS4092" s="917"/>
      <c r="TOT4092" s="917"/>
      <c r="TOU4092" s="917"/>
      <c r="TOV4092" s="917"/>
      <c r="TOW4092" s="917"/>
      <c r="TOX4092" s="917"/>
      <c r="TOY4092" s="917"/>
      <c r="TOZ4092" s="917"/>
      <c r="TPA4092" s="917"/>
      <c r="TPB4092" s="917"/>
      <c r="TPC4092" s="917"/>
      <c r="TPD4092" s="917"/>
      <c r="TPE4092" s="917" t="s">
        <v>78</v>
      </c>
      <c r="TPF4092" s="917"/>
      <c r="TPG4092" s="917"/>
      <c r="TPH4092" s="917"/>
      <c r="TPI4092" s="917"/>
      <c r="TPJ4092" s="917"/>
      <c r="TPK4092" s="917"/>
      <c r="TPL4092" s="917"/>
      <c r="TPM4092" s="917"/>
      <c r="TPN4092" s="917"/>
      <c r="TPO4092" s="917"/>
      <c r="TPP4092" s="917"/>
      <c r="TPQ4092" s="917"/>
      <c r="TPR4092" s="917"/>
      <c r="TPS4092" s="917"/>
      <c r="TPT4092" s="917"/>
      <c r="TPU4092" s="917"/>
      <c r="TPV4092" s="917"/>
      <c r="TPW4092" s="917"/>
      <c r="TPX4092" s="917"/>
      <c r="TPY4092" s="917"/>
      <c r="TPZ4092" s="917"/>
      <c r="TQA4092" s="917"/>
      <c r="TQB4092" s="917"/>
      <c r="TQC4092" s="917"/>
      <c r="TQD4092" s="917"/>
      <c r="TQE4092" s="917"/>
      <c r="TQF4092" s="917"/>
      <c r="TQG4092" s="917"/>
      <c r="TQH4092" s="917"/>
      <c r="TQI4092" s="917"/>
      <c r="TQJ4092" s="917"/>
      <c r="TQK4092" s="917" t="s">
        <v>78</v>
      </c>
      <c r="TQL4092" s="917"/>
      <c r="TQM4092" s="917"/>
      <c r="TQN4092" s="917"/>
      <c r="TQO4092" s="917"/>
      <c r="TQP4092" s="917"/>
      <c r="TQQ4092" s="917"/>
      <c r="TQR4092" s="917"/>
      <c r="TQS4092" s="917"/>
      <c r="TQT4092" s="917"/>
      <c r="TQU4092" s="917"/>
      <c r="TQV4092" s="917"/>
      <c r="TQW4092" s="917"/>
      <c r="TQX4092" s="917"/>
      <c r="TQY4092" s="917"/>
      <c r="TQZ4092" s="917"/>
      <c r="TRA4092" s="917"/>
      <c r="TRB4092" s="917"/>
      <c r="TRC4092" s="917"/>
      <c r="TRD4092" s="917"/>
      <c r="TRE4092" s="917"/>
      <c r="TRF4092" s="917"/>
      <c r="TRG4092" s="917"/>
      <c r="TRH4092" s="917"/>
      <c r="TRI4092" s="917"/>
      <c r="TRJ4092" s="917"/>
      <c r="TRK4092" s="917"/>
      <c r="TRL4092" s="917"/>
      <c r="TRM4092" s="917"/>
      <c r="TRN4092" s="917"/>
      <c r="TRO4092" s="917"/>
      <c r="TRP4092" s="917"/>
      <c r="TRQ4092" s="917" t="s">
        <v>78</v>
      </c>
      <c r="TRR4092" s="917"/>
      <c r="TRS4092" s="917"/>
      <c r="TRT4092" s="917"/>
      <c r="TRU4092" s="917"/>
      <c r="TRV4092" s="917"/>
      <c r="TRW4092" s="917"/>
      <c r="TRX4092" s="917"/>
      <c r="TRY4092" s="917"/>
      <c r="TRZ4092" s="917"/>
      <c r="TSA4092" s="917"/>
      <c r="TSB4092" s="917"/>
      <c r="TSC4092" s="917"/>
      <c r="TSD4092" s="917"/>
      <c r="TSE4092" s="917"/>
      <c r="TSF4092" s="917"/>
      <c r="TSG4092" s="917"/>
      <c r="TSH4092" s="917"/>
      <c r="TSI4092" s="917"/>
      <c r="TSJ4092" s="917"/>
      <c r="TSK4092" s="917"/>
      <c r="TSL4092" s="917"/>
      <c r="TSM4092" s="917"/>
      <c r="TSN4092" s="917"/>
      <c r="TSO4092" s="917"/>
      <c r="TSP4092" s="917"/>
      <c r="TSQ4092" s="917"/>
      <c r="TSR4092" s="917"/>
      <c r="TSS4092" s="917"/>
      <c r="TST4092" s="917"/>
      <c r="TSU4092" s="917"/>
      <c r="TSV4092" s="917"/>
      <c r="TSW4092" s="917" t="s">
        <v>78</v>
      </c>
      <c r="TSX4092" s="917"/>
      <c r="TSY4092" s="917"/>
      <c r="TSZ4092" s="917"/>
      <c r="TTA4092" s="917"/>
      <c r="TTB4092" s="917"/>
      <c r="TTC4092" s="917"/>
      <c r="TTD4092" s="917"/>
      <c r="TTE4092" s="917"/>
      <c r="TTF4092" s="917"/>
      <c r="TTG4092" s="917"/>
      <c r="TTH4092" s="917"/>
      <c r="TTI4092" s="917"/>
      <c r="TTJ4092" s="917"/>
      <c r="TTK4092" s="917"/>
      <c r="TTL4092" s="917"/>
      <c r="TTM4092" s="917"/>
      <c r="TTN4092" s="917"/>
      <c r="TTO4092" s="917"/>
      <c r="TTP4092" s="917"/>
      <c r="TTQ4092" s="917"/>
      <c r="TTR4092" s="917"/>
      <c r="TTS4092" s="917"/>
      <c r="TTT4092" s="917"/>
      <c r="TTU4092" s="917"/>
      <c r="TTV4092" s="917"/>
      <c r="TTW4092" s="917"/>
      <c r="TTX4092" s="917"/>
      <c r="TTY4092" s="917"/>
      <c r="TTZ4092" s="917"/>
      <c r="TUA4092" s="917"/>
      <c r="TUB4092" s="917"/>
      <c r="TUC4092" s="917" t="s">
        <v>78</v>
      </c>
      <c r="TUD4092" s="917"/>
      <c r="TUE4092" s="917"/>
      <c r="TUF4092" s="917"/>
      <c r="TUG4092" s="917"/>
      <c r="TUH4092" s="917"/>
      <c r="TUI4092" s="917"/>
      <c r="TUJ4092" s="917"/>
      <c r="TUK4092" s="917"/>
      <c r="TUL4092" s="917"/>
      <c r="TUM4092" s="917"/>
      <c r="TUN4092" s="917"/>
      <c r="TUO4092" s="917"/>
      <c r="TUP4092" s="917"/>
      <c r="TUQ4092" s="917"/>
      <c r="TUR4092" s="917"/>
      <c r="TUS4092" s="917"/>
      <c r="TUT4092" s="917"/>
      <c r="TUU4092" s="917"/>
      <c r="TUV4092" s="917"/>
      <c r="TUW4092" s="917"/>
      <c r="TUX4092" s="917"/>
      <c r="TUY4092" s="917"/>
      <c r="TUZ4092" s="917"/>
      <c r="TVA4092" s="917"/>
      <c r="TVB4092" s="917"/>
      <c r="TVC4092" s="917"/>
      <c r="TVD4092" s="917"/>
      <c r="TVE4092" s="917"/>
      <c r="TVF4092" s="917"/>
      <c r="TVG4092" s="917"/>
      <c r="TVH4092" s="917"/>
      <c r="TVI4092" s="917" t="s">
        <v>78</v>
      </c>
      <c r="TVJ4092" s="917"/>
      <c r="TVK4092" s="917"/>
      <c r="TVL4092" s="917"/>
      <c r="TVM4092" s="917"/>
      <c r="TVN4092" s="917"/>
      <c r="TVO4092" s="917"/>
      <c r="TVP4092" s="917"/>
      <c r="TVQ4092" s="917"/>
      <c r="TVR4092" s="917"/>
      <c r="TVS4092" s="917"/>
      <c r="TVT4092" s="917"/>
      <c r="TVU4092" s="917"/>
      <c r="TVV4092" s="917"/>
      <c r="TVW4092" s="917"/>
      <c r="TVX4092" s="917"/>
      <c r="TVY4092" s="917"/>
      <c r="TVZ4092" s="917"/>
      <c r="TWA4092" s="917"/>
      <c r="TWB4092" s="917"/>
      <c r="TWC4092" s="917"/>
      <c r="TWD4092" s="917"/>
      <c r="TWE4092" s="917"/>
      <c r="TWF4092" s="917"/>
      <c r="TWG4092" s="917"/>
      <c r="TWH4092" s="917"/>
      <c r="TWI4092" s="917"/>
      <c r="TWJ4092" s="917"/>
      <c r="TWK4092" s="917"/>
      <c r="TWL4092" s="917"/>
      <c r="TWM4092" s="917"/>
      <c r="TWN4092" s="917"/>
      <c r="TWO4092" s="917" t="s">
        <v>78</v>
      </c>
      <c r="TWP4092" s="917"/>
      <c r="TWQ4092" s="917"/>
      <c r="TWR4092" s="917"/>
      <c r="TWS4092" s="917"/>
      <c r="TWT4092" s="917"/>
      <c r="TWU4092" s="917"/>
      <c r="TWV4092" s="917"/>
      <c r="TWW4092" s="917"/>
      <c r="TWX4092" s="917"/>
      <c r="TWY4092" s="917"/>
      <c r="TWZ4092" s="917"/>
      <c r="TXA4092" s="917"/>
      <c r="TXB4092" s="917"/>
      <c r="TXC4092" s="917"/>
      <c r="TXD4092" s="917"/>
      <c r="TXE4092" s="917"/>
      <c r="TXF4092" s="917"/>
      <c r="TXG4092" s="917"/>
      <c r="TXH4092" s="917"/>
      <c r="TXI4092" s="917"/>
      <c r="TXJ4092" s="917"/>
      <c r="TXK4092" s="917"/>
      <c r="TXL4092" s="917"/>
      <c r="TXM4092" s="917"/>
      <c r="TXN4092" s="917"/>
      <c r="TXO4092" s="917"/>
      <c r="TXP4092" s="917"/>
      <c r="TXQ4092" s="917"/>
      <c r="TXR4092" s="917"/>
      <c r="TXS4092" s="917"/>
      <c r="TXT4092" s="917"/>
      <c r="TXU4092" s="917" t="s">
        <v>78</v>
      </c>
      <c r="TXV4092" s="917"/>
      <c r="TXW4092" s="917"/>
      <c r="TXX4092" s="917"/>
      <c r="TXY4092" s="917"/>
      <c r="TXZ4092" s="917"/>
      <c r="TYA4092" s="917"/>
      <c r="TYB4092" s="917"/>
      <c r="TYC4092" s="917"/>
      <c r="TYD4092" s="917"/>
      <c r="TYE4092" s="917"/>
      <c r="TYF4092" s="917"/>
      <c r="TYG4092" s="917"/>
      <c r="TYH4092" s="917"/>
      <c r="TYI4092" s="917"/>
      <c r="TYJ4092" s="917"/>
      <c r="TYK4092" s="917"/>
      <c r="TYL4092" s="917"/>
      <c r="TYM4092" s="917"/>
      <c r="TYN4092" s="917"/>
      <c r="TYO4092" s="917"/>
      <c r="TYP4092" s="917"/>
      <c r="TYQ4092" s="917"/>
      <c r="TYR4092" s="917"/>
      <c r="TYS4092" s="917"/>
      <c r="TYT4092" s="917"/>
      <c r="TYU4092" s="917"/>
      <c r="TYV4092" s="917"/>
      <c r="TYW4092" s="917"/>
      <c r="TYX4092" s="917"/>
      <c r="TYY4092" s="917"/>
      <c r="TYZ4092" s="917"/>
      <c r="TZA4092" s="917" t="s">
        <v>78</v>
      </c>
      <c r="TZB4092" s="917"/>
      <c r="TZC4092" s="917"/>
      <c r="TZD4092" s="917"/>
      <c r="TZE4092" s="917"/>
      <c r="TZF4092" s="917"/>
      <c r="TZG4092" s="917"/>
      <c r="TZH4092" s="917"/>
      <c r="TZI4092" s="917"/>
      <c r="TZJ4092" s="917"/>
      <c r="TZK4092" s="917"/>
      <c r="TZL4092" s="917"/>
      <c r="TZM4092" s="917"/>
      <c r="TZN4092" s="917"/>
      <c r="TZO4092" s="917"/>
      <c r="TZP4092" s="917"/>
      <c r="TZQ4092" s="917"/>
      <c r="TZR4092" s="917"/>
      <c r="TZS4092" s="917"/>
      <c r="TZT4092" s="917"/>
      <c r="TZU4092" s="917"/>
      <c r="TZV4092" s="917"/>
      <c r="TZW4092" s="917"/>
      <c r="TZX4092" s="917"/>
      <c r="TZY4092" s="917"/>
      <c r="TZZ4092" s="917"/>
      <c r="UAA4092" s="917"/>
      <c r="UAB4092" s="917"/>
      <c r="UAC4092" s="917"/>
      <c r="UAD4092" s="917"/>
      <c r="UAE4092" s="917"/>
      <c r="UAF4092" s="917"/>
      <c r="UAG4092" s="917" t="s">
        <v>78</v>
      </c>
      <c r="UAH4092" s="917"/>
      <c r="UAI4092" s="917"/>
      <c r="UAJ4092" s="917"/>
      <c r="UAK4092" s="917"/>
      <c r="UAL4092" s="917"/>
      <c r="UAM4092" s="917"/>
      <c r="UAN4092" s="917"/>
      <c r="UAO4092" s="917"/>
      <c r="UAP4092" s="917"/>
      <c r="UAQ4092" s="917"/>
      <c r="UAR4092" s="917"/>
      <c r="UAS4092" s="917"/>
      <c r="UAT4092" s="917"/>
      <c r="UAU4092" s="917"/>
      <c r="UAV4092" s="917"/>
      <c r="UAW4092" s="917"/>
      <c r="UAX4092" s="917"/>
      <c r="UAY4092" s="917"/>
      <c r="UAZ4092" s="917"/>
      <c r="UBA4092" s="917"/>
      <c r="UBB4092" s="917"/>
      <c r="UBC4092" s="917"/>
      <c r="UBD4092" s="917"/>
      <c r="UBE4092" s="917"/>
      <c r="UBF4092" s="917"/>
      <c r="UBG4092" s="917"/>
      <c r="UBH4092" s="917"/>
      <c r="UBI4092" s="917"/>
      <c r="UBJ4092" s="917"/>
      <c r="UBK4092" s="917"/>
      <c r="UBL4092" s="917"/>
      <c r="UBM4092" s="917" t="s">
        <v>78</v>
      </c>
      <c r="UBN4092" s="917"/>
      <c r="UBO4092" s="917"/>
      <c r="UBP4092" s="917"/>
      <c r="UBQ4092" s="917"/>
      <c r="UBR4092" s="917"/>
      <c r="UBS4092" s="917"/>
      <c r="UBT4092" s="917"/>
      <c r="UBU4092" s="917"/>
      <c r="UBV4092" s="917"/>
      <c r="UBW4092" s="917"/>
      <c r="UBX4092" s="917"/>
      <c r="UBY4092" s="917"/>
      <c r="UBZ4092" s="917"/>
      <c r="UCA4092" s="917"/>
      <c r="UCB4092" s="917"/>
      <c r="UCC4092" s="917"/>
      <c r="UCD4092" s="917"/>
      <c r="UCE4092" s="917"/>
      <c r="UCF4092" s="917"/>
      <c r="UCG4092" s="917"/>
      <c r="UCH4092" s="917"/>
      <c r="UCI4092" s="917"/>
      <c r="UCJ4092" s="917"/>
      <c r="UCK4092" s="917"/>
      <c r="UCL4092" s="917"/>
      <c r="UCM4092" s="917"/>
      <c r="UCN4092" s="917"/>
      <c r="UCO4092" s="917"/>
      <c r="UCP4092" s="917"/>
      <c r="UCQ4092" s="917"/>
      <c r="UCR4092" s="917"/>
      <c r="UCS4092" s="917" t="s">
        <v>78</v>
      </c>
      <c r="UCT4092" s="917"/>
      <c r="UCU4092" s="917"/>
      <c r="UCV4092" s="917"/>
      <c r="UCW4092" s="917"/>
      <c r="UCX4092" s="917"/>
      <c r="UCY4092" s="917"/>
      <c r="UCZ4092" s="917"/>
      <c r="UDA4092" s="917"/>
      <c r="UDB4092" s="917"/>
      <c r="UDC4092" s="917"/>
      <c r="UDD4092" s="917"/>
      <c r="UDE4092" s="917"/>
      <c r="UDF4092" s="917"/>
      <c r="UDG4092" s="917"/>
      <c r="UDH4092" s="917"/>
      <c r="UDI4092" s="917"/>
      <c r="UDJ4092" s="917"/>
      <c r="UDK4092" s="917"/>
      <c r="UDL4092" s="917"/>
      <c r="UDM4092" s="917"/>
      <c r="UDN4092" s="917"/>
      <c r="UDO4092" s="917"/>
      <c r="UDP4092" s="917"/>
      <c r="UDQ4092" s="917"/>
      <c r="UDR4092" s="917"/>
      <c r="UDS4092" s="917"/>
      <c r="UDT4092" s="917"/>
      <c r="UDU4092" s="917"/>
      <c r="UDV4092" s="917"/>
      <c r="UDW4092" s="917"/>
      <c r="UDX4092" s="917"/>
      <c r="UDY4092" s="917" t="s">
        <v>78</v>
      </c>
      <c r="UDZ4092" s="917"/>
      <c r="UEA4092" s="917"/>
      <c r="UEB4092" s="917"/>
      <c r="UEC4092" s="917"/>
      <c r="UED4092" s="917"/>
      <c r="UEE4092" s="917"/>
      <c r="UEF4092" s="917"/>
      <c r="UEG4092" s="917"/>
      <c r="UEH4092" s="917"/>
      <c r="UEI4092" s="917"/>
      <c r="UEJ4092" s="917"/>
      <c r="UEK4092" s="917"/>
      <c r="UEL4092" s="917"/>
      <c r="UEM4092" s="917"/>
      <c r="UEN4092" s="917"/>
      <c r="UEO4092" s="917"/>
      <c r="UEP4092" s="917"/>
      <c r="UEQ4092" s="917"/>
      <c r="UER4092" s="917"/>
      <c r="UES4092" s="917"/>
      <c r="UET4092" s="917"/>
      <c r="UEU4092" s="917"/>
      <c r="UEV4092" s="917"/>
      <c r="UEW4092" s="917"/>
      <c r="UEX4092" s="917"/>
      <c r="UEY4092" s="917"/>
      <c r="UEZ4092" s="917"/>
      <c r="UFA4092" s="917"/>
      <c r="UFB4092" s="917"/>
      <c r="UFC4092" s="917"/>
      <c r="UFD4092" s="917"/>
      <c r="UFE4092" s="917" t="s">
        <v>78</v>
      </c>
      <c r="UFF4092" s="917"/>
      <c r="UFG4092" s="917"/>
      <c r="UFH4092" s="917"/>
      <c r="UFI4092" s="917"/>
      <c r="UFJ4092" s="917"/>
      <c r="UFK4092" s="917"/>
      <c r="UFL4092" s="917"/>
      <c r="UFM4092" s="917"/>
      <c r="UFN4092" s="917"/>
      <c r="UFO4092" s="917"/>
      <c r="UFP4092" s="917"/>
      <c r="UFQ4092" s="917"/>
      <c r="UFR4092" s="917"/>
      <c r="UFS4092" s="917"/>
      <c r="UFT4092" s="917"/>
      <c r="UFU4092" s="917"/>
      <c r="UFV4092" s="917"/>
      <c r="UFW4092" s="917"/>
      <c r="UFX4092" s="917"/>
      <c r="UFY4092" s="917"/>
      <c r="UFZ4092" s="917"/>
      <c r="UGA4092" s="917"/>
      <c r="UGB4092" s="917"/>
      <c r="UGC4092" s="917"/>
      <c r="UGD4092" s="917"/>
      <c r="UGE4092" s="917"/>
      <c r="UGF4092" s="917"/>
      <c r="UGG4092" s="917"/>
      <c r="UGH4092" s="917"/>
      <c r="UGI4092" s="917"/>
      <c r="UGJ4092" s="917"/>
      <c r="UGK4092" s="917" t="s">
        <v>78</v>
      </c>
      <c r="UGL4092" s="917"/>
      <c r="UGM4092" s="917"/>
      <c r="UGN4092" s="917"/>
      <c r="UGO4092" s="917"/>
      <c r="UGP4092" s="917"/>
      <c r="UGQ4092" s="917"/>
      <c r="UGR4092" s="917"/>
      <c r="UGS4092" s="917"/>
      <c r="UGT4092" s="917"/>
      <c r="UGU4092" s="917"/>
      <c r="UGV4092" s="917"/>
      <c r="UGW4092" s="917"/>
      <c r="UGX4092" s="917"/>
      <c r="UGY4092" s="917"/>
      <c r="UGZ4092" s="917"/>
      <c r="UHA4092" s="917"/>
      <c r="UHB4092" s="917"/>
      <c r="UHC4092" s="917"/>
      <c r="UHD4092" s="917"/>
      <c r="UHE4092" s="917"/>
      <c r="UHF4092" s="917"/>
      <c r="UHG4092" s="917"/>
      <c r="UHH4092" s="917"/>
      <c r="UHI4092" s="917"/>
      <c r="UHJ4092" s="917"/>
      <c r="UHK4092" s="917"/>
      <c r="UHL4092" s="917"/>
      <c r="UHM4092" s="917"/>
      <c r="UHN4092" s="917"/>
      <c r="UHO4092" s="917"/>
      <c r="UHP4092" s="917"/>
      <c r="UHQ4092" s="917" t="s">
        <v>78</v>
      </c>
      <c r="UHR4092" s="917"/>
      <c r="UHS4092" s="917"/>
      <c r="UHT4092" s="917"/>
      <c r="UHU4092" s="917"/>
      <c r="UHV4092" s="917"/>
      <c r="UHW4092" s="917"/>
      <c r="UHX4092" s="917"/>
      <c r="UHY4092" s="917"/>
      <c r="UHZ4092" s="917"/>
      <c r="UIA4092" s="917"/>
      <c r="UIB4092" s="917"/>
      <c r="UIC4092" s="917"/>
      <c r="UID4092" s="917"/>
      <c r="UIE4092" s="917"/>
      <c r="UIF4092" s="917"/>
      <c r="UIG4092" s="917"/>
      <c r="UIH4092" s="917"/>
      <c r="UII4092" s="917"/>
      <c r="UIJ4092" s="917"/>
      <c r="UIK4092" s="917"/>
      <c r="UIL4092" s="917"/>
      <c r="UIM4092" s="917"/>
      <c r="UIN4092" s="917"/>
      <c r="UIO4092" s="917"/>
      <c r="UIP4092" s="917"/>
      <c r="UIQ4092" s="917"/>
      <c r="UIR4092" s="917"/>
      <c r="UIS4092" s="917"/>
      <c r="UIT4092" s="917"/>
      <c r="UIU4092" s="917"/>
      <c r="UIV4092" s="917"/>
      <c r="UIW4092" s="917" t="s">
        <v>78</v>
      </c>
      <c r="UIX4092" s="917"/>
      <c r="UIY4092" s="917"/>
      <c r="UIZ4092" s="917"/>
      <c r="UJA4092" s="917"/>
      <c r="UJB4092" s="917"/>
      <c r="UJC4092" s="917"/>
      <c r="UJD4092" s="917"/>
      <c r="UJE4092" s="917"/>
      <c r="UJF4092" s="917"/>
      <c r="UJG4092" s="917"/>
      <c r="UJH4092" s="917"/>
      <c r="UJI4092" s="917"/>
      <c r="UJJ4092" s="917"/>
      <c r="UJK4092" s="917"/>
      <c r="UJL4092" s="917"/>
      <c r="UJM4092" s="917"/>
      <c r="UJN4092" s="917"/>
      <c r="UJO4092" s="917"/>
      <c r="UJP4092" s="917"/>
      <c r="UJQ4092" s="917"/>
      <c r="UJR4092" s="917"/>
      <c r="UJS4092" s="917"/>
      <c r="UJT4092" s="917"/>
      <c r="UJU4092" s="917"/>
      <c r="UJV4092" s="917"/>
      <c r="UJW4092" s="917"/>
      <c r="UJX4092" s="917"/>
      <c r="UJY4092" s="917"/>
      <c r="UJZ4092" s="917"/>
      <c r="UKA4092" s="917"/>
      <c r="UKB4092" s="917"/>
      <c r="UKC4092" s="917" t="s">
        <v>78</v>
      </c>
      <c r="UKD4092" s="917"/>
      <c r="UKE4092" s="917"/>
      <c r="UKF4092" s="917"/>
      <c r="UKG4092" s="917"/>
      <c r="UKH4092" s="917"/>
      <c r="UKI4092" s="917"/>
      <c r="UKJ4092" s="917"/>
      <c r="UKK4092" s="917"/>
      <c r="UKL4092" s="917"/>
      <c r="UKM4092" s="917"/>
      <c r="UKN4092" s="917"/>
      <c r="UKO4092" s="917"/>
      <c r="UKP4092" s="917"/>
      <c r="UKQ4092" s="917"/>
      <c r="UKR4092" s="917"/>
      <c r="UKS4092" s="917"/>
      <c r="UKT4092" s="917"/>
      <c r="UKU4092" s="917"/>
      <c r="UKV4092" s="917"/>
      <c r="UKW4092" s="917"/>
      <c r="UKX4092" s="917"/>
      <c r="UKY4092" s="917"/>
      <c r="UKZ4092" s="917"/>
      <c r="ULA4092" s="917"/>
      <c r="ULB4092" s="917"/>
      <c r="ULC4092" s="917"/>
      <c r="ULD4092" s="917"/>
      <c r="ULE4092" s="917"/>
      <c r="ULF4092" s="917"/>
      <c r="ULG4092" s="917"/>
      <c r="ULH4092" s="917"/>
      <c r="ULI4092" s="917" t="s">
        <v>78</v>
      </c>
      <c r="ULJ4092" s="917"/>
      <c r="ULK4092" s="917"/>
      <c r="ULL4092" s="917"/>
      <c r="ULM4092" s="917"/>
      <c r="ULN4092" s="917"/>
      <c r="ULO4092" s="917"/>
      <c r="ULP4092" s="917"/>
      <c r="ULQ4092" s="917"/>
      <c r="ULR4092" s="917"/>
      <c r="ULS4092" s="917"/>
      <c r="ULT4092" s="917"/>
      <c r="ULU4092" s="917"/>
      <c r="ULV4092" s="917"/>
      <c r="ULW4092" s="917"/>
      <c r="ULX4092" s="917"/>
      <c r="ULY4092" s="917"/>
      <c r="ULZ4092" s="917"/>
      <c r="UMA4092" s="917"/>
      <c r="UMB4092" s="917"/>
      <c r="UMC4092" s="917"/>
      <c r="UMD4092" s="917"/>
      <c r="UME4092" s="917"/>
      <c r="UMF4092" s="917"/>
      <c r="UMG4092" s="917"/>
      <c r="UMH4092" s="917"/>
      <c r="UMI4092" s="917"/>
      <c r="UMJ4092" s="917"/>
      <c r="UMK4092" s="917"/>
      <c r="UML4092" s="917"/>
      <c r="UMM4092" s="917"/>
      <c r="UMN4092" s="917"/>
      <c r="UMO4092" s="917" t="s">
        <v>78</v>
      </c>
      <c r="UMP4092" s="917"/>
      <c r="UMQ4092" s="917"/>
      <c r="UMR4092" s="917"/>
      <c r="UMS4092" s="917"/>
      <c r="UMT4092" s="917"/>
      <c r="UMU4092" s="917"/>
      <c r="UMV4092" s="917"/>
      <c r="UMW4092" s="917"/>
      <c r="UMX4092" s="917"/>
      <c r="UMY4092" s="917"/>
      <c r="UMZ4092" s="917"/>
      <c r="UNA4092" s="917"/>
      <c r="UNB4092" s="917"/>
      <c r="UNC4092" s="917"/>
      <c r="UND4092" s="917"/>
      <c r="UNE4092" s="917"/>
      <c r="UNF4092" s="917"/>
      <c r="UNG4092" s="917"/>
      <c r="UNH4092" s="917"/>
      <c r="UNI4092" s="917"/>
      <c r="UNJ4092" s="917"/>
      <c r="UNK4092" s="917"/>
      <c r="UNL4092" s="917"/>
      <c r="UNM4092" s="917"/>
      <c r="UNN4092" s="917"/>
      <c r="UNO4092" s="917"/>
      <c r="UNP4092" s="917"/>
      <c r="UNQ4092" s="917"/>
      <c r="UNR4092" s="917"/>
      <c r="UNS4092" s="917"/>
      <c r="UNT4092" s="917"/>
      <c r="UNU4092" s="917" t="s">
        <v>78</v>
      </c>
      <c r="UNV4092" s="917"/>
      <c r="UNW4092" s="917"/>
      <c r="UNX4092" s="917"/>
      <c r="UNY4092" s="917"/>
      <c r="UNZ4092" s="917"/>
      <c r="UOA4092" s="917"/>
      <c r="UOB4092" s="917"/>
      <c r="UOC4092" s="917"/>
      <c r="UOD4092" s="917"/>
      <c r="UOE4092" s="917"/>
      <c r="UOF4092" s="917"/>
      <c r="UOG4092" s="917"/>
      <c r="UOH4092" s="917"/>
      <c r="UOI4092" s="917"/>
      <c r="UOJ4092" s="917"/>
      <c r="UOK4092" s="917"/>
      <c r="UOL4092" s="917"/>
      <c r="UOM4092" s="917"/>
      <c r="UON4092" s="917"/>
      <c r="UOO4092" s="917"/>
      <c r="UOP4092" s="917"/>
      <c r="UOQ4092" s="917"/>
      <c r="UOR4092" s="917"/>
      <c r="UOS4092" s="917"/>
      <c r="UOT4092" s="917"/>
      <c r="UOU4092" s="917"/>
      <c r="UOV4092" s="917"/>
      <c r="UOW4092" s="917"/>
      <c r="UOX4092" s="917"/>
      <c r="UOY4092" s="917"/>
      <c r="UOZ4092" s="917"/>
      <c r="UPA4092" s="917" t="s">
        <v>78</v>
      </c>
      <c r="UPB4092" s="917"/>
      <c r="UPC4092" s="917"/>
      <c r="UPD4092" s="917"/>
      <c r="UPE4092" s="917"/>
      <c r="UPF4092" s="917"/>
      <c r="UPG4092" s="917"/>
      <c r="UPH4092" s="917"/>
      <c r="UPI4092" s="917"/>
      <c r="UPJ4092" s="917"/>
      <c r="UPK4092" s="917"/>
      <c r="UPL4092" s="917"/>
      <c r="UPM4092" s="917"/>
      <c r="UPN4092" s="917"/>
      <c r="UPO4092" s="917"/>
      <c r="UPP4092" s="917"/>
      <c r="UPQ4092" s="917"/>
      <c r="UPR4092" s="917"/>
      <c r="UPS4092" s="917"/>
      <c r="UPT4092" s="917"/>
      <c r="UPU4092" s="917"/>
      <c r="UPV4092" s="917"/>
      <c r="UPW4092" s="917"/>
      <c r="UPX4092" s="917"/>
      <c r="UPY4092" s="917"/>
      <c r="UPZ4092" s="917"/>
      <c r="UQA4092" s="917"/>
      <c r="UQB4092" s="917"/>
      <c r="UQC4092" s="917"/>
      <c r="UQD4092" s="917"/>
      <c r="UQE4092" s="917"/>
      <c r="UQF4092" s="917"/>
      <c r="UQG4092" s="917" t="s">
        <v>78</v>
      </c>
      <c r="UQH4092" s="917"/>
      <c r="UQI4092" s="917"/>
      <c r="UQJ4092" s="917"/>
      <c r="UQK4092" s="917"/>
      <c r="UQL4092" s="917"/>
      <c r="UQM4092" s="917"/>
      <c r="UQN4092" s="917"/>
      <c r="UQO4092" s="917"/>
      <c r="UQP4092" s="917"/>
      <c r="UQQ4092" s="917"/>
      <c r="UQR4092" s="917"/>
      <c r="UQS4092" s="917"/>
      <c r="UQT4092" s="917"/>
      <c r="UQU4092" s="917"/>
      <c r="UQV4092" s="917"/>
      <c r="UQW4092" s="917"/>
      <c r="UQX4092" s="917"/>
      <c r="UQY4092" s="917"/>
      <c r="UQZ4092" s="917"/>
      <c r="URA4092" s="917"/>
      <c r="URB4092" s="917"/>
      <c r="URC4092" s="917"/>
      <c r="URD4092" s="917"/>
      <c r="URE4092" s="917"/>
      <c r="URF4092" s="917"/>
      <c r="URG4092" s="917"/>
      <c r="URH4092" s="917"/>
      <c r="URI4092" s="917"/>
      <c r="URJ4092" s="917"/>
      <c r="URK4092" s="917"/>
      <c r="URL4092" s="917"/>
      <c r="URM4092" s="917" t="s">
        <v>78</v>
      </c>
      <c r="URN4092" s="917"/>
      <c r="URO4092" s="917"/>
      <c r="URP4092" s="917"/>
      <c r="URQ4092" s="917"/>
      <c r="URR4092" s="917"/>
      <c r="URS4092" s="917"/>
      <c r="URT4092" s="917"/>
      <c r="URU4092" s="917"/>
      <c r="URV4092" s="917"/>
      <c r="URW4092" s="917"/>
      <c r="URX4092" s="917"/>
      <c r="URY4092" s="917"/>
      <c r="URZ4092" s="917"/>
      <c r="USA4092" s="917"/>
      <c r="USB4092" s="917"/>
      <c r="USC4092" s="917"/>
      <c r="USD4092" s="917"/>
      <c r="USE4092" s="917"/>
      <c r="USF4092" s="917"/>
      <c r="USG4092" s="917"/>
      <c r="USH4092" s="917"/>
      <c r="USI4092" s="917"/>
      <c r="USJ4092" s="917"/>
      <c r="USK4092" s="917"/>
      <c r="USL4092" s="917"/>
      <c r="USM4092" s="917"/>
      <c r="USN4092" s="917"/>
      <c r="USO4092" s="917"/>
      <c r="USP4092" s="917"/>
      <c r="USQ4092" s="917"/>
      <c r="USR4092" s="917"/>
      <c r="USS4092" s="917" t="s">
        <v>78</v>
      </c>
      <c r="UST4092" s="917"/>
      <c r="USU4092" s="917"/>
      <c r="USV4092" s="917"/>
      <c r="USW4092" s="917"/>
      <c r="USX4092" s="917"/>
      <c r="USY4092" s="917"/>
      <c r="USZ4092" s="917"/>
      <c r="UTA4092" s="917"/>
      <c r="UTB4092" s="917"/>
      <c r="UTC4092" s="917"/>
      <c r="UTD4092" s="917"/>
      <c r="UTE4092" s="917"/>
      <c r="UTF4092" s="917"/>
      <c r="UTG4092" s="917"/>
      <c r="UTH4092" s="917"/>
      <c r="UTI4092" s="917"/>
      <c r="UTJ4092" s="917"/>
      <c r="UTK4092" s="917"/>
      <c r="UTL4092" s="917"/>
      <c r="UTM4092" s="917"/>
      <c r="UTN4092" s="917"/>
      <c r="UTO4092" s="917"/>
      <c r="UTP4092" s="917"/>
      <c r="UTQ4092" s="917"/>
      <c r="UTR4092" s="917"/>
      <c r="UTS4092" s="917"/>
      <c r="UTT4092" s="917"/>
      <c r="UTU4092" s="917"/>
      <c r="UTV4092" s="917"/>
      <c r="UTW4092" s="917"/>
      <c r="UTX4092" s="917"/>
      <c r="UTY4092" s="917" t="s">
        <v>78</v>
      </c>
      <c r="UTZ4092" s="917"/>
      <c r="UUA4092" s="917"/>
      <c r="UUB4092" s="917"/>
      <c r="UUC4092" s="917"/>
      <c r="UUD4092" s="917"/>
      <c r="UUE4092" s="917"/>
      <c r="UUF4092" s="917"/>
      <c r="UUG4092" s="917"/>
      <c r="UUH4092" s="917"/>
      <c r="UUI4092" s="917"/>
      <c r="UUJ4092" s="917"/>
      <c r="UUK4092" s="917"/>
      <c r="UUL4092" s="917"/>
      <c r="UUM4092" s="917"/>
      <c r="UUN4092" s="917"/>
      <c r="UUO4092" s="917"/>
      <c r="UUP4092" s="917"/>
      <c r="UUQ4092" s="917"/>
      <c r="UUR4092" s="917"/>
      <c r="UUS4092" s="917"/>
      <c r="UUT4092" s="917"/>
      <c r="UUU4092" s="917"/>
      <c r="UUV4092" s="917"/>
      <c r="UUW4092" s="917"/>
      <c r="UUX4092" s="917"/>
      <c r="UUY4092" s="917"/>
      <c r="UUZ4092" s="917"/>
      <c r="UVA4092" s="917"/>
      <c r="UVB4092" s="917"/>
      <c r="UVC4092" s="917"/>
      <c r="UVD4092" s="917"/>
      <c r="UVE4092" s="917" t="s">
        <v>78</v>
      </c>
      <c r="UVF4092" s="917"/>
      <c r="UVG4092" s="917"/>
      <c r="UVH4092" s="917"/>
      <c r="UVI4092" s="917"/>
      <c r="UVJ4092" s="917"/>
      <c r="UVK4092" s="917"/>
      <c r="UVL4092" s="917"/>
      <c r="UVM4092" s="917"/>
      <c r="UVN4092" s="917"/>
      <c r="UVO4092" s="917"/>
      <c r="UVP4092" s="917"/>
      <c r="UVQ4092" s="917"/>
      <c r="UVR4092" s="917"/>
      <c r="UVS4092" s="917"/>
      <c r="UVT4092" s="917"/>
      <c r="UVU4092" s="917"/>
      <c r="UVV4092" s="917"/>
      <c r="UVW4092" s="917"/>
      <c r="UVX4092" s="917"/>
      <c r="UVY4092" s="917"/>
      <c r="UVZ4092" s="917"/>
      <c r="UWA4092" s="917"/>
      <c r="UWB4092" s="917"/>
      <c r="UWC4092" s="917"/>
      <c r="UWD4092" s="917"/>
      <c r="UWE4092" s="917"/>
      <c r="UWF4092" s="917"/>
      <c r="UWG4092" s="917"/>
      <c r="UWH4092" s="917"/>
      <c r="UWI4092" s="917"/>
      <c r="UWJ4092" s="917"/>
      <c r="UWK4092" s="917" t="s">
        <v>78</v>
      </c>
      <c r="UWL4092" s="917"/>
      <c r="UWM4092" s="917"/>
      <c r="UWN4092" s="917"/>
      <c r="UWO4092" s="917"/>
      <c r="UWP4092" s="917"/>
      <c r="UWQ4092" s="917"/>
      <c r="UWR4092" s="917"/>
      <c r="UWS4092" s="917"/>
      <c r="UWT4092" s="917"/>
      <c r="UWU4092" s="917"/>
      <c r="UWV4092" s="917"/>
      <c r="UWW4092" s="917"/>
      <c r="UWX4092" s="917"/>
      <c r="UWY4092" s="917"/>
      <c r="UWZ4092" s="917"/>
      <c r="UXA4092" s="917"/>
      <c r="UXB4092" s="917"/>
      <c r="UXC4092" s="917"/>
      <c r="UXD4092" s="917"/>
      <c r="UXE4092" s="917"/>
      <c r="UXF4092" s="917"/>
      <c r="UXG4092" s="917"/>
      <c r="UXH4092" s="917"/>
      <c r="UXI4092" s="917"/>
      <c r="UXJ4092" s="917"/>
      <c r="UXK4092" s="917"/>
      <c r="UXL4092" s="917"/>
      <c r="UXM4092" s="917"/>
      <c r="UXN4092" s="917"/>
      <c r="UXO4092" s="917"/>
      <c r="UXP4092" s="917"/>
      <c r="UXQ4092" s="917" t="s">
        <v>78</v>
      </c>
      <c r="UXR4092" s="917"/>
      <c r="UXS4092" s="917"/>
      <c r="UXT4092" s="917"/>
      <c r="UXU4092" s="917"/>
      <c r="UXV4092" s="917"/>
      <c r="UXW4092" s="917"/>
      <c r="UXX4092" s="917"/>
      <c r="UXY4092" s="917"/>
      <c r="UXZ4092" s="917"/>
      <c r="UYA4092" s="917"/>
      <c r="UYB4092" s="917"/>
      <c r="UYC4092" s="917"/>
      <c r="UYD4092" s="917"/>
      <c r="UYE4092" s="917"/>
      <c r="UYF4092" s="917"/>
      <c r="UYG4092" s="917"/>
      <c r="UYH4092" s="917"/>
      <c r="UYI4092" s="917"/>
      <c r="UYJ4092" s="917"/>
      <c r="UYK4092" s="917"/>
      <c r="UYL4092" s="917"/>
      <c r="UYM4092" s="917"/>
      <c r="UYN4092" s="917"/>
      <c r="UYO4092" s="917"/>
      <c r="UYP4092" s="917"/>
      <c r="UYQ4092" s="917"/>
      <c r="UYR4092" s="917"/>
      <c r="UYS4092" s="917"/>
      <c r="UYT4092" s="917"/>
      <c r="UYU4092" s="917"/>
      <c r="UYV4092" s="917"/>
      <c r="UYW4092" s="917" t="s">
        <v>78</v>
      </c>
      <c r="UYX4092" s="917"/>
      <c r="UYY4092" s="917"/>
      <c r="UYZ4092" s="917"/>
      <c r="UZA4092" s="917"/>
      <c r="UZB4092" s="917"/>
      <c r="UZC4092" s="917"/>
      <c r="UZD4092" s="917"/>
      <c r="UZE4092" s="917"/>
      <c r="UZF4092" s="917"/>
      <c r="UZG4092" s="917"/>
      <c r="UZH4092" s="917"/>
      <c r="UZI4092" s="917"/>
      <c r="UZJ4092" s="917"/>
      <c r="UZK4092" s="917"/>
      <c r="UZL4092" s="917"/>
      <c r="UZM4092" s="917"/>
      <c r="UZN4092" s="917"/>
      <c r="UZO4092" s="917"/>
      <c r="UZP4092" s="917"/>
      <c r="UZQ4092" s="917"/>
      <c r="UZR4092" s="917"/>
      <c r="UZS4092" s="917"/>
      <c r="UZT4092" s="917"/>
      <c r="UZU4092" s="917"/>
      <c r="UZV4092" s="917"/>
      <c r="UZW4092" s="917"/>
      <c r="UZX4092" s="917"/>
      <c r="UZY4092" s="917"/>
      <c r="UZZ4092" s="917"/>
      <c r="VAA4092" s="917"/>
      <c r="VAB4092" s="917"/>
      <c r="VAC4092" s="917" t="s">
        <v>78</v>
      </c>
      <c r="VAD4092" s="917"/>
      <c r="VAE4092" s="917"/>
      <c r="VAF4092" s="917"/>
      <c r="VAG4092" s="917"/>
      <c r="VAH4092" s="917"/>
      <c r="VAI4092" s="917"/>
      <c r="VAJ4092" s="917"/>
      <c r="VAK4092" s="917"/>
      <c r="VAL4092" s="917"/>
      <c r="VAM4092" s="917"/>
      <c r="VAN4092" s="917"/>
      <c r="VAO4092" s="917"/>
      <c r="VAP4092" s="917"/>
      <c r="VAQ4092" s="917"/>
      <c r="VAR4092" s="917"/>
      <c r="VAS4092" s="917"/>
      <c r="VAT4092" s="917"/>
      <c r="VAU4092" s="917"/>
      <c r="VAV4092" s="917"/>
      <c r="VAW4092" s="917"/>
      <c r="VAX4092" s="917"/>
      <c r="VAY4092" s="917"/>
      <c r="VAZ4092" s="917"/>
      <c r="VBA4092" s="917"/>
      <c r="VBB4092" s="917"/>
      <c r="VBC4092" s="917"/>
      <c r="VBD4092" s="917"/>
      <c r="VBE4092" s="917"/>
      <c r="VBF4092" s="917"/>
      <c r="VBG4092" s="917"/>
      <c r="VBH4092" s="917"/>
      <c r="VBI4092" s="917" t="s">
        <v>78</v>
      </c>
      <c r="VBJ4092" s="917"/>
      <c r="VBK4092" s="917"/>
      <c r="VBL4092" s="917"/>
      <c r="VBM4092" s="917"/>
      <c r="VBN4092" s="917"/>
      <c r="VBO4092" s="917"/>
      <c r="VBP4092" s="917"/>
      <c r="VBQ4092" s="917"/>
      <c r="VBR4092" s="917"/>
      <c r="VBS4092" s="917"/>
      <c r="VBT4092" s="917"/>
      <c r="VBU4092" s="917"/>
      <c r="VBV4092" s="917"/>
      <c r="VBW4092" s="917"/>
      <c r="VBX4092" s="917"/>
      <c r="VBY4092" s="917"/>
      <c r="VBZ4092" s="917"/>
      <c r="VCA4092" s="917"/>
      <c r="VCB4092" s="917"/>
      <c r="VCC4092" s="917"/>
      <c r="VCD4092" s="917"/>
      <c r="VCE4092" s="917"/>
      <c r="VCF4092" s="917"/>
      <c r="VCG4092" s="917"/>
      <c r="VCH4092" s="917"/>
      <c r="VCI4092" s="917"/>
      <c r="VCJ4092" s="917"/>
      <c r="VCK4092" s="917"/>
      <c r="VCL4092" s="917"/>
      <c r="VCM4092" s="917"/>
      <c r="VCN4092" s="917"/>
      <c r="VCO4092" s="917" t="s">
        <v>78</v>
      </c>
      <c r="VCP4092" s="917"/>
      <c r="VCQ4092" s="917"/>
      <c r="VCR4092" s="917"/>
      <c r="VCS4092" s="917"/>
      <c r="VCT4092" s="917"/>
      <c r="VCU4092" s="917"/>
      <c r="VCV4092" s="917"/>
      <c r="VCW4092" s="917"/>
      <c r="VCX4092" s="917"/>
      <c r="VCY4092" s="917"/>
      <c r="VCZ4092" s="917"/>
      <c r="VDA4092" s="917"/>
      <c r="VDB4092" s="917"/>
      <c r="VDC4092" s="917"/>
      <c r="VDD4092" s="917"/>
      <c r="VDE4092" s="917"/>
      <c r="VDF4092" s="917"/>
      <c r="VDG4092" s="917"/>
      <c r="VDH4092" s="917"/>
      <c r="VDI4092" s="917"/>
      <c r="VDJ4092" s="917"/>
      <c r="VDK4092" s="917"/>
      <c r="VDL4092" s="917"/>
      <c r="VDM4092" s="917"/>
      <c r="VDN4092" s="917"/>
      <c r="VDO4092" s="917"/>
      <c r="VDP4092" s="917"/>
      <c r="VDQ4092" s="917"/>
      <c r="VDR4092" s="917"/>
      <c r="VDS4092" s="917"/>
      <c r="VDT4092" s="917"/>
      <c r="VDU4092" s="917" t="s">
        <v>78</v>
      </c>
      <c r="VDV4092" s="917"/>
      <c r="VDW4092" s="917"/>
      <c r="VDX4092" s="917"/>
      <c r="VDY4092" s="917"/>
      <c r="VDZ4092" s="917"/>
      <c r="VEA4092" s="917"/>
      <c r="VEB4092" s="917"/>
      <c r="VEC4092" s="917"/>
      <c r="VED4092" s="917"/>
      <c r="VEE4092" s="917"/>
      <c r="VEF4092" s="917"/>
      <c r="VEG4092" s="917"/>
      <c r="VEH4092" s="917"/>
      <c r="VEI4092" s="917"/>
      <c r="VEJ4092" s="917"/>
      <c r="VEK4092" s="917"/>
      <c r="VEL4092" s="917"/>
      <c r="VEM4092" s="917"/>
      <c r="VEN4092" s="917"/>
      <c r="VEO4092" s="917"/>
      <c r="VEP4092" s="917"/>
      <c r="VEQ4092" s="917"/>
      <c r="VER4092" s="917"/>
      <c r="VES4092" s="917"/>
      <c r="VET4092" s="917"/>
      <c r="VEU4092" s="917"/>
      <c r="VEV4092" s="917"/>
      <c r="VEW4092" s="917"/>
      <c r="VEX4092" s="917"/>
      <c r="VEY4092" s="917"/>
      <c r="VEZ4092" s="917"/>
      <c r="VFA4092" s="917" t="s">
        <v>78</v>
      </c>
      <c r="VFB4092" s="917"/>
      <c r="VFC4092" s="917"/>
      <c r="VFD4092" s="917"/>
      <c r="VFE4092" s="917"/>
      <c r="VFF4092" s="917"/>
      <c r="VFG4092" s="917"/>
      <c r="VFH4092" s="917"/>
      <c r="VFI4092" s="917"/>
      <c r="VFJ4092" s="917"/>
      <c r="VFK4092" s="917"/>
      <c r="VFL4092" s="917"/>
      <c r="VFM4092" s="917"/>
      <c r="VFN4092" s="917"/>
      <c r="VFO4092" s="917"/>
      <c r="VFP4092" s="917"/>
      <c r="VFQ4092" s="917"/>
      <c r="VFR4092" s="917"/>
      <c r="VFS4092" s="917"/>
      <c r="VFT4092" s="917"/>
      <c r="VFU4092" s="917"/>
      <c r="VFV4092" s="917"/>
      <c r="VFW4092" s="917"/>
      <c r="VFX4092" s="917"/>
      <c r="VFY4092" s="917"/>
      <c r="VFZ4092" s="917"/>
      <c r="VGA4092" s="917"/>
      <c r="VGB4092" s="917"/>
      <c r="VGC4092" s="917"/>
      <c r="VGD4092" s="917"/>
      <c r="VGE4092" s="917"/>
      <c r="VGF4092" s="917"/>
      <c r="VGG4092" s="917" t="s">
        <v>78</v>
      </c>
      <c r="VGH4092" s="917"/>
      <c r="VGI4092" s="917"/>
      <c r="VGJ4092" s="917"/>
      <c r="VGK4092" s="917"/>
      <c r="VGL4092" s="917"/>
      <c r="VGM4092" s="917"/>
      <c r="VGN4092" s="917"/>
      <c r="VGO4092" s="917"/>
      <c r="VGP4092" s="917"/>
      <c r="VGQ4092" s="917"/>
      <c r="VGR4092" s="917"/>
      <c r="VGS4092" s="917"/>
      <c r="VGT4092" s="917"/>
      <c r="VGU4092" s="917"/>
      <c r="VGV4092" s="917"/>
      <c r="VGW4092" s="917"/>
      <c r="VGX4092" s="917"/>
      <c r="VGY4092" s="917"/>
      <c r="VGZ4092" s="917"/>
      <c r="VHA4092" s="917"/>
      <c r="VHB4092" s="917"/>
      <c r="VHC4092" s="917"/>
      <c r="VHD4092" s="917"/>
      <c r="VHE4092" s="917"/>
      <c r="VHF4092" s="917"/>
      <c r="VHG4092" s="917"/>
      <c r="VHH4092" s="917"/>
      <c r="VHI4092" s="917"/>
      <c r="VHJ4092" s="917"/>
      <c r="VHK4092" s="917"/>
      <c r="VHL4092" s="917"/>
      <c r="VHM4092" s="917" t="s">
        <v>78</v>
      </c>
      <c r="VHN4092" s="917"/>
      <c r="VHO4092" s="917"/>
      <c r="VHP4092" s="917"/>
      <c r="VHQ4092" s="917"/>
      <c r="VHR4092" s="917"/>
      <c r="VHS4092" s="917"/>
      <c r="VHT4092" s="917"/>
      <c r="VHU4092" s="917"/>
      <c r="VHV4092" s="917"/>
      <c r="VHW4092" s="917"/>
      <c r="VHX4092" s="917"/>
      <c r="VHY4092" s="917"/>
      <c r="VHZ4092" s="917"/>
      <c r="VIA4092" s="917"/>
      <c r="VIB4092" s="917"/>
      <c r="VIC4092" s="917"/>
      <c r="VID4092" s="917"/>
      <c r="VIE4092" s="917"/>
      <c r="VIF4092" s="917"/>
      <c r="VIG4092" s="917"/>
      <c r="VIH4092" s="917"/>
      <c r="VII4092" s="917"/>
      <c r="VIJ4092" s="917"/>
      <c r="VIK4092" s="917"/>
      <c r="VIL4092" s="917"/>
      <c r="VIM4092" s="917"/>
      <c r="VIN4092" s="917"/>
      <c r="VIO4092" s="917"/>
      <c r="VIP4092" s="917"/>
      <c r="VIQ4092" s="917"/>
      <c r="VIR4092" s="917"/>
      <c r="VIS4092" s="917" t="s">
        <v>78</v>
      </c>
      <c r="VIT4092" s="917"/>
      <c r="VIU4092" s="917"/>
      <c r="VIV4092" s="917"/>
      <c r="VIW4092" s="917"/>
      <c r="VIX4092" s="917"/>
      <c r="VIY4092" s="917"/>
      <c r="VIZ4092" s="917"/>
      <c r="VJA4092" s="917"/>
      <c r="VJB4092" s="917"/>
      <c r="VJC4092" s="917"/>
      <c r="VJD4092" s="917"/>
      <c r="VJE4092" s="917"/>
      <c r="VJF4092" s="917"/>
      <c r="VJG4092" s="917"/>
      <c r="VJH4092" s="917"/>
      <c r="VJI4092" s="917"/>
      <c r="VJJ4092" s="917"/>
      <c r="VJK4092" s="917"/>
      <c r="VJL4092" s="917"/>
      <c r="VJM4092" s="917"/>
      <c r="VJN4092" s="917"/>
      <c r="VJO4092" s="917"/>
      <c r="VJP4092" s="917"/>
      <c r="VJQ4092" s="917"/>
      <c r="VJR4092" s="917"/>
      <c r="VJS4092" s="917"/>
      <c r="VJT4092" s="917"/>
      <c r="VJU4092" s="917"/>
      <c r="VJV4092" s="917"/>
      <c r="VJW4092" s="917"/>
      <c r="VJX4092" s="917"/>
      <c r="VJY4092" s="917" t="s">
        <v>78</v>
      </c>
      <c r="VJZ4092" s="917"/>
      <c r="VKA4092" s="917"/>
      <c r="VKB4092" s="917"/>
      <c r="VKC4092" s="917"/>
      <c r="VKD4092" s="917"/>
      <c r="VKE4092" s="917"/>
      <c r="VKF4092" s="917"/>
      <c r="VKG4092" s="917"/>
      <c r="VKH4092" s="917"/>
      <c r="VKI4092" s="917"/>
      <c r="VKJ4092" s="917"/>
      <c r="VKK4092" s="917"/>
      <c r="VKL4092" s="917"/>
      <c r="VKM4092" s="917"/>
      <c r="VKN4092" s="917"/>
      <c r="VKO4092" s="917"/>
      <c r="VKP4092" s="917"/>
      <c r="VKQ4092" s="917"/>
      <c r="VKR4092" s="917"/>
      <c r="VKS4092" s="917"/>
      <c r="VKT4092" s="917"/>
      <c r="VKU4092" s="917"/>
      <c r="VKV4092" s="917"/>
      <c r="VKW4092" s="917"/>
      <c r="VKX4092" s="917"/>
      <c r="VKY4092" s="917"/>
      <c r="VKZ4092" s="917"/>
      <c r="VLA4092" s="917"/>
      <c r="VLB4092" s="917"/>
      <c r="VLC4092" s="917"/>
      <c r="VLD4092" s="917"/>
      <c r="VLE4092" s="917" t="s">
        <v>78</v>
      </c>
      <c r="VLF4092" s="917"/>
      <c r="VLG4092" s="917"/>
      <c r="VLH4092" s="917"/>
      <c r="VLI4092" s="917"/>
      <c r="VLJ4092" s="917"/>
      <c r="VLK4092" s="917"/>
      <c r="VLL4092" s="917"/>
      <c r="VLM4092" s="917"/>
      <c r="VLN4092" s="917"/>
      <c r="VLO4092" s="917"/>
      <c r="VLP4092" s="917"/>
      <c r="VLQ4092" s="917"/>
      <c r="VLR4092" s="917"/>
      <c r="VLS4092" s="917"/>
      <c r="VLT4092" s="917"/>
      <c r="VLU4092" s="917"/>
      <c r="VLV4092" s="917"/>
      <c r="VLW4092" s="917"/>
      <c r="VLX4092" s="917"/>
      <c r="VLY4092" s="917"/>
      <c r="VLZ4092" s="917"/>
      <c r="VMA4092" s="917"/>
      <c r="VMB4092" s="917"/>
      <c r="VMC4092" s="917"/>
      <c r="VMD4092" s="917"/>
      <c r="VME4092" s="917"/>
      <c r="VMF4092" s="917"/>
      <c r="VMG4092" s="917"/>
      <c r="VMH4092" s="917"/>
      <c r="VMI4092" s="917"/>
      <c r="VMJ4092" s="917"/>
      <c r="VMK4092" s="917" t="s">
        <v>78</v>
      </c>
      <c r="VML4092" s="917"/>
      <c r="VMM4092" s="917"/>
      <c r="VMN4092" s="917"/>
      <c r="VMO4092" s="917"/>
      <c r="VMP4092" s="917"/>
      <c r="VMQ4092" s="917"/>
      <c r="VMR4092" s="917"/>
      <c r="VMS4092" s="917"/>
      <c r="VMT4092" s="917"/>
      <c r="VMU4092" s="917"/>
      <c r="VMV4092" s="917"/>
      <c r="VMW4092" s="917"/>
      <c r="VMX4092" s="917"/>
      <c r="VMY4092" s="917"/>
      <c r="VMZ4092" s="917"/>
      <c r="VNA4092" s="917"/>
      <c r="VNB4092" s="917"/>
      <c r="VNC4092" s="917"/>
      <c r="VND4092" s="917"/>
      <c r="VNE4092" s="917"/>
      <c r="VNF4092" s="917"/>
      <c r="VNG4092" s="917"/>
      <c r="VNH4092" s="917"/>
      <c r="VNI4092" s="917"/>
      <c r="VNJ4092" s="917"/>
      <c r="VNK4092" s="917"/>
      <c r="VNL4092" s="917"/>
      <c r="VNM4092" s="917"/>
      <c r="VNN4092" s="917"/>
      <c r="VNO4092" s="917"/>
      <c r="VNP4092" s="917"/>
      <c r="VNQ4092" s="917" t="s">
        <v>78</v>
      </c>
      <c r="VNR4092" s="917"/>
      <c r="VNS4092" s="917"/>
      <c r="VNT4092" s="917"/>
      <c r="VNU4092" s="917"/>
      <c r="VNV4092" s="917"/>
      <c r="VNW4092" s="917"/>
      <c r="VNX4092" s="917"/>
      <c r="VNY4092" s="917"/>
      <c r="VNZ4092" s="917"/>
      <c r="VOA4092" s="917"/>
      <c r="VOB4092" s="917"/>
      <c r="VOC4092" s="917"/>
      <c r="VOD4092" s="917"/>
      <c r="VOE4092" s="917"/>
      <c r="VOF4092" s="917"/>
      <c r="VOG4092" s="917"/>
      <c r="VOH4092" s="917"/>
      <c r="VOI4092" s="917"/>
      <c r="VOJ4092" s="917"/>
      <c r="VOK4092" s="917"/>
      <c r="VOL4092" s="917"/>
      <c r="VOM4092" s="917"/>
      <c r="VON4092" s="917"/>
      <c r="VOO4092" s="917"/>
      <c r="VOP4092" s="917"/>
      <c r="VOQ4092" s="917"/>
      <c r="VOR4092" s="917"/>
      <c r="VOS4092" s="917"/>
      <c r="VOT4092" s="917"/>
      <c r="VOU4092" s="917"/>
      <c r="VOV4092" s="917"/>
      <c r="VOW4092" s="917" t="s">
        <v>78</v>
      </c>
      <c r="VOX4092" s="917"/>
      <c r="VOY4092" s="917"/>
      <c r="VOZ4092" s="917"/>
      <c r="VPA4092" s="917"/>
      <c r="VPB4092" s="917"/>
      <c r="VPC4092" s="917"/>
      <c r="VPD4092" s="917"/>
      <c r="VPE4092" s="917"/>
      <c r="VPF4092" s="917"/>
      <c r="VPG4092" s="917"/>
      <c r="VPH4092" s="917"/>
      <c r="VPI4092" s="917"/>
      <c r="VPJ4092" s="917"/>
      <c r="VPK4092" s="917"/>
      <c r="VPL4092" s="917"/>
      <c r="VPM4092" s="917"/>
      <c r="VPN4092" s="917"/>
      <c r="VPO4092" s="917"/>
      <c r="VPP4092" s="917"/>
      <c r="VPQ4092" s="917"/>
      <c r="VPR4092" s="917"/>
      <c r="VPS4092" s="917"/>
      <c r="VPT4092" s="917"/>
      <c r="VPU4092" s="917"/>
      <c r="VPV4092" s="917"/>
      <c r="VPW4092" s="917"/>
      <c r="VPX4092" s="917"/>
      <c r="VPY4092" s="917"/>
      <c r="VPZ4092" s="917"/>
      <c r="VQA4092" s="917"/>
      <c r="VQB4092" s="917"/>
      <c r="VQC4092" s="917" t="s">
        <v>78</v>
      </c>
      <c r="VQD4092" s="917"/>
      <c r="VQE4092" s="917"/>
      <c r="VQF4092" s="917"/>
      <c r="VQG4092" s="917"/>
      <c r="VQH4092" s="917"/>
      <c r="VQI4092" s="917"/>
      <c r="VQJ4092" s="917"/>
      <c r="VQK4092" s="917"/>
      <c r="VQL4092" s="917"/>
      <c r="VQM4092" s="917"/>
      <c r="VQN4092" s="917"/>
      <c r="VQO4092" s="917"/>
      <c r="VQP4092" s="917"/>
      <c r="VQQ4092" s="917"/>
      <c r="VQR4092" s="917"/>
      <c r="VQS4092" s="917"/>
      <c r="VQT4092" s="917"/>
      <c r="VQU4092" s="917"/>
      <c r="VQV4092" s="917"/>
      <c r="VQW4092" s="917"/>
      <c r="VQX4092" s="917"/>
      <c r="VQY4092" s="917"/>
      <c r="VQZ4092" s="917"/>
      <c r="VRA4092" s="917"/>
      <c r="VRB4092" s="917"/>
      <c r="VRC4092" s="917"/>
      <c r="VRD4092" s="917"/>
      <c r="VRE4092" s="917"/>
      <c r="VRF4092" s="917"/>
      <c r="VRG4092" s="917"/>
      <c r="VRH4092" s="917"/>
      <c r="VRI4092" s="917" t="s">
        <v>78</v>
      </c>
      <c r="VRJ4092" s="917"/>
      <c r="VRK4092" s="917"/>
      <c r="VRL4092" s="917"/>
      <c r="VRM4092" s="917"/>
      <c r="VRN4092" s="917"/>
      <c r="VRO4092" s="917"/>
      <c r="VRP4092" s="917"/>
      <c r="VRQ4092" s="917"/>
      <c r="VRR4092" s="917"/>
      <c r="VRS4092" s="917"/>
      <c r="VRT4092" s="917"/>
      <c r="VRU4092" s="917"/>
      <c r="VRV4092" s="917"/>
      <c r="VRW4092" s="917"/>
      <c r="VRX4092" s="917"/>
      <c r="VRY4092" s="917"/>
      <c r="VRZ4092" s="917"/>
      <c r="VSA4092" s="917"/>
      <c r="VSB4092" s="917"/>
      <c r="VSC4092" s="917"/>
      <c r="VSD4092" s="917"/>
      <c r="VSE4092" s="917"/>
      <c r="VSF4092" s="917"/>
      <c r="VSG4092" s="917"/>
      <c r="VSH4092" s="917"/>
      <c r="VSI4092" s="917"/>
      <c r="VSJ4092" s="917"/>
      <c r="VSK4092" s="917"/>
      <c r="VSL4092" s="917"/>
      <c r="VSM4092" s="917"/>
      <c r="VSN4092" s="917"/>
      <c r="VSO4092" s="917" t="s">
        <v>78</v>
      </c>
      <c r="VSP4092" s="917"/>
      <c r="VSQ4092" s="917"/>
      <c r="VSR4092" s="917"/>
      <c r="VSS4092" s="917"/>
      <c r="VST4092" s="917"/>
      <c r="VSU4092" s="917"/>
      <c r="VSV4092" s="917"/>
      <c r="VSW4092" s="917"/>
      <c r="VSX4092" s="917"/>
      <c r="VSY4092" s="917"/>
      <c r="VSZ4092" s="917"/>
      <c r="VTA4092" s="917"/>
      <c r="VTB4092" s="917"/>
      <c r="VTC4092" s="917"/>
      <c r="VTD4092" s="917"/>
      <c r="VTE4092" s="917"/>
      <c r="VTF4092" s="917"/>
      <c r="VTG4092" s="917"/>
      <c r="VTH4092" s="917"/>
      <c r="VTI4092" s="917"/>
      <c r="VTJ4092" s="917"/>
      <c r="VTK4092" s="917"/>
      <c r="VTL4092" s="917"/>
      <c r="VTM4092" s="917"/>
      <c r="VTN4092" s="917"/>
      <c r="VTO4092" s="917"/>
      <c r="VTP4092" s="917"/>
      <c r="VTQ4092" s="917"/>
      <c r="VTR4092" s="917"/>
      <c r="VTS4092" s="917"/>
      <c r="VTT4092" s="917"/>
      <c r="VTU4092" s="917" t="s">
        <v>78</v>
      </c>
      <c r="VTV4092" s="917"/>
      <c r="VTW4092" s="917"/>
      <c r="VTX4092" s="917"/>
      <c r="VTY4092" s="917"/>
      <c r="VTZ4092" s="917"/>
      <c r="VUA4092" s="917"/>
      <c r="VUB4092" s="917"/>
      <c r="VUC4092" s="917"/>
      <c r="VUD4092" s="917"/>
      <c r="VUE4092" s="917"/>
      <c r="VUF4092" s="917"/>
      <c r="VUG4092" s="917"/>
      <c r="VUH4092" s="917"/>
      <c r="VUI4092" s="917"/>
      <c r="VUJ4092" s="917"/>
      <c r="VUK4092" s="917"/>
      <c r="VUL4092" s="917"/>
      <c r="VUM4092" s="917"/>
      <c r="VUN4092" s="917"/>
      <c r="VUO4092" s="917"/>
      <c r="VUP4092" s="917"/>
      <c r="VUQ4092" s="917"/>
      <c r="VUR4092" s="917"/>
      <c r="VUS4092" s="917"/>
      <c r="VUT4092" s="917"/>
      <c r="VUU4092" s="917"/>
      <c r="VUV4092" s="917"/>
      <c r="VUW4092" s="917"/>
      <c r="VUX4092" s="917"/>
      <c r="VUY4092" s="917"/>
      <c r="VUZ4092" s="917"/>
      <c r="VVA4092" s="917" t="s">
        <v>78</v>
      </c>
      <c r="VVB4092" s="917"/>
      <c r="VVC4092" s="917"/>
      <c r="VVD4092" s="917"/>
      <c r="VVE4092" s="917"/>
      <c r="VVF4092" s="917"/>
      <c r="VVG4092" s="917"/>
      <c r="VVH4092" s="917"/>
      <c r="VVI4092" s="917"/>
      <c r="VVJ4092" s="917"/>
      <c r="VVK4092" s="917"/>
      <c r="VVL4092" s="917"/>
      <c r="VVM4092" s="917"/>
      <c r="VVN4092" s="917"/>
      <c r="VVO4092" s="917"/>
      <c r="VVP4092" s="917"/>
      <c r="VVQ4092" s="917"/>
      <c r="VVR4092" s="917"/>
      <c r="VVS4092" s="917"/>
      <c r="VVT4092" s="917"/>
      <c r="VVU4092" s="917"/>
      <c r="VVV4092" s="917"/>
      <c r="VVW4092" s="917"/>
      <c r="VVX4092" s="917"/>
      <c r="VVY4092" s="917"/>
      <c r="VVZ4092" s="917"/>
      <c r="VWA4092" s="917"/>
      <c r="VWB4092" s="917"/>
      <c r="VWC4092" s="917"/>
      <c r="VWD4092" s="917"/>
      <c r="VWE4092" s="917"/>
      <c r="VWF4092" s="917"/>
      <c r="VWG4092" s="917" t="s">
        <v>78</v>
      </c>
      <c r="VWH4092" s="917"/>
      <c r="VWI4092" s="917"/>
      <c r="VWJ4092" s="917"/>
      <c r="VWK4092" s="917"/>
      <c r="VWL4092" s="917"/>
      <c r="VWM4092" s="917"/>
      <c r="VWN4092" s="917"/>
      <c r="VWO4092" s="917"/>
      <c r="VWP4092" s="917"/>
      <c r="VWQ4092" s="917"/>
      <c r="VWR4092" s="917"/>
      <c r="VWS4092" s="917"/>
      <c r="VWT4092" s="917"/>
      <c r="VWU4092" s="917"/>
      <c r="VWV4092" s="917"/>
      <c r="VWW4092" s="917"/>
      <c r="VWX4092" s="917"/>
      <c r="VWY4092" s="917"/>
      <c r="VWZ4092" s="917"/>
      <c r="VXA4092" s="917"/>
      <c r="VXB4092" s="917"/>
      <c r="VXC4092" s="917"/>
      <c r="VXD4092" s="917"/>
      <c r="VXE4092" s="917"/>
      <c r="VXF4092" s="917"/>
      <c r="VXG4092" s="917"/>
      <c r="VXH4092" s="917"/>
      <c r="VXI4092" s="917"/>
      <c r="VXJ4092" s="917"/>
      <c r="VXK4092" s="917"/>
      <c r="VXL4092" s="917"/>
      <c r="VXM4092" s="917" t="s">
        <v>78</v>
      </c>
      <c r="VXN4092" s="917"/>
      <c r="VXO4092" s="917"/>
      <c r="VXP4092" s="917"/>
      <c r="VXQ4092" s="917"/>
      <c r="VXR4092" s="917"/>
      <c r="VXS4092" s="917"/>
      <c r="VXT4092" s="917"/>
      <c r="VXU4092" s="917"/>
      <c r="VXV4092" s="917"/>
      <c r="VXW4092" s="917"/>
      <c r="VXX4092" s="917"/>
      <c r="VXY4092" s="917"/>
      <c r="VXZ4092" s="917"/>
      <c r="VYA4092" s="917"/>
      <c r="VYB4092" s="917"/>
      <c r="VYC4092" s="917"/>
      <c r="VYD4092" s="917"/>
      <c r="VYE4092" s="917"/>
      <c r="VYF4092" s="917"/>
      <c r="VYG4092" s="917"/>
      <c r="VYH4092" s="917"/>
      <c r="VYI4092" s="917"/>
      <c r="VYJ4092" s="917"/>
      <c r="VYK4092" s="917"/>
      <c r="VYL4092" s="917"/>
      <c r="VYM4092" s="917"/>
      <c r="VYN4092" s="917"/>
      <c r="VYO4092" s="917"/>
      <c r="VYP4092" s="917"/>
      <c r="VYQ4092" s="917"/>
      <c r="VYR4092" s="917"/>
      <c r="VYS4092" s="917" t="s">
        <v>78</v>
      </c>
      <c r="VYT4092" s="917"/>
      <c r="VYU4092" s="917"/>
      <c r="VYV4092" s="917"/>
      <c r="VYW4092" s="917"/>
      <c r="VYX4092" s="917"/>
      <c r="VYY4092" s="917"/>
      <c r="VYZ4092" s="917"/>
      <c r="VZA4092" s="917"/>
      <c r="VZB4092" s="917"/>
      <c r="VZC4092" s="917"/>
      <c r="VZD4092" s="917"/>
      <c r="VZE4092" s="917"/>
      <c r="VZF4092" s="917"/>
      <c r="VZG4092" s="917"/>
      <c r="VZH4092" s="917"/>
      <c r="VZI4092" s="917"/>
      <c r="VZJ4092" s="917"/>
      <c r="VZK4092" s="917"/>
      <c r="VZL4092" s="917"/>
      <c r="VZM4092" s="917"/>
      <c r="VZN4092" s="917"/>
      <c r="VZO4092" s="917"/>
      <c r="VZP4092" s="917"/>
      <c r="VZQ4092" s="917"/>
      <c r="VZR4092" s="917"/>
      <c r="VZS4092" s="917"/>
      <c r="VZT4092" s="917"/>
      <c r="VZU4092" s="917"/>
      <c r="VZV4092" s="917"/>
      <c r="VZW4092" s="917"/>
      <c r="VZX4092" s="917"/>
      <c r="VZY4092" s="917" t="s">
        <v>78</v>
      </c>
      <c r="VZZ4092" s="917"/>
      <c r="WAA4092" s="917"/>
      <c r="WAB4092" s="917"/>
      <c r="WAC4092" s="917"/>
      <c r="WAD4092" s="917"/>
      <c r="WAE4092" s="917"/>
      <c r="WAF4092" s="917"/>
      <c r="WAG4092" s="917"/>
      <c r="WAH4092" s="917"/>
      <c r="WAI4092" s="917"/>
      <c r="WAJ4092" s="917"/>
      <c r="WAK4092" s="917"/>
      <c r="WAL4092" s="917"/>
      <c r="WAM4092" s="917"/>
      <c r="WAN4092" s="917"/>
      <c r="WAO4092" s="917"/>
      <c r="WAP4092" s="917"/>
      <c r="WAQ4092" s="917"/>
      <c r="WAR4092" s="917"/>
      <c r="WAS4092" s="917"/>
      <c r="WAT4092" s="917"/>
      <c r="WAU4092" s="917"/>
      <c r="WAV4092" s="917"/>
      <c r="WAW4092" s="917"/>
      <c r="WAX4092" s="917"/>
      <c r="WAY4092" s="917"/>
      <c r="WAZ4092" s="917"/>
      <c r="WBA4092" s="917"/>
      <c r="WBB4092" s="917"/>
      <c r="WBC4092" s="917"/>
      <c r="WBD4092" s="917"/>
      <c r="WBE4092" s="917" t="s">
        <v>78</v>
      </c>
      <c r="WBF4092" s="917"/>
      <c r="WBG4092" s="917"/>
      <c r="WBH4092" s="917"/>
      <c r="WBI4092" s="917"/>
      <c r="WBJ4092" s="917"/>
      <c r="WBK4092" s="917"/>
      <c r="WBL4092" s="917"/>
      <c r="WBM4092" s="917"/>
      <c r="WBN4092" s="917"/>
      <c r="WBO4092" s="917"/>
      <c r="WBP4092" s="917"/>
      <c r="WBQ4092" s="917"/>
      <c r="WBR4092" s="917"/>
      <c r="WBS4092" s="917"/>
      <c r="WBT4092" s="917"/>
      <c r="WBU4092" s="917"/>
      <c r="WBV4092" s="917"/>
      <c r="WBW4092" s="917"/>
      <c r="WBX4092" s="917"/>
      <c r="WBY4092" s="917"/>
      <c r="WBZ4092" s="917"/>
      <c r="WCA4092" s="917"/>
      <c r="WCB4092" s="917"/>
      <c r="WCC4092" s="917"/>
      <c r="WCD4092" s="917"/>
      <c r="WCE4092" s="917"/>
      <c r="WCF4092" s="917"/>
      <c r="WCG4092" s="917"/>
      <c r="WCH4092" s="917"/>
      <c r="WCI4092" s="917"/>
      <c r="WCJ4092" s="917"/>
      <c r="WCK4092" s="917" t="s">
        <v>78</v>
      </c>
      <c r="WCL4092" s="917"/>
      <c r="WCM4092" s="917"/>
      <c r="WCN4092" s="917"/>
      <c r="WCO4092" s="917"/>
      <c r="WCP4092" s="917"/>
      <c r="WCQ4092" s="917"/>
      <c r="WCR4092" s="917"/>
      <c r="WCS4092" s="917"/>
      <c r="WCT4092" s="917"/>
      <c r="WCU4092" s="917"/>
      <c r="WCV4092" s="917"/>
      <c r="WCW4092" s="917"/>
      <c r="WCX4092" s="917"/>
      <c r="WCY4092" s="917"/>
      <c r="WCZ4092" s="917"/>
      <c r="WDA4092" s="917"/>
      <c r="WDB4092" s="917"/>
      <c r="WDC4092" s="917"/>
      <c r="WDD4092" s="917"/>
      <c r="WDE4092" s="917"/>
      <c r="WDF4092" s="917"/>
      <c r="WDG4092" s="917"/>
      <c r="WDH4092" s="917"/>
      <c r="WDI4092" s="917"/>
      <c r="WDJ4092" s="917"/>
      <c r="WDK4092" s="917"/>
      <c r="WDL4092" s="917"/>
      <c r="WDM4092" s="917"/>
      <c r="WDN4092" s="917"/>
      <c r="WDO4092" s="917"/>
      <c r="WDP4092" s="917"/>
      <c r="WDQ4092" s="917" t="s">
        <v>78</v>
      </c>
      <c r="WDR4092" s="917"/>
      <c r="WDS4092" s="917"/>
      <c r="WDT4092" s="917"/>
      <c r="WDU4092" s="917"/>
      <c r="WDV4092" s="917"/>
      <c r="WDW4092" s="917"/>
      <c r="WDX4092" s="917"/>
      <c r="WDY4092" s="917"/>
      <c r="WDZ4092" s="917"/>
      <c r="WEA4092" s="917"/>
      <c r="WEB4092" s="917"/>
      <c r="WEC4092" s="917"/>
      <c r="WED4092" s="917"/>
      <c r="WEE4092" s="917"/>
      <c r="WEF4092" s="917"/>
      <c r="WEG4092" s="917"/>
      <c r="WEH4092" s="917"/>
      <c r="WEI4092" s="917"/>
      <c r="WEJ4092" s="917"/>
      <c r="WEK4092" s="917"/>
      <c r="WEL4092" s="917"/>
      <c r="WEM4092" s="917"/>
      <c r="WEN4092" s="917"/>
      <c r="WEO4092" s="917"/>
      <c r="WEP4092" s="917"/>
      <c r="WEQ4092" s="917"/>
      <c r="WER4092" s="917"/>
      <c r="WES4092" s="917"/>
      <c r="WET4092" s="917"/>
      <c r="WEU4092" s="917"/>
      <c r="WEV4092" s="917"/>
      <c r="WEW4092" s="917" t="s">
        <v>78</v>
      </c>
      <c r="WEX4092" s="917"/>
      <c r="WEY4092" s="917"/>
      <c r="WEZ4092" s="917"/>
      <c r="WFA4092" s="917"/>
      <c r="WFB4092" s="917"/>
      <c r="WFC4092" s="917"/>
      <c r="WFD4092" s="917"/>
      <c r="WFE4092" s="917"/>
      <c r="WFF4092" s="917"/>
      <c r="WFG4092" s="917"/>
      <c r="WFH4092" s="917"/>
      <c r="WFI4092" s="917"/>
      <c r="WFJ4092" s="917"/>
      <c r="WFK4092" s="917"/>
      <c r="WFL4092" s="917"/>
      <c r="WFM4092" s="917"/>
      <c r="WFN4092" s="917"/>
      <c r="WFO4092" s="917"/>
      <c r="WFP4092" s="917"/>
      <c r="WFQ4092" s="917"/>
      <c r="WFR4092" s="917"/>
      <c r="WFS4092" s="917"/>
      <c r="WFT4092" s="917"/>
      <c r="WFU4092" s="917"/>
      <c r="WFV4092" s="917"/>
      <c r="WFW4092" s="917"/>
      <c r="WFX4092" s="917"/>
      <c r="WFY4092" s="917"/>
      <c r="WFZ4092" s="917"/>
      <c r="WGA4092" s="917"/>
      <c r="WGB4092" s="917"/>
      <c r="WGC4092" s="917" t="s">
        <v>78</v>
      </c>
      <c r="WGD4092" s="917"/>
      <c r="WGE4092" s="917"/>
      <c r="WGF4092" s="917"/>
      <c r="WGG4092" s="917"/>
      <c r="WGH4092" s="917"/>
      <c r="WGI4092" s="917"/>
      <c r="WGJ4092" s="917"/>
      <c r="WGK4092" s="917"/>
      <c r="WGL4092" s="917"/>
      <c r="WGM4092" s="917"/>
      <c r="WGN4092" s="917"/>
      <c r="WGO4092" s="917"/>
      <c r="WGP4092" s="917"/>
      <c r="WGQ4092" s="917"/>
      <c r="WGR4092" s="917"/>
      <c r="WGS4092" s="917"/>
      <c r="WGT4092" s="917"/>
      <c r="WGU4092" s="917"/>
      <c r="WGV4092" s="917"/>
      <c r="WGW4092" s="917"/>
      <c r="WGX4092" s="917"/>
      <c r="WGY4092" s="917"/>
      <c r="WGZ4092" s="917"/>
      <c r="WHA4092" s="917"/>
      <c r="WHB4092" s="917"/>
      <c r="WHC4092" s="917"/>
      <c r="WHD4092" s="917"/>
      <c r="WHE4092" s="917"/>
      <c r="WHF4092" s="917"/>
      <c r="WHG4092" s="917"/>
      <c r="WHH4092" s="917"/>
      <c r="WHI4092" s="917" t="s">
        <v>78</v>
      </c>
      <c r="WHJ4092" s="917"/>
      <c r="WHK4092" s="917"/>
      <c r="WHL4092" s="917"/>
      <c r="WHM4092" s="917"/>
      <c r="WHN4092" s="917"/>
      <c r="WHO4092" s="917"/>
      <c r="WHP4092" s="917"/>
      <c r="WHQ4092" s="917"/>
      <c r="WHR4092" s="917"/>
      <c r="WHS4092" s="917"/>
      <c r="WHT4092" s="917"/>
      <c r="WHU4092" s="917"/>
      <c r="WHV4092" s="917"/>
      <c r="WHW4092" s="917"/>
      <c r="WHX4092" s="917"/>
      <c r="WHY4092" s="917"/>
      <c r="WHZ4092" s="917"/>
      <c r="WIA4092" s="917"/>
      <c r="WIB4092" s="917"/>
      <c r="WIC4092" s="917"/>
      <c r="WID4092" s="917"/>
      <c r="WIE4092" s="917"/>
      <c r="WIF4092" s="917"/>
      <c r="WIG4092" s="917"/>
      <c r="WIH4092" s="917"/>
      <c r="WII4092" s="917"/>
      <c r="WIJ4092" s="917"/>
      <c r="WIK4092" s="917"/>
      <c r="WIL4092" s="917"/>
      <c r="WIM4092" s="917"/>
      <c r="WIN4092" s="917"/>
      <c r="WIO4092" s="917" t="s">
        <v>78</v>
      </c>
      <c r="WIP4092" s="917"/>
      <c r="WIQ4092" s="917"/>
      <c r="WIR4092" s="917"/>
      <c r="WIS4092" s="917"/>
      <c r="WIT4092" s="917"/>
      <c r="WIU4092" s="917"/>
      <c r="WIV4092" s="917"/>
      <c r="WIW4092" s="917"/>
      <c r="WIX4092" s="917"/>
      <c r="WIY4092" s="917"/>
      <c r="WIZ4092" s="917"/>
      <c r="WJA4092" s="917"/>
      <c r="WJB4092" s="917"/>
      <c r="WJC4092" s="917"/>
      <c r="WJD4092" s="917"/>
      <c r="WJE4092" s="917"/>
      <c r="WJF4092" s="917"/>
      <c r="WJG4092" s="917"/>
      <c r="WJH4092" s="917"/>
      <c r="WJI4092" s="917"/>
      <c r="WJJ4092" s="917"/>
      <c r="WJK4092" s="917"/>
      <c r="WJL4092" s="917"/>
      <c r="WJM4092" s="917"/>
      <c r="WJN4092" s="917"/>
      <c r="WJO4092" s="917"/>
      <c r="WJP4092" s="917"/>
      <c r="WJQ4092" s="917"/>
      <c r="WJR4092" s="917"/>
      <c r="WJS4092" s="917"/>
      <c r="WJT4092" s="917"/>
      <c r="WJU4092" s="917" t="s">
        <v>78</v>
      </c>
      <c r="WJV4092" s="917"/>
      <c r="WJW4092" s="917"/>
      <c r="WJX4092" s="917"/>
      <c r="WJY4092" s="917"/>
      <c r="WJZ4092" s="917"/>
      <c r="WKA4092" s="917"/>
      <c r="WKB4092" s="917"/>
      <c r="WKC4092" s="917"/>
      <c r="WKD4092" s="917"/>
      <c r="WKE4092" s="917"/>
      <c r="WKF4092" s="917"/>
      <c r="WKG4092" s="917"/>
      <c r="WKH4092" s="917"/>
      <c r="WKI4092" s="917"/>
      <c r="WKJ4092" s="917"/>
      <c r="WKK4092" s="917"/>
      <c r="WKL4092" s="917"/>
      <c r="WKM4092" s="917"/>
      <c r="WKN4092" s="917"/>
      <c r="WKO4092" s="917"/>
      <c r="WKP4092" s="917"/>
      <c r="WKQ4092" s="917"/>
      <c r="WKR4092" s="917"/>
      <c r="WKS4092" s="917"/>
      <c r="WKT4092" s="917"/>
      <c r="WKU4092" s="917"/>
      <c r="WKV4092" s="917"/>
      <c r="WKW4092" s="917"/>
      <c r="WKX4092" s="917"/>
      <c r="WKY4092" s="917"/>
      <c r="WKZ4092" s="917"/>
      <c r="WLA4092" s="917" t="s">
        <v>78</v>
      </c>
      <c r="WLB4092" s="917"/>
      <c r="WLC4092" s="917"/>
      <c r="WLD4092" s="917"/>
      <c r="WLE4092" s="917"/>
      <c r="WLF4092" s="917"/>
      <c r="WLG4092" s="917"/>
      <c r="WLH4092" s="917"/>
      <c r="WLI4092" s="917"/>
      <c r="WLJ4092" s="917"/>
      <c r="WLK4092" s="917"/>
      <c r="WLL4092" s="917"/>
      <c r="WLM4092" s="917"/>
      <c r="WLN4092" s="917"/>
      <c r="WLO4092" s="917"/>
      <c r="WLP4092" s="917"/>
      <c r="WLQ4092" s="917"/>
      <c r="WLR4092" s="917"/>
      <c r="WLS4092" s="917"/>
      <c r="WLT4092" s="917"/>
      <c r="WLU4092" s="917"/>
      <c r="WLV4092" s="917"/>
      <c r="WLW4092" s="917"/>
      <c r="WLX4092" s="917"/>
      <c r="WLY4092" s="917"/>
      <c r="WLZ4092" s="917"/>
      <c r="WMA4092" s="917"/>
      <c r="WMB4092" s="917"/>
      <c r="WMC4092" s="917"/>
      <c r="WMD4092" s="917"/>
      <c r="WME4092" s="917"/>
      <c r="WMF4092" s="917"/>
      <c r="WMG4092" s="917" t="s">
        <v>78</v>
      </c>
      <c r="WMH4092" s="917"/>
      <c r="WMI4092" s="917"/>
      <c r="WMJ4092" s="917"/>
      <c r="WMK4092" s="917"/>
      <c r="WML4092" s="917"/>
      <c r="WMM4092" s="917"/>
      <c r="WMN4092" s="917"/>
      <c r="WMO4092" s="917"/>
      <c r="WMP4092" s="917"/>
      <c r="WMQ4092" s="917"/>
      <c r="WMR4092" s="917"/>
      <c r="WMS4092" s="917"/>
      <c r="WMT4092" s="917"/>
      <c r="WMU4092" s="917"/>
      <c r="WMV4092" s="917"/>
      <c r="WMW4092" s="917"/>
      <c r="WMX4092" s="917"/>
      <c r="WMY4092" s="917"/>
      <c r="WMZ4092" s="917"/>
      <c r="WNA4092" s="917"/>
      <c r="WNB4092" s="917"/>
      <c r="WNC4092" s="917"/>
      <c r="WND4092" s="917"/>
      <c r="WNE4092" s="917"/>
      <c r="WNF4092" s="917"/>
      <c r="WNG4092" s="917"/>
      <c r="WNH4092" s="917"/>
      <c r="WNI4092" s="917"/>
      <c r="WNJ4092" s="917"/>
      <c r="WNK4092" s="917"/>
      <c r="WNL4092" s="917"/>
      <c r="WNM4092" s="917" t="s">
        <v>78</v>
      </c>
      <c r="WNN4092" s="917"/>
      <c r="WNO4092" s="917"/>
      <c r="WNP4092" s="917"/>
      <c r="WNQ4092" s="917"/>
      <c r="WNR4092" s="917"/>
      <c r="WNS4092" s="917"/>
      <c r="WNT4092" s="917"/>
      <c r="WNU4092" s="917"/>
      <c r="WNV4092" s="917"/>
      <c r="WNW4092" s="917"/>
      <c r="WNX4092" s="917"/>
      <c r="WNY4092" s="917"/>
      <c r="WNZ4092" s="917"/>
      <c r="WOA4092" s="917"/>
      <c r="WOB4092" s="917"/>
      <c r="WOC4092" s="917"/>
      <c r="WOD4092" s="917"/>
      <c r="WOE4092" s="917"/>
      <c r="WOF4092" s="917"/>
      <c r="WOG4092" s="917"/>
      <c r="WOH4092" s="917"/>
      <c r="WOI4092" s="917"/>
      <c r="WOJ4092" s="917"/>
      <c r="WOK4092" s="917"/>
      <c r="WOL4092" s="917"/>
      <c r="WOM4092" s="917"/>
      <c r="WON4092" s="917"/>
      <c r="WOO4092" s="917"/>
      <c r="WOP4092" s="917"/>
      <c r="WOQ4092" s="917"/>
      <c r="WOR4092" s="917"/>
      <c r="WOS4092" s="917" t="s">
        <v>78</v>
      </c>
      <c r="WOT4092" s="917"/>
      <c r="WOU4092" s="917"/>
      <c r="WOV4092" s="917"/>
      <c r="WOW4092" s="917"/>
      <c r="WOX4092" s="917"/>
      <c r="WOY4092" s="917"/>
      <c r="WOZ4092" s="917"/>
      <c r="WPA4092" s="917"/>
      <c r="WPB4092" s="917"/>
      <c r="WPC4092" s="917"/>
      <c r="WPD4092" s="917"/>
      <c r="WPE4092" s="917"/>
      <c r="WPF4092" s="917"/>
      <c r="WPG4092" s="917"/>
      <c r="WPH4092" s="917"/>
      <c r="WPI4092" s="917"/>
      <c r="WPJ4092" s="917"/>
      <c r="WPK4092" s="917"/>
      <c r="WPL4092" s="917"/>
      <c r="WPM4092" s="917"/>
      <c r="WPN4092" s="917"/>
      <c r="WPO4092" s="917"/>
      <c r="WPP4092" s="917"/>
      <c r="WPQ4092" s="917"/>
      <c r="WPR4092" s="917"/>
      <c r="WPS4092" s="917"/>
      <c r="WPT4092" s="917"/>
      <c r="WPU4092" s="917"/>
      <c r="WPV4092" s="917"/>
      <c r="WPW4092" s="917"/>
      <c r="WPX4092" s="917"/>
      <c r="WPY4092" s="917" t="s">
        <v>78</v>
      </c>
      <c r="WPZ4092" s="917"/>
      <c r="WQA4092" s="917"/>
      <c r="WQB4092" s="917"/>
      <c r="WQC4092" s="917"/>
      <c r="WQD4092" s="917"/>
      <c r="WQE4092" s="917"/>
      <c r="WQF4092" s="917"/>
      <c r="WQG4092" s="917"/>
      <c r="WQH4092" s="917"/>
      <c r="WQI4092" s="917"/>
      <c r="WQJ4092" s="917"/>
      <c r="WQK4092" s="917"/>
      <c r="WQL4092" s="917"/>
      <c r="WQM4092" s="917"/>
      <c r="WQN4092" s="917"/>
      <c r="WQO4092" s="917"/>
      <c r="WQP4092" s="917"/>
      <c r="WQQ4092" s="917"/>
      <c r="WQR4092" s="917"/>
      <c r="WQS4092" s="917"/>
      <c r="WQT4092" s="917"/>
      <c r="WQU4092" s="917"/>
      <c r="WQV4092" s="917"/>
      <c r="WQW4092" s="917"/>
      <c r="WQX4092" s="917"/>
      <c r="WQY4092" s="917"/>
      <c r="WQZ4092" s="917"/>
      <c r="WRA4092" s="917"/>
      <c r="WRB4092" s="917"/>
      <c r="WRC4092" s="917"/>
      <c r="WRD4092" s="917"/>
      <c r="WRE4092" s="917" t="s">
        <v>78</v>
      </c>
      <c r="WRF4092" s="917"/>
      <c r="WRG4092" s="917"/>
      <c r="WRH4092" s="917"/>
      <c r="WRI4092" s="917"/>
      <c r="WRJ4092" s="917"/>
      <c r="WRK4092" s="917"/>
      <c r="WRL4092" s="917"/>
      <c r="WRM4092" s="917"/>
      <c r="WRN4092" s="917"/>
      <c r="WRO4092" s="917"/>
      <c r="WRP4092" s="917"/>
      <c r="WRQ4092" s="917"/>
      <c r="WRR4092" s="917"/>
      <c r="WRS4092" s="917"/>
      <c r="WRT4092" s="917"/>
      <c r="WRU4092" s="917"/>
      <c r="WRV4092" s="917"/>
      <c r="WRW4092" s="917"/>
      <c r="WRX4092" s="917"/>
      <c r="WRY4092" s="917"/>
      <c r="WRZ4092" s="917"/>
      <c r="WSA4092" s="917"/>
      <c r="WSB4092" s="917"/>
      <c r="WSC4092" s="917"/>
      <c r="WSD4092" s="917"/>
      <c r="WSE4092" s="917"/>
      <c r="WSF4092" s="917"/>
      <c r="WSG4092" s="917"/>
      <c r="WSH4092" s="917"/>
      <c r="WSI4092" s="917"/>
      <c r="WSJ4092" s="917"/>
      <c r="WSK4092" s="917" t="s">
        <v>78</v>
      </c>
      <c r="WSL4092" s="917"/>
      <c r="WSM4092" s="917"/>
      <c r="WSN4092" s="917"/>
      <c r="WSO4092" s="917"/>
      <c r="WSP4092" s="917"/>
      <c r="WSQ4092" s="917"/>
      <c r="WSR4092" s="917"/>
      <c r="WSS4092" s="917"/>
      <c r="WST4092" s="917"/>
      <c r="WSU4092" s="917"/>
      <c r="WSV4092" s="917"/>
      <c r="WSW4092" s="917"/>
      <c r="WSX4092" s="917"/>
      <c r="WSY4092" s="917"/>
      <c r="WSZ4092" s="917"/>
      <c r="WTA4092" s="917"/>
      <c r="WTB4092" s="917"/>
      <c r="WTC4092" s="917"/>
      <c r="WTD4092" s="917"/>
      <c r="WTE4092" s="917"/>
      <c r="WTF4092" s="917"/>
      <c r="WTG4092" s="917"/>
      <c r="WTH4092" s="917"/>
      <c r="WTI4092" s="917"/>
      <c r="WTJ4092" s="917"/>
      <c r="WTK4092" s="917"/>
      <c r="WTL4092" s="917"/>
      <c r="WTM4092" s="917"/>
      <c r="WTN4092" s="917"/>
      <c r="WTO4092" s="917"/>
      <c r="WTP4092" s="917"/>
      <c r="WTQ4092" s="917" t="s">
        <v>78</v>
      </c>
      <c r="WTR4092" s="917"/>
      <c r="WTS4092" s="917"/>
      <c r="WTT4092" s="917"/>
      <c r="WTU4092" s="917"/>
      <c r="WTV4092" s="917"/>
      <c r="WTW4092" s="917"/>
      <c r="WTX4092" s="917"/>
      <c r="WTY4092" s="917"/>
      <c r="WTZ4092" s="917"/>
      <c r="WUA4092" s="917"/>
      <c r="WUB4092" s="917"/>
      <c r="WUC4092" s="917"/>
      <c r="WUD4092" s="917"/>
      <c r="WUE4092" s="917"/>
      <c r="WUF4092" s="917"/>
      <c r="WUG4092" s="917"/>
      <c r="WUH4092" s="917"/>
      <c r="WUI4092" s="917"/>
      <c r="WUJ4092" s="917"/>
      <c r="WUK4092" s="917"/>
      <c r="WUL4092" s="917"/>
      <c r="WUM4092" s="917"/>
      <c r="WUN4092" s="917"/>
      <c r="WUO4092" s="917"/>
      <c r="WUP4092" s="917"/>
      <c r="WUQ4092" s="917"/>
      <c r="WUR4092" s="917"/>
      <c r="WUS4092" s="917"/>
      <c r="WUT4092" s="917"/>
      <c r="WUU4092" s="917"/>
      <c r="WUV4092" s="917"/>
      <c r="WUW4092" s="917" t="s">
        <v>78</v>
      </c>
      <c r="WUX4092" s="917"/>
      <c r="WUY4092" s="917"/>
      <c r="WUZ4092" s="917"/>
      <c r="WVA4092" s="917"/>
      <c r="WVB4092" s="917"/>
      <c r="WVC4092" s="917"/>
      <c r="WVD4092" s="917"/>
      <c r="WVE4092" s="917"/>
      <c r="WVF4092" s="917"/>
      <c r="WVG4092" s="917"/>
      <c r="WVH4092" s="917"/>
      <c r="WVI4092" s="917"/>
      <c r="WVJ4092" s="917"/>
      <c r="WVK4092" s="917"/>
      <c r="WVL4092" s="917"/>
      <c r="WVM4092" s="917"/>
      <c r="WVN4092" s="917"/>
      <c r="WVO4092" s="917"/>
      <c r="WVP4092" s="917"/>
      <c r="WVQ4092" s="917"/>
      <c r="WVR4092" s="917"/>
      <c r="WVS4092" s="917"/>
      <c r="WVT4092" s="917"/>
      <c r="WVU4092" s="917"/>
      <c r="WVV4092" s="917"/>
      <c r="WVW4092" s="917"/>
      <c r="WVX4092" s="917"/>
      <c r="WVY4092" s="917"/>
      <c r="WVZ4092" s="917"/>
      <c r="WWA4092" s="917"/>
      <c r="WWB4092" s="917"/>
      <c r="WWC4092" s="917" t="s">
        <v>78</v>
      </c>
      <c r="WWD4092" s="917"/>
      <c r="WWE4092" s="917"/>
      <c r="WWF4092" s="917"/>
      <c r="WWG4092" s="917"/>
      <c r="WWH4092" s="917"/>
      <c r="WWI4092" s="917"/>
      <c r="WWJ4092" s="917"/>
      <c r="WWK4092" s="917"/>
      <c r="WWL4092" s="917"/>
      <c r="WWM4092" s="917"/>
      <c r="WWN4092" s="917"/>
      <c r="WWO4092" s="917"/>
      <c r="WWP4092" s="917"/>
      <c r="WWQ4092" s="917"/>
      <c r="WWR4092" s="917"/>
      <c r="WWS4092" s="917"/>
      <c r="WWT4092" s="917"/>
      <c r="WWU4092" s="917"/>
      <c r="WWV4092" s="917"/>
      <c r="WWW4092" s="917"/>
      <c r="WWX4092" s="917"/>
      <c r="WWY4092" s="917"/>
      <c r="WWZ4092" s="917"/>
      <c r="WXA4092" s="917"/>
      <c r="WXB4092" s="917"/>
      <c r="WXC4092" s="917"/>
      <c r="WXD4092" s="917"/>
      <c r="WXE4092" s="917"/>
      <c r="WXF4092" s="917"/>
      <c r="WXG4092" s="917"/>
      <c r="WXH4092" s="917"/>
      <c r="WXI4092" s="917" t="s">
        <v>78</v>
      </c>
      <c r="WXJ4092" s="917"/>
      <c r="WXK4092" s="917"/>
      <c r="WXL4092" s="917"/>
      <c r="WXM4092" s="917"/>
      <c r="WXN4092" s="917"/>
      <c r="WXO4092" s="917"/>
      <c r="WXP4092" s="917"/>
      <c r="WXQ4092" s="917"/>
      <c r="WXR4092" s="917"/>
      <c r="WXS4092" s="917"/>
      <c r="WXT4092" s="917"/>
      <c r="WXU4092" s="917"/>
      <c r="WXV4092" s="917"/>
      <c r="WXW4092" s="917"/>
      <c r="WXX4092" s="917"/>
      <c r="WXY4092" s="917"/>
      <c r="WXZ4092" s="917"/>
      <c r="WYA4092" s="917"/>
      <c r="WYB4092" s="917"/>
      <c r="WYC4092" s="917"/>
      <c r="WYD4092" s="917"/>
      <c r="WYE4092" s="917"/>
      <c r="WYF4092" s="917"/>
      <c r="WYG4092" s="917"/>
      <c r="WYH4092" s="917"/>
      <c r="WYI4092" s="917"/>
      <c r="WYJ4092" s="917"/>
      <c r="WYK4092" s="917"/>
      <c r="WYL4092" s="917"/>
      <c r="WYM4092" s="917"/>
      <c r="WYN4092" s="917"/>
      <c r="WYO4092" s="917" t="s">
        <v>78</v>
      </c>
      <c r="WYP4092" s="917"/>
      <c r="WYQ4092" s="917"/>
      <c r="WYR4092" s="917"/>
      <c r="WYS4092" s="917"/>
      <c r="WYT4092" s="917"/>
      <c r="WYU4092" s="917"/>
      <c r="WYV4092" s="917"/>
      <c r="WYW4092" s="917"/>
      <c r="WYX4092" s="917"/>
      <c r="WYY4092" s="917"/>
      <c r="WYZ4092" s="917"/>
      <c r="WZA4092" s="917"/>
      <c r="WZB4092" s="917"/>
      <c r="WZC4092" s="917"/>
      <c r="WZD4092" s="917"/>
      <c r="WZE4092" s="917"/>
      <c r="WZF4092" s="917"/>
      <c r="WZG4092" s="917"/>
      <c r="WZH4092" s="917"/>
      <c r="WZI4092" s="917"/>
      <c r="WZJ4092" s="917"/>
      <c r="WZK4092" s="917"/>
      <c r="WZL4092" s="917"/>
      <c r="WZM4092" s="917"/>
      <c r="WZN4092" s="917"/>
      <c r="WZO4092" s="917"/>
      <c r="WZP4092" s="917"/>
      <c r="WZQ4092" s="917"/>
      <c r="WZR4092" s="917"/>
      <c r="WZS4092" s="917"/>
      <c r="WZT4092" s="917"/>
      <c r="WZU4092" s="917" t="s">
        <v>78</v>
      </c>
      <c r="WZV4092" s="917"/>
      <c r="WZW4092" s="917"/>
      <c r="WZX4092" s="917"/>
      <c r="WZY4092" s="917"/>
      <c r="WZZ4092" s="917"/>
      <c r="XAA4092" s="917"/>
      <c r="XAB4092" s="917"/>
      <c r="XAC4092" s="917"/>
      <c r="XAD4092" s="917"/>
      <c r="XAE4092" s="917"/>
      <c r="XAF4092" s="917"/>
      <c r="XAG4092" s="917"/>
      <c r="XAH4092" s="917"/>
      <c r="XAI4092" s="917"/>
      <c r="XAJ4092" s="917"/>
      <c r="XAK4092" s="917"/>
      <c r="XAL4092" s="917"/>
      <c r="XAM4092" s="917"/>
      <c r="XAN4092" s="917"/>
      <c r="XAO4092" s="917"/>
      <c r="XAP4092" s="917"/>
      <c r="XAQ4092" s="917"/>
      <c r="XAR4092" s="917"/>
      <c r="XAS4092" s="917"/>
      <c r="XAT4092" s="917"/>
      <c r="XAU4092" s="917"/>
      <c r="XAV4092" s="917"/>
      <c r="XAW4092" s="917"/>
      <c r="XAX4092" s="917"/>
      <c r="XAY4092" s="917"/>
      <c r="XAZ4092" s="917"/>
      <c r="XBA4092" s="917" t="s">
        <v>78</v>
      </c>
      <c r="XBB4092" s="917"/>
      <c r="XBC4092" s="917"/>
      <c r="XBD4092" s="917"/>
      <c r="XBE4092" s="917"/>
      <c r="XBF4092" s="917"/>
      <c r="XBG4092" s="917"/>
      <c r="XBH4092" s="917"/>
      <c r="XBI4092" s="917"/>
      <c r="XBJ4092" s="917"/>
      <c r="XBK4092" s="917"/>
      <c r="XBL4092" s="917"/>
      <c r="XBM4092" s="917"/>
      <c r="XBN4092" s="917"/>
      <c r="XBO4092" s="917"/>
      <c r="XBP4092" s="917"/>
      <c r="XBQ4092" s="917"/>
      <c r="XBR4092" s="917"/>
      <c r="XBS4092" s="917"/>
      <c r="XBT4092" s="917"/>
      <c r="XBU4092" s="917"/>
      <c r="XBV4092" s="917"/>
      <c r="XBW4092" s="917"/>
      <c r="XBX4092" s="917"/>
      <c r="XBY4092" s="917"/>
      <c r="XBZ4092" s="917"/>
      <c r="XCA4092" s="917"/>
      <c r="XCB4092" s="917"/>
      <c r="XCC4092" s="917"/>
      <c r="XCD4092" s="917"/>
      <c r="XCE4092" s="917"/>
      <c r="XCF4092" s="917"/>
      <c r="XCG4092" s="917" t="s">
        <v>78</v>
      </c>
      <c r="XCH4092" s="917"/>
      <c r="XCI4092" s="917"/>
      <c r="XCJ4092" s="917"/>
      <c r="XCK4092" s="917"/>
      <c r="XCL4092" s="917"/>
      <c r="XCM4092" s="917"/>
      <c r="XCN4092" s="917"/>
      <c r="XCO4092" s="917"/>
      <c r="XCP4092" s="917"/>
      <c r="XCQ4092" s="917"/>
      <c r="XCR4092" s="917"/>
      <c r="XCS4092" s="917"/>
      <c r="XCT4092" s="917"/>
      <c r="XCU4092" s="917"/>
      <c r="XCV4092" s="917"/>
      <c r="XCW4092" s="917"/>
      <c r="XCX4092" s="917"/>
      <c r="XCY4092" s="917"/>
      <c r="XCZ4092" s="917"/>
      <c r="XDA4092" s="917"/>
      <c r="XDB4092" s="917"/>
      <c r="XDC4092" s="917"/>
      <c r="XDD4092" s="917"/>
      <c r="XDE4092" s="917"/>
      <c r="XDF4092" s="917"/>
      <c r="XDG4092" s="917"/>
      <c r="XDH4092" s="917"/>
      <c r="XDI4092" s="917"/>
      <c r="XDJ4092" s="917"/>
      <c r="XDK4092" s="917"/>
      <c r="XDL4092" s="917"/>
      <c r="XDM4092" s="917" t="s">
        <v>78</v>
      </c>
      <c r="XDN4092" s="917"/>
      <c r="XDO4092" s="917"/>
      <c r="XDP4092" s="917"/>
      <c r="XDQ4092" s="917"/>
      <c r="XDR4092" s="917"/>
      <c r="XDS4092" s="917"/>
      <c r="XDT4092" s="917"/>
      <c r="XDU4092" s="917"/>
      <c r="XDV4092" s="917"/>
      <c r="XDW4092" s="917"/>
      <c r="XDX4092" s="917"/>
      <c r="XDY4092" s="917"/>
      <c r="XDZ4092" s="917"/>
      <c r="XEA4092" s="917"/>
      <c r="XEB4092" s="917"/>
      <c r="XEC4092" s="917"/>
      <c r="XED4092" s="917"/>
      <c r="XEE4092" s="917"/>
      <c r="XEF4092" s="917"/>
      <c r="XEG4092" s="917"/>
      <c r="XEH4092" s="917"/>
      <c r="XEI4092" s="917"/>
      <c r="XEJ4092" s="917"/>
      <c r="XEK4092" s="917"/>
      <c r="XEL4092" s="917"/>
      <c r="XEM4092" s="917"/>
      <c r="XEN4092" s="917"/>
      <c r="XEO4092" s="917"/>
      <c r="XEP4092" s="917"/>
      <c r="XEQ4092" s="917"/>
      <c r="XER4092" s="917"/>
    </row>
    <row r="4093" spans="2:16372" hidden="1">
      <c r="B4093" s="19"/>
      <c r="C4093" s="19"/>
      <c r="D4093" s="19"/>
      <c r="E4093" s="19"/>
      <c r="F4093" s="19"/>
      <c r="G4093" s="19"/>
      <c r="H4093" s="19"/>
      <c r="I4093" s="19"/>
      <c r="J4093" s="19"/>
      <c r="K4093" s="421"/>
      <c r="L4093" s="23"/>
      <c r="M4093" s="19"/>
      <c r="N4093" s="19"/>
      <c r="O4093" s="19"/>
      <c r="P4093" s="19"/>
      <c r="Q4093" s="19"/>
      <c r="AC4093" s="30"/>
      <c r="BI4093" s="30"/>
      <c r="CO4093" s="30"/>
      <c r="DU4093" s="30"/>
      <c r="FA4093" s="30"/>
      <c r="GG4093" s="30"/>
      <c r="HM4093" s="30"/>
      <c r="IS4093" s="30"/>
      <c r="JY4093" s="30"/>
      <c r="LE4093" s="30"/>
      <c r="MK4093" s="30"/>
      <c r="NQ4093" s="30"/>
      <c r="OW4093" s="30"/>
      <c r="QC4093" s="30"/>
      <c r="RI4093" s="30"/>
      <c r="SO4093" s="30"/>
      <c r="TU4093" s="30"/>
      <c r="VA4093" s="30"/>
      <c r="WG4093" s="30"/>
      <c r="XM4093" s="30"/>
      <c r="YS4093" s="30"/>
      <c r="ZY4093" s="30"/>
      <c r="ABE4093" s="30"/>
      <c r="ACK4093" s="30"/>
      <c r="ADQ4093" s="30"/>
      <c r="AEW4093" s="30"/>
      <c r="AGC4093" s="30"/>
      <c r="AHI4093" s="30"/>
      <c r="AIO4093" s="30"/>
      <c r="AJU4093" s="30"/>
      <c r="ALA4093" s="30"/>
      <c r="AMG4093" s="30"/>
      <c r="ANM4093" s="30"/>
      <c r="AOS4093" s="30"/>
      <c r="APY4093" s="30"/>
      <c r="ARE4093" s="30"/>
      <c r="ASK4093" s="30"/>
      <c r="ATQ4093" s="30"/>
      <c r="AUW4093" s="30"/>
      <c r="AWC4093" s="30"/>
      <c r="AXI4093" s="30"/>
      <c r="AYO4093" s="30"/>
      <c r="AZU4093" s="30"/>
      <c r="BBA4093" s="30"/>
      <c r="BCG4093" s="30"/>
      <c r="BDM4093" s="30"/>
      <c r="BES4093" s="30"/>
      <c r="BFY4093" s="30"/>
      <c r="BHE4093" s="30"/>
      <c r="BIK4093" s="30"/>
      <c r="BJQ4093" s="30"/>
      <c r="BKW4093" s="30"/>
      <c r="BMC4093" s="30"/>
      <c r="BNI4093" s="30"/>
      <c r="BOO4093" s="30"/>
      <c r="BPU4093" s="30"/>
      <c r="BRA4093" s="30"/>
      <c r="BSG4093" s="30"/>
      <c r="BTM4093" s="30"/>
      <c r="BUS4093" s="30"/>
      <c r="BVY4093" s="30"/>
      <c r="BXE4093" s="30"/>
      <c r="BYK4093" s="30"/>
      <c r="BZQ4093" s="30"/>
      <c r="CAW4093" s="30"/>
      <c r="CCC4093" s="30"/>
      <c r="CDI4093" s="30"/>
      <c r="CEO4093" s="30"/>
      <c r="CFU4093" s="30"/>
      <c r="CHA4093" s="30"/>
      <c r="CIG4093" s="30"/>
      <c r="CJM4093" s="30"/>
      <c r="CKS4093" s="30"/>
      <c r="CLY4093" s="30"/>
      <c r="CNE4093" s="30"/>
      <c r="COK4093" s="30"/>
      <c r="CPQ4093" s="30"/>
      <c r="CQW4093" s="30"/>
      <c r="CSC4093" s="30"/>
      <c r="CTI4093" s="30"/>
      <c r="CUO4093" s="30"/>
      <c r="CVU4093" s="30"/>
      <c r="CXA4093" s="30"/>
      <c r="CYG4093" s="30"/>
      <c r="CZM4093" s="30"/>
      <c r="DAS4093" s="30"/>
      <c r="DBY4093" s="30"/>
      <c r="DDE4093" s="30"/>
      <c r="DEK4093" s="30"/>
      <c r="DFQ4093" s="30"/>
      <c r="DGW4093" s="30"/>
      <c r="DIC4093" s="30"/>
      <c r="DJI4093" s="30"/>
      <c r="DKO4093" s="30"/>
      <c r="DLU4093" s="30"/>
      <c r="DNA4093" s="30"/>
      <c r="DOG4093" s="30"/>
      <c r="DPM4093" s="30"/>
      <c r="DQS4093" s="30"/>
      <c r="DRY4093" s="30"/>
      <c r="DTE4093" s="30"/>
      <c r="DUK4093" s="30"/>
      <c r="DVQ4093" s="30"/>
      <c r="DWW4093" s="30"/>
      <c r="DYC4093" s="30"/>
      <c r="DZI4093" s="30"/>
      <c r="EAO4093" s="30"/>
      <c r="EBU4093" s="30"/>
      <c r="EDA4093" s="30"/>
      <c r="EEG4093" s="30"/>
      <c r="EFM4093" s="30"/>
      <c r="EGS4093" s="30"/>
      <c r="EHY4093" s="30"/>
      <c r="EJE4093" s="30"/>
      <c r="EKK4093" s="30"/>
      <c r="ELQ4093" s="30"/>
      <c r="EMW4093" s="30"/>
      <c r="EOC4093" s="30"/>
      <c r="EPI4093" s="30"/>
      <c r="EQO4093" s="30"/>
      <c r="ERU4093" s="30"/>
      <c r="ETA4093" s="30"/>
      <c r="EUG4093" s="30"/>
      <c r="EVM4093" s="30"/>
      <c r="EWS4093" s="30"/>
      <c r="EXY4093" s="30"/>
      <c r="EZE4093" s="30"/>
      <c r="FAK4093" s="30"/>
      <c r="FBQ4093" s="30"/>
      <c r="FCW4093" s="30"/>
      <c r="FEC4093" s="30"/>
      <c r="FFI4093" s="30"/>
      <c r="FGO4093" s="30"/>
      <c r="FHU4093" s="30"/>
      <c r="FJA4093" s="30"/>
      <c r="FKG4093" s="30"/>
      <c r="FLM4093" s="30"/>
      <c r="FMS4093" s="30"/>
      <c r="FNY4093" s="30"/>
      <c r="FPE4093" s="30"/>
      <c r="FQK4093" s="30"/>
      <c r="FRQ4093" s="30"/>
      <c r="FSW4093" s="30"/>
      <c r="FUC4093" s="30"/>
      <c r="FVI4093" s="30"/>
      <c r="FWO4093" s="30"/>
      <c r="FXU4093" s="30"/>
      <c r="FZA4093" s="30"/>
      <c r="GAG4093" s="30"/>
      <c r="GBM4093" s="30"/>
      <c r="GCS4093" s="30"/>
      <c r="GDY4093" s="30"/>
      <c r="GFE4093" s="30"/>
      <c r="GGK4093" s="30"/>
      <c r="GHQ4093" s="30"/>
      <c r="GIW4093" s="30"/>
      <c r="GKC4093" s="30"/>
      <c r="GLI4093" s="30"/>
      <c r="GMO4093" s="30"/>
      <c r="GNU4093" s="30"/>
      <c r="GPA4093" s="30"/>
      <c r="GQG4093" s="30"/>
      <c r="GRM4093" s="30"/>
      <c r="GSS4093" s="30"/>
      <c r="GTY4093" s="30"/>
      <c r="GVE4093" s="30"/>
      <c r="GWK4093" s="30"/>
      <c r="GXQ4093" s="30"/>
      <c r="GYW4093" s="30"/>
      <c r="HAC4093" s="30"/>
      <c r="HBI4093" s="30"/>
      <c r="HCO4093" s="30"/>
      <c r="HDU4093" s="30"/>
      <c r="HFA4093" s="30"/>
      <c r="HGG4093" s="30"/>
      <c r="HHM4093" s="30"/>
      <c r="HIS4093" s="30"/>
      <c r="HJY4093" s="30"/>
      <c r="HLE4093" s="30"/>
      <c r="HMK4093" s="30"/>
      <c r="HNQ4093" s="30"/>
      <c r="HOW4093" s="30"/>
      <c r="HQC4093" s="30"/>
      <c r="HRI4093" s="30"/>
      <c r="HSO4093" s="30"/>
      <c r="HTU4093" s="30"/>
      <c r="HVA4093" s="30"/>
      <c r="HWG4093" s="30"/>
      <c r="HXM4093" s="30"/>
      <c r="HYS4093" s="30"/>
      <c r="HZY4093" s="30"/>
      <c r="IBE4093" s="30"/>
      <c r="ICK4093" s="30"/>
      <c r="IDQ4093" s="30"/>
      <c r="IEW4093" s="30"/>
      <c r="IGC4093" s="30"/>
      <c r="IHI4093" s="30"/>
      <c r="IIO4093" s="30"/>
      <c r="IJU4093" s="30"/>
      <c r="ILA4093" s="30"/>
      <c r="IMG4093" s="30"/>
      <c r="INM4093" s="30"/>
      <c r="IOS4093" s="30"/>
      <c r="IPY4093" s="30"/>
      <c r="IRE4093" s="30"/>
      <c r="ISK4093" s="30"/>
      <c r="ITQ4093" s="30"/>
      <c r="IUW4093" s="30"/>
      <c r="IWC4093" s="30"/>
      <c r="IXI4093" s="30"/>
      <c r="IYO4093" s="30"/>
      <c r="IZU4093" s="30"/>
      <c r="JBA4093" s="30"/>
      <c r="JCG4093" s="30"/>
      <c r="JDM4093" s="30"/>
      <c r="JES4093" s="30"/>
      <c r="JFY4093" s="30"/>
      <c r="JHE4093" s="30"/>
      <c r="JIK4093" s="30"/>
      <c r="JJQ4093" s="30"/>
      <c r="JKW4093" s="30"/>
      <c r="JMC4093" s="30"/>
      <c r="JNI4093" s="30"/>
      <c r="JOO4093" s="30"/>
      <c r="JPU4093" s="30"/>
      <c r="JRA4093" s="30"/>
      <c r="JSG4093" s="30"/>
      <c r="JTM4093" s="30"/>
      <c r="JUS4093" s="30"/>
      <c r="JVY4093" s="30"/>
      <c r="JXE4093" s="30"/>
      <c r="JYK4093" s="30"/>
      <c r="JZQ4093" s="30"/>
      <c r="KAW4093" s="30"/>
      <c r="KCC4093" s="30"/>
      <c r="KDI4093" s="30"/>
      <c r="KEO4093" s="30"/>
      <c r="KFU4093" s="30"/>
      <c r="KHA4093" s="30"/>
      <c r="KIG4093" s="30"/>
      <c r="KJM4093" s="30"/>
      <c r="KKS4093" s="30"/>
      <c r="KLY4093" s="30"/>
      <c r="KNE4093" s="30"/>
      <c r="KOK4093" s="30"/>
      <c r="KPQ4093" s="30"/>
      <c r="KQW4093" s="30"/>
      <c r="KSC4093" s="30"/>
      <c r="KTI4093" s="30"/>
      <c r="KUO4093" s="30"/>
      <c r="KVU4093" s="30"/>
      <c r="KXA4093" s="30"/>
      <c r="KYG4093" s="30"/>
      <c r="KZM4093" s="30"/>
      <c r="LAS4093" s="30"/>
      <c r="LBY4093" s="30"/>
      <c r="LDE4093" s="30"/>
      <c r="LEK4093" s="30"/>
      <c r="LFQ4093" s="30"/>
      <c r="LGW4093" s="30"/>
      <c r="LIC4093" s="30"/>
      <c r="LJI4093" s="30"/>
      <c r="LKO4093" s="30"/>
      <c r="LLU4093" s="30"/>
      <c r="LNA4093" s="30"/>
      <c r="LOG4093" s="30"/>
      <c r="LPM4093" s="30"/>
      <c r="LQS4093" s="30"/>
      <c r="LRY4093" s="30"/>
      <c r="LTE4093" s="30"/>
      <c r="LUK4093" s="30"/>
      <c r="LVQ4093" s="30"/>
      <c r="LWW4093" s="30"/>
      <c r="LYC4093" s="30"/>
      <c r="LZI4093" s="30"/>
      <c r="MAO4093" s="30"/>
      <c r="MBU4093" s="30"/>
      <c r="MDA4093" s="30"/>
      <c r="MEG4093" s="30"/>
      <c r="MFM4093" s="30"/>
      <c r="MGS4093" s="30"/>
      <c r="MHY4093" s="30"/>
      <c r="MJE4093" s="30"/>
      <c r="MKK4093" s="30"/>
      <c r="MLQ4093" s="30"/>
      <c r="MMW4093" s="30"/>
      <c r="MOC4093" s="30"/>
      <c r="MPI4093" s="30"/>
      <c r="MQO4093" s="30"/>
      <c r="MRU4093" s="30"/>
      <c r="MTA4093" s="30"/>
      <c r="MUG4093" s="30"/>
      <c r="MVM4093" s="30"/>
      <c r="MWS4093" s="30"/>
      <c r="MXY4093" s="30"/>
      <c r="MZE4093" s="30"/>
      <c r="NAK4093" s="30"/>
      <c r="NBQ4093" s="30"/>
      <c r="NCW4093" s="30"/>
      <c r="NEC4093" s="30"/>
      <c r="NFI4093" s="30"/>
      <c r="NGO4093" s="30"/>
      <c r="NHU4093" s="30"/>
      <c r="NJA4093" s="30"/>
      <c r="NKG4093" s="30"/>
      <c r="NLM4093" s="30"/>
      <c r="NMS4093" s="30"/>
      <c r="NNY4093" s="30"/>
      <c r="NPE4093" s="30"/>
      <c r="NQK4093" s="30"/>
      <c r="NRQ4093" s="30"/>
      <c r="NSW4093" s="30"/>
      <c r="NUC4093" s="30"/>
      <c r="NVI4093" s="30"/>
      <c r="NWO4093" s="30"/>
      <c r="NXU4093" s="30"/>
      <c r="NZA4093" s="30"/>
      <c r="OAG4093" s="30"/>
      <c r="OBM4093" s="30"/>
      <c r="OCS4093" s="30"/>
      <c r="ODY4093" s="30"/>
      <c r="OFE4093" s="30"/>
      <c r="OGK4093" s="30"/>
      <c r="OHQ4093" s="30"/>
      <c r="OIW4093" s="30"/>
      <c r="OKC4093" s="30"/>
      <c r="OLI4093" s="30"/>
      <c r="OMO4093" s="30"/>
      <c r="ONU4093" s="30"/>
      <c r="OPA4093" s="30"/>
      <c r="OQG4093" s="30"/>
      <c r="ORM4093" s="30"/>
      <c r="OSS4093" s="30"/>
      <c r="OTY4093" s="30"/>
      <c r="OVE4093" s="30"/>
      <c r="OWK4093" s="30"/>
      <c r="OXQ4093" s="30"/>
      <c r="OYW4093" s="30"/>
      <c r="PAC4093" s="30"/>
      <c r="PBI4093" s="30"/>
      <c r="PCO4093" s="30"/>
      <c r="PDU4093" s="30"/>
      <c r="PFA4093" s="30"/>
      <c r="PGG4093" s="30"/>
      <c r="PHM4093" s="30"/>
      <c r="PIS4093" s="30"/>
      <c r="PJY4093" s="30"/>
      <c r="PLE4093" s="30"/>
      <c r="PMK4093" s="30"/>
      <c r="PNQ4093" s="30"/>
      <c r="POW4093" s="30"/>
      <c r="PQC4093" s="30"/>
      <c r="PRI4093" s="30"/>
      <c r="PSO4093" s="30"/>
      <c r="PTU4093" s="30"/>
      <c r="PVA4093" s="30"/>
      <c r="PWG4093" s="30"/>
      <c r="PXM4093" s="30"/>
      <c r="PYS4093" s="30"/>
      <c r="PZY4093" s="30"/>
      <c r="QBE4093" s="30"/>
      <c r="QCK4093" s="30"/>
      <c r="QDQ4093" s="30"/>
      <c r="QEW4093" s="30"/>
      <c r="QGC4093" s="30"/>
      <c r="QHI4093" s="30"/>
      <c r="QIO4093" s="30"/>
      <c r="QJU4093" s="30"/>
      <c r="QLA4093" s="30"/>
      <c r="QMG4093" s="30"/>
      <c r="QNM4093" s="30"/>
      <c r="QOS4093" s="30"/>
      <c r="QPY4093" s="30"/>
      <c r="QRE4093" s="30"/>
      <c r="QSK4093" s="30"/>
      <c r="QTQ4093" s="30"/>
      <c r="QUW4093" s="30"/>
      <c r="QWC4093" s="30"/>
      <c r="QXI4093" s="30"/>
      <c r="QYO4093" s="30"/>
      <c r="QZU4093" s="30"/>
      <c r="RBA4093" s="30"/>
      <c r="RCG4093" s="30"/>
      <c r="RDM4093" s="30"/>
      <c r="RES4093" s="30"/>
      <c r="RFY4093" s="30"/>
      <c r="RHE4093" s="30"/>
      <c r="RIK4093" s="30"/>
      <c r="RJQ4093" s="30"/>
      <c r="RKW4093" s="30"/>
      <c r="RMC4093" s="30"/>
      <c r="RNI4093" s="30"/>
      <c r="ROO4093" s="30"/>
      <c r="RPU4093" s="30"/>
      <c r="RRA4093" s="30"/>
      <c r="RSG4093" s="30"/>
      <c r="RTM4093" s="30"/>
      <c r="RUS4093" s="30"/>
      <c r="RVY4093" s="30"/>
      <c r="RXE4093" s="30"/>
      <c r="RYK4093" s="30"/>
      <c r="RZQ4093" s="30"/>
      <c r="SAW4093" s="30"/>
      <c r="SCC4093" s="30"/>
      <c r="SDI4093" s="30"/>
      <c r="SEO4093" s="30"/>
      <c r="SFU4093" s="30"/>
      <c r="SHA4093" s="30"/>
      <c r="SIG4093" s="30"/>
      <c r="SJM4093" s="30"/>
      <c r="SKS4093" s="30"/>
      <c r="SLY4093" s="30"/>
      <c r="SNE4093" s="30"/>
      <c r="SOK4093" s="30"/>
      <c r="SPQ4093" s="30"/>
      <c r="SQW4093" s="30"/>
      <c r="SSC4093" s="30"/>
      <c r="STI4093" s="30"/>
      <c r="SUO4093" s="30"/>
      <c r="SVU4093" s="30"/>
      <c r="SXA4093" s="30"/>
      <c r="SYG4093" s="30"/>
      <c r="SZM4093" s="30"/>
      <c r="TAS4093" s="30"/>
      <c r="TBY4093" s="30"/>
      <c r="TDE4093" s="30"/>
      <c r="TEK4093" s="30"/>
      <c r="TFQ4093" s="30"/>
      <c r="TGW4093" s="30"/>
      <c r="TIC4093" s="30"/>
      <c r="TJI4093" s="30"/>
      <c r="TKO4093" s="30"/>
      <c r="TLU4093" s="30"/>
      <c r="TNA4093" s="30"/>
      <c r="TOG4093" s="30"/>
      <c r="TPM4093" s="30"/>
      <c r="TQS4093" s="30"/>
      <c r="TRY4093" s="30"/>
      <c r="TTE4093" s="30"/>
      <c r="TUK4093" s="30"/>
      <c r="TVQ4093" s="30"/>
      <c r="TWW4093" s="30"/>
      <c r="TYC4093" s="30"/>
      <c r="TZI4093" s="30"/>
      <c r="UAO4093" s="30"/>
      <c r="UBU4093" s="30"/>
      <c r="UDA4093" s="30"/>
      <c r="UEG4093" s="30"/>
      <c r="UFM4093" s="30"/>
      <c r="UGS4093" s="30"/>
      <c r="UHY4093" s="30"/>
      <c r="UJE4093" s="30"/>
      <c r="UKK4093" s="30"/>
      <c r="ULQ4093" s="30"/>
      <c r="UMW4093" s="30"/>
      <c r="UOC4093" s="30"/>
      <c r="UPI4093" s="30"/>
      <c r="UQO4093" s="30"/>
      <c r="URU4093" s="30"/>
      <c r="UTA4093" s="30"/>
      <c r="UUG4093" s="30"/>
      <c r="UVM4093" s="30"/>
      <c r="UWS4093" s="30"/>
      <c r="UXY4093" s="30"/>
      <c r="UZE4093" s="30"/>
      <c r="VAK4093" s="30"/>
      <c r="VBQ4093" s="30"/>
      <c r="VCW4093" s="30"/>
      <c r="VEC4093" s="30"/>
      <c r="VFI4093" s="30"/>
      <c r="VGO4093" s="30"/>
      <c r="VHU4093" s="30"/>
      <c r="VJA4093" s="30"/>
      <c r="VKG4093" s="30"/>
      <c r="VLM4093" s="30"/>
      <c r="VMS4093" s="30"/>
      <c r="VNY4093" s="30"/>
      <c r="VPE4093" s="30"/>
      <c r="VQK4093" s="30"/>
      <c r="VRQ4093" s="30"/>
      <c r="VSW4093" s="30"/>
      <c r="VUC4093" s="30"/>
      <c r="VVI4093" s="30"/>
      <c r="VWO4093" s="30"/>
      <c r="VXU4093" s="30"/>
      <c r="VZA4093" s="30"/>
      <c r="WAG4093" s="30"/>
      <c r="WBM4093" s="30"/>
      <c r="WCS4093" s="30"/>
      <c r="WDY4093" s="30"/>
      <c r="WFE4093" s="30"/>
      <c r="WGK4093" s="30"/>
      <c r="WHQ4093" s="30"/>
      <c r="WIW4093" s="30"/>
      <c r="WKC4093" s="30"/>
      <c r="WLI4093" s="30"/>
      <c r="WMO4093" s="30"/>
      <c r="WNU4093" s="30"/>
      <c r="WPA4093" s="30"/>
      <c r="WQG4093" s="30"/>
      <c r="WRM4093" s="30"/>
      <c r="WSS4093" s="30"/>
      <c r="WTY4093" s="30"/>
      <c r="WVE4093" s="30"/>
      <c r="WWK4093" s="30"/>
      <c r="WXQ4093" s="30"/>
      <c r="WYW4093" s="30"/>
      <c r="XAC4093" s="30"/>
      <c r="XBI4093" s="30"/>
      <c r="XCO4093" s="30"/>
      <c r="XDU4093" s="30"/>
    </row>
    <row r="4094" spans="2:16372" hidden="1">
      <c r="B4094" s="19"/>
      <c r="C4094" s="19"/>
      <c r="D4094" s="19"/>
      <c r="E4094" s="19"/>
      <c r="F4094" s="19"/>
      <c r="G4094" s="19"/>
      <c r="H4094" s="19"/>
      <c r="I4094" s="19"/>
      <c r="J4094" s="19"/>
      <c r="K4094" s="421"/>
      <c r="L4094" s="23"/>
      <c r="M4094" s="19"/>
      <c r="N4094" s="19"/>
      <c r="O4094" s="19"/>
      <c r="P4094" s="19"/>
      <c r="Q4094" s="19"/>
      <c r="AC4094" s="919"/>
      <c r="AD4094" s="918"/>
      <c r="AE4094" s="918"/>
      <c r="AF4094" s="918"/>
      <c r="AG4094" s="918"/>
      <c r="AH4094" s="918"/>
      <c r="AI4094" s="918"/>
      <c r="AJ4094" s="918"/>
      <c r="AK4094" s="918"/>
      <c r="AL4094" s="918"/>
      <c r="AM4094" s="918"/>
      <c r="AN4094" s="918"/>
      <c r="AP4094" s="918"/>
      <c r="AQ4094" s="918"/>
      <c r="AR4094" s="918"/>
      <c r="AS4094" s="918"/>
      <c r="AT4094" s="918"/>
      <c r="AU4094" s="918"/>
      <c r="AV4094" s="918"/>
      <c r="AW4094" s="918"/>
      <c r="AX4094" s="918"/>
      <c r="AY4094" s="918"/>
      <c r="BA4094" s="913" t="s">
        <v>1</v>
      </c>
      <c r="BB4094" s="31"/>
      <c r="BC4094" s="909" t="s">
        <v>0</v>
      </c>
      <c r="BD4094" s="909"/>
      <c r="BE4094" s="909"/>
      <c r="BF4094" s="909"/>
      <c r="BG4094" s="909"/>
      <c r="BH4094" s="909"/>
      <c r="BI4094" s="907" t="s">
        <v>79</v>
      </c>
      <c r="BJ4094" s="909" t="s">
        <v>68</v>
      </c>
      <c r="BK4094" s="910" t="s">
        <v>75</v>
      </c>
      <c r="BL4094" s="911"/>
      <c r="BM4094" s="911"/>
      <c r="BN4094" s="911"/>
      <c r="BO4094" s="911"/>
      <c r="BP4094" s="911"/>
      <c r="BQ4094" s="911"/>
      <c r="BR4094" s="911"/>
      <c r="BS4094" s="911"/>
      <c r="BT4094" s="911"/>
      <c r="BU4094" s="32"/>
      <c r="BV4094" s="911" t="s">
        <v>74</v>
      </c>
      <c r="BW4094" s="911"/>
      <c r="BX4094" s="911"/>
      <c r="BY4094" s="911"/>
      <c r="BZ4094" s="911"/>
      <c r="CA4094" s="911"/>
      <c r="CB4094" s="911"/>
      <c r="CC4094" s="911"/>
      <c r="CD4094" s="911"/>
      <c r="CE4094" s="912"/>
      <c r="CG4094" s="913" t="s">
        <v>1</v>
      </c>
      <c r="CH4094" s="31"/>
      <c r="CI4094" s="909" t="s">
        <v>0</v>
      </c>
      <c r="CJ4094" s="909"/>
      <c r="CK4094" s="909"/>
      <c r="CL4094" s="909"/>
      <c r="CM4094" s="909"/>
      <c r="CN4094" s="909"/>
      <c r="CO4094" s="907" t="s">
        <v>79</v>
      </c>
      <c r="CP4094" s="909" t="s">
        <v>68</v>
      </c>
      <c r="CQ4094" s="910" t="s">
        <v>75</v>
      </c>
      <c r="CR4094" s="911"/>
      <c r="CS4094" s="911"/>
      <c r="CT4094" s="911"/>
      <c r="CU4094" s="911"/>
      <c r="CV4094" s="911"/>
      <c r="CW4094" s="911"/>
      <c r="CX4094" s="911"/>
      <c r="CY4094" s="911"/>
      <c r="CZ4094" s="911"/>
      <c r="DA4094" s="32"/>
      <c r="DB4094" s="911" t="s">
        <v>74</v>
      </c>
      <c r="DC4094" s="911"/>
      <c r="DD4094" s="911"/>
      <c r="DE4094" s="911"/>
      <c r="DF4094" s="911"/>
      <c r="DG4094" s="911"/>
      <c r="DH4094" s="911"/>
      <c r="DI4094" s="911"/>
      <c r="DJ4094" s="911"/>
      <c r="DK4094" s="912"/>
      <c r="DM4094" s="913" t="s">
        <v>1</v>
      </c>
      <c r="DN4094" s="31"/>
      <c r="DO4094" s="909" t="s">
        <v>0</v>
      </c>
      <c r="DP4094" s="909"/>
      <c r="DQ4094" s="909"/>
      <c r="DR4094" s="909"/>
      <c r="DS4094" s="909"/>
      <c r="DT4094" s="909"/>
      <c r="DU4094" s="907" t="s">
        <v>79</v>
      </c>
      <c r="DV4094" s="909" t="s">
        <v>68</v>
      </c>
      <c r="DW4094" s="910" t="s">
        <v>75</v>
      </c>
      <c r="DX4094" s="911"/>
      <c r="DY4094" s="911"/>
      <c r="DZ4094" s="911"/>
      <c r="EA4094" s="911"/>
      <c r="EB4094" s="911"/>
      <c r="EC4094" s="911"/>
      <c r="ED4094" s="911"/>
      <c r="EE4094" s="911"/>
      <c r="EF4094" s="911"/>
      <c r="EG4094" s="32"/>
      <c r="EH4094" s="911" t="s">
        <v>74</v>
      </c>
      <c r="EI4094" s="911"/>
      <c r="EJ4094" s="911"/>
      <c r="EK4094" s="911"/>
      <c r="EL4094" s="911"/>
      <c r="EM4094" s="911"/>
      <c r="EN4094" s="911"/>
      <c r="EO4094" s="911"/>
      <c r="EP4094" s="911"/>
      <c r="EQ4094" s="912"/>
      <c r="ES4094" s="913" t="s">
        <v>1</v>
      </c>
      <c r="ET4094" s="31"/>
      <c r="EU4094" s="909" t="s">
        <v>0</v>
      </c>
      <c r="EV4094" s="909"/>
      <c r="EW4094" s="909"/>
      <c r="EX4094" s="909"/>
      <c r="EY4094" s="909"/>
      <c r="EZ4094" s="909"/>
      <c r="FA4094" s="907" t="s">
        <v>79</v>
      </c>
      <c r="FB4094" s="909" t="s">
        <v>68</v>
      </c>
      <c r="FC4094" s="910" t="s">
        <v>75</v>
      </c>
      <c r="FD4094" s="911"/>
      <c r="FE4094" s="911"/>
      <c r="FF4094" s="911"/>
      <c r="FG4094" s="911"/>
      <c r="FH4094" s="911"/>
      <c r="FI4094" s="911"/>
      <c r="FJ4094" s="911"/>
      <c r="FK4094" s="911"/>
      <c r="FL4094" s="911"/>
      <c r="FM4094" s="32"/>
      <c r="FN4094" s="911" t="s">
        <v>74</v>
      </c>
      <c r="FO4094" s="911"/>
      <c r="FP4094" s="911"/>
      <c r="FQ4094" s="911"/>
      <c r="FR4094" s="911"/>
      <c r="FS4094" s="911"/>
      <c r="FT4094" s="911"/>
      <c r="FU4094" s="911"/>
      <c r="FV4094" s="911"/>
      <c r="FW4094" s="912"/>
      <c r="FY4094" s="913" t="s">
        <v>1</v>
      </c>
      <c r="FZ4094" s="31"/>
      <c r="GA4094" s="909" t="s">
        <v>0</v>
      </c>
      <c r="GB4094" s="909"/>
      <c r="GC4094" s="909"/>
      <c r="GD4094" s="909"/>
      <c r="GE4094" s="909"/>
      <c r="GF4094" s="909"/>
      <c r="GG4094" s="907" t="s">
        <v>79</v>
      </c>
      <c r="GH4094" s="909" t="s">
        <v>68</v>
      </c>
      <c r="GI4094" s="910" t="s">
        <v>75</v>
      </c>
      <c r="GJ4094" s="911"/>
      <c r="GK4094" s="911"/>
      <c r="GL4094" s="911"/>
      <c r="GM4094" s="911"/>
      <c r="GN4094" s="911"/>
      <c r="GO4094" s="911"/>
      <c r="GP4094" s="911"/>
      <c r="GQ4094" s="911"/>
      <c r="GR4094" s="911"/>
      <c r="GS4094" s="32"/>
      <c r="GT4094" s="911" t="s">
        <v>74</v>
      </c>
      <c r="GU4094" s="911"/>
      <c r="GV4094" s="911"/>
      <c r="GW4094" s="911"/>
      <c r="GX4094" s="911"/>
      <c r="GY4094" s="911"/>
      <c r="GZ4094" s="911"/>
      <c r="HA4094" s="911"/>
      <c r="HB4094" s="911"/>
      <c r="HC4094" s="912"/>
      <c r="HE4094" s="913" t="s">
        <v>1</v>
      </c>
      <c r="HF4094" s="31"/>
      <c r="HG4094" s="909" t="s">
        <v>0</v>
      </c>
      <c r="HH4094" s="909"/>
      <c r="HI4094" s="909"/>
      <c r="HJ4094" s="909"/>
      <c r="HK4094" s="909"/>
      <c r="HL4094" s="909"/>
      <c r="HM4094" s="907" t="s">
        <v>79</v>
      </c>
      <c r="HN4094" s="909" t="s">
        <v>68</v>
      </c>
      <c r="HO4094" s="910" t="s">
        <v>75</v>
      </c>
      <c r="HP4094" s="911"/>
      <c r="HQ4094" s="911"/>
      <c r="HR4094" s="911"/>
      <c r="HS4094" s="911"/>
      <c r="HT4094" s="911"/>
      <c r="HU4094" s="911"/>
      <c r="HV4094" s="911"/>
      <c r="HW4094" s="911"/>
      <c r="HX4094" s="911"/>
      <c r="HY4094" s="32"/>
      <c r="HZ4094" s="911" t="s">
        <v>74</v>
      </c>
      <c r="IA4094" s="911"/>
      <c r="IB4094" s="911"/>
      <c r="IC4094" s="911"/>
      <c r="ID4094" s="911"/>
      <c r="IE4094" s="911"/>
      <c r="IF4094" s="911"/>
      <c r="IG4094" s="911"/>
      <c r="IH4094" s="911"/>
      <c r="II4094" s="912"/>
      <c r="IK4094" s="913" t="s">
        <v>1</v>
      </c>
      <c r="IL4094" s="31"/>
      <c r="IM4094" s="909" t="s">
        <v>0</v>
      </c>
      <c r="IN4094" s="909"/>
      <c r="IO4094" s="909"/>
      <c r="IP4094" s="909"/>
      <c r="IQ4094" s="909"/>
      <c r="IR4094" s="909"/>
      <c r="IS4094" s="907" t="s">
        <v>79</v>
      </c>
      <c r="IT4094" s="909" t="s">
        <v>68</v>
      </c>
      <c r="IU4094" s="910" t="s">
        <v>75</v>
      </c>
      <c r="IV4094" s="911"/>
      <c r="IW4094" s="911"/>
      <c r="IX4094" s="911"/>
      <c r="IY4094" s="911"/>
      <c r="IZ4094" s="911"/>
      <c r="JA4094" s="911"/>
      <c r="JB4094" s="911"/>
      <c r="JC4094" s="911"/>
      <c r="JD4094" s="911"/>
      <c r="JE4094" s="32"/>
      <c r="JF4094" s="911" t="s">
        <v>74</v>
      </c>
      <c r="JG4094" s="911"/>
      <c r="JH4094" s="911"/>
      <c r="JI4094" s="911"/>
      <c r="JJ4094" s="911"/>
      <c r="JK4094" s="911"/>
      <c r="JL4094" s="911"/>
      <c r="JM4094" s="911"/>
      <c r="JN4094" s="911"/>
      <c r="JO4094" s="912"/>
      <c r="JQ4094" s="913" t="s">
        <v>1</v>
      </c>
      <c r="JR4094" s="31"/>
      <c r="JS4094" s="909" t="s">
        <v>0</v>
      </c>
      <c r="JT4094" s="909"/>
      <c r="JU4094" s="909"/>
      <c r="JV4094" s="909"/>
      <c r="JW4094" s="909"/>
      <c r="JX4094" s="909"/>
      <c r="JY4094" s="907" t="s">
        <v>79</v>
      </c>
      <c r="JZ4094" s="909" t="s">
        <v>68</v>
      </c>
      <c r="KA4094" s="910" t="s">
        <v>75</v>
      </c>
      <c r="KB4094" s="911"/>
      <c r="KC4094" s="911"/>
      <c r="KD4094" s="911"/>
      <c r="KE4094" s="911"/>
      <c r="KF4094" s="911"/>
      <c r="KG4094" s="911"/>
      <c r="KH4094" s="911"/>
      <c r="KI4094" s="911"/>
      <c r="KJ4094" s="911"/>
      <c r="KK4094" s="32"/>
      <c r="KL4094" s="911" t="s">
        <v>74</v>
      </c>
      <c r="KM4094" s="911"/>
      <c r="KN4094" s="911"/>
      <c r="KO4094" s="911"/>
      <c r="KP4094" s="911"/>
      <c r="KQ4094" s="911"/>
      <c r="KR4094" s="911"/>
      <c r="KS4094" s="911"/>
      <c r="KT4094" s="911"/>
      <c r="KU4094" s="912"/>
      <c r="KW4094" s="913" t="s">
        <v>1</v>
      </c>
      <c r="KX4094" s="31"/>
      <c r="KY4094" s="909" t="s">
        <v>0</v>
      </c>
      <c r="KZ4094" s="909"/>
      <c r="LA4094" s="909"/>
      <c r="LB4094" s="909"/>
      <c r="LC4094" s="909"/>
      <c r="LD4094" s="909"/>
      <c r="LE4094" s="907" t="s">
        <v>79</v>
      </c>
      <c r="LF4094" s="909" t="s">
        <v>68</v>
      </c>
      <c r="LG4094" s="910" t="s">
        <v>75</v>
      </c>
      <c r="LH4094" s="911"/>
      <c r="LI4094" s="911"/>
      <c r="LJ4094" s="911"/>
      <c r="LK4094" s="911"/>
      <c r="LL4094" s="911"/>
      <c r="LM4094" s="911"/>
      <c r="LN4094" s="911"/>
      <c r="LO4094" s="911"/>
      <c r="LP4094" s="911"/>
      <c r="LQ4094" s="32"/>
      <c r="LR4094" s="911" t="s">
        <v>74</v>
      </c>
      <c r="LS4094" s="911"/>
      <c r="LT4094" s="911"/>
      <c r="LU4094" s="911"/>
      <c r="LV4094" s="911"/>
      <c r="LW4094" s="911"/>
      <c r="LX4094" s="911"/>
      <c r="LY4094" s="911"/>
      <c r="LZ4094" s="911"/>
      <c r="MA4094" s="912"/>
      <c r="MC4094" s="913" t="s">
        <v>1</v>
      </c>
      <c r="MD4094" s="31"/>
      <c r="ME4094" s="909" t="s">
        <v>0</v>
      </c>
      <c r="MF4094" s="909"/>
      <c r="MG4094" s="909"/>
      <c r="MH4094" s="909"/>
      <c r="MI4094" s="909"/>
      <c r="MJ4094" s="909"/>
      <c r="MK4094" s="907" t="s">
        <v>79</v>
      </c>
      <c r="ML4094" s="909" t="s">
        <v>68</v>
      </c>
      <c r="MM4094" s="910" t="s">
        <v>75</v>
      </c>
      <c r="MN4094" s="911"/>
      <c r="MO4094" s="911"/>
      <c r="MP4094" s="911"/>
      <c r="MQ4094" s="911"/>
      <c r="MR4094" s="911"/>
      <c r="MS4094" s="911"/>
      <c r="MT4094" s="911"/>
      <c r="MU4094" s="911"/>
      <c r="MV4094" s="911"/>
      <c r="MW4094" s="32"/>
      <c r="MX4094" s="911" t="s">
        <v>74</v>
      </c>
      <c r="MY4094" s="911"/>
      <c r="MZ4094" s="911"/>
      <c r="NA4094" s="911"/>
      <c r="NB4094" s="911"/>
      <c r="NC4094" s="911"/>
      <c r="ND4094" s="911"/>
      <c r="NE4094" s="911"/>
      <c r="NF4094" s="911"/>
      <c r="NG4094" s="912"/>
      <c r="NI4094" s="913" t="s">
        <v>1</v>
      </c>
      <c r="NJ4094" s="31"/>
      <c r="NK4094" s="909" t="s">
        <v>0</v>
      </c>
      <c r="NL4094" s="909"/>
      <c r="NM4094" s="909"/>
      <c r="NN4094" s="909"/>
      <c r="NO4094" s="909"/>
      <c r="NP4094" s="909"/>
      <c r="NQ4094" s="907" t="s">
        <v>79</v>
      </c>
      <c r="NR4094" s="909" t="s">
        <v>68</v>
      </c>
      <c r="NS4094" s="910" t="s">
        <v>75</v>
      </c>
      <c r="NT4094" s="911"/>
      <c r="NU4094" s="911"/>
      <c r="NV4094" s="911"/>
      <c r="NW4094" s="911"/>
      <c r="NX4094" s="911"/>
      <c r="NY4094" s="911"/>
      <c r="NZ4094" s="911"/>
      <c r="OA4094" s="911"/>
      <c r="OB4094" s="911"/>
      <c r="OC4094" s="32"/>
      <c r="OD4094" s="911" t="s">
        <v>74</v>
      </c>
      <c r="OE4094" s="911"/>
      <c r="OF4094" s="911"/>
      <c r="OG4094" s="911"/>
      <c r="OH4094" s="911"/>
      <c r="OI4094" s="911"/>
      <c r="OJ4094" s="911"/>
      <c r="OK4094" s="911"/>
      <c r="OL4094" s="911"/>
      <c r="OM4094" s="912"/>
      <c r="OO4094" s="913" t="s">
        <v>1</v>
      </c>
      <c r="OP4094" s="31"/>
      <c r="OQ4094" s="909" t="s">
        <v>0</v>
      </c>
      <c r="OR4094" s="909"/>
      <c r="OS4094" s="909"/>
      <c r="OT4094" s="909"/>
      <c r="OU4094" s="909"/>
      <c r="OV4094" s="909"/>
      <c r="OW4094" s="907" t="s">
        <v>79</v>
      </c>
      <c r="OX4094" s="909" t="s">
        <v>68</v>
      </c>
      <c r="OY4094" s="910" t="s">
        <v>75</v>
      </c>
      <c r="OZ4094" s="911"/>
      <c r="PA4094" s="911"/>
      <c r="PB4094" s="911"/>
      <c r="PC4094" s="911"/>
      <c r="PD4094" s="911"/>
      <c r="PE4094" s="911"/>
      <c r="PF4094" s="911"/>
      <c r="PG4094" s="911"/>
      <c r="PH4094" s="911"/>
      <c r="PI4094" s="32"/>
      <c r="PJ4094" s="911" t="s">
        <v>74</v>
      </c>
      <c r="PK4094" s="911"/>
      <c r="PL4094" s="911"/>
      <c r="PM4094" s="911"/>
      <c r="PN4094" s="911"/>
      <c r="PO4094" s="911"/>
      <c r="PP4094" s="911"/>
      <c r="PQ4094" s="911"/>
      <c r="PR4094" s="911"/>
      <c r="PS4094" s="912"/>
      <c r="PU4094" s="913" t="s">
        <v>1</v>
      </c>
      <c r="PV4094" s="31"/>
      <c r="PW4094" s="909" t="s">
        <v>0</v>
      </c>
      <c r="PX4094" s="909"/>
      <c r="PY4094" s="909"/>
      <c r="PZ4094" s="909"/>
      <c r="QA4094" s="909"/>
      <c r="QB4094" s="909"/>
      <c r="QC4094" s="907" t="s">
        <v>79</v>
      </c>
      <c r="QD4094" s="909" t="s">
        <v>68</v>
      </c>
      <c r="QE4094" s="910" t="s">
        <v>75</v>
      </c>
      <c r="QF4094" s="911"/>
      <c r="QG4094" s="911"/>
      <c r="QH4094" s="911"/>
      <c r="QI4094" s="911"/>
      <c r="QJ4094" s="911"/>
      <c r="QK4094" s="911"/>
      <c r="QL4094" s="911"/>
      <c r="QM4094" s="911"/>
      <c r="QN4094" s="911"/>
      <c r="QO4094" s="32"/>
      <c r="QP4094" s="911" t="s">
        <v>74</v>
      </c>
      <c r="QQ4094" s="911"/>
      <c r="QR4094" s="911"/>
      <c r="QS4094" s="911"/>
      <c r="QT4094" s="911"/>
      <c r="QU4094" s="911"/>
      <c r="QV4094" s="911"/>
      <c r="QW4094" s="911"/>
      <c r="QX4094" s="911"/>
      <c r="QY4094" s="912"/>
      <c r="RA4094" s="913" t="s">
        <v>1</v>
      </c>
      <c r="RB4094" s="31"/>
      <c r="RC4094" s="909" t="s">
        <v>0</v>
      </c>
      <c r="RD4094" s="909"/>
      <c r="RE4094" s="909"/>
      <c r="RF4094" s="909"/>
      <c r="RG4094" s="909"/>
      <c r="RH4094" s="909"/>
      <c r="RI4094" s="907" t="s">
        <v>79</v>
      </c>
      <c r="RJ4094" s="909" t="s">
        <v>68</v>
      </c>
      <c r="RK4094" s="910" t="s">
        <v>75</v>
      </c>
      <c r="RL4094" s="911"/>
      <c r="RM4094" s="911"/>
      <c r="RN4094" s="911"/>
      <c r="RO4094" s="911"/>
      <c r="RP4094" s="911"/>
      <c r="RQ4094" s="911"/>
      <c r="RR4094" s="911"/>
      <c r="RS4094" s="911"/>
      <c r="RT4094" s="911"/>
      <c r="RU4094" s="32"/>
      <c r="RV4094" s="911" t="s">
        <v>74</v>
      </c>
      <c r="RW4094" s="911"/>
      <c r="RX4094" s="911"/>
      <c r="RY4094" s="911"/>
      <c r="RZ4094" s="911"/>
      <c r="SA4094" s="911"/>
      <c r="SB4094" s="911"/>
      <c r="SC4094" s="911"/>
      <c r="SD4094" s="911"/>
      <c r="SE4094" s="912"/>
      <c r="SG4094" s="913" t="s">
        <v>1</v>
      </c>
      <c r="SH4094" s="31"/>
      <c r="SI4094" s="909" t="s">
        <v>0</v>
      </c>
      <c r="SJ4094" s="909"/>
      <c r="SK4094" s="909"/>
      <c r="SL4094" s="909"/>
      <c r="SM4094" s="909"/>
      <c r="SN4094" s="909"/>
      <c r="SO4094" s="907" t="s">
        <v>79</v>
      </c>
      <c r="SP4094" s="909" t="s">
        <v>68</v>
      </c>
      <c r="SQ4094" s="910" t="s">
        <v>75</v>
      </c>
      <c r="SR4094" s="911"/>
      <c r="SS4094" s="911"/>
      <c r="ST4094" s="911"/>
      <c r="SU4094" s="911"/>
      <c r="SV4094" s="911"/>
      <c r="SW4094" s="911"/>
      <c r="SX4094" s="911"/>
      <c r="SY4094" s="911"/>
      <c r="SZ4094" s="911"/>
      <c r="TA4094" s="32"/>
      <c r="TB4094" s="911" t="s">
        <v>74</v>
      </c>
      <c r="TC4094" s="911"/>
      <c r="TD4094" s="911"/>
      <c r="TE4094" s="911"/>
      <c r="TF4094" s="911"/>
      <c r="TG4094" s="911"/>
      <c r="TH4094" s="911"/>
      <c r="TI4094" s="911"/>
      <c r="TJ4094" s="911"/>
      <c r="TK4094" s="912"/>
      <c r="TM4094" s="913" t="s">
        <v>1</v>
      </c>
      <c r="TN4094" s="31"/>
      <c r="TO4094" s="909" t="s">
        <v>0</v>
      </c>
      <c r="TP4094" s="909"/>
      <c r="TQ4094" s="909"/>
      <c r="TR4094" s="909"/>
      <c r="TS4094" s="909"/>
      <c r="TT4094" s="909"/>
      <c r="TU4094" s="907" t="s">
        <v>79</v>
      </c>
      <c r="TV4094" s="909" t="s">
        <v>68</v>
      </c>
      <c r="TW4094" s="910" t="s">
        <v>75</v>
      </c>
      <c r="TX4094" s="911"/>
      <c r="TY4094" s="911"/>
      <c r="TZ4094" s="911"/>
      <c r="UA4094" s="911"/>
      <c r="UB4094" s="911"/>
      <c r="UC4094" s="911"/>
      <c r="UD4094" s="911"/>
      <c r="UE4094" s="911"/>
      <c r="UF4094" s="911"/>
      <c r="UG4094" s="32"/>
      <c r="UH4094" s="911" t="s">
        <v>74</v>
      </c>
      <c r="UI4094" s="911"/>
      <c r="UJ4094" s="911"/>
      <c r="UK4094" s="911"/>
      <c r="UL4094" s="911"/>
      <c r="UM4094" s="911"/>
      <c r="UN4094" s="911"/>
      <c r="UO4094" s="911"/>
      <c r="UP4094" s="911"/>
      <c r="UQ4094" s="912"/>
      <c r="US4094" s="913" t="s">
        <v>1</v>
      </c>
      <c r="UT4094" s="31"/>
      <c r="UU4094" s="909" t="s">
        <v>0</v>
      </c>
      <c r="UV4094" s="909"/>
      <c r="UW4094" s="909"/>
      <c r="UX4094" s="909"/>
      <c r="UY4094" s="909"/>
      <c r="UZ4094" s="909"/>
      <c r="VA4094" s="907" t="s">
        <v>79</v>
      </c>
      <c r="VB4094" s="909" t="s">
        <v>68</v>
      </c>
      <c r="VC4094" s="910" t="s">
        <v>75</v>
      </c>
      <c r="VD4094" s="911"/>
      <c r="VE4094" s="911"/>
      <c r="VF4094" s="911"/>
      <c r="VG4094" s="911"/>
      <c r="VH4094" s="911"/>
      <c r="VI4094" s="911"/>
      <c r="VJ4094" s="911"/>
      <c r="VK4094" s="911"/>
      <c r="VL4094" s="911"/>
      <c r="VM4094" s="32"/>
      <c r="VN4094" s="911" t="s">
        <v>74</v>
      </c>
      <c r="VO4094" s="911"/>
      <c r="VP4094" s="911"/>
      <c r="VQ4094" s="911"/>
      <c r="VR4094" s="911"/>
      <c r="VS4094" s="911"/>
      <c r="VT4094" s="911"/>
      <c r="VU4094" s="911"/>
      <c r="VV4094" s="911"/>
      <c r="VW4094" s="912"/>
      <c r="VY4094" s="913" t="s">
        <v>1</v>
      </c>
      <c r="VZ4094" s="31"/>
      <c r="WA4094" s="909" t="s">
        <v>0</v>
      </c>
      <c r="WB4094" s="909"/>
      <c r="WC4094" s="909"/>
      <c r="WD4094" s="909"/>
      <c r="WE4094" s="909"/>
      <c r="WF4094" s="909"/>
      <c r="WG4094" s="907" t="s">
        <v>79</v>
      </c>
      <c r="WH4094" s="909" t="s">
        <v>68</v>
      </c>
      <c r="WI4094" s="910" t="s">
        <v>75</v>
      </c>
      <c r="WJ4094" s="911"/>
      <c r="WK4094" s="911"/>
      <c r="WL4094" s="911"/>
      <c r="WM4094" s="911"/>
      <c r="WN4094" s="911"/>
      <c r="WO4094" s="911"/>
      <c r="WP4094" s="911"/>
      <c r="WQ4094" s="911"/>
      <c r="WR4094" s="911"/>
      <c r="WS4094" s="32"/>
      <c r="WT4094" s="911" t="s">
        <v>74</v>
      </c>
      <c r="WU4094" s="911"/>
      <c r="WV4094" s="911"/>
      <c r="WW4094" s="911"/>
      <c r="WX4094" s="911"/>
      <c r="WY4094" s="911"/>
      <c r="WZ4094" s="911"/>
      <c r="XA4094" s="911"/>
      <c r="XB4094" s="911"/>
      <c r="XC4094" s="912"/>
      <c r="XE4094" s="913" t="s">
        <v>1</v>
      </c>
      <c r="XF4094" s="31"/>
      <c r="XG4094" s="909" t="s">
        <v>0</v>
      </c>
      <c r="XH4094" s="909"/>
      <c r="XI4094" s="909"/>
      <c r="XJ4094" s="909"/>
      <c r="XK4094" s="909"/>
      <c r="XL4094" s="909"/>
      <c r="XM4094" s="907" t="s">
        <v>79</v>
      </c>
      <c r="XN4094" s="909" t="s">
        <v>68</v>
      </c>
      <c r="XO4094" s="910" t="s">
        <v>75</v>
      </c>
      <c r="XP4094" s="911"/>
      <c r="XQ4094" s="911"/>
      <c r="XR4094" s="911"/>
      <c r="XS4094" s="911"/>
      <c r="XT4094" s="911"/>
      <c r="XU4094" s="911"/>
      <c r="XV4094" s="911"/>
      <c r="XW4094" s="911"/>
      <c r="XX4094" s="911"/>
      <c r="XY4094" s="32"/>
      <c r="XZ4094" s="911" t="s">
        <v>74</v>
      </c>
      <c r="YA4094" s="911"/>
      <c r="YB4094" s="911"/>
      <c r="YC4094" s="911"/>
      <c r="YD4094" s="911"/>
      <c r="YE4094" s="911"/>
      <c r="YF4094" s="911"/>
      <c r="YG4094" s="911"/>
      <c r="YH4094" s="911"/>
      <c r="YI4094" s="912"/>
      <c r="YK4094" s="913" t="s">
        <v>1</v>
      </c>
      <c r="YL4094" s="31"/>
      <c r="YM4094" s="909" t="s">
        <v>0</v>
      </c>
      <c r="YN4094" s="909"/>
      <c r="YO4094" s="909"/>
      <c r="YP4094" s="909"/>
      <c r="YQ4094" s="909"/>
      <c r="YR4094" s="909"/>
      <c r="YS4094" s="907" t="s">
        <v>79</v>
      </c>
      <c r="YT4094" s="909" t="s">
        <v>68</v>
      </c>
      <c r="YU4094" s="910" t="s">
        <v>75</v>
      </c>
      <c r="YV4094" s="911"/>
      <c r="YW4094" s="911"/>
      <c r="YX4094" s="911"/>
      <c r="YY4094" s="911"/>
      <c r="YZ4094" s="911"/>
      <c r="ZA4094" s="911"/>
      <c r="ZB4094" s="911"/>
      <c r="ZC4094" s="911"/>
      <c r="ZD4094" s="911"/>
      <c r="ZE4094" s="32"/>
      <c r="ZF4094" s="911" t="s">
        <v>74</v>
      </c>
      <c r="ZG4094" s="911"/>
      <c r="ZH4094" s="911"/>
      <c r="ZI4094" s="911"/>
      <c r="ZJ4094" s="911"/>
      <c r="ZK4094" s="911"/>
      <c r="ZL4094" s="911"/>
      <c r="ZM4094" s="911"/>
      <c r="ZN4094" s="911"/>
      <c r="ZO4094" s="912"/>
      <c r="ZQ4094" s="913" t="s">
        <v>1</v>
      </c>
      <c r="ZR4094" s="31"/>
      <c r="ZS4094" s="909" t="s">
        <v>0</v>
      </c>
      <c r="ZT4094" s="909"/>
      <c r="ZU4094" s="909"/>
      <c r="ZV4094" s="909"/>
      <c r="ZW4094" s="909"/>
      <c r="ZX4094" s="909"/>
      <c r="ZY4094" s="907" t="s">
        <v>79</v>
      </c>
      <c r="ZZ4094" s="909" t="s">
        <v>68</v>
      </c>
      <c r="AAA4094" s="910" t="s">
        <v>75</v>
      </c>
      <c r="AAB4094" s="911"/>
      <c r="AAC4094" s="911"/>
      <c r="AAD4094" s="911"/>
      <c r="AAE4094" s="911"/>
      <c r="AAF4094" s="911"/>
      <c r="AAG4094" s="911"/>
      <c r="AAH4094" s="911"/>
      <c r="AAI4094" s="911"/>
      <c r="AAJ4094" s="911"/>
      <c r="AAK4094" s="32"/>
      <c r="AAL4094" s="911" t="s">
        <v>74</v>
      </c>
      <c r="AAM4094" s="911"/>
      <c r="AAN4094" s="911"/>
      <c r="AAO4094" s="911"/>
      <c r="AAP4094" s="911"/>
      <c r="AAQ4094" s="911"/>
      <c r="AAR4094" s="911"/>
      <c r="AAS4094" s="911"/>
      <c r="AAT4094" s="911"/>
      <c r="AAU4094" s="912"/>
      <c r="AAW4094" s="913" t="s">
        <v>1</v>
      </c>
      <c r="AAX4094" s="31"/>
      <c r="AAY4094" s="909" t="s">
        <v>0</v>
      </c>
      <c r="AAZ4094" s="909"/>
      <c r="ABA4094" s="909"/>
      <c r="ABB4094" s="909"/>
      <c r="ABC4094" s="909"/>
      <c r="ABD4094" s="909"/>
      <c r="ABE4094" s="907" t="s">
        <v>79</v>
      </c>
      <c r="ABF4094" s="909" t="s">
        <v>68</v>
      </c>
      <c r="ABG4094" s="910" t="s">
        <v>75</v>
      </c>
      <c r="ABH4094" s="911"/>
      <c r="ABI4094" s="911"/>
      <c r="ABJ4094" s="911"/>
      <c r="ABK4094" s="911"/>
      <c r="ABL4094" s="911"/>
      <c r="ABM4094" s="911"/>
      <c r="ABN4094" s="911"/>
      <c r="ABO4094" s="911"/>
      <c r="ABP4094" s="911"/>
      <c r="ABQ4094" s="32"/>
      <c r="ABR4094" s="911" t="s">
        <v>74</v>
      </c>
      <c r="ABS4094" s="911"/>
      <c r="ABT4094" s="911"/>
      <c r="ABU4094" s="911"/>
      <c r="ABV4094" s="911"/>
      <c r="ABW4094" s="911"/>
      <c r="ABX4094" s="911"/>
      <c r="ABY4094" s="911"/>
      <c r="ABZ4094" s="911"/>
      <c r="ACA4094" s="912"/>
      <c r="ACC4094" s="913" t="s">
        <v>1</v>
      </c>
      <c r="ACD4094" s="31"/>
      <c r="ACE4094" s="909" t="s">
        <v>0</v>
      </c>
      <c r="ACF4094" s="909"/>
      <c r="ACG4094" s="909"/>
      <c r="ACH4094" s="909"/>
      <c r="ACI4094" s="909"/>
      <c r="ACJ4094" s="909"/>
      <c r="ACK4094" s="907" t="s">
        <v>79</v>
      </c>
      <c r="ACL4094" s="909" t="s">
        <v>68</v>
      </c>
      <c r="ACM4094" s="910" t="s">
        <v>75</v>
      </c>
      <c r="ACN4094" s="911"/>
      <c r="ACO4094" s="911"/>
      <c r="ACP4094" s="911"/>
      <c r="ACQ4094" s="911"/>
      <c r="ACR4094" s="911"/>
      <c r="ACS4094" s="911"/>
      <c r="ACT4094" s="911"/>
      <c r="ACU4094" s="911"/>
      <c r="ACV4094" s="911"/>
      <c r="ACW4094" s="32"/>
      <c r="ACX4094" s="911" t="s">
        <v>74</v>
      </c>
      <c r="ACY4094" s="911"/>
      <c r="ACZ4094" s="911"/>
      <c r="ADA4094" s="911"/>
      <c r="ADB4094" s="911"/>
      <c r="ADC4094" s="911"/>
      <c r="ADD4094" s="911"/>
      <c r="ADE4094" s="911"/>
      <c r="ADF4094" s="911"/>
      <c r="ADG4094" s="912"/>
      <c r="ADI4094" s="913" t="s">
        <v>1</v>
      </c>
      <c r="ADJ4094" s="31"/>
      <c r="ADK4094" s="909" t="s">
        <v>0</v>
      </c>
      <c r="ADL4094" s="909"/>
      <c r="ADM4094" s="909"/>
      <c r="ADN4094" s="909"/>
      <c r="ADO4094" s="909"/>
      <c r="ADP4094" s="909"/>
      <c r="ADQ4094" s="907" t="s">
        <v>79</v>
      </c>
      <c r="ADR4094" s="909" t="s">
        <v>68</v>
      </c>
      <c r="ADS4094" s="910" t="s">
        <v>75</v>
      </c>
      <c r="ADT4094" s="911"/>
      <c r="ADU4094" s="911"/>
      <c r="ADV4094" s="911"/>
      <c r="ADW4094" s="911"/>
      <c r="ADX4094" s="911"/>
      <c r="ADY4094" s="911"/>
      <c r="ADZ4094" s="911"/>
      <c r="AEA4094" s="911"/>
      <c r="AEB4094" s="911"/>
      <c r="AEC4094" s="32"/>
      <c r="AED4094" s="911" t="s">
        <v>74</v>
      </c>
      <c r="AEE4094" s="911"/>
      <c r="AEF4094" s="911"/>
      <c r="AEG4094" s="911"/>
      <c r="AEH4094" s="911"/>
      <c r="AEI4094" s="911"/>
      <c r="AEJ4094" s="911"/>
      <c r="AEK4094" s="911"/>
      <c r="AEL4094" s="911"/>
      <c r="AEM4094" s="912"/>
      <c r="AEO4094" s="913" t="s">
        <v>1</v>
      </c>
      <c r="AEP4094" s="31"/>
      <c r="AEQ4094" s="909" t="s">
        <v>0</v>
      </c>
      <c r="AER4094" s="909"/>
      <c r="AES4094" s="909"/>
      <c r="AET4094" s="909"/>
      <c r="AEU4094" s="909"/>
      <c r="AEV4094" s="909"/>
      <c r="AEW4094" s="907" t="s">
        <v>79</v>
      </c>
      <c r="AEX4094" s="909" t="s">
        <v>68</v>
      </c>
      <c r="AEY4094" s="910" t="s">
        <v>75</v>
      </c>
      <c r="AEZ4094" s="911"/>
      <c r="AFA4094" s="911"/>
      <c r="AFB4094" s="911"/>
      <c r="AFC4094" s="911"/>
      <c r="AFD4094" s="911"/>
      <c r="AFE4094" s="911"/>
      <c r="AFF4094" s="911"/>
      <c r="AFG4094" s="911"/>
      <c r="AFH4094" s="911"/>
      <c r="AFI4094" s="32"/>
      <c r="AFJ4094" s="911" t="s">
        <v>74</v>
      </c>
      <c r="AFK4094" s="911"/>
      <c r="AFL4094" s="911"/>
      <c r="AFM4094" s="911"/>
      <c r="AFN4094" s="911"/>
      <c r="AFO4094" s="911"/>
      <c r="AFP4094" s="911"/>
      <c r="AFQ4094" s="911"/>
      <c r="AFR4094" s="911"/>
      <c r="AFS4094" s="912"/>
      <c r="AFU4094" s="913" t="s">
        <v>1</v>
      </c>
      <c r="AFV4094" s="31"/>
      <c r="AFW4094" s="909" t="s">
        <v>0</v>
      </c>
      <c r="AFX4094" s="909"/>
      <c r="AFY4094" s="909"/>
      <c r="AFZ4094" s="909"/>
      <c r="AGA4094" s="909"/>
      <c r="AGB4094" s="909"/>
      <c r="AGC4094" s="907" t="s">
        <v>79</v>
      </c>
      <c r="AGD4094" s="909" t="s">
        <v>68</v>
      </c>
      <c r="AGE4094" s="910" t="s">
        <v>75</v>
      </c>
      <c r="AGF4094" s="911"/>
      <c r="AGG4094" s="911"/>
      <c r="AGH4094" s="911"/>
      <c r="AGI4094" s="911"/>
      <c r="AGJ4094" s="911"/>
      <c r="AGK4094" s="911"/>
      <c r="AGL4094" s="911"/>
      <c r="AGM4094" s="911"/>
      <c r="AGN4094" s="911"/>
      <c r="AGO4094" s="32"/>
      <c r="AGP4094" s="911" t="s">
        <v>74</v>
      </c>
      <c r="AGQ4094" s="911"/>
      <c r="AGR4094" s="911"/>
      <c r="AGS4094" s="911"/>
      <c r="AGT4094" s="911"/>
      <c r="AGU4094" s="911"/>
      <c r="AGV4094" s="911"/>
      <c r="AGW4094" s="911"/>
      <c r="AGX4094" s="911"/>
      <c r="AGY4094" s="912"/>
      <c r="AHA4094" s="913" t="s">
        <v>1</v>
      </c>
      <c r="AHB4094" s="31"/>
      <c r="AHC4094" s="909" t="s">
        <v>0</v>
      </c>
      <c r="AHD4094" s="909"/>
      <c r="AHE4094" s="909"/>
      <c r="AHF4094" s="909"/>
      <c r="AHG4094" s="909"/>
      <c r="AHH4094" s="909"/>
      <c r="AHI4094" s="907" t="s">
        <v>79</v>
      </c>
      <c r="AHJ4094" s="909" t="s">
        <v>68</v>
      </c>
      <c r="AHK4094" s="910" t="s">
        <v>75</v>
      </c>
      <c r="AHL4094" s="911"/>
      <c r="AHM4094" s="911"/>
      <c r="AHN4094" s="911"/>
      <c r="AHO4094" s="911"/>
      <c r="AHP4094" s="911"/>
      <c r="AHQ4094" s="911"/>
      <c r="AHR4094" s="911"/>
      <c r="AHS4094" s="911"/>
      <c r="AHT4094" s="911"/>
      <c r="AHU4094" s="32"/>
      <c r="AHV4094" s="911" t="s">
        <v>74</v>
      </c>
      <c r="AHW4094" s="911"/>
      <c r="AHX4094" s="911"/>
      <c r="AHY4094" s="911"/>
      <c r="AHZ4094" s="911"/>
      <c r="AIA4094" s="911"/>
      <c r="AIB4094" s="911"/>
      <c r="AIC4094" s="911"/>
      <c r="AID4094" s="911"/>
      <c r="AIE4094" s="912"/>
      <c r="AIG4094" s="913" t="s">
        <v>1</v>
      </c>
      <c r="AIH4094" s="31"/>
      <c r="AII4094" s="909" t="s">
        <v>0</v>
      </c>
      <c r="AIJ4094" s="909"/>
      <c r="AIK4094" s="909"/>
      <c r="AIL4094" s="909"/>
      <c r="AIM4094" s="909"/>
      <c r="AIN4094" s="909"/>
      <c r="AIO4094" s="907" t="s">
        <v>79</v>
      </c>
      <c r="AIP4094" s="909" t="s">
        <v>68</v>
      </c>
      <c r="AIQ4094" s="910" t="s">
        <v>75</v>
      </c>
      <c r="AIR4094" s="911"/>
      <c r="AIS4094" s="911"/>
      <c r="AIT4094" s="911"/>
      <c r="AIU4094" s="911"/>
      <c r="AIV4094" s="911"/>
      <c r="AIW4094" s="911"/>
      <c r="AIX4094" s="911"/>
      <c r="AIY4094" s="911"/>
      <c r="AIZ4094" s="911"/>
      <c r="AJA4094" s="32"/>
      <c r="AJB4094" s="911" t="s">
        <v>74</v>
      </c>
      <c r="AJC4094" s="911"/>
      <c r="AJD4094" s="911"/>
      <c r="AJE4094" s="911"/>
      <c r="AJF4094" s="911"/>
      <c r="AJG4094" s="911"/>
      <c r="AJH4094" s="911"/>
      <c r="AJI4094" s="911"/>
      <c r="AJJ4094" s="911"/>
      <c r="AJK4094" s="912"/>
      <c r="AJM4094" s="913" t="s">
        <v>1</v>
      </c>
      <c r="AJN4094" s="31"/>
      <c r="AJO4094" s="909" t="s">
        <v>0</v>
      </c>
      <c r="AJP4094" s="909"/>
      <c r="AJQ4094" s="909"/>
      <c r="AJR4094" s="909"/>
      <c r="AJS4094" s="909"/>
      <c r="AJT4094" s="909"/>
      <c r="AJU4094" s="907" t="s">
        <v>79</v>
      </c>
      <c r="AJV4094" s="909" t="s">
        <v>68</v>
      </c>
      <c r="AJW4094" s="910" t="s">
        <v>75</v>
      </c>
      <c r="AJX4094" s="911"/>
      <c r="AJY4094" s="911"/>
      <c r="AJZ4094" s="911"/>
      <c r="AKA4094" s="911"/>
      <c r="AKB4094" s="911"/>
      <c r="AKC4094" s="911"/>
      <c r="AKD4094" s="911"/>
      <c r="AKE4094" s="911"/>
      <c r="AKF4094" s="911"/>
      <c r="AKG4094" s="32"/>
      <c r="AKH4094" s="911" t="s">
        <v>74</v>
      </c>
      <c r="AKI4094" s="911"/>
      <c r="AKJ4094" s="911"/>
      <c r="AKK4094" s="911"/>
      <c r="AKL4094" s="911"/>
      <c r="AKM4094" s="911"/>
      <c r="AKN4094" s="911"/>
      <c r="AKO4094" s="911"/>
      <c r="AKP4094" s="911"/>
      <c r="AKQ4094" s="912"/>
      <c r="AKS4094" s="913" t="s">
        <v>1</v>
      </c>
      <c r="AKT4094" s="31"/>
      <c r="AKU4094" s="909" t="s">
        <v>0</v>
      </c>
      <c r="AKV4094" s="909"/>
      <c r="AKW4094" s="909"/>
      <c r="AKX4094" s="909"/>
      <c r="AKY4094" s="909"/>
      <c r="AKZ4094" s="909"/>
      <c r="ALA4094" s="907" t="s">
        <v>79</v>
      </c>
      <c r="ALB4094" s="909" t="s">
        <v>68</v>
      </c>
      <c r="ALC4094" s="910" t="s">
        <v>75</v>
      </c>
      <c r="ALD4094" s="911"/>
      <c r="ALE4094" s="911"/>
      <c r="ALF4094" s="911"/>
      <c r="ALG4094" s="911"/>
      <c r="ALH4094" s="911"/>
      <c r="ALI4094" s="911"/>
      <c r="ALJ4094" s="911"/>
      <c r="ALK4094" s="911"/>
      <c r="ALL4094" s="911"/>
      <c r="ALM4094" s="32"/>
      <c r="ALN4094" s="911" t="s">
        <v>74</v>
      </c>
      <c r="ALO4094" s="911"/>
      <c r="ALP4094" s="911"/>
      <c r="ALQ4094" s="911"/>
      <c r="ALR4094" s="911"/>
      <c r="ALS4094" s="911"/>
      <c r="ALT4094" s="911"/>
      <c r="ALU4094" s="911"/>
      <c r="ALV4094" s="911"/>
      <c r="ALW4094" s="912"/>
      <c r="ALY4094" s="913" t="s">
        <v>1</v>
      </c>
      <c r="ALZ4094" s="31"/>
      <c r="AMA4094" s="909" t="s">
        <v>0</v>
      </c>
      <c r="AMB4094" s="909"/>
      <c r="AMC4094" s="909"/>
      <c r="AMD4094" s="909"/>
      <c r="AME4094" s="909"/>
      <c r="AMF4094" s="909"/>
      <c r="AMG4094" s="907" t="s">
        <v>79</v>
      </c>
      <c r="AMH4094" s="909" t="s">
        <v>68</v>
      </c>
      <c r="AMI4094" s="910" t="s">
        <v>75</v>
      </c>
      <c r="AMJ4094" s="911"/>
      <c r="AMK4094" s="911"/>
      <c r="AML4094" s="911"/>
      <c r="AMM4094" s="911"/>
      <c r="AMN4094" s="911"/>
      <c r="AMO4094" s="911"/>
      <c r="AMP4094" s="911"/>
      <c r="AMQ4094" s="911"/>
      <c r="AMR4094" s="911"/>
      <c r="AMS4094" s="32"/>
      <c r="AMT4094" s="911" t="s">
        <v>74</v>
      </c>
      <c r="AMU4094" s="911"/>
      <c r="AMV4094" s="911"/>
      <c r="AMW4094" s="911"/>
      <c r="AMX4094" s="911"/>
      <c r="AMY4094" s="911"/>
      <c r="AMZ4094" s="911"/>
      <c r="ANA4094" s="911"/>
      <c r="ANB4094" s="911"/>
      <c r="ANC4094" s="912"/>
      <c r="ANE4094" s="913" t="s">
        <v>1</v>
      </c>
      <c r="ANF4094" s="31"/>
      <c r="ANG4094" s="909" t="s">
        <v>0</v>
      </c>
      <c r="ANH4094" s="909"/>
      <c r="ANI4094" s="909"/>
      <c r="ANJ4094" s="909"/>
      <c r="ANK4094" s="909"/>
      <c r="ANL4094" s="909"/>
      <c r="ANM4094" s="907" t="s">
        <v>79</v>
      </c>
      <c r="ANN4094" s="909" t="s">
        <v>68</v>
      </c>
      <c r="ANO4094" s="910" t="s">
        <v>75</v>
      </c>
      <c r="ANP4094" s="911"/>
      <c r="ANQ4094" s="911"/>
      <c r="ANR4094" s="911"/>
      <c r="ANS4094" s="911"/>
      <c r="ANT4094" s="911"/>
      <c r="ANU4094" s="911"/>
      <c r="ANV4094" s="911"/>
      <c r="ANW4094" s="911"/>
      <c r="ANX4094" s="911"/>
      <c r="ANY4094" s="32"/>
      <c r="ANZ4094" s="911" t="s">
        <v>74</v>
      </c>
      <c r="AOA4094" s="911"/>
      <c r="AOB4094" s="911"/>
      <c r="AOC4094" s="911"/>
      <c r="AOD4094" s="911"/>
      <c r="AOE4094" s="911"/>
      <c r="AOF4094" s="911"/>
      <c r="AOG4094" s="911"/>
      <c r="AOH4094" s="911"/>
      <c r="AOI4094" s="912"/>
      <c r="AOK4094" s="913" t="s">
        <v>1</v>
      </c>
      <c r="AOL4094" s="31"/>
      <c r="AOM4094" s="909" t="s">
        <v>0</v>
      </c>
      <c r="AON4094" s="909"/>
      <c r="AOO4094" s="909"/>
      <c r="AOP4094" s="909"/>
      <c r="AOQ4094" s="909"/>
      <c r="AOR4094" s="909"/>
      <c r="AOS4094" s="907" t="s">
        <v>79</v>
      </c>
      <c r="AOT4094" s="909" t="s">
        <v>68</v>
      </c>
      <c r="AOU4094" s="910" t="s">
        <v>75</v>
      </c>
      <c r="AOV4094" s="911"/>
      <c r="AOW4094" s="911"/>
      <c r="AOX4094" s="911"/>
      <c r="AOY4094" s="911"/>
      <c r="AOZ4094" s="911"/>
      <c r="APA4094" s="911"/>
      <c r="APB4094" s="911"/>
      <c r="APC4094" s="911"/>
      <c r="APD4094" s="911"/>
      <c r="APE4094" s="32"/>
      <c r="APF4094" s="911" t="s">
        <v>74</v>
      </c>
      <c r="APG4094" s="911"/>
      <c r="APH4094" s="911"/>
      <c r="API4094" s="911"/>
      <c r="APJ4094" s="911"/>
      <c r="APK4094" s="911"/>
      <c r="APL4094" s="911"/>
      <c r="APM4094" s="911"/>
      <c r="APN4094" s="911"/>
      <c r="APO4094" s="912"/>
      <c r="APQ4094" s="913" t="s">
        <v>1</v>
      </c>
      <c r="APR4094" s="31"/>
      <c r="APS4094" s="909" t="s">
        <v>0</v>
      </c>
      <c r="APT4094" s="909"/>
      <c r="APU4094" s="909"/>
      <c r="APV4094" s="909"/>
      <c r="APW4094" s="909"/>
      <c r="APX4094" s="909"/>
      <c r="APY4094" s="907" t="s">
        <v>79</v>
      </c>
      <c r="APZ4094" s="909" t="s">
        <v>68</v>
      </c>
      <c r="AQA4094" s="910" t="s">
        <v>75</v>
      </c>
      <c r="AQB4094" s="911"/>
      <c r="AQC4094" s="911"/>
      <c r="AQD4094" s="911"/>
      <c r="AQE4094" s="911"/>
      <c r="AQF4094" s="911"/>
      <c r="AQG4094" s="911"/>
      <c r="AQH4094" s="911"/>
      <c r="AQI4094" s="911"/>
      <c r="AQJ4094" s="911"/>
      <c r="AQK4094" s="32"/>
      <c r="AQL4094" s="911" t="s">
        <v>74</v>
      </c>
      <c r="AQM4094" s="911"/>
      <c r="AQN4094" s="911"/>
      <c r="AQO4094" s="911"/>
      <c r="AQP4094" s="911"/>
      <c r="AQQ4094" s="911"/>
      <c r="AQR4094" s="911"/>
      <c r="AQS4094" s="911"/>
      <c r="AQT4094" s="911"/>
      <c r="AQU4094" s="912"/>
      <c r="AQW4094" s="913" t="s">
        <v>1</v>
      </c>
      <c r="AQX4094" s="31"/>
      <c r="AQY4094" s="909" t="s">
        <v>0</v>
      </c>
      <c r="AQZ4094" s="909"/>
      <c r="ARA4094" s="909"/>
      <c r="ARB4094" s="909"/>
      <c r="ARC4094" s="909"/>
      <c r="ARD4094" s="909"/>
      <c r="ARE4094" s="907" t="s">
        <v>79</v>
      </c>
      <c r="ARF4094" s="909" t="s">
        <v>68</v>
      </c>
      <c r="ARG4094" s="910" t="s">
        <v>75</v>
      </c>
      <c r="ARH4094" s="911"/>
      <c r="ARI4094" s="911"/>
      <c r="ARJ4094" s="911"/>
      <c r="ARK4094" s="911"/>
      <c r="ARL4094" s="911"/>
      <c r="ARM4094" s="911"/>
      <c r="ARN4094" s="911"/>
      <c r="ARO4094" s="911"/>
      <c r="ARP4094" s="911"/>
      <c r="ARQ4094" s="32"/>
      <c r="ARR4094" s="911" t="s">
        <v>74</v>
      </c>
      <c r="ARS4094" s="911"/>
      <c r="ART4094" s="911"/>
      <c r="ARU4094" s="911"/>
      <c r="ARV4094" s="911"/>
      <c r="ARW4094" s="911"/>
      <c r="ARX4094" s="911"/>
      <c r="ARY4094" s="911"/>
      <c r="ARZ4094" s="911"/>
      <c r="ASA4094" s="912"/>
      <c r="ASC4094" s="913" t="s">
        <v>1</v>
      </c>
      <c r="ASD4094" s="31"/>
      <c r="ASE4094" s="909" t="s">
        <v>0</v>
      </c>
      <c r="ASF4094" s="909"/>
      <c r="ASG4094" s="909"/>
      <c r="ASH4094" s="909"/>
      <c r="ASI4094" s="909"/>
      <c r="ASJ4094" s="909"/>
      <c r="ASK4094" s="907" t="s">
        <v>79</v>
      </c>
      <c r="ASL4094" s="909" t="s">
        <v>68</v>
      </c>
      <c r="ASM4094" s="910" t="s">
        <v>75</v>
      </c>
      <c r="ASN4094" s="911"/>
      <c r="ASO4094" s="911"/>
      <c r="ASP4094" s="911"/>
      <c r="ASQ4094" s="911"/>
      <c r="ASR4094" s="911"/>
      <c r="ASS4094" s="911"/>
      <c r="AST4094" s="911"/>
      <c r="ASU4094" s="911"/>
      <c r="ASV4094" s="911"/>
      <c r="ASW4094" s="32"/>
      <c r="ASX4094" s="911" t="s">
        <v>74</v>
      </c>
      <c r="ASY4094" s="911"/>
      <c r="ASZ4094" s="911"/>
      <c r="ATA4094" s="911"/>
      <c r="ATB4094" s="911"/>
      <c r="ATC4094" s="911"/>
      <c r="ATD4094" s="911"/>
      <c r="ATE4094" s="911"/>
      <c r="ATF4094" s="911"/>
      <c r="ATG4094" s="912"/>
      <c r="ATI4094" s="913" t="s">
        <v>1</v>
      </c>
      <c r="ATJ4094" s="31"/>
      <c r="ATK4094" s="909" t="s">
        <v>0</v>
      </c>
      <c r="ATL4094" s="909"/>
      <c r="ATM4094" s="909"/>
      <c r="ATN4094" s="909"/>
      <c r="ATO4094" s="909"/>
      <c r="ATP4094" s="909"/>
      <c r="ATQ4094" s="907" t="s">
        <v>79</v>
      </c>
      <c r="ATR4094" s="909" t="s">
        <v>68</v>
      </c>
      <c r="ATS4094" s="910" t="s">
        <v>75</v>
      </c>
      <c r="ATT4094" s="911"/>
      <c r="ATU4094" s="911"/>
      <c r="ATV4094" s="911"/>
      <c r="ATW4094" s="911"/>
      <c r="ATX4094" s="911"/>
      <c r="ATY4094" s="911"/>
      <c r="ATZ4094" s="911"/>
      <c r="AUA4094" s="911"/>
      <c r="AUB4094" s="911"/>
      <c r="AUC4094" s="32"/>
      <c r="AUD4094" s="911" t="s">
        <v>74</v>
      </c>
      <c r="AUE4094" s="911"/>
      <c r="AUF4094" s="911"/>
      <c r="AUG4094" s="911"/>
      <c r="AUH4094" s="911"/>
      <c r="AUI4094" s="911"/>
      <c r="AUJ4094" s="911"/>
      <c r="AUK4094" s="911"/>
      <c r="AUL4094" s="911"/>
      <c r="AUM4094" s="912"/>
      <c r="AUO4094" s="913" t="s">
        <v>1</v>
      </c>
      <c r="AUP4094" s="31"/>
      <c r="AUQ4094" s="909" t="s">
        <v>0</v>
      </c>
      <c r="AUR4094" s="909"/>
      <c r="AUS4094" s="909"/>
      <c r="AUT4094" s="909"/>
      <c r="AUU4094" s="909"/>
      <c r="AUV4094" s="909"/>
      <c r="AUW4094" s="907" t="s">
        <v>79</v>
      </c>
      <c r="AUX4094" s="909" t="s">
        <v>68</v>
      </c>
      <c r="AUY4094" s="910" t="s">
        <v>75</v>
      </c>
      <c r="AUZ4094" s="911"/>
      <c r="AVA4094" s="911"/>
      <c r="AVB4094" s="911"/>
      <c r="AVC4094" s="911"/>
      <c r="AVD4094" s="911"/>
      <c r="AVE4094" s="911"/>
      <c r="AVF4094" s="911"/>
      <c r="AVG4094" s="911"/>
      <c r="AVH4094" s="911"/>
      <c r="AVI4094" s="32"/>
      <c r="AVJ4094" s="911" t="s">
        <v>74</v>
      </c>
      <c r="AVK4094" s="911"/>
      <c r="AVL4094" s="911"/>
      <c r="AVM4094" s="911"/>
      <c r="AVN4094" s="911"/>
      <c r="AVO4094" s="911"/>
      <c r="AVP4094" s="911"/>
      <c r="AVQ4094" s="911"/>
      <c r="AVR4094" s="911"/>
      <c r="AVS4094" s="912"/>
      <c r="AVU4094" s="913" t="s">
        <v>1</v>
      </c>
      <c r="AVV4094" s="31"/>
      <c r="AVW4094" s="909" t="s">
        <v>0</v>
      </c>
      <c r="AVX4094" s="909"/>
      <c r="AVY4094" s="909"/>
      <c r="AVZ4094" s="909"/>
      <c r="AWA4094" s="909"/>
      <c r="AWB4094" s="909"/>
      <c r="AWC4094" s="907" t="s">
        <v>79</v>
      </c>
      <c r="AWD4094" s="909" t="s">
        <v>68</v>
      </c>
      <c r="AWE4094" s="910" t="s">
        <v>75</v>
      </c>
      <c r="AWF4094" s="911"/>
      <c r="AWG4094" s="911"/>
      <c r="AWH4094" s="911"/>
      <c r="AWI4094" s="911"/>
      <c r="AWJ4094" s="911"/>
      <c r="AWK4094" s="911"/>
      <c r="AWL4094" s="911"/>
      <c r="AWM4094" s="911"/>
      <c r="AWN4094" s="911"/>
      <c r="AWO4094" s="32"/>
      <c r="AWP4094" s="911" t="s">
        <v>74</v>
      </c>
      <c r="AWQ4094" s="911"/>
      <c r="AWR4094" s="911"/>
      <c r="AWS4094" s="911"/>
      <c r="AWT4094" s="911"/>
      <c r="AWU4094" s="911"/>
      <c r="AWV4094" s="911"/>
      <c r="AWW4094" s="911"/>
      <c r="AWX4094" s="911"/>
      <c r="AWY4094" s="912"/>
      <c r="AXA4094" s="913" t="s">
        <v>1</v>
      </c>
      <c r="AXB4094" s="31"/>
      <c r="AXC4094" s="909" t="s">
        <v>0</v>
      </c>
      <c r="AXD4094" s="909"/>
      <c r="AXE4094" s="909"/>
      <c r="AXF4094" s="909"/>
      <c r="AXG4094" s="909"/>
      <c r="AXH4094" s="909"/>
      <c r="AXI4094" s="907" t="s">
        <v>79</v>
      </c>
      <c r="AXJ4094" s="909" t="s">
        <v>68</v>
      </c>
      <c r="AXK4094" s="910" t="s">
        <v>75</v>
      </c>
      <c r="AXL4094" s="911"/>
      <c r="AXM4094" s="911"/>
      <c r="AXN4094" s="911"/>
      <c r="AXO4094" s="911"/>
      <c r="AXP4094" s="911"/>
      <c r="AXQ4094" s="911"/>
      <c r="AXR4094" s="911"/>
      <c r="AXS4094" s="911"/>
      <c r="AXT4094" s="911"/>
      <c r="AXU4094" s="32"/>
      <c r="AXV4094" s="911" t="s">
        <v>74</v>
      </c>
      <c r="AXW4094" s="911"/>
      <c r="AXX4094" s="911"/>
      <c r="AXY4094" s="911"/>
      <c r="AXZ4094" s="911"/>
      <c r="AYA4094" s="911"/>
      <c r="AYB4094" s="911"/>
      <c r="AYC4094" s="911"/>
      <c r="AYD4094" s="911"/>
      <c r="AYE4094" s="912"/>
      <c r="AYG4094" s="913" t="s">
        <v>1</v>
      </c>
      <c r="AYH4094" s="31"/>
      <c r="AYI4094" s="909" t="s">
        <v>0</v>
      </c>
      <c r="AYJ4094" s="909"/>
      <c r="AYK4094" s="909"/>
      <c r="AYL4094" s="909"/>
      <c r="AYM4094" s="909"/>
      <c r="AYN4094" s="909"/>
      <c r="AYO4094" s="907" t="s">
        <v>79</v>
      </c>
      <c r="AYP4094" s="909" t="s">
        <v>68</v>
      </c>
      <c r="AYQ4094" s="910" t="s">
        <v>75</v>
      </c>
      <c r="AYR4094" s="911"/>
      <c r="AYS4094" s="911"/>
      <c r="AYT4094" s="911"/>
      <c r="AYU4094" s="911"/>
      <c r="AYV4094" s="911"/>
      <c r="AYW4094" s="911"/>
      <c r="AYX4094" s="911"/>
      <c r="AYY4094" s="911"/>
      <c r="AYZ4094" s="911"/>
      <c r="AZA4094" s="32"/>
      <c r="AZB4094" s="911" t="s">
        <v>74</v>
      </c>
      <c r="AZC4094" s="911"/>
      <c r="AZD4094" s="911"/>
      <c r="AZE4094" s="911"/>
      <c r="AZF4094" s="911"/>
      <c r="AZG4094" s="911"/>
      <c r="AZH4094" s="911"/>
      <c r="AZI4094" s="911"/>
      <c r="AZJ4094" s="911"/>
      <c r="AZK4094" s="912"/>
      <c r="AZM4094" s="913" t="s">
        <v>1</v>
      </c>
      <c r="AZN4094" s="31"/>
      <c r="AZO4094" s="909" t="s">
        <v>0</v>
      </c>
      <c r="AZP4094" s="909"/>
      <c r="AZQ4094" s="909"/>
      <c r="AZR4094" s="909"/>
      <c r="AZS4094" s="909"/>
      <c r="AZT4094" s="909"/>
      <c r="AZU4094" s="907" t="s">
        <v>79</v>
      </c>
      <c r="AZV4094" s="909" t="s">
        <v>68</v>
      </c>
      <c r="AZW4094" s="910" t="s">
        <v>75</v>
      </c>
      <c r="AZX4094" s="911"/>
      <c r="AZY4094" s="911"/>
      <c r="AZZ4094" s="911"/>
      <c r="BAA4094" s="911"/>
      <c r="BAB4094" s="911"/>
      <c r="BAC4094" s="911"/>
      <c r="BAD4094" s="911"/>
      <c r="BAE4094" s="911"/>
      <c r="BAF4094" s="911"/>
      <c r="BAG4094" s="32"/>
      <c r="BAH4094" s="911" t="s">
        <v>74</v>
      </c>
      <c r="BAI4094" s="911"/>
      <c r="BAJ4094" s="911"/>
      <c r="BAK4094" s="911"/>
      <c r="BAL4094" s="911"/>
      <c r="BAM4094" s="911"/>
      <c r="BAN4094" s="911"/>
      <c r="BAO4094" s="911"/>
      <c r="BAP4094" s="911"/>
      <c r="BAQ4094" s="912"/>
      <c r="BAS4094" s="913" t="s">
        <v>1</v>
      </c>
      <c r="BAT4094" s="31"/>
      <c r="BAU4094" s="909" t="s">
        <v>0</v>
      </c>
      <c r="BAV4094" s="909"/>
      <c r="BAW4094" s="909"/>
      <c r="BAX4094" s="909"/>
      <c r="BAY4094" s="909"/>
      <c r="BAZ4094" s="909"/>
      <c r="BBA4094" s="907" t="s">
        <v>79</v>
      </c>
      <c r="BBB4094" s="909" t="s">
        <v>68</v>
      </c>
      <c r="BBC4094" s="910" t="s">
        <v>75</v>
      </c>
      <c r="BBD4094" s="911"/>
      <c r="BBE4094" s="911"/>
      <c r="BBF4094" s="911"/>
      <c r="BBG4094" s="911"/>
      <c r="BBH4094" s="911"/>
      <c r="BBI4094" s="911"/>
      <c r="BBJ4094" s="911"/>
      <c r="BBK4094" s="911"/>
      <c r="BBL4094" s="911"/>
      <c r="BBM4094" s="32"/>
      <c r="BBN4094" s="911" t="s">
        <v>74</v>
      </c>
      <c r="BBO4094" s="911"/>
      <c r="BBP4094" s="911"/>
      <c r="BBQ4094" s="911"/>
      <c r="BBR4094" s="911"/>
      <c r="BBS4094" s="911"/>
      <c r="BBT4094" s="911"/>
      <c r="BBU4094" s="911"/>
      <c r="BBV4094" s="911"/>
      <c r="BBW4094" s="912"/>
      <c r="BBY4094" s="913" t="s">
        <v>1</v>
      </c>
      <c r="BBZ4094" s="31"/>
      <c r="BCA4094" s="909" t="s">
        <v>0</v>
      </c>
      <c r="BCB4094" s="909"/>
      <c r="BCC4094" s="909"/>
      <c r="BCD4094" s="909"/>
      <c r="BCE4094" s="909"/>
      <c r="BCF4094" s="909"/>
      <c r="BCG4094" s="907" t="s">
        <v>79</v>
      </c>
      <c r="BCH4094" s="909" t="s">
        <v>68</v>
      </c>
      <c r="BCI4094" s="910" t="s">
        <v>75</v>
      </c>
      <c r="BCJ4094" s="911"/>
      <c r="BCK4094" s="911"/>
      <c r="BCL4094" s="911"/>
      <c r="BCM4094" s="911"/>
      <c r="BCN4094" s="911"/>
      <c r="BCO4094" s="911"/>
      <c r="BCP4094" s="911"/>
      <c r="BCQ4094" s="911"/>
      <c r="BCR4094" s="911"/>
      <c r="BCS4094" s="32"/>
      <c r="BCT4094" s="911" t="s">
        <v>74</v>
      </c>
      <c r="BCU4094" s="911"/>
      <c r="BCV4094" s="911"/>
      <c r="BCW4094" s="911"/>
      <c r="BCX4094" s="911"/>
      <c r="BCY4094" s="911"/>
      <c r="BCZ4094" s="911"/>
      <c r="BDA4094" s="911"/>
      <c r="BDB4094" s="911"/>
      <c r="BDC4094" s="912"/>
      <c r="BDE4094" s="913" t="s">
        <v>1</v>
      </c>
      <c r="BDF4094" s="31"/>
      <c r="BDG4094" s="909" t="s">
        <v>0</v>
      </c>
      <c r="BDH4094" s="909"/>
      <c r="BDI4094" s="909"/>
      <c r="BDJ4094" s="909"/>
      <c r="BDK4094" s="909"/>
      <c r="BDL4094" s="909"/>
      <c r="BDM4094" s="907" t="s">
        <v>79</v>
      </c>
      <c r="BDN4094" s="909" t="s">
        <v>68</v>
      </c>
      <c r="BDO4094" s="910" t="s">
        <v>75</v>
      </c>
      <c r="BDP4094" s="911"/>
      <c r="BDQ4094" s="911"/>
      <c r="BDR4094" s="911"/>
      <c r="BDS4094" s="911"/>
      <c r="BDT4094" s="911"/>
      <c r="BDU4094" s="911"/>
      <c r="BDV4094" s="911"/>
      <c r="BDW4094" s="911"/>
      <c r="BDX4094" s="911"/>
      <c r="BDY4094" s="32"/>
      <c r="BDZ4094" s="911" t="s">
        <v>74</v>
      </c>
      <c r="BEA4094" s="911"/>
      <c r="BEB4094" s="911"/>
      <c r="BEC4094" s="911"/>
      <c r="BED4094" s="911"/>
      <c r="BEE4094" s="911"/>
      <c r="BEF4094" s="911"/>
      <c r="BEG4094" s="911"/>
      <c r="BEH4094" s="911"/>
      <c r="BEI4094" s="912"/>
      <c r="BEK4094" s="913" t="s">
        <v>1</v>
      </c>
      <c r="BEL4094" s="31"/>
      <c r="BEM4094" s="909" t="s">
        <v>0</v>
      </c>
      <c r="BEN4094" s="909"/>
      <c r="BEO4094" s="909"/>
      <c r="BEP4094" s="909"/>
      <c r="BEQ4094" s="909"/>
      <c r="BER4094" s="909"/>
      <c r="BES4094" s="907" t="s">
        <v>79</v>
      </c>
      <c r="BET4094" s="909" t="s">
        <v>68</v>
      </c>
      <c r="BEU4094" s="910" t="s">
        <v>75</v>
      </c>
      <c r="BEV4094" s="911"/>
      <c r="BEW4094" s="911"/>
      <c r="BEX4094" s="911"/>
      <c r="BEY4094" s="911"/>
      <c r="BEZ4094" s="911"/>
      <c r="BFA4094" s="911"/>
      <c r="BFB4094" s="911"/>
      <c r="BFC4094" s="911"/>
      <c r="BFD4094" s="911"/>
      <c r="BFE4094" s="32"/>
      <c r="BFF4094" s="911" t="s">
        <v>74</v>
      </c>
      <c r="BFG4094" s="911"/>
      <c r="BFH4094" s="911"/>
      <c r="BFI4094" s="911"/>
      <c r="BFJ4094" s="911"/>
      <c r="BFK4094" s="911"/>
      <c r="BFL4094" s="911"/>
      <c r="BFM4094" s="911"/>
      <c r="BFN4094" s="911"/>
      <c r="BFO4094" s="912"/>
      <c r="BFQ4094" s="913" t="s">
        <v>1</v>
      </c>
      <c r="BFR4094" s="31"/>
      <c r="BFS4094" s="909" t="s">
        <v>0</v>
      </c>
      <c r="BFT4094" s="909"/>
      <c r="BFU4094" s="909"/>
      <c r="BFV4094" s="909"/>
      <c r="BFW4094" s="909"/>
      <c r="BFX4094" s="909"/>
      <c r="BFY4094" s="907" t="s">
        <v>79</v>
      </c>
      <c r="BFZ4094" s="909" t="s">
        <v>68</v>
      </c>
      <c r="BGA4094" s="910" t="s">
        <v>75</v>
      </c>
      <c r="BGB4094" s="911"/>
      <c r="BGC4094" s="911"/>
      <c r="BGD4094" s="911"/>
      <c r="BGE4094" s="911"/>
      <c r="BGF4094" s="911"/>
      <c r="BGG4094" s="911"/>
      <c r="BGH4094" s="911"/>
      <c r="BGI4094" s="911"/>
      <c r="BGJ4094" s="911"/>
      <c r="BGK4094" s="32"/>
      <c r="BGL4094" s="911" t="s">
        <v>74</v>
      </c>
      <c r="BGM4094" s="911"/>
      <c r="BGN4094" s="911"/>
      <c r="BGO4094" s="911"/>
      <c r="BGP4094" s="911"/>
      <c r="BGQ4094" s="911"/>
      <c r="BGR4094" s="911"/>
      <c r="BGS4094" s="911"/>
      <c r="BGT4094" s="911"/>
      <c r="BGU4094" s="912"/>
      <c r="BGW4094" s="913" t="s">
        <v>1</v>
      </c>
      <c r="BGX4094" s="31"/>
      <c r="BGY4094" s="909" t="s">
        <v>0</v>
      </c>
      <c r="BGZ4094" s="909"/>
      <c r="BHA4094" s="909"/>
      <c r="BHB4094" s="909"/>
      <c r="BHC4094" s="909"/>
      <c r="BHD4094" s="909"/>
      <c r="BHE4094" s="907" t="s">
        <v>79</v>
      </c>
      <c r="BHF4094" s="909" t="s">
        <v>68</v>
      </c>
      <c r="BHG4094" s="910" t="s">
        <v>75</v>
      </c>
      <c r="BHH4094" s="911"/>
      <c r="BHI4094" s="911"/>
      <c r="BHJ4094" s="911"/>
      <c r="BHK4094" s="911"/>
      <c r="BHL4094" s="911"/>
      <c r="BHM4094" s="911"/>
      <c r="BHN4094" s="911"/>
      <c r="BHO4094" s="911"/>
      <c r="BHP4094" s="911"/>
      <c r="BHQ4094" s="32"/>
      <c r="BHR4094" s="911" t="s">
        <v>74</v>
      </c>
      <c r="BHS4094" s="911"/>
      <c r="BHT4094" s="911"/>
      <c r="BHU4094" s="911"/>
      <c r="BHV4094" s="911"/>
      <c r="BHW4094" s="911"/>
      <c r="BHX4094" s="911"/>
      <c r="BHY4094" s="911"/>
      <c r="BHZ4094" s="911"/>
      <c r="BIA4094" s="912"/>
      <c r="BIC4094" s="913" t="s">
        <v>1</v>
      </c>
      <c r="BID4094" s="31"/>
      <c r="BIE4094" s="909" t="s">
        <v>0</v>
      </c>
      <c r="BIF4094" s="909"/>
      <c r="BIG4094" s="909"/>
      <c r="BIH4094" s="909"/>
      <c r="BII4094" s="909"/>
      <c r="BIJ4094" s="909"/>
      <c r="BIK4094" s="907" t="s">
        <v>79</v>
      </c>
      <c r="BIL4094" s="909" t="s">
        <v>68</v>
      </c>
      <c r="BIM4094" s="910" t="s">
        <v>75</v>
      </c>
      <c r="BIN4094" s="911"/>
      <c r="BIO4094" s="911"/>
      <c r="BIP4094" s="911"/>
      <c r="BIQ4094" s="911"/>
      <c r="BIR4094" s="911"/>
      <c r="BIS4094" s="911"/>
      <c r="BIT4094" s="911"/>
      <c r="BIU4094" s="911"/>
      <c r="BIV4094" s="911"/>
      <c r="BIW4094" s="32"/>
      <c r="BIX4094" s="911" t="s">
        <v>74</v>
      </c>
      <c r="BIY4094" s="911"/>
      <c r="BIZ4094" s="911"/>
      <c r="BJA4094" s="911"/>
      <c r="BJB4094" s="911"/>
      <c r="BJC4094" s="911"/>
      <c r="BJD4094" s="911"/>
      <c r="BJE4094" s="911"/>
      <c r="BJF4094" s="911"/>
      <c r="BJG4094" s="912"/>
      <c r="BJI4094" s="913" t="s">
        <v>1</v>
      </c>
      <c r="BJJ4094" s="31"/>
      <c r="BJK4094" s="909" t="s">
        <v>0</v>
      </c>
      <c r="BJL4094" s="909"/>
      <c r="BJM4094" s="909"/>
      <c r="BJN4094" s="909"/>
      <c r="BJO4094" s="909"/>
      <c r="BJP4094" s="909"/>
      <c r="BJQ4094" s="907" t="s">
        <v>79</v>
      </c>
      <c r="BJR4094" s="909" t="s">
        <v>68</v>
      </c>
      <c r="BJS4094" s="910" t="s">
        <v>75</v>
      </c>
      <c r="BJT4094" s="911"/>
      <c r="BJU4094" s="911"/>
      <c r="BJV4094" s="911"/>
      <c r="BJW4094" s="911"/>
      <c r="BJX4094" s="911"/>
      <c r="BJY4094" s="911"/>
      <c r="BJZ4094" s="911"/>
      <c r="BKA4094" s="911"/>
      <c r="BKB4094" s="911"/>
      <c r="BKC4094" s="32"/>
      <c r="BKD4094" s="911" t="s">
        <v>74</v>
      </c>
      <c r="BKE4094" s="911"/>
      <c r="BKF4094" s="911"/>
      <c r="BKG4094" s="911"/>
      <c r="BKH4094" s="911"/>
      <c r="BKI4094" s="911"/>
      <c r="BKJ4094" s="911"/>
      <c r="BKK4094" s="911"/>
      <c r="BKL4094" s="911"/>
      <c r="BKM4094" s="912"/>
      <c r="BKO4094" s="913" t="s">
        <v>1</v>
      </c>
      <c r="BKP4094" s="31"/>
      <c r="BKQ4094" s="909" t="s">
        <v>0</v>
      </c>
      <c r="BKR4094" s="909"/>
      <c r="BKS4094" s="909"/>
      <c r="BKT4094" s="909"/>
      <c r="BKU4094" s="909"/>
      <c r="BKV4094" s="909"/>
      <c r="BKW4094" s="907" t="s">
        <v>79</v>
      </c>
      <c r="BKX4094" s="909" t="s">
        <v>68</v>
      </c>
      <c r="BKY4094" s="910" t="s">
        <v>75</v>
      </c>
      <c r="BKZ4094" s="911"/>
      <c r="BLA4094" s="911"/>
      <c r="BLB4094" s="911"/>
      <c r="BLC4094" s="911"/>
      <c r="BLD4094" s="911"/>
      <c r="BLE4094" s="911"/>
      <c r="BLF4094" s="911"/>
      <c r="BLG4094" s="911"/>
      <c r="BLH4094" s="911"/>
      <c r="BLI4094" s="32"/>
      <c r="BLJ4094" s="911" t="s">
        <v>74</v>
      </c>
      <c r="BLK4094" s="911"/>
      <c r="BLL4094" s="911"/>
      <c r="BLM4094" s="911"/>
      <c r="BLN4094" s="911"/>
      <c r="BLO4094" s="911"/>
      <c r="BLP4094" s="911"/>
      <c r="BLQ4094" s="911"/>
      <c r="BLR4094" s="911"/>
      <c r="BLS4094" s="912"/>
      <c r="BLU4094" s="913" t="s">
        <v>1</v>
      </c>
      <c r="BLV4094" s="31"/>
      <c r="BLW4094" s="909" t="s">
        <v>0</v>
      </c>
      <c r="BLX4094" s="909"/>
      <c r="BLY4094" s="909"/>
      <c r="BLZ4094" s="909"/>
      <c r="BMA4094" s="909"/>
      <c r="BMB4094" s="909"/>
      <c r="BMC4094" s="907" t="s">
        <v>79</v>
      </c>
      <c r="BMD4094" s="909" t="s">
        <v>68</v>
      </c>
      <c r="BME4094" s="910" t="s">
        <v>75</v>
      </c>
      <c r="BMF4094" s="911"/>
      <c r="BMG4094" s="911"/>
      <c r="BMH4094" s="911"/>
      <c r="BMI4094" s="911"/>
      <c r="BMJ4094" s="911"/>
      <c r="BMK4094" s="911"/>
      <c r="BML4094" s="911"/>
      <c r="BMM4094" s="911"/>
      <c r="BMN4094" s="911"/>
      <c r="BMO4094" s="32"/>
      <c r="BMP4094" s="911" t="s">
        <v>74</v>
      </c>
      <c r="BMQ4094" s="911"/>
      <c r="BMR4094" s="911"/>
      <c r="BMS4094" s="911"/>
      <c r="BMT4094" s="911"/>
      <c r="BMU4094" s="911"/>
      <c r="BMV4094" s="911"/>
      <c r="BMW4094" s="911"/>
      <c r="BMX4094" s="911"/>
      <c r="BMY4094" s="912"/>
      <c r="BNA4094" s="913" t="s">
        <v>1</v>
      </c>
      <c r="BNB4094" s="31"/>
      <c r="BNC4094" s="909" t="s">
        <v>0</v>
      </c>
      <c r="BND4094" s="909"/>
      <c r="BNE4094" s="909"/>
      <c r="BNF4094" s="909"/>
      <c r="BNG4094" s="909"/>
      <c r="BNH4094" s="909"/>
      <c r="BNI4094" s="907" t="s">
        <v>79</v>
      </c>
      <c r="BNJ4094" s="909" t="s">
        <v>68</v>
      </c>
      <c r="BNK4094" s="910" t="s">
        <v>75</v>
      </c>
      <c r="BNL4094" s="911"/>
      <c r="BNM4094" s="911"/>
      <c r="BNN4094" s="911"/>
      <c r="BNO4094" s="911"/>
      <c r="BNP4094" s="911"/>
      <c r="BNQ4094" s="911"/>
      <c r="BNR4094" s="911"/>
      <c r="BNS4094" s="911"/>
      <c r="BNT4094" s="911"/>
      <c r="BNU4094" s="32"/>
      <c r="BNV4094" s="911" t="s">
        <v>74</v>
      </c>
      <c r="BNW4094" s="911"/>
      <c r="BNX4094" s="911"/>
      <c r="BNY4094" s="911"/>
      <c r="BNZ4094" s="911"/>
      <c r="BOA4094" s="911"/>
      <c r="BOB4094" s="911"/>
      <c r="BOC4094" s="911"/>
      <c r="BOD4094" s="911"/>
      <c r="BOE4094" s="912"/>
      <c r="BOG4094" s="913" t="s">
        <v>1</v>
      </c>
      <c r="BOH4094" s="31"/>
      <c r="BOI4094" s="909" t="s">
        <v>0</v>
      </c>
      <c r="BOJ4094" s="909"/>
      <c r="BOK4094" s="909"/>
      <c r="BOL4094" s="909"/>
      <c r="BOM4094" s="909"/>
      <c r="BON4094" s="909"/>
      <c r="BOO4094" s="907" t="s">
        <v>79</v>
      </c>
      <c r="BOP4094" s="909" t="s">
        <v>68</v>
      </c>
      <c r="BOQ4094" s="910" t="s">
        <v>75</v>
      </c>
      <c r="BOR4094" s="911"/>
      <c r="BOS4094" s="911"/>
      <c r="BOT4094" s="911"/>
      <c r="BOU4094" s="911"/>
      <c r="BOV4094" s="911"/>
      <c r="BOW4094" s="911"/>
      <c r="BOX4094" s="911"/>
      <c r="BOY4094" s="911"/>
      <c r="BOZ4094" s="911"/>
      <c r="BPA4094" s="32"/>
      <c r="BPB4094" s="911" t="s">
        <v>74</v>
      </c>
      <c r="BPC4094" s="911"/>
      <c r="BPD4094" s="911"/>
      <c r="BPE4094" s="911"/>
      <c r="BPF4094" s="911"/>
      <c r="BPG4094" s="911"/>
      <c r="BPH4094" s="911"/>
      <c r="BPI4094" s="911"/>
      <c r="BPJ4094" s="911"/>
      <c r="BPK4094" s="912"/>
      <c r="BPM4094" s="913" t="s">
        <v>1</v>
      </c>
      <c r="BPN4094" s="31"/>
      <c r="BPO4094" s="909" t="s">
        <v>0</v>
      </c>
      <c r="BPP4094" s="909"/>
      <c r="BPQ4094" s="909"/>
      <c r="BPR4094" s="909"/>
      <c r="BPS4094" s="909"/>
      <c r="BPT4094" s="909"/>
      <c r="BPU4094" s="907" t="s">
        <v>79</v>
      </c>
      <c r="BPV4094" s="909" t="s">
        <v>68</v>
      </c>
      <c r="BPW4094" s="910" t="s">
        <v>75</v>
      </c>
      <c r="BPX4094" s="911"/>
      <c r="BPY4094" s="911"/>
      <c r="BPZ4094" s="911"/>
      <c r="BQA4094" s="911"/>
      <c r="BQB4094" s="911"/>
      <c r="BQC4094" s="911"/>
      <c r="BQD4094" s="911"/>
      <c r="BQE4094" s="911"/>
      <c r="BQF4094" s="911"/>
      <c r="BQG4094" s="32"/>
      <c r="BQH4094" s="911" t="s">
        <v>74</v>
      </c>
      <c r="BQI4094" s="911"/>
      <c r="BQJ4094" s="911"/>
      <c r="BQK4094" s="911"/>
      <c r="BQL4094" s="911"/>
      <c r="BQM4094" s="911"/>
      <c r="BQN4094" s="911"/>
      <c r="BQO4094" s="911"/>
      <c r="BQP4094" s="911"/>
      <c r="BQQ4094" s="912"/>
      <c r="BQS4094" s="913" t="s">
        <v>1</v>
      </c>
      <c r="BQT4094" s="31"/>
      <c r="BQU4094" s="909" t="s">
        <v>0</v>
      </c>
      <c r="BQV4094" s="909"/>
      <c r="BQW4094" s="909"/>
      <c r="BQX4094" s="909"/>
      <c r="BQY4094" s="909"/>
      <c r="BQZ4094" s="909"/>
      <c r="BRA4094" s="907" t="s">
        <v>79</v>
      </c>
      <c r="BRB4094" s="909" t="s">
        <v>68</v>
      </c>
      <c r="BRC4094" s="910" t="s">
        <v>75</v>
      </c>
      <c r="BRD4094" s="911"/>
      <c r="BRE4094" s="911"/>
      <c r="BRF4094" s="911"/>
      <c r="BRG4094" s="911"/>
      <c r="BRH4094" s="911"/>
      <c r="BRI4094" s="911"/>
      <c r="BRJ4094" s="911"/>
      <c r="BRK4094" s="911"/>
      <c r="BRL4094" s="911"/>
      <c r="BRM4094" s="32"/>
      <c r="BRN4094" s="911" t="s">
        <v>74</v>
      </c>
      <c r="BRO4094" s="911"/>
      <c r="BRP4094" s="911"/>
      <c r="BRQ4094" s="911"/>
      <c r="BRR4094" s="911"/>
      <c r="BRS4094" s="911"/>
      <c r="BRT4094" s="911"/>
      <c r="BRU4094" s="911"/>
      <c r="BRV4094" s="911"/>
      <c r="BRW4094" s="912"/>
      <c r="BRY4094" s="913" t="s">
        <v>1</v>
      </c>
      <c r="BRZ4094" s="31"/>
      <c r="BSA4094" s="909" t="s">
        <v>0</v>
      </c>
      <c r="BSB4094" s="909"/>
      <c r="BSC4094" s="909"/>
      <c r="BSD4094" s="909"/>
      <c r="BSE4094" s="909"/>
      <c r="BSF4094" s="909"/>
      <c r="BSG4094" s="907" t="s">
        <v>79</v>
      </c>
      <c r="BSH4094" s="909" t="s">
        <v>68</v>
      </c>
      <c r="BSI4094" s="910" t="s">
        <v>75</v>
      </c>
      <c r="BSJ4094" s="911"/>
      <c r="BSK4094" s="911"/>
      <c r="BSL4094" s="911"/>
      <c r="BSM4094" s="911"/>
      <c r="BSN4094" s="911"/>
      <c r="BSO4094" s="911"/>
      <c r="BSP4094" s="911"/>
      <c r="BSQ4094" s="911"/>
      <c r="BSR4094" s="911"/>
      <c r="BSS4094" s="32"/>
      <c r="BST4094" s="911" t="s">
        <v>74</v>
      </c>
      <c r="BSU4094" s="911"/>
      <c r="BSV4094" s="911"/>
      <c r="BSW4094" s="911"/>
      <c r="BSX4094" s="911"/>
      <c r="BSY4094" s="911"/>
      <c r="BSZ4094" s="911"/>
      <c r="BTA4094" s="911"/>
      <c r="BTB4094" s="911"/>
      <c r="BTC4094" s="912"/>
      <c r="BTE4094" s="913" t="s">
        <v>1</v>
      </c>
      <c r="BTF4094" s="31"/>
      <c r="BTG4094" s="909" t="s">
        <v>0</v>
      </c>
      <c r="BTH4094" s="909"/>
      <c r="BTI4094" s="909"/>
      <c r="BTJ4094" s="909"/>
      <c r="BTK4094" s="909"/>
      <c r="BTL4094" s="909"/>
      <c r="BTM4094" s="907" t="s">
        <v>79</v>
      </c>
      <c r="BTN4094" s="909" t="s">
        <v>68</v>
      </c>
      <c r="BTO4094" s="910" t="s">
        <v>75</v>
      </c>
      <c r="BTP4094" s="911"/>
      <c r="BTQ4094" s="911"/>
      <c r="BTR4094" s="911"/>
      <c r="BTS4094" s="911"/>
      <c r="BTT4094" s="911"/>
      <c r="BTU4094" s="911"/>
      <c r="BTV4094" s="911"/>
      <c r="BTW4094" s="911"/>
      <c r="BTX4094" s="911"/>
      <c r="BTY4094" s="32"/>
      <c r="BTZ4094" s="911" t="s">
        <v>74</v>
      </c>
      <c r="BUA4094" s="911"/>
      <c r="BUB4094" s="911"/>
      <c r="BUC4094" s="911"/>
      <c r="BUD4094" s="911"/>
      <c r="BUE4094" s="911"/>
      <c r="BUF4094" s="911"/>
      <c r="BUG4094" s="911"/>
      <c r="BUH4094" s="911"/>
      <c r="BUI4094" s="912"/>
      <c r="BUK4094" s="913" t="s">
        <v>1</v>
      </c>
      <c r="BUL4094" s="31"/>
      <c r="BUM4094" s="909" t="s">
        <v>0</v>
      </c>
      <c r="BUN4094" s="909"/>
      <c r="BUO4094" s="909"/>
      <c r="BUP4094" s="909"/>
      <c r="BUQ4094" s="909"/>
      <c r="BUR4094" s="909"/>
      <c r="BUS4094" s="907" t="s">
        <v>79</v>
      </c>
      <c r="BUT4094" s="909" t="s">
        <v>68</v>
      </c>
      <c r="BUU4094" s="910" t="s">
        <v>75</v>
      </c>
      <c r="BUV4094" s="911"/>
      <c r="BUW4094" s="911"/>
      <c r="BUX4094" s="911"/>
      <c r="BUY4094" s="911"/>
      <c r="BUZ4094" s="911"/>
      <c r="BVA4094" s="911"/>
      <c r="BVB4094" s="911"/>
      <c r="BVC4094" s="911"/>
      <c r="BVD4094" s="911"/>
      <c r="BVE4094" s="32"/>
      <c r="BVF4094" s="911" t="s">
        <v>74</v>
      </c>
      <c r="BVG4094" s="911"/>
      <c r="BVH4094" s="911"/>
      <c r="BVI4094" s="911"/>
      <c r="BVJ4094" s="911"/>
      <c r="BVK4094" s="911"/>
      <c r="BVL4094" s="911"/>
      <c r="BVM4094" s="911"/>
      <c r="BVN4094" s="911"/>
      <c r="BVO4094" s="912"/>
      <c r="BVQ4094" s="913" t="s">
        <v>1</v>
      </c>
      <c r="BVR4094" s="31"/>
      <c r="BVS4094" s="909" t="s">
        <v>0</v>
      </c>
      <c r="BVT4094" s="909"/>
      <c r="BVU4094" s="909"/>
      <c r="BVV4094" s="909"/>
      <c r="BVW4094" s="909"/>
      <c r="BVX4094" s="909"/>
      <c r="BVY4094" s="907" t="s">
        <v>79</v>
      </c>
      <c r="BVZ4094" s="909" t="s">
        <v>68</v>
      </c>
      <c r="BWA4094" s="910" t="s">
        <v>75</v>
      </c>
      <c r="BWB4094" s="911"/>
      <c r="BWC4094" s="911"/>
      <c r="BWD4094" s="911"/>
      <c r="BWE4094" s="911"/>
      <c r="BWF4094" s="911"/>
      <c r="BWG4094" s="911"/>
      <c r="BWH4094" s="911"/>
      <c r="BWI4094" s="911"/>
      <c r="BWJ4094" s="911"/>
      <c r="BWK4094" s="32"/>
      <c r="BWL4094" s="911" t="s">
        <v>74</v>
      </c>
      <c r="BWM4094" s="911"/>
      <c r="BWN4094" s="911"/>
      <c r="BWO4094" s="911"/>
      <c r="BWP4094" s="911"/>
      <c r="BWQ4094" s="911"/>
      <c r="BWR4094" s="911"/>
      <c r="BWS4094" s="911"/>
      <c r="BWT4094" s="911"/>
      <c r="BWU4094" s="912"/>
      <c r="BWW4094" s="913" t="s">
        <v>1</v>
      </c>
      <c r="BWX4094" s="31"/>
      <c r="BWY4094" s="909" t="s">
        <v>0</v>
      </c>
      <c r="BWZ4094" s="909"/>
      <c r="BXA4094" s="909"/>
      <c r="BXB4094" s="909"/>
      <c r="BXC4094" s="909"/>
      <c r="BXD4094" s="909"/>
      <c r="BXE4094" s="907" t="s">
        <v>79</v>
      </c>
      <c r="BXF4094" s="909" t="s">
        <v>68</v>
      </c>
      <c r="BXG4094" s="910" t="s">
        <v>75</v>
      </c>
      <c r="BXH4094" s="911"/>
      <c r="BXI4094" s="911"/>
      <c r="BXJ4094" s="911"/>
      <c r="BXK4094" s="911"/>
      <c r="BXL4094" s="911"/>
      <c r="BXM4094" s="911"/>
      <c r="BXN4094" s="911"/>
      <c r="BXO4094" s="911"/>
      <c r="BXP4094" s="911"/>
      <c r="BXQ4094" s="32"/>
      <c r="BXR4094" s="911" t="s">
        <v>74</v>
      </c>
      <c r="BXS4094" s="911"/>
      <c r="BXT4094" s="911"/>
      <c r="BXU4094" s="911"/>
      <c r="BXV4094" s="911"/>
      <c r="BXW4094" s="911"/>
      <c r="BXX4094" s="911"/>
      <c r="BXY4094" s="911"/>
      <c r="BXZ4094" s="911"/>
      <c r="BYA4094" s="912"/>
      <c r="BYC4094" s="913" t="s">
        <v>1</v>
      </c>
      <c r="BYD4094" s="31"/>
      <c r="BYE4094" s="909" t="s">
        <v>0</v>
      </c>
      <c r="BYF4094" s="909"/>
      <c r="BYG4094" s="909"/>
      <c r="BYH4094" s="909"/>
      <c r="BYI4094" s="909"/>
      <c r="BYJ4094" s="909"/>
      <c r="BYK4094" s="907" t="s">
        <v>79</v>
      </c>
      <c r="BYL4094" s="909" t="s">
        <v>68</v>
      </c>
      <c r="BYM4094" s="910" t="s">
        <v>75</v>
      </c>
      <c r="BYN4094" s="911"/>
      <c r="BYO4094" s="911"/>
      <c r="BYP4094" s="911"/>
      <c r="BYQ4094" s="911"/>
      <c r="BYR4094" s="911"/>
      <c r="BYS4094" s="911"/>
      <c r="BYT4094" s="911"/>
      <c r="BYU4094" s="911"/>
      <c r="BYV4094" s="911"/>
      <c r="BYW4094" s="32"/>
      <c r="BYX4094" s="911" t="s">
        <v>74</v>
      </c>
      <c r="BYY4094" s="911"/>
      <c r="BYZ4094" s="911"/>
      <c r="BZA4094" s="911"/>
      <c r="BZB4094" s="911"/>
      <c r="BZC4094" s="911"/>
      <c r="BZD4094" s="911"/>
      <c r="BZE4094" s="911"/>
      <c r="BZF4094" s="911"/>
      <c r="BZG4094" s="912"/>
      <c r="BZI4094" s="913" t="s">
        <v>1</v>
      </c>
      <c r="BZJ4094" s="31"/>
      <c r="BZK4094" s="909" t="s">
        <v>0</v>
      </c>
      <c r="BZL4094" s="909"/>
      <c r="BZM4094" s="909"/>
      <c r="BZN4094" s="909"/>
      <c r="BZO4094" s="909"/>
      <c r="BZP4094" s="909"/>
      <c r="BZQ4094" s="907" t="s">
        <v>79</v>
      </c>
      <c r="BZR4094" s="909" t="s">
        <v>68</v>
      </c>
      <c r="BZS4094" s="910" t="s">
        <v>75</v>
      </c>
      <c r="BZT4094" s="911"/>
      <c r="BZU4094" s="911"/>
      <c r="BZV4094" s="911"/>
      <c r="BZW4094" s="911"/>
      <c r="BZX4094" s="911"/>
      <c r="BZY4094" s="911"/>
      <c r="BZZ4094" s="911"/>
      <c r="CAA4094" s="911"/>
      <c r="CAB4094" s="911"/>
      <c r="CAC4094" s="32"/>
      <c r="CAD4094" s="911" t="s">
        <v>74</v>
      </c>
      <c r="CAE4094" s="911"/>
      <c r="CAF4094" s="911"/>
      <c r="CAG4094" s="911"/>
      <c r="CAH4094" s="911"/>
      <c r="CAI4094" s="911"/>
      <c r="CAJ4094" s="911"/>
      <c r="CAK4094" s="911"/>
      <c r="CAL4094" s="911"/>
      <c r="CAM4094" s="912"/>
      <c r="CAO4094" s="913" t="s">
        <v>1</v>
      </c>
      <c r="CAP4094" s="31"/>
      <c r="CAQ4094" s="909" t="s">
        <v>0</v>
      </c>
      <c r="CAR4094" s="909"/>
      <c r="CAS4094" s="909"/>
      <c r="CAT4094" s="909"/>
      <c r="CAU4094" s="909"/>
      <c r="CAV4094" s="909"/>
      <c r="CAW4094" s="907" t="s">
        <v>79</v>
      </c>
      <c r="CAX4094" s="909" t="s">
        <v>68</v>
      </c>
      <c r="CAY4094" s="910" t="s">
        <v>75</v>
      </c>
      <c r="CAZ4094" s="911"/>
      <c r="CBA4094" s="911"/>
      <c r="CBB4094" s="911"/>
      <c r="CBC4094" s="911"/>
      <c r="CBD4094" s="911"/>
      <c r="CBE4094" s="911"/>
      <c r="CBF4094" s="911"/>
      <c r="CBG4094" s="911"/>
      <c r="CBH4094" s="911"/>
      <c r="CBI4094" s="32"/>
      <c r="CBJ4094" s="911" t="s">
        <v>74</v>
      </c>
      <c r="CBK4094" s="911"/>
      <c r="CBL4094" s="911"/>
      <c r="CBM4094" s="911"/>
      <c r="CBN4094" s="911"/>
      <c r="CBO4094" s="911"/>
      <c r="CBP4094" s="911"/>
      <c r="CBQ4094" s="911"/>
      <c r="CBR4094" s="911"/>
      <c r="CBS4094" s="912"/>
      <c r="CBU4094" s="913" t="s">
        <v>1</v>
      </c>
      <c r="CBV4094" s="31"/>
      <c r="CBW4094" s="909" t="s">
        <v>0</v>
      </c>
      <c r="CBX4094" s="909"/>
      <c r="CBY4094" s="909"/>
      <c r="CBZ4094" s="909"/>
      <c r="CCA4094" s="909"/>
      <c r="CCB4094" s="909"/>
      <c r="CCC4094" s="907" t="s">
        <v>79</v>
      </c>
      <c r="CCD4094" s="909" t="s">
        <v>68</v>
      </c>
      <c r="CCE4094" s="910" t="s">
        <v>75</v>
      </c>
      <c r="CCF4094" s="911"/>
      <c r="CCG4094" s="911"/>
      <c r="CCH4094" s="911"/>
      <c r="CCI4094" s="911"/>
      <c r="CCJ4094" s="911"/>
      <c r="CCK4094" s="911"/>
      <c r="CCL4094" s="911"/>
      <c r="CCM4094" s="911"/>
      <c r="CCN4094" s="911"/>
      <c r="CCO4094" s="32"/>
      <c r="CCP4094" s="911" t="s">
        <v>74</v>
      </c>
      <c r="CCQ4094" s="911"/>
      <c r="CCR4094" s="911"/>
      <c r="CCS4094" s="911"/>
      <c r="CCT4094" s="911"/>
      <c r="CCU4094" s="911"/>
      <c r="CCV4094" s="911"/>
      <c r="CCW4094" s="911"/>
      <c r="CCX4094" s="911"/>
      <c r="CCY4094" s="912"/>
      <c r="CDA4094" s="913" t="s">
        <v>1</v>
      </c>
      <c r="CDB4094" s="31"/>
      <c r="CDC4094" s="909" t="s">
        <v>0</v>
      </c>
      <c r="CDD4094" s="909"/>
      <c r="CDE4094" s="909"/>
      <c r="CDF4094" s="909"/>
      <c r="CDG4094" s="909"/>
      <c r="CDH4094" s="909"/>
      <c r="CDI4094" s="907" t="s">
        <v>79</v>
      </c>
      <c r="CDJ4094" s="909" t="s">
        <v>68</v>
      </c>
      <c r="CDK4094" s="910" t="s">
        <v>75</v>
      </c>
      <c r="CDL4094" s="911"/>
      <c r="CDM4094" s="911"/>
      <c r="CDN4094" s="911"/>
      <c r="CDO4094" s="911"/>
      <c r="CDP4094" s="911"/>
      <c r="CDQ4094" s="911"/>
      <c r="CDR4094" s="911"/>
      <c r="CDS4094" s="911"/>
      <c r="CDT4094" s="911"/>
      <c r="CDU4094" s="32"/>
      <c r="CDV4094" s="911" t="s">
        <v>74</v>
      </c>
      <c r="CDW4094" s="911"/>
      <c r="CDX4094" s="911"/>
      <c r="CDY4094" s="911"/>
      <c r="CDZ4094" s="911"/>
      <c r="CEA4094" s="911"/>
      <c r="CEB4094" s="911"/>
      <c r="CEC4094" s="911"/>
      <c r="CED4094" s="911"/>
      <c r="CEE4094" s="912"/>
      <c r="CEG4094" s="913" t="s">
        <v>1</v>
      </c>
      <c r="CEH4094" s="31"/>
      <c r="CEI4094" s="909" t="s">
        <v>0</v>
      </c>
      <c r="CEJ4094" s="909"/>
      <c r="CEK4094" s="909"/>
      <c r="CEL4094" s="909"/>
      <c r="CEM4094" s="909"/>
      <c r="CEN4094" s="909"/>
      <c r="CEO4094" s="907" t="s">
        <v>79</v>
      </c>
      <c r="CEP4094" s="909" t="s">
        <v>68</v>
      </c>
      <c r="CEQ4094" s="910" t="s">
        <v>75</v>
      </c>
      <c r="CER4094" s="911"/>
      <c r="CES4094" s="911"/>
      <c r="CET4094" s="911"/>
      <c r="CEU4094" s="911"/>
      <c r="CEV4094" s="911"/>
      <c r="CEW4094" s="911"/>
      <c r="CEX4094" s="911"/>
      <c r="CEY4094" s="911"/>
      <c r="CEZ4094" s="911"/>
      <c r="CFA4094" s="32"/>
      <c r="CFB4094" s="911" t="s">
        <v>74</v>
      </c>
      <c r="CFC4094" s="911"/>
      <c r="CFD4094" s="911"/>
      <c r="CFE4094" s="911"/>
      <c r="CFF4094" s="911"/>
      <c r="CFG4094" s="911"/>
      <c r="CFH4094" s="911"/>
      <c r="CFI4094" s="911"/>
      <c r="CFJ4094" s="911"/>
      <c r="CFK4094" s="912"/>
      <c r="CFM4094" s="913" t="s">
        <v>1</v>
      </c>
      <c r="CFN4094" s="31"/>
      <c r="CFO4094" s="909" t="s">
        <v>0</v>
      </c>
      <c r="CFP4094" s="909"/>
      <c r="CFQ4094" s="909"/>
      <c r="CFR4094" s="909"/>
      <c r="CFS4094" s="909"/>
      <c r="CFT4094" s="909"/>
      <c r="CFU4094" s="907" t="s">
        <v>79</v>
      </c>
      <c r="CFV4094" s="909" t="s">
        <v>68</v>
      </c>
      <c r="CFW4094" s="910" t="s">
        <v>75</v>
      </c>
      <c r="CFX4094" s="911"/>
      <c r="CFY4094" s="911"/>
      <c r="CFZ4094" s="911"/>
      <c r="CGA4094" s="911"/>
      <c r="CGB4094" s="911"/>
      <c r="CGC4094" s="911"/>
      <c r="CGD4094" s="911"/>
      <c r="CGE4094" s="911"/>
      <c r="CGF4094" s="911"/>
      <c r="CGG4094" s="32"/>
      <c r="CGH4094" s="911" t="s">
        <v>74</v>
      </c>
      <c r="CGI4094" s="911"/>
      <c r="CGJ4094" s="911"/>
      <c r="CGK4094" s="911"/>
      <c r="CGL4094" s="911"/>
      <c r="CGM4094" s="911"/>
      <c r="CGN4094" s="911"/>
      <c r="CGO4094" s="911"/>
      <c r="CGP4094" s="911"/>
      <c r="CGQ4094" s="912"/>
      <c r="CGS4094" s="913" t="s">
        <v>1</v>
      </c>
      <c r="CGT4094" s="31"/>
      <c r="CGU4094" s="909" t="s">
        <v>0</v>
      </c>
      <c r="CGV4094" s="909"/>
      <c r="CGW4094" s="909"/>
      <c r="CGX4094" s="909"/>
      <c r="CGY4094" s="909"/>
      <c r="CGZ4094" s="909"/>
      <c r="CHA4094" s="907" t="s">
        <v>79</v>
      </c>
      <c r="CHB4094" s="909" t="s">
        <v>68</v>
      </c>
      <c r="CHC4094" s="910" t="s">
        <v>75</v>
      </c>
      <c r="CHD4094" s="911"/>
      <c r="CHE4094" s="911"/>
      <c r="CHF4094" s="911"/>
      <c r="CHG4094" s="911"/>
      <c r="CHH4094" s="911"/>
      <c r="CHI4094" s="911"/>
      <c r="CHJ4094" s="911"/>
      <c r="CHK4094" s="911"/>
      <c r="CHL4094" s="911"/>
      <c r="CHM4094" s="32"/>
      <c r="CHN4094" s="911" t="s">
        <v>74</v>
      </c>
      <c r="CHO4094" s="911"/>
      <c r="CHP4094" s="911"/>
      <c r="CHQ4094" s="911"/>
      <c r="CHR4094" s="911"/>
      <c r="CHS4094" s="911"/>
      <c r="CHT4094" s="911"/>
      <c r="CHU4094" s="911"/>
      <c r="CHV4094" s="911"/>
      <c r="CHW4094" s="912"/>
      <c r="CHY4094" s="913" t="s">
        <v>1</v>
      </c>
      <c r="CHZ4094" s="31"/>
      <c r="CIA4094" s="909" t="s">
        <v>0</v>
      </c>
      <c r="CIB4094" s="909"/>
      <c r="CIC4094" s="909"/>
      <c r="CID4094" s="909"/>
      <c r="CIE4094" s="909"/>
      <c r="CIF4094" s="909"/>
      <c r="CIG4094" s="907" t="s">
        <v>79</v>
      </c>
      <c r="CIH4094" s="909" t="s">
        <v>68</v>
      </c>
      <c r="CII4094" s="910" t="s">
        <v>75</v>
      </c>
      <c r="CIJ4094" s="911"/>
      <c r="CIK4094" s="911"/>
      <c r="CIL4094" s="911"/>
      <c r="CIM4094" s="911"/>
      <c r="CIN4094" s="911"/>
      <c r="CIO4094" s="911"/>
      <c r="CIP4094" s="911"/>
      <c r="CIQ4094" s="911"/>
      <c r="CIR4094" s="911"/>
      <c r="CIS4094" s="32"/>
      <c r="CIT4094" s="911" t="s">
        <v>74</v>
      </c>
      <c r="CIU4094" s="911"/>
      <c r="CIV4094" s="911"/>
      <c r="CIW4094" s="911"/>
      <c r="CIX4094" s="911"/>
      <c r="CIY4094" s="911"/>
      <c r="CIZ4094" s="911"/>
      <c r="CJA4094" s="911"/>
      <c r="CJB4094" s="911"/>
      <c r="CJC4094" s="912"/>
      <c r="CJE4094" s="913" t="s">
        <v>1</v>
      </c>
      <c r="CJF4094" s="31"/>
      <c r="CJG4094" s="909" t="s">
        <v>0</v>
      </c>
      <c r="CJH4094" s="909"/>
      <c r="CJI4094" s="909"/>
      <c r="CJJ4094" s="909"/>
      <c r="CJK4094" s="909"/>
      <c r="CJL4094" s="909"/>
      <c r="CJM4094" s="907" t="s">
        <v>79</v>
      </c>
      <c r="CJN4094" s="909" t="s">
        <v>68</v>
      </c>
      <c r="CJO4094" s="910" t="s">
        <v>75</v>
      </c>
      <c r="CJP4094" s="911"/>
      <c r="CJQ4094" s="911"/>
      <c r="CJR4094" s="911"/>
      <c r="CJS4094" s="911"/>
      <c r="CJT4094" s="911"/>
      <c r="CJU4094" s="911"/>
      <c r="CJV4094" s="911"/>
      <c r="CJW4094" s="911"/>
      <c r="CJX4094" s="911"/>
      <c r="CJY4094" s="32"/>
      <c r="CJZ4094" s="911" t="s">
        <v>74</v>
      </c>
      <c r="CKA4094" s="911"/>
      <c r="CKB4094" s="911"/>
      <c r="CKC4094" s="911"/>
      <c r="CKD4094" s="911"/>
      <c r="CKE4094" s="911"/>
      <c r="CKF4094" s="911"/>
      <c r="CKG4094" s="911"/>
      <c r="CKH4094" s="911"/>
      <c r="CKI4094" s="912"/>
      <c r="CKK4094" s="913" t="s">
        <v>1</v>
      </c>
      <c r="CKL4094" s="31"/>
      <c r="CKM4094" s="909" t="s">
        <v>0</v>
      </c>
      <c r="CKN4094" s="909"/>
      <c r="CKO4094" s="909"/>
      <c r="CKP4094" s="909"/>
      <c r="CKQ4094" s="909"/>
      <c r="CKR4094" s="909"/>
      <c r="CKS4094" s="907" t="s">
        <v>79</v>
      </c>
      <c r="CKT4094" s="909" t="s">
        <v>68</v>
      </c>
      <c r="CKU4094" s="910" t="s">
        <v>75</v>
      </c>
      <c r="CKV4094" s="911"/>
      <c r="CKW4094" s="911"/>
      <c r="CKX4094" s="911"/>
      <c r="CKY4094" s="911"/>
      <c r="CKZ4094" s="911"/>
      <c r="CLA4094" s="911"/>
      <c r="CLB4094" s="911"/>
      <c r="CLC4094" s="911"/>
      <c r="CLD4094" s="911"/>
      <c r="CLE4094" s="32"/>
      <c r="CLF4094" s="911" t="s">
        <v>74</v>
      </c>
      <c r="CLG4094" s="911"/>
      <c r="CLH4094" s="911"/>
      <c r="CLI4094" s="911"/>
      <c r="CLJ4094" s="911"/>
      <c r="CLK4094" s="911"/>
      <c r="CLL4094" s="911"/>
      <c r="CLM4094" s="911"/>
      <c r="CLN4094" s="911"/>
      <c r="CLO4094" s="912"/>
      <c r="CLQ4094" s="913" t="s">
        <v>1</v>
      </c>
      <c r="CLR4094" s="31"/>
      <c r="CLS4094" s="909" t="s">
        <v>0</v>
      </c>
      <c r="CLT4094" s="909"/>
      <c r="CLU4094" s="909"/>
      <c r="CLV4094" s="909"/>
      <c r="CLW4094" s="909"/>
      <c r="CLX4094" s="909"/>
      <c r="CLY4094" s="907" t="s">
        <v>79</v>
      </c>
      <c r="CLZ4094" s="909" t="s">
        <v>68</v>
      </c>
      <c r="CMA4094" s="910" t="s">
        <v>75</v>
      </c>
      <c r="CMB4094" s="911"/>
      <c r="CMC4094" s="911"/>
      <c r="CMD4094" s="911"/>
      <c r="CME4094" s="911"/>
      <c r="CMF4094" s="911"/>
      <c r="CMG4094" s="911"/>
      <c r="CMH4094" s="911"/>
      <c r="CMI4094" s="911"/>
      <c r="CMJ4094" s="911"/>
      <c r="CMK4094" s="32"/>
      <c r="CML4094" s="911" t="s">
        <v>74</v>
      </c>
      <c r="CMM4094" s="911"/>
      <c r="CMN4094" s="911"/>
      <c r="CMO4094" s="911"/>
      <c r="CMP4094" s="911"/>
      <c r="CMQ4094" s="911"/>
      <c r="CMR4094" s="911"/>
      <c r="CMS4094" s="911"/>
      <c r="CMT4094" s="911"/>
      <c r="CMU4094" s="912"/>
      <c r="CMW4094" s="913" t="s">
        <v>1</v>
      </c>
      <c r="CMX4094" s="31"/>
      <c r="CMY4094" s="909" t="s">
        <v>0</v>
      </c>
      <c r="CMZ4094" s="909"/>
      <c r="CNA4094" s="909"/>
      <c r="CNB4094" s="909"/>
      <c r="CNC4094" s="909"/>
      <c r="CND4094" s="909"/>
      <c r="CNE4094" s="907" t="s">
        <v>79</v>
      </c>
      <c r="CNF4094" s="909" t="s">
        <v>68</v>
      </c>
      <c r="CNG4094" s="910" t="s">
        <v>75</v>
      </c>
      <c r="CNH4094" s="911"/>
      <c r="CNI4094" s="911"/>
      <c r="CNJ4094" s="911"/>
      <c r="CNK4094" s="911"/>
      <c r="CNL4094" s="911"/>
      <c r="CNM4094" s="911"/>
      <c r="CNN4094" s="911"/>
      <c r="CNO4094" s="911"/>
      <c r="CNP4094" s="911"/>
      <c r="CNQ4094" s="32"/>
      <c r="CNR4094" s="911" t="s">
        <v>74</v>
      </c>
      <c r="CNS4094" s="911"/>
      <c r="CNT4094" s="911"/>
      <c r="CNU4094" s="911"/>
      <c r="CNV4094" s="911"/>
      <c r="CNW4094" s="911"/>
      <c r="CNX4094" s="911"/>
      <c r="CNY4094" s="911"/>
      <c r="CNZ4094" s="911"/>
      <c r="COA4094" s="912"/>
      <c r="COC4094" s="913" t="s">
        <v>1</v>
      </c>
      <c r="COD4094" s="31"/>
      <c r="COE4094" s="909" t="s">
        <v>0</v>
      </c>
      <c r="COF4094" s="909"/>
      <c r="COG4094" s="909"/>
      <c r="COH4094" s="909"/>
      <c r="COI4094" s="909"/>
      <c r="COJ4094" s="909"/>
      <c r="COK4094" s="907" t="s">
        <v>79</v>
      </c>
      <c r="COL4094" s="909" t="s">
        <v>68</v>
      </c>
      <c r="COM4094" s="910" t="s">
        <v>75</v>
      </c>
      <c r="CON4094" s="911"/>
      <c r="COO4094" s="911"/>
      <c r="COP4094" s="911"/>
      <c r="COQ4094" s="911"/>
      <c r="COR4094" s="911"/>
      <c r="COS4094" s="911"/>
      <c r="COT4094" s="911"/>
      <c r="COU4094" s="911"/>
      <c r="COV4094" s="911"/>
      <c r="COW4094" s="32"/>
      <c r="COX4094" s="911" t="s">
        <v>74</v>
      </c>
      <c r="COY4094" s="911"/>
      <c r="COZ4094" s="911"/>
      <c r="CPA4094" s="911"/>
      <c r="CPB4094" s="911"/>
      <c r="CPC4094" s="911"/>
      <c r="CPD4094" s="911"/>
      <c r="CPE4094" s="911"/>
      <c r="CPF4094" s="911"/>
      <c r="CPG4094" s="912"/>
      <c r="CPI4094" s="913" t="s">
        <v>1</v>
      </c>
      <c r="CPJ4094" s="31"/>
      <c r="CPK4094" s="909" t="s">
        <v>0</v>
      </c>
      <c r="CPL4094" s="909"/>
      <c r="CPM4094" s="909"/>
      <c r="CPN4094" s="909"/>
      <c r="CPO4094" s="909"/>
      <c r="CPP4094" s="909"/>
      <c r="CPQ4094" s="907" t="s">
        <v>79</v>
      </c>
      <c r="CPR4094" s="909" t="s">
        <v>68</v>
      </c>
      <c r="CPS4094" s="910" t="s">
        <v>75</v>
      </c>
      <c r="CPT4094" s="911"/>
      <c r="CPU4094" s="911"/>
      <c r="CPV4094" s="911"/>
      <c r="CPW4094" s="911"/>
      <c r="CPX4094" s="911"/>
      <c r="CPY4094" s="911"/>
      <c r="CPZ4094" s="911"/>
      <c r="CQA4094" s="911"/>
      <c r="CQB4094" s="911"/>
      <c r="CQC4094" s="32"/>
      <c r="CQD4094" s="911" t="s">
        <v>74</v>
      </c>
      <c r="CQE4094" s="911"/>
      <c r="CQF4094" s="911"/>
      <c r="CQG4094" s="911"/>
      <c r="CQH4094" s="911"/>
      <c r="CQI4094" s="911"/>
      <c r="CQJ4094" s="911"/>
      <c r="CQK4094" s="911"/>
      <c r="CQL4094" s="911"/>
      <c r="CQM4094" s="912"/>
      <c r="CQO4094" s="913" t="s">
        <v>1</v>
      </c>
      <c r="CQP4094" s="31"/>
      <c r="CQQ4094" s="909" t="s">
        <v>0</v>
      </c>
      <c r="CQR4094" s="909"/>
      <c r="CQS4094" s="909"/>
      <c r="CQT4094" s="909"/>
      <c r="CQU4094" s="909"/>
      <c r="CQV4094" s="909"/>
      <c r="CQW4094" s="907" t="s">
        <v>79</v>
      </c>
      <c r="CQX4094" s="909" t="s">
        <v>68</v>
      </c>
      <c r="CQY4094" s="910" t="s">
        <v>75</v>
      </c>
      <c r="CQZ4094" s="911"/>
      <c r="CRA4094" s="911"/>
      <c r="CRB4094" s="911"/>
      <c r="CRC4094" s="911"/>
      <c r="CRD4094" s="911"/>
      <c r="CRE4094" s="911"/>
      <c r="CRF4094" s="911"/>
      <c r="CRG4094" s="911"/>
      <c r="CRH4094" s="911"/>
      <c r="CRI4094" s="32"/>
      <c r="CRJ4094" s="911" t="s">
        <v>74</v>
      </c>
      <c r="CRK4094" s="911"/>
      <c r="CRL4094" s="911"/>
      <c r="CRM4094" s="911"/>
      <c r="CRN4094" s="911"/>
      <c r="CRO4094" s="911"/>
      <c r="CRP4094" s="911"/>
      <c r="CRQ4094" s="911"/>
      <c r="CRR4094" s="911"/>
      <c r="CRS4094" s="912"/>
      <c r="CRU4094" s="913" t="s">
        <v>1</v>
      </c>
      <c r="CRV4094" s="31"/>
      <c r="CRW4094" s="909" t="s">
        <v>0</v>
      </c>
      <c r="CRX4094" s="909"/>
      <c r="CRY4094" s="909"/>
      <c r="CRZ4094" s="909"/>
      <c r="CSA4094" s="909"/>
      <c r="CSB4094" s="909"/>
      <c r="CSC4094" s="907" t="s">
        <v>79</v>
      </c>
      <c r="CSD4094" s="909" t="s">
        <v>68</v>
      </c>
      <c r="CSE4094" s="910" t="s">
        <v>75</v>
      </c>
      <c r="CSF4094" s="911"/>
      <c r="CSG4094" s="911"/>
      <c r="CSH4094" s="911"/>
      <c r="CSI4094" s="911"/>
      <c r="CSJ4094" s="911"/>
      <c r="CSK4094" s="911"/>
      <c r="CSL4094" s="911"/>
      <c r="CSM4094" s="911"/>
      <c r="CSN4094" s="911"/>
      <c r="CSO4094" s="32"/>
      <c r="CSP4094" s="911" t="s">
        <v>74</v>
      </c>
      <c r="CSQ4094" s="911"/>
      <c r="CSR4094" s="911"/>
      <c r="CSS4094" s="911"/>
      <c r="CST4094" s="911"/>
      <c r="CSU4094" s="911"/>
      <c r="CSV4094" s="911"/>
      <c r="CSW4094" s="911"/>
      <c r="CSX4094" s="911"/>
      <c r="CSY4094" s="912"/>
      <c r="CTA4094" s="913" t="s">
        <v>1</v>
      </c>
      <c r="CTB4094" s="31"/>
      <c r="CTC4094" s="909" t="s">
        <v>0</v>
      </c>
      <c r="CTD4094" s="909"/>
      <c r="CTE4094" s="909"/>
      <c r="CTF4094" s="909"/>
      <c r="CTG4094" s="909"/>
      <c r="CTH4094" s="909"/>
      <c r="CTI4094" s="907" t="s">
        <v>79</v>
      </c>
      <c r="CTJ4094" s="909" t="s">
        <v>68</v>
      </c>
      <c r="CTK4094" s="910" t="s">
        <v>75</v>
      </c>
      <c r="CTL4094" s="911"/>
      <c r="CTM4094" s="911"/>
      <c r="CTN4094" s="911"/>
      <c r="CTO4094" s="911"/>
      <c r="CTP4094" s="911"/>
      <c r="CTQ4094" s="911"/>
      <c r="CTR4094" s="911"/>
      <c r="CTS4094" s="911"/>
      <c r="CTT4094" s="911"/>
      <c r="CTU4094" s="32"/>
      <c r="CTV4094" s="911" t="s">
        <v>74</v>
      </c>
      <c r="CTW4094" s="911"/>
      <c r="CTX4094" s="911"/>
      <c r="CTY4094" s="911"/>
      <c r="CTZ4094" s="911"/>
      <c r="CUA4094" s="911"/>
      <c r="CUB4094" s="911"/>
      <c r="CUC4094" s="911"/>
      <c r="CUD4094" s="911"/>
      <c r="CUE4094" s="912"/>
      <c r="CUG4094" s="913" t="s">
        <v>1</v>
      </c>
      <c r="CUH4094" s="31"/>
      <c r="CUI4094" s="909" t="s">
        <v>0</v>
      </c>
      <c r="CUJ4094" s="909"/>
      <c r="CUK4094" s="909"/>
      <c r="CUL4094" s="909"/>
      <c r="CUM4094" s="909"/>
      <c r="CUN4094" s="909"/>
      <c r="CUO4094" s="907" t="s">
        <v>79</v>
      </c>
      <c r="CUP4094" s="909" t="s">
        <v>68</v>
      </c>
      <c r="CUQ4094" s="910" t="s">
        <v>75</v>
      </c>
      <c r="CUR4094" s="911"/>
      <c r="CUS4094" s="911"/>
      <c r="CUT4094" s="911"/>
      <c r="CUU4094" s="911"/>
      <c r="CUV4094" s="911"/>
      <c r="CUW4094" s="911"/>
      <c r="CUX4094" s="911"/>
      <c r="CUY4094" s="911"/>
      <c r="CUZ4094" s="911"/>
      <c r="CVA4094" s="32"/>
      <c r="CVB4094" s="911" t="s">
        <v>74</v>
      </c>
      <c r="CVC4094" s="911"/>
      <c r="CVD4094" s="911"/>
      <c r="CVE4094" s="911"/>
      <c r="CVF4094" s="911"/>
      <c r="CVG4094" s="911"/>
      <c r="CVH4094" s="911"/>
      <c r="CVI4094" s="911"/>
      <c r="CVJ4094" s="911"/>
      <c r="CVK4094" s="912"/>
      <c r="CVM4094" s="913" t="s">
        <v>1</v>
      </c>
      <c r="CVN4094" s="31"/>
      <c r="CVO4094" s="909" t="s">
        <v>0</v>
      </c>
      <c r="CVP4094" s="909"/>
      <c r="CVQ4094" s="909"/>
      <c r="CVR4094" s="909"/>
      <c r="CVS4094" s="909"/>
      <c r="CVT4094" s="909"/>
      <c r="CVU4094" s="907" t="s">
        <v>79</v>
      </c>
      <c r="CVV4094" s="909" t="s">
        <v>68</v>
      </c>
      <c r="CVW4094" s="910" t="s">
        <v>75</v>
      </c>
      <c r="CVX4094" s="911"/>
      <c r="CVY4094" s="911"/>
      <c r="CVZ4094" s="911"/>
      <c r="CWA4094" s="911"/>
      <c r="CWB4094" s="911"/>
      <c r="CWC4094" s="911"/>
      <c r="CWD4094" s="911"/>
      <c r="CWE4094" s="911"/>
      <c r="CWF4094" s="911"/>
      <c r="CWG4094" s="32"/>
      <c r="CWH4094" s="911" t="s">
        <v>74</v>
      </c>
      <c r="CWI4094" s="911"/>
      <c r="CWJ4094" s="911"/>
      <c r="CWK4094" s="911"/>
      <c r="CWL4094" s="911"/>
      <c r="CWM4094" s="911"/>
      <c r="CWN4094" s="911"/>
      <c r="CWO4094" s="911"/>
      <c r="CWP4094" s="911"/>
      <c r="CWQ4094" s="912"/>
      <c r="CWS4094" s="913" t="s">
        <v>1</v>
      </c>
      <c r="CWT4094" s="31"/>
      <c r="CWU4094" s="909" t="s">
        <v>0</v>
      </c>
      <c r="CWV4094" s="909"/>
      <c r="CWW4094" s="909"/>
      <c r="CWX4094" s="909"/>
      <c r="CWY4094" s="909"/>
      <c r="CWZ4094" s="909"/>
      <c r="CXA4094" s="907" t="s">
        <v>79</v>
      </c>
      <c r="CXB4094" s="909" t="s">
        <v>68</v>
      </c>
      <c r="CXC4094" s="910" t="s">
        <v>75</v>
      </c>
      <c r="CXD4094" s="911"/>
      <c r="CXE4094" s="911"/>
      <c r="CXF4094" s="911"/>
      <c r="CXG4094" s="911"/>
      <c r="CXH4094" s="911"/>
      <c r="CXI4094" s="911"/>
      <c r="CXJ4094" s="911"/>
      <c r="CXK4094" s="911"/>
      <c r="CXL4094" s="911"/>
      <c r="CXM4094" s="32"/>
      <c r="CXN4094" s="911" t="s">
        <v>74</v>
      </c>
      <c r="CXO4094" s="911"/>
      <c r="CXP4094" s="911"/>
      <c r="CXQ4094" s="911"/>
      <c r="CXR4094" s="911"/>
      <c r="CXS4094" s="911"/>
      <c r="CXT4094" s="911"/>
      <c r="CXU4094" s="911"/>
      <c r="CXV4094" s="911"/>
      <c r="CXW4094" s="912"/>
      <c r="CXY4094" s="913" t="s">
        <v>1</v>
      </c>
      <c r="CXZ4094" s="31"/>
      <c r="CYA4094" s="909" t="s">
        <v>0</v>
      </c>
      <c r="CYB4094" s="909"/>
      <c r="CYC4094" s="909"/>
      <c r="CYD4094" s="909"/>
      <c r="CYE4094" s="909"/>
      <c r="CYF4094" s="909"/>
      <c r="CYG4094" s="907" t="s">
        <v>79</v>
      </c>
      <c r="CYH4094" s="909" t="s">
        <v>68</v>
      </c>
      <c r="CYI4094" s="910" t="s">
        <v>75</v>
      </c>
      <c r="CYJ4094" s="911"/>
      <c r="CYK4094" s="911"/>
      <c r="CYL4094" s="911"/>
      <c r="CYM4094" s="911"/>
      <c r="CYN4094" s="911"/>
      <c r="CYO4094" s="911"/>
      <c r="CYP4094" s="911"/>
      <c r="CYQ4094" s="911"/>
      <c r="CYR4094" s="911"/>
      <c r="CYS4094" s="32"/>
      <c r="CYT4094" s="911" t="s">
        <v>74</v>
      </c>
      <c r="CYU4094" s="911"/>
      <c r="CYV4094" s="911"/>
      <c r="CYW4094" s="911"/>
      <c r="CYX4094" s="911"/>
      <c r="CYY4094" s="911"/>
      <c r="CYZ4094" s="911"/>
      <c r="CZA4094" s="911"/>
      <c r="CZB4094" s="911"/>
      <c r="CZC4094" s="912"/>
      <c r="CZE4094" s="913" t="s">
        <v>1</v>
      </c>
      <c r="CZF4094" s="31"/>
      <c r="CZG4094" s="909" t="s">
        <v>0</v>
      </c>
      <c r="CZH4094" s="909"/>
      <c r="CZI4094" s="909"/>
      <c r="CZJ4094" s="909"/>
      <c r="CZK4094" s="909"/>
      <c r="CZL4094" s="909"/>
      <c r="CZM4094" s="907" t="s">
        <v>79</v>
      </c>
      <c r="CZN4094" s="909" t="s">
        <v>68</v>
      </c>
      <c r="CZO4094" s="910" t="s">
        <v>75</v>
      </c>
      <c r="CZP4094" s="911"/>
      <c r="CZQ4094" s="911"/>
      <c r="CZR4094" s="911"/>
      <c r="CZS4094" s="911"/>
      <c r="CZT4094" s="911"/>
      <c r="CZU4094" s="911"/>
      <c r="CZV4094" s="911"/>
      <c r="CZW4094" s="911"/>
      <c r="CZX4094" s="911"/>
      <c r="CZY4094" s="32"/>
      <c r="CZZ4094" s="911" t="s">
        <v>74</v>
      </c>
      <c r="DAA4094" s="911"/>
      <c r="DAB4094" s="911"/>
      <c r="DAC4094" s="911"/>
      <c r="DAD4094" s="911"/>
      <c r="DAE4094" s="911"/>
      <c r="DAF4094" s="911"/>
      <c r="DAG4094" s="911"/>
      <c r="DAH4094" s="911"/>
      <c r="DAI4094" s="912"/>
      <c r="DAK4094" s="913" t="s">
        <v>1</v>
      </c>
      <c r="DAL4094" s="31"/>
      <c r="DAM4094" s="909" t="s">
        <v>0</v>
      </c>
      <c r="DAN4094" s="909"/>
      <c r="DAO4094" s="909"/>
      <c r="DAP4094" s="909"/>
      <c r="DAQ4094" s="909"/>
      <c r="DAR4094" s="909"/>
      <c r="DAS4094" s="907" t="s">
        <v>79</v>
      </c>
      <c r="DAT4094" s="909" t="s">
        <v>68</v>
      </c>
      <c r="DAU4094" s="910" t="s">
        <v>75</v>
      </c>
      <c r="DAV4094" s="911"/>
      <c r="DAW4094" s="911"/>
      <c r="DAX4094" s="911"/>
      <c r="DAY4094" s="911"/>
      <c r="DAZ4094" s="911"/>
      <c r="DBA4094" s="911"/>
      <c r="DBB4094" s="911"/>
      <c r="DBC4094" s="911"/>
      <c r="DBD4094" s="911"/>
      <c r="DBE4094" s="32"/>
      <c r="DBF4094" s="911" t="s">
        <v>74</v>
      </c>
      <c r="DBG4094" s="911"/>
      <c r="DBH4094" s="911"/>
      <c r="DBI4094" s="911"/>
      <c r="DBJ4094" s="911"/>
      <c r="DBK4094" s="911"/>
      <c r="DBL4094" s="911"/>
      <c r="DBM4094" s="911"/>
      <c r="DBN4094" s="911"/>
      <c r="DBO4094" s="912"/>
      <c r="DBQ4094" s="913" t="s">
        <v>1</v>
      </c>
      <c r="DBR4094" s="31"/>
      <c r="DBS4094" s="909" t="s">
        <v>0</v>
      </c>
      <c r="DBT4094" s="909"/>
      <c r="DBU4094" s="909"/>
      <c r="DBV4094" s="909"/>
      <c r="DBW4094" s="909"/>
      <c r="DBX4094" s="909"/>
      <c r="DBY4094" s="907" t="s">
        <v>79</v>
      </c>
      <c r="DBZ4094" s="909" t="s">
        <v>68</v>
      </c>
      <c r="DCA4094" s="910" t="s">
        <v>75</v>
      </c>
      <c r="DCB4094" s="911"/>
      <c r="DCC4094" s="911"/>
      <c r="DCD4094" s="911"/>
      <c r="DCE4094" s="911"/>
      <c r="DCF4094" s="911"/>
      <c r="DCG4094" s="911"/>
      <c r="DCH4094" s="911"/>
      <c r="DCI4094" s="911"/>
      <c r="DCJ4094" s="911"/>
      <c r="DCK4094" s="32"/>
      <c r="DCL4094" s="911" t="s">
        <v>74</v>
      </c>
      <c r="DCM4094" s="911"/>
      <c r="DCN4094" s="911"/>
      <c r="DCO4094" s="911"/>
      <c r="DCP4094" s="911"/>
      <c r="DCQ4094" s="911"/>
      <c r="DCR4094" s="911"/>
      <c r="DCS4094" s="911"/>
      <c r="DCT4094" s="911"/>
      <c r="DCU4094" s="912"/>
      <c r="DCW4094" s="913" t="s">
        <v>1</v>
      </c>
      <c r="DCX4094" s="31"/>
      <c r="DCY4094" s="909" t="s">
        <v>0</v>
      </c>
      <c r="DCZ4094" s="909"/>
      <c r="DDA4094" s="909"/>
      <c r="DDB4094" s="909"/>
      <c r="DDC4094" s="909"/>
      <c r="DDD4094" s="909"/>
      <c r="DDE4094" s="907" t="s">
        <v>79</v>
      </c>
      <c r="DDF4094" s="909" t="s">
        <v>68</v>
      </c>
      <c r="DDG4094" s="910" t="s">
        <v>75</v>
      </c>
      <c r="DDH4094" s="911"/>
      <c r="DDI4094" s="911"/>
      <c r="DDJ4094" s="911"/>
      <c r="DDK4094" s="911"/>
      <c r="DDL4094" s="911"/>
      <c r="DDM4094" s="911"/>
      <c r="DDN4094" s="911"/>
      <c r="DDO4094" s="911"/>
      <c r="DDP4094" s="911"/>
      <c r="DDQ4094" s="32"/>
      <c r="DDR4094" s="911" t="s">
        <v>74</v>
      </c>
      <c r="DDS4094" s="911"/>
      <c r="DDT4094" s="911"/>
      <c r="DDU4094" s="911"/>
      <c r="DDV4094" s="911"/>
      <c r="DDW4094" s="911"/>
      <c r="DDX4094" s="911"/>
      <c r="DDY4094" s="911"/>
      <c r="DDZ4094" s="911"/>
      <c r="DEA4094" s="912"/>
      <c r="DEC4094" s="913" t="s">
        <v>1</v>
      </c>
      <c r="DED4094" s="31"/>
      <c r="DEE4094" s="909" t="s">
        <v>0</v>
      </c>
      <c r="DEF4094" s="909"/>
      <c r="DEG4094" s="909"/>
      <c r="DEH4094" s="909"/>
      <c r="DEI4094" s="909"/>
      <c r="DEJ4094" s="909"/>
      <c r="DEK4094" s="907" t="s">
        <v>79</v>
      </c>
      <c r="DEL4094" s="909" t="s">
        <v>68</v>
      </c>
      <c r="DEM4094" s="910" t="s">
        <v>75</v>
      </c>
      <c r="DEN4094" s="911"/>
      <c r="DEO4094" s="911"/>
      <c r="DEP4094" s="911"/>
      <c r="DEQ4094" s="911"/>
      <c r="DER4094" s="911"/>
      <c r="DES4094" s="911"/>
      <c r="DET4094" s="911"/>
      <c r="DEU4094" s="911"/>
      <c r="DEV4094" s="911"/>
      <c r="DEW4094" s="32"/>
      <c r="DEX4094" s="911" t="s">
        <v>74</v>
      </c>
      <c r="DEY4094" s="911"/>
      <c r="DEZ4094" s="911"/>
      <c r="DFA4094" s="911"/>
      <c r="DFB4094" s="911"/>
      <c r="DFC4094" s="911"/>
      <c r="DFD4094" s="911"/>
      <c r="DFE4094" s="911"/>
      <c r="DFF4094" s="911"/>
      <c r="DFG4094" s="912"/>
      <c r="DFI4094" s="913" t="s">
        <v>1</v>
      </c>
      <c r="DFJ4094" s="31"/>
      <c r="DFK4094" s="909" t="s">
        <v>0</v>
      </c>
      <c r="DFL4094" s="909"/>
      <c r="DFM4094" s="909"/>
      <c r="DFN4094" s="909"/>
      <c r="DFO4094" s="909"/>
      <c r="DFP4094" s="909"/>
      <c r="DFQ4094" s="907" t="s">
        <v>79</v>
      </c>
      <c r="DFR4094" s="909" t="s">
        <v>68</v>
      </c>
      <c r="DFS4094" s="910" t="s">
        <v>75</v>
      </c>
      <c r="DFT4094" s="911"/>
      <c r="DFU4094" s="911"/>
      <c r="DFV4094" s="911"/>
      <c r="DFW4094" s="911"/>
      <c r="DFX4094" s="911"/>
      <c r="DFY4094" s="911"/>
      <c r="DFZ4094" s="911"/>
      <c r="DGA4094" s="911"/>
      <c r="DGB4094" s="911"/>
      <c r="DGC4094" s="32"/>
      <c r="DGD4094" s="911" t="s">
        <v>74</v>
      </c>
      <c r="DGE4094" s="911"/>
      <c r="DGF4094" s="911"/>
      <c r="DGG4094" s="911"/>
      <c r="DGH4094" s="911"/>
      <c r="DGI4094" s="911"/>
      <c r="DGJ4094" s="911"/>
      <c r="DGK4094" s="911"/>
      <c r="DGL4094" s="911"/>
      <c r="DGM4094" s="912"/>
      <c r="DGO4094" s="913" t="s">
        <v>1</v>
      </c>
      <c r="DGP4094" s="31"/>
      <c r="DGQ4094" s="909" t="s">
        <v>0</v>
      </c>
      <c r="DGR4094" s="909"/>
      <c r="DGS4094" s="909"/>
      <c r="DGT4094" s="909"/>
      <c r="DGU4094" s="909"/>
      <c r="DGV4094" s="909"/>
      <c r="DGW4094" s="907" t="s">
        <v>79</v>
      </c>
      <c r="DGX4094" s="909" t="s">
        <v>68</v>
      </c>
      <c r="DGY4094" s="910" t="s">
        <v>75</v>
      </c>
      <c r="DGZ4094" s="911"/>
      <c r="DHA4094" s="911"/>
      <c r="DHB4094" s="911"/>
      <c r="DHC4094" s="911"/>
      <c r="DHD4094" s="911"/>
      <c r="DHE4094" s="911"/>
      <c r="DHF4094" s="911"/>
      <c r="DHG4094" s="911"/>
      <c r="DHH4094" s="911"/>
      <c r="DHI4094" s="32"/>
      <c r="DHJ4094" s="911" t="s">
        <v>74</v>
      </c>
      <c r="DHK4094" s="911"/>
      <c r="DHL4094" s="911"/>
      <c r="DHM4094" s="911"/>
      <c r="DHN4094" s="911"/>
      <c r="DHO4094" s="911"/>
      <c r="DHP4094" s="911"/>
      <c r="DHQ4094" s="911"/>
      <c r="DHR4094" s="911"/>
      <c r="DHS4094" s="912"/>
      <c r="DHU4094" s="913" t="s">
        <v>1</v>
      </c>
      <c r="DHV4094" s="31"/>
      <c r="DHW4094" s="909" t="s">
        <v>0</v>
      </c>
      <c r="DHX4094" s="909"/>
      <c r="DHY4094" s="909"/>
      <c r="DHZ4094" s="909"/>
      <c r="DIA4094" s="909"/>
      <c r="DIB4094" s="909"/>
      <c r="DIC4094" s="907" t="s">
        <v>79</v>
      </c>
      <c r="DID4094" s="909" t="s">
        <v>68</v>
      </c>
      <c r="DIE4094" s="910" t="s">
        <v>75</v>
      </c>
      <c r="DIF4094" s="911"/>
      <c r="DIG4094" s="911"/>
      <c r="DIH4094" s="911"/>
      <c r="DII4094" s="911"/>
      <c r="DIJ4094" s="911"/>
      <c r="DIK4094" s="911"/>
      <c r="DIL4094" s="911"/>
      <c r="DIM4094" s="911"/>
      <c r="DIN4094" s="911"/>
      <c r="DIO4094" s="32"/>
      <c r="DIP4094" s="911" t="s">
        <v>74</v>
      </c>
      <c r="DIQ4094" s="911"/>
      <c r="DIR4094" s="911"/>
      <c r="DIS4094" s="911"/>
      <c r="DIT4094" s="911"/>
      <c r="DIU4094" s="911"/>
      <c r="DIV4094" s="911"/>
      <c r="DIW4094" s="911"/>
      <c r="DIX4094" s="911"/>
      <c r="DIY4094" s="912"/>
      <c r="DJA4094" s="913" t="s">
        <v>1</v>
      </c>
      <c r="DJB4094" s="31"/>
      <c r="DJC4094" s="909" t="s">
        <v>0</v>
      </c>
      <c r="DJD4094" s="909"/>
      <c r="DJE4094" s="909"/>
      <c r="DJF4094" s="909"/>
      <c r="DJG4094" s="909"/>
      <c r="DJH4094" s="909"/>
      <c r="DJI4094" s="907" t="s">
        <v>79</v>
      </c>
      <c r="DJJ4094" s="909" t="s">
        <v>68</v>
      </c>
      <c r="DJK4094" s="910" t="s">
        <v>75</v>
      </c>
      <c r="DJL4094" s="911"/>
      <c r="DJM4094" s="911"/>
      <c r="DJN4094" s="911"/>
      <c r="DJO4094" s="911"/>
      <c r="DJP4094" s="911"/>
      <c r="DJQ4094" s="911"/>
      <c r="DJR4094" s="911"/>
      <c r="DJS4094" s="911"/>
      <c r="DJT4094" s="911"/>
      <c r="DJU4094" s="32"/>
      <c r="DJV4094" s="911" t="s">
        <v>74</v>
      </c>
      <c r="DJW4094" s="911"/>
      <c r="DJX4094" s="911"/>
      <c r="DJY4094" s="911"/>
      <c r="DJZ4094" s="911"/>
      <c r="DKA4094" s="911"/>
      <c r="DKB4094" s="911"/>
      <c r="DKC4094" s="911"/>
      <c r="DKD4094" s="911"/>
      <c r="DKE4094" s="912"/>
      <c r="DKG4094" s="913" t="s">
        <v>1</v>
      </c>
      <c r="DKH4094" s="31"/>
      <c r="DKI4094" s="909" t="s">
        <v>0</v>
      </c>
      <c r="DKJ4094" s="909"/>
      <c r="DKK4094" s="909"/>
      <c r="DKL4094" s="909"/>
      <c r="DKM4094" s="909"/>
      <c r="DKN4094" s="909"/>
      <c r="DKO4094" s="907" t="s">
        <v>79</v>
      </c>
      <c r="DKP4094" s="909" t="s">
        <v>68</v>
      </c>
      <c r="DKQ4094" s="910" t="s">
        <v>75</v>
      </c>
      <c r="DKR4094" s="911"/>
      <c r="DKS4094" s="911"/>
      <c r="DKT4094" s="911"/>
      <c r="DKU4094" s="911"/>
      <c r="DKV4094" s="911"/>
      <c r="DKW4094" s="911"/>
      <c r="DKX4094" s="911"/>
      <c r="DKY4094" s="911"/>
      <c r="DKZ4094" s="911"/>
      <c r="DLA4094" s="32"/>
      <c r="DLB4094" s="911" t="s">
        <v>74</v>
      </c>
      <c r="DLC4094" s="911"/>
      <c r="DLD4094" s="911"/>
      <c r="DLE4094" s="911"/>
      <c r="DLF4094" s="911"/>
      <c r="DLG4094" s="911"/>
      <c r="DLH4094" s="911"/>
      <c r="DLI4094" s="911"/>
      <c r="DLJ4094" s="911"/>
      <c r="DLK4094" s="912"/>
      <c r="DLM4094" s="913" t="s">
        <v>1</v>
      </c>
      <c r="DLN4094" s="31"/>
      <c r="DLO4094" s="909" t="s">
        <v>0</v>
      </c>
      <c r="DLP4094" s="909"/>
      <c r="DLQ4094" s="909"/>
      <c r="DLR4094" s="909"/>
      <c r="DLS4094" s="909"/>
      <c r="DLT4094" s="909"/>
      <c r="DLU4094" s="907" t="s">
        <v>79</v>
      </c>
      <c r="DLV4094" s="909" t="s">
        <v>68</v>
      </c>
      <c r="DLW4094" s="910" t="s">
        <v>75</v>
      </c>
      <c r="DLX4094" s="911"/>
      <c r="DLY4094" s="911"/>
      <c r="DLZ4094" s="911"/>
      <c r="DMA4094" s="911"/>
      <c r="DMB4094" s="911"/>
      <c r="DMC4094" s="911"/>
      <c r="DMD4094" s="911"/>
      <c r="DME4094" s="911"/>
      <c r="DMF4094" s="911"/>
      <c r="DMG4094" s="32"/>
      <c r="DMH4094" s="911" t="s">
        <v>74</v>
      </c>
      <c r="DMI4094" s="911"/>
      <c r="DMJ4094" s="911"/>
      <c r="DMK4094" s="911"/>
      <c r="DML4094" s="911"/>
      <c r="DMM4094" s="911"/>
      <c r="DMN4094" s="911"/>
      <c r="DMO4094" s="911"/>
      <c r="DMP4094" s="911"/>
      <c r="DMQ4094" s="912"/>
      <c r="DMS4094" s="913" t="s">
        <v>1</v>
      </c>
      <c r="DMT4094" s="31"/>
      <c r="DMU4094" s="909" t="s">
        <v>0</v>
      </c>
      <c r="DMV4094" s="909"/>
      <c r="DMW4094" s="909"/>
      <c r="DMX4094" s="909"/>
      <c r="DMY4094" s="909"/>
      <c r="DMZ4094" s="909"/>
      <c r="DNA4094" s="907" t="s">
        <v>79</v>
      </c>
      <c r="DNB4094" s="909" t="s">
        <v>68</v>
      </c>
      <c r="DNC4094" s="910" t="s">
        <v>75</v>
      </c>
      <c r="DND4094" s="911"/>
      <c r="DNE4094" s="911"/>
      <c r="DNF4094" s="911"/>
      <c r="DNG4094" s="911"/>
      <c r="DNH4094" s="911"/>
      <c r="DNI4094" s="911"/>
      <c r="DNJ4094" s="911"/>
      <c r="DNK4094" s="911"/>
      <c r="DNL4094" s="911"/>
      <c r="DNM4094" s="32"/>
      <c r="DNN4094" s="911" t="s">
        <v>74</v>
      </c>
      <c r="DNO4094" s="911"/>
      <c r="DNP4094" s="911"/>
      <c r="DNQ4094" s="911"/>
      <c r="DNR4094" s="911"/>
      <c r="DNS4094" s="911"/>
      <c r="DNT4094" s="911"/>
      <c r="DNU4094" s="911"/>
      <c r="DNV4094" s="911"/>
      <c r="DNW4094" s="912"/>
      <c r="DNY4094" s="913" t="s">
        <v>1</v>
      </c>
      <c r="DNZ4094" s="31"/>
      <c r="DOA4094" s="909" t="s">
        <v>0</v>
      </c>
      <c r="DOB4094" s="909"/>
      <c r="DOC4094" s="909"/>
      <c r="DOD4094" s="909"/>
      <c r="DOE4094" s="909"/>
      <c r="DOF4094" s="909"/>
      <c r="DOG4094" s="907" t="s">
        <v>79</v>
      </c>
      <c r="DOH4094" s="909" t="s">
        <v>68</v>
      </c>
      <c r="DOI4094" s="910" t="s">
        <v>75</v>
      </c>
      <c r="DOJ4094" s="911"/>
      <c r="DOK4094" s="911"/>
      <c r="DOL4094" s="911"/>
      <c r="DOM4094" s="911"/>
      <c r="DON4094" s="911"/>
      <c r="DOO4094" s="911"/>
      <c r="DOP4094" s="911"/>
      <c r="DOQ4094" s="911"/>
      <c r="DOR4094" s="911"/>
      <c r="DOS4094" s="32"/>
      <c r="DOT4094" s="911" t="s">
        <v>74</v>
      </c>
      <c r="DOU4094" s="911"/>
      <c r="DOV4094" s="911"/>
      <c r="DOW4094" s="911"/>
      <c r="DOX4094" s="911"/>
      <c r="DOY4094" s="911"/>
      <c r="DOZ4094" s="911"/>
      <c r="DPA4094" s="911"/>
      <c r="DPB4094" s="911"/>
      <c r="DPC4094" s="912"/>
      <c r="DPE4094" s="913" t="s">
        <v>1</v>
      </c>
      <c r="DPF4094" s="31"/>
      <c r="DPG4094" s="909" t="s">
        <v>0</v>
      </c>
      <c r="DPH4094" s="909"/>
      <c r="DPI4094" s="909"/>
      <c r="DPJ4094" s="909"/>
      <c r="DPK4094" s="909"/>
      <c r="DPL4094" s="909"/>
      <c r="DPM4094" s="907" t="s">
        <v>79</v>
      </c>
      <c r="DPN4094" s="909" t="s">
        <v>68</v>
      </c>
      <c r="DPO4094" s="910" t="s">
        <v>75</v>
      </c>
      <c r="DPP4094" s="911"/>
      <c r="DPQ4094" s="911"/>
      <c r="DPR4094" s="911"/>
      <c r="DPS4094" s="911"/>
      <c r="DPT4094" s="911"/>
      <c r="DPU4094" s="911"/>
      <c r="DPV4094" s="911"/>
      <c r="DPW4094" s="911"/>
      <c r="DPX4094" s="911"/>
      <c r="DPY4094" s="32"/>
      <c r="DPZ4094" s="911" t="s">
        <v>74</v>
      </c>
      <c r="DQA4094" s="911"/>
      <c r="DQB4094" s="911"/>
      <c r="DQC4094" s="911"/>
      <c r="DQD4094" s="911"/>
      <c r="DQE4094" s="911"/>
      <c r="DQF4094" s="911"/>
      <c r="DQG4094" s="911"/>
      <c r="DQH4094" s="911"/>
      <c r="DQI4094" s="912"/>
      <c r="DQK4094" s="913" t="s">
        <v>1</v>
      </c>
      <c r="DQL4094" s="31"/>
      <c r="DQM4094" s="909" t="s">
        <v>0</v>
      </c>
      <c r="DQN4094" s="909"/>
      <c r="DQO4094" s="909"/>
      <c r="DQP4094" s="909"/>
      <c r="DQQ4094" s="909"/>
      <c r="DQR4094" s="909"/>
      <c r="DQS4094" s="907" t="s">
        <v>79</v>
      </c>
      <c r="DQT4094" s="909" t="s">
        <v>68</v>
      </c>
      <c r="DQU4094" s="910" t="s">
        <v>75</v>
      </c>
      <c r="DQV4094" s="911"/>
      <c r="DQW4094" s="911"/>
      <c r="DQX4094" s="911"/>
      <c r="DQY4094" s="911"/>
      <c r="DQZ4094" s="911"/>
      <c r="DRA4094" s="911"/>
      <c r="DRB4094" s="911"/>
      <c r="DRC4094" s="911"/>
      <c r="DRD4094" s="911"/>
      <c r="DRE4094" s="32"/>
      <c r="DRF4094" s="911" t="s">
        <v>74</v>
      </c>
      <c r="DRG4094" s="911"/>
      <c r="DRH4094" s="911"/>
      <c r="DRI4094" s="911"/>
      <c r="DRJ4094" s="911"/>
      <c r="DRK4094" s="911"/>
      <c r="DRL4094" s="911"/>
      <c r="DRM4094" s="911"/>
      <c r="DRN4094" s="911"/>
      <c r="DRO4094" s="912"/>
      <c r="DRQ4094" s="913" t="s">
        <v>1</v>
      </c>
      <c r="DRR4094" s="31"/>
      <c r="DRS4094" s="909" t="s">
        <v>0</v>
      </c>
      <c r="DRT4094" s="909"/>
      <c r="DRU4094" s="909"/>
      <c r="DRV4094" s="909"/>
      <c r="DRW4094" s="909"/>
      <c r="DRX4094" s="909"/>
      <c r="DRY4094" s="907" t="s">
        <v>79</v>
      </c>
      <c r="DRZ4094" s="909" t="s">
        <v>68</v>
      </c>
      <c r="DSA4094" s="910" t="s">
        <v>75</v>
      </c>
      <c r="DSB4094" s="911"/>
      <c r="DSC4094" s="911"/>
      <c r="DSD4094" s="911"/>
      <c r="DSE4094" s="911"/>
      <c r="DSF4094" s="911"/>
      <c r="DSG4094" s="911"/>
      <c r="DSH4094" s="911"/>
      <c r="DSI4094" s="911"/>
      <c r="DSJ4094" s="911"/>
      <c r="DSK4094" s="32"/>
      <c r="DSL4094" s="911" t="s">
        <v>74</v>
      </c>
      <c r="DSM4094" s="911"/>
      <c r="DSN4094" s="911"/>
      <c r="DSO4094" s="911"/>
      <c r="DSP4094" s="911"/>
      <c r="DSQ4094" s="911"/>
      <c r="DSR4094" s="911"/>
      <c r="DSS4094" s="911"/>
      <c r="DST4094" s="911"/>
      <c r="DSU4094" s="912"/>
      <c r="DSW4094" s="913" t="s">
        <v>1</v>
      </c>
      <c r="DSX4094" s="31"/>
      <c r="DSY4094" s="909" t="s">
        <v>0</v>
      </c>
      <c r="DSZ4094" s="909"/>
      <c r="DTA4094" s="909"/>
      <c r="DTB4094" s="909"/>
      <c r="DTC4094" s="909"/>
      <c r="DTD4094" s="909"/>
      <c r="DTE4094" s="907" t="s">
        <v>79</v>
      </c>
      <c r="DTF4094" s="909" t="s">
        <v>68</v>
      </c>
      <c r="DTG4094" s="910" t="s">
        <v>75</v>
      </c>
      <c r="DTH4094" s="911"/>
      <c r="DTI4094" s="911"/>
      <c r="DTJ4094" s="911"/>
      <c r="DTK4094" s="911"/>
      <c r="DTL4094" s="911"/>
      <c r="DTM4094" s="911"/>
      <c r="DTN4094" s="911"/>
      <c r="DTO4094" s="911"/>
      <c r="DTP4094" s="911"/>
      <c r="DTQ4094" s="32"/>
      <c r="DTR4094" s="911" t="s">
        <v>74</v>
      </c>
      <c r="DTS4094" s="911"/>
      <c r="DTT4094" s="911"/>
      <c r="DTU4094" s="911"/>
      <c r="DTV4094" s="911"/>
      <c r="DTW4094" s="911"/>
      <c r="DTX4094" s="911"/>
      <c r="DTY4094" s="911"/>
      <c r="DTZ4094" s="911"/>
      <c r="DUA4094" s="912"/>
      <c r="DUC4094" s="913" t="s">
        <v>1</v>
      </c>
      <c r="DUD4094" s="31"/>
      <c r="DUE4094" s="909" t="s">
        <v>0</v>
      </c>
      <c r="DUF4094" s="909"/>
      <c r="DUG4094" s="909"/>
      <c r="DUH4094" s="909"/>
      <c r="DUI4094" s="909"/>
      <c r="DUJ4094" s="909"/>
      <c r="DUK4094" s="907" t="s">
        <v>79</v>
      </c>
      <c r="DUL4094" s="909" t="s">
        <v>68</v>
      </c>
      <c r="DUM4094" s="910" t="s">
        <v>75</v>
      </c>
      <c r="DUN4094" s="911"/>
      <c r="DUO4094" s="911"/>
      <c r="DUP4094" s="911"/>
      <c r="DUQ4094" s="911"/>
      <c r="DUR4094" s="911"/>
      <c r="DUS4094" s="911"/>
      <c r="DUT4094" s="911"/>
      <c r="DUU4094" s="911"/>
      <c r="DUV4094" s="911"/>
      <c r="DUW4094" s="32"/>
      <c r="DUX4094" s="911" t="s">
        <v>74</v>
      </c>
      <c r="DUY4094" s="911"/>
      <c r="DUZ4094" s="911"/>
      <c r="DVA4094" s="911"/>
      <c r="DVB4094" s="911"/>
      <c r="DVC4094" s="911"/>
      <c r="DVD4094" s="911"/>
      <c r="DVE4094" s="911"/>
      <c r="DVF4094" s="911"/>
      <c r="DVG4094" s="912"/>
      <c r="DVI4094" s="913" t="s">
        <v>1</v>
      </c>
      <c r="DVJ4094" s="31"/>
      <c r="DVK4094" s="909" t="s">
        <v>0</v>
      </c>
      <c r="DVL4094" s="909"/>
      <c r="DVM4094" s="909"/>
      <c r="DVN4094" s="909"/>
      <c r="DVO4094" s="909"/>
      <c r="DVP4094" s="909"/>
      <c r="DVQ4094" s="907" t="s">
        <v>79</v>
      </c>
      <c r="DVR4094" s="909" t="s">
        <v>68</v>
      </c>
      <c r="DVS4094" s="910" t="s">
        <v>75</v>
      </c>
      <c r="DVT4094" s="911"/>
      <c r="DVU4094" s="911"/>
      <c r="DVV4094" s="911"/>
      <c r="DVW4094" s="911"/>
      <c r="DVX4094" s="911"/>
      <c r="DVY4094" s="911"/>
      <c r="DVZ4094" s="911"/>
      <c r="DWA4094" s="911"/>
      <c r="DWB4094" s="911"/>
      <c r="DWC4094" s="32"/>
      <c r="DWD4094" s="911" t="s">
        <v>74</v>
      </c>
      <c r="DWE4094" s="911"/>
      <c r="DWF4094" s="911"/>
      <c r="DWG4094" s="911"/>
      <c r="DWH4094" s="911"/>
      <c r="DWI4094" s="911"/>
      <c r="DWJ4094" s="911"/>
      <c r="DWK4094" s="911"/>
      <c r="DWL4094" s="911"/>
      <c r="DWM4094" s="912"/>
      <c r="DWO4094" s="913" t="s">
        <v>1</v>
      </c>
      <c r="DWP4094" s="31"/>
      <c r="DWQ4094" s="909" t="s">
        <v>0</v>
      </c>
      <c r="DWR4094" s="909"/>
      <c r="DWS4094" s="909"/>
      <c r="DWT4094" s="909"/>
      <c r="DWU4094" s="909"/>
      <c r="DWV4094" s="909"/>
      <c r="DWW4094" s="907" t="s">
        <v>79</v>
      </c>
      <c r="DWX4094" s="909" t="s">
        <v>68</v>
      </c>
      <c r="DWY4094" s="910" t="s">
        <v>75</v>
      </c>
      <c r="DWZ4094" s="911"/>
      <c r="DXA4094" s="911"/>
      <c r="DXB4094" s="911"/>
      <c r="DXC4094" s="911"/>
      <c r="DXD4094" s="911"/>
      <c r="DXE4094" s="911"/>
      <c r="DXF4094" s="911"/>
      <c r="DXG4094" s="911"/>
      <c r="DXH4094" s="911"/>
      <c r="DXI4094" s="32"/>
      <c r="DXJ4094" s="911" t="s">
        <v>74</v>
      </c>
      <c r="DXK4094" s="911"/>
      <c r="DXL4094" s="911"/>
      <c r="DXM4094" s="911"/>
      <c r="DXN4094" s="911"/>
      <c r="DXO4094" s="911"/>
      <c r="DXP4094" s="911"/>
      <c r="DXQ4094" s="911"/>
      <c r="DXR4094" s="911"/>
      <c r="DXS4094" s="912"/>
      <c r="DXU4094" s="913" t="s">
        <v>1</v>
      </c>
      <c r="DXV4094" s="31"/>
      <c r="DXW4094" s="909" t="s">
        <v>0</v>
      </c>
      <c r="DXX4094" s="909"/>
      <c r="DXY4094" s="909"/>
      <c r="DXZ4094" s="909"/>
      <c r="DYA4094" s="909"/>
      <c r="DYB4094" s="909"/>
      <c r="DYC4094" s="907" t="s">
        <v>79</v>
      </c>
      <c r="DYD4094" s="909" t="s">
        <v>68</v>
      </c>
      <c r="DYE4094" s="910" t="s">
        <v>75</v>
      </c>
      <c r="DYF4094" s="911"/>
      <c r="DYG4094" s="911"/>
      <c r="DYH4094" s="911"/>
      <c r="DYI4094" s="911"/>
      <c r="DYJ4094" s="911"/>
      <c r="DYK4094" s="911"/>
      <c r="DYL4094" s="911"/>
      <c r="DYM4094" s="911"/>
      <c r="DYN4094" s="911"/>
      <c r="DYO4094" s="32"/>
      <c r="DYP4094" s="911" t="s">
        <v>74</v>
      </c>
      <c r="DYQ4094" s="911"/>
      <c r="DYR4094" s="911"/>
      <c r="DYS4094" s="911"/>
      <c r="DYT4094" s="911"/>
      <c r="DYU4094" s="911"/>
      <c r="DYV4094" s="911"/>
      <c r="DYW4094" s="911"/>
      <c r="DYX4094" s="911"/>
      <c r="DYY4094" s="912"/>
      <c r="DZA4094" s="913" t="s">
        <v>1</v>
      </c>
      <c r="DZB4094" s="31"/>
      <c r="DZC4094" s="909" t="s">
        <v>0</v>
      </c>
      <c r="DZD4094" s="909"/>
      <c r="DZE4094" s="909"/>
      <c r="DZF4094" s="909"/>
      <c r="DZG4094" s="909"/>
      <c r="DZH4094" s="909"/>
      <c r="DZI4094" s="907" t="s">
        <v>79</v>
      </c>
      <c r="DZJ4094" s="909" t="s">
        <v>68</v>
      </c>
      <c r="DZK4094" s="910" t="s">
        <v>75</v>
      </c>
      <c r="DZL4094" s="911"/>
      <c r="DZM4094" s="911"/>
      <c r="DZN4094" s="911"/>
      <c r="DZO4094" s="911"/>
      <c r="DZP4094" s="911"/>
      <c r="DZQ4094" s="911"/>
      <c r="DZR4094" s="911"/>
      <c r="DZS4094" s="911"/>
      <c r="DZT4094" s="911"/>
      <c r="DZU4094" s="32"/>
      <c r="DZV4094" s="911" t="s">
        <v>74</v>
      </c>
      <c r="DZW4094" s="911"/>
      <c r="DZX4094" s="911"/>
      <c r="DZY4094" s="911"/>
      <c r="DZZ4094" s="911"/>
      <c r="EAA4094" s="911"/>
      <c r="EAB4094" s="911"/>
      <c r="EAC4094" s="911"/>
      <c r="EAD4094" s="911"/>
      <c r="EAE4094" s="912"/>
      <c r="EAG4094" s="913" t="s">
        <v>1</v>
      </c>
      <c r="EAH4094" s="31"/>
      <c r="EAI4094" s="909" t="s">
        <v>0</v>
      </c>
      <c r="EAJ4094" s="909"/>
      <c r="EAK4094" s="909"/>
      <c r="EAL4094" s="909"/>
      <c r="EAM4094" s="909"/>
      <c r="EAN4094" s="909"/>
      <c r="EAO4094" s="907" t="s">
        <v>79</v>
      </c>
      <c r="EAP4094" s="909" t="s">
        <v>68</v>
      </c>
      <c r="EAQ4094" s="910" t="s">
        <v>75</v>
      </c>
      <c r="EAR4094" s="911"/>
      <c r="EAS4094" s="911"/>
      <c r="EAT4094" s="911"/>
      <c r="EAU4094" s="911"/>
      <c r="EAV4094" s="911"/>
      <c r="EAW4094" s="911"/>
      <c r="EAX4094" s="911"/>
      <c r="EAY4094" s="911"/>
      <c r="EAZ4094" s="911"/>
      <c r="EBA4094" s="32"/>
      <c r="EBB4094" s="911" t="s">
        <v>74</v>
      </c>
      <c r="EBC4094" s="911"/>
      <c r="EBD4094" s="911"/>
      <c r="EBE4094" s="911"/>
      <c r="EBF4094" s="911"/>
      <c r="EBG4094" s="911"/>
      <c r="EBH4094" s="911"/>
      <c r="EBI4094" s="911"/>
      <c r="EBJ4094" s="911"/>
      <c r="EBK4094" s="912"/>
      <c r="EBM4094" s="913" t="s">
        <v>1</v>
      </c>
      <c r="EBN4094" s="31"/>
      <c r="EBO4094" s="909" t="s">
        <v>0</v>
      </c>
      <c r="EBP4094" s="909"/>
      <c r="EBQ4094" s="909"/>
      <c r="EBR4094" s="909"/>
      <c r="EBS4094" s="909"/>
      <c r="EBT4094" s="909"/>
      <c r="EBU4094" s="907" t="s">
        <v>79</v>
      </c>
      <c r="EBV4094" s="909" t="s">
        <v>68</v>
      </c>
      <c r="EBW4094" s="910" t="s">
        <v>75</v>
      </c>
      <c r="EBX4094" s="911"/>
      <c r="EBY4094" s="911"/>
      <c r="EBZ4094" s="911"/>
      <c r="ECA4094" s="911"/>
      <c r="ECB4094" s="911"/>
      <c r="ECC4094" s="911"/>
      <c r="ECD4094" s="911"/>
      <c r="ECE4094" s="911"/>
      <c r="ECF4094" s="911"/>
      <c r="ECG4094" s="32"/>
      <c r="ECH4094" s="911" t="s">
        <v>74</v>
      </c>
      <c r="ECI4094" s="911"/>
      <c r="ECJ4094" s="911"/>
      <c r="ECK4094" s="911"/>
      <c r="ECL4094" s="911"/>
      <c r="ECM4094" s="911"/>
      <c r="ECN4094" s="911"/>
      <c r="ECO4094" s="911"/>
      <c r="ECP4094" s="911"/>
      <c r="ECQ4094" s="912"/>
      <c r="ECS4094" s="913" t="s">
        <v>1</v>
      </c>
      <c r="ECT4094" s="31"/>
      <c r="ECU4094" s="909" t="s">
        <v>0</v>
      </c>
      <c r="ECV4094" s="909"/>
      <c r="ECW4094" s="909"/>
      <c r="ECX4094" s="909"/>
      <c r="ECY4094" s="909"/>
      <c r="ECZ4094" s="909"/>
      <c r="EDA4094" s="907" t="s">
        <v>79</v>
      </c>
      <c r="EDB4094" s="909" t="s">
        <v>68</v>
      </c>
      <c r="EDC4094" s="910" t="s">
        <v>75</v>
      </c>
      <c r="EDD4094" s="911"/>
      <c r="EDE4094" s="911"/>
      <c r="EDF4094" s="911"/>
      <c r="EDG4094" s="911"/>
      <c r="EDH4094" s="911"/>
      <c r="EDI4094" s="911"/>
      <c r="EDJ4094" s="911"/>
      <c r="EDK4094" s="911"/>
      <c r="EDL4094" s="911"/>
      <c r="EDM4094" s="32"/>
      <c r="EDN4094" s="911" t="s">
        <v>74</v>
      </c>
      <c r="EDO4094" s="911"/>
      <c r="EDP4094" s="911"/>
      <c r="EDQ4094" s="911"/>
      <c r="EDR4094" s="911"/>
      <c r="EDS4094" s="911"/>
      <c r="EDT4094" s="911"/>
      <c r="EDU4094" s="911"/>
      <c r="EDV4094" s="911"/>
      <c r="EDW4094" s="912"/>
      <c r="EDY4094" s="913" t="s">
        <v>1</v>
      </c>
      <c r="EDZ4094" s="31"/>
      <c r="EEA4094" s="909" t="s">
        <v>0</v>
      </c>
      <c r="EEB4094" s="909"/>
      <c r="EEC4094" s="909"/>
      <c r="EED4094" s="909"/>
      <c r="EEE4094" s="909"/>
      <c r="EEF4094" s="909"/>
      <c r="EEG4094" s="907" t="s">
        <v>79</v>
      </c>
      <c r="EEH4094" s="909" t="s">
        <v>68</v>
      </c>
      <c r="EEI4094" s="910" t="s">
        <v>75</v>
      </c>
      <c r="EEJ4094" s="911"/>
      <c r="EEK4094" s="911"/>
      <c r="EEL4094" s="911"/>
      <c r="EEM4094" s="911"/>
      <c r="EEN4094" s="911"/>
      <c r="EEO4094" s="911"/>
      <c r="EEP4094" s="911"/>
      <c r="EEQ4094" s="911"/>
      <c r="EER4094" s="911"/>
      <c r="EES4094" s="32"/>
      <c r="EET4094" s="911" t="s">
        <v>74</v>
      </c>
      <c r="EEU4094" s="911"/>
      <c r="EEV4094" s="911"/>
      <c r="EEW4094" s="911"/>
      <c r="EEX4094" s="911"/>
      <c r="EEY4094" s="911"/>
      <c r="EEZ4094" s="911"/>
      <c r="EFA4094" s="911"/>
      <c r="EFB4094" s="911"/>
      <c r="EFC4094" s="912"/>
      <c r="EFE4094" s="913" t="s">
        <v>1</v>
      </c>
      <c r="EFF4094" s="31"/>
      <c r="EFG4094" s="909" t="s">
        <v>0</v>
      </c>
      <c r="EFH4094" s="909"/>
      <c r="EFI4094" s="909"/>
      <c r="EFJ4094" s="909"/>
      <c r="EFK4094" s="909"/>
      <c r="EFL4094" s="909"/>
      <c r="EFM4094" s="907" t="s">
        <v>79</v>
      </c>
      <c r="EFN4094" s="909" t="s">
        <v>68</v>
      </c>
      <c r="EFO4094" s="910" t="s">
        <v>75</v>
      </c>
      <c r="EFP4094" s="911"/>
      <c r="EFQ4094" s="911"/>
      <c r="EFR4094" s="911"/>
      <c r="EFS4094" s="911"/>
      <c r="EFT4094" s="911"/>
      <c r="EFU4094" s="911"/>
      <c r="EFV4094" s="911"/>
      <c r="EFW4094" s="911"/>
      <c r="EFX4094" s="911"/>
      <c r="EFY4094" s="32"/>
      <c r="EFZ4094" s="911" t="s">
        <v>74</v>
      </c>
      <c r="EGA4094" s="911"/>
      <c r="EGB4094" s="911"/>
      <c r="EGC4094" s="911"/>
      <c r="EGD4094" s="911"/>
      <c r="EGE4094" s="911"/>
      <c r="EGF4094" s="911"/>
      <c r="EGG4094" s="911"/>
      <c r="EGH4094" s="911"/>
      <c r="EGI4094" s="912"/>
      <c r="EGK4094" s="913" t="s">
        <v>1</v>
      </c>
      <c r="EGL4094" s="31"/>
      <c r="EGM4094" s="909" t="s">
        <v>0</v>
      </c>
      <c r="EGN4094" s="909"/>
      <c r="EGO4094" s="909"/>
      <c r="EGP4094" s="909"/>
      <c r="EGQ4094" s="909"/>
      <c r="EGR4094" s="909"/>
      <c r="EGS4094" s="907" t="s">
        <v>79</v>
      </c>
      <c r="EGT4094" s="909" t="s">
        <v>68</v>
      </c>
      <c r="EGU4094" s="910" t="s">
        <v>75</v>
      </c>
      <c r="EGV4094" s="911"/>
      <c r="EGW4094" s="911"/>
      <c r="EGX4094" s="911"/>
      <c r="EGY4094" s="911"/>
      <c r="EGZ4094" s="911"/>
      <c r="EHA4094" s="911"/>
      <c r="EHB4094" s="911"/>
      <c r="EHC4094" s="911"/>
      <c r="EHD4094" s="911"/>
      <c r="EHE4094" s="32"/>
      <c r="EHF4094" s="911" t="s">
        <v>74</v>
      </c>
      <c r="EHG4094" s="911"/>
      <c r="EHH4094" s="911"/>
      <c r="EHI4094" s="911"/>
      <c r="EHJ4094" s="911"/>
      <c r="EHK4094" s="911"/>
      <c r="EHL4094" s="911"/>
      <c r="EHM4094" s="911"/>
      <c r="EHN4094" s="911"/>
      <c r="EHO4094" s="912"/>
      <c r="EHQ4094" s="913" t="s">
        <v>1</v>
      </c>
      <c r="EHR4094" s="31"/>
      <c r="EHS4094" s="909" t="s">
        <v>0</v>
      </c>
      <c r="EHT4094" s="909"/>
      <c r="EHU4094" s="909"/>
      <c r="EHV4094" s="909"/>
      <c r="EHW4094" s="909"/>
      <c r="EHX4094" s="909"/>
      <c r="EHY4094" s="907" t="s">
        <v>79</v>
      </c>
      <c r="EHZ4094" s="909" t="s">
        <v>68</v>
      </c>
      <c r="EIA4094" s="910" t="s">
        <v>75</v>
      </c>
      <c r="EIB4094" s="911"/>
      <c r="EIC4094" s="911"/>
      <c r="EID4094" s="911"/>
      <c r="EIE4094" s="911"/>
      <c r="EIF4094" s="911"/>
      <c r="EIG4094" s="911"/>
      <c r="EIH4094" s="911"/>
      <c r="EII4094" s="911"/>
      <c r="EIJ4094" s="911"/>
      <c r="EIK4094" s="32"/>
      <c r="EIL4094" s="911" t="s">
        <v>74</v>
      </c>
      <c r="EIM4094" s="911"/>
      <c r="EIN4094" s="911"/>
      <c r="EIO4094" s="911"/>
      <c r="EIP4094" s="911"/>
      <c r="EIQ4094" s="911"/>
      <c r="EIR4094" s="911"/>
      <c r="EIS4094" s="911"/>
      <c r="EIT4094" s="911"/>
      <c r="EIU4094" s="912"/>
      <c r="EIW4094" s="913" t="s">
        <v>1</v>
      </c>
      <c r="EIX4094" s="31"/>
      <c r="EIY4094" s="909" t="s">
        <v>0</v>
      </c>
      <c r="EIZ4094" s="909"/>
      <c r="EJA4094" s="909"/>
      <c r="EJB4094" s="909"/>
      <c r="EJC4094" s="909"/>
      <c r="EJD4094" s="909"/>
      <c r="EJE4094" s="907" t="s">
        <v>79</v>
      </c>
      <c r="EJF4094" s="909" t="s">
        <v>68</v>
      </c>
      <c r="EJG4094" s="910" t="s">
        <v>75</v>
      </c>
      <c r="EJH4094" s="911"/>
      <c r="EJI4094" s="911"/>
      <c r="EJJ4094" s="911"/>
      <c r="EJK4094" s="911"/>
      <c r="EJL4094" s="911"/>
      <c r="EJM4094" s="911"/>
      <c r="EJN4094" s="911"/>
      <c r="EJO4094" s="911"/>
      <c r="EJP4094" s="911"/>
      <c r="EJQ4094" s="32"/>
      <c r="EJR4094" s="911" t="s">
        <v>74</v>
      </c>
      <c r="EJS4094" s="911"/>
      <c r="EJT4094" s="911"/>
      <c r="EJU4094" s="911"/>
      <c r="EJV4094" s="911"/>
      <c r="EJW4094" s="911"/>
      <c r="EJX4094" s="911"/>
      <c r="EJY4094" s="911"/>
      <c r="EJZ4094" s="911"/>
      <c r="EKA4094" s="912"/>
      <c r="EKC4094" s="913" t="s">
        <v>1</v>
      </c>
      <c r="EKD4094" s="31"/>
      <c r="EKE4094" s="909" t="s">
        <v>0</v>
      </c>
      <c r="EKF4094" s="909"/>
      <c r="EKG4094" s="909"/>
      <c r="EKH4094" s="909"/>
      <c r="EKI4094" s="909"/>
      <c r="EKJ4094" s="909"/>
      <c r="EKK4094" s="907" t="s">
        <v>79</v>
      </c>
      <c r="EKL4094" s="909" t="s">
        <v>68</v>
      </c>
      <c r="EKM4094" s="910" t="s">
        <v>75</v>
      </c>
      <c r="EKN4094" s="911"/>
      <c r="EKO4094" s="911"/>
      <c r="EKP4094" s="911"/>
      <c r="EKQ4094" s="911"/>
      <c r="EKR4094" s="911"/>
      <c r="EKS4094" s="911"/>
      <c r="EKT4094" s="911"/>
      <c r="EKU4094" s="911"/>
      <c r="EKV4094" s="911"/>
      <c r="EKW4094" s="32"/>
      <c r="EKX4094" s="911" t="s">
        <v>74</v>
      </c>
      <c r="EKY4094" s="911"/>
      <c r="EKZ4094" s="911"/>
      <c r="ELA4094" s="911"/>
      <c r="ELB4094" s="911"/>
      <c r="ELC4094" s="911"/>
      <c r="ELD4094" s="911"/>
      <c r="ELE4094" s="911"/>
      <c r="ELF4094" s="911"/>
      <c r="ELG4094" s="912"/>
      <c r="ELI4094" s="913" t="s">
        <v>1</v>
      </c>
      <c r="ELJ4094" s="31"/>
      <c r="ELK4094" s="909" t="s">
        <v>0</v>
      </c>
      <c r="ELL4094" s="909"/>
      <c r="ELM4094" s="909"/>
      <c r="ELN4094" s="909"/>
      <c r="ELO4094" s="909"/>
      <c r="ELP4094" s="909"/>
      <c r="ELQ4094" s="907" t="s">
        <v>79</v>
      </c>
      <c r="ELR4094" s="909" t="s">
        <v>68</v>
      </c>
      <c r="ELS4094" s="910" t="s">
        <v>75</v>
      </c>
      <c r="ELT4094" s="911"/>
      <c r="ELU4094" s="911"/>
      <c r="ELV4094" s="911"/>
      <c r="ELW4094" s="911"/>
      <c r="ELX4094" s="911"/>
      <c r="ELY4094" s="911"/>
      <c r="ELZ4094" s="911"/>
      <c r="EMA4094" s="911"/>
      <c r="EMB4094" s="911"/>
      <c r="EMC4094" s="32"/>
      <c r="EMD4094" s="911" t="s">
        <v>74</v>
      </c>
      <c r="EME4094" s="911"/>
      <c r="EMF4094" s="911"/>
      <c r="EMG4094" s="911"/>
      <c r="EMH4094" s="911"/>
      <c r="EMI4094" s="911"/>
      <c r="EMJ4094" s="911"/>
      <c r="EMK4094" s="911"/>
      <c r="EML4094" s="911"/>
      <c r="EMM4094" s="912"/>
      <c r="EMO4094" s="913" t="s">
        <v>1</v>
      </c>
      <c r="EMP4094" s="31"/>
      <c r="EMQ4094" s="909" t="s">
        <v>0</v>
      </c>
      <c r="EMR4094" s="909"/>
      <c r="EMS4094" s="909"/>
      <c r="EMT4094" s="909"/>
      <c r="EMU4094" s="909"/>
      <c r="EMV4094" s="909"/>
      <c r="EMW4094" s="907" t="s">
        <v>79</v>
      </c>
      <c r="EMX4094" s="909" t="s">
        <v>68</v>
      </c>
      <c r="EMY4094" s="910" t="s">
        <v>75</v>
      </c>
      <c r="EMZ4094" s="911"/>
      <c r="ENA4094" s="911"/>
      <c r="ENB4094" s="911"/>
      <c r="ENC4094" s="911"/>
      <c r="END4094" s="911"/>
      <c r="ENE4094" s="911"/>
      <c r="ENF4094" s="911"/>
      <c r="ENG4094" s="911"/>
      <c r="ENH4094" s="911"/>
      <c r="ENI4094" s="32"/>
      <c r="ENJ4094" s="911" t="s">
        <v>74</v>
      </c>
      <c r="ENK4094" s="911"/>
      <c r="ENL4094" s="911"/>
      <c r="ENM4094" s="911"/>
      <c r="ENN4094" s="911"/>
      <c r="ENO4094" s="911"/>
      <c r="ENP4094" s="911"/>
      <c r="ENQ4094" s="911"/>
      <c r="ENR4094" s="911"/>
      <c r="ENS4094" s="912"/>
      <c r="ENU4094" s="913" t="s">
        <v>1</v>
      </c>
      <c r="ENV4094" s="31"/>
      <c r="ENW4094" s="909" t="s">
        <v>0</v>
      </c>
      <c r="ENX4094" s="909"/>
      <c r="ENY4094" s="909"/>
      <c r="ENZ4094" s="909"/>
      <c r="EOA4094" s="909"/>
      <c r="EOB4094" s="909"/>
      <c r="EOC4094" s="907" t="s">
        <v>79</v>
      </c>
      <c r="EOD4094" s="909" t="s">
        <v>68</v>
      </c>
      <c r="EOE4094" s="910" t="s">
        <v>75</v>
      </c>
      <c r="EOF4094" s="911"/>
      <c r="EOG4094" s="911"/>
      <c r="EOH4094" s="911"/>
      <c r="EOI4094" s="911"/>
      <c r="EOJ4094" s="911"/>
      <c r="EOK4094" s="911"/>
      <c r="EOL4094" s="911"/>
      <c r="EOM4094" s="911"/>
      <c r="EON4094" s="911"/>
      <c r="EOO4094" s="32"/>
      <c r="EOP4094" s="911" t="s">
        <v>74</v>
      </c>
      <c r="EOQ4094" s="911"/>
      <c r="EOR4094" s="911"/>
      <c r="EOS4094" s="911"/>
      <c r="EOT4094" s="911"/>
      <c r="EOU4094" s="911"/>
      <c r="EOV4094" s="911"/>
      <c r="EOW4094" s="911"/>
      <c r="EOX4094" s="911"/>
      <c r="EOY4094" s="912"/>
      <c r="EPA4094" s="913" t="s">
        <v>1</v>
      </c>
      <c r="EPB4094" s="31"/>
      <c r="EPC4094" s="909" t="s">
        <v>0</v>
      </c>
      <c r="EPD4094" s="909"/>
      <c r="EPE4094" s="909"/>
      <c r="EPF4094" s="909"/>
      <c r="EPG4094" s="909"/>
      <c r="EPH4094" s="909"/>
      <c r="EPI4094" s="907" t="s">
        <v>79</v>
      </c>
      <c r="EPJ4094" s="909" t="s">
        <v>68</v>
      </c>
      <c r="EPK4094" s="910" t="s">
        <v>75</v>
      </c>
      <c r="EPL4094" s="911"/>
      <c r="EPM4094" s="911"/>
      <c r="EPN4094" s="911"/>
      <c r="EPO4094" s="911"/>
      <c r="EPP4094" s="911"/>
      <c r="EPQ4094" s="911"/>
      <c r="EPR4094" s="911"/>
      <c r="EPS4094" s="911"/>
      <c r="EPT4094" s="911"/>
      <c r="EPU4094" s="32"/>
      <c r="EPV4094" s="911" t="s">
        <v>74</v>
      </c>
      <c r="EPW4094" s="911"/>
      <c r="EPX4094" s="911"/>
      <c r="EPY4094" s="911"/>
      <c r="EPZ4094" s="911"/>
      <c r="EQA4094" s="911"/>
      <c r="EQB4094" s="911"/>
      <c r="EQC4094" s="911"/>
      <c r="EQD4094" s="911"/>
      <c r="EQE4094" s="912"/>
      <c r="EQG4094" s="913" t="s">
        <v>1</v>
      </c>
      <c r="EQH4094" s="31"/>
      <c r="EQI4094" s="909" t="s">
        <v>0</v>
      </c>
      <c r="EQJ4094" s="909"/>
      <c r="EQK4094" s="909"/>
      <c r="EQL4094" s="909"/>
      <c r="EQM4094" s="909"/>
      <c r="EQN4094" s="909"/>
      <c r="EQO4094" s="907" t="s">
        <v>79</v>
      </c>
      <c r="EQP4094" s="909" t="s">
        <v>68</v>
      </c>
      <c r="EQQ4094" s="910" t="s">
        <v>75</v>
      </c>
      <c r="EQR4094" s="911"/>
      <c r="EQS4094" s="911"/>
      <c r="EQT4094" s="911"/>
      <c r="EQU4094" s="911"/>
      <c r="EQV4094" s="911"/>
      <c r="EQW4094" s="911"/>
      <c r="EQX4094" s="911"/>
      <c r="EQY4094" s="911"/>
      <c r="EQZ4094" s="911"/>
      <c r="ERA4094" s="32"/>
      <c r="ERB4094" s="911" t="s">
        <v>74</v>
      </c>
      <c r="ERC4094" s="911"/>
      <c r="ERD4094" s="911"/>
      <c r="ERE4094" s="911"/>
      <c r="ERF4094" s="911"/>
      <c r="ERG4094" s="911"/>
      <c r="ERH4094" s="911"/>
      <c r="ERI4094" s="911"/>
      <c r="ERJ4094" s="911"/>
      <c r="ERK4094" s="912"/>
      <c r="ERM4094" s="913" t="s">
        <v>1</v>
      </c>
      <c r="ERN4094" s="31"/>
      <c r="ERO4094" s="909" t="s">
        <v>0</v>
      </c>
      <c r="ERP4094" s="909"/>
      <c r="ERQ4094" s="909"/>
      <c r="ERR4094" s="909"/>
      <c r="ERS4094" s="909"/>
      <c r="ERT4094" s="909"/>
      <c r="ERU4094" s="907" t="s">
        <v>79</v>
      </c>
      <c r="ERV4094" s="909" t="s">
        <v>68</v>
      </c>
      <c r="ERW4094" s="910" t="s">
        <v>75</v>
      </c>
      <c r="ERX4094" s="911"/>
      <c r="ERY4094" s="911"/>
      <c r="ERZ4094" s="911"/>
      <c r="ESA4094" s="911"/>
      <c r="ESB4094" s="911"/>
      <c r="ESC4094" s="911"/>
      <c r="ESD4094" s="911"/>
      <c r="ESE4094" s="911"/>
      <c r="ESF4094" s="911"/>
      <c r="ESG4094" s="32"/>
      <c r="ESH4094" s="911" t="s">
        <v>74</v>
      </c>
      <c r="ESI4094" s="911"/>
      <c r="ESJ4094" s="911"/>
      <c r="ESK4094" s="911"/>
      <c r="ESL4094" s="911"/>
      <c r="ESM4094" s="911"/>
      <c r="ESN4094" s="911"/>
      <c r="ESO4094" s="911"/>
      <c r="ESP4094" s="911"/>
      <c r="ESQ4094" s="912"/>
      <c r="ESS4094" s="913" t="s">
        <v>1</v>
      </c>
      <c r="EST4094" s="31"/>
      <c r="ESU4094" s="909" t="s">
        <v>0</v>
      </c>
      <c r="ESV4094" s="909"/>
      <c r="ESW4094" s="909"/>
      <c r="ESX4094" s="909"/>
      <c r="ESY4094" s="909"/>
      <c r="ESZ4094" s="909"/>
      <c r="ETA4094" s="907" t="s">
        <v>79</v>
      </c>
      <c r="ETB4094" s="909" t="s">
        <v>68</v>
      </c>
      <c r="ETC4094" s="910" t="s">
        <v>75</v>
      </c>
      <c r="ETD4094" s="911"/>
      <c r="ETE4094" s="911"/>
      <c r="ETF4094" s="911"/>
      <c r="ETG4094" s="911"/>
      <c r="ETH4094" s="911"/>
      <c r="ETI4094" s="911"/>
      <c r="ETJ4094" s="911"/>
      <c r="ETK4094" s="911"/>
      <c r="ETL4094" s="911"/>
      <c r="ETM4094" s="32"/>
      <c r="ETN4094" s="911" t="s">
        <v>74</v>
      </c>
      <c r="ETO4094" s="911"/>
      <c r="ETP4094" s="911"/>
      <c r="ETQ4094" s="911"/>
      <c r="ETR4094" s="911"/>
      <c r="ETS4094" s="911"/>
      <c r="ETT4094" s="911"/>
      <c r="ETU4094" s="911"/>
      <c r="ETV4094" s="911"/>
      <c r="ETW4094" s="912"/>
      <c r="ETY4094" s="913" t="s">
        <v>1</v>
      </c>
      <c r="ETZ4094" s="31"/>
      <c r="EUA4094" s="909" t="s">
        <v>0</v>
      </c>
      <c r="EUB4094" s="909"/>
      <c r="EUC4094" s="909"/>
      <c r="EUD4094" s="909"/>
      <c r="EUE4094" s="909"/>
      <c r="EUF4094" s="909"/>
      <c r="EUG4094" s="907" t="s">
        <v>79</v>
      </c>
      <c r="EUH4094" s="909" t="s">
        <v>68</v>
      </c>
      <c r="EUI4094" s="910" t="s">
        <v>75</v>
      </c>
      <c r="EUJ4094" s="911"/>
      <c r="EUK4094" s="911"/>
      <c r="EUL4094" s="911"/>
      <c r="EUM4094" s="911"/>
      <c r="EUN4094" s="911"/>
      <c r="EUO4094" s="911"/>
      <c r="EUP4094" s="911"/>
      <c r="EUQ4094" s="911"/>
      <c r="EUR4094" s="911"/>
      <c r="EUS4094" s="32"/>
      <c r="EUT4094" s="911" t="s">
        <v>74</v>
      </c>
      <c r="EUU4094" s="911"/>
      <c r="EUV4094" s="911"/>
      <c r="EUW4094" s="911"/>
      <c r="EUX4094" s="911"/>
      <c r="EUY4094" s="911"/>
      <c r="EUZ4094" s="911"/>
      <c r="EVA4094" s="911"/>
      <c r="EVB4094" s="911"/>
      <c r="EVC4094" s="912"/>
      <c r="EVE4094" s="913" t="s">
        <v>1</v>
      </c>
      <c r="EVF4094" s="31"/>
      <c r="EVG4094" s="909" t="s">
        <v>0</v>
      </c>
      <c r="EVH4094" s="909"/>
      <c r="EVI4094" s="909"/>
      <c r="EVJ4094" s="909"/>
      <c r="EVK4094" s="909"/>
      <c r="EVL4094" s="909"/>
      <c r="EVM4094" s="907" t="s">
        <v>79</v>
      </c>
      <c r="EVN4094" s="909" t="s">
        <v>68</v>
      </c>
      <c r="EVO4094" s="910" t="s">
        <v>75</v>
      </c>
      <c r="EVP4094" s="911"/>
      <c r="EVQ4094" s="911"/>
      <c r="EVR4094" s="911"/>
      <c r="EVS4094" s="911"/>
      <c r="EVT4094" s="911"/>
      <c r="EVU4094" s="911"/>
      <c r="EVV4094" s="911"/>
      <c r="EVW4094" s="911"/>
      <c r="EVX4094" s="911"/>
      <c r="EVY4094" s="32"/>
      <c r="EVZ4094" s="911" t="s">
        <v>74</v>
      </c>
      <c r="EWA4094" s="911"/>
      <c r="EWB4094" s="911"/>
      <c r="EWC4094" s="911"/>
      <c r="EWD4094" s="911"/>
      <c r="EWE4094" s="911"/>
      <c r="EWF4094" s="911"/>
      <c r="EWG4094" s="911"/>
      <c r="EWH4094" s="911"/>
      <c r="EWI4094" s="912"/>
      <c r="EWK4094" s="913" t="s">
        <v>1</v>
      </c>
      <c r="EWL4094" s="31"/>
      <c r="EWM4094" s="909" t="s">
        <v>0</v>
      </c>
      <c r="EWN4094" s="909"/>
      <c r="EWO4094" s="909"/>
      <c r="EWP4094" s="909"/>
      <c r="EWQ4094" s="909"/>
      <c r="EWR4094" s="909"/>
      <c r="EWS4094" s="907" t="s">
        <v>79</v>
      </c>
      <c r="EWT4094" s="909" t="s">
        <v>68</v>
      </c>
      <c r="EWU4094" s="910" t="s">
        <v>75</v>
      </c>
      <c r="EWV4094" s="911"/>
      <c r="EWW4094" s="911"/>
      <c r="EWX4094" s="911"/>
      <c r="EWY4094" s="911"/>
      <c r="EWZ4094" s="911"/>
      <c r="EXA4094" s="911"/>
      <c r="EXB4094" s="911"/>
      <c r="EXC4094" s="911"/>
      <c r="EXD4094" s="911"/>
      <c r="EXE4094" s="32"/>
      <c r="EXF4094" s="911" t="s">
        <v>74</v>
      </c>
      <c r="EXG4094" s="911"/>
      <c r="EXH4094" s="911"/>
      <c r="EXI4094" s="911"/>
      <c r="EXJ4094" s="911"/>
      <c r="EXK4094" s="911"/>
      <c r="EXL4094" s="911"/>
      <c r="EXM4094" s="911"/>
      <c r="EXN4094" s="911"/>
      <c r="EXO4094" s="912"/>
      <c r="EXQ4094" s="913" t="s">
        <v>1</v>
      </c>
      <c r="EXR4094" s="31"/>
      <c r="EXS4094" s="909" t="s">
        <v>0</v>
      </c>
      <c r="EXT4094" s="909"/>
      <c r="EXU4094" s="909"/>
      <c r="EXV4094" s="909"/>
      <c r="EXW4094" s="909"/>
      <c r="EXX4094" s="909"/>
      <c r="EXY4094" s="907" t="s">
        <v>79</v>
      </c>
      <c r="EXZ4094" s="909" t="s">
        <v>68</v>
      </c>
      <c r="EYA4094" s="910" t="s">
        <v>75</v>
      </c>
      <c r="EYB4094" s="911"/>
      <c r="EYC4094" s="911"/>
      <c r="EYD4094" s="911"/>
      <c r="EYE4094" s="911"/>
      <c r="EYF4094" s="911"/>
      <c r="EYG4094" s="911"/>
      <c r="EYH4094" s="911"/>
      <c r="EYI4094" s="911"/>
      <c r="EYJ4094" s="911"/>
      <c r="EYK4094" s="32"/>
      <c r="EYL4094" s="911" t="s">
        <v>74</v>
      </c>
      <c r="EYM4094" s="911"/>
      <c r="EYN4094" s="911"/>
      <c r="EYO4094" s="911"/>
      <c r="EYP4094" s="911"/>
      <c r="EYQ4094" s="911"/>
      <c r="EYR4094" s="911"/>
      <c r="EYS4094" s="911"/>
      <c r="EYT4094" s="911"/>
      <c r="EYU4094" s="912"/>
      <c r="EYW4094" s="913" t="s">
        <v>1</v>
      </c>
      <c r="EYX4094" s="31"/>
      <c r="EYY4094" s="909" t="s">
        <v>0</v>
      </c>
      <c r="EYZ4094" s="909"/>
      <c r="EZA4094" s="909"/>
      <c r="EZB4094" s="909"/>
      <c r="EZC4094" s="909"/>
      <c r="EZD4094" s="909"/>
      <c r="EZE4094" s="907" t="s">
        <v>79</v>
      </c>
      <c r="EZF4094" s="909" t="s">
        <v>68</v>
      </c>
      <c r="EZG4094" s="910" t="s">
        <v>75</v>
      </c>
      <c r="EZH4094" s="911"/>
      <c r="EZI4094" s="911"/>
      <c r="EZJ4094" s="911"/>
      <c r="EZK4094" s="911"/>
      <c r="EZL4094" s="911"/>
      <c r="EZM4094" s="911"/>
      <c r="EZN4094" s="911"/>
      <c r="EZO4094" s="911"/>
      <c r="EZP4094" s="911"/>
      <c r="EZQ4094" s="32"/>
      <c r="EZR4094" s="911" t="s">
        <v>74</v>
      </c>
      <c r="EZS4094" s="911"/>
      <c r="EZT4094" s="911"/>
      <c r="EZU4094" s="911"/>
      <c r="EZV4094" s="911"/>
      <c r="EZW4094" s="911"/>
      <c r="EZX4094" s="911"/>
      <c r="EZY4094" s="911"/>
      <c r="EZZ4094" s="911"/>
      <c r="FAA4094" s="912"/>
      <c r="FAC4094" s="913" t="s">
        <v>1</v>
      </c>
      <c r="FAD4094" s="31"/>
      <c r="FAE4094" s="909" t="s">
        <v>0</v>
      </c>
      <c r="FAF4094" s="909"/>
      <c r="FAG4094" s="909"/>
      <c r="FAH4094" s="909"/>
      <c r="FAI4094" s="909"/>
      <c r="FAJ4094" s="909"/>
      <c r="FAK4094" s="907" t="s">
        <v>79</v>
      </c>
      <c r="FAL4094" s="909" t="s">
        <v>68</v>
      </c>
      <c r="FAM4094" s="910" t="s">
        <v>75</v>
      </c>
      <c r="FAN4094" s="911"/>
      <c r="FAO4094" s="911"/>
      <c r="FAP4094" s="911"/>
      <c r="FAQ4094" s="911"/>
      <c r="FAR4094" s="911"/>
      <c r="FAS4094" s="911"/>
      <c r="FAT4094" s="911"/>
      <c r="FAU4094" s="911"/>
      <c r="FAV4094" s="911"/>
      <c r="FAW4094" s="32"/>
      <c r="FAX4094" s="911" t="s">
        <v>74</v>
      </c>
      <c r="FAY4094" s="911"/>
      <c r="FAZ4094" s="911"/>
      <c r="FBA4094" s="911"/>
      <c r="FBB4094" s="911"/>
      <c r="FBC4094" s="911"/>
      <c r="FBD4094" s="911"/>
      <c r="FBE4094" s="911"/>
      <c r="FBF4094" s="911"/>
      <c r="FBG4094" s="912"/>
      <c r="FBI4094" s="913" t="s">
        <v>1</v>
      </c>
      <c r="FBJ4094" s="31"/>
      <c r="FBK4094" s="909" t="s">
        <v>0</v>
      </c>
      <c r="FBL4094" s="909"/>
      <c r="FBM4094" s="909"/>
      <c r="FBN4094" s="909"/>
      <c r="FBO4094" s="909"/>
      <c r="FBP4094" s="909"/>
      <c r="FBQ4094" s="907" t="s">
        <v>79</v>
      </c>
      <c r="FBR4094" s="909" t="s">
        <v>68</v>
      </c>
      <c r="FBS4094" s="910" t="s">
        <v>75</v>
      </c>
      <c r="FBT4094" s="911"/>
      <c r="FBU4094" s="911"/>
      <c r="FBV4094" s="911"/>
      <c r="FBW4094" s="911"/>
      <c r="FBX4094" s="911"/>
      <c r="FBY4094" s="911"/>
      <c r="FBZ4094" s="911"/>
      <c r="FCA4094" s="911"/>
      <c r="FCB4094" s="911"/>
      <c r="FCC4094" s="32"/>
      <c r="FCD4094" s="911" t="s">
        <v>74</v>
      </c>
      <c r="FCE4094" s="911"/>
      <c r="FCF4094" s="911"/>
      <c r="FCG4094" s="911"/>
      <c r="FCH4094" s="911"/>
      <c r="FCI4094" s="911"/>
      <c r="FCJ4094" s="911"/>
      <c r="FCK4094" s="911"/>
      <c r="FCL4094" s="911"/>
      <c r="FCM4094" s="912"/>
      <c r="FCO4094" s="913" t="s">
        <v>1</v>
      </c>
      <c r="FCP4094" s="31"/>
      <c r="FCQ4094" s="909" t="s">
        <v>0</v>
      </c>
      <c r="FCR4094" s="909"/>
      <c r="FCS4094" s="909"/>
      <c r="FCT4094" s="909"/>
      <c r="FCU4094" s="909"/>
      <c r="FCV4094" s="909"/>
      <c r="FCW4094" s="907" t="s">
        <v>79</v>
      </c>
      <c r="FCX4094" s="909" t="s">
        <v>68</v>
      </c>
      <c r="FCY4094" s="910" t="s">
        <v>75</v>
      </c>
      <c r="FCZ4094" s="911"/>
      <c r="FDA4094" s="911"/>
      <c r="FDB4094" s="911"/>
      <c r="FDC4094" s="911"/>
      <c r="FDD4094" s="911"/>
      <c r="FDE4094" s="911"/>
      <c r="FDF4094" s="911"/>
      <c r="FDG4094" s="911"/>
      <c r="FDH4094" s="911"/>
      <c r="FDI4094" s="32"/>
      <c r="FDJ4094" s="911" t="s">
        <v>74</v>
      </c>
      <c r="FDK4094" s="911"/>
      <c r="FDL4094" s="911"/>
      <c r="FDM4094" s="911"/>
      <c r="FDN4094" s="911"/>
      <c r="FDO4094" s="911"/>
      <c r="FDP4094" s="911"/>
      <c r="FDQ4094" s="911"/>
      <c r="FDR4094" s="911"/>
      <c r="FDS4094" s="912"/>
      <c r="FDU4094" s="913" t="s">
        <v>1</v>
      </c>
      <c r="FDV4094" s="31"/>
      <c r="FDW4094" s="909" t="s">
        <v>0</v>
      </c>
      <c r="FDX4094" s="909"/>
      <c r="FDY4094" s="909"/>
      <c r="FDZ4094" s="909"/>
      <c r="FEA4094" s="909"/>
      <c r="FEB4094" s="909"/>
      <c r="FEC4094" s="907" t="s">
        <v>79</v>
      </c>
      <c r="FED4094" s="909" t="s">
        <v>68</v>
      </c>
      <c r="FEE4094" s="910" t="s">
        <v>75</v>
      </c>
      <c r="FEF4094" s="911"/>
      <c r="FEG4094" s="911"/>
      <c r="FEH4094" s="911"/>
      <c r="FEI4094" s="911"/>
      <c r="FEJ4094" s="911"/>
      <c r="FEK4094" s="911"/>
      <c r="FEL4094" s="911"/>
      <c r="FEM4094" s="911"/>
      <c r="FEN4094" s="911"/>
      <c r="FEO4094" s="32"/>
      <c r="FEP4094" s="911" t="s">
        <v>74</v>
      </c>
      <c r="FEQ4094" s="911"/>
      <c r="FER4094" s="911"/>
      <c r="FES4094" s="911"/>
      <c r="FET4094" s="911"/>
      <c r="FEU4094" s="911"/>
      <c r="FEV4094" s="911"/>
      <c r="FEW4094" s="911"/>
      <c r="FEX4094" s="911"/>
      <c r="FEY4094" s="912"/>
      <c r="FFA4094" s="913" t="s">
        <v>1</v>
      </c>
      <c r="FFB4094" s="31"/>
      <c r="FFC4094" s="909" t="s">
        <v>0</v>
      </c>
      <c r="FFD4094" s="909"/>
      <c r="FFE4094" s="909"/>
      <c r="FFF4094" s="909"/>
      <c r="FFG4094" s="909"/>
      <c r="FFH4094" s="909"/>
      <c r="FFI4094" s="907" t="s">
        <v>79</v>
      </c>
      <c r="FFJ4094" s="909" t="s">
        <v>68</v>
      </c>
      <c r="FFK4094" s="910" t="s">
        <v>75</v>
      </c>
      <c r="FFL4094" s="911"/>
      <c r="FFM4094" s="911"/>
      <c r="FFN4094" s="911"/>
      <c r="FFO4094" s="911"/>
      <c r="FFP4094" s="911"/>
      <c r="FFQ4094" s="911"/>
      <c r="FFR4094" s="911"/>
      <c r="FFS4094" s="911"/>
      <c r="FFT4094" s="911"/>
      <c r="FFU4094" s="32"/>
      <c r="FFV4094" s="911" t="s">
        <v>74</v>
      </c>
      <c r="FFW4094" s="911"/>
      <c r="FFX4094" s="911"/>
      <c r="FFY4094" s="911"/>
      <c r="FFZ4094" s="911"/>
      <c r="FGA4094" s="911"/>
      <c r="FGB4094" s="911"/>
      <c r="FGC4094" s="911"/>
      <c r="FGD4094" s="911"/>
      <c r="FGE4094" s="912"/>
      <c r="FGG4094" s="913" t="s">
        <v>1</v>
      </c>
      <c r="FGH4094" s="31"/>
      <c r="FGI4094" s="909" t="s">
        <v>0</v>
      </c>
      <c r="FGJ4094" s="909"/>
      <c r="FGK4094" s="909"/>
      <c r="FGL4094" s="909"/>
      <c r="FGM4094" s="909"/>
      <c r="FGN4094" s="909"/>
      <c r="FGO4094" s="907" t="s">
        <v>79</v>
      </c>
      <c r="FGP4094" s="909" t="s">
        <v>68</v>
      </c>
      <c r="FGQ4094" s="910" t="s">
        <v>75</v>
      </c>
      <c r="FGR4094" s="911"/>
      <c r="FGS4094" s="911"/>
      <c r="FGT4094" s="911"/>
      <c r="FGU4094" s="911"/>
      <c r="FGV4094" s="911"/>
      <c r="FGW4094" s="911"/>
      <c r="FGX4094" s="911"/>
      <c r="FGY4094" s="911"/>
      <c r="FGZ4094" s="911"/>
      <c r="FHA4094" s="32"/>
      <c r="FHB4094" s="911" t="s">
        <v>74</v>
      </c>
      <c r="FHC4094" s="911"/>
      <c r="FHD4094" s="911"/>
      <c r="FHE4094" s="911"/>
      <c r="FHF4094" s="911"/>
      <c r="FHG4094" s="911"/>
      <c r="FHH4094" s="911"/>
      <c r="FHI4094" s="911"/>
      <c r="FHJ4094" s="911"/>
      <c r="FHK4094" s="912"/>
      <c r="FHM4094" s="913" t="s">
        <v>1</v>
      </c>
      <c r="FHN4094" s="31"/>
      <c r="FHO4094" s="909" t="s">
        <v>0</v>
      </c>
      <c r="FHP4094" s="909"/>
      <c r="FHQ4094" s="909"/>
      <c r="FHR4094" s="909"/>
      <c r="FHS4094" s="909"/>
      <c r="FHT4094" s="909"/>
      <c r="FHU4094" s="907" t="s">
        <v>79</v>
      </c>
      <c r="FHV4094" s="909" t="s">
        <v>68</v>
      </c>
      <c r="FHW4094" s="910" t="s">
        <v>75</v>
      </c>
      <c r="FHX4094" s="911"/>
      <c r="FHY4094" s="911"/>
      <c r="FHZ4094" s="911"/>
      <c r="FIA4094" s="911"/>
      <c r="FIB4094" s="911"/>
      <c r="FIC4094" s="911"/>
      <c r="FID4094" s="911"/>
      <c r="FIE4094" s="911"/>
      <c r="FIF4094" s="911"/>
      <c r="FIG4094" s="32"/>
      <c r="FIH4094" s="911" t="s">
        <v>74</v>
      </c>
      <c r="FII4094" s="911"/>
      <c r="FIJ4094" s="911"/>
      <c r="FIK4094" s="911"/>
      <c r="FIL4094" s="911"/>
      <c r="FIM4094" s="911"/>
      <c r="FIN4094" s="911"/>
      <c r="FIO4094" s="911"/>
      <c r="FIP4094" s="911"/>
      <c r="FIQ4094" s="912"/>
      <c r="FIS4094" s="913" t="s">
        <v>1</v>
      </c>
      <c r="FIT4094" s="31"/>
      <c r="FIU4094" s="909" t="s">
        <v>0</v>
      </c>
      <c r="FIV4094" s="909"/>
      <c r="FIW4094" s="909"/>
      <c r="FIX4094" s="909"/>
      <c r="FIY4094" s="909"/>
      <c r="FIZ4094" s="909"/>
      <c r="FJA4094" s="907" t="s">
        <v>79</v>
      </c>
      <c r="FJB4094" s="909" t="s">
        <v>68</v>
      </c>
      <c r="FJC4094" s="910" t="s">
        <v>75</v>
      </c>
      <c r="FJD4094" s="911"/>
      <c r="FJE4094" s="911"/>
      <c r="FJF4094" s="911"/>
      <c r="FJG4094" s="911"/>
      <c r="FJH4094" s="911"/>
      <c r="FJI4094" s="911"/>
      <c r="FJJ4094" s="911"/>
      <c r="FJK4094" s="911"/>
      <c r="FJL4094" s="911"/>
      <c r="FJM4094" s="32"/>
      <c r="FJN4094" s="911" t="s">
        <v>74</v>
      </c>
      <c r="FJO4094" s="911"/>
      <c r="FJP4094" s="911"/>
      <c r="FJQ4094" s="911"/>
      <c r="FJR4094" s="911"/>
      <c r="FJS4094" s="911"/>
      <c r="FJT4094" s="911"/>
      <c r="FJU4094" s="911"/>
      <c r="FJV4094" s="911"/>
      <c r="FJW4094" s="912"/>
      <c r="FJY4094" s="913" t="s">
        <v>1</v>
      </c>
      <c r="FJZ4094" s="31"/>
      <c r="FKA4094" s="909" t="s">
        <v>0</v>
      </c>
      <c r="FKB4094" s="909"/>
      <c r="FKC4094" s="909"/>
      <c r="FKD4094" s="909"/>
      <c r="FKE4094" s="909"/>
      <c r="FKF4094" s="909"/>
      <c r="FKG4094" s="907" t="s">
        <v>79</v>
      </c>
      <c r="FKH4094" s="909" t="s">
        <v>68</v>
      </c>
      <c r="FKI4094" s="910" t="s">
        <v>75</v>
      </c>
      <c r="FKJ4094" s="911"/>
      <c r="FKK4094" s="911"/>
      <c r="FKL4094" s="911"/>
      <c r="FKM4094" s="911"/>
      <c r="FKN4094" s="911"/>
      <c r="FKO4094" s="911"/>
      <c r="FKP4094" s="911"/>
      <c r="FKQ4094" s="911"/>
      <c r="FKR4094" s="911"/>
      <c r="FKS4094" s="32"/>
      <c r="FKT4094" s="911" t="s">
        <v>74</v>
      </c>
      <c r="FKU4094" s="911"/>
      <c r="FKV4094" s="911"/>
      <c r="FKW4094" s="911"/>
      <c r="FKX4094" s="911"/>
      <c r="FKY4094" s="911"/>
      <c r="FKZ4094" s="911"/>
      <c r="FLA4094" s="911"/>
      <c r="FLB4094" s="911"/>
      <c r="FLC4094" s="912"/>
      <c r="FLE4094" s="913" t="s">
        <v>1</v>
      </c>
      <c r="FLF4094" s="31"/>
      <c r="FLG4094" s="909" t="s">
        <v>0</v>
      </c>
      <c r="FLH4094" s="909"/>
      <c r="FLI4094" s="909"/>
      <c r="FLJ4094" s="909"/>
      <c r="FLK4094" s="909"/>
      <c r="FLL4094" s="909"/>
      <c r="FLM4094" s="907" t="s">
        <v>79</v>
      </c>
      <c r="FLN4094" s="909" t="s">
        <v>68</v>
      </c>
      <c r="FLO4094" s="910" t="s">
        <v>75</v>
      </c>
      <c r="FLP4094" s="911"/>
      <c r="FLQ4094" s="911"/>
      <c r="FLR4094" s="911"/>
      <c r="FLS4094" s="911"/>
      <c r="FLT4094" s="911"/>
      <c r="FLU4094" s="911"/>
      <c r="FLV4094" s="911"/>
      <c r="FLW4094" s="911"/>
      <c r="FLX4094" s="911"/>
      <c r="FLY4094" s="32"/>
      <c r="FLZ4094" s="911" t="s">
        <v>74</v>
      </c>
      <c r="FMA4094" s="911"/>
      <c r="FMB4094" s="911"/>
      <c r="FMC4094" s="911"/>
      <c r="FMD4094" s="911"/>
      <c r="FME4094" s="911"/>
      <c r="FMF4094" s="911"/>
      <c r="FMG4094" s="911"/>
      <c r="FMH4094" s="911"/>
      <c r="FMI4094" s="912"/>
      <c r="FMK4094" s="913" t="s">
        <v>1</v>
      </c>
      <c r="FML4094" s="31"/>
      <c r="FMM4094" s="909" t="s">
        <v>0</v>
      </c>
      <c r="FMN4094" s="909"/>
      <c r="FMO4094" s="909"/>
      <c r="FMP4094" s="909"/>
      <c r="FMQ4094" s="909"/>
      <c r="FMR4094" s="909"/>
      <c r="FMS4094" s="907" t="s">
        <v>79</v>
      </c>
      <c r="FMT4094" s="909" t="s">
        <v>68</v>
      </c>
      <c r="FMU4094" s="910" t="s">
        <v>75</v>
      </c>
      <c r="FMV4094" s="911"/>
      <c r="FMW4094" s="911"/>
      <c r="FMX4094" s="911"/>
      <c r="FMY4094" s="911"/>
      <c r="FMZ4094" s="911"/>
      <c r="FNA4094" s="911"/>
      <c r="FNB4094" s="911"/>
      <c r="FNC4094" s="911"/>
      <c r="FND4094" s="911"/>
      <c r="FNE4094" s="32"/>
      <c r="FNF4094" s="911" t="s">
        <v>74</v>
      </c>
      <c r="FNG4094" s="911"/>
      <c r="FNH4094" s="911"/>
      <c r="FNI4094" s="911"/>
      <c r="FNJ4094" s="911"/>
      <c r="FNK4094" s="911"/>
      <c r="FNL4094" s="911"/>
      <c r="FNM4094" s="911"/>
      <c r="FNN4094" s="911"/>
      <c r="FNO4094" s="912"/>
      <c r="FNQ4094" s="913" t="s">
        <v>1</v>
      </c>
      <c r="FNR4094" s="31"/>
      <c r="FNS4094" s="909" t="s">
        <v>0</v>
      </c>
      <c r="FNT4094" s="909"/>
      <c r="FNU4094" s="909"/>
      <c r="FNV4094" s="909"/>
      <c r="FNW4094" s="909"/>
      <c r="FNX4094" s="909"/>
      <c r="FNY4094" s="907" t="s">
        <v>79</v>
      </c>
      <c r="FNZ4094" s="909" t="s">
        <v>68</v>
      </c>
      <c r="FOA4094" s="910" t="s">
        <v>75</v>
      </c>
      <c r="FOB4094" s="911"/>
      <c r="FOC4094" s="911"/>
      <c r="FOD4094" s="911"/>
      <c r="FOE4094" s="911"/>
      <c r="FOF4094" s="911"/>
      <c r="FOG4094" s="911"/>
      <c r="FOH4094" s="911"/>
      <c r="FOI4094" s="911"/>
      <c r="FOJ4094" s="911"/>
      <c r="FOK4094" s="32"/>
      <c r="FOL4094" s="911" t="s">
        <v>74</v>
      </c>
      <c r="FOM4094" s="911"/>
      <c r="FON4094" s="911"/>
      <c r="FOO4094" s="911"/>
      <c r="FOP4094" s="911"/>
      <c r="FOQ4094" s="911"/>
      <c r="FOR4094" s="911"/>
      <c r="FOS4094" s="911"/>
      <c r="FOT4094" s="911"/>
      <c r="FOU4094" s="912"/>
      <c r="FOW4094" s="913" t="s">
        <v>1</v>
      </c>
      <c r="FOX4094" s="31"/>
      <c r="FOY4094" s="909" t="s">
        <v>0</v>
      </c>
      <c r="FOZ4094" s="909"/>
      <c r="FPA4094" s="909"/>
      <c r="FPB4094" s="909"/>
      <c r="FPC4094" s="909"/>
      <c r="FPD4094" s="909"/>
      <c r="FPE4094" s="907" t="s">
        <v>79</v>
      </c>
      <c r="FPF4094" s="909" t="s">
        <v>68</v>
      </c>
      <c r="FPG4094" s="910" t="s">
        <v>75</v>
      </c>
      <c r="FPH4094" s="911"/>
      <c r="FPI4094" s="911"/>
      <c r="FPJ4094" s="911"/>
      <c r="FPK4094" s="911"/>
      <c r="FPL4094" s="911"/>
      <c r="FPM4094" s="911"/>
      <c r="FPN4094" s="911"/>
      <c r="FPO4094" s="911"/>
      <c r="FPP4094" s="911"/>
      <c r="FPQ4094" s="32"/>
      <c r="FPR4094" s="911" t="s">
        <v>74</v>
      </c>
      <c r="FPS4094" s="911"/>
      <c r="FPT4094" s="911"/>
      <c r="FPU4094" s="911"/>
      <c r="FPV4094" s="911"/>
      <c r="FPW4094" s="911"/>
      <c r="FPX4094" s="911"/>
      <c r="FPY4094" s="911"/>
      <c r="FPZ4094" s="911"/>
      <c r="FQA4094" s="912"/>
      <c r="FQC4094" s="913" t="s">
        <v>1</v>
      </c>
      <c r="FQD4094" s="31"/>
      <c r="FQE4094" s="909" t="s">
        <v>0</v>
      </c>
      <c r="FQF4094" s="909"/>
      <c r="FQG4094" s="909"/>
      <c r="FQH4094" s="909"/>
      <c r="FQI4094" s="909"/>
      <c r="FQJ4094" s="909"/>
      <c r="FQK4094" s="907" t="s">
        <v>79</v>
      </c>
      <c r="FQL4094" s="909" t="s">
        <v>68</v>
      </c>
      <c r="FQM4094" s="910" t="s">
        <v>75</v>
      </c>
      <c r="FQN4094" s="911"/>
      <c r="FQO4094" s="911"/>
      <c r="FQP4094" s="911"/>
      <c r="FQQ4094" s="911"/>
      <c r="FQR4094" s="911"/>
      <c r="FQS4094" s="911"/>
      <c r="FQT4094" s="911"/>
      <c r="FQU4094" s="911"/>
      <c r="FQV4094" s="911"/>
      <c r="FQW4094" s="32"/>
      <c r="FQX4094" s="911" t="s">
        <v>74</v>
      </c>
      <c r="FQY4094" s="911"/>
      <c r="FQZ4094" s="911"/>
      <c r="FRA4094" s="911"/>
      <c r="FRB4094" s="911"/>
      <c r="FRC4094" s="911"/>
      <c r="FRD4094" s="911"/>
      <c r="FRE4094" s="911"/>
      <c r="FRF4094" s="911"/>
      <c r="FRG4094" s="912"/>
      <c r="FRI4094" s="913" t="s">
        <v>1</v>
      </c>
      <c r="FRJ4094" s="31"/>
      <c r="FRK4094" s="909" t="s">
        <v>0</v>
      </c>
      <c r="FRL4094" s="909"/>
      <c r="FRM4094" s="909"/>
      <c r="FRN4094" s="909"/>
      <c r="FRO4094" s="909"/>
      <c r="FRP4094" s="909"/>
      <c r="FRQ4094" s="907" t="s">
        <v>79</v>
      </c>
      <c r="FRR4094" s="909" t="s">
        <v>68</v>
      </c>
      <c r="FRS4094" s="910" t="s">
        <v>75</v>
      </c>
      <c r="FRT4094" s="911"/>
      <c r="FRU4094" s="911"/>
      <c r="FRV4094" s="911"/>
      <c r="FRW4094" s="911"/>
      <c r="FRX4094" s="911"/>
      <c r="FRY4094" s="911"/>
      <c r="FRZ4094" s="911"/>
      <c r="FSA4094" s="911"/>
      <c r="FSB4094" s="911"/>
      <c r="FSC4094" s="32"/>
      <c r="FSD4094" s="911" t="s">
        <v>74</v>
      </c>
      <c r="FSE4094" s="911"/>
      <c r="FSF4094" s="911"/>
      <c r="FSG4094" s="911"/>
      <c r="FSH4094" s="911"/>
      <c r="FSI4094" s="911"/>
      <c r="FSJ4094" s="911"/>
      <c r="FSK4094" s="911"/>
      <c r="FSL4094" s="911"/>
      <c r="FSM4094" s="912"/>
      <c r="FSO4094" s="913" t="s">
        <v>1</v>
      </c>
      <c r="FSP4094" s="31"/>
      <c r="FSQ4094" s="909" t="s">
        <v>0</v>
      </c>
      <c r="FSR4094" s="909"/>
      <c r="FSS4094" s="909"/>
      <c r="FST4094" s="909"/>
      <c r="FSU4094" s="909"/>
      <c r="FSV4094" s="909"/>
      <c r="FSW4094" s="907" t="s">
        <v>79</v>
      </c>
      <c r="FSX4094" s="909" t="s">
        <v>68</v>
      </c>
      <c r="FSY4094" s="910" t="s">
        <v>75</v>
      </c>
      <c r="FSZ4094" s="911"/>
      <c r="FTA4094" s="911"/>
      <c r="FTB4094" s="911"/>
      <c r="FTC4094" s="911"/>
      <c r="FTD4094" s="911"/>
      <c r="FTE4094" s="911"/>
      <c r="FTF4094" s="911"/>
      <c r="FTG4094" s="911"/>
      <c r="FTH4094" s="911"/>
      <c r="FTI4094" s="32"/>
      <c r="FTJ4094" s="911" t="s">
        <v>74</v>
      </c>
      <c r="FTK4094" s="911"/>
      <c r="FTL4094" s="911"/>
      <c r="FTM4094" s="911"/>
      <c r="FTN4094" s="911"/>
      <c r="FTO4094" s="911"/>
      <c r="FTP4094" s="911"/>
      <c r="FTQ4094" s="911"/>
      <c r="FTR4094" s="911"/>
      <c r="FTS4094" s="912"/>
      <c r="FTU4094" s="913" t="s">
        <v>1</v>
      </c>
      <c r="FTV4094" s="31"/>
      <c r="FTW4094" s="909" t="s">
        <v>0</v>
      </c>
      <c r="FTX4094" s="909"/>
      <c r="FTY4094" s="909"/>
      <c r="FTZ4094" s="909"/>
      <c r="FUA4094" s="909"/>
      <c r="FUB4094" s="909"/>
      <c r="FUC4094" s="907" t="s">
        <v>79</v>
      </c>
      <c r="FUD4094" s="909" t="s">
        <v>68</v>
      </c>
      <c r="FUE4094" s="910" t="s">
        <v>75</v>
      </c>
      <c r="FUF4094" s="911"/>
      <c r="FUG4094" s="911"/>
      <c r="FUH4094" s="911"/>
      <c r="FUI4094" s="911"/>
      <c r="FUJ4094" s="911"/>
      <c r="FUK4094" s="911"/>
      <c r="FUL4094" s="911"/>
      <c r="FUM4094" s="911"/>
      <c r="FUN4094" s="911"/>
      <c r="FUO4094" s="32"/>
      <c r="FUP4094" s="911" t="s">
        <v>74</v>
      </c>
      <c r="FUQ4094" s="911"/>
      <c r="FUR4094" s="911"/>
      <c r="FUS4094" s="911"/>
      <c r="FUT4094" s="911"/>
      <c r="FUU4094" s="911"/>
      <c r="FUV4094" s="911"/>
      <c r="FUW4094" s="911"/>
      <c r="FUX4094" s="911"/>
      <c r="FUY4094" s="912"/>
      <c r="FVA4094" s="913" t="s">
        <v>1</v>
      </c>
      <c r="FVB4094" s="31"/>
      <c r="FVC4094" s="909" t="s">
        <v>0</v>
      </c>
      <c r="FVD4094" s="909"/>
      <c r="FVE4094" s="909"/>
      <c r="FVF4094" s="909"/>
      <c r="FVG4094" s="909"/>
      <c r="FVH4094" s="909"/>
      <c r="FVI4094" s="907" t="s">
        <v>79</v>
      </c>
      <c r="FVJ4094" s="909" t="s">
        <v>68</v>
      </c>
      <c r="FVK4094" s="910" t="s">
        <v>75</v>
      </c>
      <c r="FVL4094" s="911"/>
      <c r="FVM4094" s="911"/>
      <c r="FVN4094" s="911"/>
      <c r="FVO4094" s="911"/>
      <c r="FVP4094" s="911"/>
      <c r="FVQ4094" s="911"/>
      <c r="FVR4094" s="911"/>
      <c r="FVS4094" s="911"/>
      <c r="FVT4094" s="911"/>
      <c r="FVU4094" s="32"/>
      <c r="FVV4094" s="911" t="s">
        <v>74</v>
      </c>
      <c r="FVW4094" s="911"/>
      <c r="FVX4094" s="911"/>
      <c r="FVY4094" s="911"/>
      <c r="FVZ4094" s="911"/>
      <c r="FWA4094" s="911"/>
      <c r="FWB4094" s="911"/>
      <c r="FWC4094" s="911"/>
      <c r="FWD4094" s="911"/>
      <c r="FWE4094" s="912"/>
      <c r="FWG4094" s="913" t="s">
        <v>1</v>
      </c>
      <c r="FWH4094" s="31"/>
      <c r="FWI4094" s="909" t="s">
        <v>0</v>
      </c>
      <c r="FWJ4094" s="909"/>
      <c r="FWK4094" s="909"/>
      <c r="FWL4094" s="909"/>
      <c r="FWM4094" s="909"/>
      <c r="FWN4094" s="909"/>
      <c r="FWO4094" s="907" t="s">
        <v>79</v>
      </c>
      <c r="FWP4094" s="909" t="s">
        <v>68</v>
      </c>
      <c r="FWQ4094" s="910" t="s">
        <v>75</v>
      </c>
      <c r="FWR4094" s="911"/>
      <c r="FWS4094" s="911"/>
      <c r="FWT4094" s="911"/>
      <c r="FWU4094" s="911"/>
      <c r="FWV4094" s="911"/>
      <c r="FWW4094" s="911"/>
      <c r="FWX4094" s="911"/>
      <c r="FWY4094" s="911"/>
      <c r="FWZ4094" s="911"/>
      <c r="FXA4094" s="32"/>
      <c r="FXB4094" s="911" t="s">
        <v>74</v>
      </c>
      <c r="FXC4094" s="911"/>
      <c r="FXD4094" s="911"/>
      <c r="FXE4094" s="911"/>
      <c r="FXF4094" s="911"/>
      <c r="FXG4094" s="911"/>
      <c r="FXH4094" s="911"/>
      <c r="FXI4094" s="911"/>
      <c r="FXJ4094" s="911"/>
      <c r="FXK4094" s="912"/>
      <c r="FXM4094" s="913" t="s">
        <v>1</v>
      </c>
      <c r="FXN4094" s="31"/>
      <c r="FXO4094" s="909" t="s">
        <v>0</v>
      </c>
      <c r="FXP4094" s="909"/>
      <c r="FXQ4094" s="909"/>
      <c r="FXR4094" s="909"/>
      <c r="FXS4094" s="909"/>
      <c r="FXT4094" s="909"/>
      <c r="FXU4094" s="907" t="s">
        <v>79</v>
      </c>
      <c r="FXV4094" s="909" t="s">
        <v>68</v>
      </c>
      <c r="FXW4094" s="910" t="s">
        <v>75</v>
      </c>
      <c r="FXX4094" s="911"/>
      <c r="FXY4094" s="911"/>
      <c r="FXZ4094" s="911"/>
      <c r="FYA4094" s="911"/>
      <c r="FYB4094" s="911"/>
      <c r="FYC4094" s="911"/>
      <c r="FYD4094" s="911"/>
      <c r="FYE4094" s="911"/>
      <c r="FYF4094" s="911"/>
      <c r="FYG4094" s="32"/>
      <c r="FYH4094" s="911" t="s">
        <v>74</v>
      </c>
      <c r="FYI4094" s="911"/>
      <c r="FYJ4094" s="911"/>
      <c r="FYK4094" s="911"/>
      <c r="FYL4094" s="911"/>
      <c r="FYM4094" s="911"/>
      <c r="FYN4094" s="911"/>
      <c r="FYO4094" s="911"/>
      <c r="FYP4094" s="911"/>
      <c r="FYQ4094" s="912"/>
      <c r="FYS4094" s="913" t="s">
        <v>1</v>
      </c>
      <c r="FYT4094" s="31"/>
      <c r="FYU4094" s="909" t="s">
        <v>0</v>
      </c>
      <c r="FYV4094" s="909"/>
      <c r="FYW4094" s="909"/>
      <c r="FYX4094" s="909"/>
      <c r="FYY4094" s="909"/>
      <c r="FYZ4094" s="909"/>
      <c r="FZA4094" s="907" t="s">
        <v>79</v>
      </c>
      <c r="FZB4094" s="909" t="s">
        <v>68</v>
      </c>
      <c r="FZC4094" s="910" t="s">
        <v>75</v>
      </c>
      <c r="FZD4094" s="911"/>
      <c r="FZE4094" s="911"/>
      <c r="FZF4094" s="911"/>
      <c r="FZG4094" s="911"/>
      <c r="FZH4094" s="911"/>
      <c r="FZI4094" s="911"/>
      <c r="FZJ4094" s="911"/>
      <c r="FZK4094" s="911"/>
      <c r="FZL4094" s="911"/>
      <c r="FZM4094" s="32"/>
      <c r="FZN4094" s="911" t="s">
        <v>74</v>
      </c>
      <c r="FZO4094" s="911"/>
      <c r="FZP4094" s="911"/>
      <c r="FZQ4094" s="911"/>
      <c r="FZR4094" s="911"/>
      <c r="FZS4094" s="911"/>
      <c r="FZT4094" s="911"/>
      <c r="FZU4094" s="911"/>
      <c r="FZV4094" s="911"/>
      <c r="FZW4094" s="912"/>
      <c r="FZY4094" s="913" t="s">
        <v>1</v>
      </c>
      <c r="FZZ4094" s="31"/>
      <c r="GAA4094" s="909" t="s">
        <v>0</v>
      </c>
      <c r="GAB4094" s="909"/>
      <c r="GAC4094" s="909"/>
      <c r="GAD4094" s="909"/>
      <c r="GAE4094" s="909"/>
      <c r="GAF4094" s="909"/>
      <c r="GAG4094" s="907" t="s">
        <v>79</v>
      </c>
      <c r="GAH4094" s="909" t="s">
        <v>68</v>
      </c>
      <c r="GAI4094" s="910" t="s">
        <v>75</v>
      </c>
      <c r="GAJ4094" s="911"/>
      <c r="GAK4094" s="911"/>
      <c r="GAL4094" s="911"/>
      <c r="GAM4094" s="911"/>
      <c r="GAN4094" s="911"/>
      <c r="GAO4094" s="911"/>
      <c r="GAP4094" s="911"/>
      <c r="GAQ4094" s="911"/>
      <c r="GAR4094" s="911"/>
      <c r="GAS4094" s="32"/>
      <c r="GAT4094" s="911" t="s">
        <v>74</v>
      </c>
      <c r="GAU4094" s="911"/>
      <c r="GAV4094" s="911"/>
      <c r="GAW4094" s="911"/>
      <c r="GAX4094" s="911"/>
      <c r="GAY4094" s="911"/>
      <c r="GAZ4094" s="911"/>
      <c r="GBA4094" s="911"/>
      <c r="GBB4094" s="911"/>
      <c r="GBC4094" s="912"/>
      <c r="GBE4094" s="913" t="s">
        <v>1</v>
      </c>
      <c r="GBF4094" s="31"/>
      <c r="GBG4094" s="909" t="s">
        <v>0</v>
      </c>
      <c r="GBH4094" s="909"/>
      <c r="GBI4094" s="909"/>
      <c r="GBJ4094" s="909"/>
      <c r="GBK4094" s="909"/>
      <c r="GBL4094" s="909"/>
      <c r="GBM4094" s="907" t="s">
        <v>79</v>
      </c>
      <c r="GBN4094" s="909" t="s">
        <v>68</v>
      </c>
      <c r="GBO4094" s="910" t="s">
        <v>75</v>
      </c>
      <c r="GBP4094" s="911"/>
      <c r="GBQ4094" s="911"/>
      <c r="GBR4094" s="911"/>
      <c r="GBS4094" s="911"/>
      <c r="GBT4094" s="911"/>
      <c r="GBU4094" s="911"/>
      <c r="GBV4094" s="911"/>
      <c r="GBW4094" s="911"/>
      <c r="GBX4094" s="911"/>
      <c r="GBY4094" s="32"/>
      <c r="GBZ4094" s="911" t="s">
        <v>74</v>
      </c>
      <c r="GCA4094" s="911"/>
      <c r="GCB4094" s="911"/>
      <c r="GCC4094" s="911"/>
      <c r="GCD4094" s="911"/>
      <c r="GCE4094" s="911"/>
      <c r="GCF4094" s="911"/>
      <c r="GCG4094" s="911"/>
      <c r="GCH4094" s="911"/>
      <c r="GCI4094" s="912"/>
      <c r="GCK4094" s="913" t="s">
        <v>1</v>
      </c>
      <c r="GCL4094" s="31"/>
      <c r="GCM4094" s="909" t="s">
        <v>0</v>
      </c>
      <c r="GCN4094" s="909"/>
      <c r="GCO4094" s="909"/>
      <c r="GCP4094" s="909"/>
      <c r="GCQ4094" s="909"/>
      <c r="GCR4094" s="909"/>
      <c r="GCS4094" s="907" t="s">
        <v>79</v>
      </c>
      <c r="GCT4094" s="909" t="s">
        <v>68</v>
      </c>
      <c r="GCU4094" s="910" t="s">
        <v>75</v>
      </c>
      <c r="GCV4094" s="911"/>
      <c r="GCW4094" s="911"/>
      <c r="GCX4094" s="911"/>
      <c r="GCY4094" s="911"/>
      <c r="GCZ4094" s="911"/>
      <c r="GDA4094" s="911"/>
      <c r="GDB4094" s="911"/>
      <c r="GDC4094" s="911"/>
      <c r="GDD4094" s="911"/>
      <c r="GDE4094" s="32"/>
      <c r="GDF4094" s="911" t="s">
        <v>74</v>
      </c>
      <c r="GDG4094" s="911"/>
      <c r="GDH4094" s="911"/>
      <c r="GDI4094" s="911"/>
      <c r="GDJ4094" s="911"/>
      <c r="GDK4094" s="911"/>
      <c r="GDL4094" s="911"/>
      <c r="GDM4094" s="911"/>
      <c r="GDN4094" s="911"/>
      <c r="GDO4094" s="912"/>
      <c r="GDQ4094" s="913" t="s">
        <v>1</v>
      </c>
      <c r="GDR4094" s="31"/>
      <c r="GDS4094" s="909" t="s">
        <v>0</v>
      </c>
      <c r="GDT4094" s="909"/>
      <c r="GDU4094" s="909"/>
      <c r="GDV4094" s="909"/>
      <c r="GDW4094" s="909"/>
      <c r="GDX4094" s="909"/>
      <c r="GDY4094" s="907" t="s">
        <v>79</v>
      </c>
      <c r="GDZ4094" s="909" t="s">
        <v>68</v>
      </c>
      <c r="GEA4094" s="910" t="s">
        <v>75</v>
      </c>
      <c r="GEB4094" s="911"/>
      <c r="GEC4094" s="911"/>
      <c r="GED4094" s="911"/>
      <c r="GEE4094" s="911"/>
      <c r="GEF4094" s="911"/>
      <c r="GEG4094" s="911"/>
      <c r="GEH4094" s="911"/>
      <c r="GEI4094" s="911"/>
      <c r="GEJ4094" s="911"/>
      <c r="GEK4094" s="32"/>
      <c r="GEL4094" s="911" t="s">
        <v>74</v>
      </c>
      <c r="GEM4094" s="911"/>
      <c r="GEN4094" s="911"/>
      <c r="GEO4094" s="911"/>
      <c r="GEP4094" s="911"/>
      <c r="GEQ4094" s="911"/>
      <c r="GER4094" s="911"/>
      <c r="GES4094" s="911"/>
      <c r="GET4094" s="911"/>
      <c r="GEU4094" s="912"/>
      <c r="GEW4094" s="913" t="s">
        <v>1</v>
      </c>
      <c r="GEX4094" s="31"/>
      <c r="GEY4094" s="909" t="s">
        <v>0</v>
      </c>
      <c r="GEZ4094" s="909"/>
      <c r="GFA4094" s="909"/>
      <c r="GFB4094" s="909"/>
      <c r="GFC4094" s="909"/>
      <c r="GFD4094" s="909"/>
      <c r="GFE4094" s="907" t="s">
        <v>79</v>
      </c>
      <c r="GFF4094" s="909" t="s">
        <v>68</v>
      </c>
      <c r="GFG4094" s="910" t="s">
        <v>75</v>
      </c>
      <c r="GFH4094" s="911"/>
      <c r="GFI4094" s="911"/>
      <c r="GFJ4094" s="911"/>
      <c r="GFK4094" s="911"/>
      <c r="GFL4094" s="911"/>
      <c r="GFM4094" s="911"/>
      <c r="GFN4094" s="911"/>
      <c r="GFO4094" s="911"/>
      <c r="GFP4094" s="911"/>
      <c r="GFQ4094" s="32"/>
      <c r="GFR4094" s="911" t="s">
        <v>74</v>
      </c>
      <c r="GFS4094" s="911"/>
      <c r="GFT4094" s="911"/>
      <c r="GFU4094" s="911"/>
      <c r="GFV4094" s="911"/>
      <c r="GFW4094" s="911"/>
      <c r="GFX4094" s="911"/>
      <c r="GFY4094" s="911"/>
      <c r="GFZ4094" s="911"/>
      <c r="GGA4094" s="912"/>
      <c r="GGC4094" s="913" t="s">
        <v>1</v>
      </c>
      <c r="GGD4094" s="31"/>
      <c r="GGE4094" s="909" t="s">
        <v>0</v>
      </c>
      <c r="GGF4094" s="909"/>
      <c r="GGG4094" s="909"/>
      <c r="GGH4094" s="909"/>
      <c r="GGI4094" s="909"/>
      <c r="GGJ4094" s="909"/>
      <c r="GGK4094" s="907" t="s">
        <v>79</v>
      </c>
      <c r="GGL4094" s="909" t="s">
        <v>68</v>
      </c>
      <c r="GGM4094" s="910" t="s">
        <v>75</v>
      </c>
      <c r="GGN4094" s="911"/>
      <c r="GGO4094" s="911"/>
      <c r="GGP4094" s="911"/>
      <c r="GGQ4094" s="911"/>
      <c r="GGR4094" s="911"/>
      <c r="GGS4094" s="911"/>
      <c r="GGT4094" s="911"/>
      <c r="GGU4094" s="911"/>
      <c r="GGV4094" s="911"/>
      <c r="GGW4094" s="32"/>
      <c r="GGX4094" s="911" t="s">
        <v>74</v>
      </c>
      <c r="GGY4094" s="911"/>
      <c r="GGZ4094" s="911"/>
      <c r="GHA4094" s="911"/>
      <c r="GHB4094" s="911"/>
      <c r="GHC4094" s="911"/>
      <c r="GHD4094" s="911"/>
      <c r="GHE4094" s="911"/>
      <c r="GHF4094" s="911"/>
      <c r="GHG4094" s="912"/>
      <c r="GHI4094" s="913" t="s">
        <v>1</v>
      </c>
      <c r="GHJ4094" s="31"/>
      <c r="GHK4094" s="909" t="s">
        <v>0</v>
      </c>
      <c r="GHL4094" s="909"/>
      <c r="GHM4094" s="909"/>
      <c r="GHN4094" s="909"/>
      <c r="GHO4094" s="909"/>
      <c r="GHP4094" s="909"/>
      <c r="GHQ4094" s="907" t="s">
        <v>79</v>
      </c>
      <c r="GHR4094" s="909" t="s">
        <v>68</v>
      </c>
      <c r="GHS4094" s="910" t="s">
        <v>75</v>
      </c>
      <c r="GHT4094" s="911"/>
      <c r="GHU4094" s="911"/>
      <c r="GHV4094" s="911"/>
      <c r="GHW4094" s="911"/>
      <c r="GHX4094" s="911"/>
      <c r="GHY4094" s="911"/>
      <c r="GHZ4094" s="911"/>
      <c r="GIA4094" s="911"/>
      <c r="GIB4094" s="911"/>
      <c r="GIC4094" s="32"/>
      <c r="GID4094" s="911" t="s">
        <v>74</v>
      </c>
      <c r="GIE4094" s="911"/>
      <c r="GIF4094" s="911"/>
      <c r="GIG4094" s="911"/>
      <c r="GIH4094" s="911"/>
      <c r="GII4094" s="911"/>
      <c r="GIJ4094" s="911"/>
      <c r="GIK4094" s="911"/>
      <c r="GIL4094" s="911"/>
      <c r="GIM4094" s="912"/>
      <c r="GIO4094" s="913" t="s">
        <v>1</v>
      </c>
      <c r="GIP4094" s="31"/>
      <c r="GIQ4094" s="909" t="s">
        <v>0</v>
      </c>
      <c r="GIR4094" s="909"/>
      <c r="GIS4094" s="909"/>
      <c r="GIT4094" s="909"/>
      <c r="GIU4094" s="909"/>
      <c r="GIV4094" s="909"/>
      <c r="GIW4094" s="907" t="s">
        <v>79</v>
      </c>
      <c r="GIX4094" s="909" t="s">
        <v>68</v>
      </c>
      <c r="GIY4094" s="910" t="s">
        <v>75</v>
      </c>
      <c r="GIZ4094" s="911"/>
      <c r="GJA4094" s="911"/>
      <c r="GJB4094" s="911"/>
      <c r="GJC4094" s="911"/>
      <c r="GJD4094" s="911"/>
      <c r="GJE4094" s="911"/>
      <c r="GJF4094" s="911"/>
      <c r="GJG4094" s="911"/>
      <c r="GJH4094" s="911"/>
      <c r="GJI4094" s="32"/>
      <c r="GJJ4094" s="911" t="s">
        <v>74</v>
      </c>
      <c r="GJK4094" s="911"/>
      <c r="GJL4094" s="911"/>
      <c r="GJM4094" s="911"/>
      <c r="GJN4094" s="911"/>
      <c r="GJO4094" s="911"/>
      <c r="GJP4094" s="911"/>
      <c r="GJQ4094" s="911"/>
      <c r="GJR4094" s="911"/>
      <c r="GJS4094" s="912"/>
      <c r="GJU4094" s="913" t="s">
        <v>1</v>
      </c>
      <c r="GJV4094" s="31"/>
      <c r="GJW4094" s="909" t="s">
        <v>0</v>
      </c>
      <c r="GJX4094" s="909"/>
      <c r="GJY4094" s="909"/>
      <c r="GJZ4094" s="909"/>
      <c r="GKA4094" s="909"/>
      <c r="GKB4094" s="909"/>
      <c r="GKC4094" s="907" t="s">
        <v>79</v>
      </c>
      <c r="GKD4094" s="909" t="s">
        <v>68</v>
      </c>
      <c r="GKE4094" s="910" t="s">
        <v>75</v>
      </c>
      <c r="GKF4094" s="911"/>
      <c r="GKG4094" s="911"/>
      <c r="GKH4094" s="911"/>
      <c r="GKI4094" s="911"/>
      <c r="GKJ4094" s="911"/>
      <c r="GKK4094" s="911"/>
      <c r="GKL4094" s="911"/>
      <c r="GKM4094" s="911"/>
      <c r="GKN4094" s="911"/>
      <c r="GKO4094" s="32"/>
      <c r="GKP4094" s="911" t="s">
        <v>74</v>
      </c>
      <c r="GKQ4094" s="911"/>
      <c r="GKR4094" s="911"/>
      <c r="GKS4094" s="911"/>
      <c r="GKT4094" s="911"/>
      <c r="GKU4094" s="911"/>
      <c r="GKV4094" s="911"/>
      <c r="GKW4094" s="911"/>
      <c r="GKX4094" s="911"/>
      <c r="GKY4094" s="912"/>
      <c r="GLA4094" s="913" t="s">
        <v>1</v>
      </c>
      <c r="GLB4094" s="31"/>
      <c r="GLC4094" s="909" t="s">
        <v>0</v>
      </c>
      <c r="GLD4094" s="909"/>
      <c r="GLE4094" s="909"/>
      <c r="GLF4094" s="909"/>
      <c r="GLG4094" s="909"/>
      <c r="GLH4094" s="909"/>
      <c r="GLI4094" s="907" t="s">
        <v>79</v>
      </c>
      <c r="GLJ4094" s="909" t="s">
        <v>68</v>
      </c>
      <c r="GLK4094" s="910" t="s">
        <v>75</v>
      </c>
      <c r="GLL4094" s="911"/>
      <c r="GLM4094" s="911"/>
      <c r="GLN4094" s="911"/>
      <c r="GLO4094" s="911"/>
      <c r="GLP4094" s="911"/>
      <c r="GLQ4094" s="911"/>
      <c r="GLR4094" s="911"/>
      <c r="GLS4094" s="911"/>
      <c r="GLT4094" s="911"/>
      <c r="GLU4094" s="32"/>
      <c r="GLV4094" s="911" t="s">
        <v>74</v>
      </c>
      <c r="GLW4094" s="911"/>
      <c r="GLX4094" s="911"/>
      <c r="GLY4094" s="911"/>
      <c r="GLZ4094" s="911"/>
      <c r="GMA4094" s="911"/>
      <c r="GMB4094" s="911"/>
      <c r="GMC4094" s="911"/>
      <c r="GMD4094" s="911"/>
      <c r="GME4094" s="912"/>
      <c r="GMG4094" s="913" t="s">
        <v>1</v>
      </c>
      <c r="GMH4094" s="31"/>
      <c r="GMI4094" s="909" t="s">
        <v>0</v>
      </c>
      <c r="GMJ4094" s="909"/>
      <c r="GMK4094" s="909"/>
      <c r="GML4094" s="909"/>
      <c r="GMM4094" s="909"/>
      <c r="GMN4094" s="909"/>
      <c r="GMO4094" s="907" t="s">
        <v>79</v>
      </c>
      <c r="GMP4094" s="909" t="s">
        <v>68</v>
      </c>
      <c r="GMQ4094" s="910" t="s">
        <v>75</v>
      </c>
      <c r="GMR4094" s="911"/>
      <c r="GMS4094" s="911"/>
      <c r="GMT4094" s="911"/>
      <c r="GMU4094" s="911"/>
      <c r="GMV4094" s="911"/>
      <c r="GMW4094" s="911"/>
      <c r="GMX4094" s="911"/>
      <c r="GMY4094" s="911"/>
      <c r="GMZ4094" s="911"/>
      <c r="GNA4094" s="32"/>
      <c r="GNB4094" s="911" t="s">
        <v>74</v>
      </c>
      <c r="GNC4094" s="911"/>
      <c r="GND4094" s="911"/>
      <c r="GNE4094" s="911"/>
      <c r="GNF4094" s="911"/>
      <c r="GNG4094" s="911"/>
      <c r="GNH4094" s="911"/>
      <c r="GNI4094" s="911"/>
      <c r="GNJ4094" s="911"/>
      <c r="GNK4094" s="912"/>
      <c r="GNM4094" s="913" t="s">
        <v>1</v>
      </c>
      <c r="GNN4094" s="31"/>
      <c r="GNO4094" s="909" t="s">
        <v>0</v>
      </c>
      <c r="GNP4094" s="909"/>
      <c r="GNQ4094" s="909"/>
      <c r="GNR4094" s="909"/>
      <c r="GNS4094" s="909"/>
      <c r="GNT4094" s="909"/>
      <c r="GNU4094" s="907" t="s">
        <v>79</v>
      </c>
      <c r="GNV4094" s="909" t="s">
        <v>68</v>
      </c>
      <c r="GNW4094" s="910" t="s">
        <v>75</v>
      </c>
      <c r="GNX4094" s="911"/>
      <c r="GNY4094" s="911"/>
      <c r="GNZ4094" s="911"/>
      <c r="GOA4094" s="911"/>
      <c r="GOB4094" s="911"/>
      <c r="GOC4094" s="911"/>
      <c r="GOD4094" s="911"/>
      <c r="GOE4094" s="911"/>
      <c r="GOF4094" s="911"/>
      <c r="GOG4094" s="32"/>
      <c r="GOH4094" s="911" t="s">
        <v>74</v>
      </c>
      <c r="GOI4094" s="911"/>
      <c r="GOJ4094" s="911"/>
      <c r="GOK4094" s="911"/>
      <c r="GOL4094" s="911"/>
      <c r="GOM4094" s="911"/>
      <c r="GON4094" s="911"/>
      <c r="GOO4094" s="911"/>
      <c r="GOP4094" s="911"/>
      <c r="GOQ4094" s="912"/>
      <c r="GOS4094" s="913" t="s">
        <v>1</v>
      </c>
      <c r="GOT4094" s="31"/>
      <c r="GOU4094" s="909" t="s">
        <v>0</v>
      </c>
      <c r="GOV4094" s="909"/>
      <c r="GOW4094" s="909"/>
      <c r="GOX4094" s="909"/>
      <c r="GOY4094" s="909"/>
      <c r="GOZ4094" s="909"/>
      <c r="GPA4094" s="907" t="s">
        <v>79</v>
      </c>
      <c r="GPB4094" s="909" t="s">
        <v>68</v>
      </c>
      <c r="GPC4094" s="910" t="s">
        <v>75</v>
      </c>
      <c r="GPD4094" s="911"/>
      <c r="GPE4094" s="911"/>
      <c r="GPF4094" s="911"/>
      <c r="GPG4094" s="911"/>
      <c r="GPH4094" s="911"/>
      <c r="GPI4094" s="911"/>
      <c r="GPJ4094" s="911"/>
      <c r="GPK4094" s="911"/>
      <c r="GPL4094" s="911"/>
      <c r="GPM4094" s="32"/>
      <c r="GPN4094" s="911" t="s">
        <v>74</v>
      </c>
      <c r="GPO4094" s="911"/>
      <c r="GPP4094" s="911"/>
      <c r="GPQ4094" s="911"/>
      <c r="GPR4094" s="911"/>
      <c r="GPS4094" s="911"/>
      <c r="GPT4094" s="911"/>
      <c r="GPU4094" s="911"/>
      <c r="GPV4094" s="911"/>
      <c r="GPW4094" s="912"/>
      <c r="GPY4094" s="913" t="s">
        <v>1</v>
      </c>
      <c r="GPZ4094" s="31"/>
      <c r="GQA4094" s="909" t="s">
        <v>0</v>
      </c>
      <c r="GQB4094" s="909"/>
      <c r="GQC4094" s="909"/>
      <c r="GQD4094" s="909"/>
      <c r="GQE4094" s="909"/>
      <c r="GQF4094" s="909"/>
      <c r="GQG4094" s="907" t="s">
        <v>79</v>
      </c>
      <c r="GQH4094" s="909" t="s">
        <v>68</v>
      </c>
      <c r="GQI4094" s="910" t="s">
        <v>75</v>
      </c>
      <c r="GQJ4094" s="911"/>
      <c r="GQK4094" s="911"/>
      <c r="GQL4094" s="911"/>
      <c r="GQM4094" s="911"/>
      <c r="GQN4094" s="911"/>
      <c r="GQO4094" s="911"/>
      <c r="GQP4094" s="911"/>
      <c r="GQQ4094" s="911"/>
      <c r="GQR4094" s="911"/>
      <c r="GQS4094" s="32"/>
      <c r="GQT4094" s="911" t="s">
        <v>74</v>
      </c>
      <c r="GQU4094" s="911"/>
      <c r="GQV4094" s="911"/>
      <c r="GQW4094" s="911"/>
      <c r="GQX4094" s="911"/>
      <c r="GQY4094" s="911"/>
      <c r="GQZ4094" s="911"/>
      <c r="GRA4094" s="911"/>
      <c r="GRB4094" s="911"/>
      <c r="GRC4094" s="912"/>
      <c r="GRE4094" s="913" t="s">
        <v>1</v>
      </c>
      <c r="GRF4094" s="31"/>
      <c r="GRG4094" s="909" t="s">
        <v>0</v>
      </c>
      <c r="GRH4094" s="909"/>
      <c r="GRI4094" s="909"/>
      <c r="GRJ4094" s="909"/>
      <c r="GRK4094" s="909"/>
      <c r="GRL4094" s="909"/>
      <c r="GRM4094" s="907" t="s">
        <v>79</v>
      </c>
      <c r="GRN4094" s="909" t="s">
        <v>68</v>
      </c>
      <c r="GRO4094" s="910" t="s">
        <v>75</v>
      </c>
      <c r="GRP4094" s="911"/>
      <c r="GRQ4094" s="911"/>
      <c r="GRR4094" s="911"/>
      <c r="GRS4094" s="911"/>
      <c r="GRT4094" s="911"/>
      <c r="GRU4094" s="911"/>
      <c r="GRV4094" s="911"/>
      <c r="GRW4094" s="911"/>
      <c r="GRX4094" s="911"/>
      <c r="GRY4094" s="32"/>
      <c r="GRZ4094" s="911" t="s">
        <v>74</v>
      </c>
      <c r="GSA4094" s="911"/>
      <c r="GSB4094" s="911"/>
      <c r="GSC4094" s="911"/>
      <c r="GSD4094" s="911"/>
      <c r="GSE4094" s="911"/>
      <c r="GSF4094" s="911"/>
      <c r="GSG4094" s="911"/>
      <c r="GSH4094" s="911"/>
      <c r="GSI4094" s="912"/>
      <c r="GSK4094" s="913" t="s">
        <v>1</v>
      </c>
      <c r="GSL4094" s="31"/>
      <c r="GSM4094" s="909" t="s">
        <v>0</v>
      </c>
      <c r="GSN4094" s="909"/>
      <c r="GSO4094" s="909"/>
      <c r="GSP4094" s="909"/>
      <c r="GSQ4094" s="909"/>
      <c r="GSR4094" s="909"/>
      <c r="GSS4094" s="907" t="s">
        <v>79</v>
      </c>
      <c r="GST4094" s="909" t="s">
        <v>68</v>
      </c>
      <c r="GSU4094" s="910" t="s">
        <v>75</v>
      </c>
      <c r="GSV4094" s="911"/>
      <c r="GSW4094" s="911"/>
      <c r="GSX4094" s="911"/>
      <c r="GSY4094" s="911"/>
      <c r="GSZ4094" s="911"/>
      <c r="GTA4094" s="911"/>
      <c r="GTB4094" s="911"/>
      <c r="GTC4094" s="911"/>
      <c r="GTD4094" s="911"/>
      <c r="GTE4094" s="32"/>
      <c r="GTF4094" s="911" t="s">
        <v>74</v>
      </c>
      <c r="GTG4094" s="911"/>
      <c r="GTH4094" s="911"/>
      <c r="GTI4094" s="911"/>
      <c r="GTJ4094" s="911"/>
      <c r="GTK4094" s="911"/>
      <c r="GTL4094" s="911"/>
      <c r="GTM4094" s="911"/>
      <c r="GTN4094" s="911"/>
      <c r="GTO4094" s="912"/>
      <c r="GTQ4094" s="913" t="s">
        <v>1</v>
      </c>
      <c r="GTR4094" s="31"/>
      <c r="GTS4094" s="909" t="s">
        <v>0</v>
      </c>
      <c r="GTT4094" s="909"/>
      <c r="GTU4094" s="909"/>
      <c r="GTV4094" s="909"/>
      <c r="GTW4094" s="909"/>
      <c r="GTX4094" s="909"/>
      <c r="GTY4094" s="907" t="s">
        <v>79</v>
      </c>
      <c r="GTZ4094" s="909" t="s">
        <v>68</v>
      </c>
      <c r="GUA4094" s="910" t="s">
        <v>75</v>
      </c>
      <c r="GUB4094" s="911"/>
      <c r="GUC4094" s="911"/>
      <c r="GUD4094" s="911"/>
      <c r="GUE4094" s="911"/>
      <c r="GUF4094" s="911"/>
      <c r="GUG4094" s="911"/>
      <c r="GUH4094" s="911"/>
      <c r="GUI4094" s="911"/>
      <c r="GUJ4094" s="911"/>
      <c r="GUK4094" s="32"/>
      <c r="GUL4094" s="911" t="s">
        <v>74</v>
      </c>
      <c r="GUM4094" s="911"/>
      <c r="GUN4094" s="911"/>
      <c r="GUO4094" s="911"/>
      <c r="GUP4094" s="911"/>
      <c r="GUQ4094" s="911"/>
      <c r="GUR4094" s="911"/>
      <c r="GUS4094" s="911"/>
      <c r="GUT4094" s="911"/>
      <c r="GUU4094" s="912"/>
      <c r="GUW4094" s="913" t="s">
        <v>1</v>
      </c>
      <c r="GUX4094" s="31"/>
      <c r="GUY4094" s="909" t="s">
        <v>0</v>
      </c>
      <c r="GUZ4094" s="909"/>
      <c r="GVA4094" s="909"/>
      <c r="GVB4094" s="909"/>
      <c r="GVC4094" s="909"/>
      <c r="GVD4094" s="909"/>
      <c r="GVE4094" s="907" t="s">
        <v>79</v>
      </c>
      <c r="GVF4094" s="909" t="s">
        <v>68</v>
      </c>
      <c r="GVG4094" s="910" t="s">
        <v>75</v>
      </c>
      <c r="GVH4094" s="911"/>
      <c r="GVI4094" s="911"/>
      <c r="GVJ4094" s="911"/>
      <c r="GVK4094" s="911"/>
      <c r="GVL4094" s="911"/>
      <c r="GVM4094" s="911"/>
      <c r="GVN4094" s="911"/>
      <c r="GVO4094" s="911"/>
      <c r="GVP4094" s="911"/>
      <c r="GVQ4094" s="32"/>
      <c r="GVR4094" s="911" t="s">
        <v>74</v>
      </c>
      <c r="GVS4094" s="911"/>
      <c r="GVT4094" s="911"/>
      <c r="GVU4094" s="911"/>
      <c r="GVV4094" s="911"/>
      <c r="GVW4094" s="911"/>
      <c r="GVX4094" s="911"/>
      <c r="GVY4094" s="911"/>
      <c r="GVZ4094" s="911"/>
      <c r="GWA4094" s="912"/>
      <c r="GWC4094" s="913" t="s">
        <v>1</v>
      </c>
      <c r="GWD4094" s="31"/>
      <c r="GWE4094" s="909" t="s">
        <v>0</v>
      </c>
      <c r="GWF4094" s="909"/>
      <c r="GWG4094" s="909"/>
      <c r="GWH4094" s="909"/>
      <c r="GWI4094" s="909"/>
      <c r="GWJ4094" s="909"/>
      <c r="GWK4094" s="907" t="s">
        <v>79</v>
      </c>
      <c r="GWL4094" s="909" t="s">
        <v>68</v>
      </c>
      <c r="GWM4094" s="910" t="s">
        <v>75</v>
      </c>
      <c r="GWN4094" s="911"/>
      <c r="GWO4094" s="911"/>
      <c r="GWP4094" s="911"/>
      <c r="GWQ4094" s="911"/>
      <c r="GWR4094" s="911"/>
      <c r="GWS4094" s="911"/>
      <c r="GWT4094" s="911"/>
      <c r="GWU4094" s="911"/>
      <c r="GWV4094" s="911"/>
      <c r="GWW4094" s="32"/>
      <c r="GWX4094" s="911" t="s">
        <v>74</v>
      </c>
      <c r="GWY4094" s="911"/>
      <c r="GWZ4094" s="911"/>
      <c r="GXA4094" s="911"/>
      <c r="GXB4094" s="911"/>
      <c r="GXC4094" s="911"/>
      <c r="GXD4094" s="911"/>
      <c r="GXE4094" s="911"/>
      <c r="GXF4094" s="911"/>
      <c r="GXG4094" s="912"/>
      <c r="GXI4094" s="913" t="s">
        <v>1</v>
      </c>
      <c r="GXJ4094" s="31"/>
      <c r="GXK4094" s="909" t="s">
        <v>0</v>
      </c>
      <c r="GXL4094" s="909"/>
      <c r="GXM4094" s="909"/>
      <c r="GXN4094" s="909"/>
      <c r="GXO4094" s="909"/>
      <c r="GXP4094" s="909"/>
      <c r="GXQ4094" s="907" t="s">
        <v>79</v>
      </c>
      <c r="GXR4094" s="909" t="s">
        <v>68</v>
      </c>
      <c r="GXS4094" s="910" t="s">
        <v>75</v>
      </c>
      <c r="GXT4094" s="911"/>
      <c r="GXU4094" s="911"/>
      <c r="GXV4094" s="911"/>
      <c r="GXW4094" s="911"/>
      <c r="GXX4094" s="911"/>
      <c r="GXY4094" s="911"/>
      <c r="GXZ4094" s="911"/>
      <c r="GYA4094" s="911"/>
      <c r="GYB4094" s="911"/>
      <c r="GYC4094" s="32"/>
      <c r="GYD4094" s="911" t="s">
        <v>74</v>
      </c>
      <c r="GYE4094" s="911"/>
      <c r="GYF4094" s="911"/>
      <c r="GYG4094" s="911"/>
      <c r="GYH4094" s="911"/>
      <c r="GYI4094" s="911"/>
      <c r="GYJ4094" s="911"/>
      <c r="GYK4094" s="911"/>
      <c r="GYL4094" s="911"/>
      <c r="GYM4094" s="912"/>
      <c r="GYO4094" s="913" t="s">
        <v>1</v>
      </c>
      <c r="GYP4094" s="31"/>
      <c r="GYQ4094" s="909" t="s">
        <v>0</v>
      </c>
      <c r="GYR4094" s="909"/>
      <c r="GYS4094" s="909"/>
      <c r="GYT4094" s="909"/>
      <c r="GYU4094" s="909"/>
      <c r="GYV4094" s="909"/>
      <c r="GYW4094" s="907" t="s">
        <v>79</v>
      </c>
      <c r="GYX4094" s="909" t="s">
        <v>68</v>
      </c>
      <c r="GYY4094" s="910" t="s">
        <v>75</v>
      </c>
      <c r="GYZ4094" s="911"/>
      <c r="GZA4094" s="911"/>
      <c r="GZB4094" s="911"/>
      <c r="GZC4094" s="911"/>
      <c r="GZD4094" s="911"/>
      <c r="GZE4094" s="911"/>
      <c r="GZF4094" s="911"/>
      <c r="GZG4094" s="911"/>
      <c r="GZH4094" s="911"/>
      <c r="GZI4094" s="32"/>
      <c r="GZJ4094" s="911" t="s">
        <v>74</v>
      </c>
      <c r="GZK4094" s="911"/>
      <c r="GZL4094" s="911"/>
      <c r="GZM4094" s="911"/>
      <c r="GZN4094" s="911"/>
      <c r="GZO4094" s="911"/>
      <c r="GZP4094" s="911"/>
      <c r="GZQ4094" s="911"/>
      <c r="GZR4094" s="911"/>
      <c r="GZS4094" s="912"/>
      <c r="GZU4094" s="913" t="s">
        <v>1</v>
      </c>
      <c r="GZV4094" s="31"/>
      <c r="GZW4094" s="909" t="s">
        <v>0</v>
      </c>
      <c r="GZX4094" s="909"/>
      <c r="GZY4094" s="909"/>
      <c r="GZZ4094" s="909"/>
      <c r="HAA4094" s="909"/>
      <c r="HAB4094" s="909"/>
      <c r="HAC4094" s="907" t="s">
        <v>79</v>
      </c>
      <c r="HAD4094" s="909" t="s">
        <v>68</v>
      </c>
      <c r="HAE4094" s="910" t="s">
        <v>75</v>
      </c>
      <c r="HAF4094" s="911"/>
      <c r="HAG4094" s="911"/>
      <c r="HAH4094" s="911"/>
      <c r="HAI4094" s="911"/>
      <c r="HAJ4094" s="911"/>
      <c r="HAK4094" s="911"/>
      <c r="HAL4094" s="911"/>
      <c r="HAM4094" s="911"/>
      <c r="HAN4094" s="911"/>
      <c r="HAO4094" s="32"/>
      <c r="HAP4094" s="911" t="s">
        <v>74</v>
      </c>
      <c r="HAQ4094" s="911"/>
      <c r="HAR4094" s="911"/>
      <c r="HAS4094" s="911"/>
      <c r="HAT4094" s="911"/>
      <c r="HAU4094" s="911"/>
      <c r="HAV4094" s="911"/>
      <c r="HAW4094" s="911"/>
      <c r="HAX4094" s="911"/>
      <c r="HAY4094" s="912"/>
      <c r="HBA4094" s="913" t="s">
        <v>1</v>
      </c>
      <c r="HBB4094" s="31"/>
      <c r="HBC4094" s="909" t="s">
        <v>0</v>
      </c>
      <c r="HBD4094" s="909"/>
      <c r="HBE4094" s="909"/>
      <c r="HBF4094" s="909"/>
      <c r="HBG4094" s="909"/>
      <c r="HBH4094" s="909"/>
      <c r="HBI4094" s="907" t="s">
        <v>79</v>
      </c>
      <c r="HBJ4094" s="909" t="s">
        <v>68</v>
      </c>
      <c r="HBK4094" s="910" t="s">
        <v>75</v>
      </c>
      <c r="HBL4094" s="911"/>
      <c r="HBM4094" s="911"/>
      <c r="HBN4094" s="911"/>
      <c r="HBO4094" s="911"/>
      <c r="HBP4094" s="911"/>
      <c r="HBQ4094" s="911"/>
      <c r="HBR4094" s="911"/>
      <c r="HBS4094" s="911"/>
      <c r="HBT4094" s="911"/>
      <c r="HBU4094" s="32"/>
      <c r="HBV4094" s="911" t="s">
        <v>74</v>
      </c>
      <c r="HBW4094" s="911"/>
      <c r="HBX4094" s="911"/>
      <c r="HBY4094" s="911"/>
      <c r="HBZ4094" s="911"/>
      <c r="HCA4094" s="911"/>
      <c r="HCB4094" s="911"/>
      <c r="HCC4094" s="911"/>
      <c r="HCD4094" s="911"/>
      <c r="HCE4094" s="912"/>
      <c r="HCG4094" s="913" t="s">
        <v>1</v>
      </c>
      <c r="HCH4094" s="31"/>
      <c r="HCI4094" s="909" t="s">
        <v>0</v>
      </c>
      <c r="HCJ4094" s="909"/>
      <c r="HCK4094" s="909"/>
      <c r="HCL4094" s="909"/>
      <c r="HCM4094" s="909"/>
      <c r="HCN4094" s="909"/>
      <c r="HCO4094" s="907" t="s">
        <v>79</v>
      </c>
      <c r="HCP4094" s="909" t="s">
        <v>68</v>
      </c>
      <c r="HCQ4094" s="910" t="s">
        <v>75</v>
      </c>
      <c r="HCR4094" s="911"/>
      <c r="HCS4094" s="911"/>
      <c r="HCT4094" s="911"/>
      <c r="HCU4094" s="911"/>
      <c r="HCV4094" s="911"/>
      <c r="HCW4094" s="911"/>
      <c r="HCX4094" s="911"/>
      <c r="HCY4094" s="911"/>
      <c r="HCZ4094" s="911"/>
      <c r="HDA4094" s="32"/>
      <c r="HDB4094" s="911" t="s">
        <v>74</v>
      </c>
      <c r="HDC4094" s="911"/>
      <c r="HDD4094" s="911"/>
      <c r="HDE4094" s="911"/>
      <c r="HDF4094" s="911"/>
      <c r="HDG4094" s="911"/>
      <c r="HDH4094" s="911"/>
      <c r="HDI4094" s="911"/>
      <c r="HDJ4094" s="911"/>
      <c r="HDK4094" s="912"/>
      <c r="HDM4094" s="913" t="s">
        <v>1</v>
      </c>
      <c r="HDN4094" s="31"/>
      <c r="HDO4094" s="909" t="s">
        <v>0</v>
      </c>
      <c r="HDP4094" s="909"/>
      <c r="HDQ4094" s="909"/>
      <c r="HDR4094" s="909"/>
      <c r="HDS4094" s="909"/>
      <c r="HDT4094" s="909"/>
      <c r="HDU4094" s="907" t="s">
        <v>79</v>
      </c>
      <c r="HDV4094" s="909" t="s">
        <v>68</v>
      </c>
      <c r="HDW4094" s="910" t="s">
        <v>75</v>
      </c>
      <c r="HDX4094" s="911"/>
      <c r="HDY4094" s="911"/>
      <c r="HDZ4094" s="911"/>
      <c r="HEA4094" s="911"/>
      <c r="HEB4094" s="911"/>
      <c r="HEC4094" s="911"/>
      <c r="HED4094" s="911"/>
      <c r="HEE4094" s="911"/>
      <c r="HEF4094" s="911"/>
      <c r="HEG4094" s="32"/>
      <c r="HEH4094" s="911" t="s">
        <v>74</v>
      </c>
      <c r="HEI4094" s="911"/>
      <c r="HEJ4094" s="911"/>
      <c r="HEK4094" s="911"/>
      <c r="HEL4094" s="911"/>
      <c r="HEM4094" s="911"/>
      <c r="HEN4094" s="911"/>
      <c r="HEO4094" s="911"/>
      <c r="HEP4094" s="911"/>
      <c r="HEQ4094" s="912"/>
      <c r="HES4094" s="913" t="s">
        <v>1</v>
      </c>
      <c r="HET4094" s="31"/>
      <c r="HEU4094" s="909" t="s">
        <v>0</v>
      </c>
      <c r="HEV4094" s="909"/>
      <c r="HEW4094" s="909"/>
      <c r="HEX4094" s="909"/>
      <c r="HEY4094" s="909"/>
      <c r="HEZ4094" s="909"/>
      <c r="HFA4094" s="907" t="s">
        <v>79</v>
      </c>
      <c r="HFB4094" s="909" t="s">
        <v>68</v>
      </c>
      <c r="HFC4094" s="910" t="s">
        <v>75</v>
      </c>
      <c r="HFD4094" s="911"/>
      <c r="HFE4094" s="911"/>
      <c r="HFF4094" s="911"/>
      <c r="HFG4094" s="911"/>
      <c r="HFH4094" s="911"/>
      <c r="HFI4094" s="911"/>
      <c r="HFJ4094" s="911"/>
      <c r="HFK4094" s="911"/>
      <c r="HFL4094" s="911"/>
      <c r="HFM4094" s="32"/>
      <c r="HFN4094" s="911" t="s">
        <v>74</v>
      </c>
      <c r="HFO4094" s="911"/>
      <c r="HFP4094" s="911"/>
      <c r="HFQ4094" s="911"/>
      <c r="HFR4094" s="911"/>
      <c r="HFS4094" s="911"/>
      <c r="HFT4094" s="911"/>
      <c r="HFU4094" s="911"/>
      <c r="HFV4094" s="911"/>
      <c r="HFW4094" s="912"/>
      <c r="HFY4094" s="913" t="s">
        <v>1</v>
      </c>
      <c r="HFZ4094" s="31"/>
      <c r="HGA4094" s="909" t="s">
        <v>0</v>
      </c>
      <c r="HGB4094" s="909"/>
      <c r="HGC4094" s="909"/>
      <c r="HGD4094" s="909"/>
      <c r="HGE4094" s="909"/>
      <c r="HGF4094" s="909"/>
      <c r="HGG4094" s="907" t="s">
        <v>79</v>
      </c>
      <c r="HGH4094" s="909" t="s">
        <v>68</v>
      </c>
      <c r="HGI4094" s="910" t="s">
        <v>75</v>
      </c>
      <c r="HGJ4094" s="911"/>
      <c r="HGK4094" s="911"/>
      <c r="HGL4094" s="911"/>
      <c r="HGM4094" s="911"/>
      <c r="HGN4094" s="911"/>
      <c r="HGO4094" s="911"/>
      <c r="HGP4094" s="911"/>
      <c r="HGQ4094" s="911"/>
      <c r="HGR4094" s="911"/>
      <c r="HGS4094" s="32"/>
      <c r="HGT4094" s="911" t="s">
        <v>74</v>
      </c>
      <c r="HGU4094" s="911"/>
      <c r="HGV4094" s="911"/>
      <c r="HGW4094" s="911"/>
      <c r="HGX4094" s="911"/>
      <c r="HGY4094" s="911"/>
      <c r="HGZ4094" s="911"/>
      <c r="HHA4094" s="911"/>
      <c r="HHB4094" s="911"/>
      <c r="HHC4094" s="912"/>
      <c r="HHE4094" s="913" t="s">
        <v>1</v>
      </c>
      <c r="HHF4094" s="31"/>
      <c r="HHG4094" s="909" t="s">
        <v>0</v>
      </c>
      <c r="HHH4094" s="909"/>
      <c r="HHI4094" s="909"/>
      <c r="HHJ4094" s="909"/>
      <c r="HHK4094" s="909"/>
      <c r="HHL4094" s="909"/>
      <c r="HHM4094" s="907" t="s">
        <v>79</v>
      </c>
      <c r="HHN4094" s="909" t="s">
        <v>68</v>
      </c>
      <c r="HHO4094" s="910" t="s">
        <v>75</v>
      </c>
      <c r="HHP4094" s="911"/>
      <c r="HHQ4094" s="911"/>
      <c r="HHR4094" s="911"/>
      <c r="HHS4094" s="911"/>
      <c r="HHT4094" s="911"/>
      <c r="HHU4094" s="911"/>
      <c r="HHV4094" s="911"/>
      <c r="HHW4094" s="911"/>
      <c r="HHX4094" s="911"/>
      <c r="HHY4094" s="32"/>
      <c r="HHZ4094" s="911" t="s">
        <v>74</v>
      </c>
      <c r="HIA4094" s="911"/>
      <c r="HIB4094" s="911"/>
      <c r="HIC4094" s="911"/>
      <c r="HID4094" s="911"/>
      <c r="HIE4094" s="911"/>
      <c r="HIF4094" s="911"/>
      <c r="HIG4094" s="911"/>
      <c r="HIH4094" s="911"/>
      <c r="HII4094" s="912"/>
      <c r="HIK4094" s="913" t="s">
        <v>1</v>
      </c>
      <c r="HIL4094" s="31"/>
      <c r="HIM4094" s="909" t="s">
        <v>0</v>
      </c>
      <c r="HIN4094" s="909"/>
      <c r="HIO4094" s="909"/>
      <c r="HIP4094" s="909"/>
      <c r="HIQ4094" s="909"/>
      <c r="HIR4094" s="909"/>
      <c r="HIS4094" s="907" t="s">
        <v>79</v>
      </c>
      <c r="HIT4094" s="909" t="s">
        <v>68</v>
      </c>
      <c r="HIU4094" s="910" t="s">
        <v>75</v>
      </c>
      <c r="HIV4094" s="911"/>
      <c r="HIW4094" s="911"/>
      <c r="HIX4094" s="911"/>
      <c r="HIY4094" s="911"/>
      <c r="HIZ4094" s="911"/>
      <c r="HJA4094" s="911"/>
      <c r="HJB4094" s="911"/>
      <c r="HJC4094" s="911"/>
      <c r="HJD4094" s="911"/>
      <c r="HJE4094" s="32"/>
      <c r="HJF4094" s="911" t="s">
        <v>74</v>
      </c>
      <c r="HJG4094" s="911"/>
      <c r="HJH4094" s="911"/>
      <c r="HJI4094" s="911"/>
      <c r="HJJ4094" s="911"/>
      <c r="HJK4094" s="911"/>
      <c r="HJL4094" s="911"/>
      <c r="HJM4094" s="911"/>
      <c r="HJN4094" s="911"/>
      <c r="HJO4094" s="912"/>
      <c r="HJQ4094" s="913" t="s">
        <v>1</v>
      </c>
      <c r="HJR4094" s="31"/>
      <c r="HJS4094" s="909" t="s">
        <v>0</v>
      </c>
      <c r="HJT4094" s="909"/>
      <c r="HJU4094" s="909"/>
      <c r="HJV4094" s="909"/>
      <c r="HJW4094" s="909"/>
      <c r="HJX4094" s="909"/>
      <c r="HJY4094" s="907" t="s">
        <v>79</v>
      </c>
      <c r="HJZ4094" s="909" t="s">
        <v>68</v>
      </c>
      <c r="HKA4094" s="910" t="s">
        <v>75</v>
      </c>
      <c r="HKB4094" s="911"/>
      <c r="HKC4094" s="911"/>
      <c r="HKD4094" s="911"/>
      <c r="HKE4094" s="911"/>
      <c r="HKF4094" s="911"/>
      <c r="HKG4094" s="911"/>
      <c r="HKH4094" s="911"/>
      <c r="HKI4094" s="911"/>
      <c r="HKJ4094" s="911"/>
      <c r="HKK4094" s="32"/>
      <c r="HKL4094" s="911" t="s">
        <v>74</v>
      </c>
      <c r="HKM4094" s="911"/>
      <c r="HKN4094" s="911"/>
      <c r="HKO4094" s="911"/>
      <c r="HKP4094" s="911"/>
      <c r="HKQ4094" s="911"/>
      <c r="HKR4094" s="911"/>
      <c r="HKS4094" s="911"/>
      <c r="HKT4094" s="911"/>
      <c r="HKU4094" s="912"/>
      <c r="HKW4094" s="913" t="s">
        <v>1</v>
      </c>
      <c r="HKX4094" s="31"/>
      <c r="HKY4094" s="909" t="s">
        <v>0</v>
      </c>
      <c r="HKZ4094" s="909"/>
      <c r="HLA4094" s="909"/>
      <c r="HLB4094" s="909"/>
      <c r="HLC4094" s="909"/>
      <c r="HLD4094" s="909"/>
      <c r="HLE4094" s="907" t="s">
        <v>79</v>
      </c>
      <c r="HLF4094" s="909" t="s">
        <v>68</v>
      </c>
      <c r="HLG4094" s="910" t="s">
        <v>75</v>
      </c>
      <c r="HLH4094" s="911"/>
      <c r="HLI4094" s="911"/>
      <c r="HLJ4094" s="911"/>
      <c r="HLK4094" s="911"/>
      <c r="HLL4094" s="911"/>
      <c r="HLM4094" s="911"/>
      <c r="HLN4094" s="911"/>
      <c r="HLO4094" s="911"/>
      <c r="HLP4094" s="911"/>
      <c r="HLQ4094" s="32"/>
      <c r="HLR4094" s="911" t="s">
        <v>74</v>
      </c>
      <c r="HLS4094" s="911"/>
      <c r="HLT4094" s="911"/>
      <c r="HLU4094" s="911"/>
      <c r="HLV4094" s="911"/>
      <c r="HLW4094" s="911"/>
      <c r="HLX4094" s="911"/>
      <c r="HLY4094" s="911"/>
      <c r="HLZ4094" s="911"/>
      <c r="HMA4094" s="912"/>
      <c r="HMC4094" s="913" t="s">
        <v>1</v>
      </c>
      <c r="HMD4094" s="31"/>
      <c r="HME4094" s="909" t="s">
        <v>0</v>
      </c>
      <c r="HMF4094" s="909"/>
      <c r="HMG4094" s="909"/>
      <c r="HMH4094" s="909"/>
      <c r="HMI4094" s="909"/>
      <c r="HMJ4094" s="909"/>
      <c r="HMK4094" s="907" t="s">
        <v>79</v>
      </c>
      <c r="HML4094" s="909" t="s">
        <v>68</v>
      </c>
      <c r="HMM4094" s="910" t="s">
        <v>75</v>
      </c>
      <c r="HMN4094" s="911"/>
      <c r="HMO4094" s="911"/>
      <c r="HMP4094" s="911"/>
      <c r="HMQ4094" s="911"/>
      <c r="HMR4094" s="911"/>
      <c r="HMS4094" s="911"/>
      <c r="HMT4094" s="911"/>
      <c r="HMU4094" s="911"/>
      <c r="HMV4094" s="911"/>
      <c r="HMW4094" s="32"/>
      <c r="HMX4094" s="911" t="s">
        <v>74</v>
      </c>
      <c r="HMY4094" s="911"/>
      <c r="HMZ4094" s="911"/>
      <c r="HNA4094" s="911"/>
      <c r="HNB4094" s="911"/>
      <c r="HNC4094" s="911"/>
      <c r="HND4094" s="911"/>
      <c r="HNE4094" s="911"/>
      <c r="HNF4094" s="911"/>
      <c r="HNG4094" s="912"/>
      <c r="HNI4094" s="913" t="s">
        <v>1</v>
      </c>
      <c r="HNJ4094" s="31"/>
      <c r="HNK4094" s="909" t="s">
        <v>0</v>
      </c>
      <c r="HNL4094" s="909"/>
      <c r="HNM4094" s="909"/>
      <c r="HNN4094" s="909"/>
      <c r="HNO4094" s="909"/>
      <c r="HNP4094" s="909"/>
      <c r="HNQ4094" s="907" t="s">
        <v>79</v>
      </c>
      <c r="HNR4094" s="909" t="s">
        <v>68</v>
      </c>
      <c r="HNS4094" s="910" t="s">
        <v>75</v>
      </c>
      <c r="HNT4094" s="911"/>
      <c r="HNU4094" s="911"/>
      <c r="HNV4094" s="911"/>
      <c r="HNW4094" s="911"/>
      <c r="HNX4094" s="911"/>
      <c r="HNY4094" s="911"/>
      <c r="HNZ4094" s="911"/>
      <c r="HOA4094" s="911"/>
      <c r="HOB4094" s="911"/>
      <c r="HOC4094" s="32"/>
      <c r="HOD4094" s="911" t="s">
        <v>74</v>
      </c>
      <c r="HOE4094" s="911"/>
      <c r="HOF4094" s="911"/>
      <c r="HOG4094" s="911"/>
      <c r="HOH4094" s="911"/>
      <c r="HOI4094" s="911"/>
      <c r="HOJ4094" s="911"/>
      <c r="HOK4094" s="911"/>
      <c r="HOL4094" s="911"/>
      <c r="HOM4094" s="912"/>
      <c r="HOO4094" s="913" t="s">
        <v>1</v>
      </c>
      <c r="HOP4094" s="31"/>
      <c r="HOQ4094" s="909" t="s">
        <v>0</v>
      </c>
      <c r="HOR4094" s="909"/>
      <c r="HOS4094" s="909"/>
      <c r="HOT4094" s="909"/>
      <c r="HOU4094" s="909"/>
      <c r="HOV4094" s="909"/>
      <c r="HOW4094" s="907" t="s">
        <v>79</v>
      </c>
      <c r="HOX4094" s="909" t="s">
        <v>68</v>
      </c>
      <c r="HOY4094" s="910" t="s">
        <v>75</v>
      </c>
      <c r="HOZ4094" s="911"/>
      <c r="HPA4094" s="911"/>
      <c r="HPB4094" s="911"/>
      <c r="HPC4094" s="911"/>
      <c r="HPD4094" s="911"/>
      <c r="HPE4094" s="911"/>
      <c r="HPF4094" s="911"/>
      <c r="HPG4094" s="911"/>
      <c r="HPH4094" s="911"/>
      <c r="HPI4094" s="32"/>
      <c r="HPJ4094" s="911" t="s">
        <v>74</v>
      </c>
      <c r="HPK4094" s="911"/>
      <c r="HPL4094" s="911"/>
      <c r="HPM4094" s="911"/>
      <c r="HPN4094" s="911"/>
      <c r="HPO4094" s="911"/>
      <c r="HPP4094" s="911"/>
      <c r="HPQ4094" s="911"/>
      <c r="HPR4094" s="911"/>
      <c r="HPS4094" s="912"/>
      <c r="HPU4094" s="913" t="s">
        <v>1</v>
      </c>
      <c r="HPV4094" s="31"/>
      <c r="HPW4094" s="909" t="s">
        <v>0</v>
      </c>
      <c r="HPX4094" s="909"/>
      <c r="HPY4094" s="909"/>
      <c r="HPZ4094" s="909"/>
      <c r="HQA4094" s="909"/>
      <c r="HQB4094" s="909"/>
      <c r="HQC4094" s="907" t="s">
        <v>79</v>
      </c>
      <c r="HQD4094" s="909" t="s">
        <v>68</v>
      </c>
      <c r="HQE4094" s="910" t="s">
        <v>75</v>
      </c>
      <c r="HQF4094" s="911"/>
      <c r="HQG4094" s="911"/>
      <c r="HQH4094" s="911"/>
      <c r="HQI4094" s="911"/>
      <c r="HQJ4094" s="911"/>
      <c r="HQK4094" s="911"/>
      <c r="HQL4094" s="911"/>
      <c r="HQM4094" s="911"/>
      <c r="HQN4094" s="911"/>
      <c r="HQO4094" s="32"/>
      <c r="HQP4094" s="911" t="s">
        <v>74</v>
      </c>
      <c r="HQQ4094" s="911"/>
      <c r="HQR4094" s="911"/>
      <c r="HQS4094" s="911"/>
      <c r="HQT4094" s="911"/>
      <c r="HQU4094" s="911"/>
      <c r="HQV4094" s="911"/>
      <c r="HQW4094" s="911"/>
      <c r="HQX4094" s="911"/>
      <c r="HQY4094" s="912"/>
      <c r="HRA4094" s="913" t="s">
        <v>1</v>
      </c>
      <c r="HRB4094" s="31"/>
      <c r="HRC4094" s="909" t="s">
        <v>0</v>
      </c>
      <c r="HRD4094" s="909"/>
      <c r="HRE4094" s="909"/>
      <c r="HRF4094" s="909"/>
      <c r="HRG4094" s="909"/>
      <c r="HRH4094" s="909"/>
      <c r="HRI4094" s="907" t="s">
        <v>79</v>
      </c>
      <c r="HRJ4094" s="909" t="s">
        <v>68</v>
      </c>
      <c r="HRK4094" s="910" t="s">
        <v>75</v>
      </c>
      <c r="HRL4094" s="911"/>
      <c r="HRM4094" s="911"/>
      <c r="HRN4094" s="911"/>
      <c r="HRO4094" s="911"/>
      <c r="HRP4094" s="911"/>
      <c r="HRQ4094" s="911"/>
      <c r="HRR4094" s="911"/>
      <c r="HRS4094" s="911"/>
      <c r="HRT4094" s="911"/>
      <c r="HRU4094" s="32"/>
      <c r="HRV4094" s="911" t="s">
        <v>74</v>
      </c>
      <c r="HRW4094" s="911"/>
      <c r="HRX4094" s="911"/>
      <c r="HRY4094" s="911"/>
      <c r="HRZ4094" s="911"/>
      <c r="HSA4094" s="911"/>
      <c r="HSB4094" s="911"/>
      <c r="HSC4094" s="911"/>
      <c r="HSD4094" s="911"/>
      <c r="HSE4094" s="912"/>
      <c r="HSG4094" s="913" t="s">
        <v>1</v>
      </c>
      <c r="HSH4094" s="31"/>
      <c r="HSI4094" s="909" t="s">
        <v>0</v>
      </c>
      <c r="HSJ4094" s="909"/>
      <c r="HSK4094" s="909"/>
      <c r="HSL4094" s="909"/>
      <c r="HSM4094" s="909"/>
      <c r="HSN4094" s="909"/>
      <c r="HSO4094" s="907" t="s">
        <v>79</v>
      </c>
      <c r="HSP4094" s="909" t="s">
        <v>68</v>
      </c>
      <c r="HSQ4094" s="910" t="s">
        <v>75</v>
      </c>
      <c r="HSR4094" s="911"/>
      <c r="HSS4094" s="911"/>
      <c r="HST4094" s="911"/>
      <c r="HSU4094" s="911"/>
      <c r="HSV4094" s="911"/>
      <c r="HSW4094" s="911"/>
      <c r="HSX4094" s="911"/>
      <c r="HSY4094" s="911"/>
      <c r="HSZ4094" s="911"/>
      <c r="HTA4094" s="32"/>
      <c r="HTB4094" s="911" t="s">
        <v>74</v>
      </c>
      <c r="HTC4094" s="911"/>
      <c r="HTD4094" s="911"/>
      <c r="HTE4094" s="911"/>
      <c r="HTF4094" s="911"/>
      <c r="HTG4094" s="911"/>
      <c r="HTH4094" s="911"/>
      <c r="HTI4094" s="911"/>
      <c r="HTJ4094" s="911"/>
      <c r="HTK4094" s="912"/>
      <c r="HTM4094" s="913" t="s">
        <v>1</v>
      </c>
      <c r="HTN4094" s="31"/>
      <c r="HTO4094" s="909" t="s">
        <v>0</v>
      </c>
      <c r="HTP4094" s="909"/>
      <c r="HTQ4094" s="909"/>
      <c r="HTR4094" s="909"/>
      <c r="HTS4094" s="909"/>
      <c r="HTT4094" s="909"/>
      <c r="HTU4094" s="907" t="s">
        <v>79</v>
      </c>
      <c r="HTV4094" s="909" t="s">
        <v>68</v>
      </c>
      <c r="HTW4094" s="910" t="s">
        <v>75</v>
      </c>
      <c r="HTX4094" s="911"/>
      <c r="HTY4094" s="911"/>
      <c r="HTZ4094" s="911"/>
      <c r="HUA4094" s="911"/>
      <c r="HUB4094" s="911"/>
      <c r="HUC4094" s="911"/>
      <c r="HUD4094" s="911"/>
      <c r="HUE4094" s="911"/>
      <c r="HUF4094" s="911"/>
      <c r="HUG4094" s="32"/>
      <c r="HUH4094" s="911" t="s">
        <v>74</v>
      </c>
      <c r="HUI4094" s="911"/>
      <c r="HUJ4094" s="911"/>
      <c r="HUK4094" s="911"/>
      <c r="HUL4094" s="911"/>
      <c r="HUM4094" s="911"/>
      <c r="HUN4094" s="911"/>
      <c r="HUO4094" s="911"/>
      <c r="HUP4094" s="911"/>
      <c r="HUQ4094" s="912"/>
      <c r="HUS4094" s="913" t="s">
        <v>1</v>
      </c>
      <c r="HUT4094" s="31"/>
      <c r="HUU4094" s="909" t="s">
        <v>0</v>
      </c>
      <c r="HUV4094" s="909"/>
      <c r="HUW4094" s="909"/>
      <c r="HUX4094" s="909"/>
      <c r="HUY4094" s="909"/>
      <c r="HUZ4094" s="909"/>
      <c r="HVA4094" s="907" t="s">
        <v>79</v>
      </c>
      <c r="HVB4094" s="909" t="s">
        <v>68</v>
      </c>
      <c r="HVC4094" s="910" t="s">
        <v>75</v>
      </c>
      <c r="HVD4094" s="911"/>
      <c r="HVE4094" s="911"/>
      <c r="HVF4094" s="911"/>
      <c r="HVG4094" s="911"/>
      <c r="HVH4094" s="911"/>
      <c r="HVI4094" s="911"/>
      <c r="HVJ4094" s="911"/>
      <c r="HVK4094" s="911"/>
      <c r="HVL4094" s="911"/>
      <c r="HVM4094" s="32"/>
      <c r="HVN4094" s="911" t="s">
        <v>74</v>
      </c>
      <c r="HVO4094" s="911"/>
      <c r="HVP4094" s="911"/>
      <c r="HVQ4094" s="911"/>
      <c r="HVR4094" s="911"/>
      <c r="HVS4094" s="911"/>
      <c r="HVT4094" s="911"/>
      <c r="HVU4094" s="911"/>
      <c r="HVV4094" s="911"/>
      <c r="HVW4094" s="912"/>
      <c r="HVY4094" s="913" t="s">
        <v>1</v>
      </c>
      <c r="HVZ4094" s="31"/>
      <c r="HWA4094" s="909" t="s">
        <v>0</v>
      </c>
      <c r="HWB4094" s="909"/>
      <c r="HWC4094" s="909"/>
      <c r="HWD4094" s="909"/>
      <c r="HWE4094" s="909"/>
      <c r="HWF4094" s="909"/>
      <c r="HWG4094" s="907" t="s">
        <v>79</v>
      </c>
      <c r="HWH4094" s="909" t="s">
        <v>68</v>
      </c>
      <c r="HWI4094" s="910" t="s">
        <v>75</v>
      </c>
      <c r="HWJ4094" s="911"/>
      <c r="HWK4094" s="911"/>
      <c r="HWL4094" s="911"/>
      <c r="HWM4094" s="911"/>
      <c r="HWN4094" s="911"/>
      <c r="HWO4094" s="911"/>
      <c r="HWP4094" s="911"/>
      <c r="HWQ4094" s="911"/>
      <c r="HWR4094" s="911"/>
      <c r="HWS4094" s="32"/>
      <c r="HWT4094" s="911" t="s">
        <v>74</v>
      </c>
      <c r="HWU4094" s="911"/>
      <c r="HWV4094" s="911"/>
      <c r="HWW4094" s="911"/>
      <c r="HWX4094" s="911"/>
      <c r="HWY4094" s="911"/>
      <c r="HWZ4094" s="911"/>
      <c r="HXA4094" s="911"/>
      <c r="HXB4094" s="911"/>
      <c r="HXC4094" s="912"/>
      <c r="HXE4094" s="913" t="s">
        <v>1</v>
      </c>
      <c r="HXF4094" s="31"/>
      <c r="HXG4094" s="909" t="s">
        <v>0</v>
      </c>
      <c r="HXH4094" s="909"/>
      <c r="HXI4094" s="909"/>
      <c r="HXJ4094" s="909"/>
      <c r="HXK4094" s="909"/>
      <c r="HXL4094" s="909"/>
      <c r="HXM4094" s="907" t="s">
        <v>79</v>
      </c>
      <c r="HXN4094" s="909" t="s">
        <v>68</v>
      </c>
      <c r="HXO4094" s="910" t="s">
        <v>75</v>
      </c>
      <c r="HXP4094" s="911"/>
      <c r="HXQ4094" s="911"/>
      <c r="HXR4094" s="911"/>
      <c r="HXS4094" s="911"/>
      <c r="HXT4094" s="911"/>
      <c r="HXU4094" s="911"/>
      <c r="HXV4094" s="911"/>
      <c r="HXW4094" s="911"/>
      <c r="HXX4094" s="911"/>
      <c r="HXY4094" s="32"/>
      <c r="HXZ4094" s="911" t="s">
        <v>74</v>
      </c>
      <c r="HYA4094" s="911"/>
      <c r="HYB4094" s="911"/>
      <c r="HYC4094" s="911"/>
      <c r="HYD4094" s="911"/>
      <c r="HYE4094" s="911"/>
      <c r="HYF4094" s="911"/>
      <c r="HYG4094" s="911"/>
      <c r="HYH4094" s="911"/>
      <c r="HYI4094" s="912"/>
      <c r="HYK4094" s="913" t="s">
        <v>1</v>
      </c>
      <c r="HYL4094" s="31"/>
      <c r="HYM4094" s="909" t="s">
        <v>0</v>
      </c>
      <c r="HYN4094" s="909"/>
      <c r="HYO4094" s="909"/>
      <c r="HYP4094" s="909"/>
      <c r="HYQ4094" s="909"/>
      <c r="HYR4094" s="909"/>
      <c r="HYS4094" s="907" t="s">
        <v>79</v>
      </c>
      <c r="HYT4094" s="909" t="s">
        <v>68</v>
      </c>
      <c r="HYU4094" s="910" t="s">
        <v>75</v>
      </c>
      <c r="HYV4094" s="911"/>
      <c r="HYW4094" s="911"/>
      <c r="HYX4094" s="911"/>
      <c r="HYY4094" s="911"/>
      <c r="HYZ4094" s="911"/>
      <c r="HZA4094" s="911"/>
      <c r="HZB4094" s="911"/>
      <c r="HZC4094" s="911"/>
      <c r="HZD4094" s="911"/>
      <c r="HZE4094" s="32"/>
      <c r="HZF4094" s="911" t="s">
        <v>74</v>
      </c>
      <c r="HZG4094" s="911"/>
      <c r="HZH4094" s="911"/>
      <c r="HZI4094" s="911"/>
      <c r="HZJ4094" s="911"/>
      <c r="HZK4094" s="911"/>
      <c r="HZL4094" s="911"/>
      <c r="HZM4094" s="911"/>
      <c r="HZN4094" s="911"/>
      <c r="HZO4094" s="912"/>
      <c r="HZQ4094" s="913" t="s">
        <v>1</v>
      </c>
      <c r="HZR4094" s="31"/>
      <c r="HZS4094" s="909" t="s">
        <v>0</v>
      </c>
      <c r="HZT4094" s="909"/>
      <c r="HZU4094" s="909"/>
      <c r="HZV4094" s="909"/>
      <c r="HZW4094" s="909"/>
      <c r="HZX4094" s="909"/>
      <c r="HZY4094" s="907" t="s">
        <v>79</v>
      </c>
      <c r="HZZ4094" s="909" t="s">
        <v>68</v>
      </c>
      <c r="IAA4094" s="910" t="s">
        <v>75</v>
      </c>
      <c r="IAB4094" s="911"/>
      <c r="IAC4094" s="911"/>
      <c r="IAD4094" s="911"/>
      <c r="IAE4094" s="911"/>
      <c r="IAF4094" s="911"/>
      <c r="IAG4094" s="911"/>
      <c r="IAH4094" s="911"/>
      <c r="IAI4094" s="911"/>
      <c r="IAJ4094" s="911"/>
      <c r="IAK4094" s="32"/>
      <c r="IAL4094" s="911" t="s">
        <v>74</v>
      </c>
      <c r="IAM4094" s="911"/>
      <c r="IAN4094" s="911"/>
      <c r="IAO4094" s="911"/>
      <c r="IAP4094" s="911"/>
      <c r="IAQ4094" s="911"/>
      <c r="IAR4094" s="911"/>
      <c r="IAS4094" s="911"/>
      <c r="IAT4094" s="911"/>
      <c r="IAU4094" s="912"/>
      <c r="IAW4094" s="913" t="s">
        <v>1</v>
      </c>
      <c r="IAX4094" s="31"/>
      <c r="IAY4094" s="909" t="s">
        <v>0</v>
      </c>
      <c r="IAZ4094" s="909"/>
      <c r="IBA4094" s="909"/>
      <c r="IBB4094" s="909"/>
      <c r="IBC4094" s="909"/>
      <c r="IBD4094" s="909"/>
      <c r="IBE4094" s="907" t="s">
        <v>79</v>
      </c>
      <c r="IBF4094" s="909" t="s">
        <v>68</v>
      </c>
      <c r="IBG4094" s="910" t="s">
        <v>75</v>
      </c>
      <c r="IBH4094" s="911"/>
      <c r="IBI4094" s="911"/>
      <c r="IBJ4094" s="911"/>
      <c r="IBK4094" s="911"/>
      <c r="IBL4094" s="911"/>
      <c r="IBM4094" s="911"/>
      <c r="IBN4094" s="911"/>
      <c r="IBO4094" s="911"/>
      <c r="IBP4094" s="911"/>
      <c r="IBQ4094" s="32"/>
      <c r="IBR4094" s="911" t="s">
        <v>74</v>
      </c>
      <c r="IBS4094" s="911"/>
      <c r="IBT4094" s="911"/>
      <c r="IBU4094" s="911"/>
      <c r="IBV4094" s="911"/>
      <c r="IBW4094" s="911"/>
      <c r="IBX4094" s="911"/>
      <c r="IBY4094" s="911"/>
      <c r="IBZ4094" s="911"/>
      <c r="ICA4094" s="912"/>
      <c r="ICC4094" s="913" t="s">
        <v>1</v>
      </c>
      <c r="ICD4094" s="31"/>
      <c r="ICE4094" s="909" t="s">
        <v>0</v>
      </c>
      <c r="ICF4094" s="909"/>
      <c r="ICG4094" s="909"/>
      <c r="ICH4094" s="909"/>
      <c r="ICI4094" s="909"/>
      <c r="ICJ4094" s="909"/>
      <c r="ICK4094" s="907" t="s">
        <v>79</v>
      </c>
      <c r="ICL4094" s="909" t="s">
        <v>68</v>
      </c>
      <c r="ICM4094" s="910" t="s">
        <v>75</v>
      </c>
      <c r="ICN4094" s="911"/>
      <c r="ICO4094" s="911"/>
      <c r="ICP4094" s="911"/>
      <c r="ICQ4094" s="911"/>
      <c r="ICR4094" s="911"/>
      <c r="ICS4094" s="911"/>
      <c r="ICT4094" s="911"/>
      <c r="ICU4094" s="911"/>
      <c r="ICV4094" s="911"/>
      <c r="ICW4094" s="32"/>
      <c r="ICX4094" s="911" t="s">
        <v>74</v>
      </c>
      <c r="ICY4094" s="911"/>
      <c r="ICZ4094" s="911"/>
      <c r="IDA4094" s="911"/>
      <c r="IDB4094" s="911"/>
      <c r="IDC4094" s="911"/>
      <c r="IDD4094" s="911"/>
      <c r="IDE4094" s="911"/>
      <c r="IDF4094" s="911"/>
      <c r="IDG4094" s="912"/>
      <c r="IDI4094" s="913" t="s">
        <v>1</v>
      </c>
      <c r="IDJ4094" s="31"/>
      <c r="IDK4094" s="909" t="s">
        <v>0</v>
      </c>
      <c r="IDL4094" s="909"/>
      <c r="IDM4094" s="909"/>
      <c r="IDN4094" s="909"/>
      <c r="IDO4094" s="909"/>
      <c r="IDP4094" s="909"/>
      <c r="IDQ4094" s="907" t="s">
        <v>79</v>
      </c>
      <c r="IDR4094" s="909" t="s">
        <v>68</v>
      </c>
      <c r="IDS4094" s="910" t="s">
        <v>75</v>
      </c>
      <c r="IDT4094" s="911"/>
      <c r="IDU4094" s="911"/>
      <c r="IDV4094" s="911"/>
      <c r="IDW4094" s="911"/>
      <c r="IDX4094" s="911"/>
      <c r="IDY4094" s="911"/>
      <c r="IDZ4094" s="911"/>
      <c r="IEA4094" s="911"/>
      <c r="IEB4094" s="911"/>
      <c r="IEC4094" s="32"/>
      <c r="IED4094" s="911" t="s">
        <v>74</v>
      </c>
      <c r="IEE4094" s="911"/>
      <c r="IEF4094" s="911"/>
      <c r="IEG4094" s="911"/>
      <c r="IEH4094" s="911"/>
      <c r="IEI4094" s="911"/>
      <c r="IEJ4094" s="911"/>
      <c r="IEK4094" s="911"/>
      <c r="IEL4094" s="911"/>
      <c r="IEM4094" s="912"/>
      <c r="IEO4094" s="913" t="s">
        <v>1</v>
      </c>
      <c r="IEP4094" s="31"/>
      <c r="IEQ4094" s="909" t="s">
        <v>0</v>
      </c>
      <c r="IER4094" s="909"/>
      <c r="IES4094" s="909"/>
      <c r="IET4094" s="909"/>
      <c r="IEU4094" s="909"/>
      <c r="IEV4094" s="909"/>
      <c r="IEW4094" s="907" t="s">
        <v>79</v>
      </c>
      <c r="IEX4094" s="909" t="s">
        <v>68</v>
      </c>
      <c r="IEY4094" s="910" t="s">
        <v>75</v>
      </c>
      <c r="IEZ4094" s="911"/>
      <c r="IFA4094" s="911"/>
      <c r="IFB4094" s="911"/>
      <c r="IFC4094" s="911"/>
      <c r="IFD4094" s="911"/>
      <c r="IFE4094" s="911"/>
      <c r="IFF4094" s="911"/>
      <c r="IFG4094" s="911"/>
      <c r="IFH4094" s="911"/>
      <c r="IFI4094" s="32"/>
      <c r="IFJ4094" s="911" t="s">
        <v>74</v>
      </c>
      <c r="IFK4094" s="911"/>
      <c r="IFL4094" s="911"/>
      <c r="IFM4094" s="911"/>
      <c r="IFN4094" s="911"/>
      <c r="IFO4094" s="911"/>
      <c r="IFP4094" s="911"/>
      <c r="IFQ4094" s="911"/>
      <c r="IFR4094" s="911"/>
      <c r="IFS4094" s="912"/>
      <c r="IFU4094" s="913" t="s">
        <v>1</v>
      </c>
      <c r="IFV4094" s="31"/>
      <c r="IFW4094" s="909" t="s">
        <v>0</v>
      </c>
      <c r="IFX4094" s="909"/>
      <c r="IFY4094" s="909"/>
      <c r="IFZ4094" s="909"/>
      <c r="IGA4094" s="909"/>
      <c r="IGB4094" s="909"/>
      <c r="IGC4094" s="907" t="s">
        <v>79</v>
      </c>
      <c r="IGD4094" s="909" t="s">
        <v>68</v>
      </c>
      <c r="IGE4094" s="910" t="s">
        <v>75</v>
      </c>
      <c r="IGF4094" s="911"/>
      <c r="IGG4094" s="911"/>
      <c r="IGH4094" s="911"/>
      <c r="IGI4094" s="911"/>
      <c r="IGJ4094" s="911"/>
      <c r="IGK4094" s="911"/>
      <c r="IGL4094" s="911"/>
      <c r="IGM4094" s="911"/>
      <c r="IGN4094" s="911"/>
      <c r="IGO4094" s="32"/>
      <c r="IGP4094" s="911" t="s">
        <v>74</v>
      </c>
      <c r="IGQ4094" s="911"/>
      <c r="IGR4094" s="911"/>
      <c r="IGS4094" s="911"/>
      <c r="IGT4094" s="911"/>
      <c r="IGU4094" s="911"/>
      <c r="IGV4094" s="911"/>
      <c r="IGW4094" s="911"/>
      <c r="IGX4094" s="911"/>
      <c r="IGY4094" s="912"/>
      <c r="IHA4094" s="913" t="s">
        <v>1</v>
      </c>
      <c r="IHB4094" s="31"/>
      <c r="IHC4094" s="909" t="s">
        <v>0</v>
      </c>
      <c r="IHD4094" s="909"/>
      <c r="IHE4094" s="909"/>
      <c r="IHF4094" s="909"/>
      <c r="IHG4094" s="909"/>
      <c r="IHH4094" s="909"/>
      <c r="IHI4094" s="907" t="s">
        <v>79</v>
      </c>
      <c r="IHJ4094" s="909" t="s">
        <v>68</v>
      </c>
      <c r="IHK4094" s="910" t="s">
        <v>75</v>
      </c>
      <c r="IHL4094" s="911"/>
      <c r="IHM4094" s="911"/>
      <c r="IHN4094" s="911"/>
      <c r="IHO4094" s="911"/>
      <c r="IHP4094" s="911"/>
      <c r="IHQ4094" s="911"/>
      <c r="IHR4094" s="911"/>
      <c r="IHS4094" s="911"/>
      <c r="IHT4094" s="911"/>
      <c r="IHU4094" s="32"/>
      <c r="IHV4094" s="911" t="s">
        <v>74</v>
      </c>
      <c r="IHW4094" s="911"/>
      <c r="IHX4094" s="911"/>
      <c r="IHY4094" s="911"/>
      <c r="IHZ4094" s="911"/>
      <c r="IIA4094" s="911"/>
      <c r="IIB4094" s="911"/>
      <c r="IIC4094" s="911"/>
      <c r="IID4094" s="911"/>
      <c r="IIE4094" s="912"/>
      <c r="IIG4094" s="913" t="s">
        <v>1</v>
      </c>
      <c r="IIH4094" s="31"/>
      <c r="III4094" s="909" t="s">
        <v>0</v>
      </c>
      <c r="IIJ4094" s="909"/>
      <c r="IIK4094" s="909"/>
      <c r="IIL4094" s="909"/>
      <c r="IIM4094" s="909"/>
      <c r="IIN4094" s="909"/>
      <c r="IIO4094" s="907" t="s">
        <v>79</v>
      </c>
      <c r="IIP4094" s="909" t="s">
        <v>68</v>
      </c>
      <c r="IIQ4094" s="910" t="s">
        <v>75</v>
      </c>
      <c r="IIR4094" s="911"/>
      <c r="IIS4094" s="911"/>
      <c r="IIT4094" s="911"/>
      <c r="IIU4094" s="911"/>
      <c r="IIV4094" s="911"/>
      <c r="IIW4094" s="911"/>
      <c r="IIX4094" s="911"/>
      <c r="IIY4094" s="911"/>
      <c r="IIZ4094" s="911"/>
      <c r="IJA4094" s="32"/>
      <c r="IJB4094" s="911" t="s">
        <v>74</v>
      </c>
      <c r="IJC4094" s="911"/>
      <c r="IJD4094" s="911"/>
      <c r="IJE4094" s="911"/>
      <c r="IJF4094" s="911"/>
      <c r="IJG4094" s="911"/>
      <c r="IJH4094" s="911"/>
      <c r="IJI4094" s="911"/>
      <c r="IJJ4094" s="911"/>
      <c r="IJK4094" s="912"/>
      <c r="IJM4094" s="913" t="s">
        <v>1</v>
      </c>
      <c r="IJN4094" s="31"/>
      <c r="IJO4094" s="909" t="s">
        <v>0</v>
      </c>
      <c r="IJP4094" s="909"/>
      <c r="IJQ4094" s="909"/>
      <c r="IJR4094" s="909"/>
      <c r="IJS4094" s="909"/>
      <c r="IJT4094" s="909"/>
      <c r="IJU4094" s="907" t="s">
        <v>79</v>
      </c>
      <c r="IJV4094" s="909" t="s">
        <v>68</v>
      </c>
      <c r="IJW4094" s="910" t="s">
        <v>75</v>
      </c>
      <c r="IJX4094" s="911"/>
      <c r="IJY4094" s="911"/>
      <c r="IJZ4094" s="911"/>
      <c r="IKA4094" s="911"/>
      <c r="IKB4094" s="911"/>
      <c r="IKC4094" s="911"/>
      <c r="IKD4094" s="911"/>
      <c r="IKE4094" s="911"/>
      <c r="IKF4094" s="911"/>
      <c r="IKG4094" s="32"/>
      <c r="IKH4094" s="911" t="s">
        <v>74</v>
      </c>
      <c r="IKI4094" s="911"/>
      <c r="IKJ4094" s="911"/>
      <c r="IKK4094" s="911"/>
      <c r="IKL4094" s="911"/>
      <c r="IKM4094" s="911"/>
      <c r="IKN4094" s="911"/>
      <c r="IKO4094" s="911"/>
      <c r="IKP4094" s="911"/>
      <c r="IKQ4094" s="912"/>
      <c r="IKS4094" s="913" t="s">
        <v>1</v>
      </c>
      <c r="IKT4094" s="31"/>
      <c r="IKU4094" s="909" t="s">
        <v>0</v>
      </c>
      <c r="IKV4094" s="909"/>
      <c r="IKW4094" s="909"/>
      <c r="IKX4094" s="909"/>
      <c r="IKY4094" s="909"/>
      <c r="IKZ4094" s="909"/>
      <c r="ILA4094" s="907" t="s">
        <v>79</v>
      </c>
      <c r="ILB4094" s="909" t="s">
        <v>68</v>
      </c>
      <c r="ILC4094" s="910" t="s">
        <v>75</v>
      </c>
      <c r="ILD4094" s="911"/>
      <c r="ILE4094" s="911"/>
      <c r="ILF4094" s="911"/>
      <c r="ILG4094" s="911"/>
      <c r="ILH4094" s="911"/>
      <c r="ILI4094" s="911"/>
      <c r="ILJ4094" s="911"/>
      <c r="ILK4094" s="911"/>
      <c r="ILL4094" s="911"/>
      <c r="ILM4094" s="32"/>
      <c r="ILN4094" s="911" t="s">
        <v>74</v>
      </c>
      <c r="ILO4094" s="911"/>
      <c r="ILP4094" s="911"/>
      <c r="ILQ4094" s="911"/>
      <c r="ILR4094" s="911"/>
      <c r="ILS4094" s="911"/>
      <c r="ILT4094" s="911"/>
      <c r="ILU4094" s="911"/>
      <c r="ILV4094" s="911"/>
      <c r="ILW4094" s="912"/>
      <c r="ILY4094" s="913" t="s">
        <v>1</v>
      </c>
      <c r="ILZ4094" s="31"/>
      <c r="IMA4094" s="909" t="s">
        <v>0</v>
      </c>
      <c r="IMB4094" s="909"/>
      <c r="IMC4094" s="909"/>
      <c r="IMD4094" s="909"/>
      <c r="IME4094" s="909"/>
      <c r="IMF4094" s="909"/>
      <c r="IMG4094" s="907" t="s">
        <v>79</v>
      </c>
      <c r="IMH4094" s="909" t="s">
        <v>68</v>
      </c>
      <c r="IMI4094" s="910" t="s">
        <v>75</v>
      </c>
      <c r="IMJ4094" s="911"/>
      <c r="IMK4094" s="911"/>
      <c r="IML4094" s="911"/>
      <c r="IMM4094" s="911"/>
      <c r="IMN4094" s="911"/>
      <c r="IMO4094" s="911"/>
      <c r="IMP4094" s="911"/>
      <c r="IMQ4094" s="911"/>
      <c r="IMR4094" s="911"/>
      <c r="IMS4094" s="32"/>
      <c r="IMT4094" s="911" t="s">
        <v>74</v>
      </c>
      <c r="IMU4094" s="911"/>
      <c r="IMV4094" s="911"/>
      <c r="IMW4094" s="911"/>
      <c r="IMX4094" s="911"/>
      <c r="IMY4094" s="911"/>
      <c r="IMZ4094" s="911"/>
      <c r="INA4094" s="911"/>
      <c r="INB4094" s="911"/>
      <c r="INC4094" s="912"/>
      <c r="INE4094" s="913" t="s">
        <v>1</v>
      </c>
      <c r="INF4094" s="31"/>
      <c r="ING4094" s="909" t="s">
        <v>0</v>
      </c>
      <c r="INH4094" s="909"/>
      <c r="INI4094" s="909"/>
      <c r="INJ4094" s="909"/>
      <c r="INK4094" s="909"/>
      <c r="INL4094" s="909"/>
      <c r="INM4094" s="907" t="s">
        <v>79</v>
      </c>
      <c r="INN4094" s="909" t="s">
        <v>68</v>
      </c>
      <c r="INO4094" s="910" t="s">
        <v>75</v>
      </c>
      <c r="INP4094" s="911"/>
      <c r="INQ4094" s="911"/>
      <c r="INR4094" s="911"/>
      <c r="INS4094" s="911"/>
      <c r="INT4094" s="911"/>
      <c r="INU4094" s="911"/>
      <c r="INV4094" s="911"/>
      <c r="INW4094" s="911"/>
      <c r="INX4094" s="911"/>
      <c r="INY4094" s="32"/>
      <c r="INZ4094" s="911" t="s">
        <v>74</v>
      </c>
      <c r="IOA4094" s="911"/>
      <c r="IOB4094" s="911"/>
      <c r="IOC4094" s="911"/>
      <c r="IOD4094" s="911"/>
      <c r="IOE4094" s="911"/>
      <c r="IOF4094" s="911"/>
      <c r="IOG4094" s="911"/>
      <c r="IOH4094" s="911"/>
      <c r="IOI4094" s="912"/>
      <c r="IOK4094" s="913" t="s">
        <v>1</v>
      </c>
      <c r="IOL4094" s="31"/>
      <c r="IOM4094" s="909" t="s">
        <v>0</v>
      </c>
      <c r="ION4094" s="909"/>
      <c r="IOO4094" s="909"/>
      <c r="IOP4094" s="909"/>
      <c r="IOQ4094" s="909"/>
      <c r="IOR4094" s="909"/>
      <c r="IOS4094" s="907" t="s">
        <v>79</v>
      </c>
      <c r="IOT4094" s="909" t="s">
        <v>68</v>
      </c>
      <c r="IOU4094" s="910" t="s">
        <v>75</v>
      </c>
      <c r="IOV4094" s="911"/>
      <c r="IOW4094" s="911"/>
      <c r="IOX4094" s="911"/>
      <c r="IOY4094" s="911"/>
      <c r="IOZ4094" s="911"/>
      <c r="IPA4094" s="911"/>
      <c r="IPB4094" s="911"/>
      <c r="IPC4094" s="911"/>
      <c r="IPD4094" s="911"/>
      <c r="IPE4094" s="32"/>
      <c r="IPF4094" s="911" t="s">
        <v>74</v>
      </c>
      <c r="IPG4094" s="911"/>
      <c r="IPH4094" s="911"/>
      <c r="IPI4094" s="911"/>
      <c r="IPJ4094" s="911"/>
      <c r="IPK4094" s="911"/>
      <c r="IPL4094" s="911"/>
      <c r="IPM4094" s="911"/>
      <c r="IPN4094" s="911"/>
      <c r="IPO4094" s="912"/>
      <c r="IPQ4094" s="913" t="s">
        <v>1</v>
      </c>
      <c r="IPR4094" s="31"/>
      <c r="IPS4094" s="909" t="s">
        <v>0</v>
      </c>
      <c r="IPT4094" s="909"/>
      <c r="IPU4094" s="909"/>
      <c r="IPV4094" s="909"/>
      <c r="IPW4094" s="909"/>
      <c r="IPX4094" s="909"/>
      <c r="IPY4094" s="907" t="s">
        <v>79</v>
      </c>
      <c r="IPZ4094" s="909" t="s">
        <v>68</v>
      </c>
      <c r="IQA4094" s="910" t="s">
        <v>75</v>
      </c>
      <c r="IQB4094" s="911"/>
      <c r="IQC4094" s="911"/>
      <c r="IQD4094" s="911"/>
      <c r="IQE4094" s="911"/>
      <c r="IQF4094" s="911"/>
      <c r="IQG4094" s="911"/>
      <c r="IQH4094" s="911"/>
      <c r="IQI4094" s="911"/>
      <c r="IQJ4094" s="911"/>
      <c r="IQK4094" s="32"/>
      <c r="IQL4094" s="911" t="s">
        <v>74</v>
      </c>
      <c r="IQM4094" s="911"/>
      <c r="IQN4094" s="911"/>
      <c r="IQO4094" s="911"/>
      <c r="IQP4094" s="911"/>
      <c r="IQQ4094" s="911"/>
      <c r="IQR4094" s="911"/>
      <c r="IQS4094" s="911"/>
      <c r="IQT4094" s="911"/>
      <c r="IQU4094" s="912"/>
      <c r="IQW4094" s="913" t="s">
        <v>1</v>
      </c>
      <c r="IQX4094" s="31"/>
      <c r="IQY4094" s="909" t="s">
        <v>0</v>
      </c>
      <c r="IQZ4094" s="909"/>
      <c r="IRA4094" s="909"/>
      <c r="IRB4094" s="909"/>
      <c r="IRC4094" s="909"/>
      <c r="IRD4094" s="909"/>
      <c r="IRE4094" s="907" t="s">
        <v>79</v>
      </c>
      <c r="IRF4094" s="909" t="s">
        <v>68</v>
      </c>
      <c r="IRG4094" s="910" t="s">
        <v>75</v>
      </c>
      <c r="IRH4094" s="911"/>
      <c r="IRI4094" s="911"/>
      <c r="IRJ4094" s="911"/>
      <c r="IRK4094" s="911"/>
      <c r="IRL4094" s="911"/>
      <c r="IRM4094" s="911"/>
      <c r="IRN4094" s="911"/>
      <c r="IRO4094" s="911"/>
      <c r="IRP4094" s="911"/>
      <c r="IRQ4094" s="32"/>
      <c r="IRR4094" s="911" t="s">
        <v>74</v>
      </c>
      <c r="IRS4094" s="911"/>
      <c r="IRT4094" s="911"/>
      <c r="IRU4094" s="911"/>
      <c r="IRV4094" s="911"/>
      <c r="IRW4094" s="911"/>
      <c r="IRX4094" s="911"/>
      <c r="IRY4094" s="911"/>
      <c r="IRZ4094" s="911"/>
      <c r="ISA4094" s="912"/>
      <c r="ISC4094" s="913" t="s">
        <v>1</v>
      </c>
      <c r="ISD4094" s="31"/>
      <c r="ISE4094" s="909" t="s">
        <v>0</v>
      </c>
      <c r="ISF4094" s="909"/>
      <c r="ISG4094" s="909"/>
      <c r="ISH4094" s="909"/>
      <c r="ISI4094" s="909"/>
      <c r="ISJ4094" s="909"/>
      <c r="ISK4094" s="907" t="s">
        <v>79</v>
      </c>
      <c r="ISL4094" s="909" t="s">
        <v>68</v>
      </c>
      <c r="ISM4094" s="910" t="s">
        <v>75</v>
      </c>
      <c r="ISN4094" s="911"/>
      <c r="ISO4094" s="911"/>
      <c r="ISP4094" s="911"/>
      <c r="ISQ4094" s="911"/>
      <c r="ISR4094" s="911"/>
      <c r="ISS4094" s="911"/>
      <c r="IST4094" s="911"/>
      <c r="ISU4094" s="911"/>
      <c r="ISV4094" s="911"/>
      <c r="ISW4094" s="32"/>
      <c r="ISX4094" s="911" t="s">
        <v>74</v>
      </c>
      <c r="ISY4094" s="911"/>
      <c r="ISZ4094" s="911"/>
      <c r="ITA4094" s="911"/>
      <c r="ITB4094" s="911"/>
      <c r="ITC4094" s="911"/>
      <c r="ITD4094" s="911"/>
      <c r="ITE4094" s="911"/>
      <c r="ITF4094" s="911"/>
      <c r="ITG4094" s="912"/>
      <c r="ITI4094" s="913" t="s">
        <v>1</v>
      </c>
      <c r="ITJ4094" s="31"/>
      <c r="ITK4094" s="909" t="s">
        <v>0</v>
      </c>
      <c r="ITL4094" s="909"/>
      <c r="ITM4094" s="909"/>
      <c r="ITN4094" s="909"/>
      <c r="ITO4094" s="909"/>
      <c r="ITP4094" s="909"/>
      <c r="ITQ4094" s="907" t="s">
        <v>79</v>
      </c>
      <c r="ITR4094" s="909" t="s">
        <v>68</v>
      </c>
      <c r="ITS4094" s="910" t="s">
        <v>75</v>
      </c>
      <c r="ITT4094" s="911"/>
      <c r="ITU4094" s="911"/>
      <c r="ITV4094" s="911"/>
      <c r="ITW4094" s="911"/>
      <c r="ITX4094" s="911"/>
      <c r="ITY4094" s="911"/>
      <c r="ITZ4094" s="911"/>
      <c r="IUA4094" s="911"/>
      <c r="IUB4094" s="911"/>
      <c r="IUC4094" s="32"/>
      <c r="IUD4094" s="911" t="s">
        <v>74</v>
      </c>
      <c r="IUE4094" s="911"/>
      <c r="IUF4094" s="911"/>
      <c r="IUG4094" s="911"/>
      <c r="IUH4094" s="911"/>
      <c r="IUI4094" s="911"/>
      <c r="IUJ4094" s="911"/>
      <c r="IUK4094" s="911"/>
      <c r="IUL4094" s="911"/>
      <c r="IUM4094" s="912"/>
      <c r="IUO4094" s="913" t="s">
        <v>1</v>
      </c>
      <c r="IUP4094" s="31"/>
      <c r="IUQ4094" s="909" t="s">
        <v>0</v>
      </c>
      <c r="IUR4094" s="909"/>
      <c r="IUS4094" s="909"/>
      <c r="IUT4094" s="909"/>
      <c r="IUU4094" s="909"/>
      <c r="IUV4094" s="909"/>
      <c r="IUW4094" s="907" t="s">
        <v>79</v>
      </c>
      <c r="IUX4094" s="909" t="s">
        <v>68</v>
      </c>
      <c r="IUY4094" s="910" t="s">
        <v>75</v>
      </c>
      <c r="IUZ4094" s="911"/>
      <c r="IVA4094" s="911"/>
      <c r="IVB4094" s="911"/>
      <c r="IVC4094" s="911"/>
      <c r="IVD4094" s="911"/>
      <c r="IVE4094" s="911"/>
      <c r="IVF4094" s="911"/>
      <c r="IVG4094" s="911"/>
      <c r="IVH4094" s="911"/>
      <c r="IVI4094" s="32"/>
      <c r="IVJ4094" s="911" t="s">
        <v>74</v>
      </c>
      <c r="IVK4094" s="911"/>
      <c r="IVL4094" s="911"/>
      <c r="IVM4094" s="911"/>
      <c r="IVN4094" s="911"/>
      <c r="IVO4094" s="911"/>
      <c r="IVP4094" s="911"/>
      <c r="IVQ4094" s="911"/>
      <c r="IVR4094" s="911"/>
      <c r="IVS4094" s="912"/>
      <c r="IVU4094" s="913" t="s">
        <v>1</v>
      </c>
      <c r="IVV4094" s="31"/>
      <c r="IVW4094" s="909" t="s">
        <v>0</v>
      </c>
      <c r="IVX4094" s="909"/>
      <c r="IVY4094" s="909"/>
      <c r="IVZ4094" s="909"/>
      <c r="IWA4094" s="909"/>
      <c r="IWB4094" s="909"/>
      <c r="IWC4094" s="907" t="s">
        <v>79</v>
      </c>
      <c r="IWD4094" s="909" t="s">
        <v>68</v>
      </c>
      <c r="IWE4094" s="910" t="s">
        <v>75</v>
      </c>
      <c r="IWF4094" s="911"/>
      <c r="IWG4094" s="911"/>
      <c r="IWH4094" s="911"/>
      <c r="IWI4094" s="911"/>
      <c r="IWJ4094" s="911"/>
      <c r="IWK4094" s="911"/>
      <c r="IWL4094" s="911"/>
      <c r="IWM4094" s="911"/>
      <c r="IWN4094" s="911"/>
      <c r="IWO4094" s="32"/>
      <c r="IWP4094" s="911" t="s">
        <v>74</v>
      </c>
      <c r="IWQ4094" s="911"/>
      <c r="IWR4094" s="911"/>
      <c r="IWS4094" s="911"/>
      <c r="IWT4094" s="911"/>
      <c r="IWU4094" s="911"/>
      <c r="IWV4094" s="911"/>
      <c r="IWW4094" s="911"/>
      <c r="IWX4094" s="911"/>
      <c r="IWY4094" s="912"/>
      <c r="IXA4094" s="913" t="s">
        <v>1</v>
      </c>
      <c r="IXB4094" s="31"/>
      <c r="IXC4094" s="909" t="s">
        <v>0</v>
      </c>
      <c r="IXD4094" s="909"/>
      <c r="IXE4094" s="909"/>
      <c r="IXF4094" s="909"/>
      <c r="IXG4094" s="909"/>
      <c r="IXH4094" s="909"/>
      <c r="IXI4094" s="907" t="s">
        <v>79</v>
      </c>
      <c r="IXJ4094" s="909" t="s">
        <v>68</v>
      </c>
      <c r="IXK4094" s="910" t="s">
        <v>75</v>
      </c>
      <c r="IXL4094" s="911"/>
      <c r="IXM4094" s="911"/>
      <c r="IXN4094" s="911"/>
      <c r="IXO4094" s="911"/>
      <c r="IXP4094" s="911"/>
      <c r="IXQ4094" s="911"/>
      <c r="IXR4094" s="911"/>
      <c r="IXS4094" s="911"/>
      <c r="IXT4094" s="911"/>
      <c r="IXU4094" s="32"/>
      <c r="IXV4094" s="911" t="s">
        <v>74</v>
      </c>
      <c r="IXW4094" s="911"/>
      <c r="IXX4094" s="911"/>
      <c r="IXY4094" s="911"/>
      <c r="IXZ4094" s="911"/>
      <c r="IYA4094" s="911"/>
      <c r="IYB4094" s="911"/>
      <c r="IYC4094" s="911"/>
      <c r="IYD4094" s="911"/>
      <c r="IYE4094" s="912"/>
      <c r="IYG4094" s="913" t="s">
        <v>1</v>
      </c>
      <c r="IYH4094" s="31"/>
      <c r="IYI4094" s="909" t="s">
        <v>0</v>
      </c>
      <c r="IYJ4094" s="909"/>
      <c r="IYK4094" s="909"/>
      <c r="IYL4094" s="909"/>
      <c r="IYM4094" s="909"/>
      <c r="IYN4094" s="909"/>
      <c r="IYO4094" s="907" t="s">
        <v>79</v>
      </c>
      <c r="IYP4094" s="909" t="s">
        <v>68</v>
      </c>
      <c r="IYQ4094" s="910" t="s">
        <v>75</v>
      </c>
      <c r="IYR4094" s="911"/>
      <c r="IYS4094" s="911"/>
      <c r="IYT4094" s="911"/>
      <c r="IYU4094" s="911"/>
      <c r="IYV4094" s="911"/>
      <c r="IYW4094" s="911"/>
      <c r="IYX4094" s="911"/>
      <c r="IYY4094" s="911"/>
      <c r="IYZ4094" s="911"/>
      <c r="IZA4094" s="32"/>
      <c r="IZB4094" s="911" t="s">
        <v>74</v>
      </c>
      <c r="IZC4094" s="911"/>
      <c r="IZD4094" s="911"/>
      <c r="IZE4094" s="911"/>
      <c r="IZF4094" s="911"/>
      <c r="IZG4094" s="911"/>
      <c r="IZH4094" s="911"/>
      <c r="IZI4094" s="911"/>
      <c r="IZJ4094" s="911"/>
      <c r="IZK4094" s="912"/>
      <c r="IZM4094" s="913" t="s">
        <v>1</v>
      </c>
      <c r="IZN4094" s="31"/>
      <c r="IZO4094" s="909" t="s">
        <v>0</v>
      </c>
      <c r="IZP4094" s="909"/>
      <c r="IZQ4094" s="909"/>
      <c r="IZR4094" s="909"/>
      <c r="IZS4094" s="909"/>
      <c r="IZT4094" s="909"/>
      <c r="IZU4094" s="907" t="s">
        <v>79</v>
      </c>
      <c r="IZV4094" s="909" t="s">
        <v>68</v>
      </c>
      <c r="IZW4094" s="910" t="s">
        <v>75</v>
      </c>
      <c r="IZX4094" s="911"/>
      <c r="IZY4094" s="911"/>
      <c r="IZZ4094" s="911"/>
      <c r="JAA4094" s="911"/>
      <c r="JAB4094" s="911"/>
      <c r="JAC4094" s="911"/>
      <c r="JAD4094" s="911"/>
      <c r="JAE4094" s="911"/>
      <c r="JAF4094" s="911"/>
      <c r="JAG4094" s="32"/>
      <c r="JAH4094" s="911" t="s">
        <v>74</v>
      </c>
      <c r="JAI4094" s="911"/>
      <c r="JAJ4094" s="911"/>
      <c r="JAK4094" s="911"/>
      <c r="JAL4094" s="911"/>
      <c r="JAM4094" s="911"/>
      <c r="JAN4094" s="911"/>
      <c r="JAO4094" s="911"/>
      <c r="JAP4094" s="911"/>
      <c r="JAQ4094" s="912"/>
      <c r="JAS4094" s="913" t="s">
        <v>1</v>
      </c>
      <c r="JAT4094" s="31"/>
      <c r="JAU4094" s="909" t="s">
        <v>0</v>
      </c>
      <c r="JAV4094" s="909"/>
      <c r="JAW4094" s="909"/>
      <c r="JAX4094" s="909"/>
      <c r="JAY4094" s="909"/>
      <c r="JAZ4094" s="909"/>
      <c r="JBA4094" s="907" t="s">
        <v>79</v>
      </c>
      <c r="JBB4094" s="909" t="s">
        <v>68</v>
      </c>
      <c r="JBC4094" s="910" t="s">
        <v>75</v>
      </c>
      <c r="JBD4094" s="911"/>
      <c r="JBE4094" s="911"/>
      <c r="JBF4094" s="911"/>
      <c r="JBG4094" s="911"/>
      <c r="JBH4094" s="911"/>
      <c r="JBI4094" s="911"/>
      <c r="JBJ4094" s="911"/>
      <c r="JBK4094" s="911"/>
      <c r="JBL4094" s="911"/>
      <c r="JBM4094" s="32"/>
      <c r="JBN4094" s="911" t="s">
        <v>74</v>
      </c>
      <c r="JBO4094" s="911"/>
      <c r="JBP4094" s="911"/>
      <c r="JBQ4094" s="911"/>
      <c r="JBR4094" s="911"/>
      <c r="JBS4094" s="911"/>
      <c r="JBT4094" s="911"/>
      <c r="JBU4094" s="911"/>
      <c r="JBV4094" s="911"/>
      <c r="JBW4094" s="912"/>
      <c r="JBY4094" s="913" t="s">
        <v>1</v>
      </c>
      <c r="JBZ4094" s="31"/>
      <c r="JCA4094" s="909" t="s">
        <v>0</v>
      </c>
      <c r="JCB4094" s="909"/>
      <c r="JCC4094" s="909"/>
      <c r="JCD4094" s="909"/>
      <c r="JCE4094" s="909"/>
      <c r="JCF4094" s="909"/>
      <c r="JCG4094" s="907" t="s">
        <v>79</v>
      </c>
      <c r="JCH4094" s="909" t="s">
        <v>68</v>
      </c>
      <c r="JCI4094" s="910" t="s">
        <v>75</v>
      </c>
      <c r="JCJ4094" s="911"/>
      <c r="JCK4094" s="911"/>
      <c r="JCL4094" s="911"/>
      <c r="JCM4094" s="911"/>
      <c r="JCN4094" s="911"/>
      <c r="JCO4094" s="911"/>
      <c r="JCP4094" s="911"/>
      <c r="JCQ4094" s="911"/>
      <c r="JCR4094" s="911"/>
      <c r="JCS4094" s="32"/>
      <c r="JCT4094" s="911" t="s">
        <v>74</v>
      </c>
      <c r="JCU4094" s="911"/>
      <c r="JCV4094" s="911"/>
      <c r="JCW4094" s="911"/>
      <c r="JCX4094" s="911"/>
      <c r="JCY4094" s="911"/>
      <c r="JCZ4094" s="911"/>
      <c r="JDA4094" s="911"/>
      <c r="JDB4094" s="911"/>
      <c r="JDC4094" s="912"/>
      <c r="JDE4094" s="913" t="s">
        <v>1</v>
      </c>
      <c r="JDF4094" s="31"/>
      <c r="JDG4094" s="909" t="s">
        <v>0</v>
      </c>
      <c r="JDH4094" s="909"/>
      <c r="JDI4094" s="909"/>
      <c r="JDJ4094" s="909"/>
      <c r="JDK4094" s="909"/>
      <c r="JDL4094" s="909"/>
      <c r="JDM4094" s="907" t="s">
        <v>79</v>
      </c>
      <c r="JDN4094" s="909" t="s">
        <v>68</v>
      </c>
      <c r="JDO4094" s="910" t="s">
        <v>75</v>
      </c>
      <c r="JDP4094" s="911"/>
      <c r="JDQ4094" s="911"/>
      <c r="JDR4094" s="911"/>
      <c r="JDS4094" s="911"/>
      <c r="JDT4094" s="911"/>
      <c r="JDU4094" s="911"/>
      <c r="JDV4094" s="911"/>
      <c r="JDW4094" s="911"/>
      <c r="JDX4094" s="911"/>
      <c r="JDY4094" s="32"/>
      <c r="JDZ4094" s="911" t="s">
        <v>74</v>
      </c>
      <c r="JEA4094" s="911"/>
      <c r="JEB4094" s="911"/>
      <c r="JEC4094" s="911"/>
      <c r="JED4094" s="911"/>
      <c r="JEE4094" s="911"/>
      <c r="JEF4094" s="911"/>
      <c r="JEG4094" s="911"/>
      <c r="JEH4094" s="911"/>
      <c r="JEI4094" s="912"/>
      <c r="JEK4094" s="913" t="s">
        <v>1</v>
      </c>
      <c r="JEL4094" s="31"/>
      <c r="JEM4094" s="909" t="s">
        <v>0</v>
      </c>
      <c r="JEN4094" s="909"/>
      <c r="JEO4094" s="909"/>
      <c r="JEP4094" s="909"/>
      <c r="JEQ4094" s="909"/>
      <c r="JER4094" s="909"/>
      <c r="JES4094" s="907" t="s">
        <v>79</v>
      </c>
      <c r="JET4094" s="909" t="s">
        <v>68</v>
      </c>
      <c r="JEU4094" s="910" t="s">
        <v>75</v>
      </c>
      <c r="JEV4094" s="911"/>
      <c r="JEW4094" s="911"/>
      <c r="JEX4094" s="911"/>
      <c r="JEY4094" s="911"/>
      <c r="JEZ4094" s="911"/>
      <c r="JFA4094" s="911"/>
      <c r="JFB4094" s="911"/>
      <c r="JFC4094" s="911"/>
      <c r="JFD4094" s="911"/>
      <c r="JFE4094" s="32"/>
      <c r="JFF4094" s="911" t="s">
        <v>74</v>
      </c>
      <c r="JFG4094" s="911"/>
      <c r="JFH4094" s="911"/>
      <c r="JFI4094" s="911"/>
      <c r="JFJ4094" s="911"/>
      <c r="JFK4094" s="911"/>
      <c r="JFL4094" s="911"/>
      <c r="JFM4094" s="911"/>
      <c r="JFN4094" s="911"/>
      <c r="JFO4094" s="912"/>
      <c r="JFQ4094" s="913" t="s">
        <v>1</v>
      </c>
      <c r="JFR4094" s="31"/>
      <c r="JFS4094" s="909" t="s">
        <v>0</v>
      </c>
      <c r="JFT4094" s="909"/>
      <c r="JFU4094" s="909"/>
      <c r="JFV4094" s="909"/>
      <c r="JFW4094" s="909"/>
      <c r="JFX4094" s="909"/>
      <c r="JFY4094" s="907" t="s">
        <v>79</v>
      </c>
      <c r="JFZ4094" s="909" t="s">
        <v>68</v>
      </c>
      <c r="JGA4094" s="910" t="s">
        <v>75</v>
      </c>
      <c r="JGB4094" s="911"/>
      <c r="JGC4094" s="911"/>
      <c r="JGD4094" s="911"/>
      <c r="JGE4094" s="911"/>
      <c r="JGF4094" s="911"/>
      <c r="JGG4094" s="911"/>
      <c r="JGH4094" s="911"/>
      <c r="JGI4094" s="911"/>
      <c r="JGJ4094" s="911"/>
      <c r="JGK4094" s="32"/>
      <c r="JGL4094" s="911" t="s">
        <v>74</v>
      </c>
      <c r="JGM4094" s="911"/>
      <c r="JGN4094" s="911"/>
      <c r="JGO4094" s="911"/>
      <c r="JGP4094" s="911"/>
      <c r="JGQ4094" s="911"/>
      <c r="JGR4094" s="911"/>
      <c r="JGS4094" s="911"/>
      <c r="JGT4094" s="911"/>
      <c r="JGU4094" s="912"/>
      <c r="JGW4094" s="913" t="s">
        <v>1</v>
      </c>
      <c r="JGX4094" s="31"/>
      <c r="JGY4094" s="909" t="s">
        <v>0</v>
      </c>
      <c r="JGZ4094" s="909"/>
      <c r="JHA4094" s="909"/>
      <c r="JHB4094" s="909"/>
      <c r="JHC4094" s="909"/>
      <c r="JHD4094" s="909"/>
      <c r="JHE4094" s="907" t="s">
        <v>79</v>
      </c>
      <c r="JHF4094" s="909" t="s">
        <v>68</v>
      </c>
      <c r="JHG4094" s="910" t="s">
        <v>75</v>
      </c>
      <c r="JHH4094" s="911"/>
      <c r="JHI4094" s="911"/>
      <c r="JHJ4094" s="911"/>
      <c r="JHK4094" s="911"/>
      <c r="JHL4094" s="911"/>
      <c r="JHM4094" s="911"/>
      <c r="JHN4094" s="911"/>
      <c r="JHO4094" s="911"/>
      <c r="JHP4094" s="911"/>
      <c r="JHQ4094" s="32"/>
      <c r="JHR4094" s="911" t="s">
        <v>74</v>
      </c>
      <c r="JHS4094" s="911"/>
      <c r="JHT4094" s="911"/>
      <c r="JHU4094" s="911"/>
      <c r="JHV4094" s="911"/>
      <c r="JHW4094" s="911"/>
      <c r="JHX4094" s="911"/>
      <c r="JHY4094" s="911"/>
      <c r="JHZ4094" s="911"/>
      <c r="JIA4094" s="912"/>
      <c r="JIC4094" s="913" t="s">
        <v>1</v>
      </c>
      <c r="JID4094" s="31"/>
      <c r="JIE4094" s="909" t="s">
        <v>0</v>
      </c>
      <c r="JIF4094" s="909"/>
      <c r="JIG4094" s="909"/>
      <c r="JIH4094" s="909"/>
      <c r="JII4094" s="909"/>
      <c r="JIJ4094" s="909"/>
      <c r="JIK4094" s="907" t="s">
        <v>79</v>
      </c>
      <c r="JIL4094" s="909" t="s">
        <v>68</v>
      </c>
      <c r="JIM4094" s="910" t="s">
        <v>75</v>
      </c>
      <c r="JIN4094" s="911"/>
      <c r="JIO4094" s="911"/>
      <c r="JIP4094" s="911"/>
      <c r="JIQ4094" s="911"/>
      <c r="JIR4094" s="911"/>
      <c r="JIS4094" s="911"/>
      <c r="JIT4094" s="911"/>
      <c r="JIU4094" s="911"/>
      <c r="JIV4094" s="911"/>
      <c r="JIW4094" s="32"/>
      <c r="JIX4094" s="911" t="s">
        <v>74</v>
      </c>
      <c r="JIY4094" s="911"/>
      <c r="JIZ4094" s="911"/>
      <c r="JJA4094" s="911"/>
      <c r="JJB4094" s="911"/>
      <c r="JJC4094" s="911"/>
      <c r="JJD4094" s="911"/>
      <c r="JJE4094" s="911"/>
      <c r="JJF4094" s="911"/>
      <c r="JJG4094" s="912"/>
      <c r="JJI4094" s="913" t="s">
        <v>1</v>
      </c>
      <c r="JJJ4094" s="31"/>
      <c r="JJK4094" s="909" t="s">
        <v>0</v>
      </c>
      <c r="JJL4094" s="909"/>
      <c r="JJM4094" s="909"/>
      <c r="JJN4094" s="909"/>
      <c r="JJO4094" s="909"/>
      <c r="JJP4094" s="909"/>
      <c r="JJQ4094" s="907" t="s">
        <v>79</v>
      </c>
      <c r="JJR4094" s="909" t="s">
        <v>68</v>
      </c>
      <c r="JJS4094" s="910" t="s">
        <v>75</v>
      </c>
      <c r="JJT4094" s="911"/>
      <c r="JJU4094" s="911"/>
      <c r="JJV4094" s="911"/>
      <c r="JJW4094" s="911"/>
      <c r="JJX4094" s="911"/>
      <c r="JJY4094" s="911"/>
      <c r="JJZ4094" s="911"/>
      <c r="JKA4094" s="911"/>
      <c r="JKB4094" s="911"/>
      <c r="JKC4094" s="32"/>
      <c r="JKD4094" s="911" t="s">
        <v>74</v>
      </c>
      <c r="JKE4094" s="911"/>
      <c r="JKF4094" s="911"/>
      <c r="JKG4094" s="911"/>
      <c r="JKH4094" s="911"/>
      <c r="JKI4094" s="911"/>
      <c r="JKJ4094" s="911"/>
      <c r="JKK4094" s="911"/>
      <c r="JKL4094" s="911"/>
      <c r="JKM4094" s="912"/>
      <c r="JKO4094" s="913" t="s">
        <v>1</v>
      </c>
      <c r="JKP4094" s="31"/>
      <c r="JKQ4094" s="909" t="s">
        <v>0</v>
      </c>
      <c r="JKR4094" s="909"/>
      <c r="JKS4094" s="909"/>
      <c r="JKT4094" s="909"/>
      <c r="JKU4094" s="909"/>
      <c r="JKV4094" s="909"/>
      <c r="JKW4094" s="907" t="s">
        <v>79</v>
      </c>
      <c r="JKX4094" s="909" t="s">
        <v>68</v>
      </c>
      <c r="JKY4094" s="910" t="s">
        <v>75</v>
      </c>
      <c r="JKZ4094" s="911"/>
      <c r="JLA4094" s="911"/>
      <c r="JLB4094" s="911"/>
      <c r="JLC4094" s="911"/>
      <c r="JLD4094" s="911"/>
      <c r="JLE4094" s="911"/>
      <c r="JLF4094" s="911"/>
      <c r="JLG4094" s="911"/>
      <c r="JLH4094" s="911"/>
      <c r="JLI4094" s="32"/>
      <c r="JLJ4094" s="911" t="s">
        <v>74</v>
      </c>
      <c r="JLK4094" s="911"/>
      <c r="JLL4094" s="911"/>
      <c r="JLM4094" s="911"/>
      <c r="JLN4094" s="911"/>
      <c r="JLO4094" s="911"/>
      <c r="JLP4094" s="911"/>
      <c r="JLQ4094" s="911"/>
      <c r="JLR4094" s="911"/>
      <c r="JLS4094" s="912"/>
      <c r="JLU4094" s="913" t="s">
        <v>1</v>
      </c>
      <c r="JLV4094" s="31"/>
      <c r="JLW4094" s="909" t="s">
        <v>0</v>
      </c>
      <c r="JLX4094" s="909"/>
      <c r="JLY4094" s="909"/>
      <c r="JLZ4094" s="909"/>
      <c r="JMA4094" s="909"/>
      <c r="JMB4094" s="909"/>
      <c r="JMC4094" s="907" t="s">
        <v>79</v>
      </c>
      <c r="JMD4094" s="909" t="s">
        <v>68</v>
      </c>
      <c r="JME4094" s="910" t="s">
        <v>75</v>
      </c>
      <c r="JMF4094" s="911"/>
      <c r="JMG4094" s="911"/>
      <c r="JMH4094" s="911"/>
      <c r="JMI4094" s="911"/>
      <c r="JMJ4094" s="911"/>
      <c r="JMK4094" s="911"/>
      <c r="JML4094" s="911"/>
      <c r="JMM4094" s="911"/>
      <c r="JMN4094" s="911"/>
      <c r="JMO4094" s="32"/>
      <c r="JMP4094" s="911" t="s">
        <v>74</v>
      </c>
      <c r="JMQ4094" s="911"/>
      <c r="JMR4094" s="911"/>
      <c r="JMS4094" s="911"/>
      <c r="JMT4094" s="911"/>
      <c r="JMU4094" s="911"/>
      <c r="JMV4094" s="911"/>
      <c r="JMW4094" s="911"/>
      <c r="JMX4094" s="911"/>
      <c r="JMY4094" s="912"/>
      <c r="JNA4094" s="913" t="s">
        <v>1</v>
      </c>
      <c r="JNB4094" s="31"/>
      <c r="JNC4094" s="909" t="s">
        <v>0</v>
      </c>
      <c r="JND4094" s="909"/>
      <c r="JNE4094" s="909"/>
      <c r="JNF4094" s="909"/>
      <c r="JNG4094" s="909"/>
      <c r="JNH4094" s="909"/>
      <c r="JNI4094" s="907" t="s">
        <v>79</v>
      </c>
      <c r="JNJ4094" s="909" t="s">
        <v>68</v>
      </c>
      <c r="JNK4094" s="910" t="s">
        <v>75</v>
      </c>
      <c r="JNL4094" s="911"/>
      <c r="JNM4094" s="911"/>
      <c r="JNN4094" s="911"/>
      <c r="JNO4094" s="911"/>
      <c r="JNP4094" s="911"/>
      <c r="JNQ4094" s="911"/>
      <c r="JNR4094" s="911"/>
      <c r="JNS4094" s="911"/>
      <c r="JNT4094" s="911"/>
      <c r="JNU4094" s="32"/>
      <c r="JNV4094" s="911" t="s">
        <v>74</v>
      </c>
      <c r="JNW4094" s="911"/>
      <c r="JNX4094" s="911"/>
      <c r="JNY4094" s="911"/>
      <c r="JNZ4094" s="911"/>
      <c r="JOA4094" s="911"/>
      <c r="JOB4094" s="911"/>
      <c r="JOC4094" s="911"/>
      <c r="JOD4094" s="911"/>
      <c r="JOE4094" s="912"/>
      <c r="JOG4094" s="913" t="s">
        <v>1</v>
      </c>
      <c r="JOH4094" s="31"/>
      <c r="JOI4094" s="909" t="s">
        <v>0</v>
      </c>
      <c r="JOJ4094" s="909"/>
      <c r="JOK4094" s="909"/>
      <c r="JOL4094" s="909"/>
      <c r="JOM4094" s="909"/>
      <c r="JON4094" s="909"/>
      <c r="JOO4094" s="907" t="s">
        <v>79</v>
      </c>
      <c r="JOP4094" s="909" t="s">
        <v>68</v>
      </c>
      <c r="JOQ4094" s="910" t="s">
        <v>75</v>
      </c>
      <c r="JOR4094" s="911"/>
      <c r="JOS4094" s="911"/>
      <c r="JOT4094" s="911"/>
      <c r="JOU4094" s="911"/>
      <c r="JOV4094" s="911"/>
      <c r="JOW4094" s="911"/>
      <c r="JOX4094" s="911"/>
      <c r="JOY4094" s="911"/>
      <c r="JOZ4094" s="911"/>
      <c r="JPA4094" s="32"/>
      <c r="JPB4094" s="911" t="s">
        <v>74</v>
      </c>
      <c r="JPC4094" s="911"/>
      <c r="JPD4094" s="911"/>
      <c r="JPE4094" s="911"/>
      <c r="JPF4094" s="911"/>
      <c r="JPG4094" s="911"/>
      <c r="JPH4094" s="911"/>
      <c r="JPI4094" s="911"/>
      <c r="JPJ4094" s="911"/>
      <c r="JPK4094" s="912"/>
      <c r="JPM4094" s="913" t="s">
        <v>1</v>
      </c>
      <c r="JPN4094" s="31"/>
      <c r="JPO4094" s="909" t="s">
        <v>0</v>
      </c>
      <c r="JPP4094" s="909"/>
      <c r="JPQ4094" s="909"/>
      <c r="JPR4094" s="909"/>
      <c r="JPS4094" s="909"/>
      <c r="JPT4094" s="909"/>
      <c r="JPU4094" s="907" t="s">
        <v>79</v>
      </c>
      <c r="JPV4094" s="909" t="s">
        <v>68</v>
      </c>
      <c r="JPW4094" s="910" t="s">
        <v>75</v>
      </c>
      <c r="JPX4094" s="911"/>
      <c r="JPY4094" s="911"/>
      <c r="JPZ4094" s="911"/>
      <c r="JQA4094" s="911"/>
      <c r="JQB4094" s="911"/>
      <c r="JQC4094" s="911"/>
      <c r="JQD4094" s="911"/>
      <c r="JQE4094" s="911"/>
      <c r="JQF4094" s="911"/>
      <c r="JQG4094" s="32"/>
      <c r="JQH4094" s="911" t="s">
        <v>74</v>
      </c>
      <c r="JQI4094" s="911"/>
      <c r="JQJ4094" s="911"/>
      <c r="JQK4094" s="911"/>
      <c r="JQL4094" s="911"/>
      <c r="JQM4094" s="911"/>
      <c r="JQN4094" s="911"/>
      <c r="JQO4094" s="911"/>
      <c r="JQP4094" s="911"/>
      <c r="JQQ4094" s="912"/>
      <c r="JQS4094" s="913" t="s">
        <v>1</v>
      </c>
      <c r="JQT4094" s="31"/>
      <c r="JQU4094" s="909" t="s">
        <v>0</v>
      </c>
      <c r="JQV4094" s="909"/>
      <c r="JQW4094" s="909"/>
      <c r="JQX4094" s="909"/>
      <c r="JQY4094" s="909"/>
      <c r="JQZ4094" s="909"/>
      <c r="JRA4094" s="907" t="s">
        <v>79</v>
      </c>
      <c r="JRB4094" s="909" t="s">
        <v>68</v>
      </c>
      <c r="JRC4094" s="910" t="s">
        <v>75</v>
      </c>
      <c r="JRD4094" s="911"/>
      <c r="JRE4094" s="911"/>
      <c r="JRF4094" s="911"/>
      <c r="JRG4094" s="911"/>
      <c r="JRH4094" s="911"/>
      <c r="JRI4094" s="911"/>
      <c r="JRJ4094" s="911"/>
      <c r="JRK4094" s="911"/>
      <c r="JRL4094" s="911"/>
      <c r="JRM4094" s="32"/>
      <c r="JRN4094" s="911" t="s">
        <v>74</v>
      </c>
      <c r="JRO4094" s="911"/>
      <c r="JRP4094" s="911"/>
      <c r="JRQ4094" s="911"/>
      <c r="JRR4094" s="911"/>
      <c r="JRS4094" s="911"/>
      <c r="JRT4094" s="911"/>
      <c r="JRU4094" s="911"/>
      <c r="JRV4094" s="911"/>
      <c r="JRW4094" s="912"/>
      <c r="JRY4094" s="913" t="s">
        <v>1</v>
      </c>
      <c r="JRZ4094" s="31"/>
      <c r="JSA4094" s="909" t="s">
        <v>0</v>
      </c>
      <c r="JSB4094" s="909"/>
      <c r="JSC4094" s="909"/>
      <c r="JSD4094" s="909"/>
      <c r="JSE4094" s="909"/>
      <c r="JSF4094" s="909"/>
      <c r="JSG4094" s="907" t="s">
        <v>79</v>
      </c>
      <c r="JSH4094" s="909" t="s">
        <v>68</v>
      </c>
      <c r="JSI4094" s="910" t="s">
        <v>75</v>
      </c>
      <c r="JSJ4094" s="911"/>
      <c r="JSK4094" s="911"/>
      <c r="JSL4094" s="911"/>
      <c r="JSM4094" s="911"/>
      <c r="JSN4094" s="911"/>
      <c r="JSO4094" s="911"/>
      <c r="JSP4094" s="911"/>
      <c r="JSQ4094" s="911"/>
      <c r="JSR4094" s="911"/>
      <c r="JSS4094" s="32"/>
      <c r="JST4094" s="911" t="s">
        <v>74</v>
      </c>
      <c r="JSU4094" s="911"/>
      <c r="JSV4094" s="911"/>
      <c r="JSW4094" s="911"/>
      <c r="JSX4094" s="911"/>
      <c r="JSY4094" s="911"/>
      <c r="JSZ4094" s="911"/>
      <c r="JTA4094" s="911"/>
      <c r="JTB4094" s="911"/>
      <c r="JTC4094" s="912"/>
      <c r="JTE4094" s="913" t="s">
        <v>1</v>
      </c>
      <c r="JTF4094" s="31"/>
      <c r="JTG4094" s="909" t="s">
        <v>0</v>
      </c>
      <c r="JTH4094" s="909"/>
      <c r="JTI4094" s="909"/>
      <c r="JTJ4094" s="909"/>
      <c r="JTK4094" s="909"/>
      <c r="JTL4094" s="909"/>
      <c r="JTM4094" s="907" t="s">
        <v>79</v>
      </c>
      <c r="JTN4094" s="909" t="s">
        <v>68</v>
      </c>
      <c r="JTO4094" s="910" t="s">
        <v>75</v>
      </c>
      <c r="JTP4094" s="911"/>
      <c r="JTQ4094" s="911"/>
      <c r="JTR4094" s="911"/>
      <c r="JTS4094" s="911"/>
      <c r="JTT4094" s="911"/>
      <c r="JTU4094" s="911"/>
      <c r="JTV4094" s="911"/>
      <c r="JTW4094" s="911"/>
      <c r="JTX4094" s="911"/>
      <c r="JTY4094" s="32"/>
      <c r="JTZ4094" s="911" t="s">
        <v>74</v>
      </c>
      <c r="JUA4094" s="911"/>
      <c r="JUB4094" s="911"/>
      <c r="JUC4094" s="911"/>
      <c r="JUD4094" s="911"/>
      <c r="JUE4094" s="911"/>
      <c r="JUF4094" s="911"/>
      <c r="JUG4094" s="911"/>
      <c r="JUH4094" s="911"/>
      <c r="JUI4094" s="912"/>
      <c r="JUK4094" s="913" t="s">
        <v>1</v>
      </c>
      <c r="JUL4094" s="31"/>
      <c r="JUM4094" s="909" t="s">
        <v>0</v>
      </c>
      <c r="JUN4094" s="909"/>
      <c r="JUO4094" s="909"/>
      <c r="JUP4094" s="909"/>
      <c r="JUQ4094" s="909"/>
      <c r="JUR4094" s="909"/>
      <c r="JUS4094" s="907" t="s">
        <v>79</v>
      </c>
      <c r="JUT4094" s="909" t="s">
        <v>68</v>
      </c>
      <c r="JUU4094" s="910" t="s">
        <v>75</v>
      </c>
      <c r="JUV4094" s="911"/>
      <c r="JUW4094" s="911"/>
      <c r="JUX4094" s="911"/>
      <c r="JUY4094" s="911"/>
      <c r="JUZ4094" s="911"/>
      <c r="JVA4094" s="911"/>
      <c r="JVB4094" s="911"/>
      <c r="JVC4094" s="911"/>
      <c r="JVD4094" s="911"/>
      <c r="JVE4094" s="32"/>
      <c r="JVF4094" s="911" t="s">
        <v>74</v>
      </c>
      <c r="JVG4094" s="911"/>
      <c r="JVH4094" s="911"/>
      <c r="JVI4094" s="911"/>
      <c r="JVJ4094" s="911"/>
      <c r="JVK4094" s="911"/>
      <c r="JVL4094" s="911"/>
      <c r="JVM4094" s="911"/>
      <c r="JVN4094" s="911"/>
      <c r="JVO4094" s="912"/>
      <c r="JVQ4094" s="913" t="s">
        <v>1</v>
      </c>
      <c r="JVR4094" s="31"/>
      <c r="JVS4094" s="909" t="s">
        <v>0</v>
      </c>
      <c r="JVT4094" s="909"/>
      <c r="JVU4094" s="909"/>
      <c r="JVV4094" s="909"/>
      <c r="JVW4094" s="909"/>
      <c r="JVX4094" s="909"/>
      <c r="JVY4094" s="907" t="s">
        <v>79</v>
      </c>
      <c r="JVZ4094" s="909" t="s">
        <v>68</v>
      </c>
      <c r="JWA4094" s="910" t="s">
        <v>75</v>
      </c>
      <c r="JWB4094" s="911"/>
      <c r="JWC4094" s="911"/>
      <c r="JWD4094" s="911"/>
      <c r="JWE4094" s="911"/>
      <c r="JWF4094" s="911"/>
      <c r="JWG4094" s="911"/>
      <c r="JWH4094" s="911"/>
      <c r="JWI4094" s="911"/>
      <c r="JWJ4094" s="911"/>
      <c r="JWK4094" s="32"/>
      <c r="JWL4094" s="911" t="s">
        <v>74</v>
      </c>
      <c r="JWM4094" s="911"/>
      <c r="JWN4094" s="911"/>
      <c r="JWO4094" s="911"/>
      <c r="JWP4094" s="911"/>
      <c r="JWQ4094" s="911"/>
      <c r="JWR4094" s="911"/>
      <c r="JWS4094" s="911"/>
      <c r="JWT4094" s="911"/>
      <c r="JWU4094" s="912"/>
      <c r="JWW4094" s="913" t="s">
        <v>1</v>
      </c>
      <c r="JWX4094" s="31"/>
      <c r="JWY4094" s="909" t="s">
        <v>0</v>
      </c>
      <c r="JWZ4094" s="909"/>
      <c r="JXA4094" s="909"/>
      <c r="JXB4094" s="909"/>
      <c r="JXC4094" s="909"/>
      <c r="JXD4094" s="909"/>
      <c r="JXE4094" s="907" t="s">
        <v>79</v>
      </c>
      <c r="JXF4094" s="909" t="s">
        <v>68</v>
      </c>
      <c r="JXG4094" s="910" t="s">
        <v>75</v>
      </c>
      <c r="JXH4094" s="911"/>
      <c r="JXI4094" s="911"/>
      <c r="JXJ4094" s="911"/>
      <c r="JXK4094" s="911"/>
      <c r="JXL4094" s="911"/>
      <c r="JXM4094" s="911"/>
      <c r="JXN4094" s="911"/>
      <c r="JXO4094" s="911"/>
      <c r="JXP4094" s="911"/>
      <c r="JXQ4094" s="32"/>
      <c r="JXR4094" s="911" t="s">
        <v>74</v>
      </c>
      <c r="JXS4094" s="911"/>
      <c r="JXT4094" s="911"/>
      <c r="JXU4094" s="911"/>
      <c r="JXV4094" s="911"/>
      <c r="JXW4094" s="911"/>
      <c r="JXX4094" s="911"/>
      <c r="JXY4094" s="911"/>
      <c r="JXZ4094" s="911"/>
      <c r="JYA4094" s="912"/>
      <c r="JYC4094" s="913" t="s">
        <v>1</v>
      </c>
      <c r="JYD4094" s="31"/>
      <c r="JYE4094" s="909" t="s">
        <v>0</v>
      </c>
      <c r="JYF4094" s="909"/>
      <c r="JYG4094" s="909"/>
      <c r="JYH4094" s="909"/>
      <c r="JYI4094" s="909"/>
      <c r="JYJ4094" s="909"/>
      <c r="JYK4094" s="907" t="s">
        <v>79</v>
      </c>
      <c r="JYL4094" s="909" t="s">
        <v>68</v>
      </c>
      <c r="JYM4094" s="910" t="s">
        <v>75</v>
      </c>
      <c r="JYN4094" s="911"/>
      <c r="JYO4094" s="911"/>
      <c r="JYP4094" s="911"/>
      <c r="JYQ4094" s="911"/>
      <c r="JYR4094" s="911"/>
      <c r="JYS4094" s="911"/>
      <c r="JYT4094" s="911"/>
      <c r="JYU4094" s="911"/>
      <c r="JYV4094" s="911"/>
      <c r="JYW4094" s="32"/>
      <c r="JYX4094" s="911" t="s">
        <v>74</v>
      </c>
      <c r="JYY4094" s="911"/>
      <c r="JYZ4094" s="911"/>
      <c r="JZA4094" s="911"/>
      <c r="JZB4094" s="911"/>
      <c r="JZC4094" s="911"/>
      <c r="JZD4094" s="911"/>
      <c r="JZE4094" s="911"/>
      <c r="JZF4094" s="911"/>
      <c r="JZG4094" s="912"/>
      <c r="JZI4094" s="913" t="s">
        <v>1</v>
      </c>
      <c r="JZJ4094" s="31"/>
      <c r="JZK4094" s="909" t="s">
        <v>0</v>
      </c>
      <c r="JZL4094" s="909"/>
      <c r="JZM4094" s="909"/>
      <c r="JZN4094" s="909"/>
      <c r="JZO4094" s="909"/>
      <c r="JZP4094" s="909"/>
      <c r="JZQ4094" s="907" t="s">
        <v>79</v>
      </c>
      <c r="JZR4094" s="909" t="s">
        <v>68</v>
      </c>
      <c r="JZS4094" s="910" t="s">
        <v>75</v>
      </c>
      <c r="JZT4094" s="911"/>
      <c r="JZU4094" s="911"/>
      <c r="JZV4094" s="911"/>
      <c r="JZW4094" s="911"/>
      <c r="JZX4094" s="911"/>
      <c r="JZY4094" s="911"/>
      <c r="JZZ4094" s="911"/>
      <c r="KAA4094" s="911"/>
      <c r="KAB4094" s="911"/>
      <c r="KAC4094" s="32"/>
      <c r="KAD4094" s="911" t="s">
        <v>74</v>
      </c>
      <c r="KAE4094" s="911"/>
      <c r="KAF4094" s="911"/>
      <c r="KAG4094" s="911"/>
      <c r="KAH4094" s="911"/>
      <c r="KAI4094" s="911"/>
      <c r="KAJ4094" s="911"/>
      <c r="KAK4094" s="911"/>
      <c r="KAL4094" s="911"/>
      <c r="KAM4094" s="912"/>
      <c r="KAO4094" s="913" t="s">
        <v>1</v>
      </c>
      <c r="KAP4094" s="31"/>
      <c r="KAQ4094" s="909" t="s">
        <v>0</v>
      </c>
      <c r="KAR4094" s="909"/>
      <c r="KAS4094" s="909"/>
      <c r="KAT4094" s="909"/>
      <c r="KAU4094" s="909"/>
      <c r="KAV4094" s="909"/>
      <c r="KAW4094" s="907" t="s">
        <v>79</v>
      </c>
      <c r="KAX4094" s="909" t="s">
        <v>68</v>
      </c>
      <c r="KAY4094" s="910" t="s">
        <v>75</v>
      </c>
      <c r="KAZ4094" s="911"/>
      <c r="KBA4094" s="911"/>
      <c r="KBB4094" s="911"/>
      <c r="KBC4094" s="911"/>
      <c r="KBD4094" s="911"/>
      <c r="KBE4094" s="911"/>
      <c r="KBF4094" s="911"/>
      <c r="KBG4094" s="911"/>
      <c r="KBH4094" s="911"/>
      <c r="KBI4094" s="32"/>
      <c r="KBJ4094" s="911" t="s">
        <v>74</v>
      </c>
      <c r="KBK4094" s="911"/>
      <c r="KBL4094" s="911"/>
      <c r="KBM4094" s="911"/>
      <c r="KBN4094" s="911"/>
      <c r="KBO4094" s="911"/>
      <c r="KBP4094" s="911"/>
      <c r="KBQ4094" s="911"/>
      <c r="KBR4094" s="911"/>
      <c r="KBS4094" s="912"/>
      <c r="KBU4094" s="913" t="s">
        <v>1</v>
      </c>
      <c r="KBV4094" s="31"/>
      <c r="KBW4094" s="909" t="s">
        <v>0</v>
      </c>
      <c r="KBX4094" s="909"/>
      <c r="KBY4094" s="909"/>
      <c r="KBZ4094" s="909"/>
      <c r="KCA4094" s="909"/>
      <c r="KCB4094" s="909"/>
      <c r="KCC4094" s="907" t="s">
        <v>79</v>
      </c>
      <c r="KCD4094" s="909" t="s">
        <v>68</v>
      </c>
      <c r="KCE4094" s="910" t="s">
        <v>75</v>
      </c>
      <c r="KCF4094" s="911"/>
      <c r="KCG4094" s="911"/>
      <c r="KCH4094" s="911"/>
      <c r="KCI4094" s="911"/>
      <c r="KCJ4094" s="911"/>
      <c r="KCK4094" s="911"/>
      <c r="KCL4094" s="911"/>
      <c r="KCM4094" s="911"/>
      <c r="KCN4094" s="911"/>
      <c r="KCO4094" s="32"/>
      <c r="KCP4094" s="911" t="s">
        <v>74</v>
      </c>
      <c r="KCQ4094" s="911"/>
      <c r="KCR4094" s="911"/>
      <c r="KCS4094" s="911"/>
      <c r="KCT4094" s="911"/>
      <c r="KCU4094" s="911"/>
      <c r="KCV4094" s="911"/>
      <c r="KCW4094" s="911"/>
      <c r="KCX4094" s="911"/>
      <c r="KCY4094" s="912"/>
      <c r="KDA4094" s="913" t="s">
        <v>1</v>
      </c>
      <c r="KDB4094" s="31"/>
      <c r="KDC4094" s="909" t="s">
        <v>0</v>
      </c>
      <c r="KDD4094" s="909"/>
      <c r="KDE4094" s="909"/>
      <c r="KDF4094" s="909"/>
      <c r="KDG4094" s="909"/>
      <c r="KDH4094" s="909"/>
      <c r="KDI4094" s="907" t="s">
        <v>79</v>
      </c>
      <c r="KDJ4094" s="909" t="s">
        <v>68</v>
      </c>
      <c r="KDK4094" s="910" t="s">
        <v>75</v>
      </c>
      <c r="KDL4094" s="911"/>
      <c r="KDM4094" s="911"/>
      <c r="KDN4094" s="911"/>
      <c r="KDO4094" s="911"/>
      <c r="KDP4094" s="911"/>
      <c r="KDQ4094" s="911"/>
      <c r="KDR4094" s="911"/>
      <c r="KDS4094" s="911"/>
      <c r="KDT4094" s="911"/>
      <c r="KDU4094" s="32"/>
      <c r="KDV4094" s="911" t="s">
        <v>74</v>
      </c>
      <c r="KDW4094" s="911"/>
      <c r="KDX4094" s="911"/>
      <c r="KDY4094" s="911"/>
      <c r="KDZ4094" s="911"/>
      <c r="KEA4094" s="911"/>
      <c r="KEB4094" s="911"/>
      <c r="KEC4094" s="911"/>
      <c r="KED4094" s="911"/>
      <c r="KEE4094" s="912"/>
      <c r="KEG4094" s="913" t="s">
        <v>1</v>
      </c>
      <c r="KEH4094" s="31"/>
      <c r="KEI4094" s="909" t="s">
        <v>0</v>
      </c>
      <c r="KEJ4094" s="909"/>
      <c r="KEK4094" s="909"/>
      <c r="KEL4094" s="909"/>
      <c r="KEM4094" s="909"/>
      <c r="KEN4094" s="909"/>
      <c r="KEO4094" s="907" t="s">
        <v>79</v>
      </c>
      <c r="KEP4094" s="909" t="s">
        <v>68</v>
      </c>
      <c r="KEQ4094" s="910" t="s">
        <v>75</v>
      </c>
      <c r="KER4094" s="911"/>
      <c r="KES4094" s="911"/>
      <c r="KET4094" s="911"/>
      <c r="KEU4094" s="911"/>
      <c r="KEV4094" s="911"/>
      <c r="KEW4094" s="911"/>
      <c r="KEX4094" s="911"/>
      <c r="KEY4094" s="911"/>
      <c r="KEZ4094" s="911"/>
      <c r="KFA4094" s="32"/>
      <c r="KFB4094" s="911" t="s">
        <v>74</v>
      </c>
      <c r="KFC4094" s="911"/>
      <c r="KFD4094" s="911"/>
      <c r="KFE4094" s="911"/>
      <c r="KFF4094" s="911"/>
      <c r="KFG4094" s="911"/>
      <c r="KFH4094" s="911"/>
      <c r="KFI4094" s="911"/>
      <c r="KFJ4094" s="911"/>
      <c r="KFK4094" s="912"/>
      <c r="KFM4094" s="913" t="s">
        <v>1</v>
      </c>
      <c r="KFN4094" s="31"/>
      <c r="KFO4094" s="909" t="s">
        <v>0</v>
      </c>
      <c r="KFP4094" s="909"/>
      <c r="KFQ4094" s="909"/>
      <c r="KFR4094" s="909"/>
      <c r="KFS4094" s="909"/>
      <c r="KFT4094" s="909"/>
      <c r="KFU4094" s="907" t="s">
        <v>79</v>
      </c>
      <c r="KFV4094" s="909" t="s">
        <v>68</v>
      </c>
      <c r="KFW4094" s="910" t="s">
        <v>75</v>
      </c>
      <c r="KFX4094" s="911"/>
      <c r="KFY4094" s="911"/>
      <c r="KFZ4094" s="911"/>
      <c r="KGA4094" s="911"/>
      <c r="KGB4094" s="911"/>
      <c r="KGC4094" s="911"/>
      <c r="KGD4094" s="911"/>
      <c r="KGE4094" s="911"/>
      <c r="KGF4094" s="911"/>
      <c r="KGG4094" s="32"/>
      <c r="KGH4094" s="911" t="s">
        <v>74</v>
      </c>
      <c r="KGI4094" s="911"/>
      <c r="KGJ4094" s="911"/>
      <c r="KGK4094" s="911"/>
      <c r="KGL4094" s="911"/>
      <c r="KGM4094" s="911"/>
      <c r="KGN4094" s="911"/>
      <c r="KGO4094" s="911"/>
      <c r="KGP4094" s="911"/>
      <c r="KGQ4094" s="912"/>
      <c r="KGS4094" s="913" t="s">
        <v>1</v>
      </c>
      <c r="KGT4094" s="31"/>
      <c r="KGU4094" s="909" t="s">
        <v>0</v>
      </c>
      <c r="KGV4094" s="909"/>
      <c r="KGW4094" s="909"/>
      <c r="KGX4094" s="909"/>
      <c r="KGY4094" s="909"/>
      <c r="KGZ4094" s="909"/>
      <c r="KHA4094" s="907" t="s">
        <v>79</v>
      </c>
      <c r="KHB4094" s="909" t="s">
        <v>68</v>
      </c>
      <c r="KHC4094" s="910" t="s">
        <v>75</v>
      </c>
      <c r="KHD4094" s="911"/>
      <c r="KHE4094" s="911"/>
      <c r="KHF4094" s="911"/>
      <c r="KHG4094" s="911"/>
      <c r="KHH4094" s="911"/>
      <c r="KHI4094" s="911"/>
      <c r="KHJ4094" s="911"/>
      <c r="KHK4094" s="911"/>
      <c r="KHL4094" s="911"/>
      <c r="KHM4094" s="32"/>
      <c r="KHN4094" s="911" t="s">
        <v>74</v>
      </c>
      <c r="KHO4094" s="911"/>
      <c r="KHP4094" s="911"/>
      <c r="KHQ4094" s="911"/>
      <c r="KHR4094" s="911"/>
      <c r="KHS4094" s="911"/>
      <c r="KHT4094" s="911"/>
      <c r="KHU4094" s="911"/>
      <c r="KHV4094" s="911"/>
      <c r="KHW4094" s="912"/>
      <c r="KHY4094" s="913" t="s">
        <v>1</v>
      </c>
      <c r="KHZ4094" s="31"/>
      <c r="KIA4094" s="909" t="s">
        <v>0</v>
      </c>
      <c r="KIB4094" s="909"/>
      <c r="KIC4094" s="909"/>
      <c r="KID4094" s="909"/>
      <c r="KIE4094" s="909"/>
      <c r="KIF4094" s="909"/>
      <c r="KIG4094" s="907" t="s">
        <v>79</v>
      </c>
      <c r="KIH4094" s="909" t="s">
        <v>68</v>
      </c>
      <c r="KII4094" s="910" t="s">
        <v>75</v>
      </c>
      <c r="KIJ4094" s="911"/>
      <c r="KIK4094" s="911"/>
      <c r="KIL4094" s="911"/>
      <c r="KIM4094" s="911"/>
      <c r="KIN4094" s="911"/>
      <c r="KIO4094" s="911"/>
      <c r="KIP4094" s="911"/>
      <c r="KIQ4094" s="911"/>
      <c r="KIR4094" s="911"/>
      <c r="KIS4094" s="32"/>
      <c r="KIT4094" s="911" t="s">
        <v>74</v>
      </c>
      <c r="KIU4094" s="911"/>
      <c r="KIV4094" s="911"/>
      <c r="KIW4094" s="911"/>
      <c r="KIX4094" s="911"/>
      <c r="KIY4094" s="911"/>
      <c r="KIZ4094" s="911"/>
      <c r="KJA4094" s="911"/>
      <c r="KJB4094" s="911"/>
      <c r="KJC4094" s="912"/>
      <c r="KJE4094" s="913" t="s">
        <v>1</v>
      </c>
      <c r="KJF4094" s="31"/>
      <c r="KJG4094" s="909" t="s">
        <v>0</v>
      </c>
      <c r="KJH4094" s="909"/>
      <c r="KJI4094" s="909"/>
      <c r="KJJ4094" s="909"/>
      <c r="KJK4094" s="909"/>
      <c r="KJL4094" s="909"/>
      <c r="KJM4094" s="907" t="s">
        <v>79</v>
      </c>
      <c r="KJN4094" s="909" t="s">
        <v>68</v>
      </c>
      <c r="KJO4094" s="910" t="s">
        <v>75</v>
      </c>
      <c r="KJP4094" s="911"/>
      <c r="KJQ4094" s="911"/>
      <c r="KJR4094" s="911"/>
      <c r="KJS4094" s="911"/>
      <c r="KJT4094" s="911"/>
      <c r="KJU4094" s="911"/>
      <c r="KJV4094" s="911"/>
      <c r="KJW4094" s="911"/>
      <c r="KJX4094" s="911"/>
      <c r="KJY4094" s="32"/>
      <c r="KJZ4094" s="911" t="s">
        <v>74</v>
      </c>
      <c r="KKA4094" s="911"/>
      <c r="KKB4094" s="911"/>
      <c r="KKC4094" s="911"/>
      <c r="KKD4094" s="911"/>
      <c r="KKE4094" s="911"/>
      <c r="KKF4094" s="911"/>
      <c r="KKG4094" s="911"/>
      <c r="KKH4094" s="911"/>
      <c r="KKI4094" s="912"/>
      <c r="KKK4094" s="913" t="s">
        <v>1</v>
      </c>
      <c r="KKL4094" s="31"/>
      <c r="KKM4094" s="909" t="s">
        <v>0</v>
      </c>
      <c r="KKN4094" s="909"/>
      <c r="KKO4094" s="909"/>
      <c r="KKP4094" s="909"/>
      <c r="KKQ4094" s="909"/>
      <c r="KKR4094" s="909"/>
      <c r="KKS4094" s="907" t="s">
        <v>79</v>
      </c>
      <c r="KKT4094" s="909" t="s">
        <v>68</v>
      </c>
      <c r="KKU4094" s="910" t="s">
        <v>75</v>
      </c>
      <c r="KKV4094" s="911"/>
      <c r="KKW4094" s="911"/>
      <c r="KKX4094" s="911"/>
      <c r="KKY4094" s="911"/>
      <c r="KKZ4094" s="911"/>
      <c r="KLA4094" s="911"/>
      <c r="KLB4094" s="911"/>
      <c r="KLC4094" s="911"/>
      <c r="KLD4094" s="911"/>
      <c r="KLE4094" s="32"/>
      <c r="KLF4094" s="911" t="s">
        <v>74</v>
      </c>
      <c r="KLG4094" s="911"/>
      <c r="KLH4094" s="911"/>
      <c r="KLI4094" s="911"/>
      <c r="KLJ4094" s="911"/>
      <c r="KLK4094" s="911"/>
      <c r="KLL4094" s="911"/>
      <c r="KLM4094" s="911"/>
      <c r="KLN4094" s="911"/>
      <c r="KLO4094" s="912"/>
      <c r="KLQ4094" s="913" t="s">
        <v>1</v>
      </c>
      <c r="KLR4094" s="31"/>
      <c r="KLS4094" s="909" t="s">
        <v>0</v>
      </c>
      <c r="KLT4094" s="909"/>
      <c r="KLU4094" s="909"/>
      <c r="KLV4094" s="909"/>
      <c r="KLW4094" s="909"/>
      <c r="KLX4094" s="909"/>
      <c r="KLY4094" s="907" t="s">
        <v>79</v>
      </c>
      <c r="KLZ4094" s="909" t="s">
        <v>68</v>
      </c>
      <c r="KMA4094" s="910" t="s">
        <v>75</v>
      </c>
      <c r="KMB4094" s="911"/>
      <c r="KMC4094" s="911"/>
      <c r="KMD4094" s="911"/>
      <c r="KME4094" s="911"/>
      <c r="KMF4094" s="911"/>
      <c r="KMG4094" s="911"/>
      <c r="KMH4094" s="911"/>
      <c r="KMI4094" s="911"/>
      <c r="KMJ4094" s="911"/>
      <c r="KMK4094" s="32"/>
      <c r="KML4094" s="911" t="s">
        <v>74</v>
      </c>
      <c r="KMM4094" s="911"/>
      <c r="KMN4094" s="911"/>
      <c r="KMO4094" s="911"/>
      <c r="KMP4094" s="911"/>
      <c r="KMQ4094" s="911"/>
      <c r="KMR4094" s="911"/>
      <c r="KMS4094" s="911"/>
      <c r="KMT4094" s="911"/>
      <c r="KMU4094" s="912"/>
      <c r="KMW4094" s="913" t="s">
        <v>1</v>
      </c>
      <c r="KMX4094" s="31"/>
      <c r="KMY4094" s="909" t="s">
        <v>0</v>
      </c>
      <c r="KMZ4094" s="909"/>
      <c r="KNA4094" s="909"/>
      <c r="KNB4094" s="909"/>
      <c r="KNC4094" s="909"/>
      <c r="KND4094" s="909"/>
      <c r="KNE4094" s="907" t="s">
        <v>79</v>
      </c>
      <c r="KNF4094" s="909" t="s">
        <v>68</v>
      </c>
      <c r="KNG4094" s="910" t="s">
        <v>75</v>
      </c>
      <c r="KNH4094" s="911"/>
      <c r="KNI4094" s="911"/>
      <c r="KNJ4094" s="911"/>
      <c r="KNK4094" s="911"/>
      <c r="KNL4094" s="911"/>
      <c r="KNM4094" s="911"/>
      <c r="KNN4094" s="911"/>
      <c r="KNO4094" s="911"/>
      <c r="KNP4094" s="911"/>
      <c r="KNQ4094" s="32"/>
      <c r="KNR4094" s="911" t="s">
        <v>74</v>
      </c>
      <c r="KNS4094" s="911"/>
      <c r="KNT4094" s="911"/>
      <c r="KNU4094" s="911"/>
      <c r="KNV4094" s="911"/>
      <c r="KNW4094" s="911"/>
      <c r="KNX4094" s="911"/>
      <c r="KNY4094" s="911"/>
      <c r="KNZ4094" s="911"/>
      <c r="KOA4094" s="912"/>
      <c r="KOC4094" s="913" t="s">
        <v>1</v>
      </c>
      <c r="KOD4094" s="31"/>
      <c r="KOE4094" s="909" t="s">
        <v>0</v>
      </c>
      <c r="KOF4094" s="909"/>
      <c r="KOG4094" s="909"/>
      <c r="KOH4094" s="909"/>
      <c r="KOI4094" s="909"/>
      <c r="KOJ4094" s="909"/>
      <c r="KOK4094" s="907" t="s">
        <v>79</v>
      </c>
      <c r="KOL4094" s="909" t="s">
        <v>68</v>
      </c>
      <c r="KOM4094" s="910" t="s">
        <v>75</v>
      </c>
      <c r="KON4094" s="911"/>
      <c r="KOO4094" s="911"/>
      <c r="KOP4094" s="911"/>
      <c r="KOQ4094" s="911"/>
      <c r="KOR4094" s="911"/>
      <c r="KOS4094" s="911"/>
      <c r="KOT4094" s="911"/>
      <c r="KOU4094" s="911"/>
      <c r="KOV4094" s="911"/>
      <c r="KOW4094" s="32"/>
      <c r="KOX4094" s="911" t="s">
        <v>74</v>
      </c>
      <c r="KOY4094" s="911"/>
      <c r="KOZ4094" s="911"/>
      <c r="KPA4094" s="911"/>
      <c r="KPB4094" s="911"/>
      <c r="KPC4094" s="911"/>
      <c r="KPD4094" s="911"/>
      <c r="KPE4094" s="911"/>
      <c r="KPF4094" s="911"/>
      <c r="KPG4094" s="912"/>
      <c r="KPI4094" s="913" t="s">
        <v>1</v>
      </c>
      <c r="KPJ4094" s="31"/>
      <c r="KPK4094" s="909" t="s">
        <v>0</v>
      </c>
      <c r="KPL4094" s="909"/>
      <c r="KPM4094" s="909"/>
      <c r="KPN4094" s="909"/>
      <c r="KPO4094" s="909"/>
      <c r="KPP4094" s="909"/>
      <c r="KPQ4094" s="907" t="s">
        <v>79</v>
      </c>
      <c r="KPR4094" s="909" t="s">
        <v>68</v>
      </c>
      <c r="KPS4094" s="910" t="s">
        <v>75</v>
      </c>
      <c r="KPT4094" s="911"/>
      <c r="KPU4094" s="911"/>
      <c r="KPV4094" s="911"/>
      <c r="KPW4094" s="911"/>
      <c r="KPX4094" s="911"/>
      <c r="KPY4094" s="911"/>
      <c r="KPZ4094" s="911"/>
      <c r="KQA4094" s="911"/>
      <c r="KQB4094" s="911"/>
      <c r="KQC4094" s="32"/>
      <c r="KQD4094" s="911" t="s">
        <v>74</v>
      </c>
      <c r="KQE4094" s="911"/>
      <c r="KQF4094" s="911"/>
      <c r="KQG4094" s="911"/>
      <c r="KQH4094" s="911"/>
      <c r="KQI4094" s="911"/>
      <c r="KQJ4094" s="911"/>
      <c r="KQK4094" s="911"/>
      <c r="KQL4094" s="911"/>
      <c r="KQM4094" s="912"/>
      <c r="KQO4094" s="913" t="s">
        <v>1</v>
      </c>
      <c r="KQP4094" s="31"/>
      <c r="KQQ4094" s="909" t="s">
        <v>0</v>
      </c>
      <c r="KQR4094" s="909"/>
      <c r="KQS4094" s="909"/>
      <c r="KQT4094" s="909"/>
      <c r="KQU4094" s="909"/>
      <c r="KQV4094" s="909"/>
      <c r="KQW4094" s="907" t="s">
        <v>79</v>
      </c>
      <c r="KQX4094" s="909" t="s">
        <v>68</v>
      </c>
      <c r="KQY4094" s="910" t="s">
        <v>75</v>
      </c>
      <c r="KQZ4094" s="911"/>
      <c r="KRA4094" s="911"/>
      <c r="KRB4094" s="911"/>
      <c r="KRC4094" s="911"/>
      <c r="KRD4094" s="911"/>
      <c r="KRE4094" s="911"/>
      <c r="KRF4094" s="911"/>
      <c r="KRG4094" s="911"/>
      <c r="KRH4094" s="911"/>
      <c r="KRI4094" s="32"/>
      <c r="KRJ4094" s="911" t="s">
        <v>74</v>
      </c>
      <c r="KRK4094" s="911"/>
      <c r="KRL4094" s="911"/>
      <c r="KRM4094" s="911"/>
      <c r="KRN4094" s="911"/>
      <c r="KRO4094" s="911"/>
      <c r="KRP4094" s="911"/>
      <c r="KRQ4094" s="911"/>
      <c r="KRR4094" s="911"/>
      <c r="KRS4094" s="912"/>
      <c r="KRU4094" s="913" t="s">
        <v>1</v>
      </c>
      <c r="KRV4094" s="31"/>
      <c r="KRW4094" s="909" t="s">
        <v>0</v>
      </c>
      <c r="KRX4094" s="909"/>
      <c r="KRY4094" s="909"/>
      <c r="KRZ4094" s="909"/>
      <c r="KSA4094" s="909"/>
      <c r="KSB4094" s="909"/>
      <c r="KSC4094" s="907" t="s">
        <v>79</v>
      </c>
      <c r="KSD4094" s="909" t="s">
        <v>68</v>
      </c>
      <c r="KSE4094" s="910" t="s">
        <v>75</v>
      </c>
      <c r="KSF4094" s="911"/>
      <c r="KSG4094" s="911"/>
      <c r="KSH4094" s="911"/>
      <c r="KSI4094" s="911"/>
      <c r="KSJ4094" s="911"/>
      <c r="KSK4094" s="911"/>
      <c r="KSL4094" s="911"/>
      <c r="KSM4094" s="911"/>
      <c r="KSN4094" s="911"/>
      <c r="KSO4094" s="32"/>
      <c r="KSP4094" s="911" t="s">
        <v>74</v>
      </c>
      <c r="KSQ4094" s="911"/>
      <c r="KSR4094" s="911"/>
      <c r="KSS4094" s="911"/>
      <c r="KST4094" s="911"/>
      <c r="KSU4094" s="911"/>
      <c r="KSV4094" s="911"/>
      <c r="KSW4094" s="911"/>
      <c r="KSX4094" s="911"/>
      <c r="KSY4094" s="912"/>
      <c r="KTA4094" s="913" t="s">
        <v>1</v>
      </c>
      <c r="KTB4094" s="31"/>
      <c r="KTC4094" s="909" t="s">
        <v>0</v>
      </c>
      <c r="KTD4094" s="909"/>
      <c r="KTE4094" s="909"/>
      <c r="KTF4094" s="909"/>
      <c r="KTG4094" s="909"/>
      <c r="KTH4094" s="909"/>
      <c r="KTI4094" s="907" t="s">
        <v>79</v>
      </c>
      <c r="KTJ4094" s="909" t="s">
        <v>68</v>
      </c>
      <c r="KTK4094" s="910" t="s">
        <v>75</v>
      </c>
      <c r="KTL4094" s="911"/>
      <c r="KTM4094" s="911"/>
      <c r="KTN4094" s="911"/>
      <c r="KTO4094" s="911"/>
      <c r="KTP4094" s="911"/>
      <c r="KTQ4094" s="911"/>
      <c r="KTR4094" s="911"/>
      <c r="KTS4094" s="911"/>
      <c r="KTT4094" s="911"/>
      <c r="KTU4094" s="32"/>
      <c r="KTV4094" s="911" t="s">
        <v>74</v>
      </c>
      <c r="KTW4094" s="911"/>
      <c r="KTX4094" s="911"/>
      <c r="KTY4094" s="911"/>
      <c r="KTZ4094" s="911"/>
      <c r="KUA4094" s="911"/>
      <c r="KUB4094" s="911"/>
      <c r="KUC4094" s="911"/>
      <c r="KUD4094" s="911"/>
      <c r="KUE4094" s="912"/>
      <c r="KUG4094" s="913" t="s">
        <v>1</v>
      </c>
      <c r="KUH4094" s="31"/>
      <c r="KUI4094" s="909" t="s">
        <v>0</v>
      </c>
      <c r="KUJ4094" s="909"/>
      <c r="KUK4094" s="909"/>
      <c r="KUL4094" s="909"/>
      <c r="KUM4094" s="909"/>
      <c r="KUN4094" s="909"/>
      <c r="KUO4094" s="907" t="s">
        <v>79</v>
      </c>
      <c r="KUP4094" s="909" t="s">
        <v>68</v>
      </c>
      <c r="KUQ4094" s="910" t="s">
        <v>75</v>
      </c>
      <c r="KUR4094" s="911"/>
      <c r="KUS4094" s="911"/>
      <c r="KUT4094" s="911"/>
      <c r="KUU4094" s="911"/>
      <c r="KUV4094" s="911"/>
      <c r="KUW4094" s="911"/>
      <c r="KUX4094" s="911"/>
      <c r="KUY4094" s="911"/>
      <c r="KUZ4094" s="911"/>
      <c r="KVA4094" s="32"/>
      <c r="KVB4094" s="911" t="s">
        <v>74</v>
      </c>
      <c r="KVC4094" s="911"/>
      <c r="KVD4094" s="911"/>
      <c r="KVE4094" s="911"/>
      <c r="KVF4094" s="911"/>
      <c r="KVG4094" s="911"/>
      <c r="KVH4094" s="911"/>
      <c r="KVI4094" s="911"/>
      <c r="KVJ4094" s="911"/>
      <c r="KVK4094" s="912"/>
      <c r="KVM4094" s="913" t="s">
        <v>1</v>
      </c>
      <c r="KVN4094" s="31"/>
      <c r="KVO4094" s="909" t="s">
        <v>0</v>
      </c>
      <c r="KVP4094" s="909"/>
      <c r="KVQ4094" s="909"/>
      <c r="KVR4094" s="909"/>
      <c r="KVS4094" s="909"/>
      <c r="KVT4094" s="909"/>
      <c r="KVU4094" s="907" t="s">
        <v>79</v>
      </c>
      <c r="KVV4094" s="909" t="s">
        <v>68</v>
      </c>
      <c r="KVW4094" s="910" t="s">
        <v>75</v>
      </c>
      <c r="KVX4094" s="911"/>
      <c r="KVY4094" s="911"/>
      <c r="KVZ4094" s="911"/>
      <c r="KWA4094" s="911"/>
      <c r="KWB4094" s="911"/>
      <c r="KWC4094" s="911"/>
      <c r="KWD4094" s="911"/>
      <c r="KWE4094" s="911"/>
      <c r="KWF4094" s="911"/>
      <c r="KWG4094" s="32"/>
      <c r="KWH4094" s="911" t="s">
        <v>74</v>
      </c>
      <c r="KWI4094" s="911"/>
      <c r="KWJ4094" s="911"/>
      <c r="KWK4094" s="911"/>
      <c r="KWL4094" s="911"/>
      <c r="KWM4094" s="911"/>
      <c r="KWN4094" s="911"/>
      <c r="KWO4094" s="911"/>
      <c r="KWP4094" s="911"/>
      <c r="KWQ4094" s="912"/>
      <c r="KWS4094" s="913" t="s">
        <v>1</v>
      </c>
      <c r="KWT4094" s="31"/>
      <c r="KWU4094" s="909" t="s">
        <v>0</v>
      </c>
      <c r="KWV4094" s="909"/>
      <c r="KWW4094" s="909"/>
      <c r="KWX4094" s="909"/>
      <c r="KWY4094" s="909"/>
      <c r="KWZ4094" s="909"/>
      <c r="KXA4094" s="907" t="s">
        <v>79</v>
      </c>
      <c r="KXB4094" s="909" t="s">
        <v>68</v>
      </c>
      <c r="KXC4094" s="910" t="s">
        <v>75</v>
      </c>
      <c r="KXD4094" s="911"/>
      <c r="KXE4094" s="911"/>
      <c r="KXF4094" s="911"/>
      <c r="KXG4094" s="911"/>
      <c r="KXH4094" s="911"/>
      <c r="KXI4094" s="911"/>
      <c r="KXJ4094" s="911"/>
      <c r="KXK4094" s="911"/>
      <c r="KXL4094" s="911"/>
      <c r="KXM4094" s="32"/>
      <c r="KXN4094" s="911" t="s">
        <v>74</v>
      </c>
      <c r="KXO4094" s="911"/>
      <c r="KXP4094" s="911"/>
      <c r="KXQ4094" s="911"/>
      <c r="KXR4094" s="911"/>
      <c r="KXS4094" s="911"/>
      <c r="KXT4094" s="911"/>
      <c r="KXU4094" s="911"/>
      <c r="KXV4094" s="911"/>
      <c r="KXW4094" s="912"/>
      <c r="KXY4094" s="913" t="s">
        <v>1</v>
      </c>
      <c r="KXZ4094" s="31"/>
      <c r="KYA4094" s="909" t="s">
        <v>0</v>
      </c>
      <c r="KYB4094" s="909"/>
      <c r="KYC4094" s="909"/>
      <c r="KYD4094" s="909"/>
      <c r="KYE4094" s="909"/>
      <c r="KYF4094" s="909"/>
      <c r="KYG4094" s="907" t="s">
        <v>79</v>
      </c>
      <c r="KYH4094" s="909" t="s">
        <v>68</v>
      </c>
      <c r="KYI4094" s="910" t="s">
        <v>75</v>
      </c>
      <c r="KYJ4094" s="911"/>
      <c r="KYK4094" s="911"/>
      <c r="KYL4094" s="911"/>
      <c r="KYM4094" s="911"/>
      <c r="KYN4094" s="911"/>
      <c r="KYO4094" s="911"/>
      <c r="KYP4094" s="911"/>
      <c r="KYQ4094" s="911"/>
      <c r="KYR4094" s="911"/>
      <c r="KYS4094" s="32"/>
      <c r="KYT4094" s="911" t="s">
        <v>74</v>
      </c>
      <c r="KYU4094" s="911"/>
      <c r="KYV4094" s="911"/>
      <c r="KYW4094" s="911"/>
      <c r="KYX4094" s="911"/>
      <c r="KYY4094" s="911"/>
      <c r="KYZ4094" s="911"/>
      <c r="KZA4094" s="911"/>
      <c r="KZB4094" s="911"/>
      <c r="KZC4094" s="912"/>
      <c r="KZE4094" s="913" t="s">
        <v>1</v>
      </c>
      <c r="KZF4094" s="31"/>
      <c r="KZG4094" s="909" t="s">
        <v>0</v>
      </c>
      <c r="KZH4094" s="909"/>
      <c r="KZI4094" s="909"/>
      <c r="KZJ4094" s="909"/>
      <c r="KZK4094" s="909"/>
      <c r="KZL4094" s="909"/>
      <c r="KZM4094" s="907" t="s">
        <v>79</v>
      </c>
      <c r="KZN4094" s="909" t="s">
        <v>68</v>
      </c>
      <c r="KZO4094" s="910" t="s">
        <v>75</v>
      </c>
      <c r="KZP4094" s="911"/>
      <c r="KZQ4094" s="911"/>
      <c r="KZR4094" s="911"/>
      <c r="KZS4094" s="911"/>
      <c r="KZT4094" s="911"/>
      <c r="KZU4094" s="911"/>
      <c r="KZV4094" s="911"/>
      <c r="KZW4094" s="911"/>
      <c r="KZX4094" s="911"/>
      <c r="KZY4094" s="32"/>
      <c r="KZZ4094" s="911" t="s">
        <v>74</v>
      </c>
      <c r="LAA4094" s="911"/>
      <c r="LAB4094" s="911"/>
      <c r="LAC4094" s="911"/>
      <c r="LAD4094" s="911"/>
      <c r="LAE4094" s="911"/>
      <c r="LAF4094" s="911"/>
      <c r="LAG4094" s="911"/>
      <c r="LAH4094" s="911"/>
      <c r="LAI4094" s="912"/>
      <c r="LAK4094" s="913" t="s">
        <v>1</v>
      </c>
      <c r="LAL4094" s="31"/>
      <c r="LAM4094" s="909" t="s">
        <v>0</v>
      </c>
      <c r="LAN4094" s="909"/>
      <c r="LAO4094" s="909"/>
      <c r="LAP4094" s="909"/>
      <c r="LAQ4094" s="909"/>
      <c r="LAR4094" s="909"/>
      <c r="LAS4094" s="907" t="s">
        <v>79</v>
      </c>
      <c r="LAT4094" s="909" t="s">
        <v>68</v>
      </c>
      <c r="LAU4094" s="910" t="s">
        <v>75</v>
      </c>
      <c r="LAV4094" s="911"/>
      <c r="LAW4094" s="911"/>
      <c r="LAX4094" s="911"/>
      <c r="LAY4094" s="911"/>
      <c r="LAZ4094" s="911"/>
      <c r="LBA4094" s="911"/>
      <c r="LBB4094" s="911"/>
      <c r="LBC4094" s="911"/>
      <c r="LBD4094" s="911"/>
      <c r="LBE4094" s="32"/>
      <c r="LBF4094" s="911" t="s">
        <v>74</v>
      </c>
      <c r="LBG4094" s="911"/>
      <c r="LBH4094" s="911"/>
      <c r="LBI4094" s="911"/>
      <c r="LBJ4094" s="911"/>
      <c r="LBK4094" s="911"/>
      <c r="LBL4094" s="911"/>
      <c r="LBM4094" s="911"/>
      <c r="LBN4094" s="911"/>
      <c r="LBO4094" s="912"/>
      <c r="LBQ4094" s="913" t="s">
        <v>1</v>
      </c>
      <c r="LBR4094" s="31"/>
      <c r="LBS4094" s="909" t="s">
        <v>0</v>
      </c>
      <c r="LBT4094" s="909"/>
      <c r="LBU4094" s="909"/>
      <c r="LBV4094" s="909"/>
      <c r="LBW4094" s="909"/>
      <c r="LBX4094" s="909"/>
      <c r="LBY4094" s="907" t="s">
        <v>79</v>
      </c>
      <c r="LBZ4094" s="909" t="s">
        <v>68</v>
      </c>
      <c r="LCA4094" s="910" t="s">
        <v>75</v>
      </c>
      <c r="LCB4094" s="911"/>
      <c r="LCC4094" s="911"/>
      <c r="LCD4094" s="911"/>
      <c r="LCE4094" s="911"/>
      <c r="LCF4094" s="911"/>
      <c r="LCG4094" s="911"/>
      <c r="LCH4094" s="911"/>
      <c r="LCI4094" s="911"/>
      <c r="LCJ4094" s="911"/>
      <c r="LCK4094" s="32"/>
      <c r="LCL4094" s="911" t="s">
        <v>74</v>
      </c>
      <c r="LCM4094" s="911"/>
      <c r="LCN4094" s="911"/>
      <c r="LCO4094" s="911"/>
      <c r="LCP4094" s="911"/>
      <c r="LCQ4094" s="911"/>
      <c r="LCR4094" s="911"/>
      <c r="LCS4094" s="911"/>
      <c r="LCT4094" s="911"/>
      <c r="LCU4094" s="912"/>
      <c r="LCW4094" s="913" t="s">
        <v>1</v>
      </c>
      <c r="LCX4094" s="31"/>
      <c r="LCY4094" s="909" t="s">
        <v>0</v>
      </c>
      <c r="LCZ4094" s="909"/>
      <c r="LDA4094" s="909"/>
      <c r="LDB4094" s="909"/>
      <c r="LDC4094" s="909"/>
      <c r="LDD4094" s="909"/>
      <c r="LDE4094" s="907" t="s">
        <v>79</v>
      </c>
      <c r="LDF4094" s="909" t="s">
        <v>68</v>
      </c>
      <c r="LDG4094" s="910" t="s">
        <v>75</v>
      </c>
      <c r="LDH4094" s="911"/>
      <c r="LDI4094" s="911"/>
      <c r="LDJ4094" s="911"/>
      <c r="LDK4094" s="911"/>
      <c r="LDL4094" s="911"/>
      <c r="LDM4094" s="911"/>
      <c r="LDN4094" s="911"/>
      <c r="LDO4094" s="911"/>
      <c r="LDP4094" s="911"/>
      <c r="LDQ4094" s="32"/>
      <c r="LDR4094" s="911" t="s">
        <v>74</v>
      </c>
      <c r="LDS4094" s="911"/>
      <c r="LDT4094" s="911"/>
      <c r="LDU4094" s="911"/>
      <c r="LDV4094" s="911"/>
      <c r="LDW4094" s="911"/>
      <c r="LDX4094" s="911"/>
      <c r="LDY4094" s="911"/>
      <c r="LDZ4094" s="911"/>
      <c r="LEA4094" s="912"/>
      <c r="LEC4094" s="913" t="s">
        <v>1</v>
      </c>
      <c r="LED4094" s="31"/>
      <c r="LEE4094" s="909" t="s">
        <v>0</v>
      </c>
      <c r="LEF4094" s="909"/>
      <c r="LEG4094" s="909"/>
      <c r="LEH4094" s="909"/>
      <c r="LEI4094" s="909"/>
      <c r="LEJ4094" s="909"/>
      <c r="LEK4094" s="907" t="s">
        <v>79</v>
      </c>
      <c r="LEL4094" s="909" t="s">
        <v>68</v>
      </c>
      <c r="LEM4094" s="910" t="s">
        <v>75</v>
      </c>
      <c r="LEN4094" s="911"/>
      <c r="LEO4094" s="911"/>
      <c r="LEP4094" s="911"/>
      <c r="LEQ4094" s="911"/>
      <c r="LER4094" s="911"/>
      <c r="LES4094" s="911"/>
      <c r="LET4094" s="911"/>
      <c r="LEU4094" s="911"/>
      <c r="LEV4094" s="911"/>
      <c r="LEW4094" s="32"/>
      <c r="LEX4094" s="911" t="s">
        <v>74</v>
      </c>
      <c r="LEY4094" s="911"/>
      <c r="LEZ4094" s="911"/>
      <c r="LFA4094" s="911"/>
      <c r="LFB4094" s="911"/>
      <c r="LFC4094" s="911"/>
      <c r="LFD4094" s="911"/>
      <c r="LFE4094" s="911"/>
      <c r="LFF4094" s="911"/>
      <c r="LFG4094" s="912"/>
      <c r="LFI4094" s="913" t="s">
        <v>1</v>
      </c>
      <c r="LFJ4094" s="31"/>
      <c r="LFK4094" s="909" t="s">
        <v>0</v>
      </c>
      <c r="LFL4094" s="909"/>
      <c r="LFM4094" s="909"/>
      <c r="LFN4094" s="909"/>
      <c r="LFO4094" s="909"/>
      <c r="LFP4094" s="909"/>
      <c r="LFQ4094" s="907" t="s">
        <v>79</v>
      </c>
      <c r="LFR4094" s="909" t="s">
        <v>68</v>
      </c>
      <c r="LFS4094" s="910" t="s">
        <v>75</v>
      </c>
      <c r="LFT4094" s="911"/>
      <c r="LFU4094" s="911"/>
      <c r="LFV4094" s="911"/>
      <c r="LFW4094" s="911"/>
      <c r="LFX4094" s="911"/>
      <c r="LFY4094" s="911"/>
      <c r="LFZ4094" s="911"/>
      <c r="LGA4094" s="911"/>
      <c r="LGB4094" s="911"/>
      <c r="LGC4094" s="32"/>
      <c r="LGD4094" s="911" t="s">
        <v>74</v>
      </c>
      <c r="LGE4094" s="911"/>
      <c r="LGF4094" s="911"/>
      <c r="LGG4094" s="911"/>
      <c r="LGH4094" s="911"/>
      <c r="LGI4094" s="911"/>
      <c r="LGJ4094" s="911"/>
      <c r="LGK4094" s="911"/>
      <c r="LGL4094" s="911"/>
      <c r="LGM4094" s="912"/>
      <c r="LGO4094" s="913" t="s">
        <v>1</v>
      </c>
      <c r="LGP4094" s="31"/>
      <c r="LGQ4094" s="909" t="s">
        <v>0</v>
      </c>
      <c r="LGR4094" s="909"/>
      <c r="LGS4094" s="909"/>
      <c r="LGT4094" s="909"/>
      <c r="LGU4094" s="909"/>
      <c r="LGV4094" s="909"/>
      <c r="LGW4094" s="907" t="s">
        <v>79</v>
      </c>
      <c r="LGX4094" s="909" t="s">
        <v>68</v>
      </c>
      <c r="LGY4094" s="910" t="s">
        <v>75</v>
      </c>
      <c r="LGZ4094" s="911"/>
      <c r="LHA4094" s="911"/>
      <c r="LHB4094" s="911"/>
      <c r="LHC4094" s="911"/>
      <c r="LHD4094" s="911"/>
      <c r="LHE4094" s="911"/>
      <c r="LHF4094" s="911"/>
      <c r="LHG4094" s="911"/>
      <c r="LHH4094" s="911"/>
      <c r="LHI4094" s="32"/>
      <c r="LHJ4094" s="911" t="s">
        <v>74</v>
      </c>
      <c r="LHK4094" s="911"/>
      <c r="LHL4094" s="911"/>
      <c r="LHM4094" s="911"/>
      <c r="LHN4094" s="911"/>
      <c r="LHO4094" s="911"/>
      <c r="LHP4094" s="911"/>
      <c r="LHQ4094" s="911"/>
      <c r="LHR4094" s="911"/>
      <c r="LHS4094" s="912"/>
      <c r="LHU4094" s="913" t="s">
        <v>1</v>
      </c>
      <c r="LHV4094" s="31"/>
      <c r="LHW4094" s="909" t="s">
        <v>0</v>
      </c>
      <c r="LHX4094" s="909"/>
      <c r="LHY4094" s="909"/>
      <c r="LHZ4094" s="909"/>
      <c r="LIA4094" s="909"/>
      <c r="LIB4094" s="909"/>
      <c r="LIC4094" s="907" t="s">
        <v>79</v>
      </c>
      <c r="LID4094" s="909" t="s">
        <v>68</v>
      </c>
      <c r="LIE4094" s="910" t="s">
        <v>75</v>
      </c>
      <c r="LIF4094" s="911"/>
      <c r="LIG4094" s="911"/>
      <c r="LIH4094" s="911"/>
      <c r="LII4094" s="911"/>
      <c r="LIJ4094" s="911"/>
      <c r="LIK4094" s="911"/>
      <c r="LIL4094" s="911"/>
      <c r="LIM4094" s="911"/>
      <c r="LIN4094" s="911"/>
      <c r="LIO4094" s="32"/>
      <c r="LIP4094" s="911" t="s">
        <v>74</v>
      </c>
      <c r="LIQ4094" s="911"/>
      <c r="LIR4094" s="911"/>
      <c r="LIS4094" s="911"/>
      <c r="LIT4094" s="911"/>
      <c r="LIU4094" s="911"/>
      <c r="LIV4094" s="911"/>
      <c r="LIW4094" s="911"/>
      <c r="LIX4094" s="911"/>
      <c r="LIY4094" s="912"/>
      <c r="LJA4094" s="913" t="s">
        <v>1</v>
      </c>
      <c r="LJB4094" s="31"/>
      <c r="LJC4094" s="909" t="s">
        <v>0</v>
      </c>
      <c r="LJD4094" s="909"/>
      <c r="LJE4094" s="909"/>
      <c r="LJF4094" s="909"/>
      <c r="LJG4094" s="909"/>
      <c r="LJH4094" s="909"/>
      <c r="LJI4094" s="907" t="s">
        <v>79</v>
      </c>
      <c r="LJJ4094" s="909" t="s">
        <v>68</v>
      </c>
      <c r="LJK4094" s="910" t="s">
        <v>75</v>
      </c>
      <c r="LJL4094" s="911"/>
      <c r="LJM4094" s="911"/>
      <c r="LJN4094" s="911"/>
      <c r="LJO4094" s="911"/>
      <c r="LJP4094" s="911"/>
      <c r="LJQ4094" s="911"/>
      <c r="LJR4094" s="911"/>
      <c r="LJS4094" s="911"/>
      <c r="LJT4094" s="911"/>
      <c r="LJU4094" s="32"/>
      <c r="LJV4094" s="911" t="s">
        <v>74</v>
      </c>
      <c r="LJW4094" s="911"/>
      <c r="LJX4094" s="911"/>
      <c r="LJY4094" s="911"/>
      <c r="LJZ4094" s="911"/>
      <c r="LKA4094" s="911"/>
      <c r="LKB4094" s="911"/>
      <c r="LKC4094" s="911"/>
      <c r="LKD4094" s="911"/>
      <c r="LKE4094" s="912"/>
      <c r="LKG4094" s="913" t="s">
        <v>1</v>
      </c>
      <c r="LKH4094" s="31"/>
      <c r="LKI4094" s="909" t="s">
        <v>0</v>
      </c>
      <c r="LKJ4094" s="909"/>
      <c r="LKK4094" s="909"/>
      <c r="LKL4094" s="909"/>
      <c r="LKM4094" s="909"/>
      <c r="LKN4094" s="909"/>
      <c r="LKO4094" s="907" t="s">
        <v>79</v>
      </c>
      <c r="LKP4094" s="909" t="s">
        <v>68</v>
      </c>
      <c r="LKQ4094" s="910" t="s">
        <v>75</v>
      </c>
      <c r="LKR4094" s="911"/>
      <c r="LKS4094" s="911"/>
      <c r="LKT4094" s="911"/>
      <c r="LKU4094" s="911"/>
      <c r="LKV4094" s="911"/>
      <c r="LKW4094" s="911"/>
      <c r="LKX4094" s="911"/>
      <c r="LKY4094" s="911"/>
      <c r="LKZ4094" s="911"/>
      <c r="LLA4094" s="32"/>
      <c r="LLB4094" s="911" t="s">
        <v>74</v>
      </c>
      <c r="LLC4094" s="911"/>
      <c r="LLD4094" s="911"/>
      <c r="LLE4094" s="911"/>
      <c r="LLF4094" s="911"/>
      <c r="LLG4094" s="911"/>
      <c r="LLH4094" s="911"/>
      <c r="LLI4094" s="911"/>
      <c r="LLJ4094" s="911"/>
      <c r="LLK4094" s="912"/>
      <c r="LLM4094" s="913" t="s">
        <v>1</v>
      </c>
      <c r="LLN4094" s="31"/>
      <c r="LLO4094" s="909" t="s">
        <v>0</v>
      </c>
      <c r="LLP4094" s="909"/>
      <c r="LLQ4094" s="909"/>
      <c r="LLR4094" s="909"/>
      <c r="LLS4094" s="909"/>
      <c r="LLT4094" s="909"/>
      <c r="LLU4094" s="907" t="s">
        <v>79</v>
      </c>
      <c r="LLV4094" s="909" t="s">
        <v>68</v>
      </c>
      <c r="LLW4094" s="910" t="s">
        <v>75</v>
      </c>
      <c r="LLX4094" s="911"/>
      <c r="LLY4094" s="911"/>
      <c r="LLZ4094" s="911"/>
      <c r="LMA4094" s="911"/>
      <c r="LMB4094" s="911"/>
      <c r="LMC4094" s="911"/>
      <c r="LMD4094" s="911"/>
      <c r="LME4094" s="911"/>
      <c r="LMF4094" s="911"/>
      <c r="LMG4094" s="32"/>
      <c r="LMH4094" s="911" t="s">
        <v>74</v>
      </c>
      <c r="LMI4094" s="911"/>
      <c r="LMJ4094" s="911"/>
      <c r="LMK4094" s="911"/>
      <c r="LML4094" s="911"/>
      <c r="LMM4094" s="911"/>
      <c r="LMN4094" s="911"/>
      <c r="LMO4094" s="911"/>
      <c r="LMP4094" s="911"/>
      <c r="LMQ4094" s="912"/>
      <c r="LMS4094" s="913" t="s">
        <v>1</v>
      </c>
      <c r="LMT4094" s="31"/>
      <c r="LMU4094" s="909" t="s">
        <v>0</v>
      </c>
      <c r="LMV4094" s="909"/>
      <c r="LMW4094" s="909"/>
      <c r="LMX4094" s="909"/>
      <c r="LMY4094" s="909"/>
      <c r="LMZ4094" s="909"/>
      <c r="LNA4094" s="907" t="s">
        <v>79</v>
      </c>
      <c r="LNB4094" s="909" t="s">
        <v>68</v>
      </c>
      <c r="LNC4094" s="910" t="s">
        <v>75</v>
      </c>
      <c r="LND4094" s="911"/>
      <c r="LNE4094" s="911"/>
      <c r="LNF4094" s="911"/>
      <c r="LNG4094" s="911"/>
      <c r="LNH4094" s="911"/>
      <c r="LNI4094" s="911"/>
      <c r="LNJ4094" s="911"/>
      <c r="LNK4094" s="911"/>
      <c r="LNL4094" s="911"/>
      <c r="LNM4094" s="32"/>
      <c r="LNN4094" s="911" t="s">
        <v>74</v>
      </c>
      <c r="LNO4094" s="911"/>
      <c r="LNP4094" s="911"/>
      <c r="LNQ4094" s="911"/>
      <c r="LNR4094" s="911"/>
      <c r="LNS4094" s="911"/>
      <c r="LNT4094" s="911"/>
      <c r="LNU4094" s="911"/>
      <c r="LNV4094" s="911"/>
      <c r="LNW4094" s="912"/>
      <c r="LNY4094" s="913" t="s">
        <v>1</v>
      </c>
      <c r="LNZ4094" s="31"/>
      <c r="LOA4094" s="909" t="s">
        <v>0</v>
      </c>
      <c r="LOB4094" s="909"/>
      <c r="LOC4094" s="909"/>
      <c r="LOD4094" s="909"/>
      <c r="LOE4094" s="909"/>
      <c r="LOF4094" s="909"/>
      <c r="LOG4094" s="907" t="s">
        <v>79</v>
      </c>
      <c r="LOH4094" s="909" t="s">
        <v>68</v>
      </c>
      <c r="LOI4094" s="910" t="s">
        <v>75</v>
      </c>
      <c r="LOJ4094" s="911"/>
      <c r="LOK4094" s="911"/>
      <c r="LOL4094" s="911"/>
      <c r="LOM4094" s="911"/>
      <c r="LON4094" s="911"/>
      <c r="LOO4094" s="911"/>
      <c r="LOP4094" s="911"/>
      <c r="LOQ4094" s="911"/>
      <c r="LOR4094" s="911"/>
      <c r="LOS4094" s="32"/>
      <c r="LOT4094" s="911" t="s">
        <v>74</v>
      </c>
      <c r="LOU4094" s="911"/>
      <c r="LOV4094" s="911"/>
      <c r="LOW4094" s="911"/>
      <c r="LOX4094" s="911"/>
      <c r="LOY4094" s="911"/>
      <c r="LOZ4094" s="911"/>
      <c r="LPA4094" s="911"/>
      <c r="LPB4094" s="911"/>
      <c r="LPC4094" s="912"/>
      <c r="LPE4094" s="913" t="s">
        <v>1</v>
      </c>
      <c r="LPF4094" s="31"/>
      <c r="LPG4094" s="909" t="s">
        <v>0</v>
      </c>
      <c r="LPH4094" s="909"/>
      <c r="LPI4094" s="909"/>
      <c r="LPJ4094" s="909"/>
      <c r="LPK4094" s="909"/>
      <c r="LPL4094" s="909"/>
      <c r="LPM4094" s="907" t="s">
        <v>79</v>
      </c>
      <c r="LPN4094" s="909" t="s">
        <v>68</v>
      </c>
      <c r="LPO4094" s="910" t="s">
        <v>75</v>
      </c>
      <c r="LPP4094" s="911"/>
      <c r="LPQ4094" s="911"/>
      <c r="LPR4094" s="911"/>
      <c r="LPS4094" s="911"/>
      <c r="LPT4094" s="911"/>
      <c r="LPU4094" s="911"/>
      <c r="LPV4094" s="911"/>
      <c r="LPW4094" s="911"/>
      <c r="LPX4094" s="911"/>
      <c r="LPY4094" s="32"/>
      <c r="LPZ4094" s="911" t="s">
        <v>74</v>
      </c>
      <c r="LQA4094" s="911"/>
      <c r="LQB4094" s="911"/>
      <c r="LQC4094" s="911"/>
      <c r="LQD4094" s="911"/>
      <c r="LQE4094" s="911"/>
      <c r="LQF4094" s="911"/>
      <c r="LQG4094" s="911"/>
      <c r="LQH4094" s="911"/>
      <c r="LQI4094" s="912"/>
      <c r="LQK4094" s="913" t="s">
        <v>1</v>
      </c>
      <c r="LQL4094" s="31"/>
      <c r="LQM4094" s="909" t="s">
        <v>0</v>
      </c>
      <c r="LQN4094" s="909"/>
      <c r="LQO4094" s="909"/>
      <c r="LQP4094" s="909"/>
      <c r="LQQ4094" s="909"/>
      <c r="LQR4094" s="909"/>
      <c r="LQS4094" s="907" t="s">
        <v>79</v>
      </c>
      <c r="LQT4094" s="909" t="s">
        <v>68</v>
      </c>
      <c r="LQU4094" s="910" t="s">
        <v>75</v>
      </c>
      <c r="LQV4094" s="911"/>
      <c r="LQW4094" s="911"/>
      <c r="LQX4094" s="911"/>
      <c r="LQY4094" s="911"/>
      <c r="LQZ4094" s="911"/>
      <c r="LRA4094" s="911"/>
      <c r="LRB4094" s="911"/>
      <c r="LRC4094" s="911"/>
      <c r="LRD4094" s="911"/>
      <c r="LRE4094" s="32"/>
      <c r="LRF4094" s="911" t="s">
        <v>74</v>
      </c>
      <c r="LRG4094" s="911"/>
      <c r="LRH4094" s="911"/>
      <c r="LRI4094" s="911"/>
      <c r="LRJ4094" s="911"/>
      <c r="LRK4094" s="911"/>
      <c r="LRL4094" s="911"/>
      <c r="LRM4094" s="911"/>
      <c r="LRN4094" s="911"/>
      <c r="LRO4094" s="912"/>
      <c r="LRQ4094" s="913" t="s">
        <v>1</v>
      </c>
      <c r="LRR4094" s="31"/>
      <c r="LRS4094" s="909" t="s">
        <v>0</v>
      </c>
      <c r="LRT4094" s="909"/>
      <c r="LRU4094" s="909"/>
      <c r="LRV4094" s="909"/>
      <c r="LRW4094" s="909"/>
      <c r="LRX4094" s="909"/>
      <c r="LRY4094" s="907" t="s">
        <v>79</v>
      </c>
      <c r="LRZ4094" s="909" t="s">
        <v>68</v>
      </c>
      <c r="LSA4094" s="910" t="s">
        <v>75</v>
      </c>
      <c r="LSB4094" s="911"/>
      <c r="LSC4094" s="911"/>
      <c r="LSD4094" s="911"/>
      <c r="LSE4094" s="911"/>
      <c r="LSF4094" s="911"/>
      <c r="LSG4094" s="911"/>
      <c r="LSH4094" s="911"/>
      <c r="LSI4094" s="911"/>
      <c r="LSJ4094" s="911"/>
      <c r="LSK4094" s="32"/>
      <c r="LSL4094" s="911" t="s">
        <v>74</v>
      </c>
      <c r="LSM4094" s="911"/>
      <c r="LSN4094" s="911"/>
      <c r="LSO4094" s="911"/>
      <c r="LSP4094" s="911"/>
      <c r="LSQ4094" s="911"/>
      <c r="LSR4094" s="911"/>
      <c r="LSS4094" s="911"/>
      <c r="LST4094" s="911"/>
      <c r="LSU4094" s="912"/>
      <c r="LSW4094" s="913" t="s">
        <v>1</v>
      </c>
      <c r="LSX4094" s="31"/>
      <c r="LSY4094" s="909" t="s">
        <v>0</v>
      </c>
      <c r="LSZ4094" s="909"/>
      <c r="LTA4094" s="909"/>
      <c r="LTB4094" s="909"/>
      <c r="LTC4094" s="909"/>
      <c r="LTD4094" s="909"/>
      <c r="LTE4094" s="907" t="s">
        <v>79</v>
      </c>
      <c r="LTF4094" s="909" t="s">
        <v>68</v>
      </c>
      <c r="LTG4094" s="910" t="s">
        <v>75</v>
      </c>
      <c r="LTH4094" s="911"/>
      <c r="LTI4094" s="911"/>
      <c r="LTJ4094" s="911"/>
      <c r="LTK4094" s="911"/>
      <c r="LTL4094" s="911"/>
      <c r="LTM4094" s="911"/>
      <c r="LTN4094" s="911"/>
      <c r="LTO4094" s="911"/>
      <c r="LTP4094" s="911"/>
      <c r="LTQ4094" s="32"/>
      <c r="LTR4094" s="911" t="s">
        <v>74</v>
      </c>
      <c r="LTS4094" s="911"/>
      <c r="LTT4094" s="911"/>
      <c r="LTU4094" s="911"/>
      <c r="LTV4094" s="911"/>
      <c r="LTW4094" s="911"/>
      <c r="LTX4094" s="911"/>
      <c r="LTY4094" s="911"/>
      <c r="LTZ4094" s="911"/>
      <c r="LUA4094" s="912"/>
      <c r="LUC4094" s="913" t="s">
        <v>1</v>
      </c>
      <c r="LUD4094" s="31"/>
      <c r="LUE4094" s="909" t="s">
        <v>0</v>
      </c>
      <c r="LUF4094" s="909"/>
      <c r="LUG4094" s="909"/>
      <c r="LUH4094" s="909"/>
      <c r="LUI4094" s="909"/>
      <c r="LUJ4094" s="909"/>
      <c r="LUK4094" s="907" t="s">
        <v>79</v>
      </c>
      <c r="LUL4094" s="909" t="s">
        <v>68</v>
      </c>
      <c r="LUM4094" s="910" t="s">
        <v>75</v>
      </c>
      <c r="LUN4094" s="911"/>
      <c r="LUO4094" s="911"/>
      <c r="LUP4094" s="911"/>
      <c r="LUQ4094" s="911"/>
      <c r="LUR4094" s="911"/>
      <c r="LUS4094" s="911"/>
      <c r="LUT4094" s="911"/>
      <c r="LUU4094" s="911"/>
      <c r="LUV4094" s="911"/>
      <c r="LUW4094" s="32"/>
      <c r="LUX4094" s="911" t="s">
        <v>74</v>
      </c>
      <c r="LUY4094" s="911"/>
      <c r="LUZ4094" s="911"/>
      <c r="LVA4094" s="911"/>
      <c r="LVB4094" s="911"/>
      <c r="LVC4094" s="911"/>
      <c r="LVD4094" s="911"/>
      <c r="LVE4094" s="911"/>
      <c r="LVF4094" s="911"/>
      <c r="LVG4094" s="912"/>
      <c r="LVI4094" s="913" t="s">
        <v>1</v>
      </c>
      <c r="LVJ4094" s="31"/>
      <c r="LVK4094" s="909" t="s">
        <v>0</v>
      </c>
      <c r="LVL4094" s="909"/>
      <c r="LVM4094" s="909"/>
      <c r="LVN4094" s="909"/>
      <c r="LVO4094" s="909"/>
      <c r="LVP4094" s="909"/>
      <c r="LVQ4094" s="907" t="s">
        <v>79</v>
      </c>
      <c r="LVR4094" s="909" t="s">
        <v>68</v>
      </c>
      <c r="LVS4094" s="910" t="s">
        <v>75</v>
      </c>
      <c r="LVT4094" s="911"/>
      <c r="LVU4094" s="911"/>
      <c r="LVV4094" s="911"/>
      <c r="LVW4094" s="911"/>
      <c r="LVX4094" s="911"/>
      <c r="LVY4094" s="911"/>
      <c r="LVZ4094" s="911"/>
      <c r="LWA4094" s="911"/>
      <c r="LWB4094" s="911"/>
      <c r="LWC4094" s="32"/>
      <c r="LWD4094" s="911" t="s">
        <v>74</v>
      </c>
      <c r="LWE4094" s="911"/>
      <c r="LWF4094" s="911"/>
      <c r="LWG4094" s="911"/>
      <c r="LWH4094" s="911"/>
      <c r="LWI4094" s="911"/>
      <c r="LWJ4094" s="911"/>
      <c r="LWK4094" s="911"/>
      <c r="LWL4094" s="911"/>
      <c r="LWM4094" s="912"/>
      <c r="LWO4094" s="913" t="s">
        <v>1</v>
      </c>
      <c r="LWP4094" s="31"/>
      <c r="LWQ4094" s="909" t="s">
        <v>0</v>
      </c>
      <c r="LWR4094" s="909"/>
      <c r="LWS4094" s="909"/>
      <c r="LWT4094" s="909"/>
      <c r="LWU4094" s="909"/>
      <c r="LWV4094" s="909"/>
      <c r="LWW4094" s="907" t="s">
        <v>79</v>
      </c>
      <c r="LWX4094" s="909" t="s">
        <v>68</v>
      </c>
      <c r="LWY4094" s="910" t="s">
        <v>75</v>
      </c>
      <c r="LWZ4094" s="911"/>
      <c r="LXA4094" s="911"/>
      <c r="LXB4094" s="911"/>
      <c r="LXC4094" s="911"/>
      <c r="LXD4094" s="911"/>
      <c r="LXE4094" s="911"/>
      <c r="LXF4094" s="911"/>
      <c r="LXG4094" s="911"/>
      <c r="LXH4094" s="911"/>
      <c r="LXI4094" s="32"/>
      <c r="LXJ4094" s="911" t="s">
        <v>74</v>
      </c>
      <c r="LXK4094" s="911"/>
      <c r="LXL4094" s="911"/>
      <c r="LXM4094" s="911"/>
      <c r="LXN4094" s="911"/>
      <c r="LXO4094" s="911"/>
      <c r="LXP4094" s="911"/>
      <c r="LXQ4094" s="911"/>
      <c r="LXR4094" s="911"/>
      <c r="LXS4094" s="912"/>
      <c r="LXU4094" s="913" t="s">
        <v>1</v>
      </c>
      <c r="LXV4094" s="31"/>
      <c r="LXW4094" s="909" t="s">
        <v>0</v>
      </c>
      <c r="LXX4094" s="909"/>
      <c r="LXY4094" s="909"/>
      <c r="LXZ4094" s="909"/>
      <c r="LYA4094" s="909"/>
      <c r="LYB4094" s="909"/>
      <c r="LYC4094" s="907" t="s">
        <v>79</v>
      </c>
      <c r="LYD4094" s="909" t="s">
        <v>68</v>
      </c>
      <c r="LYE4094" s="910" t="s">
        <v>75</v>
      </c>
      <c r="LYF4094" s="911"/>
      <c r="LYG4094" s="911"/>
      <c r="LYH4094" s="911"/>
      <c r="LYI4094" s="911"/>
      <c r="LYJ4094" s="911"/>
      <c r="LYK4094" s="911"/>
      <c r="LYL4094" s="911"/>
      <c r="LYM4094" s="911"/>
      <c r="LYN4094" s="911"/>
      <c r="LYO4094" s="32"/>
      <c r="LYP4094" s="911" t="s">
        <v>74</v>
      </c>
      <c r="LYQ4094" s="911"/>
      <c r="LYR4094" s="911"/>
      <c r="LYS4094" s="911"/>
      <c r="LYT4094" s="911"/>
      <c r="LYU4094" s="911"/>
      <c r="LYV4094" s="911"/>
      <c r="LYW4094" s="911"/>
      <c r="LYX4094" s="911"/>
      <c r="LYY4094" s="912"/>
      <c r="LZA4094" s="913" t="s">
        <v>1</v>
      </c>
      <c r="LZB4094" s="31"/>
      <c r="LZC4094" s="909" t="s">
        <v>0</v>
      </c>
      <c r="LZD4094" s="909"/>
      <c r="LZE4094" s="909"/>
      <c r="LZF4094" s="909"/>
      <c r="LZG4094" s="909"/>
      <c r="LZH4094" s="909"/>
      <c r="LZI4094" s="907" t="s">
        <v>79</v>
      </c>
      <c r="LZJ4094" s="909" t="s">
        <v>68</v>
      </c>
      <c r="LZK4094" s="910" t="s">
        <v>75</v>
      </c>
      <c r="LZL4094" s="911"/>
      <c r="LZM4094" s="911"/>
      <c r="LZN4094" s="911"/>
      <c r="LZO4094" s="911"/>
      <c r="LZP4094" s="911"/>
      <c r="LZQ4094" s="911"/>
      <c r="LZR4094" s="911"/>
      <c r="LZS4094" s="911"/>
      <c r="LZT4094" s="911"/>
      <c r="LZU4094" s="32"/>
      <c r="LZV4094" s="911" t="s">
        <v>74</v>
      </c>
      <c r="LZW4094" s="911"/>
      <c r="LZX4094" s="911"/>
      <c r="LZY4094" s="911"/>
      <c r="LZZ4094" s="911"/>
      <c r="MAA4094" s="911"/>
      <c r="MAB4094" s="911"/>
      <c r="MAC4094" s="911"/>
      <c r="MAD4094" s="911"/>
      <c r="MAE4094" s="912"/>
      <c r="MAG4094" s="913" t="s">
        <v>1</v>
      </c>
      <c r="MAH4094" s="31"/>
      <c r="MAI4094" s="909" t="s">
        <v>0</v>
      </c>
      <c r="MAJ4094" s="909"/>
      <c r="MAK4094" s="909"/>
      <c r="MAL4094" s="909"/>
      <c r="MAM4094" s="909"/>
      <c r="MAN4094" s="909"/>
      <c r="MAO4094" s="907" t="s">
        <v>79</v>
      </c>
      <c r="MAP4094" s="909" t="s">
        <v>68</v>
      </c>
      <c r="MAQ4094" s="910" t="s">
        <v>75</v>
      </c>
      <c r="MAR4094" s="911"/>
      <c r="MAS4094" s="911"/>
      <c r="MAT4094" s="911"/>
      <c r="MAU4094" s="911"/>
      <c r="MAV4094" s="911"/>
      <c r="MAW4094" s="911"/>
      <c r="MAX4094" s="911"/>
      <c r="MAY4094" s="911"/>
      <c r="MAZ4094" s="911"/>
      <c r="MBA4094" s="32"/>
      <c r="MBB4094" s="911" t="s">
        <v>74</v>
      </c>
      <c r="MBC4094" s="911"/>
      <c r="MBD4094" s="911"/>
      <c r="MBE4094" s="911"/>
      <c r="MBF4094" s="911"/>
      <c r="MBG4094" s="911"/>
      <c r="MBH4094" s="911"/>
      <c r="MBI4094" s="911"/>
      <c r="MBJ4094" s="911"/>
      <c r="MBK4094" s="912"/>
      <c r="MBM4094" s="913" t="s">
        <v>1</v>
      </c>
      <c r="MBN4094" s="31"/>
      <c r="MBO4094" s="909" t="s">
        <v>0</v>
      </c>
      <c r="MBP4094" s="909"/>
      <c r="MBQ4094" s="909"/>
      <c r="MBR4094" s="909"/>
      <c r="MBS4094" s="909"/>
      <c r="MBT4094" s="909"/>
      <c r="MBU4094" s="907" t="s">
        <v>79</v>
      </c>
      <c r="MBV4094" s="909" t="s">
        <v>68</v>
      </c>
      <c r="MBW4094" s="910" t="s">
        <v>75</v>
      </c>
      <c r="MBX4094" s="911"/>
      <c r="MBY4094" s="911"/>
      <c r="MBZ4094" s="911"/>
      <c r="MCA4094" s="911"/>
      <c r="MCB4094" s="911"/>
      <c r="MCC4094" s="911"/>
      <c r="MCD4094" s="911"/>
      <c r="MCE4094" s="911"/>
      <c r="MCF4094" s="911"/>
      <c r="MCG4094" s="32"/>
      <c r="MCH4094" s="911" t="s">
        <v>74</v>
      </c>
      <c r="MCI4094" s="911"/>
      <c r="MCJ4094" s="911"/>
      <c r="MCK4094" s="911"/>
      <c r="MCL4094" s="911"/>
      <c r="MCM4094" s="911"/>
      <c r="MCN4094" s="911"/>
      <c r="MCO4094" s="911"/>
      <c r="MCP4094" s="911"/>
      <c r="MCQ4094" s="912"/>
      <c r="MCS4094" s="913" t="s">
        <v>1</v>
      </c>
      <c r="MCT4094" s="31"/>
      <c r="MCU4094" s="909" t="s">
        <v>0</v>
      </c>
      <c r="MCV4094" s="909"/>
      <c r="MCW4094" s="909"/>
      <c r="MCX4094" s="909"/>
      <c r="MCY4094" s="909"/>
      <c r="MCZ4094" s="909"/>
      <c r="MDA4094" s="907" t="s">
        <v>79</v>
      </c>
      <c r="MDB4094" s="909" t="s">
        <v>68</v>
      </c>
      <c r="MDC4094" s="910" t="s">
        <v>75</v>
      </c>
      <c r="MDD4094" s="911"/>
      <c r="MDE4094" s="911"/>
      <c r="MDF4094" s="911"/>
      <c r="MDG4094" s="911"/>
      <c r="MDH4094" s="911"/>
      <c r="MDI4094" s="911"/>
      <c r="MDJ4094" s="911"/>
      <c r="MDK4094" s="911"/>
      <c r="MDL4094" s="911"/>
      <c r="MDM4094" s="32"/>
      <c r="MDN4094" s="911" t="s">
        <v>74</v>
      </c>
      <c r="MDO4094" s="911"/>
      <c r="MDP4094" s="911"/>
      <c r="MDQ4094" s="911"/>
      <c r="MDR4094" s="911"/>
      <c r="MDS4094" s="911"/>
      <c r="MDT4094" s="911"/>
      <c r="MDU4094" s="911"/>
      <c r="MDV4094" s="911"/>
      <c r="MDW4094" s="912"/>
      <c r="MDY4094" s="913" t="s">
        <v>1</v>
      </c>
      <c r="MDZ4094" s="31"/>
      <c r="MEA4094" s="909" t="s">
        <v>0</v>
      </c>
      <c r="MEB4094" s="909"/>
      <c r="MEC4094" s="909"/>
      <c r="MED4094" s="909"/>
      <c r="MEE4094" s="909"/>
      <c r="MEF4094" s="909"/>
      <c r="MEG4094" s="907" t="s">
        <v>79</v>
      </c>
      <c r="MEH4094" s="909" t="s">
        <v>68</v>
      </c>
      <c r="MEI4094" s="910" t="s">
        <v>75</v>
      </c>
      <c r="MEJ4094" s="911"/>
      <c r="MEK4094" s="911"/>
      <c r="MEL4094" s="911"/>
      <c r="MEM4094" s="911"/>
      <c r="MEN4094" s="911"/>
      <c r="MEO4094" s="911"/>
      <c r="MEP4094" s="911"/>
      <c r="MEQ4094" s="911"/>
      <c r="MER4094" s="911"/>
      <c r="MES4094" s="32"/>
      <c r="MET4094" s="911" t="s">
        <v>74</v>
      </c>
      <c r="MEU4094" s="911"/>
      <c r="MEV4094" s="911"/>
      <c r="MEW4094" s="911"/>
      <c r="MEX4094" s="911"/>
      <c r="MEY4094" s="911"/>
      <c r="MEZ4094" s="911"/>
      <c r="MFA4094" s="911"/>
      <c r="MFB4094" s="911"/>
      <c r="MFC4094" s="912"/>
      <c r="MFE4094" s="913" t="s">
        <v>1</v>
      </c>
      <c r="MFF4094" s="31"/>
      <c r="MFG4094" s="909" t="s">
        <v>0</v>
      </c>
      <c r="MFH4094" s="909"/>
      <c r="MFI4094" s="909"/>
      <c r="MFJ4094" s="909"/>
      <c r="MFK4094" s="909"/>
      <c r="MFL4094" s="909"/>
      <c r="MFM4094" s="907" t="s">
        <v>79</v>
      </c>
      <c r="MFN4094" s="909" t="s">
        <v>68</v>
      </c>
      <c r="MFO4094" s="910" t="s">
        <v>75</v>
      </c>
      <c r="MFP4094" s="911"/>
      <c r="MFQ4094" s="911"/>
      <c r="MFR4094" s="911"/>
      <c r="MFS4094" s="911"/>
      <c r="MFT4094" s="911"/>
      <c r="MFU4094" s="911"/>
      <c r="MFV4094" s="911"/>
      <c r="MFW4094" s="911"/>
      <c r="MFX4094" s="911"/>
      <c r="MFY4094" s="32"/>
      <c r="MFZ4094" s="911" t="s">
        <v>74</v>
      </c>
      <c r="MGA4094" s="911"/>
      <c r="MGB4094" s="911"/>
      <c r="MGC4094" s="911"/>
      <c r="MGD4094" s="911"/>
      <c r="MGE4094" s="911"/>
      <c r="MGF4094" s="911"/>
      <c r="MGG4094" s="911"/>
      <c r="MGH4094" s="911"/>
      <c r="MGI4094" s="912"/>
      <c r="MGK4094" s="913" t="s">
        <v>1</v>
      </c>
      <c r="MGL4094" s="31"/>
      <c r="MGM4094" s="909" t="s">
        <v>0</v>
      </c>
      <c r="MGN4094" s="909"/>
      <c r="MGO4094" s="909"/>
      <c r="MGP4094" s="909"/>
      <c r="MGQ4094" s="909"/>
      <c r="MGR4094" s="909"/>
      <c r="MGS4094" s="907" t="s">
        <v>79</v>
      </c>
      <c r="MGT4094" s="909" t="s">
        <v>68</v>
      </c>
      <c r="MGU4094" s="910" t="s">
        <v>75</v>
      </c>
      <c r="MGV4094" s="911"/>
      <c r="MGW4094" s="911"/>
      <c r="MGX4094" s="911"/>
      <c r="MGY4094" s="911"/>
      <c r="MGZ4094" s="911"/>
      <c r="MHA4094" s="911"/>
      <c r="MHB4094" s="911"/>
      <c r="MHC4094" s="911"/>
      <c r="MHD4094" s="911"/>
      <c r="MHE4094" s="32"/>
      <c r="MHF4094" s="911" t="s">
        <v>74</v>
      </c>
      <c r="MHG4094" s="911"/>
      <c r="MHH4094" s="911"/>
      <c r="MHI4094" s="911"/>
      <c r="MHJ4094" s="911"/>
      <c r="MHK4094" s="911"/>
      <c r="MHL4094" s="911"/>
      <c r="MHM4094" s="911"/>
      <c r="MHN4094" s="911"/>
      <c r="MHO4094" s="912"/>
      <c r="MHQ4094" s="913" t="s">
        <v>1</v>
      </c>
      <c r="MHR4094" s="31"/>
      <c r="MHS4094" s="909" t="s">
        <v>0</v>
      </c>
      <c r="MHT4094" s="909"/>
      <c r="MHU4094" s="909"/>
      <c r="MHV4094" s="909"/>
      <c r="MHW4094" s="909"/>
      <c r="MHX4094" s="909"/>
      <c r="MHY4094" s="907" t="s">
        <v>79</v>
      </c>
      <c r="MHZ4094" s="909" t="s">
        <v>68</v>
      </c>
      <c r="MIA4094" s="910" t="s">
        <v>75</v>
      </c>
      <c r="MIB4094" s="911"/>
      <c r="MIC4094" s="911"/>
      <c r="MID4094" s="911"/>
      <c r="MIE4094" s="911"/>
      <c r="MIF4094" s="911"/>
      <c r="MIG4094" s="911"/>
      <c r="MIH4094" s="911"/>
      <c r="MII4094" s="911"/>
      <c r="MIJ4094" s="911"/>
      <c r="MIK4094" s="32"/>
      <c r="MIL4094" s="911" t="s">
        <v>74</v>
      </c>
      <c r="MIM4094" s="911"/>
      <c r="MIN4094" s="911"/>
      <c r="MIO4094" s="911"/>
      <c r="MIP4094" s="911"/>
      <c r="MIQ4094" s="911"/>
      <c r="MIR4094" s="911"/>
      <c r="MIS4094" s="911"/>
      <c r="MIT4094" s="911"/>
      <c r="MIU4094" s="912"/>
      <c r="MIW4094" s="913" t="s">
        <v>1</v>
      </c>
      <c r="MIX4094" s="31"/>
      <c r="MIY4094" s="909" t="s">
        <v>0</v>
      </c>
      <c r="MIZ4094" s="909"/>
      <c r="MJA4094" s="909"/>
      <c r="MJB4094" s="909"/>
      <c r="MJC4094" s="909"/>
      <c r="MJD4094" s="909"/>
      <c r="MJE4094" s="907" t="s">
        <v>79</v>
      </c>
      <c r="MJF4094" s="909" t="s">
        <v>68</v>
      </c>
      <c r="MJG4094" s="910" t="s">
        <v>75</v>
      </c>
      <c r="MJH4094" s="911"/>
      <c r="MJI4094" s="911"/>
      <c r="MJJ4094" s="911"/>
      <c r="MJK4094" s="911"/>
      <c r="MJL4094" s="911"/>
      <c r="MJM4094" s="911"/>
      <c r="MJN4094" s="911"/>
      <c r="MJO4094" s="911"/>
      <c r="MJP4094" s="911"/>
      <c r="MJQ4094" s="32"/>
      <c r="MJR4094" s="911" t="s">
        <v>74</v>
      </c>
      <c r="MJS4094" s="911"/>
      <c r="MJT4094" s="911"/>
      <c r="MJU4094" s="911"/>
      <c r="MJV4094" s="911"/>
      <c r="MJW4094" s="911"/>
      <c r="MJX4094" s="911"/>
      <c r="MJY4094" s="911"/>
      <c r="MJZ4094" s="911"/>
      <c r="MKA4094" s="912"/>
      <c r="MKC4094" s="913" t="s">
        <v>1</v>
      </c>
      <c r="MKD4094" s="31"/>
      <c r="MKE4094" s="909" t="s">
        <v>0</v>
      </c>
      <c r="MKF4094" s="909"/>
      <c r="MKG4094" s="909"/>
      <c r="MKH4094" s="909"/>
      <c r="MKI4094" s="909"/>
      <c r="MKJ4094" s="909"/>
      <c r="MKK4094" s="907" t="s">
        <v>79</v>
      </c>
      <c r="MKL4094" s="909" t="s">
        <v>68</v>
      </c>
      <c r="MKM4094" s="910" t="s">
        <v>75</v>
      </c>
      <c r="MKN4094" s="911"/>
      <c r="MKO4094" s="911"/>
      <c r="MKP4094" s="911"/>
      <c r="MKQ4094" s="911"/>
      <c r="MKR4094" s="911"/>
      <c r="MKS4094" s="911"/>
      <c r="MKT4094" s="911"/>
      <c r="MKU4094" s="911"/>
      <c r="MKV4094" s="911"/>
      <c r="MKW4094" s="32"/>
      <c r="MKX4094" s="911" t="s">
        <v>74</v>
      </c>
      <c r="MKY4094" s="911"/>
      <c r="MKZ4094" s="911"/>
      <c r="MLA4094" s="911"/>
      <c r="MLB4094" s="911"/>
      <c r="MLC4094" s="911"/>
      <c r="MLD4094" s="911"/>
      <c r="MLE4094" s="911"/>
      <c r="MLF4094" s="911"/>
      <c r="MLG4094" s="912"/>
      <c r="MLI4094" s="913" t="s">
        <v>1</v>
      </c>
      <c r="MLJ4094" s="31"/>
      <c r="MLK4094" s="909" t="s">
        <v>0</v>
      </c>
      <c r="MLL4094" s="909"/>
      <c r="MLM4094" s="909"/>
      <c r="MLN4094" s="909"/>
      <c r="MLO4094" s="909"/>
      <c r="MLP4094" s="909"/>
      <c r="MLQ4094" s="907" t="s">
        <v>79</v>
      </c>
      <c r="MLR4094" s="909" t="s">
        <v>68</v>
      </c>
      <c r="MLS4094" s="910" t="s">
        <v>75</v>
      </c>
      <c r="MLT4094" s="911"/>
      <c r="MLU4094" s="911"/>
      <c r="MLV4094" s="911"/>
      <c r="MLW4094" s="911"/>
      <c r="MLX4094" s="911"/>
      <c r="MLY4094" s="911"/>
      <c r="MLZ4094" s="911"/>
      <c r="MMA4094" s="911"/>
      <c r="MMB4094" s="911"/>
      <c r="MMC4094" s="32"/>
      <c r="MMD4094" s="911" t="s">
        <v>74</v>
      </c>
      <c r="MME4094" s="911"/>
      <c r="MMF4094" s="911"/>
      <c r="MMG4094" s="911"/>
      <c r="MMH4094" s="911"/>
      <c r="MMI4094" s="911"/>
      <c r="MMJ4094" s="911"/>
      <c r="MMK4094" s="911"/>
      <c r="MML4094" s="911"/>
      <c r="MMM4094" s="912"/>
      <c r="MMO4094" s="913" t="s">
        <v>1</v>
      </c>
      <c r="MMP4094" s="31"/>
      <c r="MMQ4094" s="909" t="s">
        <v>0</v>
      </c>
      <c r="MMR4094" s="909"/>
      <c r="MMS4094" s="909"/>
      <c r="MMT4094" s="909"/>
      <c r="MMU4094" s="909"/>
      <c r="MMV4094" s="909"/>
      <c r="MMW4094" s="907" t="s">
        <v>79</v>
      </c>
      <c r="MMX4094" s="909" t="s">
        <v>68</v>
      </c>
      <c r="MMY4094" s="910" t="s">
        <v>75</v>
      </c>
      <c r="MMZ4094" s="911"/>
      <c r="MNA4094" s="911"/>
      <c r="MNB4094" s="911"/>
      <c r="MNC4094" s="911"/>
      <c r="MND4094" s="911"/>
      <c r="MNE4094" s="911"/>
      <c r="MNF4094" s="911"/>
      <c r="MNG4094" s="911"/>
      <c r="MNH4094" s="911"/>
      <c r="MNI4094" s="32"/>
      <c r="MNJ4094" s="911" t="s">
        <v>74</v>
      </c>
      <c r="MNK4094" s="911"/>
      <c r="MNL4094" s="911"/>
      <c r="MNM4094" s="911"/>
      <c r="MNN4094" s="911"/>
      <c r="MNO4094" s="911"/>
      <c r="MNP4094" s="911"/>
      <c r="MNQ4094" s="911"/>
      <c r="MNR4094" s="911"/>
      <c r="MNS4094" s="912"/>
      <c r="MNU4094" s="913" t="s">
        <v>1</v>
      </c>
      <c r="MNV4094" s="31"/>
      <c r="MNW4094" s="909" t="s">
        <v>0</v>
      </c>
      <c r="MNX4094" s="909"/>
      <c r="MNY4094" s="909"/>
      <c r="MNZ4094" s="909"/>
      <c r="MOA4094" s="909"/>
      <c r="MOB4094" s="909"/>
      <c r="MOC4094" s="907" t="s">
        <v>79</v>
      </c>
      <c r="MOD4094" s="909" t="s">
        <v>68</v>
      </c>
      <c r="MOE4094" s="910" t="s">
        <v>75</v>
      </c>
      <c r="MOF4094" s="911"/>
      <c r="MOG4094" s="911"/>
      <c r="MOH4094" s="911"/>
      <c r="MOI4094" s="911"/>
      <c r="MOJ4094" s="911"/>
      <c r="MOK4094" s="911"/>
      <c r="MOL4094" s="911"/>
      <c r="MOM4094" s="911"/>
      <c r="MON4094" s="911"/>
      <c r="MOO4094" s="32"/>
      <c r="MOP4094" s="911" t="s">
        <v>74</v>
      </c>
      <c r="MOQ4094" s="911"/>
      <c r="MOR4094" s="911"/>
      <c r="MOS4094" s="911"/>
      <c r="MOT4094" s="911"/>
      <c r="MOU4094" s="911"/>
      <c r="MOV4094" s="911"/>
      <c r="MOW4094" s="911"/>
      <c r="MOX4094" s="911"/>
      <c r="MOY4094" s="912"/>
      <c r="MPA4094" s="913" t="s">
        <v>1</v>
      </c>
      <c r="MPB4094" s="31"/>
      <c r="MPC4094" s="909" t="s">
        <v>0</v>
      </c>
      <c r="MPD4094" s="909"/>
      <c r="MPE4094" s="909"/>
      <c r="MPF4094" s="909"/>
      <c r="MPG4094" s="909"/>
      <c r="MPH4094" s="909"/>
      <c r="MPI4094" s="907" t="s">
        <v>79</v>
      </c>
      <c r="MPJ4094" s="909" t="s">
        <v>68</v>
      </c>
      <c r="MPK4094" s="910" t="s">
        <v>75</v>
      </c>
      <c r="MPL4094" s="911"/>
      <c r="MPM4094" s="911"/>
      <c r="MPN4094" s="911"/>
      <c r="MPO4094" s="911"/>
      <c r="MPP4094" s="911"/>
      <c r="MPQ4094" s="911"/>
      <c r="MPR4094" s="911"/>
      <c r="MPS4094" s="911"/>
      <c r="MPT4094" s="911"/>
      <c r="MPU4094" s="32"/>
      <c r="MPV4094" s="911" t="s">
        <v>74</v>
      </c>
      <c r="MPW4094" s="911"/>
      <c r="MPX4094" s="911"/>
      <c r="MPY4094" s="911"/>
      <c r="MPZ4094" s="911"/>
      <c r="MQA4094" s="911"/>
      <c r="MQB4094" s="911"/>
      <c r="MQC4094" s="911"/>
      <c r="MQD4094" s="911"/>
      <c r="MQE4094" s="912"/>
      <c r="MQG4094" s="913" t="s">
        <v>1</v>
      </c>
      <c r="MQH4094" s="31"/>
      <c r="MQI4094" s="909" t="s">
        <v>0</v>
      </c>
      <c r="MQJ4094" s="909"/>
      <c r="MQK4094" s="909"/>
      <c r="MQL4094" s="909"/>
      <c r="MQM4094" s="909"/>
      <c r="MQN4094" s="909"/>
      <c r="MQO4094" s="907" t="s">
        <v>79</v>
      </c>
      <c r="MQP4094" s="909" t="s">
        <v>68</v>
      </c>
      <c r="MQQ4094" s="910" t="s">
        <v>75</v>
      </c>
      <c r="MQR4094" s="911"/>
      <c r="MQS4094" s="911"/>
      <c r="MQT4094" s="911"/>
      <c r="MQU4094" s="911"/>
      <c r="MQV4094" s="911"/>
      <c r="MQW4094" s="911"/>
      <c r="MQX4094" s="911"/>
      <c r="MQY4094" s="911"/>
      <c r="MQZ4094" s="911"/>
      <c r="MRA4094" s="32"/>
      <c r="MRB4094" s="911" t="s">
        <v>74</v>
      </c>
      <c r="MRC4094" s="911"/>
      <c r="MRD4094" s="911"/>
      <c r="MRE4094" s="911"/>
      <c r="MRF4094" s="911"/>
      <c r="MRG4094" s="911"/>
      <c r="MRH4094" s="911"/>
      <c r="MRI4094" s="911"/>
      <c r="MRJ4094" s="911"/>
      <c r="MRK4094" s="912"/>
      <c r="MRM4094" s="913" t="s">
        <v>1</v>
      </c>
      <c r="MRN4094" s="31"/>
      <c r="MRO4094" s="909" t="s">
        <v>0</v>
      </c>
      <c r="MRP4094" s="909"/>
      <c r="MRQ4094" s="909"/>
      <c r="MRR4094" s="909"/>
      <c r="MRS4094" s="909"/>
      <c r="MRT4094" s="909"/>
      <c r="MRU4094" s="907" t="s">
        <v>79</v>
      </c>
      <c r="MRV4094" s="909" t="s">
        <v>68</v>
      </c>
      <c r="MRW4094" s="910" t="s">
        <v>75</v>
      </c>
      <c r="MRX4094" s="911"/>
      <c r="MRY4094" s="911"/>
      <c r="MRZ4094" s="911"/>
      <c r="MSA4094" s="911"/>
      <c r="MSB4094" s="911"/>
      <c r="MSC4094" s="911"/>
      <c r="MSD4094" s="911"/>
      <c r="MSE4094" s="911"/>
      <c r="MSF4094" s="911"/>
      <c r="MSG4094" s="32"/>
      <c r="MSH4094" s="911" t="s">
        <v>74</v>
      </c>
      <c r="MSI4094" s="911"/>
      <c r="MSJ4094" s="911"/>
      <c r="MSK4094" s="911"/>
      <c r="MSL4094" s="911"/>
      <c r="MSM4094" s="911"/>
      <c r="MSN4094" s="911"/>
      <c r="MSO4094" s="911"/>
      <c r="MSP4094" s="911"/>
      <c r="MSQ4094" s="912"/>
      <c r="MSS4094" s="913" t="s">
        <v>1</v>
      </c>
      <c r="MST4094" s="31"/>
      <c r="MSU4094" s="909" t="s">
        <v>0</v>
      </c>
      <c r="MSV4094" s="909"/>
      <c r="MSW4094" s="909"/>
      <c r="MSX4094" s="909"/>
      <c r="MSY4094" s="909"/>
      <c r="MSZ4094" s="909"/>
      <c r="MTA4094" s="907" t="s">
        <v>79</v>
      </c>
      <c r="MTB4094" s="909" t="s">
        <v>68</v>
      </c>
      <c r="MTC4094" s="910" t="s">
        <v>75</v>
      </c>
      <c r="MTD4094" s="911"/>
      <c r="MTE4094" s="911"/>
      <c r="MTF4094" s="911"/>
      <c r="MTG4094" s="911"/>
      <c r="MTH4094" s="911"/>
      <c r="MTI4094" s="911"/>
      <c r="MTJ4094" s="911"/>
      <c r="MTK4094" s="911"/>
      <c r="MTL4094" s="911"/>
      <c r="MTM4094" s="32"/>
      <c r="MTN4094" s="911" t="s">
        <v>74</v>
      </c>
      <c r="MTO4094" s="911"/>
      <c r="MTP4094" s="911"/>
      <c r="MTQ4094" s="911"/>
      <c r="MTR4094" s="911"/>
      <c r="MTS4094" s="911"/>
      <c r="MTT4094" s="911"/>
      <c r="MTU4094" s="911"/>
      <c r="MTV4094" s="911"/>
      <c r="MTW4094" s="912"/>
      <c r="MTY4094" s="913" t="s">
        <v>1</v>
      </c>
      <c r="MTZ4094" s="31"/>
      <c r="MUA4094" s="909" t="s">
        <v>0</v>
      </c>
      <c r="MUB4094" s="909"/>
      <c r="MUC4094" s="909"/>
      <c r="MUD4094" s="909"/>
      <c r="MUE4094" s="909"/>
      <c r="MUF4094" s="909"/>
      <c r="MUG4094" s="907" t="s">
        <v>79</v>
      </c>
      <c r="MUH4094" s="909" t="s">
        <v>68</v>
      </c>
      <c r="MUI4094" s="910" t="s">
        <v>75</v>
      </c>
      <c r="MUJ4094" s="911"/>
      <c r="MUK4094" s="911"/>
      <c r="MUL4094" s="911"/>
      <c r="MUM4094" s="911"/>
      <c r="MUN4094" s="911"/>
      <c r="MUO4094" s="911"/>
      <c r="MUP4094" s="911"/>
      <c r="MUQ4094" s="911"/>
      <c r="MUR4094" s="911"/>
      <c r="MUS4094" s="32"/>
      <c r="MUT4094" s="911" t="s">
        <v>74</v>
      </c>
      <c r="MUU4094" s="911"/>
      <c r="MUV4094" s="911"/>
      <c r="MUW4094" s="911"/>
      <c r="MUX4094" s="911"/>
      <c r="MUY4094" s="911"/>
      <c r="MUZ4094" s="911"/>
      <c r="MVA4094" s="911"/>
      <c r="MVB4094" s="911"/>
      <c r="MVC4094" s="912"/>
      <c r="MVE4094" s="913" t="s">
        <v>1</v>
      </c>
      <c r="MVF4094" s="31"/>
      <c r="MVG4094" s="909" t="s">
        <v>0</v>
      </c>
      <c r="MVH4094" s="909"/>
      <c r="MVI4094" s="909"/>
      <c r="MVJ4094" s="909"/>
      <c r="MVK4094" s="909"/>
      <c r="MVL4094" s="909"/>
      <c r="MVM4094" s="907" t="s">
        <v>79</v>
      </c>
      <c r="MVN4094" s="909" t="s">
        <v>68</v>
      </c>
      <c r="MVO4094" s="910" t="s">
        <v>75</v>
      </c>
      <c r="MVP4094" s="911"/>
      <c r="MVQ4094" s="911"/>
      <c r="MVR4094" s="911"/>
      <c r="MVS4094" s="911"/>
      <c r="MVT4094" s="911"/>
      <c r="MVU4094" s="911"/>
      <c r="MVV4094" s="911"/>
      <c r="MVW4094" s="911"/>
      <c r="MVX4094" s="911"/>
      <c r="MVY4094" s="32"/>
      <c r="MVZ4094" s="911" t="s">
        <v>74</v>
      </c>
      <c r="MWA4094" s="911"/>
      <c r="MWB4094" s="911"/>
      <c r="MWC4094" s="911"/>
      <c r="MWD4094" s="911"/>
      <c r="MWE4094" s="911"/>
      <c r="MWF4094" s="911"/>
      <c r="MWG4094" s="911"/>
      <c r="MWH4094" s="911"/>
      <c r="MWI4094" s="912"/>
      <c r="MWK4094" s="913" t="s">
        <v>1</v>
      </c>
      <c r="MWL4094" s="31"/>
      <c r="MWM4094" s="909" t="s">
        <v>0</v>
      </c>
      <c r="MWN4094" s="909"/>
      <c r="MWO4094" s="909"/>
      <c r="MWP4094" s="909"/>
      <c r="MWQ4094" s="909"/>
      <c r="MWR4094" s="909"/>
      <c r="MWS4094" s="907" t="s">
        <v>79</v>
      </c>
      <c r="MWT4094" s="909" t="s">
        <v>68</v>
      </c>
      <c r="MWU4094" s="910" t="s">
        <v>75</v>
      </c>
      <c r="MWV4094" s="911"/>
      <c r="MWW4094" s="911"/>
      <c r="MWX4094" s="911"/>
      <c r="MWY4094" s="911"/>
      <c r="MWZ4094" s="911"/>
      <c r="MXA4094" s="911"/>
      <c r="MXB4094" s="911"/>
      <c r="MXC4094" s="911"/>
      <c r="MXD4094" s="911"/>
      <c r="MXE4094" s="32"/>
      <c r="MXF4094" s="911" t="s">
        <v>74</v>
      </c>
      <c r="MXG4094" s="911"/>
      <c r="MXH4094" s="911"/>
      <c r="MXI4094" s="911"/>
      <c r="MXJ4094" s="911"/>
      <c r="MXK4094" s="911"/>
      <c r="MXL4094" s="911"/>
      <c r="MXM4094" s="911"/>
      <c r="MXN4094" s="911"/>
      <c r="MXO4094" s="912"/>
      <c r="MXQ4094" s="913" t="s">
        <v>1</v>
      </c>
      <c r="MXR4094" s="31"/>
      <c r="MXS4094" s="909" t="s">
        <v>0</v>
      </c>
      <c r="MXT4094" s="909"/>
      <c r="MXU4094" s="909"/>
      <c r="MXV4094" s="909"/>
      <c r="MXW4094" s="909"/>
      <c r="MXX4094" s="909"/>
      <c r="MXY4094" s="907" t="s">
        <v>79</v>
      </c>
      <c r="MXZ4094" s="909" t="s">
        <v>68</v>
      </c>
      <c r="MYA4094" s="910" t="s">
        <v>75</v>
      </c>
      <c r="MYB4094" s="911"/>
      <c r="MYC4094" s="911"/>
      <c r="MYD4094" s="911"/>
      <c r="MYE4094" s="911"/>
      <c r="MYF4094" s="911"/>
      <c r="MYG4094" s="911"/>
      <c r="MYH4094" s="911"/>
      <c r="MYI4094" s="911"/>
      <c r="MYJ4094" s="911"/>
      <c r="MYK4094" s="32"/>
      <c r="MYL4094" s="911" t="s">
        <v>74</v>
      </c>
      <c r="MYM4094" s="911"/>
      <c r="MYN4094" s="911"/>
      <c r="MYO4094" s="911"/>
      <c r="MYP4094" s="911"/>
      <c r="MYQ4094" s="911"/>
      <c r="MYR4094" s="911"/>
      <c r="MYS4094" s="911"/>
      <c r="MYT4094" s="911"/>
      <c r="MYU4094" s="912"/>
      <c r="MYW4094" s="913" t="s">
        <v>1</v>
      </c>
      <c r="MYX4094" s="31"/>
      <c r="MYY4094" s="909" t="s">
        <v>0</v>
      </c>
      <c r="MYZ4094" s="909"/>
      <c r="MZA4094" s="909"/>
      <c r="MZB4094" s="909"/>
      <c r="MZC4094" s="909"/>
      <c r="MZD4094" s="909"/>
      <c r="MZE4094" s="907" t="s">
        <v>79</v>
      </c>
      <c r="MZF4094" s="909" t="s">
        <v>68</v>
      </c>
      <c r="MZG4094" s="910" t="s">
        <v>75</v>
      </c>
      <c r="MZH4094" s="911"/>
      <c r="MZI4094" s="911"/>
      <c r="MZJ4094" s="911"/>
      <c r="MZK4094" s="911"/>
      <c r="MZL4094" s="911"/>
      <c r="MZM4094" s="911"/>
      <c r="MZN4094" s="911"/>
      <c r="MZO4094" s="911"/>
      <c r="MZP4094" s="911"/>
      <c r="MZQ4094" s="32"/>
      <c r="MZR4094" s="911" t="s">
        <v>74</v>
      </c>
      <c r="MZS4094" s="911"/>
      <c r="MZT4094" s="911"/>
      <c r="MZU4094" s="911"/>
      <c r="MZV4094" s="911"/>
      <c r="MZW4094" s="911"/>
      <c r="MZX4094" s="911"/>
      <c r="MZY4094" s="911"/>
      <c r="MZZ4094" s="911"/>
      <c r="NAA4094" s="912"/>
      <c r="NAC4094" s="913" t="s">
        <v>1</v>
      </c>
      <c r="NAD4094" s="31"/>
      <c r="NAE4094" s="909" t="s">
        <v>0</v>
      </c>
      <c r="NAF4094" s="909"/>
      <c r="NAG4094" s="909"/>
      <c r="NAH4094" s="909"/>
      <c r="NAI4094" s="909"/>
      <c r="NAJ4094" s="909"/>
      <c r="NAK4094" s="907" t="s">
        <v>79</v>
      </c>
      <c r="NAL4094" s="909" t="s">
        <v>68</v>
      </c>
      <c r="NAM4094" s="910" t="s">
        <v>75</v>
      </c>
      <c r="NAN4094" s="911"/>
      <c r="NAO4094" s="911"/>
      <c r="NAP4094" s="911"/>
      <c r="NAQ4094" s="911"/>
      <c r="NAR4094" s="911"/>
      <c r="NAS4094" s="911"/>
      <c r="NAT4094" s="911"/>
      <c r="NAU4094" s="911"/>
      <c r="NAV4094" s="911"/>
      <c r="NAW4094" s="32"/>
      <c r="NAX4094" s="911" t="s">
        <v>74</v>
      </c>
      <c r="NAY4094" s="911"/>
      <c r="NAZ4094" s="911"/>
      <c r="NBA4094" s="911"/>
      <c r="NBB4094" s="911"/>
      <c r="NBC4094" s="911"/>
      <c r="NBD4094" s="911"/>
      <c r="NBE4094" s="911"/>
      <c r="NBF4094" s="911"/>
      <c r="NBG4094" s="912"/>
      <c r="NBI4094" s="913" t="s">
        <v>1</v>
      </c>
      <c r="NBJ4094" s="31"/>
      <c r="NBK4094" s="909" t="s">
        <v>0</v>
      </c>
      <c r="NBL4094" s="909"/>
      <c r="NBM4094" s="909"/>
      <c r="NBN4094" s="909"/>
      <c r="NBO4094" s="909"/>
      <c r="NBP4094" s="909"/>
      <c r="NBQ4094" s="907" t="s">
        <v>79</v>
      </c>
      <c r="NBR4094" s="909" t="s">
        <v>68</v>
      </c>
      <c r="NBS4094" s="910" t="s">
        <v>75</v>
      </c>
      <c r="NBT4094" s="911"/>
      <c r="NBU4094" s="911"/>
      <c r="NBV4094" s="911"/>
      <c r="NBW4094" s="911"/>
      <c r="NBX4094" s="911"/>
      <c r="NBY4094" s="911"/>
      <c r="NBZ4094" s="911"/>
      <c r="NCA4094" s="911"/>
      <c r="NCB4094" s="911"/>
      <c r="NCC4094" s="32"/>
      <c r="NCD4094" s="911" t="s">
        <v>74</v>
      </c>
      <c r="NCE4094" s="911"/>
      <c r="NCF4094" s="911"/>
      <c r="NCG4094" s="911"/>
      <c r="NCH4094" s="911"/>
      <c r="NCI4094" s="911"/>
      <c r="NCJ4094" s="911"/>
      <c r="NCK4094" s="911"/>
      <c r="NCL4094" s="911"/>
      <c r="NCM4094" s="912"/>
      <c r="NCO4094" s="913" t="s">
        <v>1</v>
      </c>
      <c r="NCP4094" s="31"/>
      <c r="NCQ4094" s="909" t="s">
        <v>0</v>
      </c>
      <c r="NCR4094" s="909"/>
      <c r="NCS4094" s="909"/>
      <c r="NCT4094" s="909"/>
      <c r="NCU4094" s="909"/>
      <c r="NCV4094" s="909"/>
      <c r="NCW4094" s="907" t="s">
        <v>79</v>
      </c>
      <c r="NCX4094" s="909" t="s">
        <v>68</v>
      </c>
      <c r="NCY4094" s="910" t="s">
        <v>75</v>
      </c>
      <c r="NCZ4094" s="911"/>
      <c r="NDA4094" s="911"/>
      <c r="NDB4094" s="911"/>
      <c r="NDC4094" s="911"/>
      <c r="NDD4094" s="911"/>
      <c r="NDE4094" s="911"/>
      <c r="NDF4094" s="911"/>
      <c r="NDG4094" s="911"/>
      <c r="NDH4094" s="911"/>
      <c r="NDI4094" s="32"/>
      <c r="NDJ4094" s="911" t="s">
        <v>74</v>
      </c>
      <c r="NDK4094" s="911"/>
      <c r="NDL4094" s="911"/>
      <c r="NDM4094" s="911"/>
      <c r="NDN4094" s="911"/>
      <c r="NDO4094" s="911"/>
      <c r="NDP4094" s="911"/>
      <c r="NDQ4094" s="911"/>
      <c r="NDR4094" s="911"/>
      <c r="NDS4094" s="912"/>
      <c r="NDU4094" s="913" t="s">
        <v>1</v>
      </c>
      <c r="NDV4094" s="31"/>
      <c r="NDW4094" s="909" t="s">
        <v>0</v>
      </c>
      <c r="NDX4094" s="909"/>
      <c r="NDY4094" s="909"/>
      <c r="NDZ4094" s="909"/>
      <c r="NEA4094" s="909"/>
      <c r="NEB4094" s="909"/>
      <c r="NEC4094" s="907" t="s">
        <v>79</v>
      </c>
      <c r="NED4094" s="909" t="s">
        <v>68</v>
      </c>
      <c r="NEE4094" s="910" t="s">
        <v>75</v>
      </c>
      <c r="NEF4094" s="911"/>
      <c r="NEG4094" s="911"/>
      <c r="NEH4094" s="911"/>
      <c r="NEI4094" s="911"/>
      <c r="NEJ4094" s="911"/>
      <c r="NEK4094" s="911"/>
      <c r="NEL4094" s="911"/>
      <c r="NEM4094" s="911"/>
      <c r="NEN4094" s="911"/>
      <c r="NEO4094" s="32"/>
      <c r="NEP4094" s="911" t="s">
        <v>74</v>
      </c>
      <c r="NEQ4094" s="911"/>
      <c r="NER4094" s="911"/>
      <c r="NES4094" s="911"/>
      <c r="NET4094" s="911"/>
      <c r="NEU4094" s="911"/>
      <c r="NEV4094" s="911"/>
      <c r="NEW4094" s="911"/>
      <c r="NEX4094" s="911"/>
      <c r="NEY4094" s="912"/>
      <c r="NFA4094" s="913" t="s">
        <v>1</v>
      </c>
      <c r="NFB4094" s="31"/>
      <c r="NFC4094" s="909" t="s">
        <v>0</v>
      </c>
      <c r="NFD4094" s="909"/>
      <c r="NFE4094" s="909"/>
      <c r="NFF4094" s="909"/>
      <c r="NFG4094" s="909"/>
      <c r="NFH4094" s="909"/>
      <c r="NFI4094" s="907" t="s">
        <v>79</v>
      </c>
      <c r="NFJ4094" s="909" t="s">
        <v>68</v>
      </c>
      <c r="NFK4094" s="910" t="s">
        <v>75</v>
      </c>
      <c r="NFL4094" s="911"/>
      <c r="NFM4094" s="911"/>
      <c r="NFN4094" s="911"/>
      <c r="NFO4094" s="911"/>
      <c r="NFP4094" s="911"/>
      <c r="NFQ4094" s="911"/>
      <c r="NFR4094" s="911"/>
      <c r="NFS4094" s="911"/>
      <c r="NFT4094" s="911"/>
      <c r="NFU4094" s="32"/>
      <c r="NFV4094" s="911" t="s">
        <v>74</v>
      </c>
      <c r="NFW4094" s="911"/>
      <c r="NFX4094" s="911"/>
      <c r="NFY4094" s="911"/>
      <c r="NFZ4094" s="911"/>
      <c r="NGA4094" s="911"/>
      <c r="NGB4094" s="911"/>
      <c r="NGC4094" s="911"/>
      <c r="NGD4094" s="911"/>
      <c r="NGE4094" s="912"/>
      <c r="NGG4094" s="913" t="s">
        <v>1</v>
      </c>
      <c r="NGH4094" s="31"/>
      <c r="NGI4094" s="909" t="s">
        <v>0</v>
      </c>
      <c r="NGJ4094" s="909"/>
      <c r="NGK4094" s="909"/>
      <c r="NGL4094" s="909"/>
      <c r="NGM4094" s="909"/>
      <c r="NGN4094" s="909"/>
      <c r="NGO4094" s="907" t="s">
        <v>79</v>
      </c>
      <c r="NGP4094" s="909" t="s">
        <v>68</v>
      </c>
      <c r="NGQ4094" s="910" t="s">
        <v>75</v>
      </c>
      <c r="NGR4094" s="911"/>
      <c r="NGS4094" s="911"/>
      <c r="NGT4094" s="911"/>
      <c r="NGU4094" s="911"/>
      <c r="NGV4094" s="911"/>
      <c r="NGW4094" s="911"/>
      <c r="NGX4094" s="911"/>
      <c r="NGY4094" s="911"/>
      <c r="NGZ4094" s="911"/>
      <c r="NHA4094" s="32"/>
      <c r="NHB4094" s="911" t="s">
        <v>74</v>
      </c>
      <c r="NHC4094" s="911"/>
      <c r="NHD4094" s="911"/>
      <c r="NHE4094" s="911"/>
      <c r="NHF4094" s="911"/>
      <c r="NHG4094" s="911"/>
      <c r="NHH4094" s="911"/>
      <c r="NHI4094" s="911"/>
      <c r="NHJ4094" s="911"/>
      <c r="NHK4094" s="912"/>
      <c r="NHM4094" s="913" t="s">
        <v>1</v>
      </c>
      <c r="NHN4094" s="31"/>
      <c r="NHO4094" s="909" t="s">
        <v>0</v>
      </c>
      <c r="NHP4094" s="909"/>
      <c r="NHQ4094" s="909"/>
      <c r="NHR4094" s="909"/>
      <c r="NHS4094" s="909"/>
      <c r="NHT4094" s="909"/>
      <c r="NHU4094" s="907" t="s">
        <v>79</v>
      </c>
      <c r="NHV4094" s="909" t="s">
        <v>68</v>
      </c>
      <c r="NHW4094" s="910" t="s">
        <v>75</v>
      </c>
      <c r="NHX4094" s="911"/>
      <c r="NHY4094" s="911"/>
      <c r="NHZ4094" s="911"/>
      <c r="NIA4094" s="911"/>
      <c r="NIB4094" s="911"/>
      <c r="NIC4094" s="911"/>
      <c r="NID4094" s="911"/>
      <c r="NIE4094" s="911"/>
      <c r="NIF4094" s="911"/>
      <c r="NIG4094" s="32"/>
      <c r="NIH4094" s="911" t="s">
        <v>74</v>
      </c>
      <c r="NII4094" s="911"/>
      <c r="NIJ4094" s="911"/>
      <c r="NIK4094" s="911"/>
      <c r="NIL4094" s="911"/>
      <c r="NIM4094" s="911"/>
      <c r="NIN4094" s="911"/>
      <c r="NIO4094" s="911"/>
      <c r="NIP4094" s="911"/>
      <c r="NIQ4094" s="912"/>
      <c r="NIS4094" s="913" t="s">
        <v>1</v>
      </c>
      <c r="NIT4094" s="31"/>
      <c r="NIU4094" s="909" t="s">
        <v>0</v>
      </c>
      <c r="NIV4094" s="909"/>
      <c r="NIW4094" s="909"/>
      <c r="NIX4094" s="909"/>
      <c r="NIY4094" s="909"/>
      <c r="NIZ4094" s="909"/>
      <c r="NJA4094" s="907" t="s">
        <v>79</v>
      </c>
      <c r="NJB4094" s="909" t="s">
        <v>68</v>
      </c>
      <c r="NJC4094" s="910" t="s">
        <v>75</v>
      </c>
      <c r="NJD4094" s="911"/>
      <c r="NJE4094" s="911"/>
      <c r="NJF4094" s="911"/>
      <c r="NJG4094" s="911"/>
      <c r="NJH4094" s="911"/>
      <c r="NJI4094" s="911"/>
      <c r="NJJ4094" s="911"/>
      <c r="NJK4094" s="911"/>
      <c r="NJL4094" s="911"/>
      <c r="NJM4094" s="32"/>
      <c r="NJN4094" s="911" t="s">
        <v>74</v>
      </c>
      <c r="NJO4094" s="911"/>
      <c r="NJP4094" s="911"/>
      <c r="NJQ4094" s="911"/>
      <c r="NJR4094" s="911"/>
      <c r="NJS4094" s="911"/>
      <c r="NJT4094" s="911"/>
      <c r="NJU4094" s="911"/>
      <c r="NJV4094" s="911"/>
      <c r="NJW4094" s="912"/>
      <c r="NJY4094" s="913" t="s">
        <v>1</v>
      </c>
      <c r="NJZ4094" s="31"/>
      <c r="NKA4094" s="909" t="s">
        <v>0</v>
      </c>
      <c r="NKB4094" s="909"/>
      <c r="NKC4094" s="909"/>
      <c r="NKD4094" s="909"/>
      <c r="NKE4094" s="909"/>
      <c r="NKF4094" s="909"/>
      <c r="NKG4094" s="907" t="s">
        <v>79</v>
      </c>
      <c r="NKH4094" s="909" t="s">
        <v>68</v>
      </c>
      <c r="NKI4094" s="910" t="s">
        <v>75</v>
      </c>
      <c r="NKJ4094" s="911"/>
      <c r="NKK4094" s="911"/>
      <c r="NKL4094" s="911"/>
      <c r="NKM4094" s="911"/>
      <c r="NKN4094" s="911"/>
      <c r="NKO4094" s="911"/>
      <c r="NKP4094" s="911"/>
      <c r="NKQ4094" s="911"/>
      <c r="NKR4094" s="911"/>
      <c r="NKS4094" s="32"/>
      <c r="NKT4094" s="911" t="s">
        <v>74</v>
      </c>
      <c r="NKU4094" s="911"/>
      <c r="NKV4094" s="911"/>
      <c r="NKW4094" s="911"/>
      <c r="NKX4094" s="911"/>
      <c r="NKY4094" s="911"/>
      <c r="NKZ4094" s="911"/>
      <c r="NLA4094" s="911"/>
      <c r="NLB4094" s="911"/>
      <c r="NLC4094" s="912"/>
      <c r="NLE4094" s="913" t="s">
        <v>1</v>
      </c>
      <c r="NLF4094" s="31"/>
      <c r="NLG4094" s="909" t="s">
        <v>0</v>
      </c>
      <c r="NLH4094" s="909"/>
      <c r="NLI4094" s="909"/>
      <c r="NLJ4094" s="909"/>
      <c r="NLK4094" s="909"/>
      <c r="NLL4094" s="909"/>
      <c r="NLM4094" s="907" t="s">
        <v>79</v>
      </c>
      <c r="NLN4094" s="909" t="s">
        <v>68</v>
      </c>
      <c r="NLO4094" s="910" t="s">
        <v>75</v>
      </c>
      <c r="NLP4094" s="911"/>
      <c r="NLQ4094" s="911"/>
      <c r="NLR4094" s="911"/>
      <c r="NLS4094" s="911"/>
      <c r="NLT4094" s="911"/>
      <c r="NLU4094" s="911"/>
      <c r="NLV4094" s="911"/>
      <c r="NLW4094" s="911"/>
      <c r="NLX4094" s="911"/>
      <c r="NLY4094" s="32"/>
      <c r="NLZ4094" s="911" t="s">
        <v>74</v>
      </c>
      <c r="NMA4094" s="911"/>
      <c r="NMB4094" s="911"/>
      <c r="NMC4094" s="911"/>
      <c r="NMD4094" s="911"/>
      <c r="NME4094" s="911"/>
      <c r="NMF4094" s="911"/>
      <c r="NMG4094" s="911"/>
      <c r="NMH4094" s="911"/>
      <c r="NMI4094" s="912"/>
      <c r="NMK4094" s="913" t="s">
        <v>1</v>
      </c>
      <c r="NML4094" s="31"/>
      <c r="NMM4094" s="909" t="s">
        <v>0</v>
      </c>
      <c r="NMN4094" s="909"/>
      <c r="NMO4094" s="909"/>
      <c r="NMP4094" s="909"/>
      <c r="NMQ4094" s="909"/>
      <c r="NMR4094" s="909"/>
      <c r="NMS4094" s="907" t="s">
        <v>79</v>
      </c>
      <c r="NMT4094" s="909" t="s">
        <v>68</v>
      </c>
      <c r="NMU4094" s="910" t="s">
        <v>75</v>
      </c>
      <c r="NMV4094" s="911"/>
      <c r="NMW4094" s="911"/>
      <c r="NMX4094" s="911"/>
      <c r="NMY4094" s="911"/>
      <c r="NMZ4094" s="911"/>
      <c r="NNA4094" s="911"/>
      <c r="NNB4094" s="911"/>
      <c r="NNC4094" s="911"/>
      <c r="NND4094" s="911"/>
      <c r="NNE4094" s="32"/>
      <c r="NNF4094" s="911" t="s">
        <v>74</v>
      </c>
      <c r="NNG4094" s="911"/>
      <c r="NNH4094" s="911"/>
      <c r="NNI4094" s="911"/>
      <c r="NNJ4094" s="911"/>
      <c r="NNK4094" s="911"/>
      <c r="NNL4094" s="911"/>
      <c r="NNM4094" s="911"/>
      <c r="NNN4094" s="911"/>
      <c r="NNO4094" s="912"/>
      <c r="NNQ4094" s="913" t="s">
        <v>1</v>
      </c>
      <c r="NNR4094" s="31"/>
      <c r="NNS4094" s="909" t="s">
        <v>0</v>
      </c>
      <c r="NNT4094" s="909"/>
      <c r="NNU4094" s="909"/>
      <c r="NNV4094" s="909"/>
      <c r="NNW4094" s="909"/>
      <c r="NNX4094" s="909"/>
      <c r="NNY4094" s="907" t="s">
        <v>79</v>
      </c>
      <c r="NNZ4094" s="909" t="s">
        <v>68</v>
      </c>
      <c r="NOA4094" s="910" t="s">
        <v>75</v>
      </c>
      <c r="NOB4094" s="911"/>
      <c r="NOC4094" s="911"/>
      <c r="NOD4094" s="911"/>
      <c r="NOE4094" s="911"/>
      <c r="NOF4094" s="911"/>
      <c r="NOG4094" s="911"/>
      <c r="NOH4094" s="911"/>
      <c r="NOI4094" s="911"/>
      <c r="NOJ4094" s="911"/>
      <c r="NOK4094" s="32"/>
      <c r="NOL4094" s="911" t="s">
        <v>74</v>
      </c>
      <c r="NOM4094" s="911"/>
      <c r="NON4094" s="911"/>
      <c r="NOO4094" s="911"/>
      <c r="NOP4094" s="911"/>
      <c r="NOQ4094" s="911"/>
      <c r="NOR4094" s="911"/>
      <c r="NOS4094" s="911"/>
      <c r="NOT4094" s="911"/>
      <c r="NOU4094" s="912"/>
      <c r="NOW4094" s="913" t="s">
        <v>1</v>
      </c>
      <c r="NOX4094" s="31"/>
      <c r="NOY4094" s="909" t="s">
        <v>0</v>
      </c>
      <c r="NOZ4094" s="909"/>
      <c r="NPA4094" s="909"/>
      <c r="NPB4094" s="909"/>
      <c r="NPC4094" s="909"/>
      <c r="NPD4094" s="909"/>
      <c r="NPE4094" s="907" t="s">
        <v>79</v>
      </c>
      <c r="NPF4094" s="909" t="s">
        <v>68</v>
      </c>
      <c r="NPG4094" s="910" t="s">
        <v>75</v>
      </c>
      <c r="NPH4094" s="911"/>
      <c r="NPI4094" s="911"/>
      <c r="NPJ4094" s="911"/>
      <c r="NPK4094" s="911"/>
      <c r="NPL4094" s="911"/>
      <c r="NPM4094" s="911"/>
      <c r="NPN4094" s="911"/>
      <c r="NPO4094" s="911"/>
      <c r="NPP4094" s="911"/>
      <c r="NPQ4094" s="32"/>
      <c r="NPR4094" s="911" t="s">
        <v>74</v>
      </c>
      <c r="NPS4094" s="911"/>
      <c r="NPT4094" s="911"/>
      <c r="NPU4094" s="911"/>
      <c r="NPV4094" s="911"/>
      <c r="NPW4094" s="911"/>
      <c r="NPX4094" s="911"/>
      <c r="NPY4094" s="911"/>
      <c r="NPZ4094" s="911"/>
      <c r="NQA4094" s="912"/>
      <c r="NQC4094" s="913" t="s">
        <v>1</v>
      </c>
      <c r="NQD4094" s="31"/>
      <c r="NQE4094" s="909" t="s">
        <v>0</v>
      </c>
      <c r="NQF4094" s="909"/>
      <c r="NQG4094" s="909"/>
      <c r="NQH4094" s="909"/>
      <c r="NQI4094" s="909"/>
      <c r="NQJ4094" s="909"/>
      <c r="NQK4094" s="907" t="s">
        <v>79</v>
      </c>
      <c r="NQL4094" s="909" t="s">
        <v>68</v>
      </c>
      <c r="NQM4094" s="910" t="s">
        <v>75</v>
      </c>
      <c r="NQN4094" s="911"/>
      <c r="NQO4094" s="911"/>
      <c r="NQP4094" s="911"/>
      <c r="NQQ4094" s="911"/>
      <c r="NQR4094" s="911"/>
      <c r="NQS4094" s="911"/>
      <c r="NQT4094" s="911"/>
      <c r="NQU4094" s="911"/>
      <c r="NQV4094" s="911"/>
      <c r="NQW4094" s="32"/>
      <c r="NQX4094" s="911" t="s">
        <v>74</v>
      </c>
      <c r="NQY4094" s="911"/>
      <c r="NQZ4094" s="911"/>
      <c r="NRA4094" s="911"/>
      <c r="NRB4094" s="911"/>
      <c r="NRC4094" s="911"/>
      <c r="NRD4094" s="911"/>
      <c r="NRE4094" s="911"/>
      <c r="NRF4094" s="911"/>
      <c r="NRG4094" s="912"/>
      <c r="NRI4094" s="913" t="s">
        <v>1</v>
      </c>
      <c r="NRJ4094" s="31"/>
      <c r="NRK4094" s="909" t="s">
        <v>0</v>
      </c>
      <c r="NRL4094" s="909"/>
      <c r="NRM4094" s="909"/>
      <c r="NRN4094" s="909"/>
      <c r="NRO4094" s="909"/>
      <c r="NRP4094" s="909"/>
      <c r="NRQ4094" s="907" t="s">
        <v>79</v>
      </c>
      <c r="NRR4094" s="909" t="s">
        <v>68</v>
      </c>
      <c r="NRS4094" s="910" t="s">
        <v>75</v>
      </c>
      <c r="NRT4094" s="911"/>
      <c r="NRU4094" s="911"/>
      <c r="NRV4094" s="911"/>
      <c r="NRW4094" s="911"/>
      <c r="NRX4094" s="911"/>
      <c r="NRY4094" s="911"/>
      <c r="NRZ4094" s="911"/>
      <c r="NSA4094" s="911"/>
      <c r="NSB4094" s="911"/>
      <c r="NSC4094" s="32"/>
      <c r="NSD4094" s="911" t="s">
        <v>74</v>
      </c>
      <c r="NSE4094" s="911"/>
      <c r="NSF4094" s="911"/>
      <c r="NSG4094" s="911"/>
      <c r="NSH4094" s="911"/>
      <c r="NSI4094" s="911"/>
      <c r="NSJ4094" s="911"/>
      <c r="NSK4094" s="911"/>
      <c r="NSL4094" s="911"/>
      <c r="NSM4094" s="912"/>
      <c r="NSO4094" s="913" t="s">
        <v>1</v>
      </c>
      <c r="NSP4094" s="31"/>
      <c r="NSQ4094" s="909" t="s">
        <v>0</v>
      </c>
      <c r="NSR4094" s="909"/>
      <c r="NSS4094" s="909"/>
      <c r="NST4094" s="909"/>
      <c r="NSU4094" s="909"/>
      <c r="NSV4094" s="909"/>
      <c r="NSW4094" s="907" t="s">
        <v>79</v>
      </c>
      <c r="NSX4094" s="909" t="s">
        <v>68</v>
      </c>
      <c r="NSY4094" s="910" t="s">
        <v>75</v>
      </c>
      <c r="NSZ4094" s="911"/>
      <c r="NTA4094" s="911"/>
      <c r="NTB4094" s="911"/>
      <c r="NTC4094" s="911"/>
      <c r="NTD4094" s="911"/>
      <c r="NTE4094" s="911"/>
      <c r="NTF4094" s="911"/>
      <c r="NTG4094" s="911"/>
      <c r="NTH4094" s="911"/>
      <c r="NTI4094" s="32"/>
      <c r="NTJ4094" s="911" t="s">
        <v>74</v>
      </c>
      <c r="NTK4094" s="911"/>
      <c r="NTL4094" s="911"/>
      <c r="NTM4094" s="911"/>
      <c r="NTN4094" s="911"/>
      <c r="NTO4094" s="911"/>
      <c r="NTP4094" s="911"/>
      <c r="NTQ4094" s="911"/>
      <c r="NTR4094" s="911"/>
      <c r="NTS4094" s="912"/>
      <c r="NTU4094" s="913" t="s">
        <v>1</v>
      </c>
      <c r="NTV4094" s="31"/>
      <c r="NTW4094" s="909" t="s">
        <v>0</v>
      </c>
      <c r="NTX4094" s="909"/>
      <c r="NTY4094" s="909"/>
      <c r="NTZ4094" s="909"/>
      <c r="NUA4094" s="909"/>
      <c r="NUB4094" s="909"/>
      <c r="NUC4094" s="907" t="s">
        <v>79</v>
      </c>
      <c r="NUD4094" s="909" t="s">
        <v>68</v>
      </c>
      <c r="NUE4094" s="910" t="s">
        <v>75</v>
      </c>
      <c r="NUF4094" s="911"/>
      <c r="NUG4094" s="911"/>
      <c r="NUH4094" s="911"/>
      <c r="NUI4094" s="911"/>
      <c r="NUJ4094" s="911"/>
      <c r="NUK4094" s="911"/>
      <c r="NUL4094" s="911"/>
      <c r="NUM4094" s="911"/>
      <c r="NUN4094" s="911"/>
      <c r="NUO4094" s="32"/>
      <c r="NUP4094" s="911" t="s">
        <v>74</v>
      </c>
      <c r="NUQ4094" s="911"/>
      <c r="NUR4094" s="911"/>
      <c r="NUS4094" s="911"/>
      <c r="NUT4094" s="911"/>
      <c r="NUU4094" s="911"/>
      <c r="NUV4094" s="911"/>
      <c r="NUW4094" s="911"/>
      <c r="NUX4094" s="911"/>
      <c r="NUY4094" s="912"/>
      <c r="NVA4094" s="913" t="s">
        <v>1</v>
      </c>
      <c r="NVB4094" s="31"/>
      <c r="NVC4094" s="909" t="s">
        <v>0</v>
      </c>
      <c r="NVD4094" s="909"/>
      <c r="NVE4094" s="909"/>
      <c r="NVF4094" s="909"/>
      <c r="NVG4094" s="909"/>
      <c r="NVH4094" s="909"/>
      <c r="NVI4094" s="907" t="s">
        <v>79</v>
      </c>
      <c r="NVJ4094" s="909" t="s">
        <v>68</v>
      </c>
      <c r="NVK4094" s="910" t="s">
        <v>75</v>
      </c>
      <c r="NVL4094" s="911"/>
      <c r="NVM4094" s="911"/>
      <c r="NVN4094" s="911"/>
      <c r="NVO4094" s="911"/>
      <c r="NVP4094" s="911"/>
      <c r="NVQ4094" s="911"/>
      <c r="NVR4094" s="911"/>
      <c r="NVS4094" s="911"/>
      <c r="NVT4094" s="911"/>
      <c r="NVU4094" s="32"/>
      <c r="NVV4094" s="911" t="s">
        <v>74</v>
      </c>
      <c r="NVW4094" s="911"/>
      <c r="NVX4094" s="911"/>
      <c r="NVY4094" s="911"/>
      <c r="NVZ4094" s="911"/>
      <c r="NWA4094" s="911"/>
      <c r="NWB4094" s="911"/>
      <c r="NWC4094" s="911"/>
      <c r="NWD4094" s="911"/>
      <c r="NWE4094" s="912"/>
      <c r="NWG4094" s="913" t="s">
        <v>1</v>
      </c>
      <c r="NWH4094" s="31"/>
      <c r="NWI4094" s="909" t="s">
        <v>0</v>
      </c>
      <c r="NWJ4094" s="909"/>
      <c r="NWK4094" s="909"/>
      <c r="NWL4094" s="909"/>
      <c r="NWM4094" s="909"/>
      <c r="NWN4094" s="909"/>
      <c r="NWO4094" s="907" t="s">
        <v>79</v>
      </c>
      <c r="NWP4094" s="909" t="s">
        <v>68</v>
      </c>
      <c r="NWQ4094" s="910" t="s">
        <v>75</v>
      </c>
      <c r="NWR4094" s="911"/>
      <c r="NWS4094" s="911"/>
      <c r="NWT4094" s="911"/>
      <c r="NWU4094" s="911"/>
      <c r="NWV4094" s="911"/>
      <c r="NWW4094" s="911"/>
      <c r="NWX4094" s="911"/>
      <c r="NWY4094" s="911"/>
      <c r="NWZ4094" s="911"/>
      <c r="NXA4094" s="32"/>
      <c r="NXB4094" s="911" t="s">
        <v>74</v>
      </c>
      <c r="NXC4094" s="911"/>
      <c r="NXD4094" s="911"/>
      <c r="NXE4094" s="911"/>
      <c r="NXF4094" s="911"/>
      <c r="NXG4094" s="911"/>
      <c r="NXH4094" s="911"/>
      <c r="NXI4094" s="911"/>
      <c r="NXJ4094" s="911"/>
      <c r="NXK4094" s="912"/>
      <c r="NXM4094" s="913" t="s">
        <v>1</v>
      </c>
      <c r="NXN4094" s="31"/>
      <c r="NXO4094" s="909" t="s">
        <v>0</v>
      </c>
      <c r="NXP4094" s="909"/>
      <c r="NXQ4094" s="909"/>
      <c r="NXR4094" s="909"/>
      <c r="NXS4094" s="909"/>
      <c r="NXT4094" s="909"/>
      <c r="NXU4094" s="907" t="s">
        <v>79</v>
      </c>
      <c r="NXV4094" s="909" t="s">
        <v>68</v>
      </c>
      <c r="NXW4094" s="910" t="s">
        <v>75</v>
      </c>
      <c r="NXX4094" s="911"/>
      <c r="NXY4094" s="911"/>
      <c r="NXZ4094" s="911"/>
      <c r="NYA4094" s="911"/>
      <c r="NYB4094" s="911"/>
      <c r="NYC4094" s="911"/>
      <c r="NYD4094" s="911"/>
      <c r="NYE4094" s="911"/>
      <c r="NYF4094" s="911"/>
      <c r="NYG4094" s="32"/>
      <c r="NYH4094" s="911" t="s">
        <v>74</v>
      </c>
      <c r="NYI4094" s="911"/>
      <c r="NYJ4094" s="911"/>
      <c r="NYK4094" s="911"/>
      <c r="NYL4094" s="911"/>
      <c r="NYM4094" s="911"/>
      <c r="NYN4094" s="911"/>
      <c r="NYO4094" s="911"/>
      <c r="NYP4094" s="911"/>
      <c r="NYQ4094" s="912"/>
      <c r="NYS4094" s="913" t="s">
        <v>1</v>
      </c>
      <c r="NYT4094" s="31"/>
      <c r="NYU4094" s="909" t="s">
        <v>0</v>
      </c>
      <c r="NYV4094" s="909"/>
      <c r="NYW4094" s="909"/>
      <c r="NYX4094" s="909"/>
      <c r="NYY4094" s="909"/>
      <c r="NYZ4094" s="909"/>
      <c r="NZA4094" s="907" t="s">
        <v>79</v>
      </c>
      <c r="NZB4094" s="909" t="s">
        <v>68</v>
      </c>
      <c r="NZC4094" s="910" t="s">
        <v>75</v>
      </c>
      <c r="NZD4094" s="911"/>
      <c r="NZE4094" s="911"/>
      <c r="NZF4094" s="911"/>
      <c r="NZG4094" s="911"/>
      <c r="NZH4094" s="911"/>
      <c r="NZI4094" s="911"/>
      <c r="NZJ4094" s="911"/>
      <c r="NZK4094" s="911"/>
      <c r="NZL4094" s="911"/>
      <c r="NZM4094" s="32"/>
      <c r="NZN4094" s="911" t="s">
        <v>74</v>
      </c>
      <c r="NZO4094" s="911"/>
      <c r="NZP4094" s="911"/>
      <c r="NZQ4094" s="911"/>
      <c r="NZR4094" s="911"/>
      <c r="NZS4094" s="911"/>
      <c r="NZT4094" s="911"/>
      <c r="NZU4094" s="911"/>
      <c r="NZV4094" s="911"/>
      <c r="NZW4094" s="912"/>
      <c r="NZY4094" s="913" t="s">
        <v>1</v>
      </c>
      <c r="NZZ4094" s="31"/>
      <c r="OAA4094" s="909" t="s">
        <v>0</v>
      </c>
      <c r="OAB4094" s="909"/>
      <c r="OAC4094" s="909"/>
      <c r="OAD4094" s="909"/>
      <c r="OAE4094" s="909"/>
      <c r="OAF4094" s="909"/>
      <c r="OAG4094" s="907" t="s">
        <v>79</v>
      </c>
      <c r="OAH4094" s="909" t="s">
        <v>68</v>
      </c>
      <c r="OAI4094" s="910" t="s">
        <v>75</v>
      </c>
      <c r="OAJ4094" s="911"/>
      <c r="OAK4094" s="911"/>
      <c r="OAL4094" s="911"/>
      <c r="OAM4094" s="911"/>
      <c r="OAN4094" s="911"/>
      <c r="OAO4094" s="911"/>
      <c r="OAP4094" s="911"/>
      <c r="OAQ4094" s="911"/>
      <c r="OAR4094" s="911"/>
      <c r="OAS4094" s="32"/>
      <c r="OAT4094" s="911" t="s">
        <v>74</v>
      </c>
      <c r="OAU4094" s="911"/>
      <c r="OAV4094" s="911"/>
      <c r="OAW4094" s="911"/>
      <c r="OAX4094" s="911"/>
      <c r="OAY4094" s="911"/>
      <c r="OAZ4094" s="911"/>
      <c r="OBA4094" s="911"/>
      <c r="OBB4094" s="911"/>
      <c r="OBC4094" s="912"/>
      <c r="OBE4094" s="913" t="s">
        <v>1</v>
      </c>
      <c r="OBF4094" s="31"/>
      <c r="OBG4094" s="909" t="s">
        <v>0</v>
      </c>
      <c r="OBH4094" s="909"/>
      <c r="OBI4094" s="909"/>
      <c r="OBJ4094" s="909"/>
      <c r="OBK4094" s="909"/>
      <c r="OBL4094" s="909"/>
      <c r="OBM4094" s="907" t="s">
        <v>79</v>
      </c>
      <c r="OBN4094" s="909" t="s">
        <v>68</v>
      </c>
      <c r="OBO4094" s="910" t="s">
        <v>75</v>
      </c>
      <c r="OBP4094" s="911"/>
      <c r="OBQ4094" s="911"/>
      <c r="OBR4094" s="911"/>
      <c r="OBS4094" s="911"/>
      <c r="OBT4094" s="911"/>
      <c r="OBU4094" s="911"/>
      <c r="OBV4094" s="911"/>
      <c r="OBW4094" s="911"/>
      <c r="OBX4094" s="911"/>
      <c r="OBY4094" s="32"/>
      <c r="OBZ4094" s="911" t="s">
        <v>74</v>
      </c>
      <c r="OCA4094" s="911"/>
      <c r="OCB4094" s="911"/>
      <c r="OCC4094" s="911"/>
      <c r="OCD4094" s="911"/>
      <c r="OCE4094" s="911"/>
      <c r="OCF4094" s="911"/>
      <c r="OCG4094" s="911"/>
      <c r="OCH4094" s="911"/>
      <c r="OCI4094" s="912"/>
      <c r="OCK4094" s="913" t="s">
        <v>1</v>
      </c>
      <c r="OCL4094" s="31"/>
      <c r="OCM4094" s="909" t="s">
        <v>0</v>
      </c>
      <c r="OCN4094" s="909"/>
      <c r="OCO4094" s="909"/>
      <c r="OCP4094" s="909"/>
      <c r="OCQ4094" s="909"/>
      <c r="OCR4094" s="909"/>
      <c r="OCS4094" s="907" t="s">
        <v>79</v>
      </c>
      <c r="OCT4094" s="909" t="s">
        <v>68</v>
      </c>
      <c r="OCU4094" s="910" t="s">
        <v>75</v>
      </c>
      <c r="OCV4094" s="911"/>
      <c r="OCW4094" s="911"/>
      <c r="OCX4094" s="911"/>
      <c r="OCY4094" s="911"/>
      <c r="OCZ4094" s="911"/>
      <c r="ODA4094" s="911"/>
      <c r="ODB4094" s="911"/>
      <c r="ODC4094" s="911"/>
      <c r="ODD4094" s="911"/>
      <c r="ODE4094" s="32"/>
      <c r="ODF4094" s="911" t="s">
        <v>74</v>
      </c>
      <c r="ODG4094" s="911"/>
      <c r="ODH4094" s="911"/>
      <c r="ODI4094" s="911"/>
      <c r="ODJ4094" s="911"/>
      <c r="ODK4094" s="911"/>
      <c r="ODL4094" s="911"/>
      <c r="ODM4094" s="911"/>
      <c r="ODN4094" s="911"/>
      <c r="ODO4094" s="912"/>
      <c r="ODQ4094" s="913" t="s">
        <v>1</v>
      </c>
      <c r="ODR4094" s="31"/>
      <c r="ODS4094" s="909" t="s">
        <v>0</v>
      </c>
      <c r="ODT4094" s="909"/>
      <c r="ODU4094" s="909"/>
      <c r="ODV4094" s="909"/>
      <c r="ODW4094" s="909"/>
      <c r="ODX4094" s="909"/>
      <c r="ODY4094" s="907" t="s">
        <v>79</v>
      </c>
      <c r="ODZ4094" s="909" t="s">
        <v>68</v>
      </c>
      <c r="OEA4094" s="910" t="s">
        <v>75</v>
      </c>
      <c r="OEB4094" s="911"/>
      <c r="OEC4094" s="911"/>
      <c r="OED4094" s="911"/>
      <c r="OEE4094" s="911"/>
      <c r="OEF4094" s="911"/>
      <c r="OEG4094" s="911"/>
      <c r="OEH4094" s="911"/>
      <c r="OEI4094" s="911"/>
      <c r="OEJ4094" s="911"/>
      <c r="OEK4094" s="32"/>
      <c r="OEL4094" s="911" t="s">
        <v>74</v>
      </c>
      <c r="OEM4094" s="911"/>
      <c r="OEN4094" s="911"/>
      <c r="OEO4094" s="911"/>
      <c r="OEP4094" s="911"/>
      <c r="OEQ4094" s="911"/>
      <c r="OER4094" s="911"/>
      <c r="OES4094" s="911"/>
      <c r="OET4094" s="911"/>
      <c r="OEU4094" s="912"/>
      <c r="OEW4094" s="913" t="s">
        <v>1</v>
      </c>
      <c r="OEX4094" s="31"/>
      <c r="OEY4094" s="909" t="s">
        <v>0</v>
      </c>
      <c r="OEZ4094" s="909"/>
      <c r="OFA4094" s="909"/>
      <c r="OFB4094" s="909"/>
      <c r="OFC4094" s="909"/>
      <c r="OFD4094" s="909"/>
      <c r="OFE4094" s="907" t="s">
        <v>79</v>
      </c>
      <c r="OFF4094" s="909" t="s">
        <v>68</v>
      </c>
      <c r="OFG4094" s="910" t="s">
        <v>75</v>
      </c>
      <c r="OFH4094" s="911"/>
      <c r="OFI4094" s="911"/>
      <c r="OFJ4094" s="911"/>
      <c r="OFK4094" s="911"/>
      <c r="OFL4094" s="911"/>
      <c r="OFM4094" s="911"/>
      <c r="OFN4094" s="911"/>
      <c r="OFO4094" s="911"/>
      <c r="OFP4094" s="911"/>
      <c r="OFQ4094" s="32"/>
      <c r="OFR4094" s="911" t="s">
        <v>74</v>
      </c>
      <c r="OFS4094" s="911"/>
      <c r="OFT4094" s="911"/>
      <c r="OFU4094" s="911"/>
      <c r="OFV4094" s="911"/>
      <c r="OFW4094" s="911"/>
      <c r="OFX4094" s="911"/>
      <c r="OFY4094" s="911"/>
      <c r="OFZ4094" s="911"/>
      <c r="OGA4094" s="912"/>
      <c r="OGC4094" s="913" t="s">
        <v>1</v>
      </c>
      <c r="OGD4094" s="31"/>
      <c r="OGE4094" s="909" t="s">
        <v>0</v>
      </c>
      <c r="OGF4094" s="909"/>
      <c r="OGG4094" s="909"/>
      <c r="OGH4094" s="909"/>
      <c r="OGI4094" s="909"/>
      <c r="OGJ4094" s="909"/>
      <c r="OGK4094" s="907" t="s">
        <v>79</v>
      </c>
      <c r="OGL4094" s="909" t="s">
        <v>68</v>
      </c>
      <c r="OGM4094" s="910" t="s">
        <v>75</v>
      </c>
      <c r="OGN4094" s="911"/>
      <c r="OGO4094" s="911"/>
      <c r="OGP4094" s="911"/>
      <c r="OGQ4094" s="911"/>
      <c r="OGR4094" s="911"/>
      <c r="OGS4094" s="911"/>
      <c r="OGT4094" s="911"/>
      <c r="OGU4094" s="911"/>
      <c r="OGV4094" s="911"/>
      <c r="OGW4094" s="32"/>
      <c r="OGX4094" s="911" t="s">
        <v>74</v>
      </c>
      <c r="OGY4094" s="911"/>
      <c r="OGZ4094" s="911"/>
      <c r="OHA4094" s="911"/>
      <c r="OHB4094" s="911"/>
      <c r="OHC4094" s="911"/>
      <c r="OHD4094" s="911"/>
      <c r="OHE4094" s="911"/>
      <c r="OHF4094" s="911"/>
      <c r="OHG4094" s="912"/>
      <c r="OHI4094" s="913" t="s">
        <v>1</v>
      </c>
      <c r="OHJ4094" s="31"/>
      <c r="OHK4094" s="909" t="s">
        <v>0</v>
      </c>
      <c r="OHL4094" s="909"/>
      <c r="OHM4094" s="909"/>
      <c r="OHN4094" s="909"/>
      <c r="OHO4094" s="909"/>
      <c r="OHP4094" s="909"/>
      <c r="OHQ4094" s="907" t="s">
        <v>79</v>
      </c>
      <c r="OHR4094" s="909" t="s">
        <v>68</v>
      </c>
      <c r="OHS4094" s="910" t="s">
        <v>75</v>
      </c>
      <c r="OHT4094" s="911"/>
      <c r="OHU4094" s="911"/>
      <c r="OHV4094" s="911"/>
      <c r="OHW4094" s="911"/>
      <c r="OHX4094" s="911"/>
      <c r="OHY4094" s="911"/>
      <c r="OHZ4094" s="911"/>
      <c r="OIA4094" s="911"/>
      <c r="OIB4094" s="911"/>
      <c r="OIC4094" s="32"/>
      <c r="OID4094" s="911" t="s">
        <v>74</v>
      </c>
      <c r="OIE4094" s="911"/>
      <c r="OIF4094" s="911"/>
      <c r="OIG4094" s="911"/>
      <c r="OIH4094" s="911"/>
      <c r="OII4094" s="911"/>
      <c r="OIJ4094" s="911"/>
      <c r="OIK4094" s="911"/>
      <c r="OIL4094" s="911"/>
      <c r="OIM4094" s="912"/>
      <c r="OIO4094" s="913" t="s">
        <v>1</v>
      </c>
      <c r="OIP4094" s="31"/>
      <c r="OIQ4094" s="909" t="s">
        <v>0</v>
      </c>
      <c r="OIR4094" s="909"/>
      <c r="OIS4094" s="909"/>
      <c r="OIT4094" s="909"/>
      <c r="OIU4094" s="909"/>
      <c r="OIV4094" s="909"/>
      <c r="OIW4094" s="907" t="s">
        <v>79</v>
      </c>
      <c r="OIX4094" s="909" t="s">
        <v>68</v>
      </c>
      <c r="OIY4094" s="910" t="s">
        <v>75</v>
      </c>
      <c r="OIZ4094" s="911"/>
      <c r="OJA4094" s="911"/>
      <c r="OJB4094" s="911"/>
      <c r="OJC4094" s="911"/>
      <c r="OJD4094" s="911"/>
      <c r="OJE4094" s="911"/>
      <c r="OJF4094" s="911"/>
      <c r="OJG4094" s="911"/>
      <c r="OJH4094" s="911"/>
      <c r="OJI4094" s="32"/>
      <c r="OJJ4094" s="911" t="s">
        <v>74</v>
      </c>
      <c r="OJK4094" s="911"/>
      <c r="OJL4094" s="911"/>
      <c r="OJM4094" s="911"/>
      <c r="OJN4094" s="911"/>
      <c r="OJO4094" s="911"/>
      <c r="OJP4094" s="911"/>
      <c r="OJQ4094" s="911"/>
      <c r="OJR4094" s="911"/>
      <c r="OJS4094" s="912"/>
      <c r="OJU4094" s="913" t="s">
        <v>1</v>
      </c>
      <c r="OJV4094" s="31"/>
      <c r="OJW4094" s="909" t="s">
        <v>0</v>
      </c>
      <c r="OJX4094" s="909"/>
      <c r="OJY4094" s="909"/>
      <c r="OJZ4094" s="909"/>
      <c r="OKA4094" s="909"/>
      <c r="OKB4094" s="909"/>
      <c r="OKC4094" s="907" t="s">
        <v>79</v>
      </c>
      <c r="OKD4094" s="909" t="s">
        <v>68</v>
      </c>
      <c r="OKE4094" s="910" t="s">
        <v>75</v>
      </c>
      <c r="OKF4094" s="911"/>
      <c r="OKG4094" s="911"/>
      <c r="OKH4094" s="911"/>
      <c r="OKI4094" s="911"/>
      <c r="OKJ4094" s="911"/>
      <c r="OKK4094" s="911"/>
      <c r="OKL4094" s="911"/>
      <c r="OKM4094" s="911"/>
      <c r="OKN4094" s="911"/>
      <c r="OKO4094" s="32"/>
      <c r="OKP4094" s="911" t="s">
        <v>74</v>
      </c>
      <c r="OKQ4094" s="911"/>
      <c r="OKR4094" s="911"/>
      <c r="OKS4094" s="911"/>
      <c r="OKT4094" s="911"/>
      <c r="OKU4094" s="911"/>
      <c r="OKV4094" s="911"/>
      <c r="OKW4094" s="911"/>
      <c r="OKX4094" s="911"/>
      <c r="OKY4094" s="912"/>
      <c r="OLA4094" s="913" t="s">
        <v>1</v>
      </c>
      <c r="OLB4094" s="31"/>
      <c r="OLC4094" s="909" t="s">
        <v>0</v>
      </c>
      <c r="OLD4094" s="909"/>
      <c r="OLE4094" s="909"/>
      <c r="OLF4094" s="909"/>
      <c r="OLG4094" s="909"/>
      <c r="OLH4094" s="909"/>
      <c r="OLI4094" s="907" t="s">
        <v>79</v>
      </c>
      <c r="OLJ4094" s="909" t="s">
        <v>68</v>
      </c>
      <c r="OLK4094" s="910" t="s">
        <v>75</v>
      </c>
      <c r="OLL4094" s="911"/>
      <c r="OLM4094" s="911"/>
      <c r="OLN4094" s="911"/>
      <c r="OLO4094" s="911"/>
      <c r="OLP4094" s="911"/>
      <c r="OLQ4094" s="911"/>
      <c r="OLR4094" s="911"/>
      <c r="OLS4094" s="911"/>
      <c r="OLT4094" s="911"/>
      <c r="OLU4094" s="32"/>
      <c r="OLV4094" s="911" t="s">
        <v>74</v>
      </c>
      <c r="OLW4094" s="911"/>
      <c r="OLX4094" s="911"/>
      <c r="OLY4094" s="911"/>
      <c r="OLZ4094" s="911"/>
      <c r="OMA4094" s="911"/>
      <c r="OMB4094" s="911"/>
      <c r="OMC4094" s="911"/>
      <c r="OMD4094" s="911"/>
      <c r="OME4094" s="912"/>
      <c r="OMG4094" s="913" t="s">
        <v>1</v>
      </c>
      <c r="OMH4094" s="31"/>
      <c r="OMI4094" s="909" t="s">
        <v>0</v>
      </c>
      <c r="OMJ4094" s="909"/>
      <c r="OMK4094" s="909"/>
      <c r="OML4094" s="909"/>
      <c r="OMM4094" s="909"/>
      <c r="OMN4094" s="909"/>
      <c r="OMO4094" s="907" t="s">
        <v>79</v>
      </c>
      <c r="OMP4094" s="909" t="s">
        <v>68</v>
      </c>
      <c r="OMQ4094" s="910" t="s">
        <v>75</v>
      </c>
      <c r="OMR4094" s="911"/>
      <c r="OMS4094" s="911"/>
      <c r="OMT4094" s="911"/>
      <c r="OMU4094" s="911"/>
      <c r="OMV4094" s="911"/>
      <c r="OMW4094" s="911"/>
      <c r="OMX4094" s="911"/>
      <c r="OMY4094" s="911"/>
      <c r="OMZ4094" s="911"/>
      <c r="ONA4094" s="32"/>
      <c r="ONB4094" s="911" t="s">
        <v>74</v>
      </c>
      <c r="ONC4094" s="911"/>
      <c r="OND4094" s="911"/>
      <c r="ONE4094" s="911"/>
      <c r="ONF4094" s="911"/>
      <c r="ONG4094" s="911"/>
      <c r="ONH4094" s="911"/>
      <c r="ONI4094" s="911"/>
      <c r="ONJ4094" s="911"/>
      <c r="ONK4094" s="912"/>
      <c r="ONM4094" s="913" t="s">
        <v>1</v>
      </c>
      <c r="ONN4094" s="31"/>
      <c r="ONO4094" s="909" t="s">
        <v>0</v>
      </c>
      <c r="ONP4094" s="909"/>
      <c r="ONQ4094" s="909"/>
      <c r="ONR4094" s="909"/>
      <c r="ONS4094" s="909"/>
      <c r="ONT4094" s="909"/>
      <c r="ONU4094" s="907" t="s">
        <v>79</v>
      </c>
      <c r="ONV4094" s="909" t="s">
        <v>68</v>
      </c>
      <c r="ONW4094" s="910" t="s">
        <v>75</v>
      </c>
      <c r="ONX4094" s="911"/>
      <c r="ONY4094" s="911"/>
      <c r="ONZ4094" s="911"/>
      <c r="OOA4094" s="911"/>
      <c r="OOB4094" s="911"/>
      <c r="OOC4094" s="911"/>
      <c r="OOD4094" s="911"/>
      <c r="OOE4094" s="911"/>
      <c r="OOF4094" s="911"/>
      <c r="OOG4094" s="32"/>
      <c r="OOH4094" s="911" t="s">
        <v>74</v>
      </c>
      <c r="OOI4094" s="911"/>
      <c r="OOJ4094" s="911"/>
      <c r="OOK4094" s="911"/>
      <c r="OOL4094" s="911"/>
      <c r="OOM4094" s="911"/>
      <c r="OON4094" s="911"/>
      <c r="OOO4094" s="911"/>
      <c r="OOP4094" s="911"/>
      <c r="OOQ4094" s="912"/>
      <c r="OOS4094" s="913" t="s">
        <v>1</v>
      </c>
      <c r="OOT4094" s="31"/>
      <c r="OOU4094" s="909" t="s">
        <v>0</v>
      </c>
      <c r="OOV4094" s="909"/>
      <c r="OOW4094" s="909"/>
      <c r="OOX4094" s="909"/>
      <c r="OOY4094" s="909"/>
      <c r="OOZ4094" s="909"/>
      <c r="OPA4094" s="907" t="s">
        <v>79</v>
      </c>
      <c r="OPB4094" s="909" t="s">
        <v>68</v>
      </c>
      <c r="OPC4094" s="910" t="s">
        <v>75</v>
      </c>
      <c r="OPD4094" s="911"/>
      <c r="OPE4094" s="911"/>
      <c r="OPF4094" s="911"/>
      <c r="OPG4094" s="911"/>
      <c r="OPH4094" s="911"/>
      <c r="OPI4094" s="911"/>
      <c r="OPJ4094" s="911"/>
      <c r="OPK4094" s="911"/>
      <c r="OPL4094" s="911"/>
      <c r="OPM4094" s="32"/>
      <c r="OPN4094" s="911" t="s">
        <v>74</v>
      </c>
      <c r="OPO4094" s="911"/>
      <c r="OPP4094" s="911"/>
      <c r="OPQ4094" s="911"/>
      <c r="OPR4094" s="911"/>
      <c r="OPS4094" s="911"/>
      <c r="OPT4094" s="911"/>
      <c r="OPU4094" s="911"/>
      <c r="OPV4094" s="911"/>
      <c r="OPW4094" s="912"/>
      <c r="OPY4094" s="913" t="s">
        <v>1</v>
      </c>
      <c r="OPZ4094" s="31"/>
      <c r="OQA4094" s="909" t="s">
        <v>0</v>
      </c>
      <c r="OQB4094" s="909"/>
      <c r="OQC4094" s="909"/>
      <c r="OQD4094" s="909"/>
      <c r="OQE4094" s="909"/>
      <c r="OQF4094" s="909"/>
      <c r="OQG4094" s="907" t="s">
        <v>79</v>
      </c>
      <c r="OQH4094" s="909" t="s">
        <v>68</v>
      </c>
      <c r="OQI4094" s="910" t="s">
        <v>75</v>
      </c>
      <c r="OQJ4094" s="911"/>
      <c r="OQK4094" s="911"/>
      <c r="OQL4094" s="911"/>
      <c r="OQM4094" s="911"/>
      <c r="OQN4094" s="911"/>
      <c r="OQO4094" s="911"/>
      <c r="OQP4094" s="911"/>
      <c r="OQQ4094" s="911"/>
      <c r="OQR4094" s="911"/>
      <c r="OQS4094" s="32"/>
      <c r="OQT4094" s="911" t="s">
        <v>74</v>
      </c>
      <c r="OQU4094" s="911"/>
      <c r="OQV4094" s="911"/>
      <c r="OQW4094" s="911"/>
      <c r="OQX4094" s="911"/>
      <c r="OQY4094" s="911"/>
      <c r="OQZ4094" s="911"/>
      <c r="ORA4094" s="911"/>
      <c r="ORB4094" s="911"/>
      <c r="ORC4094" s="912"/>
      <c r="ORE4094" s="913" t="s">
        <v>1</v>
      </c>
      <c r="ORF4094" s="31"/>
      <c r="ORG4094" s="909" t="s">
        <v>0</v>
      </c>
      <c r="ORH4094" s="909"/>
      <c r="ORI4094" s="909"/>
      <c r="ORJ4094" s="909"/>
      <c r="ORK4094" s="909"/>
      <c r="ORL4094" s="909"/>
      <c r="ORM4094" s="907" t="s">
        <v>79</v>
      </c>
      <c r="ORN4094" s="909" t="s">
        <v>68</v>
      </c>
      <c r="ORO4094" s="910" t="s">
        <v>75</v>
      </c>
      <c r="ORP4094" s="911"/>
      <c r="ORQ4094" s="911"/>
      <c r="ORR4094" s="911"/>
      <c r="ORS4094" s="911"/>
      <c r="ORT4094" s="911"/>
      <c r="ORU4094" s="911"/>
      <c r="ORV4094" s="911"/>
      <c r="ORW4094" s="911"/>
      <c r="ORX4094" s="911"/>
      <c r="ORY4094" s="32"/>
      <c r="ORZ4094" s="911" t="s">
        <v>74</v>
      </c>
      <c r="OSA4094" s="911"/>
      <c r="OSB4094" s="911"/>
      <c r="OSC4094" s="911"/>
      <c r="OSD4094" s="911"/>
      <c r="OSE4094" s="911"/>
      <c r="OSF4094" s="911"/>
      <c r="OSG4094" s="911"/>
      <c r="OSH4094" s="911"/>
      <c r="OSI4094" s="912"/>
      <c r="OSK4094" s="913" t="s">
        <v>1</v>
      </c>
      <c r="OSL4094" s="31"/>
      <c r="OSM4094" s="909" t="s">
        <v>0</v>
      </c>
      <c r="OSN4094" s="909"/>
      <c r="OSO4094" s="909"/>
      <c r="OSP4094" s="909"/>
      <c r="OSQ4094" s="909"/>
      <c r="OSR4094" s="909"/>
      <c r="OSS4094" s="907" t="s">
        <v>79</v>
      </c>
      <c r="OST4094" s="909" t="s">
        <v>68</v>
      </c>
      <c r="OSU4094" s="910" t="s">
        <v>75</v>
      </c>
      <c r="OSV4094" s="911"/>
      <c r="OSW4094" s="911"/>
      <c r="OSX4094" s="911"/>
      <c r="OSY4094" s="911"/>
      <c r="OSZ4094" s="911"/>
      <c r="OTA4094" s="911"/>
      <c r="OTB4094" s="911"/>
      <c r="OTC4094" s="911"/>
      <c r="OTD4094" s="911"/>
      <c r="OTE4094" s="32"/>
      <c r="OTF4094" s="911" t="s">
        <v>74</v>
      </c>
      <c r="OTG4094" s="911"/>
      <c r="OTH4094" s="911"/>
      <c r="OTI4094" s="911"/>
      <c r="OTJ4094" s="911"/>
      <c r="OTK4094" s="911"/>
      <c r="OTL4094" s="911"/>
      <c r="OTM4094" s="911"/>
      <c r="OTN4094" s="911"/>
      <c r="OTO4094" s="912"/>
      <c r="OTQ4094" s="913" t="s">
        <v>1</v>
      </c>
      <c r="OTR4094" s="31"/>
      <c r="OTS4094" s="909" t="s">
        <v>0</v>
      </c>
      <c r="OTT4094" s="909"/>
      <c r="OTU4094" s="909"/>
      <c r="OTV4094" s="909"/>
      <c r="OTW4094" s="909"/>
      <c r="OTX4094" s="909"/>
      <c r="OTY4094" s="907" t="s">
        <v>79</v>
      </c>
      <c r="OTZ4094" s="909" t="s">
        <v>68</v>
      </c>
      <c r="OUA4094" s="910" t="s">
        <v>75</v>
      </c>
      <c r="OUB4094" s="911"/>
      <c r="OUC4094" s="911"/>
      <c r="OUD4094" s="911"/>
      <c r="OUE4094" s="911"/>
      <c r="OUF4094" s="911"/>
      <c r="OUG4094" s="911"/>
      <c r="OUH4094" s="911"/>
      <c r="OUI4094" s="911"/>
      <c r="OUJ4094" s="911"/>
      <c r="OUK4094" s="32"/>
      <c r="OUL4094" s="911" t="s">
        <v>74</v>
      </c>
      <c r="OUM4094" s="911"/>
      <c r="OUN4094" s="911"/>
      <c r="OUO4094" s="911"/>
      <c r="OUP4094" s="911"/>
      <c r="OUQ4094" s="911"/>
      <c r="OUR4094" s="911"/>
      <c r="OUS4094" s="911"/>
      <c r="OUT4094" s="911"/>
      <c r="OUU4094" s="912"/>
      <c r="OUW4094" s="913" t="s">
        <v>1</v>
      </c>
      <c r="OUX4094" s="31"/>
      <c r="OUY4094" s="909" t="s">
        <v>0</v>
      </c>
      <c r="OUZ4094" s="909"/>
      <c r="OVA4094" s="909"/>
      <c r="OVB4094" s="909"/>
      <c r="OVC4094" s="909"/>
      <c r="OVD4094" s="909"/>
      <c r="OVE4094" s="907" t="s">
        <v>79</v>
      </c>
      <c r="OVF4094" s="909" t="s">
        <v>68</v>
      </c>
      <c r="OVG4094" s="910" t="s">
        <v>75</v>
      </c>
      <c r="OVH4094" s="911"/>
      <c r="OVI4094" s="911"/>
      <c r="OVJ4094" s="911"/>
      <c r="OVK4094" s="911"/>
      <c r="OVL4094" s="911"/>
      <c r="OVM4094" s="911"/>
      <c r="OVN4094" s="911"/>
      <c r="OVO4094" s="911"/>
      <c r="OVP4094" s="911"/>
      <c r="OVQ4094" s="32"/>
      <c r="OVR4094" s="911" t="s">
        <v>74</v>
      </c>
      <c r="OVS4094" s="911"/>
      <c r="OVT4094" s="911"/>
      <c r="OVU4094" s="911"/>
      <c r="OVV4094" s="911"/>
      <c r="OVW4094" s="911"/>
      <c r="OVX4094" s="911"/>
      <c r="OVY4094" s="911"/>
      <c r="OVZ4094" s="911"/>
      <c r="OWA4094" s="912"/>
      <c r="OWC4094" s="913" t="s">
        <v>1</v>
      </c>
      <c r="OWD4094" s="31"/>
      <c r="OWE4094" s="909" t="s">
        <v>0</v>
      </c>
      <c r="OWF4094" s="909"/>
      <c r="OWG4094" s="909"/>
      <c r="OWH4094" s="909"/>
      <c r="OWI4094" s="909"/>
      <c r="OWJ4094" s="909"/>
      <c r="OWK4094" s="907" t="s">
        <v>79</v>
      </c>
      <c r="OWL4094" s="909" t="s">
        <v>68</v>
      </c>
      <c r="OWM4094" s="910" t="s">
        <v>75</v>
      </c>
      <c r="OWN4094" s="911"/>
      <c r="OWO4094" s="911"/>
      <c r="OWP4094" s="911"/>
      <c r="OWQ4094" s="911"/>
      <c r="OWR4094" s="911"/>
      <c r="OWS4094" s="911"/>
      <c r="OWT4094" s="911"/>
      <c r="OWU4094" s="911"/>
      <c r="OWV4094" s="911"/>
      <c r="OWW4094" s="32"/>
      <c r="OWX4094" s="911" t="s">
        <v>74</v>
      </c>
      <c r="OWY4094" s="911"/>
      <c r="OWZ4094" s="911"/>
      <c r="OXA4094" s="911"/>
      <c r="OXB4094" s="911"/>
      <c r="OXC4094" s="911"/>
      <c r="OXD4094" s="911"/>
      <c r="OXE4094" s="911"/>
      <c r="OXF4094" s="911"/>
      <c r="OXG4094" s="912"/>
      <c r="OXI4094" s="913" t="s">
        <v>1</v>
      </c>
      <c r="OXJ4094" s="31"/>
      <c r="OXK4094" s="909" t="s">
        <v>0</v>
      </c>
      <c r="OXL4094" s="909"/>
      <c r="OXM4094" s="909"/>
      <c r="OXN4094" s="909"/>
      <c r="OXO4094" s="909"/>
      <c r="OXP4094" s="909"/>
      <c r="OXQ4094" s="907" t="s">
        <v>79</v>
      </c>
      <c r="OXR4094" s="909" t="s">
        <v>68</v>
      </c>
      <c r="OXS4094" s="910" t="s">
        <v>75</v>
      </c>
      <c r="OXT4094" s="911"/>
      <c r="OXU4094" s="911"/>
      <c r="OXV4094" s="911"/>
      <c r="OXW4094" s="911"/>
      <c r="OXX4094" s="911"/>
      <c r="OXY4094" s="911"/>
      <c r="OXZ4094" s="911"/>
      <c r="OYA4094" s="911"/>
      <c r="OYB4094" s="911"/>
      <c r="OYC4094" s="32"/>
      <c r="OYD4094" s="911" t="s">
        <v>74</v>
      </c>
      <c r="OYE4094" s="911"/>
      <c r="OYF4094" s="911"/>
      <c r="OYG4094" s="911"/>
      <c r="OYH4094" s="911"/>
      <c r="OYI4094" s="911"/>
      <c r="OYJ4094" s="911"/>
      <c r="OYK4094" s="911"/>
      <c r="OYL4094" s="911"/>
      <c r="OYM4094" s="912"/>
      <c r="OYO4094" s="913" t="s">
        <v>1</v>
      </c>
      <c r="OYP4094" s="31"/>
      <c r="OYQ4094" s="909" t="s">
        <v>0</v>
      </c>
      <c r="OYR4094" s="909"/>
      <c r="OYS4094" s="909"/>
      <c r="OYT4094" s="909"/>
      <c r="OYU4094" s="909"/>
      <c r="OYV4094" s="909"/>
      <c r="OYW4094" s="907" t="s">
        <v>79</v>
      </c>
      <c r="OYX4094" s="909" t="s">
        <v>68</v>
      </c>
      <c r="OYY4094" s="910" t="s">
        <v>75</v>
      </c>
      <c r="OYZ4094" s="911"/>
      <c r="OZA4094" s="911"/>
      <c r="OZB4094" s="911"/>
      <c r="OZC4094" s="911"/>
      <c r="OZD4094" s="911"/>
      <c r="OZE4094" s="911"/>
      <c r="OZF4094" s="911"/>
      <c r="OZG4094" s="911"/>
      <c r="OZH4094" s="911"/>
      <c r="OZI4094" s="32"/>
      <c r="OZJ4094" s="911" t="s">
        <v>74</v>
      </c>
      <c r="OZK4094" s="911"/>
      <c r="OZL4094" s="911"/>
      <c r="OZM4094" s="911"/>
      <c r="OZN4094" s="911"/>
      <c r="OZO4094" s="911"/>
      <c r="OZP4094" s="911"/>
      <c r="OZQ4094" s="911"/>
      <c r="OZR4094" s="911"/>
      <c r="OZS4094" s="912"/>
      <c r="OZU4094" s="913" t="s">
        <v>1</v>
      </c>
      <c r="OZV4094" s="31"/>
      <c r="OZW4094" s="909" t="s">
        <v>0</v>
      </c>
      <c r="OZX4094" s="909"/>
      <c r="OZY4094" s="909"/>
      <c r="OZZ4094" s="909"/>
      <c r="PAA4094" s="909"/>
      <c r="PAB4094" s="909"/>
      <c r="PAC4094" s="907" t="s">
        <v>79</v>
      </c>
      <c r="PAD4094" s="909" t="s">
        <v>68</v>
      </c>
      <c r="PAE4094" s="910" t="s">
        <v>75</v>
      </c>
      <c r="PAF4094" s="911"/>
      <c r="PAG4094" s="911"/>
      <c r="PAH4094" s="911"/>
      <c r="PAI4094" s="911"/>
      <c r="PAJ4094" s="911"/>
      <c r="PAK4094" s="911"/>
      <c r="PAL4094" s="911"/>
      <c r="PAM4094" s="911"/>
      <c r="PAN4094" s="911"/>
      <c r="PAO4094" s="32"/>
      <c r="PAP4094" s="911" t="s">
        <v>74</v>
      </c>
      <c r="PAQ4094" s="911"/>
      <c r="PAR4094" s="911"/>
      <c r="PAS4094" s="911"/>
      <c r="PAT4094" s="911"/>
      <c r="PAU4094" s="911"/>
      <c r="PAV4094" s="911"/>
      <c r="PAW4094" s="911"/>
      <c r="PAX4094" s="911"/>
      <c r="PAY4094" s="912"/>
      <c r="PBA4094" s="913" t="s">
        <v>1</v>
      </c>
      <c r="PBB4094" s="31"/>
      <c r="PBC4094" s="909" t="s">
        <v>0</v>
      </c>
      <c r="PBD4094" s="909"/>
      <c r="PBE4094" s="909"/>
      <c r="PBF4094" s="909"/>
      <c r="PBG4094" s="909"/>
      <c r="PBH4094" s="909"/>
      <c r="PBI4094" s="907" t="s">
        <v>79</v>
      </c>
      <c r="PBJ4094" s="909" t="s">
        <v>68</v>
      </c>
      <c r="PBK4094" s="910" t="s">
        <v>75</v>
      </c>
      <c r="PBL4094" s="911"/>
      <c r="PBM4094" s="911"/>
      <c r="PBN4094" s="911"/>
      <c r="PBO4094" s="911"/>
      <c r="PBP4094" s="911"/>
      <c r="PBQ4094" s="911"/>
      <c r="PBR4094" s="911"/>
      <c r="PBS4094" s="911"/>
      <c r="PBT4094" s="911"/>
      <c r="PBU4094" s="32"/>
      <c r="PBV4094" s="911" t="s">
        <v>74</v>
      </c>
      <c r="PBW4094" s="911"/>
      <c r="PBX4094" s="911"/>
      <c r="PBY4094" s="911"/>
      <c r="PBZ4094" s="911"/>
      <c r="PCA4094" s="911"/>
      <c r="PCB4094" s="911"/>
      <c r="PCC4094" s="911"/>
      <c r="PCD4094" s="911"/>
      <c r="PCE4094" s="912"/>
      <c r="PCG4094" s="913" t="s">
        <v>1</v>
      </c>
      <c r="PCH4094" s="31"/>
      <c r="PCI4094" s="909" t="s">
        <v>0</v>
      </c>
      <c r="PCJ4094" s="909"/>
      <c r="PCK4094" s="909"/>
      <c r="PCL4094" s="909"/>
      <c r="PCM4094" s="909"/>
      <c r="PCN4094" s="909"/>
      <c r="PCO4094" s="907" t="s">
        <v>79</v>
      </c>
      <c r="PCP4094" s="909" t="s">
        <v>68</v>
      </c>
      <c r="PCQ4094" s="910" t="s">
        <v>75</v>
      </c>
      <c r="PCR4094" s="911"/>
      <c r="PCS4094" s="911"/>
      <c r="PCT4094" s="911"/>
      <c r="PCU4094" s="911"/>
      <c r="PCV4094" s="911"/>
      <c r="PCW4094" s="911"/>
      <c r="PCX4094" s="911"/>
      <c r="PCY4094" s="911"/>
      <c r="PCZ4094" s="911"/>
      <c r="PDA4094" s="32"/>
      <c r="PDB4094" s="911" t="s">
        <v>74</v>
      </c>
      <c r="PDC4094" s="911"/>
      <c r="PDD4094" s="911"/>
      <c r="PDE4094" s="911"/>
      <c r="PDF4094" s="911"/>
      <c r="PDG4094" s="911"/>
      <c r="PDH4094" s="911"/>
      <c r="PDI4094" s="911"/>
      <c r="PDJ4094" s="911"/>
      <c r="PDK4094" s="912"/>
      <c r="PDM4094" s="913" t="s">
        <v>1</v>
      </c>
      <c r="PDN4094" s="31"/>
      <c r="PDO4094" s="909" t="s">
        <v>0</v>
      </c>
      <c r="PDP4094" s="909"/>
      <c r="PDQ4094" s="909"/>
      <c r="PDR4094" s="909"/>
      <c r="PDS4094" s="909"/>
      <c r="PDT4094" s="909"/>
      <c r="PDU4094" s="907" t="s">
        <v>79</v>
      </c>
      <c r="PDV4094" s="909" t="s">
        <v>68</v>
      </c>
      <c r="PDW4094" s="910" t="s">
        <v>75</v>
      </c>
      <c r="PDX4094" s="911"/>
      <c r="PDY4094" s="911"/>
      <c r="PDZ4094" s="911"/>
      <c r="PEA4094" s="911"/>
      <c r="PEB4094" s="911"/>
      <c r="PEC4094" s="911"/>
      <c r="PED4094" s="911"/>
      <c r="PEE4094" s="911"/>
      <c r="PEF4094" s="911"/>
      <c r="PEG4094" s="32"/>
      <c r="PEH4094" s="911" t="s">
        <v>74</v>
      </c>
      <c r="PEI4094" s="911"/>
      <c r="PEJ4094" s="911"/>
      <c r="PEK4094" s="911"/>
      <c r="PEL4094" s="911"/>
      <c r="PEM4094" s="911"/>
      <c r="PEN4094" s="911"/>
      <c r="PEO4094" s="911"/>
      <c r="PEP4094" s="911"/>
      <c r="PEQ4094" s="912"/>
      <c r="PES4094" s="913" t="s">
        <v>1</v>
      </c>
      <c r="PET4094" s="31"/>
      <c r="PEU4094" s="909" t="s">
        <v>0</v>
      </c>
      <c r="PEV4094" s="909"/>
      <c r="PEW4094" s="909"/>
      <c r="PEX4094" s="909"/>
      <c r="PEY4094" s="909"/>
      <c r="PEZ4094" s="909"/>
      <c r="PFA4094" s="907" t="s">
        <v>79</v>
      </c>
      <c r="PFB4094" s="909" t="s">
        <v>68</v>
      </c>
      <c r="PFC4094" s="910" t="s">
        <v>75</v>
      </c>
      <c r="PFD4094" s="911"/>
      <c r="PFE4094" s="911"/>
      <c r="PFF4094" s="911"/>
      <c r="PFG4094" s="911"/>
      <c r="PFH4094" s="911"/>
      <c r="PFI4094" s="911"/>
      <c r="PFJ4094" s="911"/>
      <c r="PFK4094" s="911"/>
      <c r="PFL4094" s="911"/>
      <c r="PFM4094" s="32"/>
      <c r="PFN4094" s="911" t="s">
        <v>74</v>
      </c>
      <c r="PFO4094" s="911"/>
      <c r="PFP4094" s="911"/>
      <c r="PFQ4094" s="911"/>
      <c r="PFR4094" s="911"/>
      <c r="PFS4094" s="911"/>
      <c r="PFT4094" s="911"/>
      <c r="PFU4094" s="911"/>
      <c r="PFV4094" s="911"/>
      <c r="PFW4094" s="912"/>
      <c r="PFY4094" s="913" t="s">
        <v>1</v>
      </c>
      <c r="PFZ4094" s="31"/>
      <c r="PGA4094" s="909" t="s">
        <v>0</v>
      </c>
      <c r="PGB4094" s="909"/>
      <c r="PGC4094" s="909"/>
      <c r="PGD4094" s="909"/>
      <c r="PGE4094" s="909"/>
      <c r="PGF4094" s="909"/>
      <c r="PGG4094" s="907" t="s">
        <v>79</v>
      </c>
      <c r="PGH4094" s="909" t="s">
        <v>68</v>
      </c>
      <c r="PGI4094" s="910" t="s">
        <v>75</v>
      </c>
      <c r="PGJ4094" s="911"/>
      <c r="PGK4094" s="911"/>
      <c r="PGL4094" s="911"/>
      <c r="PGM4094" s="911"/>
      <c r="PGN4094" s="911"/>
      <c r="PGO4094" s="911"/>
      <c r="PGP4094" s="911"/>
      <c r="PGQ4094" s="911"/>
      <c r="PGR4094" s="911"/>
      <c r="PGS4094" s="32"/>
      <c r="PGT4094" s="911" t="s">
        <v>74</v>
      </c>
      <c r="PGU4094" s="911"/>
      <c r="PGV4094" s="911"/>
      <c r="PGW4094" s="911"/>
      <c r="PGX4094" s="911"/>
      <c r="PGY4094" s="911"/>
      <c r="PGZ4094" s="911"/>
      <c r="PHA4094" s="911"/>
      <c r="PHB4094" s="911"/>
      <c r="PHC4094" s="912"/>
      <c r="PHE4094" s="913" t="s">
        <v>1</v>
      </c>
      <c r="PHF4094" s="31"/>
      <c r="PHG4094" s="909" t="s">
        <v>0</v>
      </c>
      <c r="PHH4094" s="909"/>
      <c r="PHI4094" s="909"/>
      <c r="PHJ4094" s="909"/>
      <c r="PHK4094" s="909"/>
      <c r="PHL4094" s="909"/>
      <c r="PHM4094" s="907" t="s">
        <v>79</v>
      </c>
      <c r="PHN4094" s="909" t="s">
        <v>68</v>
      </c>
      <c r="PHO4094" s="910" t="s">
        <v>75</v>
      </c>
      <c r="PHP4094" s="911"/>
      <c r="PHQ4094" s="911"/>
      <c r="PHR4094" s="911"/>
      <c r="PHS4094" s="911"/>
      <c r="PHT4094" s="911"/>
      <c r="PHU4094" s="911"/>
      <c r="PHV4094" s="911"/>
      <c r="PHW4094" s="911"/>
      <c r="PHX4094" s="911"/>
      <c r="PHY4094" s="32"/>
      <c r="PHZ4094" s="911" t="s">
        <v>74</v>
      </c>
      <c r="PIA4094" s="911"/>
      <c r="PIB4094" s="911"/>
      <c r="PIC4094" s="911"/>
      <c r="PID4094" s="911"/>
      <c r="PIE4094" s="911"/>
      <c r="PIF4094" s="911"/>
      <c r="PIG4094" s="911"/>
      <c r="PIH4094" s="911"/>
      <c r="PII4094" s="912"/>
      <c r="PIK4094" s="913" t="s">
        <v>1</v>
      </c>
      <c r="PIL4094" s="31"/>
      <c r="PIM4094" s="909" t="s">
        <v>0</v>
      </c>
      <c r="PIN4094" s="909"/>
      <c r="PIO4094" s="909"/>
      <c r="PIP4094" s="909"/>
      <c r="PIQ4094" s="909"/>
      <c r="PIR4094" s="909"/>
      <c r="PIS4094" s="907" t="s">
        <v>79</v>
      </c>
      <c r="PIT4094" s="909" t="s">
        <v>68</v>
      </c>
      <c r="PIU4094" s="910" t="s">
        <v>75</v>
      </c>
      <c r="PIV4094" s="911"/>
      <c r="PIW4094" s="911"/>
      <c r="PIX4094" s="911"/>
      <c r="PIY4094" s="911"/>
      <c r="PIZ4094" s="911"/>
      <c r="PJA4094" s="911"/>
      <c r="PJB4094" s="911"/>
      <c r="PJC4094" s="911"/>
      <c r="PJD4094" s="911"/>
      <c r="PJE4094" s="32"/>
      <c r="PJF4094" s="911" t="s">
        <v>74</v>
      </c>
      <c r="PJG4094" s="911"/>
      <c r="PJH4094" s="911"/>
      <c r="PJI4094" s="911"/>
      <c r="PJJ4094" s="911"/>
      <c r="PJK4094" s="911"/>
      <c r="PJL4094" s="911"/>
      <c r="PJM4094" s="911"/>
      <c r="PJN4094" s="911"/>
      <c r="PJO4094" s="912"/>
      <c r="PJQ4094" s="913" t="s">
        <v>1</v>
      </c>
      <c r="PJR4094" s="31"/>
      <c r="PJS4094" s="909" t="s">
        <v>0</v>
      </c>
      <c r="PJT4094" s="909"/>
      <c r="PJU4094" s="909"/>
      <c r="PJV4094" s="909"/>
      <c r="PJW4094" s="909"/>
      <c r="PJX4094" s="909"/>
      <c r="PJY4094" s="907" t="s">
        <v>79</v>
      </c>
      <c r="PJZ4094" s="909" t="s">
        <v>68</v>
      </c>
      <c r="PKA4094" s="910" t="s">
        <v>75</v>
      </c>
      <c r="PKB4094" s="911"/>
      <c r="PKC4094" s="911"/>
      <c r="PKD4094" s="911"/>
      <c r="PKE4094" s="911"/>
      <c r="PKF4094" s="911"/>
      <c r="PKG4094" s="911"/>
      <c r="PKH4094" s="911"/>
      <c r="PKI4094" s="911"/>
      <c r="PKJ4094" s="911"/>
      <c r="PKK4094" s="32"/>
      <c r="PKL4094" s="911" t="s">
        <v>74</v>
      </c>
      <c r="PKM4094" s="911"/>
      <c r="PKN4094" s="911"/>
      <c r="PKO4094" s="911"/>
      <c r="PKP4094" s="911"/>
      <c r="PKQ4094" s="911"/>
      <c r="PKR4094" s="911"/>
      <c r="PKS4094" s="911"/>
      <c r="PKT4094" s="911"/>
      <c r="PKU4094" s="912"/>
      <c r="PKW4094" s="913" t="s">
        <v>1</v>
      </c>
      <c r="PKX4094" s="31"/>
      <c r="PKY4094" s="909" t="s">
        <v>0</v>
      </c>
      <c r="PKZ4094" s="909"/>
      <c r="PLA4094" s="909"/>
      <c r="PLB4094" s="909"/>
      <c r="PLC4094" s="909"/>
      <c r="PLD4094" s="909"/>
      <c r="PLE4094" s="907" t="s">
        <v>79</v>
      </c>
      <c r="PLF4094" s="909" t="s">
        <v>68</v>
      </c>
      <c r="PLG4094" s="910" t="s">
        <v>75</v>
      </c>
      <c r="PLH4094" s="911"/>
      <c r="PLI4094" s="911"/>
      <c r="PLJ4094" s="911"/>
      <c r="PLK4094" s="911"/>
      <c r="PLL4094" s="911"/>
      <c r="PLM4094" s="911"/>
      <c r="PLN4094" s="911"/>
      <c r="PLO4094" s="911"/>
      <c r="PLP4094" s="911"/>
      <c r="PLQ4094" s="32"/>
      <c r="PLR4094" s="911" t="s">
        <v>74</v>
      </c>
      <c r="PLS4094" s="911"/>
      <c r="PLT4094" s="911"/>
      <c r="PLU4094" s="911"/>
      <c r="PLV4094" s="911"/>
      <c r="PLW4094" s="911"/>
      <c r="PLX4094" s="911"/>
      <c r="PLY4094" s="911"/>
      <c r="PLZ4094" s="911"/>
      <c r="PMA4094" s="912"/>
      <c r="PMC4094" s="913" t="s">
        <v>1</v>
      </c>
      <c r="PMD4094" s="31"/>
      <c r="PME4094" s="909" t="s">
        <v>0</v>
      </c>
      <c r="PMF4094" s="909"/>
      <c r="PMG4094" s="909"/>
      <c r="PMH4094" s="909"/>
      <c r="PMI4094" s="909"/>
      <c r="PMJ4094" s="909"/>
      <c r="PMK4094" s="907" t="s">
        <v>79</v>
      </c>
      <c r="PML4094" s="909" t="s">
        <v>68</v>
      </c>
      <c r="PMM4094" s="910" t="s">
        <v>75</v>
      </c>
      <c r="PMN4094" s="911"/>
      <c r="PMO4094" s="911"/>
      <c r="PMP4094" s="911"/>
      <c r="PMQ4094" s="911"/>
      <c r="PMR4094" s="911"/>
      <c r="PMS4094" s="911"/>
      <c r="PMT4094" s="911"/>
      <c r="PMU4094" s="911"/>
      <c r="PMV4094" s="911"/>
      <c r="PMW4094" s="32"/>
      <c r="PMX4094" s="911" t="s">
        <v>74</v>
      </c>
      <c r="PMY4094" s="911"/>
      <c r="PMZ4094" s="911"/>
      <c r="PNA4094" s="911"/>
      <c r="PNB4094" s="911"/>
      <c r="PNC4094" s="911"/>
      <c r="PND4094" s="911"/>
      <c r="PNE4094" s="911"/>
      <c r="PNF4094" s="911"/>
      <c r="PNG4094" s="912"/>
      <c r="PNI4094" s="913" t="s">
        <v>1</v>
      </c>
      <c r="PNJ4094" s="31"/>
      <c r="PNK4094" s="909" t="s">
        <v>0</v>
      </c>
      <c r="PNL4094" s="909"/>
      <c r="PNM4094" s="909"/>
      <c r="PNN4094" s="909"/>
      <c r="PNO4094" s="909"/>
      <c r="PNP4094" s="909"/>
      <c r="PNQ4094" s="907" t="s">
        <v>79</v>
      </c>
      <c r="PNR4094" s="909" t="s">
        <v>68</v>
      </c>
      <c r="PNS4094" s="910" t="s">
        <v>75</v>
      </c>
      <c r="PNT4094" s="911"/>
      <c r="PNU4094" s="911"/>
      <c r="PNV4094" s="911"/>
      <c r="PNW4094" s="911"/>
      <c r="PNX4094" s="911"/>
      <c r="PNY4094" s="911"/>
      <c r="PNZ4094" s="911"/>
      <c r="POA4094" s="911"/>
      <c r="POB4094" s="911"/>
      <c r="POC4094" s="32"/>
      <c r="POD4094" s="911" t="s">
        <v>74</v>
      </c>
      <c r="POE4094" s="911"/>
      <c r="POF4094" s="911"/>
      <c r="POG4094" s="911"/>
      <c r="POH4094" s="911"/>
      <c r="POI4094" s="911"/>
      <c r="POJ4094" s="911"/>
      <c r="POK4094" s="911"/>
      <c r="POL4094" s="911"/>
      <c r="POM4094" s="912"/>
      <c r="POO4094" s="913" t="s">
        <v>1</v>
      </c>
      <c r="POP4094" s="31"/>
      <c r="POQ4094" s="909" t="s">
        <v>0</v>
      </c>
      <c r="POR4094" s="909"/>
      <c r="POS4094" s="909"/>
      <c r="POT4094" s="909"/>
      <c r="POU4094" s="909"/>
      <c r="POV4094" s="909"/>
      <c r="POW4094" s="907" t="s">
        <v>79</v>
      </c>
      <c r="POX4094" s="909" t="s">
        <v>68</v>
      </c>
      <c r="POY4094" s="910" t="s">
        <v>75</v>
      </c>
      <c r="POZ4094" s="911"/>
      <c r="PPA4094" s="911"/>
      <c r="PPB4094" s="911"/>
      <c r="PPC4094" s="911"/>
      <c r="PPD4094" s="911"/>
      <c r="PPE4094" s="911"/>
      <c r="PPF4094" s="911"/>
      <c r="PPG4094" s="911"/>
      <c r="PPH4094" s="911"/>
      <c r="PPI4094" s="32"/>
      <c r="PPJ4094" s="911" t="s">
        <v>74</v>
      </c>
      <c r="PPK4094" s="911"/>
      <c r="PPL4094" s="911"/>
      <c r="PPM4094" s="911"/>
      <c r="PPN4094" s="911"/>
      <c r="PPO4094" s="911"/>
      <c r="PPP4094" s="911"/>
      <c r="PPQ4094" s="911"/>
      <c r="PPR4094" s="911"/>
      <c r="PPS4094" s="912"/>
      <c r="PPU4094" s="913" t="s">
        <v>1</v>
      </c>
      <c r="PPV4094" s="31"/>
      <c r="PPW4094" s="909" t="s">
        <v>0</v>
      </c>
      <c r="PPX4094" s="909"/>
      <c r="PPY4094" s="909"/>
      <c r="PPZ4094" s="909"/>
      <c r="PQA4094" s="909"/>
      <c r="PQB4094" s="909"/>
      <c r="PQC4094" s="907" t="s">
        <v>79</v>
      </c>
      <c r="PQD4094" s="909" t="s">
        <v>68</v>
      </c>
      <c r="PQE4094" s="910" t="s">
        <v>75</v>
      </c>
      <c r="PQF4094" s="911"/>
      <c r="PQG4094" s="911"/>
      <c r="PQH4094" s="911"/>
      <c r="PQI4094" s="911"/>
      <c r="PQJ4094" s="911"/>
      <c r="PQK4094" s="911"/>
      <c r="PQL4094" s="911"/>
      <c r="PQM4094" s="911"/>
      <c r="PQN4094" s="911"/>
      <c r="PQO4094" s="32"/>
      <c r="PQP4094" s="911" t="s">
        <v>74</v>
      </c>
      <c r="PQQ4094" s="911"/>
      <c r="PQR4094" s="911"/>
      <c r="PQS4094" s="911"/>
      <c r="PQT4094" s="911"/>
      <c r="PQU4094" s="911"/>
      <c r="PQV4094" s="911"/>
      <c r="PQW4094" s="911"/>
      <c r="PQX4094" s="911"/>
      <c r="PQY4094" s="912"/>
      <c r="PRA4094" s="913" t="s">
        <v>1</v>
      </c>
      <c r="PRB4094" s="31"/>
      <c r="PRC4094" s="909" t="s">
        <v>0</v>
      </c>
      <c r="PRD4094" s="909"/>
      <c r="PRE4094" s="909"/>
      <c r="PRF4094" s="909"/>
      <c r="PRG4094" s="909"/>
      <c r="PRH4094" s="909"/>
      <c r="PRI4094" s="907" t="s">
        <v>79</v>
      </c>
      <c r="PRJ4094" s="909" t="s">
        <v>68</v>
      </c>
      <c r="PRK4094" s="910" t="s">
        <v>75</v>
      </c>
      <c r="PRL4094" s="911"/>
      <c r="PRM4094" s="911"/>
      <c r="PRN4094" s="911"/>
      <c r="PRO4094" s="911"/>
      <c r="PRP4094" s="911"/>
      <c r="PRQ4094" s="911"/>
      <c r="PRR4094" s="911"/>
      <c r="PRS4094" s="911"/>
      <c r="PRT4094" s="911"/>
      <c r="PRU4094" s="32"/>
      <c r="PRV4094" s="911" t="s">
        <v>74</v>
      </c>
      <c r="PRW4094" s="911"/>
      <c r="PRX4094" s="911"/>
      <c r="PRY4094" s="911"/>
      <c r="PRZ4094" s="911"/>
      <c r="PSA4094" s="911"/>
      <c r="PSB4094" s="911"/>
      <c r="PSC4094" s="911"/>
      <c r="PSD4094" s="911"/>
      <c r="PSE4094" s="912"/>
      <c r="PSG4094" s="913" t="s">
        <v>1</v>
      </c>
      <c r="PSH4094" s="31"/>
      <c r="PSI4094" s="909" t="s">
        <v>0</v>
      </c>
      <c r="PSJ4094" s="909"/>
      <c r="PSK4094" s="909"/>
      <c r="PSL4094" s="909"/>
      <c r="PSM4094" s="909"/>
      <c r="PSN4094" s="909"/>
      <c r="PSO4094" s="907" t="s">
        <v>79</v>
      </c>
      <c r="PSP4094" s="909" t="s">
        <v>68</v>
      </c>
      <c r="PSQ4094" s="910" t="s">
        <v>75</v>
      </c>
      <c r="PSR4094" s="911"/>
      <c r="PSS4094" s="911"/>
      <c r="PST4094" s="911"/>
      <c r="PSU4094" s="911"/>
      <c r="PSV4094" s="911"/>
      <c r="PSW4094" s="911"/>
      <c r="PSX4094" s="911"/>
      <c r="PSY4094" s="911"/>
      <c r="PSZ4094" s="911"/>
      <c r="PTA4094" s="32"/>
      <c r="PTB4094" s="911" t="s">
        <v>74</v>
      </c>
      <c r="PTC4094" s="911"/>
      <c r="PTD4094" s="911"/>
      <c r="PTE4094" s="911"/>
      <c r="PTF4094" s="911"/>
      <c r="PTG4094" s="911"/>
      <c r="PTH4094" s="911"/>
      <c r="PTI4094" s="911"/>
      <c r="PTJ4094" s="911"/>
      <c r="PTK4094" s="912"/>
      <c r="PTM4094" s="913" t="s">
        <v>1</v>
      </c>
      <c r="PTN4094" s="31"/>
      <c r="PTO4094" s="909" t="s">
        <v>0</v>
      </c>
      <c r="PTP4094" s="909"/>
      <c r="PTQ4094" s="909"/>
      <c r="PTR4094" s="909"/>
      <c r="PTS4094" s="909"/>
      <c r="PTT4094" s="909"/>
      <c r="PTU4094" s="907" t="s">
        <v>79</v>
      </c>
      <c r="PTV4094" s="909" t="s">
        <v>68</v>
      </c>
      <c r="PTW4094" s="910" t="s">
        <v>75</v>
      </c>
      <c r="PTX4094" s="911"/>
      <c r="PTY4094" s="911"/>
      <c r="PTZ4094" s="911"/>
      <c r="PUA4094" s="911"/>
      <c r="PUB4094" s="911"/>
      <c r="PUC4094" s="911"/>
      <c r="PUD4094" s="911"/>
      <c r="PUE4094" s="911"/>
      <c r="PUF4094" s="911"/>
      <c r="PUG4094" s="32"/>
      <c r="PUH4094" s="911" t="s">
        <v>74</v>
      </c>
      <c r="PUI4094" s="911"/>
      <c r="PUJ4094" s="911"/>
      <c r="PUK4094" s="911"/>
      <c r="PUL4094" s="911"/>
      <c r="PUM4094" s="911"/>
      <c r="PUN4094" s="911"/>
      <c r="PUO4094" s="911"/>
      <c r="PUP4094" s="911"/>
      <c r="PUQ4094" s="912"/>
      <c r="PUS4094" s="913" t="s">
        <v>1</v>
      </c>
      <c r="PUT4094" s="31"/>
      <c r="PUU4094" s="909" t="s">
        <v>0</v>
      </c>
      <c r="PUV4094" s="909"/>
      <c r="PUW4094" s="909"/>
      <c r="PUX4094" s="909"/>
      <c r="PUY4094" s="909"/>
      <c r="PUZ4094" s="909"/>
      <c r="PVA4094" s="907" t="s">
        <v>79</v>
      </c>
      <c r="PVB4094" s="909" t="s">
        <v>68</v>
      </c>
      <c r="PVC4094" s="910" t="s">
        <v>75</v>
      </c>
      <c r="PVD4094" s="911"/>
      <c r="PVE4094" s="911"/>
      <c r="PVF4094" s="911"/>
      <c r="PVG4094" s="911"/>
      <c r="PVH4094" s="911"/>
      <c r="PVI4094" s="911"/>
      <c r="PVJ4094" s="911"/>
      <c r="PVK4094" s="911"/>
      <c r="PVL4094" s="911"/>
      <c r="PVM4094" s="32"/>
      <c r="PVN4094" s="911" t="s">
        <v>74</v>
      </c>
      <c r="PVO4094" s="911"/>
      <c r="PVP4094" s="911"/>
      <c r="PVQ4094" s="911"/>
      <c r="PVR4094" s="911"/>
      <c r="PVS4094" s="911"/>
      <c r="PVT4094" s="911"/>
      <c r="PVU4094" s="911"/>
      <c r="PVV4094" s="911"/>
      <c r="PVW4094" s="912"/>
      <c r="PVY4094" s="913" t="s">
        <v>1</v>
      </c>
      <c r="PVZ4094" s="31"/>
      <c r="PWA4094" s="909" t="s">
        <v>0</v>
      </c>
      <c r="PWB4094" s="909"/>
      <c r="PWC4094" s="909"/>
      <c r="PWD4094" s="909"/>
      <c r="PWE4094" s="909"/>
      <c r="PWF4094" s="909"/>
      <c r="PWG4094" s="907" t="s">
        <v>79</v>
      </c>
      <c r="PWH4094" s="909" t="s">
        <v>68</v>
      </c>
      <c r="PWI4094" s="910" t="s">
        <v>75</v>
      </c>
      <c r="PWJ4094" s="911"/>
      <c r="PWK4094" s="911"/>
      <c r="PWL4094" s="911"/>
      <c r="PWM4094" s="911"/>
      <c r="PWN4094" s="911"/>
      <c r="PWO4094" s="911"/>
      <c r="PWP4094" s="911"/>
      <c r="PWQ4094" s="911"/>
      <c r="PWR4094" s="911"/>
      <c r="PWS4094" s="32"/>
      <c r="PWT4094" s="911" t="s">
        <v>74</v>
      </c>
      <c r="PWU4094" s="911"/>
      <c r="PWV4094" s="911"/>
      <c r="PWW4094" s="911"/>
      <c r="PWX4094" s="911"/>
      <c r="PWY4094" s="911"/>
      <c r="PWZ4094" s="911"/>
      <c r="PXA4094" s="911"/>
      <c r="PXB4094" s="911"/>
      <c r="PXC4094" s="912"/>
      <c r="PXE4094" s="913" t="s">
        <v>1</v>
      </c>
      <c r="PXF4094" s="31"/>
      <c r="PXG4094" s="909" t="s">
        <v>0</v>
      </c>
      <c r="PXH4094" s="909"/>
      <c r="PXI4094" s="909"/>
      <c r="PXJ4094" s="909"/>
      <c r="PXK4094" s="909"/>
      <c r="PXL4094" s="909"/>
      <c r="PXM4094" s="907" t="s">
        <v>79</v>
      </c>
      <c r="PXN4094" s="909" t="s">
        <v>68</v>
      </c>
      <c r="PXO4094" s="910" t="s">
        <v>75</v>
      </c>
      <c r="PXP4094" s="911"/>
      <c r="PXQ4094" s="911"/>
      <c r="PXR4094" s="911"/>
      <c r="PXS4094" s="911"/>
      <c r="PXT4094" s="911"/>
      <c r="PXU4094" s="911"/>
      <c r="PXV4094" s="911"/>
      <c r="PXW4094" s="911"/>
      <c r="PXX4094" s="911"/>
      <c r="PXY4094" s="32"/>
      <c r="PXZ4094" s="911" t="s">
        <v>74</v>
      </c>
      <c r="PYA4094" s="911"/>
      <c r="PYB4094" s="911"/>
      <c r="PYC4094" s="911"/>
      <c r="PYD4094" s="911"/>
      <c r="PYE4094" s="911"/>
      <c r="PYF4094" s="911"/>
      <c r="PYG4094" s="911"/>
      <c r="PYH4094" s="911"/>
      <c r="PYI4094" s="912"/>
      <c r="PYK4094" s="913" t="s">
        <v>1</v>
      </c>
      <c r="PYL4094" s="31"/>
      <c r="PYM4094" s="909" t="s">
        <v>0</v>
      </c>
      <c r="PYN4094" s="909"/>
      <c r="PYO4094" s="909"/>
      <c r="PYP4094" s="909"/>
      <c r="PYQ4094" s="909"/>
      <c r="PYR4094" s="909"/>
      <c r="PYS4094" s="907" t="s">
        <v>79</v>
      </c>
      <c r="PYT4094" s="909" t="s">
        <v>68</v>
      </c>
      <c r="PYU4094" s="910" t="s">
        <v>75</v>
      </c>
      <c r="PYV4094" s="911"/>
      <c r="PYW4094" s="911"/>
      <c r="PYX4094" s="911"/>
      <c r="PYY4094" s="911"/>
      <c r="PYZ4094" s="911"/>
      <c r="PZA4094" s="911"/>
      <c r="PZB4094" s="911"/>
      <c r="PZC4094" s="911"/>
      <c r="PZD4094" s="911"/>
      <c r="PZE4094" s="32"/>
      <c r="PZF4094" s="911" t="s">
        <v>74</v>
      </c>
      <c r="PZG4094" s="911"/>
      <c r="PZH4094" s="911"/>
      <c r="PZI4094" s="911"/>
      <c r="PZJ4094" s="911"/>
      <c r="PZK4094" s="911"/>
      <c r="PZL4094" s="911"/>
      <c r="PZM4094" s="911"/>
      <c r="PZN4094" s="911"/>
      <c r="PZO4094" s="912"/>
      <c r="PZQ4094" s="913" t="s">
        <v>1</v>
      </c>
      <c r="PZR4094" s="31"/>
      <c r="PZS4094" s="909" t="s">
        <v>0</v>
      </c>
      <c r="PZT4094" s="909"/>
      <c r="PZU4094" s="909"/>
      <c r="PZV4094" s="909"/>
      <c r="PZW4094" s="909"/>
      <c r="PZX4094" s="909"/>
      <c r="PZY4094" s="907" t="s">
        <v>79</v>
      </c>
      <c r="PZZ4094" s="909" t="s">
        <v>68</v>
      </c>
      <c r="QAA4094" s="910" t="s">
        <v>75</v>
      </c>
      <c r="QAB4094" s="911"/>
      <c r="QAC4094" s="911"/>
      <c r="QAD4094" s="911"/>
      <c r="QAE4094" s="911"/>
      <c r="QAF4094" s="911"/>
      <c r="QAG4094" s="911"/>
      <c r="QAH4094" s="911"/>
      <c r="QAI4094" s="911"/>
      <c r="QAJ4094" s="911"/>
      <c r="QAK4094" s="32"/>
      <c r="QAL4094" s="911" t="s">
        <v>74</v>
      </c>
      <c r="QAM4094" s="911"/>
      <c r="QAN4094" s="911"/>
      <c r="QAO4094" s="911"/>
      <c r="QAP4094" s="911"/>
      <c r="QAQ4094" s="911"/>
      <c r="QAR4094" s="911"/>
      <c r="QAS4094" s="911"/>
      <c r="QAT4094" s="911"/>
      <c r="QAU4094" s="912"/>
      <c r="QAW4094" s="913" t="s">
        <v>1</v>
      </c>
      <c r="QAX4094" s="31"/>
      <c r="QAY4094" s="909" t="s">
        <v>0</v>
      </c>
      <c r="QAZ4094" s="909"/>
      <c r="QBA4094" s="909"/>
      <c r="QBB4094" s="909"/>
      <c r="QBC4094" s="909"/>
      <c r="QBD4094" s="909"/>
      <c r="QBE4094" s="907" t="s">
        <v>79</v>
      </c>
      <c r="QBF4094" s="909" t="s">
        <v>68</v>
      </c>
      <c r="QBG4094" s="910" t="s">
        <v>75</v>
      </c>
      <c r="QBH4094" s="911"/>
      <c r="QBI4094" s="911"/>
      <c r="QBJ4094" s="911"/>
      <c r="QBK4094" s="911"/>
      <c r="QBL4094" s="911"/>
      <c r="QBM4094" s="911"/>
      <c r="QBN4094" s="911"/>
      <c r="QBO4094" s="911"/>
      <c r="QBP4094" s="911"/>
      <c r="QBQ4094" s="32"/>
      <c r="QBR4094" s="911" t="s">
        <v>74</v>
      </c>
      <c r="QBS4094" s="911"/>
      <c r="QBT4094" s="911"/>
      <c r="QBU4094" s="911"/>
      <c r="QBV4094" s="911"/>
      <c r="QBW4094" s="911"/>
      <c r="QBX4094" s="911"/>
      <c r="QBY4094" s="911"/>
      <c r="QBZ4094" s="911"/>
      <c r="QCA4094" s="912"/>
      <c r="QCC4094" s="913" t="s">
        <v>1</v>
      </c>
      <c r="QCD4094" s="31"/>
      <c r="QCE4094" s="909" t="s">
        <v>0</v>
      </c>
      <c r="QCF4094" s="909"/>
      <c r="QCG4094" s="909"/>
      <c r="QCH4094" s="909"/>
      <c r="QCI4094" s="909"/>
      <c r="QCJ4094" s="909"/>
      <c r="QCK4094" s="907" t="s">
        <v>79</v>
      </c>
      <c r="QCL4094" s="909" t="s">
        <v>68</v>
      </c>
      <c r="QCM4094" s="910" t="s">
        <v>75</v>
      </c>
      <c r="QCN4094" s="911"/>
      <c r="QCO4094" s="911"/>
      <c r="QCP4094" s="911"/>
      <c r="QCQ4094" s="911"/>
      <c r="QCR4094" s="911"/>
      <c r="QCS4094" s="911"/>
      <c r="QCT4094" s="911"/>
      <c r="QCU4094" s="911"/>
      <c r="QCV4094" s="911"/>
      <c r="QCW4094" s="32"/>
      <c r="QCX4094" s="911" t="s">
        <v>74</v>
      </c>
      <c r="QCY4094" s="911"/>
      <c r="QCZ4094" s="911"/>
      <c r="QDA4094" s="911"/>
      <c r="QDB4094" s="911"/>
      <c r="QDC4094" s="911"/>
      <c r="QDD4094" s="911"/>
      <c r="QDE4094" s="911"/>
      <c r="QDF4094" s="911"/>
      <c r="QDG4094" s="912"/>
      <c r="QDI4094" s="913" t="s">
        <v>1</v>
      </c>
      <c r="QDJ4094" s="31"/>
      <c r="QDK4094" s="909" t="s">
        <v>0</v>
      </c>
      <c r="QDL4094" s="909"/>
      <c r="QDM4094" s="909"/>
      <c r="QDN4094" s="909"/>
      <c r="QDO4094" s="909"/>
      <c r="QDP4094" s="909"/>
      <c r="QDQ4094" s="907" t="s">
        <v>79</v>
      </c>
      <c r="QDR4094" s="909" t="s">
        <v>68</v>
      </c>
      <c r="QDS4094" s="910" t="s">
        <v>75</v>
      </c>
      <c r="QDT4094" s="911"/>
      <c r="QDU4094" s="911"/>
      <c r="QDV4094" s="911"/>
      <c r="QDW4094" s="911"/>
      <c r="QDX4094" s="911"/>
      <c r="QDY4094" s="911"/>
      <c r="QDZ4094" s="911"/>
      <c r="QEA4094" s="911"/>
      <c r="QEB4094" s="911"/>
      <c r="QEC4094" s="32"/>
      <c r="QED4094" s="911" t="s">
        <v>74</v>
      </c>
      <c r="QEE4094" s="911"/>
      <c r="QEF4094" s="911"/>
      <c r="QEG4094" s="911"/>
      <c r="QEH4094" s="911"/>
      <c r="QEI4094" s="911"/>
      <c r="QEJ4094" s="911"/>
      <c r="QEK4094" s="911"/>
      <c r="QEL4094" s="911"/>
      <c r="QEM4094" s="912"/>
      <c r="QEO4094" s="913" t="s">
        <v>1</v>
      </c>
      <c r="QEP4094" s="31"/>
      <c r="QEQ4094" s="909" t="s">
        <v>0</v>
      </c>
      <c r="QER4094" s="909"/>
      <c r="QES4094" s="909"/>
      <c r="QET4094" s="909"/>
      <c r="QEU4094" s="909"/>
      <c r="QEV4094" s="909"/>
      <c r="QEW4094" s="907" t="s">
        <v>79</v>
      </c>
      <c r="QEX4094" s="909" t="s">
        <v>68</v>
      </c>
      <c r="QEY4094" s="910" t="s">
        <v>75</v>
      </c>
      <c r="QEZ4094" s="911"/>
      <c r="QFA4094" s="911"/>
      <c r="QFB4094" s="911"/>
      <c r="QFC4094" s="911"/>
      <c r="QFD4094" s="911"/>
      <c r="QFE4094" s="911"/>
      <c r="QFF4094" s="911"/>
      <c r="QFG4094" s="911"/>
      <c r="QFH4094" s="911"/>
      <c r="QFI4094" s="32"/>
      <c r="QFJ4094" s="911" t="s">
        <v>74</v>
      </c>
      <c r="QFK4094" s="911"/>
      <c r="QFL4094" s="911"/>
      <c r="QFM4094" s="911"/>
      <c r="QFN4094" s="911"/>
      <c r="QFO4094" s="911"/>
      <c r="QFP4094" s="911"/>
      <c r="QFQ4094" s="911"/>
      <c r="QFR4094" s="911"/>
      <c r="QFS4094" s="912"/>
      <c r="QFU4094" s="913" t="s">
        <v>1</v>
      </c>
      <c r="QFV4094" s="31"/>
      <c r="QFW4094" s="909" t="s">
        <v>0</v>
      </c>
      <c r="QFX4094" s="909"/>
      <c r="QFY4094" s="909"/>
      <c r="QFZ4094" s="909"/>
      <c r="QGA4094" s="909"/>
      <c r="QGB4094" s="909"/>
      <c r="QGC4094" s="907" t="s">
        <v>79</v>
      </c>
      <c r="QGD4094" s="909" t="s">
        <v>68</v>
      </c>
      <c r="QGE4094" s="910" t="s">
        <v>75</v>
      </c>
      <c r="QGF4094" s="911"/>
      <c r="QGG4094" s="911"/>
      <c r="QGH4094" s="911"/>
      <c r="QGI4094" s="911"/>
      <c r="QGJ4094" s="911"/>
      <c r="QGK4094" s="911"/>
      <c r="QGL4094" s="911"/>
      <c r="QGM4094" s="911"/>
      <c r="QGN4094" s="911"/>
      <c r="QGO4094" s="32"/>
      <c r="QGP4094" s="911" t="s">
        <v>74</v>
      </c>
      <c r="QGQ4094" s="911"/>
      <c r="QGR4094" s="911"/>
      <c r="QGS4094" s="911"/>
      <c r="QGT4094" s="911"/>
      <c r="QGU4094" s="911"/>
      <c r="QGV4094" s="911"/>
      <c r="QGW4094" s="911"/>
      <c r="QGX4094" s="911"/>
      <c r="QGY4094" s="912"/>
      <c r="QHA4094" s="913" t="s">
        <v>1</v>
      </c>
      <c r="QHB4094" s="31"/>
      <c r="QHC4094" s="909" t="s">
        <v>0</v>
      </c>
      <c r="QHD4094" s="909"/>
      <c r="QHE4094" s="909"/>
      <c r="QHF4094" s="909"/>
      <c r="QHG4094" s="909"/>
      <c r="QHH4094" s="909"/>
      <c r="QHI4094" s="907" t="s">
        <v>79</v>
      </c>
      <c r="QHJ4094" s="909" t="s">
        <v>68</v>
      </c>
      <c r="QHK4094" s="910" t="s">
        <v>75</v>
      </c>
      <c r="QHL4094" s="911"/>
      <c r="QHM4094" s="911"/>
      <c r="QHN4094" s="911"/>
      <c r="QHO4094" s="911"/>
      <c r="QHP4094" s="911"/>
      <c r="QHQ4094" s="911"/>
      <c r="QHR4094" s="911"/>
      <c r="QHS4094" s="911"/>
      <c r="QHT4094" s="911"/>
      <c r="QHU4094" s="32"/>
      <c r="QHV4094" s="911" t="s">
        <v>74</v>
      </c>
      <c r="QHW4094" s="911"/>
      <c r="QHX4094" s="911"/>
      <c r="QHY4094" s="911"/>
      <c r="QHZ4094" s="911"/>
      <c r="QIA4094" s="911"/>
      <c r="QIB4094" s="911"/>
      <c r="QIC4094" s="911"/>
      <c r="QID4094" s="911"/>
      <c r="QIE4094" s="912"/>
      <c r="QIG4094" s="913" t="s">
        <v>1</v>
      </c>
      <c r="QIH4094" s="31"/>
      <c r="QII4094" s="909" t="s">
        <v>0</v>
      </c>
      <c r="QIJ4094" s="909"/>
      <c r="QIK4094" s="909"/>
      <c r="QIL4094" s="909"/>
      <c r="QIM4094" s="909"/>
      <c r="QIN4094" s="909"/>
      <c r="QIO4094" s="907" t="s">
        <v>79</v>
      </c>
      <c r="QIP4094" s="909" t="s">
        <v>68</v>
      </c>
      <c r="QIQ4094" s="910" t="s">
        <v>75</v>
      </c>
      <c r="QIR4094" s="911"/>
      <c r="QIS4094" s="911"/>
      <c r="QIT4094" s="911"/>
      <c r="QIU4094" s="911"/>
      <c r="QIV4094" s="911"/>
      <c r="QIW4094" s="911"/>
      <c r="QIX4094" s="911"/>
      <c r="QIY4094" s="911"/>
      <c r="QIZ4094" s="911"/>
      <c r="QJA4094" s="32"/>
      <c r="QJB4094" s="911" t="s">
        <v>74</v>
      </c>
      <c r="QJC4094" s="911"/>
      <c r="QJD4094" s="911"/>
      <c r="QJE4094" s="911"/>
      <c r="QJF4094" s="911"/>
      <c r="QJG4094" s="911"/>
      <c r="QJH4094" s="911"/>
      <c r="QJI4094" s="911"/>
      <c r="QJJ4094" s="911"/>
      <c r="QJK4094" s="912"/>
      <c r="QJM4094" s="913" t="s">
        <v>1</v>
      </c>
      <c r="QJN4094" s="31"/>
      <c r="QJO4094" s="909" t="s">
        <v>0</v>
      </c>
      <c r="QJP4094" s="909"/>
      <c r="QJQ4094" s="909"/>
      <c r="QJR4094" s="909"/>
      <c r="QJS4094" s="909"/>
      <c r="QJT4094" s="909"/>
      <c r="QJU4094" s="907" t="s">
        <v>79</v>
      </c>
      <c r="QJV4094" s="909" t="s">
        <v>68</v>
      </c>
      <c r="QJW4094" s="910" t="s">
        <v>75</v>
      </c>
      <c r="QJX4094" s="911"/>
      <c r="QJY4094" s="911"/>
      <c r="QJZ4094" s="911"/>
      <c r="QKA4094" s="911"/>
      <c r="QKB4094" s="911"/>
      <c r="QKC4094" s="911"/>
      <c r="QKD4094" s="911"/>
      <c r="QKE4094" s="911"/>
      <c r="QKF4094" s="911"/>
      <c r="QKG4094" s="32"/>
      <c r="QKH4094" s="911" t="s">
        <v>74</v>
      </c>
      <c r="QKI4094" s="911"/>
      <c r="QKJ4094" s="911"/>
      <c r="QKK4094" s="911"/>
      <c r="QKL4094" s="911"/>
      <c r="QKM4094" s="911"/>
      <c r="QKN4094" s="911"/>
      <c r="QKO4094" s="911"/>
      <c r="QKP4094" s="911"/>
      <c r="QKQ4094" s="912"/>
      <c r="QKS4094" s="913" t="s">
        <v>1</v>
      </c>
      <c r="QKT4094" s="31"/>
      <c r="QKU4094" s="909" t="s">
        <v>0</v>
      </c>
      <c r="QKV4094" s="909"/>
      <c r="QKW4094" s="909"/>
      <c r="QKX4094" s="909"/>
      <c r="QKY4094" s="909"/>
      <c r="QKZ4094" s="909"/>
      <c r="QLA4094" s="907" t="s">
        <v>79</v>
      </c>
      <c r="QLB4094" s="909" t="s">
        <v>68</v>
      </c>
      <c r="QLC4094" s="910" t="s">
        <v>75</v>
      </c>
      <c r="QLD4094" s="911"/>
      <c r="QLE4094" s="911"/>
      <c r="QLF4094" s="911"/>
      <c r="QLG4094" s="911"/>
      <c r="QLH4094" s="911"/>
      <c r="QLI4094" s="911"/>
      <c r="QLJ4094" s="911"/>
      <c r="QLK4094" s="911"/>
      <c r="QLL4094" s="911"/>
      <c r="QLM4094" s="32"/>
      <c r="QLN4094" s="911" t="s">
        <v>74</v>
      </c>
      <c r="QLO4094" s="911"/>
      <c r="QLP4094" s="911"/>
      <c r="QLQ4094" s="911"/>
      <c r="QLR4094" s="911"/>
      <c r="QLS4094" s="911"/>
      <c r="QLT4094" s="911"/>
      <c r="QLU4094" s="911"/>
      <c r="QLV4094" s="911"/>
      <c r="QLW4094" s="912"/>
      <c r="QLY4094" s="913" t="s">
        <v>1</v>
      </c>
      <c r="QLZ4094" s="31"/>
      <c r="QMA4094" s="909" t="s">
        <v>0</v>
      </c>
      <c r="QMB4094" s="909"/>
      <c r="QMC4094" s="909"/>
      <c r="QMD4094" s="909"/>
      <c r="QME4094" s="909"/>
      <c r="QMF4094" s="909"/>
      <c r="QMG4094" s="907" t="s">
        <v>79</v>
      </c>
      <c r="QMH4094" s="909" t="s">
        <v>68</v>
      </c>
      <c r="QMI4094" s="910" t="s">
        <v>75</v>
      </c>
      <c r="QMJ4094" s="911"/>
      <c r="QMK4094" s="911"/>
      <c r="QML4094" s="911"/>
      <c r="QMM4094" s="911"/>
      <c r="QMN4094" s="911"/>
      <c r="QMO4094" s="911"/>
      <c r="QMP4094" s="911"/>
      <c r="QMQ4094" s="911"/>
      <c r="QMR4094" s="911"/>
      <c r="QMS4094" s="32"/>
      <c r="QMT4094" s="911" t="s">
        <v>74</v>
      </c>
      <c r="QMU4094" s="911"/>
      <c r="QMV4094" s="911"/>
      <c r="QMW4094" s="911"/>
      <c r="QMX4094" s="911"/>
      <c r="QMY4094" s="911"/>
      <c r="QMZ4094" s="911"/>
      <c r="QNA4094" s="911"/>
      <c r="QNB4094" s="911"/>
      <c r="QNC4094" s="912"/>
      <c r="QNE4094" s="913" t="s">
        <v>1</v>
      </c>
      <c r="QNF4094" s="31"/>
      <c r="QNG4094" s="909" t="s">
        <v>0</v>
      </c>
      <c r="QNH4094" s="909"/>
      <c r="QNI4094" s="909"/>
      <c r="QNJ4094" s="909"/>
      <c r="QNK4094" s="909"/>
      <c r="QNL4094" s="909"/>
      <c r="QNM4094" s="907" t="s">
        <v>79</v>
      </c>
      <c r="QNN4094" s="909" t="s">
        <v>68</v>
      </c>
      <c r="QNO4094" s="910" t="s">
        <v>75</v>
      </c>
      <c r="QNP4094" s="911"/>
      <c r="QNQ4094" s="911"/>
      <c r="QNR4094" s="911"/>
      <c r="QNS4094" s="911"/>
      <c r="QNT4094" s="911"/>
      <c r="QNU4094" s="911"/>
      <c r="QNV4094" s="911"/>
      <c r="QNW4094" s="911"/>
      <c r="QNX4094" s="911"/>
      <c r="QNY4094" s="32"/>
      <c r="QNZ4094" s="911" t="s">
        <v>74</v>
      </c>
      <c r="QOA4094" s="911"/>
      <c r="QOB4094" s="911"/>
      <c r="QOC4094" s="911"/>
      <c r="QOD4094" s="911"/>
      <c r="QOE4094" s="911"/>
      <c r="QOF4094" s="911"/>
      <c r="QOG4094" s="911"/>
      <c r="QOH4094" s="911"/>
      <c r="QOI4094" s="912"/>
      <c r="QOK4094" s="913" t="s">
        <v>1</v>
      </c>
      <c r="QOL4094" s="31"/>
      <c r="QOM4094" s="909" t="s">
        <v>0</v>
      </c>
      <c r="QON4094" s="909"/>
      <c r="QOO4094" s="909"/>
      <c r="QOP4094" s="909"/>
      <c r="QOQ4094" s="909"/>
      <c r="QOR4094" s="909"/>
      <c r="QOS4094" s="907" t="s">
        <v>79</v>
      </c>
      <c r="QOT4094" s="909" t="s">
        <v>68</v>
      </c>
      <c r="QOU4094" s="910" t="s">
        <v>75</v>
      </c>
      <c r="QOV4094" s="911"/>
      <c r="QOW4094" s="911"/>
      <c r="QOX4094" s="911"/>
      <c r="QOY4094" s="911"/>
      <c r="QOZ4094" s="911"/>
      <c r="QPA4094" s="911"/>
      <c r="QPB4094" s="911"/>
      <c r="QPC4094" s="911"/>
      <c r="QPD4094" s="911"/>
      <c r="QPE4094" s="32"/>
      <c r="QPF4094" s="911" t="s">
        <v>74</v>
      </c>
      <c r="QPG4094" s="911"/>
      <c r="QPH4094" s="911"/>
      <c r="QPI4094" s="911"/>
      <c r="QPJ4094" s="911"/>
      <c r="QPK4094" s="911"/>
      <c r="QPL4094" s="911"/>
      <c r="QPM4094" s="911"/>
      <c r="QPN4094" s="911"/>
      <c r="QPO4094" s="912"/>
      <c r="QPQ4094" s="913" t="s">
        <v>1</v>
      </c>
      <c r="QPR4094" s="31"/>
      <c r="QPS4094" s="909" t="s">
        <v>0</v>
      </c>
      <c r="QPT4094" s="909"/>
      <c r="QPU4094" s="909"/>
      <c r="QPV4094" s="909"/>
      <c r="QPW4094" s="909"/>
      <c r="QPX4094" s="909"/>
      <c r="QPY4094" s="907" t="s">
        <v>79</v>
      </c>
      <c r="QPZ4094" s="909" t="s">
        <v>68</v>
      </c>
      <c r="QQA4094" s="910" t="s">
        <v>75</v>
      </c>
      <c r="QQB4094" s="911"/>
      <c r="QQC4094" s="911"/>
      <c r="QQD4094" s="911"/>
      <c r="QQE4094" s="911"/>
      <c r="QQF4094" s="911"/>
      <c r="QQG4094" s="911"/>
      <c r="QQH4094" s="911"/>
      <c r="QQI4094" s="911"/>
      <c r="QQJ4094" s="911"/>
      <c r="QQK4094" s="32"/>
      <c r="QQL4094" s="911" t="s">
        <v>74</v>
      </c>
      <c r="QQM4094" s="911"/>
      <c r="QQN4094" s="911"/>
      <c r="QQO4094" s="911"/>
      <c r="QQP4094" s="911"/>
      <c r="QQQ4094" s="911"/>
      <c r="QQR4094" s="911"/>
      <c r="QQS4094" s="911"/>
      <c r="QQT4094" s="911"/>
      <c r="QQU4094" s="912"/>
      <c r="QQW4094" s="913" t="s">
        <v>1</v>
      </c>
      <c r="QQX4094" s="31"/>
      <c r="QQY4094" s="909" t="s">
        <v>0</v>
      </c>
      <c r="QQZ4094" s="909"/>
      <c r="QRA4094" s="909"/>
      <c r="QRB4094" s="909"/>
      <c r="QRC4094" s="909"/>
      <c r="QRD4094" s="909"/>
      <c r="QRE4094" s="907" t="s">
        <v>79</v>
      </c>
      <c r="QRF4094" s="909" t="s">
        <v>68</v>
      </c>
      <c r="QRG4094" s="910" t="s">
        <v>75</v>
      </c>
      <c r="QRH4094" s="911"/>
      <c r="QRI4094" s="911"/>
      <c r="QRJ4094" s="911"/>
      <c r="QRK4094" s="911"/>
      <c r="QRL4094" s="911"/>
      <c r="QRM4094" s="911"/>
      <c r="QRN4094" s="911"/>
      <c r="QRO4094" s="911"/>
      <c r="QRP4094" s="911"/>
      <c r="QRQ4094" s="32"/>
      <c r="QRR4094" s="911" t="s">
        <v>74</v>
      </c>
      <c r="QRS4094" s="911"/>
      <c r="QRT4094" s="911"/>
      <c r="QRU4094" s="911"/>
      <c r="QRV4094" s="911"/>
      <c r="QRW4094" s="911"/>
      <c r="QRX4094" s="911"/>
      <c r="QRY4094" s="911"/>
      <c r="QRZ4094" s="911"/>
      <c r="QSA4094" s="912"/>
      <c r="QSC4094" s="913" t="s">
        <v>1</v>
      </c>
      <c r="QSD4094" s="31"/>
      <c r="QSE4094" s="909" t="s">
        <v>0</v>
      </c>
      <c r="QSF4094" s="909"/>
      <c r="QSG4094" s="909"/>
      <c r="QSH4094" s="909"/>
      <c r="QSI4094" s="909"/>
      <c r="QSJ4094" s="909"/>
      <c r="QSK4094" s="907" t="s">
        <v>79</v>
      </c>
      <c r="QSL4094" s="909" t="s">
        <v>68</v>
      </c>
      <c r="QSM4094" s="910" t="s">
        <v>75</v>
      </c>
      <c r="QSN4094" s="911"/>
      <c r="QSO4094" s="911"/>
      <c r="QSP4094" s="911"/>
      <c r="QSQ4094" s="911"/>
      <c r="QSR4094" s="911"/>
      <c r="QSS4094" s="911"/>
      <c r="QST4094" s="911"/>
      <c r="QSU4094" s="911"/>
      <c r="QSV4094" s="911"/>
      <c r="QSW4094" s="32"/>
      <c r="QSX4094" s="911" t="s">
        <v>74</v>
      </c>
      <c r="QSY4094" s="911"/>
      <c r="QSZ4094" s="911"/>
      <c r="QTA4094" s="911"/>
      <c r="QTB4094" s="911"/>
      <c r="QTC4094" s="911"/>
      <c r="QTD4094" s="911"/>
      <c r="QTE4094" s="911"/>
      <c r="QTF4094" s="911"/>
      <c r="QTG4094" s="912"/>
      <c r="QTI4094" s="913" t="s">
        <v>1</v>
      </c>
      <c r="QTJ4094" s="31"/>
      <c r="QTK4094" s="909" t="s">
        <v>0</v>
      </c>
      <c r="QTL4094" s="909"/>
      <c r="QTM4094" s="909"/>
      <c r="QTN4094" s="909"/>
      <c r="QTO4094" s="909"/>
      <c r="QTP4094" s="909"/>
      <c r="QTQ4094" s="907" t="s">
        <v>79</v>
      </c>
      <c r="QTR4094" s="909" t="s">
        <v>68</v>
      </c>
      <c r="QTS4094" s="910" t="s">
        <v>75</v>
      </c>
      <c r="QTT4094" s="911"/>
      <c r="QTU4094" s="911"/>
      <c r="QTV4094" s="911"/>
      <c r="QTW4094" s="911"/>
      <c r="QTX4094" s="911"/>
      <c r="QTY4094" s="911"/>
      <c r="QTZ4094" s="911"/>
      <c r="QUA4094" s="911"/>
      <c r="QUB4094" s="911"/>
      <c r="QUC4094" s="32"/>
      <c r="QUD4094" s="911" t="s">
        <v>74</v>
      </c>
      <c r="QUE4094" s="911"/>
      <c r="QUF4094" s="911"/>
      <c r="QUG4094" s="911"/>
      <c r="QUH4094" s="911"/>
      <c r="QUI4094" s="911"/>
      <c r="QUJ4094" s="911"/>
      <c r="QUK4094" s="911"/>
      <c r="QUL4094" s="911"/>
      <c r="QUM4094" s="912"/>
      <c r="QUO4094" s="913" t="s">
        <v>1</v>
      </c>
      <c r="QUP4094" s="31"/>
      <c r="QUQ4094" s="909" t="s">
        <v>0</v>
      </c>
      <c r="QUR4094" s="909"/>
      <c r="QUS4094" s="909"/>
      <c r="QUT4094" s="909"/>
      <c r="QUU4094" s="909"/>
      <c r="QUV4094" s="909"/>
      <c r="QUW4094" s="907" t="s">
        <v>79</v>
      </c>
      <c r="QUX4094" s="909" t="s">
        <v>68</v>
      </c>
      <c r="QUY4094" s="910" t="s">
        <v>75</v>
      </c>
      <c r="QUZ4094" s="911"/>
      <c r="QVA4094" s="911"/>
      <c r="QVB4094" s="911"/>
      <c r="QVC4094" s="911"/>
      <c r="QVD4094" s="911"/>
      <c r="QVE4094" s="911"/>
      <c r="QVF4094" s="911"/>
      <c r="QVG4094" s="911"/>
      <c r="QVH4094" s="911"/>
      <c r="QVI4094" s="32"/>
      <c r="QVJ4094" s="911" t="s">
        <v>74</v>
      </c>
      <c r="QVK4094" s="911"/>
      <c r="QVL4094" s="911"/>
      <c r="QVM4094" s="911"/>
      <c r="QVN4094" s="911"/>
      <c r="QVO4094" s="911"/>
      <c r="QVP4094" s="911"/>
      <c r="QVQ4094" s="911"/>
      <c r="QVR4094" s="911"/>
      <c r="QVS4094" s="912"/>
      <c r="QVU4094" s="913" t="s">
        <v>1</v>
      </c>
      <c r="QVV4094" s="31"/>
      <c r="QVW4094" s="909" t="s">
        <v>0</v>
      </c>
      <c r="QVX4094" s="909"/>
      <c r="QVY4094" s="909"/>
      <c r="QVZ4094" s="909"/>
      <c r="QWA4094" s="909"/>
      <c r="QWB4094" s="909"/>
      <c r="QWC4094" s="907" t="s">
        <v>79</v>
      </c>
      <c r="QWD4094" s="909" t="s">
        <v>68</v>
      </c>
      <c r="QWE4094" s="910" t="s">
        <v>75</v>
      </c>
      <c r="QWF4094" s="911"/>
      <c r="QWG4094" s="911"/>
      <c r="QWH4094" s="911"/>
      <c r="QWI4094" s="911"/>
      <c r="QWJ4094" s="911"/>
      <c r="QWK4094" s="911"/>
      <c r="QWL4094" s="911"/>
      <c r="QWM4094" s="911"/>
      <c r="QWN4094" s="911"/>
      <c r="QWO4094" s="32"/>
      <c r="QWP4094" s="911" t="s">
        <v>74</v>
      </c>
      <c r="QWQ4094" s="911"/>
      <c r="QWR4094" s="911"/>
      <c r="QWS4094" s="911"/>
      <c r="QWT4094" s="911"/>
      <c r="QWU4094" s="911"/>
      <c r="QWV4094" s="911"/>
      <c r="QWW4094" s="911"/>
      <c r="QWX4094" s="911"/>
      <c r="QWY4094" s="912"/>
      <c r="QXA4094" s="913" t="s">
        <v>1</v>
      </c>
      <c r="QXB4094" s="31"/>
      <c r="QXC4094" s="909" t="s">
        <v>0</v>
      </c>
      <c r="QXD4094" s="909"/>
      <c r="QXE4094" s="909"/>
      <c r="QXF4094" s="909"/>
      <c r="QXG4094" s="909"/>
      <c r="QXH4094" s="909"/>
      <c r="QXI4094" s="907" t="s">
        <v>79</v>
      </c>
      <c r="QXJ4094" s="909" t="s">
        <v>68</v>
      </c>
      <c r="QXK4094" s="910" t="s">
        <v>75</v>
      </c>
      <c r="QXL4094" s="911"/>
      <c r="QXM4094" s="911"/>
      <c r="QXN4094" s="911"/>
      <c r="QXO4094" s="911"/>
      <c r="QXP4094" s="911"/>
      <c r="QXQ4094" s="911"/>
      <c r="QXR4094" s="911"/>
      <c r="QXS4094" s="911"/>
      <c r="QXT4094" s="911"/>
      <c r="QXU4094" s="32"/>
      <c r="QXV4094" s="911" t="s">
        <v>74</v>
      </c>
      <c r="QXW4094" s="911"/>
      <c r="QXX4094" s="911"/>
      <c r="QXY4094" s="911"/>
      <c r="QXZ4094" s="911"/>
      <c r="QYA4094" s="911"/>
      <c r="QYB4094" s="911"/>
      <c r="QYC4094" s="911"/>
      <c r="QYD4094" s="911"/>
      <c r="QYE4094" s="912"/>
      <c r="QYG4094" s="913" t="s">
        <v>1</v>
      </c>
      <c r="QYH4094" s="31"/>
      <c r="QYI4094" s="909" t="s">
        <v>0</v>
      </c>
      <c r="QYJ4094" s="909"/>
      <c r="QYK4094" s="909"/>
      <c r="QYL4094" s="909"/>
      <c r="QYM4094" s="909"/>
      <c r="QYN4094" s="909"/>
      <c r="QYO4094" s="907" t="s">
        <v>79</v>
      </c>
      <c r="QYP4094" s="909" t="s">
        <v>68</v>
      </c>
      <c r="QYQ4094" s="910" t="s">
        <v>75</v>
      </c>
      <c r="QYR4094" s="911"/>
      <c r="QYS4094" s="911"/>
      <c r="QYT4094" s="911"/>
      <c r="QYU4094" s="911"/>
      <c r="QYV4094" s="911"/>
      <c r="QYW4094" s="911"/>
      <c r="QYX4094" s="911"/>
      <c r="QYY4094" s="911"/>
      <c r="QYZ4094" s="911"/>
      <c r="QZA4094" s="32"/>
      <c r="QZB4094" s="911" t="s">
        <v>74</v>
      </c>
      <c r="QZC4094" s="911"/>
      <c r="QZD4094" s="911"/>
      <c r="QZE4094" s="911"/>
      <c r="QZF4094" s="911"/>
      <c r="QZG4094" s="911"/>
      <c r="QZH4094" s="911"/>
      <c r="QZI4094" s="911"/>
      <c r="QZJ4094" s="911"/>
      <c r="QZK4094" s="912"/>
      <c r="QZM4094" s="913" t="s">
        <v>1</v>
      </c>
      <c r="QZN4094" s="31"/>
      <c r="QZO4094" s="909" t="s">
        <v>0</v>
      </c>
      <c r="QZP4094" s="909"/>
      <c r="QZQ4094" s="909"/>
      <c r="QZR4094" s="909"/>
      <c r="QZS4094" s="909"/>
      <c r="QZT4094" s="909"/>
      <c r="QZU4094" s="907" t="s">
        <v>79</v>
      </c>
      <c r="QZV4094" s="909" t="s">
        <v>68</v>
      </c>
      <c r="QZW4094" s="910" t="s">
        <v>75</v>
      </c>
      <c r="QZX4094" s="911"/>
      <c r="QZY4094" s="911"/>
      <c r="QZZ4094" s="911"/>
      <c r="RAA4094" s="911"/>
      <c r="RAB4094" s="911"/>
      <c r="RAC4094" s="911"/>
      <c r="RAD4094" s="911"/>
      <c r="RAE4094" s="911"/>
      <c r="RAF4094" s="911"/>
      <c r="RAG4094" s="32"/>
      <c r="RAH4094" s="911" t="s">
        <v>74</v>
      </c>
      <c r="RAI4094" s="911"/>
      <c r="RAJ4094" s="911"/>
      <c r="RAK4094" s="911"/>
      <c r="RAL4094" s="911"/>
      <c r="RAM4094" s="911"/>
      <c r="RAN4094" s="911"/>
      <c r="RAO4094" s="911"/>
      <c r="RAP4094" s="911"/>
      <c r="RAQ4094" s="912"/>
      <c r="RAS4094" s="913" t="s">
        <v>1</v>
      </c>
      <c r="RAT4094" s="31"/>
      <c r="RAU4094" s="909" t="s">
        <v>0</v>
      </c>
      <c r="RAV4094" s="909"/>
      <c r="RAW4094" s="909"/>
      <c r="RAX4094" s="909"/>
      <c r="RAY4094" s="909"/>
      <c r="RAZ4094" s="909"/>
      <c r="RBA4094" s="907" t="s">
        <v>79</v>
      </c>
      <c r="RBB4094" s="909" t="s">
        <v>68</v>
      </c>
      <c r="RBC4094" s="910" t="s">
        <v>75</v>
      </c>
      <c r="RBD4094" s="911"/>
      <c r="RBE4094" s="911"/>
      <c r="RBF4094" s="911"/>
      <c r="RBG4094" s="911"/>
      <c r="RBH4094" s="911"/>
      <c r="RBI4094" s="911"/>
      <c r="RBJ4094" s="911"/>
      <c r="RBK4094" s="911"/>
      <c r="RBL4094" s="911"/>
      <c r="RBM4094" s="32"/>
      <c r="RBN4094" s="911" t="s">
        <v>74</v>
      </c>
      <c r="RBO4094" s="911"/>
      <c r="RBP4094" s="911"/>
      <c r="RBQ4094" s="911"/>
      <c r="RBR4094" s="911"/>
      <c r="RBS4094" s="911"/>
      <c r="RBT4094" s="911"/>
      <c r="RBU4094" s="911"/>
      <c r="RBV4094" s="911"/>
      <c r="RBW4094" s="912"/>
      <c r="RBY4094" s="913" t="s">
        <v>1</v>
      </c>
      <c r="RBZ4094" s="31"/>
      <c r="RCA4094" s="909" t="s">
        <v>0</v>
      </c>
      <c r="RCB4094" s="909"/>
      <c r="RCC4094" s="909"/>
      <c r="RCD4094" s="909"/>
      <c r="RCE4094" s="909"/>
      <c r="RCF4094" s="909"/>
      <c r="RCG4094" s="907" t="s">
        <v>79</v>
      </c>
      <c r="RCH4094" s="909" t="s">
        <v>68</v>
      </c>
      <c r="RCI4094" s="910" t="s">
        <v>75</v>
      </c>
      <c r="RCJ4094" s="911"/>
      <c r="RCK4094" s="911"/>
      <c r="RCL4094" s="911"/>
      <c r="RCM4094" s="911"/>
      <c r="RCN4094" s="911"/>
      <c r="RCO4094" s="911"/>
      <c r="RCP4094" s="911"/>
      <c r="RCQ4094" s="911"/>
      <c r="RCR4094" s="911"/>
      <c r="RCS4094" s="32"/>
      <c r="RCT4094" s="911" t="s">
        <v>74</v>
      </c>
      <c r="RCU4094" s="911"/>
      <c r="RCV4094" s="911"/>
      <c r="RCW4094" s="911"/>
      <c r="RCX4094" s="911"/>
      <c r="RCY4094" s="911"/>
      <c r="RCZ4094" s="911"/>
      <c r="RDA4094" s="911"/>
      <c r="RDB4094" s="911"/>
      <c r="RDC4094" s="912"/>
      <c r="RDE4094" s="913" t="s">
        <v>1</v>
      </c>
      <c r="RDF4094" s="31"/>
      <c r="RDG4094" s="909" t="s">
        <v>0</v>
      </c>
      <c r="RDH4094" s="909"/>
      <c r="RDI4094" s="909"/>
      <c r="RDJ4094" s="909"/>
      <c r="RDK4094" s="909"/>
      <c r="RDL4094" s="909"/>
      <c r="RDM4094" s="907" t="s">
        <v>79</v>
      </c>
      <c r="RDN4094" s="909" t="s">
        <v>68</v>
      </c>
      <c r="RDO4094" s="910" t="s">
        <v>75</v>
      </c>
      <c r="RDP4094" s="911"/>
      <c r="RDQ4094" s="911"/>
      <c r="RDR4094" s="911"/>
      <c r="RDS4094" s="911"/>
      <c r="RDT4094" s="911"/>
      <c r="RDU4094" s="911"/>
      <c r="RDV4094" s="911"/>
      <c r="RDW4094" s="911"/>
      <c r="RDX4094" s="911"/>
      <c r="RDY4094" s="32"/>
      <c r="RDZ4094" s="911" t="s">
        <v>74</v>
      </c>
      <c r="REA4094" s="911"/>
      <c r="REB4094" s="911"/>
      <c r="REC4094" s="911"/>
      <c r="RED4094" s="911"/>
      <c r="REE4094" s="911"/>
      <c r="REF4094" s="911"/>
      <c r="REG4094" s="911"/>
      <c r="REH4094" s="911"/>
      <c r="REI4094" s="912"/>
      <c r="REK4094" s="913" t="s">
        <v>1</v>
      </c>
      <c r="REL4094" s="31"/>
      <c r="REM4094" s="909" t="s">
        <v>0</v>
      </c>
      <c r="REN4094" s="909"/>
      <c r="REO4094" s="909"/>
      <c r="REP4094" s="909"/>
      <c r="REQ4094" s="909"/>
      <c r="RER4094" s="909"/>
      <c r="RES4094" s="907" t="s">
        <v>79</v>
      </c>
      <c r="RET4094" s="909" t="s">
        <v>68</v>
      </c>
      <c r="REU4094" s="910" t="s">
        <v>75</v>
      </c>
      <c r="REV4094" s="911"/>
      <c r="REW4094" s="911"/>
      <c r="REX4094" s="911"/>
      <c r="REY4094" s="911"/>
      <c r="REZ4094" s="911"/>
      <c r="RFA4094" s="911"/>
      <c r="RFB4094" s="911"/>
      <c r="RFC4094" s="911"/>
      <c r="RFD4094" s="911"/>
      <c r="RFE4094" s="32"/>
      <c r="RFF4094" s="911" t="s">
        <v>74</v>
      </c>
      <c r="RFG4094" s="911"/>
      <c r="RFH4094" s="911"/>
      <c r="RFI4094" s="911"/>
      <c r="RFJ4094" s="911"/>
      <c r="RFK4094" s="911"/>
      <c r="RFL4094" s="911"/>
      <c r="RFM4094" s="911"/>
      <c r="RFN4094" s="911"/>
      <c r="RFO4094" s="912"/>
      <c r="RFQ4094" s="913" t="s">
        <v>1</v>
      </c>
      <c r="RFR4094" s="31"/>
      <c r="RFS4094" s="909" t="s">
        <v>0</v>
      </c>
      <c r="RFT4094" s="909"/>
      <c r="RFU4094" s="909"/>
      <c r="RFV4094" s="909"/>
      <c r="RFW4094" s="909"/>
      <c r="RFX4094" s="909"/>
      <c r="RFY4094" s="907" t="s">
        <v>79</v>
      </c>
      <c r="RFZ4094" s="909" t="s">
        <v>68</v>
      </c>
      <c r="RGA4094" s="910" t="s">
        <v>75</v>
      </c>
      <c r="RGB4094" s="911"/>
      <c r="RGC4094" s="911"/>
      <c r="RGD4094" s="911"/>
      <c r="RGE4094" s="911"/>
      <c r="RGF4094" s="911"/>
      <c r="RGG4094" s="911"/>
      <c r="RGH4094" s="911"/>
      <c r="RGI4094" s="911"/>
      <c r="RGJ4094" s="911"/>
      <c r="RGK4094" s="32"/>
      <c r="RGL4094" s="911" t="s">
        <v>74</v>
      </c>
      <c r="RGM4094" s="911"/>
      <c r="RGN4094" s="911"/>
      <c r="RGO4094" s="911"/>
      <c r="RGP4094" s="911"/>
      <c r="RGQ4094" s="911"/>
      <c r="RGR4094" s="911"/>
      <c r="RGS4094" s="911"/>
      <c r="RGT4094" s="911"/>
      <c r="RGU4094" s="912"/>
      <c r="RGW4094" s="913" t="s">
        <v>1</v>
      </c>
      <c r="RGX4094" s="31"/>
      <c r="RGY4094" s="909" t="s">
        <v>0</v>
      </c>
      <c r="RGZ4094" s="909"/>
      <c r="RHA4094" s="909"/>
      <c r="RHB4094" s="909"/>
      <c r="RHC4094" s="909"/>
      <c r="RHD4094" s="909"/>
      <c r="RHE4094" s="907" t="s">
        <v>79</v>
      </c>
      <c r="RHF4094" s="909" t="s">
        <v>68</v>
      </c>
      <c r="RHG4094" s="910" t="s">
        <v>75</v>
      </c>
      <c r="RHH4094" s="911"/>
      <c r="RHI4094" s="911"/>
      <c r="RHJ4094" s="911"/>
      <c r="RHK4094" s="911"/>
      <c r="RHL4094" s="911"/>
      <c r="RHM4094" s="911"/>
      <c r="RHN4094" s="911"/>
      <c r="RHO4094" s="911"/>
      <c r="RHP4094" s="911"/>
      <c r="RHQ4094" s="32"/>
      <c r="RHR4094" s="911" t="s">
        <v>74</v>
      </c>
      <c r="RHS4094" s="911"/>
      <c r="RHT4094" s="911"/>
      <c r="RHU4094" s="911"/>
      <c r="RHV4094" s="911"/>
      <c r="RHW4094" s="911"/>
      <c r="RHX4094" s="911"/>
      <c r="RHY4094" s="911"/>
      <c r="RHZ4094" s="911"/>
      <c r="RIA4094" s="912"/>
      <c r="RIC4094" s="913" t="s">
        <v>1</v>
      </c>
      <c r="RID4094" s="31"/>
      <c r="RIE4094" s="909" t="s">
        <v>0</v>
      </c>
      <c r="RIF4094" s="909"/>
      <c r="RIG4094" s="909"/>
      <c r="RIH4094" s="909"/>
      <c r="RII4094" s="909"/>
      <c r="RIJ4094" s="909"/>
      <c r="RIK4094" s="907" t="s">
        <v>79</v>
      </c>
      <c r="RIL4094" s="909" t="s">
        <v>68</v>
      </c>
      <c r="RIM4094" s="910" t="s">
        <v>75</v>
      </c>
      <c r="RIN4094" s="911"/>
      <c r="RIO4094" s="911"/>
      <c r="RIP4094" s="911"/>
      <c r="RIQ4094" s="911"/>
      <c r="RIR4094" s="911"/>
      <c r="RIS4094" s="911"/>
      <c r="RIT4094" s="911"/>
      <c r="RIU4094" s="911"/>
      <c r="RIV4094" s="911"/>
      <c r="RIW4094" s="32"/>
      <c r="RIX4094" s="911" t="s">
        <v>74</v>
      </c>
      <c r="RIY4094" s="911"/>
      <c r="RIZ4094" s="911"/>
      <c r="RJA4094" s="911"/>
      <c r="RJB4094" s="911"/>
      <c r="RJC4094" s="911"/>
      <c r="RJD4094" s="911"/>
      <c r="RJE4094" s="911"/>
      <c r="RJF4094" s="911"/>
      <c r="RJG4094" s="912"/>
      <c r="RJI4094" s="913" t="s">
        <v>1</v>
      </c>
      <c r="RJJ4094" s="31"/>
      <c r="RJK4094" s="909" t="s">
        <v>0</v>
      </c>
      <c r="RJL4094" s="909"/>
      <c r="RJM4094" s="909"/>
      <c r="RJN4094" s="909"/>
      <c r="RJO4094" s="909"/>
      <c r="RJP4094" s="909"/>
      <c r="RJQ4094" s="907" t="s">
        <v>79</v>
      </c>
      <c r="RJR4094" s="909" t="s">
        <v>68</v>
      </c>
      <c r="RJS4094" s="910" t="s">
        <v>75</v>
      </c>
      <c r="RJT4094" s="911"/>
      <c r="RJU4094" s="911"/>
      <c r="RJV4094" s="911"/>
      <c r="RJW4094" s="911"/>
      <c r="RJX4094" s="911"/>
      <c r="RJY4094" s="911"/>
      <c r="RJZ4094" s="911"/>
      <c r="RKA4094" s="911"/>
      <c r="RKB4094" s="911"/>
      <c r="RKC4094" s="32"/>
      <c r="RKD4094" s="911" t="s">
        <v>74</v>
      </c>
      <c r="RKE4094" s="911"/>
      <c r="RKF4094" s="911"/>
      <c r="RKG4094" s="911"/>
      <c r="RKH4094" s="911"/>
      <c r="RKI4094" s="911"/>
      <c r="RKJ4094" s="911"/>
      <c r="RKK4094" s="911"/>
      <c r="RKL4094" s="911"/>
      <c r="RKM4094" s="912"/>
      <c r="RKO4094" s="913" t="s">
        <v>1</v>
      </c>
      <c r="RKP4094" s="31"/>
      <c r="RKQ4094" s="909" t="s">
        <v>0</v>
      </c>
      <c r="RKR4094" s="909"/>
      <c r="RKS4094" s="909"/>
      <c r="RKT4094" s="909"/>
      <c r="RKU4094" s="909"/>
      <c r="RKV4094" s="909"/>
      <c r="RKW4094" s="907" t="s">
        <v>79</v>
      </c>
      <c r="RKX4094" s="909" t="s">
        <v>68</v>
      </c>
      <c r="RKY4094" s="910" t="s">
        <v>75</v>
      </c>
      <c r="RKZ4094" s="911"/>
      <c r="RLA4094" s="911"/>
      <c r="RLB4094" s="911"/>
      <c r="RLC4094" s="911"/>
      <c r="RLD4094" s="911"/>
      <c r="RLE4094" s="911"/>
      <c r="RLF4094" s="911"/>
      <c r="RLG4094" s="911"/>
      <c r="RLH4094" s="911"/>
      <c r="RLI4094" s="32"/>
      <c r="RLJ4094" s="911" t="s">
        <v>74</v>
      </c>
      <c r="RLK4094" s="911"/>
      <c r="RLL4094" s="911"/>
      <c r="RLM4094" s="911"/>
      <c r="RLN4094" s="911"/>
      <c r="RLO4094" s="911"/>
      <c r="RLP4094" s="911"/>
      <c r="RLQ4094" s="911"/>
      <c r="RLR4094" s="911"/>
      <c r="RLS4094" s="912"/>
      <c r="RLU4094" s="913" t="s">
        <v>1</v>
      </c>
      <c r="RLV4094" s="31"/>
      <c r="RLW4094" s="909" t="s">
        <v>0</v>
      </c>
      <c r="RLX4094" s="909"/>
      <c r="RLY4094" s="909"/>
      <c r="RLZ4094" s="909"/>
      <c r="RMA4094" s="909"/>
      <c r="RMB4094" s="909"/>
      <c r="RMC4094" s="907" t="s">
        <v>79</v>
      </c>
      <c r="RMD4094" s="909" t="s">
        <v>68</v>
      </c>
      <c r="RME4094" s="910" t="s">
        <v>75</v>
      </c>
      <c r="RMF4094" s="911"/>
      <c r="RMG4094" s="911"/>
      <c r="RMH4094" s="911"/>
      <c r="RMI4094" s="911"/>
      <c r="RMJ4094" s="911"/>
      <c r="RMK4094" s="911"/>
      <c r="RML4094" s="911"/>
      <c r="RMM4094" s="911"/>
      <c r="RMN4094" s="911"/>
      <c r="RMO4094" s="32"/>
      <c r="RMP4094" s="911" t="s">
        <v>74</v>
      </c>
      <c r="RMQ4094" s="911"/>
      <c r="RMR4094" s="911"/>
      <c r="RMS4094" s="911"/>
      <c r="RMT4094" s="911"/>
      <c r="RMU4094" s="911"/>
      <c r="RMV4094" s="911"/>
      <c r="RMW4094" s="911"/>
      <c r="RMX4094" s="911"/>
      <c r="RMY4094" s="912"/>
      <c r="RNA4094" s="913" t="s">
        <v>1</v>
      </c>
      <c r="RNB4094" s="31"/>
      <c r="RNC4094" s="909" t="s">
        <v>0</v>
      </c>
      <c r="RND4094" s="909"/>
      <c r="RNE4094" s="909"/>
      <c r="RNF4094" s="909"/>
      <c r="RNG4094" s="909"/>
      <c r="RNH4094" s="909"/>
      <c r="RNI4094" s="907" t="s">
        <v>79</v>
      </c>
      <c r="RNJ4094" s="909" t="s">
        <v>68</v>
      </c>
      <c r="RNK4094" s="910" t="s">
        <v>75</v>
      </c>
      <c r="RNL4094" s="911"/>
      <c r="RNM4094" s="911"/>
      <c r="RNN4094" s="911"/>
      <c r="RNO4094" s="911"/>
      <c r="RNP4094" s="911"/>
      <c r="RNQ4094" s="911"/>
      <c r="RNR4094" s="911"/>
      <c r="RNS4094" s="911"/>
      <c r="RNT4094" s="911"/>
      <c r="RNU4094" s="32"/>
      <c r="RNV4094" s="911" t="s">
        <v>74</v>
      </c>
      <c r="RNW4094" s="911"/>
      <c r="RNX4094" s="911"/>
      <c r="RNY4094" s="911"/>
      <c r="RNZ4094" s="911"/>
      <c r="ROA4094" s="911"/>
      <c r="ROB4094" s="911"/>
      <c r="ROC4094" s="911"/>
      <c r="ROD4094" s="911"/>
      <c r="ROE4094" s="912"/>
      <c r="ROG4094" s="913" t="s">
        <v>1</v>
      </c>
      <c r="ROH4094" s="31"/>
      <c r="ROI4094" s="909" t="s">
        <v>0</v>
      </c>
      <c r="ROJ4094" s="909"/>
      <c r="ROK4094" s="909"/>
      <c r="ROL4094" s="909"/>
      <c r="ROM4094" s="909"/>
      <c r="RON4094" s="909"/>
      <c r="ROO4094" s="907" t="s">
        <v>79</v>
      </c>
      <c r="ROP4094" s="909" t="s">
        <v>68</v>
      </c>
      <c r="ROQ4094" s="910" t="s">
        <v>75</v>
      </c>
      <c r="ROR4094" s="911"/>
      <c r="ROS4094" s="911"/>
      <c r="ROT4094" s="911"/>
      <c r="ROU4094" s="911"/>
      <c r="ROV4094" s="911"/>
      <c r="ROW4094" s="911"/>
      <c r="ROX4094" s="911"/>
      <c r="ROY4094" s="911"/>
      <c r="ROZ4094" s="911"/>
      <c r="RPA4094" s="32"/>
      <c r="RPB4094" s="911" t="s">
        <v>74</v>
      </c>
      <c r="RPC4094" s="911"/>
      <c r="RPD4094" s="911"/>
      <c r="RPE4094" s="911"/>
      <c r="RPF4094" s="911"/>
      <c r="RPG4094" s="911"/>
      <c r="RPH4094" s="911"/>
      <c r="RPI4094" s="911"/>
      <c r="RPJ4094" s="911"/>
      <c r="RPK4094" s="912"/>
      <c r="RPM4094" s="913" t="s">
        <v>1</v>
      </c>
      <c r="RPN4094" s="31"/>
      <c r="RPO4094" s="909" t="s">
        <v>0</v>
      </c>
      <c r="RPP4094" s="909"/>
      <c r="RPQ4094" s="909"/>
      <c r="RPR4094" s="909"/>
      <c r="RPS4094" s="909"/>
      <c r="RPT4094" s="909"/>
      <c r="RPU4094" s="907" t="s">
        <v>79</v>
      </c>
      <c r="RPV4094" s="909" t="s">
        <v>68</v>
      </c>
      <c r="RPW4094" s="910" t="s">
        <v>75</v>
      </c>
      <c r="RPX4094" s="911"/>
      <c r="RPY4094" s="911"/>
      <c r="RPZ4094" s="911"/>
      <c r="RQA4094" s="911"/>
      <c r="RQB4094" s="911"/>
      <c r="RQC4094" s="911"/>
      <c r="RQD4094" s="911"/>
      <c r="RQE4094" s="911"/>
      <c r="RQF4094" s="911"/>
      <c r="RQG4094" s="32"/>
      <c r="RQH4094" s="911" t="s">
        <v>74</v>
      </c>
      <c r="RQI4094" s="911"/>
      <c r="RQJ4094" s="911"/>
      <c r="RQK4094" s="911"/>
      <c r="RQL4094" s="911"/>
      <c r="RQM4094" s="911"/>
      <c r="RQN4094" s="911"/>
      <c r="RQO4094" s="911"/>
      <c r="RQP4094" s="911"/>
      <c r="RQQ4094" s="912"/>
      <c r="RQS4094" s="913" t="s">
        <v>1</v>
      </c>
      <c r="RQT4094" s="31"/>
      <c r="RQU4094" s="909" t="s">
        <v>0</v>
      </c>
      <c r="RQV4094" s="909"/>
      <c r="RQW4094" s="909"/>
      <c r="RQX4094" s="909"/>
      <c r="RQY4094" s="909"/>
      <c r="RQZ4094" s="909"/>
      <c r="RRA4094" s="907" t="s">
        <v>79</v>
      </c>
      <c r="RRB4094" s="909" t="s">
        <v>68</v>
      </c>
      <c r="RRC4094" s="910" t="s">
        <v>75</v>
      </c>
      <c r="RRD4094" s="911"/>
      <c r="RRE4094" s="911"/>
      <c r="RRF4094" s="911"/>
      <c r="RRG4094" s="911"/>
      <c r="RRH4094" s="911"/>
      <c r="RRI4094" s="911"/>
      <c r="RRJ4094" s="911"/>
      <c r="RRK4094" s="911"/>
      <c r="RRL4094" s="911"/>
      <c r="RRM4094" s="32"/>
      <c r="RRN4094" s="911" t="s">
        <v>74</v>
      </c>
      <c r="RRO4094" s="911"/>
      <c r="RRP4094" s="911"/>
      <c r="RRQ4094" s="911"/>
      <c r="RRR4094" s="911"/>
      <c r="RRS4094" s="911"/>
      <c r="RRT4094" s="911"/>
      <c r="RRU4094" s="911"/>
      <c r="RRV4094" s="911"/>
      <c r="RRW4094" s="912"/>
      <c r="RRY4094" s="913" t="s">
        <v>1</v>
      </c>
      <c r="RRZ4094" s="31"/>
      <c r="RSA4094" s="909" t="s">
        <v>0</v>
      </c>
      <c r="RSB4094" s="909"/>
      <c r="RSC4094" s="909"/>
      <c r="RSD4094" s="909"/>
      <c r="RSE4094" s="909"/>
      <c r="RSF4094" s="909"/>
      <c r="RSG4094" s="907" t="s">
        <v>79</v>
      </c>
      <c r="RSH4094" s="909" t="s">
        <v>68</v>
      </c>
      <c r="RSI4094" s="910" t="s">
        <v>75</v>
      </c>
      <c r="RSJ4094" s="911"/>
      <c r="RSK4094" s="911"/>
      <c r="RSL4094" s="911"/>
      <c r="RSM4094" s="911"/>
      <c r="RSN4094" s="911"/>
      <c r="RSO4094" s="911"/>
      <c r="RSP4094" s="911"/>
      <c r="RSQ4094" s="911"/>
      <c r="RSR4094" s="911"/>
      <c r="RSS4094" s="32"/>
      <c r="RST4094" s="911" t="s">
        <v>74</v>
      </c>
      <c r="RSU4094" s="911"/>
      <c r="RSV4094" s="911"/>
      <c r="RSW4094" s="911"/>
      <c r="RSX4094" s="911"/>
      <c r="RSY4094" s="911"/>
      <c r="RSZ4094" s="911"/>
      <c r="RTA4094" s="911"/>
      <c r="RTB4094" s="911"/>
      <c r="RTC4094" s="912"/>
      <c r="RTE4094" s="913" t="s">
        <v>1</v>
      </c>
      <c r="RTF4094" s="31"/>
      <c r="RTG4094" s="909" t="s">
        <v>0</v>
      </c>
      <c r="RTH4094" s="909"/>
      <c r="RTI4094" s="909"/>
      <c r="RTJ4094" s="909"/>
      <c r="RTK4094" s="909"/>
      <c r="RTL4094" s="909"/>
      <c r="RTM4094" s="907" t="s">
        <v>79</v>
      </c>
      <c r="RTN4094" s="909" t="s">
        <v>68</v>
      </c>
      <c r="RTO4094" s="910" t="s">
        <v>75</v>
      </c>
      <c r="RTP4094" s="911"/>
      <c r="RTQ4094" s="911"/>
      <c r="RTR4094" s="911"/>
      <c r="RTS4094" s="911"/>
      <c r="RTT4094" s="911"/>
      <c r="RTU4094" s="911"/>
      <c r="RTV4094" s="911"/>
      <c r="RTW4094" s="911"/>
      <c r="RTX4094" s="911"/>
      <c r="RTY4094" s="32"/>
      <c r="RTZ4094" s="911" t="s">
        <v>74</v>
      </c>
      <c r="RUA4094" s="911"/>
      <c r="RUB4094" s="911"/>
      <c r="RUC4094" s="911"/>
      <c r="RUD4094" s="911"/>
      <c r="RUE4094" s="911"/>
      <c r="RUF4094" s="911"/>
      <c r="RUG4094" s="911"/>
      <c r="RUH4094" s="911"/>
      <c r="RUI4094" s="912"/>
      <c r="RUK4094" s="913" t="s">
        <v>1</v>
      </c>
      <c r="RUL4094" s="31"/>
      <c r="RUM4094" s="909" t="s">
        <v>0</v>
      </c>
      <c r="RUN4094" s="909"/>
      <c r="RUO4094" s="909"/>
      <c r="RUP4094" s="909"/>
      <c r="RUQ4094" s="909"/>
      <c r="RUR4094" s="909"/>
      <c r="RUS4094" s="907" t="s">
        <v>79</v>
      </c>
      <c r="RUT4094" s="909" t="s">
        <v>68</v>
      </c>
      <c r="RUU4094" s="910" t="s">
        <v>75</v>
      </c>
      <c r="RUV4094" s="911"/>
      <c r="RUW4094" s="911"/>
      <c r="RUX4094" s="911"/>
      <c r="RUY4094" s="911"/>
      <c r="RUZ4094" s="911"/>
      <c r="RVA4094" s="911"/>
      <c r="RVB4094" s="911"/>
      <c r="RVC4094" s="911"/>
      <c r="RVD4094" s="911"/>
      <c r="RVE4094" s="32"/>
      <c r="RVF4094" s="911" t="s">
        <v>74</v>
      </c>
      <c r="RVG4094" s="911"/>
      <c r="RVH4094" s="911"/>
      <c r="RVI4094" s="911"/>
      <c r="RVJ4094" s="911"/>
      <c r="RVK4094" s="911"/>
      <c r="RVL4094" s="911"/>
      <c r="RVM4094" s="911"/>
      <c r="RVN4094" s="911"/>
      <c r="RVO4094" s="912"/>
      <c r="RVQ4094" s="913" t="s">
        <v>1</v>
      </c>
      <c r="RVR4094" s="31"/>
      <c r="RVS4094" s="909" t="s">
        <v>0</v>
      </c>
      <c r="RVT4094" s="909"/>
      <c r="RVU4094" s="909"/>
      <c r="RVV4094" s="909"/>
      <c r="RVW4094" s="909"/>
      <c r="RVX4094" s="909"/>
      <c r="RVY4094" s="907" t="s">
        <v>79</v>
      </c>
      <c r="RVZ4094" s="909" t="s">
        <v>68</v>
      </c>
      <c r="RWA4094" s="910" t="s">
        <v>75</v>
      </c>
      <c r="RWB4094" s="911"/>
      <c r="RWC4094" s="911"/>
      <c r="RWD4094" s="911"/>
      <c r="RWE4094" s="911"/>
      <c r="RWF4094" s="911"/>
      <c r="RWG4094" s="911"/>
      <c r="RWH4094" s="911"/>
      <c r="RWI4094" s="911"/>
      <c r="RWJ4094" s="911"/>
      <c r="RWK4094" s="32"/>
      <c r="RWL4094" s="911" t="s">
        <v>74</v>
      </c>
      <c r="RWM4094" s="911"/>
      <c r="RWN4094" s="911"/>
      <c r="RWO4094" s="911"/>
      <c r="RWP4094" s="911"/>
      <c r="RWQ4094" s="911"/>
      <c r="RWR4094" s="911"/>
      <c r="RWS4094" s="911"/>
      <c r="RWT4094" s="911"/>
      <c r="RWU4094" s="912"/>
      <c r="RWW4094" s="913" t="s">
        <v>1</v>
      </c>
      <c r="RWX4094" s="31"/>
      <c r="RWY4094" s="909" t="s">
        <v>0</v>
      </c>
      <c r="RWZ4094" s="909"/>
      <c r="RXA4094" s="909"/>
      <c r="RXB4094" s="909"/>
      <c r="RXC4094" s="909"/>
      <c r="RXD4094" s="909"/>
      <c r="RXE4094" s="907" t="s">
        <v>79</v>
      </c>
      <c r="RXF4094" s="909" t="s">
        <v>68</v>
      </c>
      <c r="RXG4094" s="910" t="s">
        <v>75</v>
      </c>
      <c r="RXH4094" s="911"/>
      <c r="RXI4094" s="911"/>
      <c r="RXJ4094" s="911"/>
      <c r="RXK4094" s="911"/>
      <c r="RXL4094" s="911"/>
      <c r="RXM4094" s="911"/>
      <c r="RXN4094" s="911"/>
      <c r="RXO4094" s="911"/>
      <c r="RXP4094" s="911"/>
      <c r="RXQ4094" s="32"/>
      <c r="RXR4094" s="911" t="s">
        <v>74</v>
      </c>
      <c r="RXS4094" s="911"/>
      <c r="RXT4094" s="911"/>
      <c r="RXU4094" s="911"/>
      <c r="RXV4094" s="911"/>
      <c r="RXW4094" s="911"/>
      <c r="RXX4094" s="911"/>
      <c r="RXY4094" s="911"/>
      <c r="RXZ4094" s="911"/>
      <c r="RYA4094" s="912"/>
      <c r="RYC4094" s="913" t="s">
        <v>1</v>
      </c>
      <c r="RYD4094" s="31"/>
      <c r="RYE4094" s="909" t="s">
        <v>0</v>
      </c>
      <c r="RYF4094" s="909"/>
      <c r="RYG4094" s="909"/>
      <c r="RYH4094" s="909"/>
      <c r="RYI4094" s="909"/>
      <c r="RYJ4094" s="909"/>
      <c r="RYK4094" s="907" t="s">
        <v>79</v>
      </c>
      <c r="RYL4094" s="909" t="s">
        <v>68</v>
      </c>
      <c r="RYM4094" s="910" t="s">
        <v>75</v>
      </c>
      <c r="RYN4094" s="911"/>
      <c r="RYO4094" s="911"/>
      <c r="RYP4094" s="911"/>
      <c r="RYQ4094" s="911"/>
      <c r="RYR4094" s="911"/>
      <c r="RYS4094" s="911"/>
      <c r="RYT4094" s="911"/>
      <c r="RYU4094" s="911"/>
      <c r="RYV4094" s="911"/>
      <c r="RYW4094" s="32"/>
      <c r="RYX4094" s="911" t="s">
        <v>74</v>
      </c>
      <c r="RYY4094" s="911"/>
      <c r="RYZ4094" s="911"/>
      <c r="RZA4094" s="911"/>
      <c r="RZB4094" s="911"/>
      <c r="RZC4094" s="911"/>
      <c r="RZD4094" s="911"/>
      <c r="RZE4094" s="911"/>
      <c r="RZF4094" s="911"/>
      <c r="RZG4094" s="912"/>
      <c r="RZI4094" s="913" t="s">
        <v>1</v>
      </c>
      <c r="RZJ4094" s="31"/>
      <c r="RZK4094" s="909" t="s">
        <v>0</v>
      </c>
      <c r="RZL4094" s="909"/>
      <c r="RZM4094" s="909"/>
      <c r="RZN4094" s="909"/>
      <c r="RZO4094" s="909"/>
      <c r="RZP4094" s="909"/>
      <c r="RZQ4094" s="907" t="s">
        <v>79</v>
      </c>
      <c r="RZR4094" s="909" t="s">
        <v>68</v>
      </c>
      <c r="RZS4094" s="910" t="s">
        <v>75</v>
      </c>
      <c r="RZT4094" s="911"/>
      <c r="RZU4094" s="911"/>
      <c r="RZV4094" s="911"/>
      <c r="RZW4094" s="911"/>
      <c r="RZX4094" s="911"/>
      <c r="RZY4094" s="911"/>
      <c r="RZZ4094" s="911"/>
      <c r="SAA4094" s="911"/>
      <c r="SAB4094" s="911"/>
      <c r="SAC4094" s="32"/>
      <c r="SAD4094" s="911" t="s">
        <v>74</v>
      </c>
      <c r="SAE4094" s="911"/>
      <c r="SAF4094" s="911"/>
      <c r="SAG4094" s="911"/>
      <c r="SAH4094" s="911"/>
      <c r="SAI4094" s="911"/>
      <c r="SAJ4094" s="911"/>
      <c r="SAK4094" s="911"/>
      <c r="SAL4094" s="911"/>
      <c r="SAM4094" s="912"/>
      <c r="SAO4094" s="913" t="s">
        <v>1</v>
      </c>
      <c r="SAP4094" s="31"/>
      <c r="SAQ4094" s="909" t="s">
        <v>0</v>
      </c>
      <c r="SAR4094" s="909"/>
      <c r="SAS4094" s="909"/>
      <c r="SAT4094" s="909"/>
      <c r="SAU4094" s="909"/>
      <c r="SAV4094" s="909"/>
      <c r="SAW4094" s="907" t="s">
        <v>79</v>
      </c>
      <c r="SAX4094" s="909" t="s">
        <v>68</v>
      </c>
      <c r="SAY4094" s="910" t="s">
        <v>75</v>
      </c>
      <c r="SAZ4094" s="911"/>
      <c r="SBA4094" s="911"/>
      <c r="SBB4094" s="911"/>
      <c r="SBC4094" s="911"/>
      <c r="SBD4094" s="911"/>
      <c r="SBE4094" s="911"/>
      <c r="SBF4094" s="911"/>
      <c r="SBG4094" s="911"/>
      <c r="SBH4094" s="911"/>
      <c r="SBI4094" s="32"/>
      <c r="SBJ4094" s="911" t="s">
        <v>74</v>
      </c>
      <c r="SBK4094" s="911"/>
      <c r="SBL4094" s="911"/>
      <c r="SBM4094" s="911"/>
      <c r="SBN4094" s="911"/>
      <c r="SBO4094" s="911"/>
      <c r="SBP4094" s="911"/>
      <c r="SBQ4094" s="911"/>
      <c r="SBR4094" s="911"/>
      <c r="SBS4094" s="912"/>
      <c r="SBU4094" s="913" t="s">
        <v>1</v>
      </c>
      <c r="SBV4094" s="31"/>
      <c r="SBW4094" s="909" t="s">
        <v>0</v>
      </c>
      <c r="SBX4094" s="909"/>
      <c r="SBY4094" s="909"/>
      <c r="SBZ4094" s="909"/>
      <c r="SCA4094" s="909"/>
      <c r="SCB4094" s="909"/>
      <c r="SCC4094" s="907" t="s">
        <v>79</v>
      </c>
      <c r="SCD4094" s="909" t="s">
        <v>68</v>
      </c>
      <c r="SCE4094" s="910" t="s">
        <v>75</v>
      </c>
      <c r="SCF4094" s="911"/>
      <c r="SCG4094" s="911"/>
      <c r="SCH4094" s="911"/>
      <c r="SCI4094" s="911"/>
      <c r="SCJ4094" s="911"/>
      <c r="SCK4094" s="911"/>
      <c r="SCL4094" s="911"/>
      <c r="SCM4094" s="911"/>
      <c r="SCN4094" s="911"/>
      <c r="SCO4094" s="32"/>
      <c r="SCP4094" s="911" t="s">
        <v>74</v>
      </c>
      <c r="SCQ4094" s="911"/>
      <c r="SCR4094" s="911"/>
      <c r="SCS4094" s="911"/>
      <c r="SCT4094" s="911"/>
      <c r="SCU4094" s="911"/>
      <c r="SCV4094" s="911"/>
      <c r="SCW4094" s="911"/>
      <c r="SCX4094" s="911"/>
      <c r="SCY4094" s="912"/>
      <c r="SDA4094" s="913" t="s">
        <v>1</v>
      </c>
      <c r="SDB4094" s="31"/>
      <c r="SDC4094" s="909" t="s">
        <v>0</v>
      </c>
      <c r="SDD4094" s="909"/>
      <c r="SDE4094" s="909"/>
      <c r="SDF4094" s="909"/>
      <c r="SDG4094" s="909"/>
      <c r="SDH4094" s="909"/>
      <c r="SDI4094" s="907" t="s">
        <v>79</v>
      </c>
      <c r="SDJ4094" s="909" t="s">
        <v>68</v>
      </c>
      <c r="SDK4094" s="910" t="s">
        <v>75</v>
      </c>
      <c r="SDL4094" s="911"/>
      <c r="SDM4094" s="911"/>
      <c r="SDN4094" s="911"/>
      <c r="SDO4094" s="911"/>
      <c r="SDP4094" s="911"/>
      <c r="SDQ4094" s="911"/>
      <c r="SDR4094" s="911"/>
      <c r="SDS4094" s="911"/>
      <c r="SDT4094" s="911"/>
      <c r="SDU4094" s="32"/>
      <c r="SDV4094" s="911" t="s">
        <v>74</v>
      </c>
      <c r="SDW4094" s="911"/>
      <c r="SDX4094" s="911"/>
      <c r="SDY4094" s="911"/>
      <c r="SDZ4094" s="911"/>
      <c r="SEA4094" s="911"/>
      <c r="SEB4094" s="911"/>
      <c r="SEC4094" s="911"/>
      <c r="SED4094" s="911"/>
      <c r="SEE4094" s="912"/>
      <c r="SEG4094" s="913" t="s">
        <v>1</v>
      </c>
      <c r="SEH4094" s="31"/>
      <c r="SEI4094" s="909" t="s">
        <v>0</v>
      </c>
      <c r="SEJ4094" s="909"/>
      <c r="SEK4094" s="909"/>
      <c r="SEL4094" s="909"/>
      <c r="SEM4094" s="909"/>
      <c r="SEN4094" s="909"/>
      <c r="SEO4094" s="907" t="s">
        <v>79</v>
      </c>
      <c r="SEP4094" s="909" t="s">
        <v>68</v>
      </c>
      <c r="SEQ4094" s="910" t="s">
        <v>75</v>
      </c>
      <c r="SER4094" s="911"/>
      <c r="SES4094" s="911"/>
      <c r="SET4094" s="911"/>
      <c r="SEU4094" s="911"/>
      <c r="SEV4094" s="911"/>
      <c r="SEW4094" s="911"/>
      <c r="SEX4094" s="911"/>
      <c r="SEY4094" s="911"/>
      <c r="SEZ4094" s="911"/>
      <c r="SFA4094" s="32"/>
      <c r="SFB4094" s="911" t="s">
        <v>74</v>
      </c>
      <c r="SFC4094" s="911"/>
      <c r="SFD4094" s="911"/>
      <c r="SFE4094" s="911"/>
      <c r="SFF4094" s="911"/>
      <c r="SFG4094" s="911"/>
      <c r="SFH4094" s="911"/>
      <c r="SFI4094" s="911"/>
      <c r="SFJ4094" s="911"/>
      <c r="SFK4094" s="912"/>
      <c r="SFM4094" s="913" t="s">
        <v>1</v>
      </c>
      <c r="SFN4094" s="31"/>
      <c r="SFO4094" s="909" t="s">
        <v>0</v>
      </c>
      <c r="SFP4094" s="909"/>
      <c r="SFQ4094" s="909"/>
      <c r="SFR4094" s="909"/>
      <c r="SFS4094" s="909"/>
      <c r="SFT4094" s="909"/>
      <c r="SFU4094" s="907" t="s">
        <v>79</v>
      </c>
      <c r="SFV4094" s="909" t="s">
        <v>68</v>
      </c>
      <c r="SFW4094" s="910" t="s">
        <v>75</v>
      </c>
      <c r="SFX4094" s="911"/>
      <c r="SFY4094" s="911"/>
      <c r="SFZ4094" s="911"/>
      <c r="SGA4094" s="911"/>
      <c r="SGB4094" s="911"/>
      <c r="SGC4094" s="911"/>
      <c r="SGD4094" s="911"/>
      <c r="SGE4094" s="911"/>
      <c r="SGF4094" s="911"/>
      <c r="SGG4094" s="32"/>
      <c r="SGH4094" s="911" t="s">
        <v>74</v>
      </c>
      <c r="SGI4094" s="911"/>
      <c r="SGJ4094" s="911"/>
      <c r="SGK4094" s="911"/>
      <c r="SGL4094" s="911"/>
      <c r="SGM4094" s="911"/>
      <c r="SGN4094" s="911"/>
      <c r="SGO4094" s="911"/>
      <c r="SGP4094" s="911"/>
      <c r="SGQ4094" s="912"/>
      <c r="SGS4094" s="913" t="s">
        <v>1</v>
      </c>
      <c r="SGT4094" s="31"/>
      <c r="SGU4094" s="909" t="s">
        <v>0</v>
      </c>
      <c r="SGV4094" s="909"/>
      <c r="SGW4094" s="909"/>
      <c r="SGX4094" s="909"/>
      <c r="SGY4094" s="909"/>
      <c r="SGZ4094" s="909"/>
      <c r="SHA4094" s="907" t="s">
        <v>79</v>
      </c>
      <c r="SHB4094" s="909" t="s">
        <v>68</v>
      </c>
      <c r="SHC4094" s="910" t="s">
        <v>75</v>
      </c>
      <c r="SHD4094" s="911"/>
      <c r="SHE4094" s="911"/>
      <c r="SHF4094" s="911"/>
      <c r="SHG4094" s="911"/>
      <c r="SHH4094" s="911"/>
      <c r="SHI4094" s="911"/>
      <c r="SHJ4094" s="911"/>
      <c r="SHK4094" s="911"/>
      <c r="SHL4094" s="911"/>
      <c r="SHM4094" s="32"/>
      <c r="SHN4094" s="911" t="s">
        <v>74</v>
      </c>
      <c r="SHO4094" s="911"/>
      <c r="SHP4094" s="911"/>
      <c r="SHQ4094" s="911"/>
      <c r="SHR4094" s="911"/>
      <c r="SHS4094" s="911"/>
      <c r="SHT4094" s="911"/>
      <c r="SHU4094" s="911"/>
      <c r="SHV4094" s="911"/>
      <c r="SHW4094" s="912"/>
      <c r="SHY4094" s="913" t="s">
        <v>1</v>
      </c>
      <c r="SHZ4094" s="31"/>
      <c r="SIA4094" s="909" t="s">
        <v>0</v>
      </c>
      <c r="SIB4094" s="909"/>
      <c r="SIC4094" s="909"/>
      <c r="SID4094" s="909"/>
      <c r="SIE4094" s="909"/>
      <c r="SIF4094" s="909"/>
      <c r="SIG4094" s="907" t="s">
        <v>79</v>
      </c>
      <c r="SIH4094" s="909" t="s">
        <v>68</v>
      </c>
      <c r="SII4094" s="910" t="s">
        <v>75</v>
      </c>
      <c r="SIJ4094" s="911"/>
      <c r="SIK4094" s="911"/>
      <c r="SIL4094" s="911"/>
      <c r="SIM4094" s="911"/>
      <c r="SIN4094" s="911"/>
      <c r="SIO4094" s="911"/>
      <c r="SIP4094" s="911"/>
      <c r="SIQ4094" s="911"/>
      <c r="SIR4094" s="911"/>
      <c r="SIS4094" s="32"/>
      <c r="SIT4094" s="911" t="s">
        <v>74</v>
      </c>
      <c r="SIU4094" s="911"/>
      <c r="SIV4094" s="911"/>
      <c r="SIW4094" s="911"/>
      <c r="SIX4094" s="911"/>
      <c r="SIY4094" s="911"/>
      <c r="SIZ4094" s="911"/>
      <c r="SJA4094" s="911"/>
      <c r="SJB4094" s="911"/>
      <c r="SJC4094" s="912"/>
      <c r="SJE4094" s="913" t="s">
        <v>1</v>
      </c>
      <c r="SJF4094" s="31"/>
      <c r="SJG4094" s="909" t="s">
        <v>0</v>
      </c>
      <c r="SJH4094" s="909"/>
      <c r="SJI4094" s="909"/>
      <c r="SJJ4094" s="909"/>
      <c r="SJK4094" s="909"/>
      <c r="SJL4094" s="909"/>
      <c r="SJM4094" s="907" t="s">
        <v>79</v>
      </c>
      <c r="SJN4094" s="909" t="s">
        <v>68</v>
      </c>
      <c r="SJO4094" s="910" t="s">
        <v>75</v>
      </c>
      <c r="SJP4094" s="911"/>
      <c r="SJQ4094" s="911"/>
      <c r="SJR4094" s="911"/>
      <c r="SJS4094" s="911"/>
      <c r="SJT4094" s="911"/>
      <c r="SJU4094" s="911"/>
      <c r="SJV4094" s="911"/>
      <c r="SJW4094" s="911"/>
      <c r="SJX4094" s="911"/>
      <c r="SJY4094" s="32"/>
      <c r="SJZ4094" s="911" t="s">
        <v>74</v>
      </c>
      <c r="SKA4094" s="911"/>
      <c r="SKB4094" s="911"/>
      <c r="SKC4094" s="911"/>
      <c r="SKD4094" s="911"/>
      <c r="SKE4094" s="911"/>
      <c r="SKF4094" s="911"/>
      <c r="SKG4094" s="911"/>
      <c r="SKH4094" s="911"/>
      <c r="SKI4094" s="912"/>
      <c r="SKK4094" s="913" t="s">
        <v>1</v>
      </c>
      <c r="SKL4094" s="31"/>
      <c r="SKM4094" s="909" t="s">
        <v>0</v>
      </c>
      <c r="SKN4094" s="909"/>
      <c r="SKO4094" s="909"/>
      <c r="SKP4094" s="909"/>
      <c r="SKQ4094" s="909"/>
      <c r="SKR4094" s="909"/>
      <c r="SKS4094" s="907" t="s">
        <v>79</v>
      </c>
      <c r="SKT4094" s="909" t="s">
        <v>68</v>
      </c>
      <c r="SKU4094" s="910" t="s">
        <v>75</v>
      </c>
      <c r="SKV4094" s="911"/>
      <c r="SKW4094" s="911"/>
      <c r="SKX4094" s="911"/>
      <c r="SKY4094" s="911"/>
      <c r="SKZ4094" s="911"/>
      <c r="SLA4094" s="911"/>
      <c r="SLB4094" s="911"/>
      <c r="SLC4094" s="911"/>
      <c r="SLD4094" s="911"/>
      <c r="SLE4094" s="32"/>
      <c r="SLF4094" s="911" t="s">
        <v>74</v>
      </c>
      <c r="SLG4094" s="911"/>
      <c r="SLH4094" s="911"/>
      <c r="SLI4094" s="911"/>
      <c r="SLJ4094" s="911"/>
      <c r="SLK4094" s="911"/>
      <c r="SLL4094" s="911"/>
      <c r="SLM4094" s="911"/>
      <c r="SLN4094" s="911"/>
      <c r="SLO4094" s="912"/>
      <c r="SLQ4094" s="913" t="s">
        <v>1</v>
      </c>
      <c r="SLR4094" s="31"/>
      <c r="SLS4094" s="909" t="s">
        <v>0</v>
      </c>
      <c r="SLT4094" s="909"/>
      <c r="SLU4094" s="909"/>
      <c r="SLV4094" s="909"/>
      <c r="SLW4094" s="909"/>
      <c r="SLX4094" s="909"/>
      <c r="SLY4094" s="907" t="s">
        <v>79</v>
      </c>
      <c r="SLZ4094" s="909" t="s">
        <v>68</v>
      </c>
      <c r="SMA4094" s="910" t="s">
        <v>75</v>
      </c>
      <c r="SMB4094" s="911"/>
      <c r="SMC4094" s="911"/>
      <c r="SMD4094" s="911"/>
      <c r="SME4094" s="911"/>
      <c r="SMF4094" s="911"/>
      <c r="SMG4094" s="911"/>
      <c r="SMH4094" s="911"/>
      <c r="SMI4094" s="911"/>
      <c r="SMJ4094" s="911"/>
      <c r="SMK4094" s="32"/>
      <c r="SML4094" s="911" t="s">
        <v>74</v>
      </c>
      <c r="SMM4094" s="911"/>
      <c r="SMN4094" s="911"/>
      <c r="SMO4094" s="911"/>
      <c r="SMP4094" s="911"/>
      <c r="SMQ4094" s="911"/>
      <c r="SMR4094" s="911"/>
      <c r="SMS4094" s="911"/>
      <c r="SMT4094" s="911"/>
      <c r="SMU4094" s="912"/>
      <c r="SMW4094" s="913" t="s">
        <v>1</v>
      </c>
      <c r="SMX4094" s="31"/>
      <c r="SMY4094" s="909" t="s">
        <v>0</v>
      </c>
      <c r="SMZ4094" s="909"/>
      <c r="SNA4094" s="909"/>
      <c r="SNB4094" s="909"/>
      <c r="SNC4094" s="909"/>
      <c r="SND4094" s="909"/>
      <c r="SNE4094" s="907" t="s">
        <v>79</v>
      </c>
      <c r="SNF4094" s="909" t="s">
        <v>68</v>
      </c>
      <c r="SNG4094" s="910" t="s">
        <v>75</v>
      </c>
      <c r="SNH4094" s="911"/>
      <c r="SNI4094" s="911"/>
      <c r="SNJ4094" s="911"/>
      <c r="SNK4094" s="911"/>
      <c r="SNL4094" s="911"/>
      <c r="SNM4094" s="911"/>
      <c r="SNN4094" s="911"/>
      <c r="SNO4094" s="911"/>
      <c r="SNP4094" s="911"/>
      <c r="SNQ4094" s="32"/>
      <c r="SNR4094" s="911" t="s">
        <v>74</v>
      </c>
      <c r="SNS4094" s="911"/>
      <c r="SNT4094" s="911"/>
      <c r="SNU4094" s="911"/>
      <c r="SNV4094" s="911"/>
      <c r="SNW4094" s="911"/>
      <c r="SNX4094" s="911"/>
      <c r="SNY4094" s="911"/>
      <c r="SNZ4094" s="911"/>
      <c r="SOA4094" s="912"/>
      <c r="SOC4094" s="913" t="s">
        <v>1</v>
      </c>
      <c r="SOD4094" s="31"/>
      <c r="SOE4094" s="909" t="s">
        <v>0</v>
      </c>
      <c r="SOF4094" s="909"/>
      <c r="SOG4094" s="909"/>
      <c r="SOH4094" s="909"/>
      <c r="SOI4094" s="909"/>
      <c r="SOJ4094" s="909"/>
      <c r="SOK4094" s="907" t="s">
        <v>79</v>
      </c>
      <c r="SOL4094" s="909" t="s">
        <v>68</v>
      </c>
      <c r="SOM4094" s="910" t="s">
        <v>75</v>
      </c>
      <c r="SON4094" s="911"/>
      <c r="SOO4094" s="911"/>
      <c r="SOP4094" s="911"/>
      <c r="SOQ4094" s="911"/>
      <c r="SOR4094" s="911"/>
      <c r="SOS4094" s="911"/>
      <c r="SOT4094" s="911"/>
      <c r="SOU4094" s="911"/>
      <c r="SOV4094" s="911"/>
      <c r="SOW4094" s="32"/>
      <c r="SOX4094" s="911" t="s">
        <v>74</v>
      </c>
      <c r="SOY4094" s="911"/>
      <c r="SOZ4094" s="911"/>
      <c r="SPA4094" s="911"/>
      <c r="SPB4094" s="911"/>
      <c r="SPC4094" s="911"/>
      <c r="SPD4094" s="911"/>
      <c r="SPE4094" s="911"/>
      <c r="SPF4094" s="911"/>
      <c r="SPG4094" s="912"/>
      <c r="SPI4094" s="913" t="s">
        <v>1</v>
      </c>
      <c r="SPJ4094" s="31"/>
      <c r="SPK4094" s="909" t="s">
        <v>0</v>
      </c>
      <c r="SPL4094" s="909"/>
      <c r="SPM4094" s="909"/>
      <c r="SPN4094" s="909"/>
      <c r="SPO4094" s="909"/>
      <c r="SPP4094" s="909"/>
      <c r="SPQ4094" s="907" t="s">
        <v>79</v>
      </c>
      <c r="SPR4094" s="909" t="s">
        <v>68</v>
      </c>
      <c r="SPS4094" s="910" t="s">
        <v>75</v>
      </c>
      <c r="SPT4094" s="911"/>
      <c r="SPU4094" s="911"/>
      <c r="SPV4094" s="911"/>
      <c r="SPW4094" s="911"/>
      <c r="SPX4094" s="911"/>
      <c r="SPY4094" s="911"/>
      <c r="SPZ4094" s="911"/>
      <c r="SQA4094" s="911"/>
      <c r="SQB4094" s="911"/>
      <c r="SQC4094" s="32"/>
      <c r="SQD4094" s="911" t="s">
        <v>74</v>
      </c>
      <c r="SQE4094" s="911"/>
      <c r="SQF4094" s="911"/>
      <c r="SQG4094" s="911"/>
      <c r="SQH4094" s="911"/>
      <c r="SQI4094" s="911"/>
      <c r="SQJ4094" s="911"/>
      <c r="SQK4094" s="911"/>
      <c r="SQL4094" s="911"/>
      <c r="SQM4094" s="912"/>
      <c r="SQO4094" s="913" t="s">
        <v>1</v>
      </c>
      <c r="SQP4094" s="31"/>
      <c r="SQQ4094" s="909" t="s">
        <v>0</v>
      </c>
      <c r="SQR4094" s="909"/>
      <c r="SQS4094" s="909"/>
      <c r="SQT4094" s="909"/>
      <c r="SQU4094" s="909"/>
      <c r="SQV4094" s="909"/>
      <c r="SQW4094" s="907" t="s">
        <v>79</v>
      </c>
      <c r="SQX4094" s="909" t="s">
        <v>68</v>
      </c>
      <c r="SQY4094" s="910" t="s">
        <v>75</v>
      </c>
      <c r="SQZ4094" s="911"/>
      <c r="SRA4094" s="911"/>
      <c r="SRB4094" s="911"/>
      <c r="SRC4094" s="911"/>
      <c r="SRD4094" s="911"/>
      <c r="SRE4094" s="911"/>
      <c r="SRF4094" s="911"/>
      <c r="SRG4094" s="911"/>
      <c r="SRH4094" s="911"/>
      <c r="SRI4094" s="32"/>
      <c r="SRJ4094" s="911" t="s">
        <v>74</v>
      </c>
      <c r="SRK4094" s="911"/>
      <c r="SRL4094" s="911"/>
      <c r="SRM4094" s="911"/>
      <c r="SRN4094" s="911"/>
      <c r="SRO4094" s="911"/>
      <c r="SRP4094" s="911"/>
      <c r="SRQ4094" s="911"/>
      <c r="SRR4094" s="911"/>
      <c r="SRS4094" s="912"/>
      <c r="SRU4094" s="913" t="s">
        <v>1</v>
      </c>
      <c r="SRV4094" s="31"/>
      <c r="SRW4094" s="909" t="s">
        <v>0</v>
      </c>
      <c r="SRX4094" s="909"/>
      <c r="SRY4094" s="909"/>
      <c r="SRZ4094" s="909"/>
      <c r="SSA4094" s="909"/>
      <c r="SSB4094" s="909"/>
      <c r="SSC4094" s="907" t="s">
        <v>79</v>
      </c>
      <c r="SSD4094" s="909" t="s">
        <v>68</v>
      </c>
      <c r="SSE4094" s="910" t="s">
        <v>75</v>
      </c>
      <c r="SSF4094" s="911"/>
      <c r="SSG4094" s="911"/>
      <c r="SSH4094" s="911"/>
      <c r="SSI4094" s="911"/>
      <c r="SSJ4094" s="911"/>
      <c r="SSK4094" s="911"/>
      <c r="SSL4094" s="911"/>
      <c r="SSM4094" s="911"/>
      <c r="SSN4094" s="911"/>
      <c r="SSO4094" s="32"/>
      <c r="SSP4094" s="911" t="s">
        <v>74</v>
      </c>
      <c r="SSQ4094" s="911"/>
      <c r="SSR4094" s="911"/>
      <c r="SSS4094" s="911"/>
      <c r="SST4094" s="911"/>
      <c r="SSU4094" s="911"/>
      <c r="SSV4094" s="911"/>
      <c r="SSW4094" s="911"/>
      <c r="SSX4094" s="911"/>
      <c r="SSY4094" s="912"/>
      <c r="STA4094" s="913" t="s">
        <v>1</v>
      </c>
      <c r="STB4094" s="31"/>
      <c r="STC4094" s="909" t="s">
        <v>0</v>
      </c>
      <c r="STD4094" s="909"/>
      <c r="STE4094" s="909"/>
      <c r="STF4094" s="909"/>
      <c r="STG4094" s="909"/>
      <c r="STH4094" s="909"/>
      <c r="STI4094" s="907" t="s">
        <v>79</v>
      </c>
      <c r="STJ4094" s="909" t="s">
        <v>68</v>
      </c>
      <c r="STK4094" s="910" t="s">
        <v>75</v>
      </c>
      <c r="STL4094" s="911"/>
      <c r="STM4094" s="911"/>
      <c r="STN4094" s="911"/>
      <c r="STO4094" s="911"/>
      <c r="STP4094" s="911"/>
      <c r="STQ4094" s="911"/>
      <c r="STR4094" s="911"/>
      <c r="STS4094" s="911"/>
      <c r="STT4094" s="911"/>
      <c r="STU4094" s="32"/>
      <c r="STV4094" s="911" t="s">
        <v>74</v>
      </c>
      <c r="STW4094" s="911"/>
      <c r="STX4094" s="911"/>
      <c r="STY4094" s="911"/>
      <c r="STZ4094" s="911"/>
      <c r="SUA4094" s="911"/>
      <c r="SUB4094" s="911"/>
      <c r="SUC4094" s="911"/>
      <c r="SUD4094" s="911"/>
      <c r="SUE4094" s="912"/>
      <c r="SUG4094" s="913" t="s">
        <v>1</v>
      </c>
      <c r="SUH4094" s="31"/>
      <c r="SUI4094" s="909" t="s">
        <v>0</v>
      </c>
      <c r="SUJ4094" s="909"/>
      <c r="SUK4094" s="909"/>
      <c r="SUL4094" s="909"/>
      <c r="SUM4094" s="909"/>
      <c r="SUN4094" s="909"/>
      <c r="SUO4094" s="907" t="s">
        <v>79</v>
      </c>
      <c r="SUP4094" s="909" t="s">
        <v>68</v>
      </c>
      <c r="SUQ4094" s="910" t="s">
        <v>75</v>
      </c>
      <c r="SUR4094" s="911"/>
      <c r="SUS4094" s="911"/>
      <c r="SUT4094" s="911"/>
      <c r="SUU4094" s="911"/>
      <c r="SUV4094" s="911"/>
      <c r="SUW4094" s="911"/>
      <c r="SUX4094" s="911"/>
      <c r="SUY4094" s="911"/>
      <c r="SUZ4094" s="911"/>
      <c r="SVA4094" s="32"/>
      <c r="SVB4094" s="911" t="s">
        <v>74</v>
      </c>
      <c r="SVC4094" s="911"/>
      <c r="SVD4094" s="911"/>
      <c r="SVE4094" s="911"/>
      <c r="SVF4094" s="911"/>
      <c r="SVG4094" s="911"/>
      <c r="SVH4094" s="911"/>
      <c r="SVI4094" s="911"/>
      <c r="SVJ4094" s="911"/>
      <c r="SVK4094" s="912"/>
      <c r="SVM4094" s="913" t="s">
        <v>1</v>
      </c>
      <c r="SVN4094" s="31"/>
      <c r="SVO4094" s="909" t="s">
        <v>0</v>
      </c>
      <c r="SVP4094" s="909"/>
      <c r="SVQ4094" s="909"/>
      <c r="SVR4094" s="909"/>
      <c r="SVS4094" s="909"/>
      <c r="SVT4094" s="909"/>
      <c r="SVU4094" s="907" t="s">
        <v>79</v>
      </c>
      <c r="SVV4094" s="909" t="s">
        <v>68</v>
      </c>
      <c r="SVW4094" s="910" t="s">
        <v>75</v>
      </c>
      <c r="SVX4094" s="911"/>
      <c r="SVY4094" s="911"/>
      <c r="SVZ4094" s="911"/>
      <c r="SWA4094" s="911"/>
      <c r="SWB4094" s="911"/>
      <c r="SWC4094" s="911"/>
      <c r="SWD4094" s="911"/>
      <c r="SWE4094" s="911"/>
      <c r="SWF4094" s="911"/>
      <c r="SWG4094" s="32"/>
      <c r="SWH4094" s="911" t="s">
        <v>74</v>
      </c>
      <c r="SWI4094" s="911"/>
      <c r="SWJ4094" s="911"/>
      <c r="SWK4094" s="911"/>
      <c r="SWL4094" s="911"/>
      <c r="SWM4094" s="911"/>
      <c r="SWN4094" s="911"/>
      <c r="SWO4094" s="911"/>
      <c r="SWP4094" s="911"/>
      <c r="SWQ4094" s="912"/>
      <c r="SWS4094" s="913" t="s">
        <v>1</v>
      </c>
      <c r="SWT4094" s="31"/>
      <c r="SWU4094" s="909" t="s">
        <v>0</v>
      </c>
      <c r="SWV4094" s="909"/>
      <c r="SWW4094" s="909"/>
      <c r="SWX4094" s="909"/>
      <c r="SWY4094" s="909"/>
      <c r="SWZ4094" s="909"/>
      <c r="SXA4094" s="907" t="s">
        <v>79</v>
      </c>
      <c r="SXB4094" s="909" t="s">
        <v>68</v>
      </c>
      <c r="SXC4094" s="910" t="s">
        <v>75</v>
      </c>
      <c r="SXD4094" s="911"/>
      <c r="SXE4094" s="911"/>
      <c r="SXF4094" s="911"/>
      <c r="SXG4094" s="911"/>
      <c r="SXH4094" s="911"/>
      <c r="SXI4094" s="911"/>
      <c r="SXJ4094" s="911"/>
      <c r="SXK4094" s="911"/>
      <c r="SXL4094" s="911"/>
      <c r="SXM4094" s="32"/>
      <c r="SXN4094" s="911" t="s">
        <v>74</v>
      </c>
      <c r="SXO4094" s="911"/>
      <c r="SXP4094" s="911"/>
      <c r="SXQ4094" s="911"/>
      <c r="SXR4094" s="911"/>
      <c r="SXS4094" s="911"/>
      <c r="SXT4094" s="911"/>
      <c r="SXU4094" s="911"/>
      <c r="SXV4094" s="911"/>
      <c r="SXW4094" s="912"/>
      <c r="SXY4094" s="913" t="s">
        <v>1</v>
      </c>
      <c r="SXZ4094" s="31"/>
      <c r="SYA4094" s="909" t="s">
        <v>0</v>
      </c>
      <c r="SYB4094" s="909"/>
      <c r="SYC4094" s="909"/>
      <c r="SYD4094" s="909"/>
      <c r="SYE4094" s="909"/>
      <c r="SYF4094" s="909"/>
      <c r="SYG4094" s="907" t="s">
        <v>79</v>
      </c>
      <c r="SYH4094" s="909" t="s">
        <v>68</v>
      </c>
      <c r="SYI4094" s="910" t="s">
        <v>75</v>
      </c>
      <c r="SYJ4094" s="911"/>
      <c r="SYK4094" s="911"/>
      <c r="SYL4094" s="911"/>
      <c r="SYM4094" s="911"/>
      <c r="SYN4094" s="911"/>
      <c r="SYO4094" s="911"/>
      <c r="SYP4094" s="911"/>
      <c r="SYQ4094" s="911"/>
      <c r="SYR4094" s="911"/>
      <c r="SYS4094" s="32"/>
      <c r="SYT4094" s="911" t="s">
        <v>74</v>
      </c>
      <c r="SYU4094" s="911"/>
      <c r="SYV4094" s="911"/>
      <c r="SYW4094" s="911"/>
      <c r="SYX4094" s="911"/>
      <c r="SYY4094" s="911"/>
      <c r="SYZ4094" s="911"/>
      <c r="SZA4094" s="911"/>
      <c r="SZB4094" s="911"/>
      <c r="SZC4094" s="912"/>
      <c r="SZE4094" s="913" t="s">
        <v>1</v>
      </c>
      <c r="SZF4094" s="31"/>
      <c r="SZG4094" s="909" t="s">
        <v>0</v>
      </c>
      <c r="SZH4094" s="909"/>
      <c r="SZI4094" s="909"/>
      <c r="SZJ4094" s="909"/>
      <c r="SZK4094" s="909"/>
      <c r="SZL4094" s="909"/>
      <c r="SZM4094" s="907" t="s">
        <v>79</v>
      </c>
      <c r="SZN4094" s="909" t="s">
        <v>68</v>
      </c>
      <c r="SZO4094" s="910" t="s">
        <v>75</v>
      </c>
      <c r="SZP4094" s="911"/>
      <c r="SZQ4094" s="911"/>
      <c r="SZR4094" s="911"/>
      <c r="SZS4094" s="911"/>
      <c r="SZT4094" s="911"/>
      <c r="SZU4094" s="911"/>
      <c r="SZV4094" s="911"/>
      <c r="SZW4094" s="911"/>
      <c r="SZX4094" s="911"/>
      <c r="SZY4094" s="32"/>
      <c r="SZZ4094" s="911" t="s">
        <v>74</v>
      </c>
      <c r="TAA4094" s="911"/>
      <c r="TAB4094" s="911"/>
      <c r="TAC4094" s="911"/>
      <c r="TAD4094" s="911"/>
      <c r="TAE4094" s="911"/>
      <c r="TAF4094" s="911"/>
      <c r="TAG4094" s="911"/>
      <c r="TAH4094" s="911"/>
      <c r="TAI4094" s="912"/>
      <c r="TAK4094" s="913" t="s">
        <v>1</v>
      </c>
      <c r="TAL4094" s="31"/>
      <c r="TAM4094" s="909" t="s">
        <v>0</v>
      </c>
      <c r="TAN4094" s="909"/>
      <c r="TAO4094" s="909"/>
      <c r="TAP4094" s="909"/>
      <c r="TAQ4094" s="909"/>
      <c r="TAR4094" s="909"/>
      <c r="TAS4094" s="907" t="s">
        <v>79</v>
      </c>
      <c r="TAT4094" s="909" t="s">
        <v>68</v>
      </c>
      <c r="TAU4094" s="910" t="s">
        <v>75</v>
      </c>
      <c r="TAV4094" s="911"/>
      <c r="TAW4094" s="911"/>
      <c r="TAX4094" s="911"/>
      <c r="TAY4094" s="911"/>
      <c r="TAZ4094" s="911"/>
      <c r="TBA4094" s="911"/>
      <c r="TBB4094" s="911"/>
      <c r="TBC4094" s="911"/>
      <c r="TBD4094" s="911"/>
      <c r="TBE4094" s="32"/>
      <c r="TBF4094" s="911" t="s">
        <v>74</v>
      </c>
      <c r="TBG4094" s="911"/>
      <c r="TBH4094" s="911"/>
      <c r="TBI4094" s="911"/>
      <c r="TBJ4094" s="911"/>
      <c r="TBK4094" s="911"/>
      <c r="TBL4094" s="911"/>
      <c r="TBM4094" s="911"/>
      <c r="TBN4094" s="911"/>
      <c r="TBO4094" s="912"/>
      <c r="TBQ4094" s="913" t="s">
        <v>1</v>
      </c>
      <c r="TBR4094" s="31"/>
      <c r="TBS4094" s="909" t="s">
        <v>0</v>
      </c>
      <c r="TBT4094" s="909"/>
      <c r="TBU4094" s="909"/>
      <c r="TBV4094" s="909"/>
      <c r="TBW4094" s="909"/>
      <c r="TBX4094" s="909"/>
      <c r="TBY4094" s="907" t="s">
        <v>79</v>
      </c>
      <c r="TBZ4094" s="909" t="s">
        <v>68</v>
      </c>
      <c r="TCA4094" s="910" t="s">
        <v>75</v>
      </c>
      <c r="TCB4094" s="911"/>
      <c r="TCC4094" s="911"/>
      <c r="TCD4094" s="911"/>
      <c r="TCE4094" s="911"/>
      <c r="TCF4094" s="911"/>
      <c r="TCG4094" s="911"/>
      <c r="TCH4094" s="911"/>
      <c r="TCI4094" s="911"/>
      <c r="TCJ4094" s="911"/>
      <c r="TCK4094" s="32"/>
      <c r="TCL4094" s="911" t="s">
        <v>74</v>
      </c>
      <c r="TCM4094" s="911"/>
      <c r="TCN4094" s="911"/>
      <c r="TCO4094" s="911"/>
      <c r="TCP4094" s="911"/>
      <c r="TCQ4094" s="911"/>
      <c r="TCR4094" s="911"/>
      <c r="TCS4094" s="911"/>
      <c r="TCT4094" s="911"/>
      <c r="TCU4094" s="912"/>
      <c r="TCW4094" s="913" t="s">
        <v>1</v>
      </c>
      <c r="TCX4094" s="31"/>
      <c r="TCY4094" s="909" t="s">
        <v>0</v>
      </c>
      <c r="TCZ4094" s="909"/>
      <c r="TDA4094" s="909"/>
      <c r="TDB4094" s="909"/>
      <c r="TDC4094" s="909"/>
      <c r="TDD4094" s="909"/>
      <c r="TDE4094" s="907" t="s">
        <v>79</v>
      </c>
      <c r="TDF4094" s="909" t="s">
        <v>68</v>
      </c>
      <c r="TDG4094" s="910" t="s">
        <v>75</v>
      </c>
      <c r="TDH4094" s="911"/>
      <c r="TDI4094" s="911"/>
      <c r="TDJ4094" s="911"/>
      <c r="TDK4094" s="911"/>
      <c r="TDL4094" s="911"/>
      <c r="TDM4094" s="911"/>
      <c r="TDN4094" s="911"/>
      <c r="TDO4094" s="911"/>
      <c r="TDP4094" s="911"/>
      <c r="TDQ4094" s="32"/>
      <c r="TDR4094" s="911" t="s">
        <v>74</v>
      </c>
      <c r="TDS4094" s="911"/>
      <c r="TDT4094" s="911"/>
      <c r="TDU4094" s="911"/>
      <c r="TDV4094" s="911"/>
      <c r="TDW4094" s="911"/>
      <c r="TDX4094" s="911"/>
      <c r="TDY4094" s="911"/>
      <c r="TDZ4094" s="911"/>
      <c r="TEA4094" s="912"/>
      <c r="TEC4094" s="913" t="s">
        <v>1</v>
      </c>
      <c r="TED4094" s="31"/>
      <c r="TEE4094" s="909" t="s">
        <v>0</v>
      </c>
      <c r="TEF4094" s="909"/>
      <c r="TEG4094" s="909"/>
      <c r="TEH4094" s="909"/>
      <c r="TEI4094" s="909"/>
      <c r="TEJ4094" s="909"/>
      <c r="TEK4094" s="907" t="s">
        <v>79</v>
      </c>
      <c r="TEL4094" s="909" t="s">
        <v>68</v>
      </c>
      <c r="TEM4094" s="910" t="s">
        <v>75</v>
      </c>
      <c r="TEN4094" s="911"/>
      <c r="TEO4094" s="911"/>
      <c r="TEP4094" s="911"/>
      <c r="TEQ4094" s="911"/>
      <c r="TER4094" s="911"/>
      <c r="TES4094" s="911"/>
      <c r="TET4094" s="911"/>
      <c r="TEU4094" s="911"/>
      <c r="TEV4094" s="911"/>
      <c r="TEW4094" s="32"/>
      <c r="TEX4094" s="911" t="s">
        <v>74</v>
      </c>
      <c r="TEY4094" s="911"/>
      <c r="TEZ4094" s="911"/>
      <c r="TFA4094" s="911"/>
      <c r="TFB4094" s="911"/>
      <c r="TFC4094" s="911"/>
      <c r="TFD4094" s="911"/>
      <c r="TFE4094" s="911"/>
      <c r="TFF4094" s="911"/>
      <c r="TFG4094" s="912"/>
      <c r="TFI4094" s="913" t="s">
        <v>1</v>
      </c>
      <c r="TFJ4094" s="31"/>
      <c r="TFK4094" s="909" t="s">
        <v>0</v>
      </c>
      <c r="TFL4094" s="909"/>
      <c r="TFM4094" s="909"/>
      <c r="TFN4094" s="909"/>
      <c r="TFO4094" s="909"/>
      <c r="TFP4094" s="909"/>
      <c r="TFQ4094" s="907" t="s">
        <v>79</v>
      </c>
      <c r="TFR4094" s="909" t="s">
        <v>68</v>
      </c>
      <c r="TFS4094" s="910" t="s">
        <v>75</v>
      </c>
      <c r="TFT4094" s="911"/>
      <c r="TFU4094" s="911"/>
      <c r="TFV4094" s="911"/>
      <c r="TFW4094" s="911"/>
      <c r="TFX4094" s="911"/>
      <c r="TFY4094" s="911"/>
      <c r="TFZ4094" s="911"/>
      <c r="TGA4094" s="911"/>
      <c r="TGB4094" s="911"/>
      <c r="TGC4094" s="32"/>
      <c r="TGD4094" s="911" t="s">
        <v>74</v>
      </c>
      <c r="TGE4094" s="911"/>
      <c r="TGF4094" s="911"/>
      <c r="TGG4094" s="911"/>
      <c r="TGH4094" s="911"/>
      <c r="TGI4094" s="911"/>
      <c r="TGJ4094" s="911"/>
      <c r="TGK4094" s="911"/>
      <c r="TGL4094" s="911"/>
      <c r="TGM4094" s="912"/>
      <c r="TGO4094" s="913" t="s">
        <v>1</v>
      </c>
      <c r="TGP4094" s="31"/>
      <c r="TGQ4094" s="909" t="s">
        <v>0</v>
      </c>
      <c r="TGR4094" s="909"/>
      <c r="TGS4094" s="909"/>
      <c r="TGT4094" s="909"/>
      <c r="TGU4094" s="909"/>
      <c r="TGV4094" s="909"/>
      <c r="TGW4094" s="907" t="s">
        <v>79</v>
      </c>
      <c r="TGX4094" s="909" t="s">
        <v>68</v>
      </c>
      <c r="TGY4094" s="910" t="s">
        <v>75</v>
      </c>
      <c r="TGZ4094" s="911"/>
      <c r="THA4094" s="911"/>
      <c r="THB4094" s="911"/>
      <c r="THC4094" s="911"/>
      <c r="THD4094" s="911"/>
      <c r="THE4094" s="911"/>
      <c r="THF4094" s="911"/>
      <c r="THG4094" s="911"/>
      <c r="THH4094" s="911"/>
      <c r="THI4094" s="32"/>
      <c r="THJ4094" s="911" t="s">
        <v>74</v>
      </c>
      <c r="THK4094" s="911"/>
      <c r="THL4094" s="911"/>
      <c r="THM4094" s="911"/>
      <c r="THN4094" s="911"/>
      <c r="THO4094" s="911"/>
      <c r="THP4094" s="911"/>
      <c r="THQ4094" s="911"/>
      <c r="THR4094" s="911"/>
      <c r="THS4094" s="912"/>
      <c r="THU4094" s="913" t="s">
        <v>1</v>
      </c>
      <c r="THV4094" s="31"/>
      <c r="THW4094" s="909" t="s">
        <v>0</v>
      </c>
      <c r="THX4094" s="909"/>
      <c r="THY4094" s="909"/>
      <c r="THZ4094" s="909"/>
      <c r="TIA4094" s="909"/>
      <c r="TIB4094" s="909"/>
      <c r="TIC4094" s="907" t="s">
        <v>79</v>
      </c>
      <c r="TID4094" s="909" t="s">
        <v>68</v>
      </c>
      <c r="TIE4094" s="910" t="s">
        <v>75</v>
      </c>
      <c r="TIF4094" s="911"/>
      <c r="TIG4094" s="911"/>
      <c r="TIH4094" s="911"/>
      <c r="TII4094" s="911"/>
      <c r="TIJ4094" s="911"/>
      <c r="TIK4094" s="911"/>
      <c r="TIL4094" s="911"/>
      <c r="TIM4094" s="911"/>
      <c r="TIN4094" s="911"/>
      <c r="TIO4094" s="32"/>
      <c r="TIP4094" s="911" t="s">
        <v>74</v>
      </c>
      <c r="TIQ4094" s="911"/>
      <c r="TIR4094" s="911"/>
      <c r="TIS4094" s="911"/>
      <c r="TIT4094" s="911"/>
      <c r="TIU4094" s="911"/>
      <c r="TIV4094" s="911"/>
      <c r="TIW4094" s="911"/>
      <c r="TIX4094" s="911"/>
      <c r="TIY4094" s="912"/>
      <c r="TJA4094" s="913" t="s">
        <v>1</v>
      </c>
      <c r="TJB4094" s="31"/>
      <c r="TJC4094" s="909" t="s">
        <v>0</v>
      </c>
      <c r="TJD4094" s="909"/>
      <c r="TJE4094" s="909"/>
      <c r="TJF4094" s="909"/>
      <c r="TJG4094" s="909"/>
      <c r="TJH4094" s="909"/>
      <c r="TJI4094" s="907" t="s">
        <v>79</v>
      </c>
      <c r="TJJ4094" s="909" t="s">
        <v>68</v>
      </c>
      <c r="TJK4094" s="910" t="s">
        <v>75</v>
      </c>
      <c r="TJL4094" s="911"/>
      <c r="TJM4094" s="911"/>
      <c r="TJN4094" s="911"/>
      <c r="TJO4094" s="911"/>
      <c r="TJP4094" s="911"/>
      <c r="TJQ4094" s="911"/>
      <c r="TJR4094" s="911"/>
      <c r="TJS4094" s="911"/>
      <c r="TJT4094" s="911"/>
      <c r="TJU4094" s="32"/>
      <c r="TJV4094" s="911" t="s">
        <v>74</v>
      </c>
      <c r="TJW4094" s="911"/>
      <c r="TJX4094" s="911"/>
      <c r="TJY4094" s="911"/>
      <c r="TJZ4094" s="911"/>
      <c r="TKA4094" s="911"/>
      <c r="TKB4094" s="911"/>
      <c r="TKC4094" s="911"/>
      <c r="TKD4094" s="911"/>
      <c r="TKE4094" s="912"/>
      <c r="TKG4094" s="913" t="s">
        <v>1</v>
      </c>
      <c r="TKH4094" s="31"/>
      <c r="TKI4094" s="909" t="s">
        <v>0</v>
      </c>
      <c r="TKJ4094" s="909"/>
      <c r="TKK4094" s="909"/>
      <c r="TKL4094" s="909"/>
      <c r="TKM4094" s="909"/>
      <c r="TKN4094" s="909"/>
      <c r="TKO4094" s="907" t="s">
        <v>79</v>
      </c>
      <c r="TKP4094" s="909" t="s">
        <v>68</v>
      </c>
      <c r="TKQ4094" s="910" t="s">
        <v>75</v>
      </c>
      <c r="TKR4094" s="911"/>
      <c r="TKS4094" s="911"/>
      <c r="TKT4094" s="911"/>
      <c r="TKU4094" s="911"/>
      <c r="TKV4094" s="911"/>
      <c r="TKW4094" s="911"/>
      <c r="TKX4094" s="911"/>
      <c r="TKY4094" s="911"/>
      <c r="TKZ4094" s="911"/>
      <c r="TLA4094" s="32"/>
      <c r="TLB4094" s="911" t="s">
        <v>74</v>
      </c>
      <c r="TLC4094" s="911"/>
      <c r="TLD4094" s="911"/>
      <c r="TLE4094" s="911"/>
      <c r="TLF4094" s="911"/>
      <c r="TLG4094" s="911"/>
      <c r="TLH4094" s="911"/>
      <c r="TLI4094" s="911"/>
      <c r="TLJ4094" s="911"/>
      <c r="TLK4094" s="912"/>
      <c r="TLM4094" s="913" t="s">
        <v>1</v>
      </c>
      <c r="TLN4094" s="31"/>
      <c r="TLO4094" s="909" t="s">
        <v>0</v>
      </c>
      <c r="TLP4094" s="909"/>
      <c r="TLQ4094" s="909"/>
      <c r="TLR4094" s="909"/>
      <c r="TLS4094" s="909"/>
      <c r="TLT4094" s="909"/>
      <c r="TLU4094" s="907" t="s">
        <v>79</v>
      </c>
      <c r="TLV4094" s="909" t="s">
        <v>68</v>
      </c>
      <c r="TLW4094" s="910" t="s">
        <v>75</v>
      </c>
      <c r="TLX4094" s="911"/>
      <c r="TLY4094" s="911"/>
      <c r="TLZ4094" s="911"/>
      <c r="TMA4094" s="911"/>
      <c r="TMB4094" s="911"/>
      <c r="TMC4094" s="911"/>
      <c r="TMD4094" s="911"/>
      <c r="TME4094" s="911"/>
      <c r="TMF4094" s="911"/>
      <c r="TMG4094" s="32"/>
      <c r="TMH4094" s="911" t="s">
        <v>74</v>
      </c>
      <c r="TMI4094" s="911"/>
      <c r="TMJ4094" s="911"/>
      <c r="TMK4094" s="911"/>
      <c r="TML4094" s="911"/>
      <c r="TMM4094" s="911"/>
      <c r="TMN4094" s="911"/>
      <c r="TMO4094" s="911"/>
      <c r="TMP4094" s="911"/>
      <c r="TMQ4094" s="912"/>
      <c r="TMS4094" s="913" t="s">
        <v>1</v>
      </c>
      <c r="TMT4094" s="31"/>
      <c r="TMU4094" s="909" t="s">
        <v>0</v>
      </c>
      <c r="TMV4094" s="909"/>
      <c r="TMW4094" s="909"/>
      <c r="TMX4094" s="909"/>
      <c r="TMY4094" s="909"/>
      <c r="TMZ4094" s="909"/>
      <c r="TNA4094" s="907" t="s">
        <v>79</v>
      </c>
      <c r="TNB4094" s="909" t="s">
        <v>68</v>
      </c>
      <c r="TNC4094" s="910" t="s">
        <v>75</v>
      </c>
      <c r="TND4094" s="911"/>
      <c r="TNE4094" s="911"/>
      <c r="TNF4094" s="911"/>
      <c r="TNG4094" s="911"/>
      <c r="TNH4094" s="911"/>
      <c r="TNI4094" s="911"/>
      <c r="TNJ4094" s="911"/>
      <c r="TNK4094" s="911"/>
      <c r="TNL4094" s="911"/>
      <c r="TNM4094" s="32"/>
      <c r="TNN4094" s="911" t="s">
        <v>74</v>
      </c>
      <c r="TNO4094" s="911"/>
      <c r="TNP4094" s="911"/>
      <c r="TNQ4094" s="911"/>
      <c r="TNR4094" s="911"/>
      <c r="TNS4094" s="911"/>
      <c r="TNT4094" s="911"/>
      <c r="TNU4094" s="911"/>
      <c r="TNV4094" s="911"/>
      <c r="TNW4094" s="912"/>
      <c r="TNY4094" s="913" t="s">
        <v>1</v>
      </c>
      <c r="TNZ4094" s="31"/>
      <c r="TOA4094" s="909" t="s">
        <v>0</v>
      </c>
      <c r="TOB4094" s="909"/>
      <c r="TOC4094" s="909"/>
      <c r="TOD4094" s="909"/>
      <c r="TOE4094" s="909"/>
      <c r="TOF4094" s="909"/>
      <c r="TOG4094" s="907" t="s">
        <v>79</v>
      </c>
      <c r="TOH4094" s="909" t="s">
        <v>68</v>
      </c>
      <c r="TOI4094" s="910" t="s">
        <v>75</v>
      </c>
      <c r="TOJ4094" s="911"/>
      <c r="TOK4094" s="911"/>
      <c r="TOL4094" s="911"/>
      <c r="TOM4094" s="911"/>
      <c r="TON4094" s="911"/>
      <c r="TOO4094" s="911"/>
      <c r="TOP4094" s="911"/>
      <c r="TOQ4094" s="911"/>
      <c r="TOR4094" s="911"/>
      <c r="TOS4094" s="32"/>
      <c r="TOT4094" s="911" t="s">
        <v>74</v>
      </c>
      <c r="TOU4094" s="911"/>
      <c r="TOV4094" s="911"/>
      <c r="TOW4094" s="911"/>
      <c r="TOX4094" s="911"/>
      <c r="TOY4094" s="911"/>
      <c r="TOZ4094" s="911"/>
      <c r="TPA4094" s="911"/>
      <c r="TPB4094" s="911"/>
      <c r="TPC4094" s="912"/>
      <c r="TPE4094" s="913" t="s">
        <v>1</v>
      </c>
      <c r="TPF4094" s="31"/>
      <c r="TPG4094" s="909" t="s">
        <v>0</v>
      </c>
      <c r="TPH4094" s="909"/>
      <c r="TPI4094" s="909"/>
      <c r="TPJ4094" s="909"/>
      <c r="TPK4094" s="909"/>
      <c r="TPL4094" s="909"/>
      <c r="TPM4094" s="907" t="s">
        <v>79</v>
      </c>
      <c r="TPN4094" s="909" t="s">
        <v>68</v>
      </c>
      <c r="TPO4094" s="910" t="s">
        <v>75</v>
      </c>
      <c r="TPP4094" s="911"/>
      <c r="TPQ4094" s="911"/>
      <c r="TPR4094" s="911"/>
      <c r="TPS4094" s="911"/>
      <c r="TPT4094" s="911"/>
      <c r="TPU4094" s="911"/>
      <c r="TPV4094" s="911"/>
      <c r="TPW4094" s="911"/>
      <c r="TPX4094" s="911"/>
      <c r="TPY4094" s="32"/>
      <c r="TPZ4094" s="911" t="s">
        <v>74</v>
      </c>
      <c r="TQA4094" s="911"/>
      <c r="TQB4094" s="911"/>
      <c r="TQC4094" s="911"/>
      <c r="TQD4094" s="911"/>
      <c r="TQE4094" s="911"/>
      <c r="TQF4094" s="911"/>
      <c r="TQG4094" s="911"/>
      <c r="TQH4094" s="911"/>
      <c r="TQI4094" s="912"/>
      <c r="TQK4094" s="913" t="s">
        <v>1</v>
      </c>
      <c r="TQL4094" s="31"/>
      <c r="TQM4094" s="909" t="s">
        <v>0</v>
      </c>
      <c r="TQN4094" s="909"/>
      <c r="TQO4094" s="909"/>
      <c r="TQP4094" s="909"/>
      <c r="TQQ4094" s="909"/>
      <c r="TQR4094" s="909"/>
      <c r="TQS4094" s="907" t="s">
        <v>79</v>
      </c>
      <c r="TQT4094" s="909" t="s">
        <v>68</v>
      </c>
      <c r="TQU4094" s="910" t="s">
        <v>75</v>
      </c>
      <c r="TQV4094" s="911"/>
      <c r="TQW4094" s="911"/>
      <c r="TQX4094" s="911"/>
      <c r="TQY4094" s="911"/>
      <c r="TQZ4094" s="911"/>
      <c r="TRA4094" s="911"/>
      <c r="TRB4094" s="911"/>
      <c r="TRC4094" s="911"/>
      <c r="TRD4094" s="911"/>
      <c r="TRE4094" s="32"/>
      <c r="TRF4094" s="911" t="s">
        <v>74</v>
      </c>
      <c r="TRG4094" s="911"/>
      <c r="TRH4094" s="911"/>
      <c r="TRI4094" s="911"/>
      <c r="TRJ4094" s="911"/>
      <c r="TRK4094" s="911"/>
      <c r="TRL4094" s="911"/>
      <c r="TRM4094" s="911"/>
      <c r="TRN4094" s="911"/>
      <c r="TRO4094" s="912"/>
      <c r="TRQ4094" s="913" t="s">
        <v>1</v>
      </c>
      <c r="TRR4094" s="31"/>
      <c r="TRS4094" s="909" t="s">
        <v>0</v>
      </c>
      <c r="TRT4094" s="909"/>
      <c r="TRU4094" s="909"/>
      <c r="TRV4094" s="909"/>
      <c r="TRW4094" s="909"/>
      <c r="TRX4094" s="909"/>
      <c r="TRY4094" s="907" t="s">
        <v>79</v>
      </c>
      <c r="TRZ4094" s="909" t="s">
        <v>68</v>
      </c>
      <c r="TSA4094" s="910" t="s">
        <v>75</v>
      </c>
      <c r="TSB4094" s="911"/>
      <c r="TSC4094" s="911"/>
      <c r="TSD4094" s="911"/>
      <c r="TSE4094" s="911"/>
      <c r="TSF4094" s="911"/>
      <c r="TSG4094" s="911"/>
      <c r="TSH4094" s="911"/>
      <c r="TSI4094" s="911"/>
      <c r="TSJ4094" s="911"/>
      <c r="TSK4094" s="32"/>
      <c r="TSL4094" s="911" t="s">
        <v>74</v>
      </c>
      <c r="TSM4094" s="911"/>
      <c r="TSN4094" s="911"/>
      <c r="TSO4094" s="911"/>
      <c r="TSP4094" s="911"/>
      <c r="TSQ4094" s="911"/>
      <c r="TSR4094" s="911"/>
      <c r="TSS4094" s="911"/>
      <c r="TST4094" s="911"/>
      <c r="TSU4094" s="912"/>
      <c r="TSW4094" s="913" t="s">
        <v>1</v>
      </c>
      <c r="TSX4094" s="31"/>
      <c r="TSY4094" s="909" t="s">
        <v>0</v>
      </c>
      <c r="TSZ4094" s="909"/>
      <c r="TTA4094" s="909"/>
      <c r="TTB4094" s="909"/>
      <c r="TTC4094" s="909"/>
      <c r="TTD4094" s="909"/>
      <c r="TTE4094" s="907" t="s">
        <v>79</v>
      </c>
      <c r="TTF4094" s="909" t="s">
        <v>68</v>
      </c>
      <c r="TTG4094" s="910" t="s">
        <v>75</v>
      </c>
      <c r="TTH4094" s="911"/>
      <c r="TTI4094" s="911"/>
      <c r="TTJ4094" s="911"/>
      <c r="TTK4094" s="911"/>
      <c r="TTL4094" s="911"/>
      <c r="TTM4094" s="911"/>
      <c r="TTN4094" s="911"/>
      <c r="TTO4094" s="911"/>
      <c r="TTP4094" s="911"/>
      <c r="TTQ4094" s="32"/>
      <c r="TTR4094" s="911" t="s">
        <v>74</v>
      </c>
      <c r="TTS4094" s="911"/>
      <c r="TTT4094" s="911"/>
      <c r="TTU4094" s="911"/>
      <c r="TTV4094" s="911"/>
      <c r="TTW4094" s="911"/>
      <c r="TTX4094" s="911"/>
      <c r="TTY4094" s="911"/>
      <c r="TTZ4094" s="911"/>
      <c r="TUA4094" s="912"/>
      <c r="TUC4094" s="913" t="s">
        <v>1</v>
      </c>
      <c r="TUD4094" s="31"/>
      <c r="TUE4094" s="909" t="s">
        <v>0</v>
      </c>
      <c r="TUF4094" s="909"/>
      <c r="TUG4094" s="909"/>
      <c r="TUH4094" s="909"/>
      <c r="TUI4094" s="909"/>
      <c r="TUJ4094" s="909"/>
      <c r="TUK4094" s="907" t="s">
        <v>79</v>
      </c>
      <c r="TUL4094" s="909" t="s">
        <v>68</v>
      </c>
      <c r="TUM4094" s="910" t="s">
        <v>75</v>
      </c>
      <c r="TUN4094" s="911"/>
      <c r="TUO4094" s="911"/>
      <c r="TUP4094" s="911"/>
      <c r="TUQ4094" s="911"/>
      <c r="TUR4094" s="911"/>
      <c r="TUS4094" s="911"/>
      <c r="TUT4094" s="911"/>
      <c r="TUU4094" s="911"/>
      <c r="TUV4094" s="911"/>
      <c r="TUW4094" s="32"/>
      <c r="TUX4094" s="911" t="s">
        <v>74</v>
      </c>
      <c r="TUY4094" s="911"/>
      <c r="TUZ4094" s="911"/>
      <c r="TVA4094" s="911"/>
      <c r="TVB4094" s="911"/>
      <c r="TVC4094" s="911"/>
      <c r="TVD4094" s="911"/>
      <c r="TVE4094" s="911"/>
      <c r="TVF4094" s="911"/>
      <c r="TVG4094" s="912"/>
      <c r="TVI4094" s="913" t="s">
        <v>1</v>
      </c>
      <c r="TVJ4094" s="31"/>
      <c r="TVK4094" s="909" t="s">
        <v>0</v>
      </c>
      <c r="TVL4094" s="909"/>
      <c r="TVM4094" s="909"/>
      <c r="TVN4094" s="909"/>
      <c r="TVO4094" s="909"/>
      <c r="TVP4094" s="909"/>
      <c r="TVQ4094" s="907" t="s">
        <v>79</v>
      </c>
      <c r="TVR4094" s="909" t="s">
        <v>68</v>
      </c>
      <c r="TVS4094" s="910" t="s">
        <v>75</v>
      </c>
      <c r="TVT4094" s="911"/>
      <c r="TVU4094" s="911"/>
      <c r="TVV4094" s="911"/>
      <c r="TVW4094" s="911"/>
      <c r="TVX4094" s="911"/>
      <c r="TVY4094" s="911"/>
      <c r="TVZ4094" s="911"/>
      <c r="TWA4094" s="911"/>
      <c r="TWB4094" s="911"/>
      <c r="TWC4094" s="32"/>
      <c r="TWD4094" s="911" t="s">
        <v>74</v>
      </c>
      <c r="TWE4094" s="911"/>
      <c r="TWF4094" s="911"/>
      <c r="TWG4094" s="911"/>
      <c r="TWH4094" s="911"/>
      <c r="TWI4094" s="911"/>
      <c r="TWJ4094" s="911"/>
      <c r="TWK4094" s="911"/>
      <c r="TWL4094" s="911"/>
      <c r="TWM4094" s="912"/>
      <c r="TWO4094" s="913" t="s">
        <v>1</v>
      </c>
      <c r="TWP4094" s="31"/>
      <c r="TWQ4094" s="909" t="s">
        <v>0</v>
      </c>
      <c r="TWR4094" s="909"/>
      <c r="TWS4094" s="909"/>
      <c r="TWT4094" s="909"/>
      <c r="TWU4094" s="909"/>
      <c r="TWV4094" s="909"/>
      <c r="TWW4094" s="907" t="s">
        <v>79</v>
      </c>
      <c r="TWX4094" s="909" t="s">
        <v>68</v>
      </c>
      <c r="TWY4094" s="910" t="s">
        <v>75</v>
      </c>
      <c r="TWZ4094" s="911"/>
      <c r="TXA4094" s="911"/>
      <c r="TXB4094" s="911"/>
      <c r="TXC4094" s="911"/>
      <c r="TXD4094" s="911"/>
      <c r="TXE4094" s="911"/>
      <c r="TXF4094" s="911"/>
      <c r="TXG4094" s="911"/>
      <c r="TXH4094" s="911"/>
      <c r="TXI4094" s="32"/>
      <c r="TXJ4094" s="911" t="s">
        <v>74</v>
      </c>
      <c r="TXK4094" s="911"/>
      <c r="TXL4094" s="911"/>
      <c r="TXM4094" s="911"/>
      <c r="TXN4094" s="911"/>
      <c r="TXO4094" s="911"/>
      <c r="TXP4094" s="911"/>
      <c r="TXQ4094" s="911"/>
      <c r="TXR4094" s="911"/>
      <c r="TXS4094" s="912"/>
      <c r="TXU4094" s="913" t="s">
        <v>1</v>
      </c>
      <c r="TXV4094" s="31"/>
      <c r="TXW4094" s="909" t="s">
        <v>0</v>
      </c>
      <c r="TXX4094" s="909"/>
      <c r="TXY4094" s="909"/>
      <c r="TXZ4094" s="909"/>
      <c r="TYA4094" s="909"/>
      <c r="TYB4094" s="909"/>
      <c r="TYC4094" s="907" t="s">
        <v>79</v>
      </c>
      <c r="TYD4094" s="909" t="s">
        <v>68</v>
      </c>
      <c r="TYE4094" s="910" t="s">
        <v>75</v>
      </c>
      <c r="TYF4094" s="911"/>
      <c r="TYG4094" s="911"/>
      <c r="TYH4094" s="911"/>
      <c r="TYI4094" s="911"/>
      <c r="TYJ4094" s="911"/>
      <c r="TYK4094" s="911"/>
      <c r="TYL4094" s="911"/>
      <c r="TYM4094" s="911"/>
      <c r="TYN4094" s="911"/>
      <c r="TYO4094" s="32"/>
      <c r="TYP4094" s="911" t="s">
        <v>74</v>
      </c>
      <c r="TYQ4094" s="911"/>
      <c r="TYR4094" s="911"/>
      <c r="TYS4094" s="911"/>
      <c r="TYT4094" s="911"/>
      <c r="TYU4094" s="911"/>
      <c r="TYV4094" s="911"/>
      <c r="TYW4094" s="911"/>
      <c r="TYX4094" s="911"/>
      <c r="TYY4094" s="912"/>
      <c r="TZA4094" s="913" t="s">
        <v>1</v>
      </c>
      <c r="TZB4094" s="31"/>
      <c r="TZC4094" s="909" t="s">
        <v>0</v>
      </c>
      <c r="TZD4094" s="909"/>
      <c r="TZE4094" s="909"/>
      <c r="TZF4094" s="909"/>
      <c r="TZG4094" s="909"/>
      <c r="TZH4094" s="909"/>
      <c r="TZI4094" s="907" t="s">
        <v>79</v>
      </c>
      <c r="TZJ4094" s="909" t="s">
        <v>68</v>
      </c>
      <c r="TZK4094" s="910" t="s">
        <v>75</v>
      </c>
      <c r="TZL4094" s="911"/>
      <c r="TZM4094" s="911"/>
      <c r="TZN4094" s="911"/>
      <c r="TZO4094" s="911"/>
      <c r="TZP4094" s="911"/>
      <c r="TZQ4094" s="911"/>
      <c r="TZR4094" s="911"/>
      <c r="TZS4094" s="911"/>
      <c r="TZT4094" s="911"/>
      <c r="TZU4094" s="32"/>
      <c r="TZV4094" s="911" t="s">
        <v>74</v>
      </c>
      <c r="TZW4094" s="911"/>
      <c r="TZX4094" s="911"/>
      <c r="TZY4094" s="911"/>
      <c r="TZZ4094" s="911"/>
      <c r="UAA4094" s="911"/>
      <c r="UAB4094" s="911"/>
      <c r="UAC4094" s="911"/>
      <c r="UAD4094" s="911"/>
      <c r="UAE4094" s="912"/>
      <c r="UAG4094" s="913" t="s">
        <v>1</v>
      </c>
      <c r="UAH4094" s="31"/>
      <c r="UAI4094" s="909" t="s">
        <v>0</v>
      </c>
      <c r="UAJ4094" s="909"/>
      <c r="UAK4094" s="909"/>
      <c r="UAL4094" s="909"/>
      <c r="UAM4094" s="909"/>
      <c r="UAN4094" s="909"/>
      <c r="UAO4094" s="907" t="s">
        <v>79</v>
      </c>
      <c r="UAP4094" s="909" t="s">
        <v>68</v>
      </c>
      <c r="UAQ4094" s="910" t="s">
        <v>75</v>
      </c>
      <c r="UAR4094" s="911"/>
      <c r="UAS4094" s="911"/>
      <c r="UAT4094" s="911"/>
      <c r="UAU4094" s="911"/>
      <c r="UAV4094" s="911"/>
      <c r="UAW4094" s="911"/>
      <c r="UAX4094" s="911"/>
      <c r="UAY4094" s="911"/>
      <c r="UAZ4094" s="911"/>
      <c r="UBA4094" s="32"/>
      <c r="UBB4094" s="911" t="s">
        <v>74</v>
      </c>
      <c r="UBC4094" s="911"/>
      <c r="UBD4094" s="911"/>
      <c r="UBE4094" s="911"/>
      <c r="UBF4094" s="911"/>
      <c r="UBG4094" s="911"/>
      <c r="UBH4094" s="911"/>
      <c r="UBI4094" s="911"/>
      <c r="UBJ4094" s="911"/>
      <c r="UBK4094" s="912"/>
      <c r="UBM4094" s="913" t="s">
        <v>1</v>
      </c>
      <c r="UBN4094" s="31"/>
      <c r="UBO4094" s="909" t="s">
        <v>0</v>
      </c>
      <c r="UBP4094" s="909"/>
      <c r="UBQ4094" s="909"/>
      <c r="UBR4094" s="909"/>
      <c r="UBS4094" s="909"/>
      <c r="UBT4094" s="909"/>
      <c r="UBU4094" s="907" t="s">
        <v>79</v>
      </c>
      <c r="UBV4094" s="909" t="s">
        <v>68</v>
      </c>
      <c r="UBW4094" s="910" t="s">
        <v>75</v>
      </c>
      <c r="UBX4094" s="911"/>
      <c r="UBY4094" s="911"/>
      <c r="UBZ4094" s="911"/>
      <c r="UCA4094" s="911"/>
      <c r="UCB4094" s="911"/>
      <c r="UCC4094" s="911"/>
      <c r="UCD4094" s="911"/>
      <c r="UCE4094" s="911"/>
      <c r="UCF4094" s="911"/>
      <c r="UCG4094" s="32"/>
      <c r="UCH4094" s="911" t="s">
        <v>74</v>
      </c>
      <c r="UCI4094" s="911"/>
      <c r="UCJ4094" s="911"/>
      <c r="UCK4094" s="911"/>
      <c r="UCL4094" s="911"/>
      <c r="UCM4094" s="911"/>
      <c r="UCN4094" s="911"/>
      <c r="UCO4094" s="911"/>
      <c r="UCP4094" s="911"/>
      <c r="UCQ4094" s="912"/>
      <c r="UCS4094" s="913" t="s">
        <v>1</v>
      </c>
      <c r="UCT4094" s="31"/>
      <c r="UCU4094" s="909" t="s">
        <v>0</v>
      </c>
      <c r="UCV4094" s="909"/>
      <c r="UCW4094" s="909"/>
      <c r="UCX4094" s="909"/>
      <c r="UCY4094" s="909"/>
      <c r="UCZ4094" s="909"/>
      <c r="UDA4094" s="907" t="s">
        <v>79</v>
      </c>
      <c r="UDB4094" s="909" t="s">
        <v>68</v>
      </c>
      <c r="UDC4094" s="910" t="s">
        <v>75</v>
      </c>
      <c r="UDD4094" s="911"/>
      <c r="UDE4094" s="911"/>
      <c r="UDF4094" s="911"/>
      <c r="UDG4094" s="911"/>
      <c r="UDH4094" s="911"/>
      <c r="UDI4094" s="911"/>
      <c r="UDJ4094" s="911"/>
      <c r="UDK4094" s="911"/>
      <c r="UDL4094" s="911"/>
      <c r="UDM4094" s="32"/>
      <c r="UDN4094" s="911" t="s">
        <v>74</v>
      </c>
      <c r="UDO4094" s="911"/>
      <c r="UDP4094" s="911"/>
      <c r="UDQ4094" s="911"/>
      <c r="UDR4094" s="911"/>
      <c r="UDS4094" s="911"/>
      <c r="UDT4094" s="911"/>
      <c r="UDU4094" s="911"/>
      <c r="UDV4094" s="911"/>
      <c r="UDW4094" s="912"/>
      <c r="UDY4094" s="913" t="s">
        <v>1</v>
      </c>
      <c r="UDZ4094" s="31"/>
      <c r="UEA4094" s="909" t="s">
        <v>0</v>
      </c>
      <c r="UEB4094" s="909"/>
      <c r="UEC4094" s="909"/>
      <c r="UED4094" s="909"/>
      <c r="UEE4094" s="909"/>
      <c r="UEF4094" s="909"/>
      <c r="UEG4094" s="907" t="s">
        <v>79</v>
      </c>
      <c r="UEH4094" s="909" t="s">
        <v>68</v>
      </c>
      <c r="UEI4094" s="910" t="s">
        <v>75</v>
      </c>
      <c r="UEJ4094" s="911"/>
      <c r="UEK4094" s="911"/>
      <c r="UEL4094" s="911"/>
      <c r="UEM4094" s="911"/>
      <c r="UEN4094" s="911"/>
      <c r="UEO4094" s="911"/>
      <c r="UEP4094" s="911"/>
      <c r="UEQ4094" s="911"/>
      <c r="UER4094" s="911"/>
      <c r="UES4094" s="32"/>
      <c r="UET4094" s="911" t="s">
        <v>74</v>
      </c>
      <c r="UEU4094" s="911"/>
      <c r="UEV4094" s="911"/>
      <c r="UEW4094" s="911"/>
      <c r="UEX4094" s="911"/>
      <c r="UEY4094" s="911"/>
      <c r="UEZ4094" s="911"/>
      <c r="UFA4094" s="911"/>
      <c r="UFB4094" s="911"/>
      <c r="UFC4094" s="912"/>
      <c r="UFE4094" s="913" t="s">
        <v>1</v>
      </c>
      <c r="UFF4094" s="31"/>
      <c r="UFG4094" s="909" t="s">
        <v>0</v>
      </c>
      <c r="UFH4094" s="909"/>
      <c r="UFI4094" s="909"/>
      <c r="UFJ4094" s="909"/>
      <c r="UFK4094" s="909"/>
      <c r="UFL4094" s="909"/>
      <c r="UFM4094" s="907" t="s">
        <v>79</v>
      </c>
      <c r="UFN4094" s="909" t="s">
        <v>68</v>
      </c>
      <c r="UFO4094" s="910" t="s">
        <v>75</v>
      </c>
      <c r="UFP4094" s="911"/>
      <c r="UFQ4094" s="911"/>
      <c r="UFR4094" s="911"/>
      <c r="UFS4094" s="911"/>
      <c r="UFT4094" s="911"/>
      <c r="UFU4094" s="911"/>
      <c r="UFV4094" s="911"/>
      <c r="UFW4094" s="911"/>
      <c r="UFX4094" s="911"/>
      <c r="UFY4094" s="32"/>
      <c r="UFZ4094" s="911" t="s">
        <v>74</v>
      </c>
      <c r="UGA4094" s="911"/>
      <c r="UGB4094" s="911"/>
      <c r="UGC4094" s="911"/>
      <c r="UGD4094" s="911"/>
      <c r="UGE4094" s="911"/>
      <c r="UGF4094" s="911"/>
      <c r="UGG4094" s="911"/>
      <c r="UGH4094" s="911"/>
      <c r="UGI4094" s="912"/>
      <c r="UGK4094" s="913" t="s">
        <v>1</v>
      </c>
      <c r="UGL4094" s="31"/>
      <c r="UGM4094" s="909" t="s">
        <v>0</v>
      </c>
      <c r="UGN4094" s="909"/>
      <c r="UGO4094" s="909"/>
      <c r="UGP4094" s="909"/>
      <c r="UGQ4094" s="909"/>
      <c r="UGR4094" s="909"/>
      <c r="UGS4094" s="907" t="s">
        <v>79</v>
      </c>
      <c r="UGT4094" s="909" t="s">
        <v>68</v>
      </c>
      <c r="UGU4094" s="910" t="s">
        <v>75</v>
      </c>
      <c r="UGV4094" s="911"/>
      <c r="UGW4094" s="911"/>
      <c r="UGX4094" s="911"/>
      <c r="UGY4094" s="911"/>
      <c r="UGZ4094" s="911"/>
      <c r="UHA4094" s="911"/>
      <c r="UHB4094" s="911"/>
      <c r="UHC4094" s="911"/>
      <c r="UHD4094" s="911"/>
      <c r="UHE4094" s="32"/>
      <c r="UHF4094" s="911" t="s">
        <v>74</v>
      </c>
      <c r="UHG4094" s="911"/>
      <c r="UHH4094" s="911"/>
      <c r="UHI4094" s="911"/>
      <c r="UHJ4094" s="911"/>
      <c r="UHK4094" s="911"/>
      <c r="UHL4094" s="911"/>
      <c r="UHM4094" s="911"/>
      <c r="UHN4094" s="911"/>
      <c r="UHO4094" s="912"/>
      <c r="UHQ4094" s="913" t="s">
        <v>1</v>
      </c>
      <c r="UHR4094" s="31"/>
      <c r="UHS4094" s="909" t="s">
        <v>0</v>
      </c>
      <c r="UHT4094" s="909"/>
      <c r="UHU4094" s="909"/>
      <c r="UHV4094" s="909"/>
      <c r="UHW4094" s="909"/>
      <c r="UHX4094" s="909"/>
      <c r="UHY4094" s="907" t="s">
        <v>79</v>
      </c>
      <c r="UHZ4094" s="909" t="s">
        <v>68</v>
      </c>
      <c r="UIA4094" s="910" t="s">
        <v>75</v>
      </c>
      <c r="UIB4094" s="911"/>
      <c r="UIC4094" s="911"/>
      <c r="UID4094" s="911"/>
      <c r="UIE4094" s="911"/>
      <c r="UIF4094" s="911"/>
      <c r="UIG4094" s="911"/>
      <c r="UIH4094" s="911"/>
      <c r="UII4094" s="911"/>
      <c r="UIJ4094" s="911"/>
      <c r="UIK4094" s="32"/>
      <c r="UIL4094" s="911" t="s">
        <v>74</v>
      </c>
      <c r="UIM4094" s="911"/>
      <c r="UIN4094" s="911"/>
      <c r="UIO4094" s="911"/>
      <c r="UIP4094" s="911"/>
      <c r="UIQ4094" s="911"/>
      <c r="UIR4094" s="911"/>
      <c r="UIS4094" s="911"/>
      <c r="UIT4094" s="911"/>
      <c r="UIU4094" s="912"/>
      <c r="UIW4094" s="913" t="s">
        <v>1</v>
      </c>
      <c r="UIX4094" s="31"/>
      <c r="UIY4094" s="909" t="s">
        <v>0</v>
      </c>
      <c r="UIZ4094" s="909"/>
      <c r="UJA4094" s="909"/>
      <c r="UJB4094" s="909"/>
      <c r="UJC4094" s="909"/>
      <c r="UJD4094" s="909"/>
      <c r="UJE4094" s="907" t="s">
        <v>79</v>
      </c>
      <c r="UJF4094" s="909" t="s">
        <v>68</v>
      </c>
      <c r="UJG4094" s="910" t="s">
        <v>75</v>
      </c>
      <c r="UJH4094" s="911"/>
      <c r="UJI4094" s="911"/>
      <c r="UJJ4094" s="911"/>
      <c r="UJK4094" s="911"/>
      <c r="UJL4094" s="911"/>
      <c r="UJM4094" s="911"/>
      <c r="UJN4094" s="911"/>
      <c r="UJO4094" s="911"/>
      <c r="UJP4094" s="911"/>
      <c r="UJQ4094" s="32"/>
      <c r="UJR4094" s="911" t="s">
        <v>74</v>
      </c>
      <c r="UJS4094" s="911"/>
      <c r="UJT4094" s="911"/>
      <c r="UJU4094" s="911"/>
      <c r="UJV4094" s="911"/>
      <c r="UJW4094" s="911"/>
      <c r="UJX4094" s="911"/>
      <c r="UJY4094" s="911"/>
      <c r="UJZ4094" s="911"/>
      <c r="UKA4094" s="912"/>
      <c r="UKC4094" s="913" t="s">
        <v>1</v>
      </c>
      <c r="UKD4094" s="31"/>
      <c r="UKE4094" s="909" t="s">
        <v>0</v>
      </c>
      <c r="UKF4094" s="909"/>
      <c r="UKG4094" s="909"/>
      <c r="UKH4094" s="909"/>
      <c r="UKI4094" s="909"/>
      <c r="UKJ4094" s="909"/>
      <c r="UKK4094" s="907" t="s">
        <v>79</v>
      </c>
      <c r="UKL4094" s="909" t="s">
        <v>68</v>
      </c>
      <c r="UKM4094" s="910" t="s">
        <v>75</v>
      </c>
      <c r="UKN4094" s="911"/>
      <c r="UKO4094" s="911"/>
      <c r="UKP4094" s="911"/>
      <c r="UKQ4094" s="911"/>
      <c r="UKR4094" s="911"/>
      <c r="UKS4094" s="911"/>
      <c r="UKT4094" s="911"/>
      <c r="UKU4094" s="911"/>
      <c r="UKV4094" s="911"/>
      <c r="UKW4094" s="32"/>
      <c r="UKX4094" s="911" t="s">
        <v>74</v>
      </c>
      <c r="UKY4094" s="911"/>
      <c r="UKZ4094" s="911"/>
      <c r="ULA4094" s="911"/>
      <c r="ULB4094" s="911"/>
      <c r="ULC4094" s="911"/>
      <c r="ULD4094" s="911"/>
      <c r="ULE4094" s="911"/>
      <c r="ULF4094" s="911"/>
      <c r="ULG4094" s="912"/>
      <c r="ULI4094" s="913" t="s">
        <v>1</v>
      </c>
      <c r="ULJ4094" s="31"/>
      <c r="ULK4094" s="909" t="s">
        <v>0</v>
      </c>
      <c r="ULL4094" s="909"/>
      <c r="ULM4094" s="909"/>
      <c r="ULN4094" s="909"/>
      <c r="ULO4094" s="909"/>
      <c r="ULP4094" s="909"/>
      <c r="ULQ4094" s="907" t="s">
        <v>79</v>
      </c>
      <c r="ULR4094" s="909" t="s">
        <v>68</v>
      </c>
      <c r="ULS4094" s="910" t="s">
        <v>75</v>
      </c>
      <c r="ULT4094" s="911"/>
      <c r="ULU4094" s="911"/>
      <c r="ULV4094" s="911"/>
      <c r="ULW4094" s="911"/>
      <c r="ULX4094" s="911"/>
      <c r="ULY4094" s="911"/>
      <c r="ULZ4094" s="911"/>
      <c r="UMA4094" s="911"/>
      <c r="UMB4094" s="911"/>
      <c r="UMC4094" s="32"/>
      <c r="UMD4094" s="911" t="s">
        <v>74</v>
      </c>
      <c r="UME4094" s="911"/>
      <c r="UMF4094" s="911"/>
      <c r="UMG4094" s="911"/>
      <c r="UMH4094" s="911"/>
      <c r="UMI4094" s="911"/>
      <c r="UMJ4094" s="911"/>
      <c r="UMK4094" s="911"/>
      <c r="UML4094" s="911"/>
      <c r="UMM4094" s="912"/>
      <c r="UMO4094" s="913" t="s">
        <v>1</v>
      </c>
      <c r="UMP4094" s="31"/>
      <c r="UMQ4094" s="909" t="s">
        <v>0</v>
      </c>
      <c r="UMR4094" s="909"/>
      <c r="UMS4094" s="909"/>
      <c r="UMT4094" s="909"/>
      <c r="UMU4094" s="909"/>
      <c r="UMV4094" s="909"/>
      <c r="UMW4094" s="907" t="s">
        <v>79</v>
      </c>
      <c r="UMX4094" s="909" t="s">
        <v>68</v>
      </c>
      <c r="UMY4094" s="910" t="s">
        <v>75</v>
      </c>
      <c r="UMZ4094" s="911"/>
      <c r="UNA4094" s="911"/>
      <c r="UNB4094" s="911"/>
      <c r="UNC4094" s="911"/>
      <c r="UND4094" s="911"/>
      <c r="UNE4094" s="911"/>
      <c r="UNF4094" s="911"/>
      <c r="UNG4094" s="911"/>
      <c r="UNH4094" s="911"/>
      <c r="UNI4094" s="32"/>
      <c r="UNJ4094" s="911" t="s">
        <v>74</v>
      </c>
      <c r="UNK4094" s="911"/>
      <c r="UNL4094" s="911"/>
      <c r="UNM4094" s="911"/>
      <c r="UNN4094" s="911"/>
      <c r="UNO4094" s="911"/>
      <c r="UNP4094" s="911"/>
      <c r="UNQ4094" s="911"/>
      <c r="UNR4094" s="911"/>
      <c r="UNS4094" s="912"/>
      <c r="UNU4094" s="913" t="s">
        <v>1</v>
      </c>
      <c r="UNV4094" s="31"/>
      <c r="UNW4094" s="909" t="s">
        <v>0</v>
      </c>
      <c r="UNX4094" s="909"/>
      <c r="UNY4094" s="909"/>
      <c r="UNZ4094" s="909"/>
      <c r="UOA4094" s="909"/>
      <c r="UOB4094" s="909"/>
      <c r="UOC4094" s="907" t="s">
        <v>79</v>
      </c>
      <c r="UOD4094" s="909" t="s">
        <v>68</v>
      </c>
      <c r="UOE4094" s="910" t="s">
        <v>75</v>
      </c>
      <c r="UOF4094" s="911"/>
      <c r="UOG4094" s="911"/>
      <c r="UOH4094" s="911"/>
      <c r="UOI4094" s="911"/>
      <c r="UOJ4094" s="911"/>
      <c r="UOK4094" s="911"/>
      <c r="UOL4094" s="911"/>
      <c r="UOM4094" s="911"/>
      <c r="UON4094" s="911"/>
      <c r="UOO4094" s="32"/>
      <c r="UOP4094" s="911" t="s">
        <v>74</v>
      </c>
      <c r="UOQ4094" s="911"/>
      <c r="UOR4094" s="911"/>
      <c r="UOS4094" s="911"/>
      <c r="UOT4094" s="911"/>
      <c r="UOU4094" s="911"/>
      <c r="UOV4094" s="911"/>
      <c r="UOW4094" s="911"/>
      <c r="UOX4094" s="911"/>
      <c r="UOY4094" s="912"/>
      <c r="UPA4094" s="913" t="s">
        <v>1</v>
      </c>
      <c r="UPB4094" s="31"/>
      <c r="UPC4094" s="909" t="s">
        <v>0</v>
      </c>
      <c r="UPD4094" s="909"/>
      <c r="UPE4094" s="909"/>
      <c r="UPF4094" s="909"/>
      <c r="UPG4094" s="909"/>
      <c r="UPH4094" s="909"/>
      <c r="UPI4094" s="907" t="s">
        <v>79</v>
      </c>
      <c r="UPJ4094" s="909" t="s">
        <v>68</v>
      </c>
      <c r="UPK4094" s="910" t="s">
        <v>75</v>
      </c>
      <c r="UPL4094" s="911"/>
      <c r="UPM4094" s="911"/>
      <c r="UPN4094" s="911"/>
      <c r="UPO4094" s="911"/>
      <c r="UPP4094" s="911"/>
      <c r="UPQ4094" s="911"/>
      <c r="UPR4094" s="911"/>
      <c r="UPS4094" s="911"/>
      <c r="UPT4094" s="911"/>
      <c r="UPU4094" s="32"/>
      <c r="UPV4094" s="911" t="s">
        <v>74</v>
      </c>
      <c r="UPW4094" s="911"/>
      <c r="UPX4094" s="911"/>
      <c r="UPY4094" s="911"/>
      <c r="UPZ4094" s="911"/>
      <c r="UQA4094" s="911"/>
      <c r="UQB4094" s="911"/>
      <c r="UQC4094" s="911"/>
      <c r="UQD4094" s="911"/>
      <c r="UQE4094" s="912"/>
      <c r="UQG4094" s="913" t="s">
        <v>1</v>
      </c>
      <c r="UQH4094" s="31"/>
      <c r="UQI4094" s="909" t="s">
        <v>0</v>
      </c>
      <c r="UQJ4094" s="909"/>
      <c r="UQK4094" s="909"/>
      <c r="UQL4094" s="909"/>
      <c r="UQM4094" s="909"/>
      <c r="UQN4094" s="909"/>
      <c r="UQO4094" s="907" t="s">
        <v>79</v>
      </c>
      <c r="UQP4094" s="909" t="s">
        <v>68</v>
      </c>
      <c r="UQQ4094" s="910" t="s">
        <v>75</v>
      </c>
      <c r="UQR4094" s="911"/>
      <c r="UQS4094" s="911"/>
      <c r="UQT4094" s="911"/>
      <c r="UQU4094" s="911"/>
      <c r="UQV4094" s="911"/>
      <c r="UQW4094" s="911"/>
      <c r="UQX4094" s="911"/>
      <c r="UQY4094" s="911"/>
      <c r="UQZ4094" s="911"/>
      <c r="URA4094" s="32"/>
      <c r="URB4094" s="911" t="s">
        <v>74</v>
      </c>
      <c r="URC4094" s="911"/>
      <c r="URD4094" s="911"/>
      <c r="URE4094" s="911"/>
      <c r="URF4094" s="911"/>
      <c r="URG4094" s="911"/>
      <c r="URH4094" s="911"/>
      <c r="URI4094" s="911"/>
      <c r="URJ4094" s="911"/>
      <c r="URK4094" s="912"/>
      <c r="URM4094" s="913" t="s">
        <v>1</v>
      </c>
      <c r="URN4094" s="31"/>
      <c r="URO4094" s="909" t="s">
        <v>0</v>
      </c>
      <c r="URP4094" s="909"/>
      <c r="URQ4094" s="909"/>
      <c r="URR4094" s="909"/>
      <c r="URS4094" s="909"/>
      <c r="URT4094" s="909"/>
      <c r="URU4094" s="907" t="s">
        <v>79</v>
      </c>
      <c r="URV4094" s="909" t="s">
        <v>68</v>
      </c>
      <c r="URW4094" s="910" t="s">
        <v>75</v>
      </c>
      <c r="URX4094" s="911"/>
      <c r="URY4094" s="911"/>
      <c r="URZ4094" s="911"/>
      <c r="USA4094" s="911"/>
      <c r="USB4094" s="911"/>
      <c r="USC4094" s="911"/>
      <c r="USD4094" s="911"/>
      <c r="USE4094" s="911"/>
      <c r="USF4094" s="911"/>
      <c r="USG4094" s="32"/>
      <c r="USH4094" s="911" t="s">
        <v>74</v>
      </c>
      <c r="USI4094" s="911"/>
      <c r="USJ4094" s="911"/>
      <c r="USK4094" s="911"/>
      <c r="USL4094" s="911"/>
      <c r="USM4094" s="911"/>
      <c r="USN4094" s="911"/>
      <c r="USO4094" s="911"/>
      <c r="USP4094" s="911"/>
      <c r="USQ4094" s="912"/>
      <c r="USS4094" s="913" t="s">
        <v>1</v>
      </c>
      <c r="UST4094" s="31"/>
      <c r="USU4094" s="909" t="s">
        <v>0</v>
      </c>
      <c r="USV4094" s="909"/>
      <c r="USW4094" s="909"/>
      <c r="USX4094" s="909"/>
      <c r="USY4094" s="909"/>
      <c r="USZ4094" s="909"/>
      <c r="UTA4094" s="907" t="s">
        <v>79</v>
      </c>
      <c r="UTB4094" s="909" t="s">
        <v>68</v>
      </c>
      <c r="UTC4094" s="910" t="s">
        <v>75</v>
      </c>
      <c r="UTD4094" s="911"/>
      <c r="UTE4094" s="911"/>
      <c r="UTF4094" s="911"/>
      <c r="UTG4094" s="911"/>
      <c r="UTH4094" s="911"/>
      <c r="UTI4094" s="911"/>
      <c r="UTJ4094" s="911"/>
      <c r="UTK4094" s="911"/>
      <c r="UTL4094" s="911"/>
      <c r="UTM4094" s="32"/>
      <c r="UTN4094" s="911" t="s">
        <v>74</v>
      </c>
      <c r="UTO4094" s="911"/>
      <c r="UTP4094" s="911"/>
      <c r="UTQ4094" s="911"/>
      <c r="UTR4094" s="911"/>
      <c r="UTS4094" s="911"/>
      <c r="UTT4094" s="911"/>
      <c r="UTU4094" s="911"/>
      <c r="UTV4094" s="911"/>
      <c r="UTW4094" s="912"/>
      <c r="UTY4094" s="913" t="s">
        <v>1</v>
      </c>
      <c r="UTZ4094" s="31"/>
      <c r="UUA4094" s="909" t="s">
        <v>0</v>
      </c>
      <c r="UUB4094" s="909"/>
      <c r="UUC4094" s="909"/>
      <c r="UUD4094" s="909"/>
      <c r="UUE4094" s="909"/>
      <c r="UUF4094" s="909"/>
      <c r="UUG4094" s="907" t="s">
        <v>79</v>
      </c>
      <c r="UUH4094" s="909" t="s">
        <v>68</v>
      </c>
      <c r="UUI4094" s="910" t="s">
        <v>75</v>
      </c>
      <c r="UUJ4094" s="911"/>
      <c r="UUK4094" s="911"/>
      <c r="UUL4094" s="911"/>
      <c r="UUM4094" s="911"/>
      <c r="UUN4094" s="911"/>
      <c r="UUO4094" s="911"/>
      <c r="UUP4094" s="911"/>
      <c r="UUQ4094" s="911"/>
      <c r="UUR4094" s="911"/>
      <c r="UUS4094" s="32"/>
      <c r="UUT4094" s="911" t="s">
        <v>74</v>
      </c>
      <c r="UUU4094" s="911"/>
      <c r="UUV4094" s="911"/>
      <c r="UUW4094" s="911"/>
      <c r="UUX4094" s="911"/>
      <c r="UUY4094" s="911"/>
      <c r="UUZ4094" s="911"/>
      <c r="UVA4094" s="911"/>
      <c r="UVB4094" s="911"/>
      <c r="UVC4094" s="912"/>
      <c r="UVE4094" s="913" t="s">
        <v>1</v>
      </c>
      <c r="UVF4094" s="31"/>
      <c r="UVG4094" s="909" t="s">
        <v>0</v>
      </c>
      <c r="UVH4094" s="909"/>
      <c r="UVI4094" s="909"/>
      <c r="UVJ4094" s="909"/>
      <c r="UVK4094" s="909"/>
      <c r="UVL4094" s="909"/>
      <c r="UVM4094" s="907" t="s">
        <v>79</v>
      </c>
      <c r="UVN4094" s="909" t="s">
        <v>68</v>
      </c>
      <c r="UVO4094" s="910" t="s">
        <v>75</v>
      </c>
      <c r="UVP4094" s="911"/>
      <c r="UVQ4094" s="911"/>
      <c r="UVR4094" s="911"/>
      <c r="UVS4094" s="911"/>
      <c r="UVT4094" s="911"/>
      <c r="UVU4094" s="911"/>
      <c r="UVV4094" s="911"/>
      <c r="UVW4094" s="911"/>
      <c r="UVX4094" s="911"/>
      <c r="UVY4094" s="32"/>
      <c r="UVZ4094" s="911" t="s">
        <v>74</v>
      </c>
      <c r="UWA4094" s="911"/>
      <c r="UWB4094" s="911"/>
      <c r="UWC4094" s="911"/>
      <c r="UWD4094" s="911"/>
      <c r="UWE4094" s="911"/>
      <c r="UWF4094" s="911"/>
      <c r="UWG4094" s="911"/>
      <c r="UWH4094" s="911"/>
      <c r="UWI4094" s="912"/>
      <c r="UWK4094" s="913" t="s">
        <v>1</v>
      </c>
      <c r="UWL4094" s="31"/>
      <c r="UWM4094" s="909" t="s">
        <v>0</v>
      </c>
      <c r="UWN4094" s="909"/>
      <c r="UWO4094" s="909"/>
      <c r="UWP4094" s="909"/>
      <c r="UWQ4094" s="909"/>
      <c r="UWR4094" s="909"/>
      <c r="UWS4094" s="907" t="s">
        <v>79</v>
      </c>
      <c r="UWT4094" s="909" t="s">
        <v>68</v>
      </c>
      <c r="UWU4094" s="910" t="s">
        <v>75</v>
      </c>
      <c r="UWV4094" s="911"/>
      <c r="UWW4094" s="911"/>
      <c r="UWX4094" s="911"/>
      <c r="UWY4094" s="911"/>
      <c r="UWZ4094" s="911"/>
      <c r="UXA4094" s="911"/>
      <c r="UXB4094" s="911"/>
      <c r="UXC4094" s="911"/>
      <c r="UXD4094" s="911"/>
      <c r="UXE4094" s="32"/>
      <c r="UXF4094" s="911" t="s">
        <v>74</v>
      </c>
      <c r="UXG4094" s="911"/>
      <c r="UXH4094" s="911"/>
      <c r="UXI4094" s="911"/>
      <c r="UXJ4094" s="911"/>
      <c r="UXK4094" s="911"/>
      <c r="UXL4094" s="911"/>
      <c r="UXM4094" s="911"/>
      <c r="UXN4094" s="911"/>
      <c r="UXO4094" s="912"/>
      <c r="UXQ4094" s="913" t="s">
        <v>1</v>
      </c>
      <c r="UXR4094" s="31"/>
      <c r="UXS4094" s="909" t="s">
        <v>0</v>
      </c>
      <c r="UXT4094" s="909"/>
      <c r="UXU4094" s="909"/>
      <c r="UXV4094" s="909"/>
      <c r="UXW4094" s="909"/>
      <c r="UXX4094" s="909"/>
      <c r="UXY4094" s="907" t="s">
        <v>79</v>
      </c>
      <c r="UXZ4094" s="909" t="s">
        <v>68</v>
      </c>
      <c r="UYA4094" s="910" t="s">
        <v>75</v>
      </c>
      <c r="UYB4094" s="911"/>
      <c r="UYC4094" s="911"/>
      <c r="UYD4094" s="911"/>
      <c r="UYE4094" s="911"/>
      <c r="UYF4094" s="911"/>
      <c r="UYG4094" s="911"/>
      <c r="UYH4094" s="911"/>
      <c r="UYI4094" s="911"/>
      <c r="UYJ4094" s="911"/>
      <c r="UYK4094" s="32"/>
      <c r="UYL4094" s="911" t="s">
        <v>74</v>
      </c>
      <c r="UYM4094" s="911"/>
      <c r="UYN4094" s="911"/>
      <c r="UYO4094" s="911"/>
      <c r="UYP4094" s="911"/>
      <c r="UYQ4094" s="911"/>
      <c r="UYR4094" s="911"/>
      <c r="UYS4094" s="911"/>
      <c r="UYT4094" s="911"/>
      <c r="UYU4094" s="912"/>
      <c r="UYW4094" s="913" t="s">
        <v>1</v>
      </c>
      <c r="UYX4094" s="31"/>
      <c r="UYY4094" s="909" t="s">
        <v>0</v>
      </c>
      <c r="UYZ4094" s="909"/>
      <c r="UZA4094" s="909"/>
      <c r="UZB4094" s="909"/>
      <c r="UZC4094" s="909"/>
      <c r="UZD4094" s="909"/>
      <c r="UZE4094" s="907" t="s">
        <v>79</v>
      </c>
      <c r="UZF4094" s="909" t="s">
        <v>68</v>
      </c>
      <c r="UZG4094" s="910" t="s">
        <v>75</v>
      </c>
      <c r="UZH4094" s="911"/>
      <c r="UZI4094" s="911"/>
      <c r="UZJ4094" s="911"/>
      <c r="UZK4094" s="911"/>
      <c r="UZL4094" s="911"/>
      <c r="UZM4094" s="911"/>
      <c r="UZN4094" s="911"/>
      <c r="UZO4094" s="911"/>
      <c r="UZP4094" s="911"/>
      <c r="UZQ4094" s="32"/>
      <c r="UZR4094" s="911" t="s">
        <v>74</v>
      </c>
      <c r="UZS4094" s="911"/>
      <c r="UZT4094" s="911"/>
      <c r="UZU4094" s="911"/>
      <c r="UZV4094" s="911"/>
      <c r="UZW4094" s="911"/>
      <c r="UZX4094" s="911"/>
      <c r="UZY4094" s="911"/>
      <c r="UZZ4094" s="911"/>
      <c r="VAA4094" s="912"/>
      <c r="VAC4094" s="913" t="s">
        <v>1</v>
      </c>
      <c r="VAD4094" s="31"/>
      <c r="VAE4094" s="909" t="s">
        <v>0</v>
      </c>
      <c r="VAF4094" s="909"/>
      <c r="VAG4094" s="909"/>
      <c r="VAH4094" s="909"/>
      <c r="VAI4094" s="909"/>
      <c r="VAJ4094" s="909"/>
      <c r="VAK4094" s="907" t="s">
        <v>79</v>
      </c>
      <c r="VAL4094" s="909" t="s">
        <v>68</v>
      </c>
      <c r="VAM4094" s="910" t="s">
        <v>75</v>
      </c>
      <c r="VAN4094" s="911"/>
      <c r="VAO4094" s="911"/>
      <c r="VAP4094" s="911"/>
      <c r="VAQ4094" s="911"/>
      <c r="VAR4094" s="911"/>
      <c r="VAS4094" s="911"/>
      <c r="VAT4094" s="911"/>
      <c r="VAU4094" s="911"/>
      <c r="VAV4094" s="911"/>
      <c r="VAW4094" s="32"/>
      <c r="VAX4094" s="911" t="s">
        <v>74</v>
      </c>
      <c r="VAY4094" s="911"/>
      <c r="VAZ4094" s="911"/>
      <c r="VBA4094" s="911"/>
      <c r="VBB4094" s="911"/>
      <c r="VBC4094" s="911"/>
      <c r="VBD4094" s="911"/>
      <c r="VBE4094" s="911"/>
      <c r="VBF4094" s="911"/>
      <c r="VBG4094" s="912"/>
      <c r="VBI4094" s="913" t="s">
        <v>1</v>
      </c>
      <c r="VBJ4094" s="31"/>
      <c r="VBK4094" s="909" t="s">
        <v>0</v>
      </c>
      <c r="VBL4094" s="909"/>
      <c r="VBM4094" s="909"/>
      <c r="VBN4094" s="909"/>
      <c r="VBO4094" s="909"/>
      <c r="VBP4094" s="909"/>
      <c r="VBQ4094" s="907" t="s">
        <v>79</v>
      </c>
      <c r="VBR4094" s="909" t="s">
        <v>68</v>
      </c>
      <c r="VBS4094" s="910" t="s">
        <v>75</v>
      </c>
      <c r="VBT4094" s="911"/>
      <c r="VBU4094" s="911"/>
      <c r="VBV4094" s="911"/>
      <c r="VBW4094" s="911"/>
      <c r="VBX4094" s="911"/>
      <c r="VBY4094" s="911"/>
      <c r="VBZ4094" s="911"/>
      <c r="VCA4094" s="911"/>
      <c r="VCB4094" s="911"/>
      <c r="VCC4094" s="32"/>
      <c r="VCD4094" s="911" t="s">
        <v>74</v>
      </c>
      <c r="VCE4094" s="911"/>
      <c r="VCF4094" s="911"/>
      <c r="VCG4094" s="911"/>
      <c r="VCH4094" s="911"/>
      <c r="VCI4094" s="911"/>
      <c r="VCJ4094" s="911"/>
      <c r="VCK4094" s="911"/>
      <c r="VCL4094" s="911"/>
      <c r="VCM4094" s="912"/>
      <c r="VCO4094" s="913" t="s">
        <v>1</v>
      </c>
      <c r="VCP4094" s="31"/>
      <c r="VCQ4094" s="909" t="s">
        <v>0</v>
      </c>
      <c r="VCR4094" s="909"/>
      <c r="VCS4094" s="909"/>
      <c r="VCT4094" s="909"/>
      <c r="VCU4094" s="909"/>
      <c r="VCV4094" s="909"/>
      <c r="VCW4094" s="907" t="s">
        <v>79</v>
      </c>
      <c r="VCX4094" s="909" t="s">
        <v>68</v>
      </c>
      <c r="VCY4094" s="910" t="s">
        <v>75</v>
      </c>
      <c r="VCZ4094" s="911"/>
      <c r="VDA4094" s="911"/>
      <c r="VDB4094" s="911"/>
      <c r="VDC4094" s="911"/>
      <c r="VDD4094" s="911"/>
      <c r="VDE4094" s="911"/>
      <c r="VDF4094" s="911"/>
      <c r="VDG4094" s="911"/>
      <c r="VDH4094" s="911"/>
      <c r="VDI4094" s="32"/>
      <c r="VDJ4094" s="911" t="s">
        <v>74</v>
      </c>
      <c r="VDK4094" s="911"/>
      <c r="VDL4094" s="911"/>
      <c r="VDM4094" s="911"/>
      <c r="VDN4094" s="911"/>
      <c r="VDO4094" s="911"/>
      <c r="VDP4094" s="911"/>
      <c r="VDQ4094" s="911"/>
      <c r="VDR4094" s="911"/>
      <c r="VDS4094" s="912"/>
      <c r="VDU4094" s="913" t="s">
        <v>1</v>
      </c>
      <c r="VDV4094" s="31"/>
      <c r="VDW4094" s="909" t="s">
        <v>0</v>
      </c>
      <c r="VDX4094" s="909"/>
      <c r="VDY4094" s="909"/>
      <c r="VDZ4094" s="909"/>
      <c r="VEA4094" s="909"/>
      <c r="VEB4094" s="909"/>
      <c r="VEC4094" s="907" t="s">
        <v>79</v>
      </c>
      <c r="VED4094" s="909" t="s">
        <v>68</v>
      </c>
      <c r="VEE4094" s="910" t="s">
        <v>75</v>
      </c>
      <c r="VEF4094" s="911"/>
      <c r="VEG4094" s="911"/>
      <c r="VEH4094" s="911"/>
      <c r="VEI4094" s="911"/>
      <c r="VEJ4094" s="911"/>
      <c r="VEK4094" s="911"/>
      <c r="VEL4094" s="911"/>
      <c r="VEM4094" s="911"/>
      <c r="VEN4094" s="911"/>
      <c r="VEO4094" s="32"/>
      <c r="VEP4094" s="911" t="s">
        <v>74</v>
      </c>
      <c r="VEQ4094" s="911"/>
      <c r="VER4094" s="911"/>
      <c r="VES4094" s="911"/>
      <c r="VET4094" s="911"/>
      <c r="VEU4094" s="911"/>
      <c r="VEV4094" s="911"/>
      <c r="VEW4094" s="911"/>
      <c r="VEX4094" s="911"/>
      <c r="VEY4094" s="912"/>
      <c r="VFA4094" s="913" t="s">
        <v>1</v>
      </c>
      <c r="VFB4094" s="31"/>
      <c r="VFC4094" s="909" t="s">
        <v>0</v>
      </c>
      <c r="VFD4094" s="909"/>
      <c r="VFE4094" s="909"/>
      <c r="VFF4094" s="909"/>
      <c r="VFG4094" s="909"/>
      <c r="VFH4094" s="909"/>
      <c r="VFI4094" s="907" t="s">
        <v>79</v>
      </c>
      <c r="VFJ4094" s="909" t="s">
        <v>68</v>
      </c>
      <c r="VFK4094" s="910" t="s">
        <v>75</v>
      </c>
      <c r="VFL4094" s="911"/>
      <c r="VFM4094" s="911"/>
      <c r="VFN4094" s="911"/>
      <c r="VFO4094" s="911"/>
      <c r="VFP4094" s="911"/>
      <c r="VFQ4094" s="911"/>
      <c r="VFR4094" s="911"/>
      <c r="VFS4094" s="911"/>
      <c r="VFT4094" s="911"/>
      <c r="VFU4094" s="32"/>
      <c r="VFV4094" s="911" t="s">
        <v>74</v>
      </c>
      <c r="VFW4094" s="911"/>
      <c r="VFX4094" s="911"/>
      <c r="VFY4094" s="911"/>
      <c r="VFZ4094" s="911"/>
      <c r="VGA4094" s="911"/>
      <c r="VGB4094" s="911"/>
      <c r="VGC4094" s="911"/>
      <c r="VGD4094" s="911"/>
      <c r="VGE4094" s="912"/>
      <c r="VGG4094" s="913" t="s">
        <v>1</v>
      </c>
      <c r="VGH4094" s="31"/>
      <c r="VGI4094" s="909" t="s">
        <v>0</v>
      </c>
      <c r="VGJ4094" s="909"/>
      <c r="VGK4094" s="909"/>
      <c r="VGL4094" s="909"/>
      <c r="VGM4094" s="909"/>
      <c r="VGN4094" s="909"/>
      <c r="VGO4094" s="907" t="s">
        <v>79</v>
      </c>
      <c r="VGP4094" s="909" t="s">
        <v>68</v>
      </c>
      <c r="VGQ4094" s="910" t="s">
        <v>75</v>
      </c>
      <c r="VGR4094" s="911"/>
      <c r="VGS4094" s="911"/>
      <c r="VGT4094" s="911"/>
      <c r="VGU4094" s="911"/>
      <c r="VGV4094" s="911"/>
      <c r="VGW4094" s="911"/>
      <c r="VGX4094" s="911"/>
      <c r="VGY4094" s="911"/>
      <c r="VGZ4094" s="911"/>
      <c r="VHA4094" s="32"/>
      <c r="VHB4094" s="911" t="s">
        <v>74</v>
      </c>
      <c r="VHC4094" s="911"/>
      <c r="VHD4094" s="911"/>
      <c r="VHE4094" s="911"/>
      <c r="VHF4094" s="911"/>
      <c r="VHG4094" s="911"/>
      <c r="VHH4094" s="911"/>
      <c r="VHI4094" s="911"/>
      <c r="VHJ4094" s="911"/>
      <c r="VHK4094" s="912"/>
      <c r="VHM4094" s="913" t="s">
        <v>1</v>
      </c>
      <c r="VHN4094" s="31"/>
      <c r="VHO4094" s="909" t="s">
        <v>0</v>
      </c>
      <c r="VHP4094" s="909"/>
      <c r="VHQ4094" s="909"/>
      <c r="VHR4094" s="909"/>
      <c r="VHS4094" s="909"/>
      <c r="VHT4094" s="909"/>
      <c r="VHU4094" s="907" t="s">
        <v>79</v>
      </c>
      <c r="VHV4094" s="909" t="s">
        <v>68</v>
      </c>
      <c r="VHW4094" s="910" t="s">
        <v>75</v>
      </c>
      <c r="VHX4094" s="911"/>
      <c r="VHY4094" s="911"/>
      <c r="VHZ4094" s="911"/>
      <c r="VIA4094" s="911"/>
      <c r="VIB4094" s="911"/>
      <c r="VIC4094" s="911"/>
      <c r="VID4094" s="911"/>
      <c r="VIE4094" s="911"/>
      <c r="VIF4094" s="911"/>
      <c r="VIG4094" s="32"/>
      <c r="VIH4094" s="911" t="s">
        <v>74</v>
      </c>
      <c r="VII4094" s="911"/>
      <c r="VIJ4094" s="911"/>
      <c r="VIK4094" s="911"/>
      <c r="VIL4094" s="911"/>
      <c r="VIM4094" s="911"/>
      <c r="VIN4094" s="911"/>
      <c r="VIO4094" s="911"/>
      <c r="VIP4094" s="911"/>
      <c r="VIQ4094" s="912"/>
      <c r="VIS4094" s="913" t="s">
        <v>1</v>
      </c>
      <c r="VIT4094" s="31"/>
      <c r="VIU4094" s="909" t="s">
        <v>0</v>
      </c>
      <c r="VIV4094" s="909"/>
      <c r="VIW4094" s="909"/>
      <c r="VIX4094" s="909"/>
      <c r="VIY4094" s="909"/>
      <c r="VIZ4094" s="909"/>
      <c r="VJA4094" s="907" t="s">
        <v>79</v>
      </c>
      <c r="VJB4094" s="909" t="s">
        <v>68</v>
      </c>
      <c r="VJC4094" s="910" t="s">
        <v>75</v>
      </c>
      <c r="VJD4094" s="911"/>
      <c r="VJE4094" s="911"/>
      <c r="VJF4094" s="911"/>
      <c r="VJG4094" s="911"/>
      <c r="VJH4094" s="911"/>
      <c r="VJI4094" s="911"/>
      <c r="VJJ4094" s="911"/>
      <c r="VJK4094" s="911"/>
      <c r="VJL4094" s="911"/>
      <c r="VJM4094" s="32"/>
      <c r="VJN4094" s="911" t="s">
        <v>74</v>
      </c>
      <c r="VJO4094" s="911"/>
      <c r="VJP4094" s="911"/>
      <c r="VJQ4094" s="911"/>
      <c r="VJR4094" s="911"/>
      <c r="VJS4094" s="911"/>
      <c r="VJT4094" s="911"/>
      <c r="VJU4094" s="911"/>
      <c r="VJV4094" s="911"/>
      <c r="VJW4094" s="912"/>
      <c r="VJY4094" s="913" t="s">
        <v>1</v>
      </c>
      <c r="VJZ4094" s="31"/>
      <c r="VKA4094" s="909" t="s">
        <v>0</v>
      </c>
      <c r="VKB4094" s="909"/>
      <c r="VKC4094" s="909"/>
      <c r="VKD4094" s="909"/>
      <c r="VKE4094" s="909"/>
      <c r="VKF4094" s="909"/>
      <c r="VKG4094" s="907" t="s">
        <v>79</v>
      </c>
      <c r="VKH4094" s="909" t="s">
        <v>68</v>
      </c>
      <c r="VKI4094" s="910" t="s">
        <v>75</v>
      </c>
      <c r="VKJ4094" s="911"/>
      <c r="VKK4094" s="911"/>
      <c r="VKL4094" s="911"/>
      <c r="VKM4094" s="911"/>
      <c r="VKN4094" s="911"/>
      <c r="VKO4094" s="911"/>
      <c r="VKP4094" s="911"/>
      <c r="VKQ4094" s="911"/>
      <c r="VKR4094" s="911"/>
      <c r="VKS4094" s="32"/>
      <c r="VKT4094" s="911" t="s">
        <v>74</v>
      </c>
      <c r="VKU4094" s="911"/>
      <c r="VKV4094" s="911"/>
      <c r="VKW4094" s="911"/>
      <c r="VKX4094" s="911"/>
      <c r="VKY4094" s="911"/>
      <c r="VKZ4094" s="911"/>
      <c r="VLA4094" s="911"/>
      <c r="VLB4094" s="911"/>
      <c r="VLC4094" s="912"/>
      <c r="VLE4094" s="913" t="s">
        <v>1</v>
      </c>
      <c r="VLF4094" s="31"/>
      <c r="VLG4094" s="909" t="s">
        <v>0</v>
      </c>
      <c r="VLH4094" s="909"/>
      <c r="VLI4094" s="909"/>
      <c r="VLJ4094" s="909"/>
      <c r="VLK4094" s="909"/>
      <c r="VLL4094" s="909"/>
      <c r="VLM4094" s="907" t="s">
        <v>79</v>
      </c>
      <c r="VLN4094" s="909" t="s">
        <v>68</v>
      </c>
      <c r="VLO4094" s="910" t="s">
        <v>75</v>
      </c>
      <c r="VLP4094" s="911"/>
      <c r="VLQ4094" s="911"/>
      <c r="VLR4094" s="911"/>
      <c r="VLS4094" s="911"/>
      <c r="VLT4094" s="911"/>
      <c r="VLU4094" s="911"/>
      <c r="VLV4094" s="911"/>
      <c r="VLW4094" s="911"/>
      <c r="VLX4094" s="911"/>
      <c r="VLY4094" s="32"/>
      <c r="VLZ4094" s="911" t="s">
        <v>74</v>
      </c>
      <c r="VMA4094" s="911"/>
      <c r="VMB4094" s="911"/>
      <c r="VMC4094" s="911"/>
      <c r="VMD4094" s="911"/>
      <c r="VME4094" s="911"/>
      <c r="VMF4094" s="911"/>
      <c r="VMG4094" s="911"/>
      <c r="VMH4094" s="911"/>
      <c r="VMI4094" s="912"/>
      <c r="VMK4094" s="913" t="s">
        <v>1</v>
      </c>
      <c r="VML4094" s="31"/>
      <c r="VMM4094" s="909" t="s">
        <v>0</v>
      </c>
      <c r="VMN4094" s="909"/>
      <c r="VMO4094" s="909"/>
      <c r="VMP4094" s="909"/>
      <c r="VMQ4094" s="909"/>
      <c r="VMR4094" s="909"/>
      <c r="VMS4094" s="907" t="s">
        <v>79</v>
      </c>
      <c r="VMT4094" s="909" t="s">
        <v>68</v>
      </c>
      <c r="VMU4094" s="910" t="s">
        <v>75</v>
      </c>
      <c r="VMV4094" s="911"/>
      <c r="VMW4094" s="911"/>
      <c r="VMX4094" s="911"/>
      <c r="VMY4094" s="911"/>
      <c r="VMZ4094" s="911"/>
      <c r="VNA4094" s="911"/>
      <c r="VNB4094" s="911"/>
      <c r="VNC4094" s="911"/>
      <c r="VND4094" s="911"/>
      <c r="VNE4094" s="32"/>
      <c r="VNF4094" s="911" t="s">
        <v>74</v>
      </c>
      <c r="VNG4094" s="911"/>
      <c r="VNH4094" s="911"/>
      <c r="VNI4094" s="911"/>
      <c r="VNJ4094" s="911"/>
      <c r="VNK4094" s="911"/>
      <c r="VNL4094" s="911"/>
      <c r="VNM4094" s="911"/>
      <c r="VNN4094" s="911"/>
      <c r="VNO4094" s="912"/>
      <c r="VNQ4094" s="913" t="s">
        <v>1</v>
      </c>
      <c r="VNR4094" s="31"/>
      <c r="VNS4094" s="909" t="s">
        <v>0</v>
      </c>
      <c r="VNT4094" s="909"/>
      <c r="VNU4094" s="909"/>
      <c r="VNV4094" s="909"/>
      <c r="VNW4094" s="909"/>
      <c r="VNX4094" s="909"/>
      <c r="VNY4094" s="907" t="s">
        <v>79</v>
      </c>
      <c r="VNZ4094" s="909" t="s">
        <v>68</v>
      </c>
      <c r="VOA4094" s="910" t="s">
        <v>75</v>
      </c>
      <c r="VOB4094" s="911"/>
      <c r="VOC4094" s="911"/>
      <c r="VOD4094" s="911"/>
      <c r="VOE4094" s="911"/>
      <c r="VOF4094" s="911"/>
      <c r="VOG4094" s="911"/>
      <c r="VOH4094" s="911"/>
      <c r="VOI4094" s="911"/>
      <c r="VOJ4094" s="911"/>
      <c r="VOK4094" s="32"/>
      <c r="VOL4094" s="911" t="s">
        <v>74</v>
      </c>
      <c r="VOM4094" s="911"/>
      <c r="VON4094" s="911"/>
      <c r="VOO4094" s="911"/>
      <c r="VOP4094" s="911"/>
      <c r="VOQ4094" s="911"/>
      <c r="VOR4094" s="911"/>
      <c r="VOS4094" s="911"/>
      <c r="VOT4094" s="911"/>
      <c r="VOU4094" s="912"/>
      <c r="VOW4094" s="913" t="s">
        <v>1</v>
      </c>
      <c r="VOX4094" s="31"/>
      <c r="VOY4094" s="909" t="s">
        <v>0</v>
      </c>
      <c r="VOZ4094" s="909"/>
      <c r="VPA4094" s="909"/>
      <c r="VPB4094" s="909"/>
      <c r="VPC4094" s="909"/>
      <c r="VPD4094" s="909"/>
      <c r="VPE4094" s="907" t="s">
        <v>79</v>
      </c>
      <c r="VPF4094" s="909" t="s">
        <v>68</v>
      </c>
      <c r="VPG4094" s="910" t="s">
        <v>75</v>
      </c>
      <c r="VPH4094" s="911"/>
      <c r="VPI4094" s="911"/>
      <c r="VPJ4094" s="911"/>
      <c r="VPK4094" s="911"/>
      <c r="VPL4094" s="911"/>
      <c r="VPM4094" s="911"/>
      <c r="VPN4094" s="911"/>
      <c r="VPO4094" s="911"/>
      <c r="VPP4094" s="911"/>
      <c r="VPQ4094" s="32"/>
      <c r="VPR4094" s="911" t="s">
        <v>74</v>
      </c>
      <c r="VPS4094" s="911"/>
      <c r="VPT4094" s="911"/>
      <c r="VPU4094" s="911"/>
      <c r="VPV4094" s="911"/>
      <c r="VPW4094" s="911"/>
      <c r="VPX4094" s="911"/>
      <c r="VPY4094" s="911"/>
      <c r="VPZ4094" s="911"/>
      <c r="VQA4094" s="912"/>
      <c r="VQC4094" s="913" t="s">
        <v>1</v>
      </c>
      <c r="VQD4094" s="31"/>
      <c r="VQE4094" s="909" t="s">
        <v>0</v>
      </c>
      <c r="VQF4094" s="909"/>
      <c r="VQG4094" s="909"/>
      <c r="VQH4094" s="909"/>
      <c r="VQI4094" s="909"/>
      <c r="VQJ4094" s="909"/>
      <c r="VQK4094" s="907" t="s">
        <v>79</v>
      </c>
      <c r="VQL4094" s="909" t="s">
        <v>68</v>
      </c>
      <c r="VQM4094" s="910" t="s">
        <v>75</v>
      </c>
      <c r="VQN4094" s="911"/>
      <c r="VQO4094" s="911"/>
      <c r="VQP4094" s="911"/>
      <c r="VQQ4094" s="911"/>
      <c r="VQR4094" s="911"/>
      <c r="VQS4094" s="911"/>
      <c r="VQT4094" s="911"/>
      <c r="VQU4094" s="911"/>
      <c r="VQV4094" s="911"/>
      <c r="VQW4094" s="32"/>
      <c r="VQX4094" s="911" t="s">
        <v>74</v>
      </c>
      <c r="VQY4094" s="911"/>
      <c r="VQZ4094" s="911"/>
      <c r="VRA4094" s="911"/>
      <c r="VRB4094" s="911"/>
      <c r="VRC4094" s="911"/>
      <c r="VRD4094" s="911"/>
      <c r="VRE4094" s="911"/>
      <c r="VRF4094" s="911"/>
      <c r="VRG4094" s="912"/>
      <c r="VRI4094" s="913" t="s">
        <v>1</v>
      </c>
      <c r="VRJ4094" s="31"/>
      <c r="VRK4094" s="909" t="s">
        <v>0</v>
      </c>
      <c r="VRL4094" s="909"/>
      <c r="VRM4094" s="909"/>
      <c r="VRN4094" s="909"/>
      <c r="VRO4094" s="909"/>
      <c r="VRP4094" s="909"/>
      <c r="VRQ4094" s="907" t="s">
        <v>79</v>
      </c>
      <c r="VRR4094" s="909" t="s">
        <v>68</v>
      </c>
      <c r="VRS4094" s="910" t="s">
        <v>75</v>
      </c>
      <c r="VRT4094" s="911"/>
      <c r="VRU4094" s="911"/>
      <c r="VRV4094" s="911"/>
      <c r="VRW4094" s="911"/>
      <c r="VRX4094" s="911"/>
      <c r="VRY4094" s="911"/>
      <c r="VRZ4094" s="911"/>
      <c r="VSA4094" s="911"/>
      <c r="VSB4094" s="911"/>
      <c r="VSC4094" s="32"/>
      <c r="VSD4094" s="911" t="s">
        <v>74</v>
      </c>
      <c r="VSE4094" s="911"/>
      <c r="VSF4094" s="911"/>
      <c r="VSG4094" s="911"/>
      <c r="VSH4094" s="911"/>
      <c r="VSI4094" s="911"/>
      <c r="VSJ4094" s="911"/>
      <c r="VSK4094" s="911"/>
      <c r="VSL4094" s="911"/>
      <c r="VSM4094" s="912"/>
      <c r="VSO4094" s="913" t="s">
        <v>1</v>
      </c>
      <c r="VSP4094" s="31"/>
      <c r="VSQ4094" s="909" t="s">
        <v>0</v>
      </c>
      <c r="VSR4094" s="909"/>
      <c r="VSS4094" s="909"/>
      <c r="VST4094" s="909"/>
      <c r="VSU4094" s="909"/>
      <c r="VSV4094" s="909"/>
      <c r="VSW4094" s="907" t="s">
        <v>79</v>
      </c>
      <c r="VSX4094" s="909" t="s">
        <v>68</v>
      </c>
      <c r="VSY4094" s="910" t="s">
        <v>75</v>
      </c>
      <c r="VSZ4094" s="911"/>
      <c r="VTA4094" s="911"/>
      <c r="VTB4094" s="911"/>
      <c r="VTC4094" s="911"/>
      <c r="VTD4094" s="911"/>
      <c r="VTE4094" s="911"/>
      <c r="VTF4094" s="911"/>
      <c r="VTG4094" s="911"/>
      <c r="VTH4094" s="911"/>
      <c r="VTI4094" s="32"/>
      <c r="VTJ4094" s="911" t="s">
        <v>74</v>
      </c>
      <c r="VTK4094" s="911"/>
      <c r="VTL4094" s="911"/>
      <c r="VTM4094" s="911"/>
      <c r="VTN4094" s="911"/>
      <c r="VTO4094" s="911"/>
      <c r="VTP4094" s="911"/>
      <c r="VTQ4094" s="911"/>
      <c r="VTR4094" s="911"/>
      <c r="VTS4094" s="912"/>
      <c r="VTU4094" s="913" t="s">
        <v>1</v>
      </c>
      <c r="VTV4094" s="31"/>
      <c r="VTW4094" s="909" t="s">
        <v>0</v>
      </c>
      <c r="VTX4094" s="909"/>
      <c r="VTY4094" s="909"/>
      <c r="VTZ4094" s="909"/>
      <c r="VUA4094" s="909"/>
      <c r="VUB4094" s="909"/>
      <c r="VUC4094" s="907" t="s">
        <v>79</v>
      </c>
      <c r="VUD4094" s="909" t="s">
        <v>68</v>
      </c>
      <c r="VUE4094" s="910" t="s">
        <v>75</v>
      </c>
      <c r="VUF4094" s="911"/>
      <c r="VUG4094" s="911"/>
      <c r="VUH4094" s="911"/>
      <c r="VUI4094" s="911"/>
      <c r="VUJ4094" s="911"/>
      <c r="VUK4094" s="911"/>
      <c r="VUL4094" s="911"/>
      <c r="VUM4094" s="911"/>
      <c r="VUN4094" s="911"/>
      <c r="VUO4094" s="32"/>
      <c r="VUP4094" s="911" t="s">
        <v>74</v>
      </c>
      <c r="VUQ4094" s="911"/>
      <c r="VUR4094" s="911"/>
      <c r="VUS4094" s="911"/>
      <c r="VUT4094" s="911"/>
      <c r="VUU4094" s="911"/>
      <c r="VUV4094" s="911"/>
      <c r="VUW4094" s="911"/>
      <c r="VUX4094" s="911"/>
      <c r="VUY4094" s="912"/>
      <c r="VVA4094" s="913" t="s">
        <v>1</v>
      </c>
      <c r="VVB4094" s="31"/>
      <c r="VVC4094" s="909" t="s">
        <v>0</v>
      </c>
      <c r="VVD4094" s="909"/>
      <c r="VVE4094" s="909"/>
      <c r="VVF4094" s="909"/>
      <c r="VVG4094" s="909"/>
      <c r="VVH4094" s="909"/>
      <c r="VVI4094" s="907" t="s">
        <v>79</v>
      </c>
      <c r="VVJ4094" s="909" t="s">
        <v>68</v>
      </c>
      <c r="VVK4094" s="910" t="s">
        <v>75</v>
      </c>
      <c r="VVL4094" s="911"/>
      <c r="VVM4094" s="911"/>
      <c r="VVN4094" s="911"/>
      <c r="VVO4094" s="911"/>
      <c r="VVP4094" s="911"/>
      <c r="VVQ4094" s="911"/>
      <c r="VVR4094" s="911"/>
      <c r="VVS4094" s="911"/>
      <c r="VVT4094" s="911"/>
      <c r="VVU4094" s="32"/>
      <c r="VVV4094" s="911" t="s">
        <v>74</v>
      </c>
      <c r="VVW4094" s="911"/>
      <c r="VVX4094" s="911"/>
      <c r="VVY4094" s="911"/>
      <c r="VVZ4094" s="911"/>
      <c r="VWA4094" s="911"/>
      <c r="VWB4094" s="911"/>
      <c r="VWC4094" s="911"/>
      <c r="VWD4094" s="911"/>
      <c r="VWE4094" s="912"/>
      <c r="VWG4094" s="913" t="s">
        <v>1</v>
      </c>
      <c r="VWH4094" s="31"/>
      <c r="VWI4094" s="909" t="s">
        <v>0</v>
      </c>
      <c r="VWJ4094" s="909"/>
      <c r="VWK4094" s="909"/>
      <c r="VWL4094" s="909"/>
      <c r="VWM4094" s="909"/>
      <c r="VWN4094" s="909"/>
      <c r="VWO4094" s="907" t="s">
        <v>79</v>
      </c>
      <c r="VWP4094" s="909" t="s">
        <v>68</v>
      </c>
      <c r="VWQ4094" s="910" t="s">
        <v>75</v>
      </c>
      <c r="VWR4094" s="911"/>
      <c r="VWS4094" s="911"/>
      <c r="VWT4094" s="911"/>
      <c r="VWU4094" s="911"/>
      <c r="VWV4094" s="911"/>
      <c r="VWW4094" s="911"/>
      <c r="VWX4094" s="911"/>
      <c r="VWY4094" s="911"/>
      <c r="VWZ4094" s="911"/>
      <c r="VXA4094" s="32"/>
      <c r="VXB4094" s="911" t="s">
        <v>74</v>
      </c>
      <c r="VXC4094" s="911"/>
      <c r="VXD4094" s="911"/>
      <c r="VXE4094" s="911"/>
      <c r="VXF4094" s="911"/>
      <c r="VXG4094" s="911"/>
      <c r="VXH4094" s="911"/>
      <c r="VXI4094" s="911"/>
      <c r="VXJ4094" s="911"/>
      <c r="VXK4094" s="912"/>
      <c r="VXM4094" s="913" t="s">
        <v>1</v>
      </c>
      <c r="VXN4094" s="31"/>
      <c r="VXO4094" s="909" t="s">
        <v>0</v>
      </c>
      <c r="VXP4094" s="909"/>
      <c r="VXQ4094" s="909"/>
      <c r="VXR4094" s="909"/>
      <c r="VXS4094" s="909"/>
      <c r="VXT4094" s="909"/>
      <c r="VXU4094" s="907" t="s">
        <v>79</v>
      </c>
      <c r="VXV4094" s="909" t="s">
        <v>68</v>
      </c>
      <c r="VXW4094" s="910" t="s">
        <v>75</v>
      </c>
      <c r="VXX4094" s="911"/>
      <c r="VXY4094" s="911"/>
      <c r="VXZ4094" s="911"/>
      <c r="VYA4094" s="911"/>
      <c r="VYB4094" s="911"/>
      <c r="VYC4094" s="911"/>
      <c r="VYD4094" s="911"/>
      <c r="VYE4094" s="911"/>
      <c r="VYF4094" s="911"/>
      <c r="VYG4094" s="32"/>
      <c r="VYH4094" s="911" t="s">
        <v>74</v>
      </c>
      <c r="VYI4094" s="911"/>
      <c r="VYJ4094" s="911"/>
      <c r="VYK4094" s="911"/>
      <c r="VYL4094" s="911"/>
      <c r="VYM4094" s="911"/>
      <c r="VYN4094" s="911"/>
      <c r="VYO4094" s="911"/>
      <c r="VYP4094" s="911"/>
      <c r="VYQ4094" s="912"/>
      <c r="VYS4094" s="913" t="s">
        <v>1</v>
      </c>
      <c r="VYT4094" s="31"/>
      <c r="VYU4094" s="909" t="s">
        <v>0</v>
      </c>
      <c r="VYV4094" s="909"/>
      <c r="VYW4094" s="909"/>
      <c r="VYX4094" s="909"/>
      <c r="VYY4094" s="909"/>
      <c r="VYZ4094" s="909"/>
      <c r="VZA4094" s="907" t="s">
        <v>79</v>
      </c>
      <c r="VZB4094" s="909" t="s">
        <v>68</v>
      </c>
      <c r="VZC4094" s="910" t="s">
        <v>75</v>
      </c>
      <c r="VZD4094" s="911"/>
      <c r="VZE4094" s="911"/>
      <c r="VZF4094" s="911"/>
      <c r="VZG4094" s="911"/>
      <c r="VZH4094" s="911"/>
      <c r="VZI4094" s="911"/>
      <c r="VZJ4094" s="911"/>
      <c r="VZK4094" s="911"/>
      <c r="VZL4094" s="911"/>
      <c r="VZM4094" s="32"/>
      <c r="VZN4094" s="911" t="s">
        <v>74</v>
      </c>
      <c r="VZO4094" s="911"/>
      <c r="VZP4094" s="911"/>
      <c r="VZQ4094" s="911"/>
      <c r="VZR4094" s="911"/>
      <c r="VZS4094" s="911"/>
      <c r="VZT4094" s="911"/>
      <c r="VZU4094" s="911"/>
      <c r="VZV4094" s="911"/>
      <c r="VZW4094" s="912"/>
      <c r="VZY4094" s="913" t="s">
        <v>1</v>
      </c>
      <c r="VZZ4094" s="31"/>
      <c r="WAA4094" s="909" t="s">
        <v>0</v>
      </c>
      <c r="WAB4094" s="909"/>
      <c r="WAC4094" s="909"/>
      <c r="WAD4094" s="909"/>
      <c r="WAE4094" s="909"/>
      <c r="WAF4094" s="909"/>
      <c r="WAG4094" s="907" t="s">
        <v>79</v>
      </c>
      <c r="WAH4094" s="909" t="s">
        <v>68</v>
      </c>
      <c r="WAI4094" s="910" t="s">
        <v>75</v>
      </c>
      <c r="WAJ4094" s="911"/>
      <c r="WAK4094" s="911"/>
      <c r="WAL4094" s="911"/>
      <c r="WAM4094" s="911"/>
      <c r="WAN4094" s="911"/>
      <c r="WAO4094" s="911"/>
      <c r="WAP4094" s="911"/>
      <c r="WAQ4094" s="911"/>
      <c r="WAR4094" s="911"/>
      <c r="WAS4094" s="32"/>
      <c r="WAT4094" s="911" t="s">
        <v>74</v>
      </c>
      <c r="WAU4094" s="911"/>
      <c r="WAV4094" s="911"/>
      <c r="WAW4094" s="911"/>
      <c r="WAX4094" s="911"/>
      <c r="WAY4094" s="911"/>
      <c r="WAZ4094" s="911"/>
      <c r="WBA4094" s="911"/>
      <c r="WBB4094" s="911"/>
      <c r="WBC4094" s="912"/>
      <c r="WBE4094" s="913" t="s">
        <v>1</v>
      </c>
      <c r="WBF4094" s="31"/>
      <c r="WBG4094" s="909" t="s">
        <v>0</v>
      </c>
      <c r="WBH4094" s="909"/>
      <c r="WBI4094" s="909"/>
      <c r="WBJ4094" s="909"/>
      <c r="WBK4094" s="909"/>
      <c r="WBL4094" s="909"/>
      <c r="WBM4094" s="907" t="s">
        <v>79</v>
      </c>
      <c r="WBN4094" s="909" t="s">
        <v>68</v>
      </c>
      <c r="WBO4094" s="910" t="s">
        <v>75</v>
      </c>
      <c r="WBP4094" s="911"/>
      <c r="WBQ4094" s="911"/>
      <c r="WBR4094" s="911"/>
      <c r="WBS4094" s="911"/>
      <c r="WBT4094" s="911"/>
      <c r="WBU4094" s="911"/>
      <c r="WBV4094" s="911"/>
      <c r="WBW4094" s="911"/>
      <c r="WBX4094" s="911"/>
      <c r="WBY4094" s="32"/>
      <c r="WBZ4094" s="911" t="s">
        <v>74</v>
      </c>
      <c r="WCA4094" s="911"/>
      <c r="WCB4094" s="911"/>
      <c r="WCC4094" s="911"/>
      <c r="WCD4094" s="911"/>
      <c r="WCE4094" s="911"/>
      <c r="WCF4094" s="911"/>
      <c r="WCG4094" s="911"/>
      <c r="WCH4094" s="911"/>
      <c r="WCI4094" s="912"/>
      <c r="WCK4094" s="913" t="s">
        <v>1</v>
      </c>
      <c r="WCL4094" s="31"/>
      <c r="WCM4094" s="909" t="s">
        <v>0</v>
      </c>
      <c r="WCN4094" s="909"/>
      <c r="WCO4094" s="909"/>
      <c r="WCP4094" s="909"/>
      <c r="WCQ4094" s="909"/>
      <c r="WCR4094" s="909"/>
      <c r="WCS4094" s="907" t="s">
        <v>79</v>
      </c>
      <c r="WCT4094" s="909" t="s">
        <v>68</v>
      </c>
      <c r="WCU4094" s="910" t="s">
        <v>75</v>
      </c>
      <c r="WCV4094" s="911"/>
      <c r="WCW4094" s="911"/>
      <c r="WCX4094" s="911"/>
      <c r="WCY4094" s="911"/>
      <c r="WCZ4094" s="911"/>
      <c r="WDA4094" s="911"/>
      <c r="WDB4094" s="911"/>
      <c r="WDC4094" s="911"/>
      <c r="WDD4094" s="911"/>
      <c r="WDE4094" s="32"/>
      <c r="WDF4094" s="911" t="s">
        <v>74</v>
      </c>
      <c r="WDG4094" s="911"/>
      <c r="WDH4094" s="911"/>
      <c r="WDI4094" s="911"/>
      <c r="WDJ4094" s="911"/>
      <c r="WDK4094" s="911"/>
      <c r="WDL4094" s="911"/>
      <c r="WDM4094" s="911"/>
      <c r="WDN4094" s="911"/>
      <c r="WDO4094" s="912"/>
      <c r="WDQ4094" s="913" t="s">
        <v>1</v>
      </c>
      <c r="WDR4094" s="31"/>
      <c r="WDS4094" s="909" t="s">
        <v>0</v>
      </c>
      <c r="WDT4094" s="909"/>
      <c r="WDU4094" s="909"/>
      <c r="WDV4094" s="909"/>
      <c r="WDW4094" s="909"/>
      <c r="WDX4094" s="909"/>
      <c r="WDY4094" s="907" t="s">
        <v>79</v>
      </c>
      <c r="WDZ4094" s="909" t="s">
        <v>68</v>
      </c>
      <c r="WEA4094" s="910" t="s">
        <v>75</v>
      </c>
      <c r="WEB4094" s="911"/>
      <c r="WEC4094" s="911"/>
      <c r="WED4094" s="911"/>
      <c r="WEE4094" s="911"/>
      <c r="WEF4094" s="911"/>
      <c r="WEG4094" s="911"/>
      <c r="WEH4094" s="911"/>
      <c r="WEI4094" s="911"/>
      <c r="WEJ4094" s="911"/>
      <c r="WEK4094" s="32"/>
      <c r="WEL4094" s="911" t="s">
        <v>74</v>
      </c>
      <c r="WEM4094" s="911"/>
      <c r="WEN4094" s="911"/>
      <c r="WEO4094" s="911"/>
      <c r="WEP4094" s="911"/>
      <c r="WEQ4094" s="911"/>
      <c r="WER4094" s="911"/>
      <c r="WES4094" s="911"/>
      <c r="WET4094" s="911"/>
      <c r="WEU4094" s="912"/>
      <c r="WEW4094" s="913" t="s">
        <v>1</v>
      </c>
      <c r="WEX4094" s="31"/>
      <c r="WEY4094" s="909" t="s">
        <v>0</v>
      </c>
      <c r="WEZ4094" s="909"/>
      <c r="WFA4094" s="909"/>
      <c r="WFB4094" s="909"/>
      <c r="WFC4094" s="909"/>
      <c r="WFD4094" s="909"/>
      <c r="WFE4094" s="907" t="s">
        <v>79</v>
      </c>
      <c r="WFF4094" s="909" t="s">
        <v>68</v>
      </c>
      <c r="WFG4094" s="910" t="s">
        <v>75</v>
      </c>
      <c r="WFH4094" s="911"/>
      <c r="WFI4094" s="911"/>
      <c r="WFJ4094" s="911"/>
      <c r="WFK4094" s="911"/>
      <c r="WFL4094" s="911"/>
      <c r="WFM4094" s="911"/>
      <c r="WFN4094" s="911"/>
      <c r="WFO4094" s="911"/>
      <c r="WFP4094" s="911"/>
      <c r="WFQ4094" s="32"/>
      <c r="WFR4094" s="911" t="s">
        <v>74</v>
      </c>
      <c r="WFS4094" s="911"/>
      <c r="WFT4094" s="911"/>
      <c r="WFU4094" s="911"/>
      <c r="WFV4094" s="911"/>
      <c r="WFW4094" s="911"/>
      <c r="WFX4094" s="911"/>
      <c r="WFY4094" s="911"/>
      <c r="WFZ4094" s="911"/>
      <c r="WGA4094" s="912"/>
      <c r="WGC4094" s="913" t="s">
        <v>1</v>
      </c>
      <c r="WGD4094" s="31"/>
      <c r="WGE4094" s="909" t="s">
        <v>0</v>
      </c>
      <c r="WGF4094" s="909"/>
      <c r="WGG4094" s="909"/>
      <c r="WGH4094" s="909"/>
      <c r="WGI4094" s="909"/>
      <c r="WGJ4094" s="909"/>
      <c r="WGK4094" s="907" t="s">
        <v>79</v>
      </c>
      <c r="WGL4094" s="909" t="s">
        <v>68</v>
      </c>
      <c r="WGM4094" s="910" t="s">
        <v>75</v>
      </c>
      <c r="WGN4094" s="911"/>
      <c r="WGO4094" s="911"/>
      <c r="WGP4094" s="911"/>
      <c r="WGQ4094" s="911"/>
      <c r="WGR4094" s="911"/>
      <c r="WGS4094" s="911"/>
      <c r="WGT4094" s="911"/>
      <c r="WGU4094" s="911"/>
      <c r="WGV4094" s="911"/>
      <c r="WGW4094" s="32"/>
      <c r="WGX4094" s="911" t="s">
        <v>74</v>
      </c>
      <c r="WGY4094" s="911"/>
      <c r="WGZ4094" s="911"/>
      <c r="WHA4094" s="911"/>
      <c r="WHB4094" s="911"/>
      <c r="WHC4094" s="911"/>
      <c r="WHD4094" s="911"/>
      <c r="WHE4094" s="911"/>
      <c r="WHF4094" s="911"/>
      <c r="WHG4094" s="912"/>
      <c r="WHI4094" s="913" t="s">
        <v>1</v>
      </c>
      <c r="WHJ4094" s="31"/>
      <c r="WHK4094" s="909" t="s">
        <v>0</v>
      </c>
      <c r="WHL4094" s="909"/>
      <c r="WHM4094" s="909"/>
      <c r="WHN4094" s="909"/>
      <c r="WHO4094" s="909"/>
      <c r="WHP4094" s="909"/>
      <c r="WHQ4094" s="907" t="s">
        <v>79</v>
      </c>
      <c r="WHR4094" s="909" t="s">
        <v>68</v>
      </c>
      <c r="WHS4094" s="910" t="s">
        <v>75</v>
      </c>
      <c r="WHT4094" s="911"/>
      <c r="WHU4094" s="911"/>
      <c r="WHV4094" s="911"/>
      <c r="WHW4094" s="911"/>
      <c r="WHX4094" s="911"/>
      <c r="WHY4094" s="911"/>
      <c r="WHZ4094" s="911"/>
      <c r="WIA4094" s="911"/>
      <c r="WIB4094" s="911"/>
      <c r="WIC4094" s="32"/>
      <c r="WID4094" s="911" t="s">
        <v>74</v>
      </c>
      <c r="WIE4094" s="911"/>
      <c r="WIF4094" s="911"/>
      <c r="WIG4094" s="911"/>
      <c r="WIH4094" s="911"/>
      <c r="WII4094" s="911"/>
      <c r="WIJ4094" s="911"/>
      <c r="WIK4094" s="911"/>
      <c r="WIL4094" s="911"/>
      <c r="WIM4094" s="912"/>
      <c r="WIO4094" s="913" t="s">
        <v>1</v>
      </c>
      <c r="WIP4094" s="31"/>
      <c r="WIQ4094" s="909" t="s">
        <v>0</v>
      </c>
      <c r="WIR4094" s="909"/>
      <c r="WIS4094" s="909"/>
      <c r="WIT4094" s="909"/>
      <c r="WIU4094" s="909"/>
      <c r="WIV4094" s="909"/>
      <c r="WIW4094" s="907" t="s">
        <v>79</v>
      </c>
      <c r="WIX4094" s="909" t="s">
        <v>68</v>
      </c>
      <c r="WIY4094" s="910" t="s">
        <v>75</v>
      </c>
      <c r="WIZ4094" s="911"/>
      <c r="WJA4094" s="911"/>
      <c r="WJB4094" s="911"/>
      <c r="WJC4094" s="911"/>
      <c r="WJD4094" s="911"/>
      <c r="WJE4094" s="911"/>
      <c r="WJF4094" s="911"/>
      <c r="WJG4094" s="911"/>
      <c r="WJH4094" s="911"/>
      <c r="WJI4094" s="32"/>
      <c r="WJJ4094" s="911" t="s">
        <v>74</v>
      </c>
      <c r="WJK4094" s="911"/>
      <c r="WJL4094" s="911"/>
      <c r="WJM4094" s="911"/>
      <c r="WJN4094" s="911"/>
      <c r="WJO4094" s="911"/>
      <c r="WJP4094" s="911"/>
      <c r="WJQ4094" s="911"/>
      <c r="WJR4094" s="911"/>
      <c r="WJS4094" s="912"/>
      <c r="WJU4094" s="913" t="s">
        <v>1</v>
      </c>
      <c r="WJV4094" s="31"/>
      <c r="WJW4094" s="909" t="s">
        <v>0</v>
      </c>
      <c r="WJX4094" s="909"/>
      <c r="WJY4094" s="909"/>
      <c r="WJZ4094" s="909"/>
      <c r="WKA4094" s="909"/>
      <c r="WKB4094" s="909"/>
      <c r="WKC4094" s="907" t="s">
        <v>79</v>
      </c>
      <c r="WKD4094" s="909" t="s">
        <v>68</v>
      </c>
      <c r="WKE4094" s="910" t="s">
        <v>75</v>
      </c>
      <c r="WKF4094" s="911"/>
      <c r="WKG4094" s="911"/>
      <c r="WKH4094" s="911"/>
      <c r="WKI4094" s="911"/>
      <c r="WKJ4094" s="911"/>
      <c r="WKK4094" s="911"/>
      <c r="WKL4094" s="911"/>
      <c r="WKM4094" s="911"/>
      <c r="WKN4094" s="911"/>
      <c r="WKO4094" s="32"/>
      <c r="WKP4094" s="911" t="s">
        <v>74</v>
      </c>
      <c r="WKQ4094" s="911"/>
      <c r="WKR4094" s="911"/>
      <c r="WKS4094" s="911"/>
      <c r="WKT4094" s="911"/>
      <c r="WKU4094" s="911"/>
      <c r="WKV4094" s="911"/>
      <c r="WKW4094" s="911"/>
      <c r="WKX4094" s="911"/>
      <c r="WKY4094" s="912"/>
      <c r="WLA4094" s="913" t="s">
        <v>1</v>
      </c>
      <c r="WLB4094" s="31"/>
      <c r="WLC4094" s="909" t="s">
        <v>0</v>
      </c>
      <c r="WLD4094" s="909"/>
      <c r="WLE4094" s="909"/>
      <c r="WLF4094" s="909"/>
      <c r="WLG4094" s="909"/>
      <c r="WLH4094" s="909"/>
      <c r="WLI4094" s="907" t="s">
        <v>79</v>
      </c>
      <c r="WLJ4094" s="909" t="s">
        <v>68</v>
      </c>
      <c r="WLK4094" s="910" t="s">
        <v>75</v>
      </c>
      <c r="WLL4094" s="911"/>
      <c r="WLM4094" s="911"/>
      <c r="WLN4094" s="911"/>
      <c r="WLO4094" s="911"/>
      <c r="WLP4094" s="911"/>
      <c r="WLQ4094" s="911"/>
      <c r="WLR4094" s="911"/>
      <c r="WLS4094" s="911"/>
      <c r="WLT4094" s="911"/>
      <c r="WLU4094" s="32"/>
      <c r="WLV4094" s="911" t="s">
        <v>74</v>
      </c>
      <c r="WLW4094" s="911"/>
      <c r="WLX4094" s="911"/>
      <c r="WLY4094" s="911"/>
      <c r="WLZ4094" s="911"/>
      <c r="WMA4094" s="911"/>
      <c r="WMB4094" s="911"/>
      <c r="WMC4094" s="911"/>
      <c r="WMD4094" s="911"/>
      <c r="WME4094" s="912"/>
      <c r="WMG4094" s="913" t="s">
        <v>1</v>
      </c>
      <c r="WMH4094" s="31"/>
      <c r="WMI4094" s="909" t="s">
        <v>0</v>
      </c>
      <c r="WMJ4094" s="909"/>
      <c r="WMK4094" s="909"/>
      <c r="WML4094" s="909"/>
      <c r="WMM4094" s="909"/>
      <c r="WMN4094" s="909"/>
      <c r="WMO4094" s="907" t="s">
        <v>79</v>
      </c>
      <c r="WMP4094" s="909" t="s">
        <v>68</v>
      </c>
      <c r="WMQ4094" s="910" t="s">
        <v>75</v>
      </c>
      <c r="WMR4094" s="911"/>
      <c r="WMS4094" s="911"/>
      <c r="WMT4094" s="911"/>
      <c r="WMU4094" s="911"/>
      <c r="WMV4094" s="911"/>
      <c r="WMW4094" s="911"/>
      <c r="WMX4094" s="911"/>
      <c r="WMY4094" s="911"/>
      <c r="WMZ4094" s="911"/>
      <c r="WNA4094" s="32"/>
      <c r="WNB4094" s="911" t="s">
        <v>74</v>
      </c>
      <c r="WNC4094" s="911"/>
      <c r="WND4094" s="911"/>
      <c r="WNE4094" s="911"/>
      <c r="WNF4094" s="911"/>
      <c r="WNG4094" s="911"/>
      <c r="WNH4094" s="911"/>
      <c r="WNI4094" s="911"/>
      <c r="WNJ4094" s="911"/>
      <c r="WNK4094" s="912"/>
      <c r="WNM4094" s="913" t="s">
        <v>1</v>
      </c>
      <c r="WNN4094" s="31"/>
      <c r="WNO4094" s="909" t="s">
        <v>0</v>
      </c>
      <c r="WNP4094" s="909"/>
      <c r="WNQ4094" s="909"/>
      <c r="WNR4094" s="909"/>
      <c r="WNS4094" s="909"/>
      <c r="WNT4094" s="909"/>
      <c r="WNU4094" s="907" t="s">
        <v>79</v>
      </c>
      <c r="WNV4094" s="909" t="s">
        <v>68</v>
      </c>
      <c r="WNW4094" s="910" t="s">
        <v>75</v>
      </c>
      <c r="WNX4094" s="911"/>
      <c r="WNY4094" s="911"/>
      <c r="WNZ4094" s="911"/>
      <c r="WOA4094" s="911"/>
      <c r="WOB4094" s="911"/>
      <c r="WOC4094" s="911"/>
      <c r="WOD4094" s="911"/>
      <c r="WOE4094" s="911"/>
      <c r="WOF4094" s="911"/>
      <c r="WOG4094" s="32"/>
      <c r="WOH4094" s="911" t="s">
        <v>74</v>
      </c>
      <c r="WOI4094" s="911"/>
      <c r="WOJ4094" s="911"/>
      <c r="WOK4094" s="911"/>
      <c r="WOL4094" s="911"/>
      <c r="WOM4094" s="911"/>
      <c r="WON4094" s="911"/>
      <c r="WOO4094" s="911"/>
      <c r="WOP4094" s="911"/>
      <c r="WOQ4094" s="912"/>
      <c r="WOS4094" s="913" t="s">
        <v>1</v>
      </c>
      <c r="WOT4094" s="31"/>
      <c r="WOU4094" s="909" t="s">
        <v>0</v>
      </c>
      <c r="WOV4094" s="909"/>
      <c r="WOW4094" s="909"/>
      <c r="WOX4094" s="909"/>
      <c r="WOY4094" s="909"/>
      <c r="WOZ4094" s="909"/>
      <c r="WPA4094" s="907" t="s">
        <v>79</v>
      </c>
      <c r="WPB4094" s="909" t="s">
        <v>68</v>
      </c>
      <c r="WPC4094" s="910" t="s">
        <v>75</v>
      </c>
      <c r="WPD4094" s="911"/>
      <c r="WPE4094" s="911"/>
      <c r="WPF4094" s="911"/>
      <c r="WPG4094" s="911"/>
      <c r="WPH4094" s="911"/>
      <c r="WPI4094" s="911"/>
      <c r="WPJ4094" s="911"/>
      <c r="WPK4094" s="911"/>
      <c r="WPL4094" s="911"/>
      <c r="WPM4094" s="32"/>
      <c r="WPN4094" s="911" t="s">
        <v>74</v>
      </c>
      <c r="WPO4094" s="911"/>
      <c r="WPP4094" s="911"/>
      <c r="WPQ4094" s="911"/>
      <c r="WPR4094" s="911"/>
      <c r="WPS4094" s="911"/>
      <c r="WPT4094" s="911"/>
      <c r="WPU4094" s="911"/>
      <c r="WPV4094" s="911"/>
      <c r="WPW4094" s="912"/>
      <c r="WPY4094" s="913" t="s">
        <v>1</v>
      </c>
      <c r="WPZ4094" s="31"/>
      <c r="WQA4094" s="909" t="s">
        <v>0</v>
      </c>
      <c r="WQB4094" s="909"/>
      <c r="WQC4094" s="909"/>
      <c r="WQD4094" s="909"/>
      <c r="WQE4094" s="909"/>
      <c r="WQF4094" s="909"/>
      <c r="WQG4094" s="907" t="s">
        <v>79</v>
      </c>
      <c r="WQH4094" s="909" t="s">
        <v>68</v>
      </c>
      <c r="WQI4094" s="910" t="s">
        <v>75</v>
      </c>
      <c r="WQJ4094" s="911"/>
      <c r="WQK4094" s="911"/>
      <c r="WQL4094" s="911"/>
      <c r="WQM4094" s="911"/>
      <c r="WQN4094" s="911"/>
      <c r="WQO4094" s="911"/>
      <c r="WQP4094" s="911"/>
      <c r="WQQ4094" s="911"/>
      <c r="WQR4094" s="911"/>
      <c r="WQS4094" s="32"/>
      <c r="WQT4094" s="911" t="s">
        <v>74</v>
      </c>
      <c r="WQU4094" s="911"/>
      <c r="WQV4094" s="911"/>
      <c r="WQW4094" s="911"/>
      <c r="WQX4094" s="911"/>
      <c r="WQY4094" s="911"/>
      <c r="WQZ4094" s="911"/>
      <c r="WRA4094" s="911"/>
      <c r="WRB4094" s="911"/>
      <c r="WRC4094" s="912"/>
      <c r="WRE4094" s="913" t="s">
        <v>1</v>
      </c>
      <c r="WRF4094" s="31"/>
      <c r="WRG4094" s="909" t="s">
        <v>0</v>
      </c>
      <c r="WRH4094" s="909"/>
      <c r="WRI4094" s="909"/>
      <c r="WRJ4094" s="909"/>
      <c r="WRK4094" s="909"/>
      <c r="WRL4094" s="909"/>
      <c r="WRM4094" s="907" t="s">
        <v>79</v>
      </c>
      <c r="WRN4094" s="909" t="s">
        <v>68</v>
      </c>
      <c r="WRO4094" s="910" t="s">
        <v>75</v>
      </c>
      <c r="WRP4094" s="911"/>
      <c r="WRQ4094" s="911"/>
      <c r="WRR4094" s="911"/>
      <c r="WRS4094" s="911"/>
      <c r="WRT4094" s="911"/>
      <c r="WRU4094" s="911"/>
      <c r="WRV4094" s="911"/>
      <c r="WRW4094" s="911"/>
      <c r="WRX4094" s="911"/>
      <c r="WRY4094" s="32"/>
      <c r="WRZ4094" s="911" t="s">
        <v>74</v>
      </c>
      <c r="WSA4094" s="911"/>
      <c r="WSB4094" s="911"/>
      <c r="WSC4094" s="911"/>
      <c r="WSD4094" s="911"/>
      <c r="WSE4094" s="911"/>
      <c r="WSF4094" s="911"/>
      <c r="WSG4094" s="911"/>
      <c r="WSH4094" s="911"/>
      <c r="WSI4094" s="912"/>
      <c r="WSK4094" s="913" t="s">
        <v>1</v>
      </c>
      <c r="WSL4094" s="31"/>
      <c r="WSM4094" s="909" t="s">
        <v>0</v>
      </c>
      <c r="WSN4094" s="909"/>
      <c r="WSO4094" s="909"/>
      <c r="WSP4094" s="909"/>
      <c r="WSQ4094" s="909"/>
      <c r="WSR4094" s="909"/>
      <c r="WSS4094" s="907" t="s">
        <v>79</v>
      </c>
      <c r="WST4094" s="909" t="s">
        <v>68</v>
      </c>
      <c r="WSU4094" s="910" t="s">
        <v>75</v>
      </c>
      <c r="WSV4094" s="911"/>
      <c r="WSW4094" s="911"/>
      <c r="WSX4094" s="911"/>
      <c r="WSY4094" s="911"/>
      <c r="WSZ4094" s="911"/>
      <c r="WTA4094" s="911"/>
      <c r="WTB4094" s="911"/>
      <c r="WTC4094" s="911"/>
      <c r="WTD4094" s="911"/>
      <c r="WTE4094" s="32"/>
      <c r="WTF4094" s="911" t="s">
        <v>74</v>
      </c>
      <c r="WTG4094" s="911"/>
      <c r="WTH4094" s="911"/>
      <c r="WTI4094" s="911"/>
      <c r="WTJ4094" s="911"/>
      <c r="WTK4094" s="911"/>
      <c r="WTL4094" s="911"/>
      <c r="WTM4094" s="911"/>
      <c r="WTN4094" s="911"/>
      <c r="WTO4094" s="912"/>
      <c r="WTQ4094" s="913" t="s">
        <v>1</v>
      </c>
      <c r="WTR4094" s="31"/>
      <c r="WTS4094" s="909" t="s">
        <v>0</v>
      </c>
      <c r="WTT4094" s="909"/>
      <c r="WTU4094" s="909"/>
      <c r="WTV4094" s="909"/>
      <c r="WTW4094" s="909"/>
      <c r="WTX4094" s="909"/>
      <c r="WTY4094" s="907" t="s">
        <v>79</v>
      </c>
      <c r="WTZ4094" s="909" t="s">
        <v>68</v>
      </c>
      <c r="WUA4094" s="910" t="s">
        <v>75</v>
      </c>
      <c r="WUB4094" s="911"/>
      <c r="WUC4094" s="911"/>
      <c r="WUD4094" s="911"/>
      <c r="WUE4094" s="911"/>
      <c r="WUF4094" s="911"/>
      <c r="WUG4094" s="911"/>
      <c r="WUH4094" s="911"/>
      <c r="WUI4094" s="911"/>
      <c r="WUJ4094" s="911"/>
      <c r="WUK4094" s="32"/>
      <c r="WUL4094" s="911" t="s">
        <v>74</v>
      </c>
      <c r="WUM4094" s="911"/>
      <c r="WUN4094" s="911"/>
      <c r="WUO4094" s="911"/>
      <c r="WUP4094" s="911"/>
      <c r="WUQ4094" s="911"/>
      <c r="WUR4094" s="911"/>
      <c r="WUS4094" s="911"/>
      <c r="WUT4094" s="911"/>
      <c r="WUU4094" s="912"/>
      <c r="WUW4094" s="913" t="s">
        <v>1</v>
      </c>
      <c r="WUX4094" s="31"/>
      <c r="WUY4094" s="909" t="s">
        <v>0</v>
      </c>
      <c r="WUZ4094" s="909"/>
      <c r="WVA4094" s="909"/>
      <c r="WVB4094" s="909"/>
      <c r="WVC4094" s="909"/>
      <c r="WVD4094" s="909"/>
      <c r="WVE4094" s="907" t="s">
        <v>79</v>
      </c>
      <c r="WVF4094" s="909" t="s">
        <v>68</v>
      </c>
      <c r="WVG4094" s="910" t="s">
        <v>75</v>
      </c>
      <c r="WVH4094" s="911"/>
      <c r="WVI4094" s="911"/>
      <c r="WVJ4094" s="911"/>
      <c r="WVK4094" s="911"/>
      <c r="WVL4094" s="911"/>
      <c r="WVM4094" s="911"/>
      <c r="WVN4094" s="911"/>
      <c r="WVO4094" s="911"/>
      <c r="WVP4094" s="911"/>
      <c r="WVQ4094" s="32"/>
      <c r="WVR4094" s="911" t="s">
        <v>74</v>
      </c>
      <c r="WVS4094" s="911"/>
      <c r="WVT4094" s="911"/>
      <c r="WVU4094" s="911"/>
      <c r="WVV4094" s="911"/>
      <c r="WVW4094" s="911"/>
      <c r="WVX4094" s="911"/>
      <c r="WVY4094" s="911"/>
      <c r="WVZ4094" s="911"/>
      <c r="WWA4094" s="912"/>
      <c r="WWC4094" s="913" t="s">
        <v>1</v>
      </c>
      <c r="WWD4094" s="31"/>
      <c r="WWE4094" s="909" t="s">
        <v>0</v>
      </c>
      <c r="WWF4094" s="909"/>
      <c r="WWG4094" s="909"/>
      <c r="WWH4094" s="909"/>
      <c r="WWI4094" s="909"/>
      <c r="WWJ4094" s="909"/>
      <c r="WWK4094" s="907" t="s">
        <v>79</v>
      </c>
      <c r="WWL4094" s="909" t="s">
        <v>68</v>
      </c>
      <c r="WWM4094" s="910" t="s">
        <v>75</v>
      </c>
      <c r="WWN4094" s="911"/>
      <c r="WWO4094" s="911"/>
      <c r="WWP4094" s="911"/>
      <c r="WWQ4094" s="911"/>
      <c r="WWR4094" s="911"/>
      <c r="WWS4094" s="911"/>
      <c r="WWT4094" s="911"/>
      <c r="WWU4094" s="911"/>
      <c r="WWV4094" s="911"/>
      <c r="WWW4094" s="32"/>
      <c r="WWX4094" s="911" t="s">
        <v>74</v>
      </c>
      <c r="WWY4094" s="911"/>
      <c r="WWZ4094" s="911"/>
      <c r="WXA4094" s="911"/>
      <c r="WXB4094" s="911"/>
      <c r="WXC4094" s="911"/>
      <c r="WXD4094" s="911"/>
      <c r="WXE4094" s="911"/>
      <c r="WXF4094" s="911"/>
      <c r="WXG4094" s="912"/>
      <c r="WXI4094" s="913" t="s">
        <v>1</v>
      </c>
      <c r="WXJ4094" s="31"/>
      <c r="WXK4094" s="909" t="s">
        <v>0</v>
      </c>
      <c r="WXL4094" s="909"/>
      <c r="WXM4094" s="909"/>
      <c r="WXN4094" s="909"/>
      <c r="WXO4094" s="909"/>
      <c r="WXP4094" s="909"/>
      <c r="WXQ4094" s="907" t="s">
        <v>79</v>
      </c>
      <c r="WXR4094" s="909" t="s">
        <v>68</v>
      </c>
      <c r="WXS4094" s="910" t="s">
        <v>75</v>
      </c>
      <c r="WXT4094" s="911"/>
      <c r="WXU4094" s="911"/>
      <c r="WXV4094" s="911"/>
      <c r="WXW4094" s="911"/>
      <c r="WXX4094" s="911"/>
      <c r="WXY4094" s="911"/>
      <c r="WXZ4094" s="911"/>
      <c r="WYA4094" s="911"/>
      <c r="WYB4094" s="911"/>
      <c r="WYC4094" s="32"/>
      <c r="WYD4094" s="911" t="s">
        <v>74</v>
      </c>
      <c r="WYE4094" s="911"/>
      <c r="WYF4094" s="911"/>
      <c r="WYG4094" s="911"/>
      <c r="WYH4094" s="911"/>
      <c r="WYI4094" s="911"/>
      <c r="WYJ4094" s="911"/>
      <c r="WYK4094" s="911"/>
      <c r="WYL4094" s="911"/>
      <c r="WYM4094" s="912"/>
      <c r="WYO4094" s="913" t="s">
        <v>1</v>
      </c>
      <c r="WYP4094" s="31"/>
      <c r="WYQ4094" s="909" t="s">
        <v>0</v>
      </c>
      <c r="WYR4094" s="909"/>
      <c r="WYS4094" s="909"/>
      <c r="WYT4094" s="909"/>
      <c r="WYU4094" s="909"/>
      <c r="WYV4094" s="909"/>
      <c r="WYW4094" s="907" t="s">
        <v>79</v>
      </c>
      <c r="WYX4094" s="909" t="s">
        <v>68</v>
      </c>
      <c r="WYY4094" s="910" t="s">
        <v>75</v>
      </c>
      <c r="WYZ4094" s="911"/>
      <c r="WZA4094" s="911"/>
      <c r="WZB4094" s="911"/>
      <c r="WZC4094" s="911"/>
      <c r="WZD4094" s="911"/>
      <c r="WZE4094" s="911"/>
      <c r="WZF4094" s="911"/>
      <c r="WZG4094" s="911"/>
      <c r="WZH4094" s="911"/>
      <c r="WZI4094" s="32"/>
      <c r="WZJ4094" s="911" t="s">
        <v>74</v>
      </c>
      <c r="WZK4094" s="911"/>
      <c r="WZL4094" s="911"/>
      <c r="WZM4094" s="911"/>
      <c r="WZN4094" s="911"/>
      <c r="WZO4094" s="911"/>
      <c r="WZP4094" s="911"/>
      <c r="WZQ4094" s="911"/>
      <c r="WZR4094" s="911"/>
      <c r="WZS4094" s="912"/>
      <c r="WZU4094" s="913" t="s">
        <v>1</v>
      </c>
      <c r="WZV4094" s="31"/>
      <c r="WZW4094" s="909" t="s">
        <v>0</v>
      </c>
      <c r="WZX4094" s="909"/>
      <c r="WZY4094" s="909"/>
      <c r="WZZ4094" s="909"/>
      <c r="XAA4094" s="909"/>
      <c r="XAB4094" s="909"/>
      <c r="XAC4094" s="907" t="s">
        <v>79</v>
      </c>
      <c r="XAD4094" s="909" t="s">
        <v>68</v>
      </c>
      <c r="XAE4094" s="910" t="s">
        <v>75</v>
      </c>
      <c r="XAF4094" s="911"/>
      <c r="XAG4094" s="911"/>
      <c r="XAH4094" s="911"/>
      <c r="XAI4094" s="911"/>
      <c r="XAJ4094" s="911"/>
      <c r="XAK4094" s="911"/>
      <c r="XAL4094" s="911"/>
      <c r="XAM4094" s="911"/>
      <c r="XAN4094" s="911"/>
      <c r="XAO4094" s="32"/>
      <c r="XAP4094" s="911" t="s">
        <v>74</v>
      </c>
      <c r="XAQ4094" s="911"/>
      <c r="XAR4094" s="911"/>
      <c r="XAS4094" s="911"/>
      <c r="XAT4094" s="911"/>
      <c r="XAU4094" s="911"/>
      <c r="XAV4094" s="911"/>
      <c r="XAW4094" s="911"/>
      <c r="XAX4094" s="911"/>
      <c r="XAY4094" s="912"/>
      <c r="XBA4094" s="913" t="s">
        <v>1</v>
      </c>
      <c r="XBB4094" s="31"/>
      <c r="XBC4094" s="909" t="s">
        <v>0</v>
      </c>
      <c r="XBD4094" s="909"/>
      <c r="XBE4094" s="909"/>
      <c r="XBF4094" s="909"/>
      <c r="XBG4094" s="909"/>
      <c r="XBH4094" s="909"/>
      <c r="XBI4094" s="907" t="s">
        <v>79</v>
      </c>
      <c r="XBJ4094" s="909" t="s">
        <v>68</v>
      </c>
      <c r="XBK4094" s="910" t="s">
        <v>75</v>
      </c>
      <c r="XBL4094" s="911"/>
      <c r="XBM4094" s="911"/>
      <c r="XBN4094" s="911"/>
      <c r="XBO4094" s="911"/>
      <c r="XBP4094" s="911"/>
      <c r="XBQ4094" s="911"/>
      <c r="XBR4094" s="911"/>
      <c r="XBS4094" s="911"/>
      <c r="XBT4094" s="911"/>
      <c r="XBU4094" s="32"/>
      <c r="XBV4094" s="911" t="s">
        <v>74</v>
      </c>
      <c r="XBW4094" s="911"/>
      <c r="XBX4094" s="911"/>
      <c r="XBY4094" s="911"/>
      <c r="XBZ4094" s="911"/>
      <c r="XCA4094" s="911"/>
      <c r="XCB4094" s="911"/>
      <c r="XCC4094" s="911"/>
      <c r="XCD4094" s="911"/>
      <c r="XCE4094" s="912"/>
      <c r="XCG4094" s="913" t="s">
        <v>1</v>
      </c>
      <c r="XCH4094" s="31"/>
      <c r="XCI4094" s="909" t="s">
        <v>0</v>
      </c>
      <c r="XCJ4094" s="909"/>
      <c r="XCK4094" s="909"/>
      <c r="XCL4094" s="909"/>
      <c r="XCM4094" s="909"/>
      <c r="XCN4094" s="909"/>
      <c r="XCO4094" s="907" t="s">
        <v>79</v>
      </c>
      <c r="XCP4094" s="909" t="s">
        <v>68</v>
      </c>
      <c r="XCQ4094" s="910" t="s">
        <v>75</v>
      </c>
      <c r="XCR4094" s="911"/>
      <c r="XCS4094" s="911"/>
      <c r="XCT4094" s="911"/>
      <c r="XCU4094" s="911"/>
      <c r="XCV4094" s="911"/>
      <c r="XCW4094" s="911"/>
      <c r="XCX4094" s="911"/>
      <c r="XCY4094" s="911"/>
      <c r="XCZ4094" s="911"/>
      <c r="XDA4094" s="32"/>
      <c r="XDB4094" s="911" t="s">
        <v>74</v>
      </c>
      <c r="XDC4094" s="911"/>
      <c r="XDD4094" s="911"/>
      <c r="XDE4094" s="911"/>
      <c r="XDF4094" s="911"/>
      <c r="XDG4094" s="911"/>
      <c r="XDH4094" s="911"/>
      <c r="XDI4094" s="911"/>
      <c r="XDJ4094" s="911"/>
      <c r="XDK4094" s="912"/>
      <c r="XDM4094" s="913" t="s">
        <v>1</v>
      </c>
      <c r="XDN4094" s="31"/>
      <c r="XDO4094" s="909" t="s">
        <v>0</v>
      </c>
      <c r="XDP4094" s="909"/>
      <c r="XDQ4094" s="909"/>
      <c r="XDR4094" s="909"/>
      <c r="XDS4094" s="909"/>
      <c r="XDT4094" s="909"/>
      <c r="XDU4094" s="907" t="s">
        <v>79</v>
      </c>
      <c r="XDV4094" s="909" t="s">
        <v>68</v>
      </c>
      <c r="XDW4094" s="910" t="s">
        <v>75</v>
      </c>
      <c r="XDX4094" s="911"/>
      <c r="XDY4094" s="911"/>
      <c r="XDZ4094" s="911"/>
      <c r="XEA4094" s="911"/>
      <c r="XEB4094" s="911"/>
      <c r="XEC4094" s="911"/>
      <c r="XED4094" s="911"/>
      <c r="XEE4094" s="911"/>
      <c r="XEF4094" s="911"/>
      <c r="XEG4094" s="32"/>
      <c r="XEH4094" s="911" t="s">
        <v>74</v>
      </c>
      <c r="XEI4094" s="911"/>
      <c r="XEJ4094" s="911"/>
      <c r="XEK4094" s="911"/>
      <c r="XEL4094" s="911"/>
      <c r="XEM4094" s="911"/>
      <c r="XEN4094" s="911"/>
      <c r="XEO4094" s="911"/>
      <c r="XEP4094" s="911"/>
      <c r="XEQ4094" s="912"/>
    </row>
    <row r="4095" spans="2:16372" hidden="1">
      <c r="B4095" s="19"/>
      <c r="C4095" s="19"/>
      <c r="D4095" s="19"/>
      <c r="E4095" s="19"/>
      <c r="F4095" s="19"/>
      <c r="G4095" s="19"/>
      <c r="H4095" s="19"/>
      <c r="I4095" s="19"/>
      <c r="J4095" s="19"/>
      <c r="K4095" s="421"/>
      <c r="L4095" s="23"/>
      <c r="M4095" s="19"/>
      <c r="N4095" s="19"/>
      <c r="O4095" s="19"/>
      <c r="P4095" s="19"/>
      <c r="Q4095" s="19"/>
      <c r="AC4095" s="919"/>
      <c r="AD4095" s="918"/>
      <c r="AE4095" s="33"/>
      <c r="AF4095" s="33"/>
      <c r="AG4095" s="33"/>
      <c r="AH4095" s="33"/>
      <c r="AI4095" s="33"/>
      <c r="AJ4095" s="33"/>
      <c r="AK4095" s="33"/>
      <c r="AL4095" s="33"/>
      <c r="AM4095" s="33"/>
      <c r="AN4095" s="33"/>
      <c r="AO4095" s="33"/>
      <c r="AP4095" s="33"/>
      <c r="AQ4095" s="33"/>
      <c r="AR4095" s="33"/>
      <c r="AS4095" s="33"/>
      <c r="AT4095" s="33"/>
      <c r="AU4095" s="33"/>
      <c r="AV4095" s="33"/>
      <c r="AW4095" s="33"/>
      <c r="AX4095" s="33"/>
      <c r="AY4095" s="33"/>
      <c r="BA4095" s="913"/>
      <c r="BB4095" s="31">
        <v>1</v>
      </c>
      <c r="BC4095" s="34">
        <v>0</v>
      </c>
      <c r="BD4095" s="34">
        <v>-1</v>
      </c>
      <c r="BE4095" s="34">
        <v>-2</v>
      </c>
      <c r="BF4095" s="34">
        <v>-3</v>
      </c>
      <c r="BG4095" s="34">
        <v>-4</v>
      </c>
      <c r="BH4095" s="34">
        <v>-5</v>
      </c>
      <c r="BI4095" s="908"/>
      <c r="BJ4095" s="909"/>
      <c r="BK4095" s="34">
        <v>-5</v>
      </c>
      <c r="BL4095" s="34">
        <v>-4.5</v>
      </c>
      <c r="BM4095" s="34">
        <v>-4</v>
      </c>
      <c r="BN4095" s="34">
        <v>-3.5</v>
      </c>
      <c r="BO4095" s="34">
        <v>-3</v>
      </c>
      <c r="BP4095" s="34">
        <v>-2.5</v>
      </c>
      <c r="BQ4095" s="34">
        <v>-2</v>
      </c>
      <c r="BR4095" s="34">
        <v>-1.5</v>
      </c>
      <c r="BS4095" s="34">
        <v>-1</v>
      </c>
      <c r="BT4095" s="34">
        <v>-0.5</v>
      </c>
      <c r="BU4095" s="34">
        <v>0</v>
      </c>
      <c r="BV4095" s="34">
        <v>0.5</v>
      </c>
      <c r="BW4095" s="34">
        <v>1</v>
      </c>
      <c r="BX4095" s="34">
        <v>1.5</v>
      </c>
      <c r="BY4095" s="34">
        <v>2</v>
      </c>
      <c r="BZ4095" s="34">
        <v>2.5</v>
      </c>
      <c r="CA4095" s="34">
        <v>3</v>
      </c>
      <c r="CB4095" s="34">
        <v>3.5</v>
      </c>
      <c r="CC4095" s="34">
        <v>4</v>
      </c>
      <c r="CD4095" s="34">
        <v>4.5</v>
      </c>
      <c r="CE4095" s="34">
        <v>5</v>
      </c>
      <c r="CG4095" s="913"/>
      <c r="CH4095" s="31">
        <v>1</v>
      </c>
      <c r="CI4095" s="34">
        <v>0</v>
      </c>
      <c r="CJ4095" s="34">
        <v>-1</v>
      </c>
      <c r="CK4095" s="34">
        <v>-2</v>
      </c>
      <c r="CL4095" s="34">
        <v>-3</v>
      </c>
      <c r="CM4095" s="34">
        <v>-4</v>
      </c>
      <c r="CN4095" s="34">
        <v>-5</v>
      </c>
      <c r="CO4095" s="908"/>
      <c r="CP4095" s="909"/>
      <c r="CQ4095" s="34">
        <v>-5</v>
      </c>
      <c r="CR4095" s="34">
        <v>-4.5</v>
      </c>
      <c r="CS4095" s="34">
        <v>-4</v>
      </c>
      <c r="CT4095" s="34">
        <v>-3.5</v>
      </c>
      <c r="CU4095" s="34">
        <v>-3</v>
      </c>
      <c r="CV4095" s="34">
        <v>-2.5</v>
      </c>
      <c r="CW4095" s="34">
        <v>-2</v>
      </c>
      <c r="CX4095" s="34">
        <v>-1.5</v>
      </c>
      <c r="CY4095" s="34">
        <v>-1</v>
      </c>
      <c r="CZ4095" s="34">
        <v>-0.5</v>
      </c>
      <c r="DA4095" s="34">
        <v>0</v>
      </c>
      <c r="DB4095" s="34">
        <v>0.5</v>
      </c>
      <c r="DC4095" s="34">
        <v>1</v>
      </c>
      <c r="DD4095" s="34">
        <v>1.5</v>
      </c>
      <c r="DE4095" s="34">
        <v>2</v>
      </c>
      <c r="DF4095" s="34">
        <v>2.5</v>
      </c>
      <c r="DG4095" s="34">
        <v>3</v>
      </c>
      <c r="DH4095" s="34">
        <v>3.5</v>
      </c>
      <c r="DI4095" s="34">
        <v>4</v>
      </c>
      <c r="DJ4095" s="34">
        <v>4.5</v>
      </c>
      <c r="DK4095" s="34">
        <v>5</v>
      </c>
      <c r="DM4095" s="913"/>
      <c r="DN4095" s="31">
        <v>1</v>
      </c>
      <c r="DO4095" s="34">
        <v>0</v>
      </c>
      <c r="DP4095" s="34">
        <v>-1</v>
      </c>
      <c r="DQ4095" s="34">
        <v>-2</v>
      </c>
      <c r="DR4095" s="34">
        <v>-3</v>
      </c>
      <c r="DS4095" s="34">
        <v>-4</v>
      </c>
      <c r="DT4095" s="34">
        <v>-5</v>
      </c>
      <c r="DU4095" s="908"/>
      <c r="DV4095" s="909"/>
      <c r="DW4095" s="34">
        <v>-5</v>
      </c>
      <c r="DX4095" s="34">
        <v>-4.5</v>
      </c>
      <c r="DY4095" s="34">
        <v>-4</v>
      </c>
      <c r="DZ4095" s="34">
        <v>-3.5</v>
      </c>
      <c r="EA4095" s="34">
        <v>-3</v>
      </c>
      <c r="EB4095" s="34">
        <v>-2.5</v>
      </c>
      <c r="EC4095" s="34">
        <v>-2</v>
      </c>
      <c r="ED4095" s="34">
        <v>-1.5</v>
      </c>
      <c r="EE4095" s="34">
        <v>-1</v>
      </c>
      <c r="EF4095" s="34">
        <v>-0.5</v>
      </c>
      <c r="EG4095" s="34">
        <v>0</v>
      </c>
      <c r="EH4095" s="34">
        <v>0.5</v>
      </c>
      <c r="EI4095" s="34">
        <v>1</v>
      </c>
      <c r="EJ4095" s="34">
        <v>1.5</v>
      </c>
      <c r="EK4095" s="34">
        <v>2</v>
      </c>
      <c r="EL4095" s="34">
        <v>2.5</v>
      </c>
      <c r="EM4095" s="34">
        <v>3</v>
      </c>
      <c r="EN4095" s="34">
        <v>3.5</v>
      </c>
      <c r="EO4095" s="34">
        <v>4</v>
      </c>
      <c r="EP4095" s="34">
        <v>4.5</v>
      </c>
      <c r="EQ4095" s="34">
        <v>5</v>
      </c>
      <c r="ES4095" s="913"/>
      <c r="ET4095" s="31">
        <v>1</v>
      </c>
      <c r="EU4095" s="34">
        <v>0</v>
      </c>
      <c r="EV4095" s="34">
        <v>-1</v>
      </c>
      <c r="EW4095" s="34">
        <v>-2</v>
      </c>
      <c r="EX4095" s="34">
        <v>-3</v>
      </c>
      <c r="EY4095" s="34">
        <v>-4</v>
      </c>
      <c r="EZ4095" s="34">
        <v>-5</v>
      </c>
      <c r="FA4095" s="908"/>
      <c r="FB4095" s="909"/>
      <c r="FC4095" s="34">
        <v>-5</v>
      </c>
      <c r="FD4095" s="34">
        <v>-4.5</v>
      </c>
      <c r="FE4095" s="34">
        <v>-4</v>
      </c>
      <c r="FF4095" s="34">
        <v>-3.5</v>
      </c>
      <c r="FG4095" s="34">
        <v>-3</v>
      </c>
      <c r="FH4095" s="34">
        <v>-2.5</v>
      </c>
      <c r="FI4095" s="34">
        <v>-2</v>
      </c>
      <c r="FJ4095" s="34">
        <v>-1.5</v>
      </c>
      <c r="FK4095" s="34">
        <v>-1</v>
      </c>
      <c r="FL4095" s="34">
        <v>-0.5</v>
      </c>
      <c r="FM4095" s="34">
        <v>0</v>
      </c>
      <c r="FN4095" s="34">
        <v>0.5</v>
      </c>
      <c r="FO4095" s="34">
        <v>1</v>
      </c>
      <c r="FP4095" s="34">
        <v>1.5</v>
      </c>
      <c r="FQ4095" s="34">
        <v>2</v>
      </c>
      <c r="FR4095" s="34">
        <v>2.5</v>
      </c>
      <c r="FS4095" s="34">
        <v>3</v>
      </c>
      <c r="FT4095" s="34">
        <v>3.5</v>
      </c>
      <c r="FU4095" s="34">
        <v>4</v>
      </c>
      <c r="FV4095" s="34">
        <v>4.5</v>
      </c>
      <c r="FW4095" s="34">
        <v>5</v>
      </c>
      <c r="FY4095" s="913"/>
      <c r="FZ4095" s="31">
        <v>1</v>
      </c>
      <c r="GA4095" s="34">
        <v>0</v>
      </c>
      <c r="GB4095" s="34">
        <v>-1</v>
      </c>
      <c r="GC4095" s="34">
        <v>-2</v>
      </c>
      <c r="GD4095" s="34">
        <v>-3</v>
      </c>
      <c r="GE4095" s="34">
        <v>-4</v>
      </c>
      <c r="GF4095" s="34">
        <v>-5</v>
      </c>
      <c r="GG4095" s="908"/>
      <c r="GH4095" s="909"/>
      <c r="GI4095" s="34">
        <v>-5</v>
      </c>
      <c r="GJ4095" s="34">
        <v>-4.5</v>
      </c>
      <c r="GK4095" s="34">
        <v>-4</v>
      </c>
      <c r="GL4095" s="34">
        <v>-3.5</v>
      </c>
      <c r="GM4095" s="34">
        <v>-3</v>
      </c>
      <c r="GN4095" s="34">
        <v>-2.5</v>
      </c>
      <c r="GO4095" s="34">
        <v>-2</v>
      </c>
      <c r="GP4095" s="34">
        <v>-1.5</v>
      </c>
      <c r="GQ4095" s="34">
        <v>-1</v>
      </c>
      <c r="GR4095" s="34">
        <v>-0.5</v>
      </c>
      <c r="GS4095" s="34">
        <v>0</v>
      </c>
      <c r="GT4095" s="34">
        <v>0.5</v>
      </c>
      <c r="GU4095" s="34">
        <v>1</v>
      </c>
      <c r="GV4095" s="34">
        <v>1.5</v>
      </c>
      <c r="GW4095" s="34">
        <v>2</v>
      </c>
      <c r="GX4095" s="34">
        <v>2.5</v>
      </c>
      <c r="GY4095" s="34">
        <v>3</v>
      </c>
      <c r="GZ4095" s="34">
        <v>3.5</v>
      </c>
      <c r="HA4095" s="34">
        <v>4</v>
      </c>
      <c r="HB4095" s="34">
        <v>4.5</v>
      </c>
      <c r="HC4095" s="34">
        <v>5</v>
      </c>
      <c r="HE4095" s="913"/>
      <c r="HF4095" s="31">
        <v>1</v>
      </c>
      <c r="HG4095" s="34">
        <v>0</v>
      </c>
      <c r="HH4095" s="34">
        <v>-1</v>
      </c>
      <c r="HI4095" s="34">
        <v>-2</v>
      </c>
      <c r="HJ4095" s="34">
        <v>-3</v>
      </c>
      <c r="HK4095" s="34">
        <v>-4</v>
      </c>
      <c r="HL4095" s="34">
        <v>-5</v>
      </c>
      <c r="HM4095" s="908"/>
      <c r="HN4095" s="909"/>
      <c r="HO4095" s="34">
        <v>-5</v>
      </c>
      <c r="HP4095" s="34">
        <v>-4.5</v>
      </c>
      <c r="HQ4095" s="34">
        <v>-4</v>
      </c>
      <c r="HR4095" s="34">
        <v>-3.5</v>
      </c>
      <c r="HS4095" s="34">
        <v>-3</v>
      </c>
      <c r="HT4095" s="34">
        <v>-2.5</v>
      </c>
      <c r="HU4095" s="34">
        <v>-2</v>
      </c>
      <c r="HV4095" s="34">
        <v>-1.5</v>
      </c>
      <c r="HW4095" s="34">
        <v>-1</v>
      </c>
      <c r="HX4095" s="34">
        <v>-0.5</v>
      </c>
      <c r="HY4095" s="34">
        <v>0</v>
      </c>
      <c r="HZ4095" s="34">
        <v>0.5</v>
      </c>
      <c r="IA4095" s="34">
        <v>1</v>
      </c>
      <c r="IB4095" s="34">
        <v>1.5</v>
      </c>
      <c r="IC4095" s="34">
        <v>2</v>
      </c>
      <c r="ID4095" s="34">
        <v>2.5</v>
      </c>
      <c r="IE4095" s="34">
        <v>3</v>
      </c>
      <c r="IF4095" s="34">
        <v>3.5</v>
      </c>
      <c r="IG4095" s="34">
        <v>4</v>
      </c>
      <c r="IH4095" s="34">
        <v>4.5</v>
      </c>
      <c r="II4095" s="34">
        <v>5</v>
      </c>
      <c r="IK4095" s="913"/>
      <c r="IL4095" s="31">
        <v>1</v>
      </c>
      <c r="IM4095" s="34">
        <v>0</v>
      </c>
      <c r="IN4095" s="34">
        <v>-1</v>
      </c>
      <c r="IO4095" s="34">
        <v>-2</v>
      </c>
      <c r="IP4095" s="34">
        <v>-3</v>
      </c>
      <c r="IQ4095" s="34">
        <v>-4</v>
      </c>
      <c r="IR4095" s="34">
        <v>-5</v>
      </c>
      <c r="IS4095" s="908"/>
      <c r="IT4095" s="909"/>
      <c r="IU4095" s="34">
        <v>-5</v>
      </c>
      <c r="IV4095" s="34">
        <v>-4.5</v>
      </c>
      <c r="IW4095" s="34">
        <v>-4</v>
      </c>
      <c r="IX4095" s="34">
        <v>-3.5</v>
      </c>
      <c r="IY4095" s="34">
        <v>-3</v>
      </c>
      <c r="IZ4095" s="34">
        <v>-2.5</v>
      </c>
      <c r="JA4095" s="34">
        <v>-2</v>
      </c>
      <c r="JB4095" s="34">
        <v>-1.5</v>
      </c>
      <c r="JC4095" s="34">
        <v>-1</v>
      </c>
      <c r="JD4095" s="34">
        <v>-0.5</v>
      </c>
      <c r="JE4095" s="34">
        <v>0</v>
      </c>
      <c r="JF4095" s="34">
        <v>0.5</v>
      </c>
      <c r="JG4095" s="34">
        <v>1</v>
      </c>
      <c r="JH4095" s="34">
        <v>1.5</v>
      </c>
      <c r="JI4095" s="34">
        <v>2</v>
      </c>
      <c r="JJ4095" s="34">
        <v>2.5</v>
      </c>
      <c r="JK4095" s="34">
        <v>3</v>
      </c>
      <c r="JL4095" s="34">
        <v>3.5</v>
      </c>
      <c r="JM4095" s="34">
        <v>4</v>
      </c>
      <c r="JN4095" s="34">
        <v>4.5</v>
      </c>
      <c r="JO4095" s="34">
        <v>5</v>
      </c>
      <c r="JQ4095" s="913"/>
      <c r="JR4095" s="31">
        <v>1</v>
      </c>
      <c r="JS4095" s="34">
        <v>0</v>
      </c>
      <c r="JT4095" s="34">
        <v>-1</v>
      </c>
      <c r="JU4095" s="34">
        <v>-2</v>
      </c>
      <c r="JV4095" s="34">
        <v>-3</v>
      </c>
      <c r="JW4095" s="34">
        <v>-4</v>
      </c>
      <c r="JX4095" s="34">
        <v>-5</v>
      </c>
      <c r="JY4095" s="908"/>
      <c r="JZ4095" s="909"/>
      <c r="KA4095" s="34">
        <v>-5</v>
      </c>
      <c r="KB4095" s="34">
        <v>-4.5</v>
      </c>
      <c r="KC4095" s="34">
        <v>-4</v>
      </c>
      <c r="KD4095" s="34">
        <v>-3.5</v>
      </c>
      <c r="KE4095" s="34">
        <v>-3</v>
      </c>
      <c r="KF4095" s="34">
        <v>-2.5</v>
      </c>
      <c r="KG4095" s="34">
        <v>-2</v>
      </c>
      <c r="KH4095" s="34">
        <v>-1.5</v>
      </c>
      <c r="KI4095" s="34">
        <v>-1</v>
      </c>
      <c r="KJ4095" s="34">
        <v>-0.5</v>
      </c>
      <c r="KK4095" s="34">
        <v>0</v>
      </c>
      <c r="KL4095" s="34">
        <v>0.5</v>
      </c>
      <c r="KM4095" s="34">
        <v>1</v>
      </c>
      <c r="KN4095" s="34">
        <v>1.5</v>
      </c>
      <c r="KO4095" s="34">
        <v>2</v>
      </c>
      <c r="KP4095" s="34">
        <v>2.5</v>
      </c>
      <c r="KQ4095" s="34">
        <v>3</v>
      </c>
      <c r="KR4095" s="34">
        <v>3.5</v>
      </c>
      <c r="KS4095" s="34">
        <v>4</v>
      </c>
      <c r="KT4095" s="34">
        <v>4.5</v>
      </c>
      <c r="KU4095" s="34">
        <v>5</v>
      </c>
      <c r="KW4095" s="913"/>
      <c r="KX4095" s="31">
        <v>1</v>
      </c>
      <c r="KY4095" s="34">
        <v>0</v>
      </c>
      <c r="KZ4095" s="34">
        <v>-1</v>
      </c>
      <c r="LA4095" s="34">
        <v>-2</v>
      </c>
      <c r="LB4095" s="34">
        <v>-3</v>
      </c>
      <c r="LC4095" s="34">
        <v>-4</v>
      </c>
      <c r="LD4095" s="34">
        <v>-5</v>
      </c>
      <c r="LE4095" s="908"/>
      <c r="LF4095" s="909"/>
      <c r="LG4095" s="34">
        <v>-5</v>
      </c>
      <c r="LH4095" s="34">
        <v>-4.5</v>
      </c>
      <c r="LI4095" s="34">
        <v>-4</v>
      </c>
      <c r="LJ4095" s="34">
        <v>-3.5</v>
      </c>
      <c r="LK4095" s="34">
        <v>-3</v>
      </c>
      <c r="LL4095" s="34">
        <v>-2.5</v>
      </c>
      <c r="LM4095" s="34">
        <v>-2</v>
      </c>
      <c r="LN4095" s="34">
        <v>-1.5</v>
      </c>
      <c r="LO4095" s="34">
        <v>-1</v>
      </c>
      <c r="LP4095" s="34">
        <v>-0.5</v>
      </c>
      <c r="LQ4095" s="34">
        <v>0</v>
      </c>
      <c r="LR4095" s="34">
        <v>0.5</v>
      </c>
      <c r="LS4095" s="34">
        <v>1</v>
      </c>
      <c r="LT4095" s="34">
        <v>1.5</v>
      </c>
      <c r="LU4095" s="34">
        <v>2</v>
      </c>
      <c r="LV4095" s="34">
        <v>2.5</v>
      </c>
      <c r="LW4095" s="34">
        <v>3</v>
      </c>
      <c r="LX4095" s="34">
        <v>3.5</v>
      </c>
      <c r="LY4095" s="34">
        <v>4</v>
      </c>
      <c r="LZ4095" s="34">
        <v>4.5</v>
      </c>
      <c r="MA4095" s="34">
        <v>5</v>
      </c>
      <c r="MC4095" s="913"/>
      <c r="MD4095" s="31">
        <v>1</v>
      </c>
      <c r="ME4095" s="34">
        <v>0</v>
      </c>
      <c r="MF4095" s="34">
        <v>-1</v>
      </c>
      <c r="MG4095" s="34">
        <v>-2</v>
      </c>
      <c r="MH4095" s="34">
        <v>-3</v>
      </c>
      <c r="MI4095" s="34">
        <v>-4</v>
      </c>
      <c r="MJ4095" s="34">
        <v>-5</v>
      </c>
      <c r="MK4095" s="908"/>
      <c r="ML4095" s="909"/>
      <c r="MM4095" s="34">
        <v>-5</v>
      </c>
      <c r="MN4095" s="34">
        <v>-4.5</v>
      </c>
      <c r="MO4095" s="34">
        <v>-4</v>
      </c>
      <c r="MP4095" s="34">
        <v>-3.5</v>
      </c>
      <c r="MQ4095" s="34">
        <v>-3</v>
      </c>
      <c r="MR4095" s="34">
        <v>-2.5</v>
      </c>
      <c r="MS4095" s="34">
        <v>-2</v>
      </c>
      <c r="MT4095" s="34">
        <v>-1.5</v>
      </c>
      <c r="MU4095" s="34">
        <v>-1</v>
      </c>
      <c r="MV4095" s="34">
        <v>-0.5</v>
      </c>
      <c r="MW4095" s="34">
        <v>0</v>
      </c>
      <c r="MX4095" s="34">
        <v>0.5</v>
      </c>
      <c r="MY4095" s="34">
        <v>1</v>
      </c>
      <c r="MZ4095" s="34">
        <v>1.5</v>
      </c>
      <c r="NA4095" s="34">
        <v>2</v>
      </c>
      <c r="NB4095" s="34">
        <v>2.5</v>
      </c>
      <c r="NC4095" s="34">
        <v>3</v>
      </c>
      <c r="ND4095" s="34">
        <v>3.5</v>
      </c>
      <c r="NE4095" s="34">
        <v>4</v>
      </c>
      <c r="NF4095" s="34">
        <v>4.5</v>
      </c>
      <c r="NG4095" s="34">
        <v>5</v>
      </c>
      <c r="NI4095" s="913"/>
      <c r="NJ4095" s="31">
        <v>1</v>
      </c>
      <c r="NK4095" s="34">
        <v>0</v>
      </c>
      <c r="NL4095" s="34">
        <v>-1</v>
      </c>
      <c r="NM4095" s="34">
        <v>-2</v>
      </c>
      <c r="NN4095" s="34">
        <v>-3</v>
      </c>
      <c r="NO4095" s="34">
        <v>-4</v>
      </c>
      <c r="NP4095" s="34">
        <v>-5</v>
      </c>
      <c r="NQ4095" s="908"/>
      <c r="NR4095" s="909"/>
      <c r="NS4095" s="34">
        <v>-5</v>
      </c>
      <c r="NT4095" s="34">
        <v>-4.5</v>
      </c>
      <c r="NU4095" s="34">
        <v>-4</v>
      </c>
      <c r="NV4095" s="34">
        <v>-3.5</v>
      </c>
      <c r="NW4095" s="34">
        <v>-3</v>
      </c>
      <c r="NX4095" s="34">
        <v>-2.5</v>
      </c>
      <c r="NY4095" s="34">
        <v>-2</v>
      </c>
      <c r="NZ4095" s="34">
        <v>-1.5</v>
      </c>
      <c r="OA4095" s="34">
        <v>-1</v>
      </c>
      <c r="OB4095" s="34">
        <v>-0.5</v>
      </c>
      <c r="OC4095" s="34">
        <v>0</v>
      </c>
      <c r="OD4095" s="34">
        <v>0.5</v>
      </c>
      <c r="OE4095" s="34">
        <v>1</v>
      </c>
      <c r="OF4095" s="34">
        <v>1.5</v>
      </c>
      <c r="OG4095" s="34">
        <v>2</v>
      </c>
      <c r="OH4095" s="34">
        <v>2.5</v>
      </c>
      <c r="OI4095" s="34">
        <v>3</v>
      </c>
      <c r="OJ4095" s="34">
        <v>3.5</v>
      </c>
      <c r="OK4095" s="34">
        <v>4</v>
      </c>
      <c r="OL4095" s="34">
        <v>4.5</v>
      </c>
      <c r="OM4095" s="34">
        <v>5</v>
      </c>
      <c r="OO4095" s="913"/>
      <c r="OP4095" s="31">
        <v>1</v>
      </c>
      <c r="OQ4095" s="34">
        <v>0</v>
      </c>
      <c r="OR4095" s="34">
        <v>-1</v>
      </c>
      <c r="OS4095" s="34">
        <v>-2</v>
      </c>
      <c r="OT4095" s="34">
        <v>-3</v>
      </c>
      <c r="OU4095" s="34">
        <v>-4</v>
      </c>
      <c r="OV4095" s="34">
        <v>-5</v>
      </c>
      <c r="OW4095" s="908"/>
      <c r="OX4095" s="909"/>
      <c r="OY4095" s="34">
        <v>-5</v>
      </c>
      <c r="OZ4095" s="34">
        <v>-4.5</v>
      </c>
      <c r="PA4095" s="34">
        <v>-4</v>
      </c>
      <c r="PB4095" s="34">
        <v>-3.5</v>
      </c>
      <c r="PC4095" s="34">
        <v>-3</v>
      </c>
      <c r="PD4095" s="34">
        <v>-2.5</v>
      </c>
      <c r="PE4095" s="34">
        <v>-2</v>
      </c>
      <c r="PF4095" s="34">
        <v>-1.5</v>
      </c>
      <c r="PG4095" s="34">
        <v>-1</v>
      </c>
      <c r="PH4095" s="34">
        <v>-0.5</v>
      </c>
      <c r="PI4095" s="34">
        <v>0</v>
      </c>
      <c r="PJ4095" s="34">
        <v>0.5</v>
      </c>
      <c r="PK4095" s="34">
        <v>1</v>
      </c>
      <c r="PL4095" s="34">
        <v>1.5</v>
      </c>
      <c r="PM4095" s="34">
        <v>2</v>
      </c>
      <c r="PN4095" s="34">
        <v>2.5</v>
      </c>
      <c r="PO4095" s="34">
        <v>3</v>
      </c>
      <c r="PP4095" s="34">
        <v>3.5</v>
      </c>
      <c r="PQ4095" s="34">
        <v>4</v>
      </c>
      <c r="PR4095" s="34">
        <v>4.5</v>
      </c>
      <c r="PS4095" s="34">
        <v>5</v>
      </c>
      <c r="PU4095" s="913"/>
      <c r="PV4095" s="31">
        <v>1</v>
      </c>
      <c r="PW4095" s="34">
        <v>0</v>
      </c>
      <c r="PX4095" s="34">
        <v>-1</v>
      </c>
      <c r="PY4095" s="34">
        <v>-2</v>
      </c>
      <c r="PZ4095" s="34">
        <v>-3</v>
      </c>
      <c r="QA4095" s="34">
        <v>-4</v>
      </c>
      <c r="QB4095" s="34">
        <v>-5</v>
      </c>
      <c r="QC4095" s="908"/>
      <c r="QD4095" s="909"/>
      <c r="QE4095" s="34">
        <v>-5</v>
      </c>
      <c r="QF4095" s="34">
        <v>-4.5</v>
      </c>
      <c r="QG4095" s="34">
        <v>-4</v>
      </c>
      <c r="QH4095" s="34">
        <v>-3.5</v>
      </c>
      <c r="QI4095" s="34">
        <v>-3</v>
      </c>
      <c r="QJ4095" s="34">
        <v>-2.5</v>
      </c>
      <c r="QK4095" s="34">
        <v>-2</v>
      </c>
      <c r="QL4095" s="34">
        <v>-1.5</v>
      </c>
      <c r="QM4095" s="34">
        <v>-1</v>
      </c>
      <c r="QN4095" s="34">
        <v>-0.5</v>
      </c>
      <c r="QO4095" s="34">
        <v>0</v>
      </c>
      <c r="QP4095" s="34">
        <v>0.5</v>
      </c>
      <c r="QQ4095" s="34">
        <v>1</v>
      </c>
      <c r="QR4095" s="34">
        <v>1.5</v>
      </c>
      <c r="QS4095" s="34">
        <v>2</v>
      </c>
      <c r="QT4095" s="34">
        <v>2.5</v>
      </c>
      <c r="QU4095" s="34">
        <v>3</v>
      </c>
      <c r="QV4095" s="34">
        <v>3.5</v>
      </c>
      <c r="QW4095" s="34">
        <v>4</v>
      </c>
      <c r="QX4095" s="34">
        <v>4.5</v>
      </c>
      <c r="QY4095" s="34">
        <v>5</v>
      </c>
      <c r="RA4095" s="913"/>
      <c r="RB4095" s="31">
        <v>1</v>
      </c>
      <c r="RC4095" s="34">
        <v>0</v>
      </c>
      <c r="RD4095" s="34">
        <v>-1</v>
      </c>
      <c r="RE4095" s="34">
        <v>-2</v>
      </c>
      <c r="RF4095" s="34">
        <v>-3</v>
      </c>
      <c r="RG4095" s="34">
        <v>-4</v>
      </c>
      <c r="RH4095" s="34">
        <v>-5</v>
      </c>
      <c r="RI4095" s="908"/>
      <c r="RJ4095" s="909"/>
      <c r="RK4095" s="34">
        <v>-5</v>
      </c>
      <c r="RL4095" s="34">
        <v>-4.5</v>
      </c>
      <c r="RM4095" s="34">
        <v>-4</v>
      </c>
      <c r="RN4095" s="34">
        <v>-3.5</v>
      </c>
      <c r="RO4095" s="34">
        <v>-3</v>
      </c>
      <c r="RP4095" s="34">
        <v>-2.5</v>
      </c>
      <c r="RQ4095" s="34">
        <v>-2</v>
      </c>
      <c r="RR4095" s="34">
        <v>-1.5</v>
      </c>
      <c r="RS4095" s="34">
        <v>-1</v>
      </c>
      <c r="RT4095" s="34">
        <v>-0.5</v>
      </c>
      <c r="RU4095" s="34">
        <v>0</v>
      </c>
      <c r="RV4095" s="34">
        <v>0.5</v>
      </c>
      <c r="RW4095" s="34">
        <v>1</v>
      </c>
      <c r="RX4095" s="34">
        <v>1.5</v>
      </c>
      <c r="RY4095" s="34">
        <v>2</v>
      </c>
      <c r="RZ4095" s="34">
        <v>2.5</v>
      </c>
      <c r="SA4095" s="34">
        <v>3</v>
      </c>
      <c r="SB4095" s="34">
        <v>3.5</v>
      </c>
      <c r="SC4095" s="34">
        <v>4</v>
      </c>
      <c r="SD4095" s="34">
        <v>4.5</v>
      </c>
      <c r="SE4095" s="34">
        <v>5</v>
      </c>
      <c r="SG4095" s="913"/>
      <c r="SH4095" s="31">
        <v>1</v>
      </c>
      <c r="SI4095" s="34">
        <v>0</v>
      </c>
      <c r="SJ4095" s="34">
        <v>-1</v>
      </c>
      <c r="SK4095" s="34">
        <v>-2</v>
      </c>
      <c r="SL4095" s="34">
        <v>-3</v>
      </c>
      <c r="SM4095" s="34">
        <v>-4</v>
      </c>
      <c r="SN4095" s="34">
        <v>-5</v>
      </c>
      <c r="SO4095" s="908"/>
      <c r="SP4095" s="909"/>
      <c r="SQ4095" s="34">
        <v>-5</v>
      </c>
      <c r="SR4095" s="34">
        <v>-4.5</v>
      </c>
      <c r="SS4095" s="34">
        <v>-4</v>
      </c>
      <c r="ST4095" s="34">
        <v>-3.5</v>
      </c>
      <c r="SU4095" s="34">
        <v>-3</v>
      </c>
      <c r="SV4095" s="34">
        <v>-2.5</v>
      </c>
      <c r="SW4095" s="34">
        <v>-2</v>
      </c>
      <c r="SX4095" s="34">
        <v>-1.5</v>
      </c>
      <c r="SY4095" s="34">
        <v>-1</v>
      </c>
      <c r="SZ4095" s="34">
        <v>-0.5</v>
      </c>
      <c r="TA4095" s="34">
        <v>0</v>
      </c>
      <c r="TB4095" s="34">
        <v>0.5</v>
      </c>
      <c r="TC4095" s="34">
        <v>1</v>
      </c>
      <c r="TD4095" s="34">
        <v>1.5</v>
      </c>
      <c r="TE4095" s="34">
        <v>2</v>
      </c>
      <c r="TF4095" s="34">
        <v>2.5</v>
      </c>
      <c r="TG4095" s="34">
        <v>3</v>
      </c>
      <c r="TH4095" s="34">
        <v>3.5</v>
      </c>
      <c r="TI4095" s="34">
        <v>4</v>
      </c>
      <c r="TJ4095" s="34">
        <v>4.5</v>
      </c>
      <c r="TK4095" s="34">
        <v>5</v>
      </c>
      <c r="TM4095" s="913"/>
      <c r="TN4095" s="31">
        <v>1</v>
      </c>
      <c r="TO4095" s="34">
        <v>0</v>
      </c>
      <c r="TP4095" s="34">
        <v>-1</v>
      </c>
      <c r="TQ4095" s="34">
        <v>-2</v>
      </c>
      <c r="TR4095" s="34">
        <v>-3</v>
      </c>
      <c r="TS4095" s="34">
        <v>-4</v>
      </c>
      <c r="TT4095" s="34">
        <v>-5</v>
      </c>
      <c r="TU4095" s="908"/>
      <c r="TV4095" s="909"/>
      <c r="TW4095" s="34">
        <v>-5</v>
      </c>
      <c r="TX4095" s="34">
        <v>-4.5</v>
      </c>
      <c r="TY4095" s="34">
        <v>-4</v>
      </c>
      <c r="TZ4095" s="34">
        <v>-3.5</v>
      </c>
      <c r="UA4095" s="34">
        <v>-3</v>
      </c>
      <c r="UB4095" s="34">
        <v>-2.5</v>
      </c>
      <c r="UC4095" s="34">
        <v>-2</v>
      </c>
      <c r="UD4095" s="34">
        <v>-1.5</v>
      </c>
      <c r="UE4095" s="34">
        <v>-1</v>
      </c>
      <c r="UF4095" s="34">
        <v>-0.5</v>
      </c>
      <c r="UG4095" s="34">
        <v>0</v>
      </c>
      <c r="UH4095" s="34">
        <v>0.5</v>
      </c>
      <c r="UI4095" s="34">
        <v>1</v>
      </c>
      <c r="UJ4095" s="34">
        <v>1.5</v>
      </c>
      <c r="UK4095" s="34">
        <v>2</v>
      </c>
      <c r="UL4095" s="34">
        <v>2.5</v>
      </c>
      <c r="UM4095" s="34">
        <v>3</v>
      </c>
      <c r="UN4095" s="34">
        <v>3.5</v>
      </c>
      <c r="UO4095" s="34">
        <v>4</v>
      </c>
      <c r="UP4095" s="34">
        <v>4.5</v>
      </c>
      <c r="UQ4095" s="34">
        <v>5</v>
      </c>
      <c r="US4095" s="913"/>
      <c r="UT4095" s="31">
        <v>1</v>
      </c>
      <c r="UU4095" s="34">
        <v>0</v>
      </c>
      <c r="UV4095" s="34">
        <v>-1</v>
      </c>
      <c r="UW4095" s="34">
        <v>-2</v>
      </c>
      <c r="UX4095" s="34">
        <v>-3</v>
      </c>
      <c r="UY4095" s="34">
        <v>-4</v>
      </c>
      <c r="UZ4095" s="34">
        <v>-5</v>
      </c>
      <c r="VA4095" s="908"/>
      <c r="VB4095" s="909"/>
      <c r="VC4095" s="34">
        <v>-5</v>
      </c>
      <c r="VD4095" s="34">
        <v>-4.5</v>
      </c>
      <c r="VE4095" s="34">
        <v>-4</v>
      </c>
      <c r="VF4095" s="34">
        <v>-3.5</v>
      </c>
      <c r="VG4095" s="34">
        <v>-3</v>
      </c>
      <c r="VH4095" s="34">
        <v>-2.5</v>
      </c>
      <c r="VI4095" s="34">
        <v>-2</v>
      </c>
      <c r="VJ4095" s="34">
        <v>-1.5</v>
      </c>
      <c r="VK4095" s="34">
        <v>-1</v>
      </c>
      <c r="VL4095" s="34">
        <v>-0.5</v>
      </c>
      <c r="VM4095" s="34">
        <v>0</v>
      </c>
      <c r="VN4095" s="34">
        <v>0.5</v>
      </c>
      <c r="VO4095" s="34">
        <v>1</v>
      </c>
      <c r="VP4095" s="34">
        <v>1.5</v>
      </c>
      <c r="VQ4095" s="34">
        <v>2</v>
      </c>
      <c r="VR4095" s="34">
        <v>2.5</v>
      </c>
      <c r="VS4095" s="34">
        <v>3</v>
      </c>
      <c r="VT4095" s="34">
        <v>3.5</v>
      </c>
      <c r="VU4095" s="34">
        <v>4</v>
      </c>
      <c r="VV4095" s="34">
        <v>4.5</v>
      </c>
      <c r="VW4095" s="34">
        <v>5</v>
      </c>
      <c r="VY4095" s="913"/>
      <c r="VZ4095" s="31">
        <v>1</v>
      </c>
      <c r="WA4095" s="34">
        <v>0</v>
      </c>
      <c r="WB4095" s="34">
        <v>-1</v>
      </c>
      <c r="WC4095" s="34">
        <v>-2</v>
      </c>
      <c r="WD4095" s="34">
        <v>-3</v>
      </c>
      <c r="WE4095" s="34">
        <v>-4</v>
      </c>
      <c r="WF4095" s="34">
        <v>-5</v>
      </c>
      <c r="WG4095" s="908"/>
      <c r="WH4095" s="909"/>
      <c r="WI4095" s="34">
        <v>-5</v>
      </c>
      <c r="WJ4095" s="34">
        <v>-4.5</v>
      </c>
      <c r="WK4095" s="34">
        <v>-4</v>
      </c>
      <c r="WL4095" s="34">
        <v>-3.5</v>
      </c>
      <c r="WM4095" s="34">
        <v>-3</v>
      </c>
      <c r="WN4095" s="34">
        <v>-2.5</v>
      </c>
      <c r="WO4095" s="34">
        <v>-2</v>
      </c>
      <c r="WP4095" s="34">
        <v>-1.5</v>
      </c>
      <c r="WQ4095" s="34">
        <v>-1</v>
      </c>
      <c r="WR4095" s="34">
        <v>-0.5</v>
      </c>
      <c r="WS4095" s="34">
        <v>0</v>
      </c>
      <c r="WT4095" s="34">
        <v>0.5</v>
      </c>
      <c r="WU4095" s="34">
        <v>1</v>
      </c>
      <c r="WV4095" s="34">
        <v>1.5</v>
      </c>
      <c r="WW4095" s="34">
        <v>2</v>
      </c>
      <c r="WX4095" s="34">
        <v>2.5</v>
      </c>
      <c r="WY4095" s="34">
        <v>3</v>
      </c>
      <c r="WZ4095" s="34">
        <v>3.5</v>
      </c>
      <c r="XA4095" s="34">
        <v>4</v>
      </c>
      <c r="XB4095" s="34">
        <v>4.5</v>
      </c>
      <c r="XC4095" s="34">
        <v>5</v>
      </c>
      <c r="XE4095" s="913"/>
      <c r="XF4095" s="31">
        <v>1</v>
      </c>
      <c r="XG4095" s="34">
        <v>0</v>
      </c>
      <c r="XH4095" s="34">
        <v>-1</v>
      </c>
      <c r="XI4095" s="34">
        <v>-2</v>
      </c>
      <c r="XJ4095" s="34">
        <v>-3</v>
      </c>
      <c r="XK4095" s="34">
        <v>-4</v>
      </c>
      <c r="XL4095" s="34">
        <v>-5</v>
      </c>
      <c r="XM4095" s="908"/>
      <c r="XN4095" s="909"/>
      <c r="XO4095" s="34">
        <v>-5</v>
      </c>
      <c r="XP4095" s="34">
        <v>-4.5</v>
      </c>
      <c r="XQ4095" s="34">
        <v>-4</v>
      </c>
      <c r="XR4095" s="34">
        <v>-3.5</v>
      </c>
      <c r="XS4095" s="34">
        <v>-3</v>
      </c>
      <c r="XT4095" s="34">
        <v>-2.5</v>
      </c>
      <c r="XU4095" s="34">
        <v>-2</v>
      </c>
      <c r="XV4095" s="34">
        <v>-1.5</v>
      </c>
      <c r="XW4095" s="34">
        <v>-1</v>
      </c>
      <c r="XX4095" s="34">
        <v>-0.5</v>
      </c>
      <c r="XY4095" s="34">
        <v>0</v>
      </c>
      <c r="XZ4095" s="34">
        <v>0.5</v>
      </c>
      <c r="YA4095" s="34">
        <v>1</v>
      </c>
      <c r="YB4095" s="34">
        <v>1.5</v>
      </c>
      <c r="YC4095" s="34">
        <v>2</v>
      </c>
      <c r="YD4095" s="34">
        <v>2.5</v>
      </c>
      <c r="YE4095" s="34">
        <v>3</v>
      </c>
      <c r="YF4095" s="34">
        <v>3.5</v>
      </c>
      <c r="YG4095" s="34">
        <v>4</v>
      </c>
      <c r="YH4095" s="34">
        <v>4.5</v>
      </c>
      <c r="YI4095" s="34">
        <v>5</v>
      </c>
      <c r="YK4095" s="913"/>
      <c r="YL4095" s="31">
        <v>1</v>
      </c>
      <c r="YM4095" s="34">
        <v>0</v>
      </c>
      <c r="YN4095" s="34">
        <v>-1</v>
      </c>
      <c r="YO4095" s="34">
        <v>-2</v>
      </c>
      <c r="YP4095" s="34">
        <v>-3</v>
      </c>
      <c r="YQ4095" s="34">
        <v>-4</v>
      </c>
      <c r="YR4095" s="34">
        <v>-5</v>
      </c>
      <c r="YS4095" s="908"/>
      <c r="YT4095" s="909"/>
      <c r="YU4095" s="34">
        <v>-5</v>
      </c>
      <c r="YV4095" s="34">
        <v>-4.5</v>
      </c>
      <c r="YW4095" s="34">
        <v>-4</v>
      </c>
      <c r="YX4095" s="34">
        <v>-3.5</v>
      </c>
      <c r="YY4095" s="34">
        <v>-3</v>
      </c>
      <c r="YZ4095" s="34">
        <v>-2.5</v>
      </c>
      <c r="ZA4095" s="34">
        <v>-2</v>
      </c>
      <c r="ZB4095" s="34">
        <v>-1.5</v>
      </c>
      <c r="ZC4095" s="34">
        <v>-1</v>
      </c>
      <c r="ZD4095" s="34">
        <v>-0.5</v>
      </c>
      <c r="ZE4095" s="34">
        <v>0</v>
      </c>
      <c r="ZF4095" s="34">
        <v>0.5</v>
      </c>
      <c r="ZG4095" s="34">
        <v>1</v>
      </c>
      <c r="ZH4095" s="34">
        <v>1.5</v>
      </c>
      <c r="ZI4095" s="34">
        <v>2</v>
      </c>
      <c r="ZJ4095" s="34">
        <v>2.5</v>
      </c>
      <c r="ZK4095" s="34">
        <v>3</v>
      </c>
      <c r="ZL4095" s="34">
        <v>3.5</v>
      </c>
      <c r="ZM4095" s="34">
        <v>4</v>
      </c>
      <c r="ZN4095" s="34">
        <v>4.5</v>
      </c>
      <c r="ZO4095" s="34">
        <v>5</v>
      </c>
      <c r="ZQ4095" s="913"/>
      <c r="ZR4095" s="31">
        <v>1</v>
      </c>
      <c r="ZS4095" s="34">
        <v>0</v>
      </c>
      <c r="ZT4095" s="34">
        <v>-1</v>
      </c>
      <c r="ZU4095" s="34">
        <v>-2</v>
      </c>
      <c r="ZV4095" s="34">
        <v>-3</v>
      </c>
      <c r="ZW4095" s="34">
        <v>-4</v>
      </c>
      <c r="ZX4095" s="34">
        <v>-5</v>
      </c>
      <c r="ZY4095" s="908"/>
      <c r="ZZ4095" s="909"/>
      <c r="AAA4095" s="34">
        <v>-5</v>
      </c>
      <c r="AAB4095" s="34">
        <v>-4.5</v>
      </c>
      <c r="AAC4095" s="34">
        <v>-4</v>
      </c>
      <c r="AAD4095" s="34">
        <v>-3.5</v>
      </c>
      <c r="AAE4095" s="34">
        <v>-3</v>
      </c>
      <c r="AAF4095" s="34">
        <v>-2.5</v>
      </c>
      <c r="AAG4095" s="34">
        <v>-2</v>
      </c>
      <c r="AAH4095" s="34">
        <v>-1.5</v>
      </c>
      <c r="AAI4095" s="34">
        <v>-1</v>
      </c>
      <c r="AAJ4095" s="34">
        <v>-0.5</v>
      </c>
      <c r="AAK4095" s="34">
        <v>0</v>
      </c>
      <c r="AAL4095" s="34">
        <v>0.5</v>
      </c>
      <c r="AAM4095" s="34">
        <v>1</v>
      </c>
      <c r="AAN4095" s="34">
        <v>1.5</v>
      </c>
      <c r="AAO4095" s="34">
        <v>2</v>
      </c>
      <c r="AAP4095" s="34">
        <v>2.5</v>
      </c>
      <c r="AAQ4095" s="34">
        <v>3</v>
      </c>
      <c r="AAR4095" s="34">
        <v>3.5</v>
      </c>
      <c r="AAS4095" s="34">
        <v>4</v>
      </c>
      <c r="AAT4095" s="34">
        <v>4.5</v>
      </c>
      <c r="AAU4095" s="34">
        <v>5</v>
      </c>
      <c r="AAW4095" s="913"/>
      <c r="AAX4095" s="31">
        <v>1</v>
      </c>
      <c r="AAY4095" s="34">
        <v>0</v>
      </c>
      <c r="AAZ4095" s="34">
        <v>-1</v>
      </c>
      <c r="ABA4095" s="34">
        <v>-2</v>
      </c>
      <c r="ABB4095" s="34">
        <v>-3</v>
      </c>
      <c r="ABC4095" s="34">
        <v>-4</v>
      </c>
      <c r="ABD4095" s="34">
        <v>-5</v>
      </c>
      <c r="ABE4095" s="908"/>
      <c r="ABF4095" s="909"/>
      <c r="ABG4095" s="34">
        <v>-5</v>
      </c>
      <c r="ABH4095" s="34">
        <v>-4.5</v>
      </c>
      <c r="ABI4095" s="34">
        <v>-4</v>
      </c>
      <c r="ABJ4095" s="34">
        <v>-3.5</v>
      </c>
      <c r="ABK4095" s="34">
        <v>-3</v>
      </c>
      <c r="ABL4095" s="34">
        <v>-2.5</v>
      </c>
      <c r="ABM4095" s="34">
        <v>-2</v>
      </c>
      <c r="ABN4095" s="34">
        <v>-1.5</v>
      </c>
      <c r="ABO4095" s="34">
        <v>-1</v>
      </c>
      <c r="ABP4095" s="34">
        <v>-0.5</v>
      </c>
      <c r="ABQ4095" s="34">
        <v>0</v>
      </c>
      <c r="ABR4095" s="34">
        <v>0.5</v>
      </c>
      <c r="ABS4095" s="34">
        <v>1</v>
      </c>
      <c r="ABT4095" s="34">
        <v>1.5</v>
      </c>
      <c r="ABU4095" s="34">
        <v>2</v>
      </c>
      <c r="ABV4095" s="34">
        <v>2.5</v>
      </c>
      <c r="ABW4095" s="34">
        <v>3</v>
      </c>
      <c r="ABX4095" s="34">
        <v>3.5</v>
      </c>
      <c r="ABY4095" s="34">
        <v>4</v>
      </c>
      <c r="ABZ4095" s="34">
        <v>4.5</v>
      </c>
      <c r="ACA4095" s="34">
        <v>5</v>
      </c>
      <c r="ACC4095" s="913"/>
      <c r="ACD4095" s="31">
        <v>1</v>
      </c>
      <c r="ACE4095" s="34">
        <v>0</v>
      </c>
      <c r="ACF4095" s="34">
        <v>-1</v>
      </c>
      <c r="ACG4095" s="34">
        <v>-2</v>
      </c>
      <c r="ACH4095" s="34">
        <v>-3</v>
      </c>
      <c r="ACI4095" s="34">
        <v>-4</v>
      </c>
      <c r="ACJ4095" s="34">
        <v>-5</v>
      </c>
      <c r="ACK4095" s="908"/>
      <c r="ACL4095" s="909"/>
      <c r="ACM4095" s="34">
        <v>-5</v>
      </c>
      <c r="ACN4095" s="34">
        <v>-4.5</v>
      </c>
      <c r="ACO4095" s="34">
        <v>-4</v>
      </c>
      <c r="ACP4095" s="34">
        <v>-3.5</v>
      </c>
      <c r="ACQ4095" s="34">
        <v>-3</v>
      </c>
      <c r="ACR4095" s="34">
        <v>-2.5</v>
      </c>
      <c r="ACS4095" s="34">
        <v>-2</v>
      </c>
      <c r="ACT4095" s="34">
        <v>-1.5</v>
      </c>
      <c r="ACU4095" s="34">
        <v>-1</v>
      </c>
      <c r="ACV4095" s="34">
        <v>-0.5</v>
      </c>
      <c r="ACW4095" s="34">
        <v>0</v>
      </c>
      <c r="ACX4095" s="34">
        <v>0.5</v>
      </c>
      <c r="ACY4095" s="34">
        <v>1</v>
      </c>
      <c r="ACZ4095" s="34">
        <v>1.5</v>
      </c>
      <c r="ADA4095" s="34">
        <v>2</v>
      </c>
      <c r="ADB4095" s="34">
        <v>2.5</v>
      </c>
      <c r="ADC4095" s="34">
        <v>3</v>
      </c>
      <c r="ADD4095" s="34">
        <v>3.5</v>
      </c>
      <c r="ADE4095" s="34">
        <v>4</v>
      </c>
      <c r="ADF4095" s="34">
        <v>4.5</v>
      </c>
      <c r="ADG4095" s="34">
        <v>5</v>
      </c>
      <c r="ADI4095" s="913"/>
      <c r="ADJ4095" s="31">
        <v>1</v>
      </c>
      <c r="ADK4095" s="34">
        <v>0</v>
      </c>
      <c r="ADL4095" s="34">
        <v>-1</v>
      </c>
      <c r="ADM4095" s="34">
        <v>-2</v>
      </c>
      <c r="ADN4095" s="34">
        <v>-3</v>
      </c>
      <c r="ADO4095" s="34">
        <v>-4</v>
      </c>
      <c r="ADP4095" s="34">
        <v>-5</v>
      </c>
      <c r="ADQ4095" s="908"/>
      <c r="ADR4095" s="909"/>
      <c r="ADS4095" s="34">
        <v>-5</v>
      </c>
      <c r="ADT4095" s="34">
        <v>-4.5</v>
      </c>
      <c r="ADU4095" s="34">
        <v>-4</v>
      </c>
      <c r="ADV4095" s="34">
        <v>-3.5</v>
      </c>
      <c r="ADW4095" s="34">
        <v>-3</v>
      </c>
      <c r="ADX4095" s="34">
        <v>-2.5</v>
      </c>
      <c r="ADY4095" s="34">
        <v>-2</v>
      </c>
      <c r="ADZ4095" s="34">
        <v>-1.5</v>
      </c>
      <c r="AEA4095" s="34">
        <v>-1</v>
      </c>
      <c r="AEB4095" s="34">
        <v>-0.5</v>
      </c>
      <c r="AEC4095" s="34">
        <v>0</v>
      </c>
      <c r="AED4095" s="34">
        <v>0.5</v>
      </c>
      <c r="AEE4095" s="34">
        <v>1</v>
      </c>
      <c r="AEF4095" s="34">
        <v>1.5</v>
      </c>
      <c r="AEG4095" s="34">
        <v>2</v>
      </c>
      <c r="AEH4095" s="34">
        <v>2.5</v>
      </c>
      <c r="AEI4095" s="34">
        <v>3</v>
      </c>
      <c r="AEJ4095" s="34">
        <v>3.5</v>
      </c>
      <c r="AEK4095" s="34">
        <v>4</v>
      </c>
      <c r="AEL4095" s="34">
        <v>4.5</v>
      </c>
      <c r="AEM4095" s="34">
        <v>5</v>
      </c>
      <c r="AEO4095" s="913"/>
      <c r="AEP4095" s="31">
        <v>1</v>
      </c>
      <c r="AEQ4095" s="34">
        <v>0</v>
      </c>
      <c r="AER4095" s="34">
        <v>-1</v>
      </c>
      <c r="AES4095" s="34">
        <v>-2</v>
      </c>
      <c r="AET4095" s="34">
        <v>-3</v>
      </c>
      <c r="AEU4095" s="34">
        <v>-4</v>
      </c>
      <c r="AEV4095" s="34">
        <v>-5</v>
      </c>
      <c r="AEW4095" s="908"/>
      <c r="AEX4095" s="909"/>
      <c r="AEY4095" s="34">
        <v>-5</v>
      </c>
      <c r="AEZ4095" s="34">
        <v>-4.5</v>
      </c>
      <c r="AFA4095" s="34">
        <v>-4</v>
      </c>
      <c r="AFB4095" s="34">
        <v>-3.5</v>
      </c>
      <c r="AFC4095" s="34">
        <v>-3</v>
      </c>
      <c r="AFD4095" s="34">
        <v>-2.5</v>
      </c>
      <c r="AFE4095" s="34">
        <v>-2</v>
      </c>
      <c r="AFF4095" s="34">
        <v>-1.5</v>
      </c>
      <c r="AFG4095" s="34">
        <v>-1</v>
      </c>
      <c r="AFH4095" s="34">
        <v>-0.5</v>
      </c>
      <c r="AFI4095" s="34">
        <v>0</v>
      </c>
      <c r="AFJ4095" s="34">
        <v>0.5</v>
      </c>
      <c r="AFK4095" s="34">
        <v>1</v>
      </c>
      <c r="AFL4095" s="34">
        <v>1.5</v>
      </c>
      <c r="AFM4095" s="34">
        <v>2</v>
      </c>
      <c r="AFN4095" s="34">
        <v>2.5</v>
      </c>
      <c r="AFO4095" s="34">
        <v>3</v>
      </c>
      <c r="AFP4095" s="34">
        <v>3.5</v>
      </c>
      <c r="AFQ4095" s="34">
        <v>4</v>
      </c>
      <c r="AFR4095" s="34">
        <v>4.5</v>
      </c>
      <c r="AFS4095" s="34">
        <v>5</v>
      </c>
      <c r="AFU4095" s="913"/>
      <c r="AFV4095" s="31">
        <v>1</v>
      </c>
      <c r="AFW4095" s="34">
        <v>0</v>
      </c>
      <c r="AFX4095" s="34">
        <v>-1</v>
      </c>
      <c r="AFY4095" s="34">
        <v>-2</v>
      </c>
      <c r="AFZ4095" s="34">
        <v>-3</v>
      </c>
      <c r="AGA4095" s="34">
        <v>-4</v>
      </c>
      <c r="AGB4095" s="34">
        <v>-5</v>
      </c>
      <c r="AGC4095" s="908"/>
      <c r="AGD4095" s="909"/>
      <c r="AGE4095" s="34">
        <v>-5</v>
      </c>
      <c r="AGF4095" s="34">
        <v>-4.5</v>
      </c>
      <c r="AGG4095" s="34">
        <v>-4</v>
      </c>
      <c r="AGH4095" s="34">
        <v>-3.5</v>
      </c>
      <c r="AGI4095" s="34">
        <v>-3</v>
      </c>
      <c r="AGJ4095" s="34">
        <v>-2.5</v>
      </c>
      <c r="AGK4095" s="34">
        <v>-2</v>
      </c>
      <c r="AGL4095" s="34">
        <v>-1.5</v>
      </c>
      <c r="AGM4095" s="34">
        <v>-1</v>
      </c>
      <c r="AGN4095" s="34">
        <v>-0.5</v>
      </c>
      <c r="AGO4095" s="34">
        <v>0</v>
      </c>
      <c r="AGP4095" s="34">
        <v>0.5</v>
      </c>
      <c r="AGQ4095" s="34">
        <v>1</v>
      </c>
      <c r="AGR4095" s="34">
        <v>1.5</v>
      </c>
      <c r="AGS4095" s="34">
        <v>2</v>
      </c>
      <c r="AGT4095" s="34">
        <v>2.5</v>
      </c>
      <c r="AGU4095" s="34">
        <v>3</v>
      </c>
      <c r="AGV4095" s="34">
        <v>3.5</v>
      </c>
      <c r="AGW4095" s="34">
        <v>4</v>
      </c>
      <c r="AGX4095" s="34">
        <v>4.5</v>
      </c>
      <c r="AGY4095" s="34">
        <v>5</v>
      </c>
      <c r="AHA4095" s="913"/>
      <c r="AHB4095" s="31">
        <v>1</v>
      </c>
      <c r="AHC4095" s="34">
        <v>0</v>
      </c>
      <c r="AHD4095" s="34">
        <v>-1</v>
      </c>
      <c r="AHE4095" s="34">
        <v>-2</v>
      </c>
      <c r="AHF4095" s="34">
        <v>-3</v>
      </c>
      <c r="AHG4095" s="34">
        <v>-4</v>
      </c>
      <c r="AHH4095" s="34">
        <v>-5</v>
      </c>
      <c r="AHI4095" s="908"/>
      <c r="AHJ4095" s="909"/>
      <c r="AHK4095" s="34">
        <v>-5</v>
      </c>
      <c r="AHL4095" s="34">
        <v>-4.5</v>
      </c>
      <c r="AHM4095" s="34">
        <v>-4</v>
      </c>
      <c r="AHN4095" s="34">
        <v>-3.5</v>
      </c>
      <c r="AHO4095" s="34">
        <v>-3</v>
      </c>
      <c r="AHP4095" s="34">
        <v>-2.5</v>
      </c>
      <c r="AHQ4095" s="34">
        <v>-2</v>
      </c>
      <c r="AHR4095" s="34">
        <v>-1.5</v>
      </c>
      <c r="AHS4095" s="34">
        <v>-1</v>
      </c>
      <c r="AHT4095" s="34">
        <v>-0.5</v>
      </c>
      <c r="AHU4095" s="34">
        <v>0</v>
      </c>
      <c r="AHV4095" s="34">
        <v>0.5</v>
      </c>
      <c r="AHW4095" s="34">
        <v>1</v>
      </c>
      <c r="AHX4095" s="34">
        <v>1.5</v>
      </c>
      <c r="AHY4095" s="34">
        <v>2</v>
      </c>
      <c r="AHZ4095" s="34">
        <v>2.5</v>
      </c>
      <c r="AIA4095" s="34">
        <v>3</v>
      </c>
      <c r="AIB4095" s="34">
        <v>3.5</v>
      </c>
      <c r="AIC4095" s="34">
        <v>4</v>
      </c>
      <c r="AID4095" s="34">
        <v>4.5</v>
      </c>
      <c r="AIE4095" s="34">
        <v>5</v>
      </c>
      <c r="AIG4095" s="913"/>
      <c r="AIH4095" s="31">
        <v>1</v>
      </c>
      <c r="AII4095" s="34">
        <v>0</v>
      </c>
      <c r="AIJ4095" s="34">
        <v>-1</v>
      </c>
      <c r="AIK4095" s="34">
        <v>-2</v>
      </c>
      <c r="AIL4095" s="34">
        <v>-3</v>
      </c>
      <c r="AIM4095" s="34">
        <v>-4</v>
      </c>
      <c r="AIN4095" s="34">
        <v>-5</v>
      </c>
      <c r="AIO4095" s="908"/>
      <c r="AIP4095" s="909"/>
      <c r="AIQ4095" s="34">
        <v>-5</v>
      </c>
      <c r="AIR4095" s="34">
        <v>-4.5</v>
      </c>
      <c r="AIS4095" s="34">
        <v>-4</v>
      </c>
      <c r="AIT4095" s="34">
        <v>-3.5</v>
      </c>
      <c r="AIU4095" s="34">
        <v>-3</v>
      </c>
      <c r="AIV4095" s="34">
        <v>-2.5</v>
      </c>
      <c r="AIW4095" s="34">
        <v>-2</v>
      </c>
      <c r="AIX4095" s="34">
        <v>-1.5</v>
      </c>
      <c r="AIY4095" s="34">
        <v>-1</v>
      </c>
      <c r="AIZ4095" s="34">
        <v>-0.5</v>
      </c>
      <c r="AJA4095" s="34">
        <v>0</v>
      </c>
      <c r="AJB4095" s="34">
        <v>0.5</v>
      </c>
      <c r="AJC4095" s="34">
        <v>1</v>
      </c>
      <c r="AJD4095" s="34">
        <v>1.5</v>
      </c>
      <c r="AJE4095" s="34">
        <v>2</v>
      </c>
      <c r="AJF4095" s="34">
        <v>2.5</v>
      </c>
      <c r="AJG4095" s="34">
        <v>3</v>
      </c>
      <c r="AJH4095" s="34">
        <v>3.5</v>
      </c>
      <c r="AJI4095" s="34">
        <v>4</v>
      </c>
      <c r="AJJ4095" s="34">
        <v>4.5</v>
      </c>
      <c r="AJK4095" s="34">
        <v>5</v>
      </c>
      <c r="AJM4095" s="913"/>
      <c r="AJN4095" s="31">
        <v>1</v>
      </c>
      <c r="AJO4095" s="34">
        <v>0</v>
      </c>
      <c r="AJP4095" s="34">
        <v>-1</v>
      </c>
      <c r="AJQ4095" s="34">
        <v>-2</v>
      </c>
      <c r="AJR4095" s="34">
        <v>-3</v>
      </c>
      <c r="AJS4095" s="34">
        <v>-4</v>
      </c>
      <c r="AJT4095" s="34">
        <v>-5</v>
      </c>
      <c r="AJU4095" s="908"/>
      <c r="AJV4095" s="909"/>
      <c r="AJW4095" s="34">
        <v>-5</v>
      </c>
      <c r="AJX4095" s="34">
        <v>-4.5</v>
      </c>
      <c r="AJY4095" s="34">
        <v>-4</v>
      </c>
      <c r="AJZ4095" s="34">
        <v>-3.5</v>
      </c>
      <c r="AKA4095" s="34">
        <v>-3</v>
      </c>
      <c r="AKB4095" s="34">
        <v>-2.5</v>
      </c>
      <c r="AKC4095" s="34">
        <v>-2</v>
      </c>
      <c r="AKD4095" s="34">
        <v>-1.5</v>
      </c>
      <c r="AKE4095" s="34">
        <v>-1</v>
      </c>
      <c r="AKF4095" s="34">
        <v>-0.5</v>
      </c>
      <c r="AKG4095" s="34">
        <v>0</v>
      </c>
      <c r="AKH4095" s="34">
        <v>0.5</v>
      </c>
      <c r="AKI4095" s="34">
        <v>1</v>
      </c>
      <c r="AKJ4095" s="34">
        <v>1.5</v>
      </c>
      <c r="AKK4095" s="34">
        <v>2</v>
      </c>
      <c r="AKL4095" s="34">
        <v>2.5</v>
      </c>
      <c r="AKM4095" s="34">
        <v>3</v>
      </c>
      <c r="AKN4095" s="34">
        <v>3.5</v>
      </c>
      <c r="AKO4095" s="34">
        <v>4</v>
      </c>
      <c r="AKP4095" s="34">
        <v>4.5</v>
      </c>
      <c r="AKQ4095" s="34">
        <v>5</v>
      </c>
      <c r="AKS4095" s="913"/>
      <c r="AKT4095" s="31">
        <v>1</v>
      </c>
      <c r="AKU4095" s="34">
        <v>0</v>
      </c>
      <c r="AKV4095" s="34">
        <v>-1</v>
      </c>
      <c r="AKW4095" s="34">
        <v>-2</v>
      </c>
      <c r="AKX4095" s="34">
        <v>-3</v>
      </c>
      <c r="AKY4095" s="34">
        <v>-4</v>
      </c>
      <c r="AKZ4095" s="34">
        <v>-5</v>
      </c>
      <c r="ALA4095" s="908"/>
      <c r="ALB4095" s="909"/>
      <c r="ALC4095" s="34">
        <v>-5</v>
      </c>
      <c r="ALD4095" s="34">
        <v>-4.5</v>
      </c>
      <c r="ALE4095" s="34">
        <v>-4</v>
      </c>
      <c r="ALF4095" s="34">
        <v>-3.5</v>
      </c>
      <c r="ALG4095" s="34">
        <v>-3</v>
      </c>
      <c r="ALH4095" s="34">
        <v>-2.5</v>
      </c>
      <c r="ALI4095" s="34">
        <v>-2</v>
      </c>
      <c r="ALJ4095" s="34">
        <v>-1.5</v>
      </c>
      <c r="ALK4095" s="34">
        <v>-1</v>
      </c>
      <c r="ALL4095" s="34">
        <v>-0.5</v>
      </c>
      <c r="ALM4095" s="34">
        <v>0</v>
      </c>
      <c r="ALN4095" s="34">
        <v>0.5</v>
      </c>
      <c r="ALO4095" s="34">
        <v>1</v>
      </c>
      <c r="ALP4095" s="34">
        <v>1.5</v>
      </c>
      <c r="ALQ4095" s="34">
        <v>2</v>
      </c>
      <c r="ALR4095" s="34">
        <v>2.5</v>
      </c>
      <c r="ALS4095" s="34">
        <v>3</v>
      </c>
      <c r="ALT4095" s="34">
        <v>3.5</v>
      </c>
      <c r="ALU4095" s="34">
        <v>4</v>
      </c>
      <c r="ALV4095" s="34">
        <v>4.5</v>
      </c>
      <c r="ALW4095" s="34">
        <v>5</v>
      </c>
      <c r="ALY4095" s="913"/>
      <c r="ALZ4095" s="31">
        <v>1</v>
      </c>
      <c r="AMA4095" s="34">
        <v>0</v>
      </c>
      <c r="AMB4095" s="34">
        <v>-1</v>
      </c>
      <c r="AMC4095" s="34">
        <v>-2</v>
      </c>
      <c r="AMD4095" s="34">
        <v>-3</v>
      </c>
      <c r="AME4095" s="34">
        <v>-4</v>
      </c>
      <c r="AMF4095" s="34">
        <v>-5</v>
      </c>
      <c r="AMG4095" s="908"/>
      <c r="AMH4095" s="909"/>
      <c r="AMI4095" s="34">
        <v>-5</v>
      </c>
      <c r="AMJ4095" s="34">
        <v>-4.5</v>
      </c>
      <c r="AMK4095" s="34">
        <v>-4</v>
      </c>
      <c r="AML4095" s="34">
        <v>-3.5</v>
      </c>
      <c r="AMM4095" s="34">
        <v>-3</v>
      </c>
      <c r="AMN4095" s="34">
        <v>-2.5</v>
      </c>
      <c r="AMO4095" s="34">
        <v>-2</v>
      </c>
      <c r="AMP4095" s="34">
        <v>-1.5</v>
      </c>
      <c r="AMQ4095" s="34">
        <v>-1</v>
      </c>
      <c r="AMR4095" s="34">
        <v>-0.5</v>
      </c>
      <c r="AMS4095" s="34">
        <v>0</v>
      </c>
      <c r="AMT4095" s="34">
        <v>0.5</v>
      </c>
      <c r="AMU4095" s="34">
        <v>1</v>
      </c>
      <c r="AMV4095" s="34">
        <v>1.5</v>
      </c>
      <c r="AMW4095" s="34">
        <v>2</v>
      </c>
      <c r="AMX4095" s="34">
        <v>2.5</v>
      </c>
      <c r="AMY4095" s="34">
        <v>3</v>
      </c>
      <c r="AMZ4095" s="34">
        <v>3.5</v>
      </c>
      <c r="ANA4095" s="34">
        <v>4</v>
      </c>
      <c r="ANB4095" s="34">
        <v>4.5</v>
      </c>
      <c r="ANC4095" s="34">
        <v>5</v>
      </c>
      <c r="ANE4095" s="913"/>
      <c r="ANF4095" s="31">
        <v>1</v>
      </c>
      <c r="ANG4095" s="34">
        <v>0</v>
      </c>
      <c r="ANH4095" s="34">
        <v>-1</v>
      </c>
      <c r="ANI4095" s="34">
        <v>-2</v>
      </c>
      <c r="ANJ4095" s="34">
        <v>-3</v>
      </c>
      <c r="ANK4095" s="34">
        <v>-4</v>
      </c>
      <c r="ANL4095" s="34">
        <v>-5</v>
      </c>
      <c r="ANM4095" s="908"/>
      <c r="ANN4095" s="909"/>
      <c r="ANO4095" s="34">
        <v>-5</v>
      </c>
      <c r="ANP4095" s="34">
        <v>-4.5</v>
      </c>
      <c r="ANQ4095" s="34">
        <v>-4</v>
      </c>
      <c r="ANR4095" s="34">
        <v>-3.5</v>
      </c>
      <c r="ANS4095" s="34">
        <v>-3</v>
      </c>
      <c r="ANT4095" s="34">
        <v>-2.5</v>
      </c>
      <c r="ANU4095" s="34">
        <v>-2</v>
      </c>
      <c r="ANV4095" s="34">
        <v>-1.5</v>
      </c>
      <c r="ANW4095" s="34">
        <v>-1</v>
      </c>
      <c r="ANX4095" s="34">
        <v>-0.5</v>
      </c>
      <c r="ANY4095" s="34">
        <v>0</v>
      </c>
      <c r="ANZ4095" s="34">
        <v>0.5</v>
      </c>
      <c r="AOA4095" s="34">
        <v>1</v>
      </c>
      <c r="AOB4095" s="34">
        <v>1.5</v>
      </c>
      <c r="AOC4095" s="34">
        <v>2</v>
      </c>
      <c r="AOD4095" s="34">
        <v>2.5</v>
      </c>
      <c r="AOE4095" s="34">
        <v>3</v>
      </c>
      <c r="AOF4095" s="34">
        <v>3.5</v>
      </c>
      <c r="AOG4095" s="34">
        <v>4</v>
      </c>
      <c r="AOH4095" s="34">
        <v>4.5</v>
      </c>
      <c r="AOI4095" s="34">
        <v>5</v>
      </c>
      <c r="AOK4095" s="913"/>
      <c r="AOL4095" s="31">
        <v>1</v>
      </c>
      <c r="AOM4095" s="34">
        <v>0</v>
      </c>
      <c r="AON4095" s="34">
        <v>-1</v>
      </c>
      <c r="AOO4095" s="34">
        <v>-2</v>
      </c>
      <c r="AOP4095" s="34">
        <v>-3</v>
      </c>
      <c r="AOQ4095" s="34">
        <v>-4</v>
      </c>
      <c r="AOR4095" s="34">
        <v>-5</v>
      </c>
      <c r="AOS4095" s="908"/>
      <c r="AOT4095" s="909"/>
      <c r="AOU4095" s="34">
        <v>-5</v>
      </c>
      <c r="AOV4095" s="34">
        <v>-4.5</v>
      </c>
      <c r="AOW4095" s="34">
        <v>-4</v>
      </c>
      <c r="AOX4095" s="34">
        <v>-3.5</v>
      </c>
      <c r="AOY4095" s="34">
        <v>-3</v>
      </c>
      <c r="AOZ4095" s="34">
        <v>-2.5</v>
      </c>
      <c r="APA4095" s="34">
        <v>-2</v>
      </c>
      <c r="APB4095" s="34">
        <v>-1.5</v>
      </c>
      <c r="APC4095" s="34">
        <v>-1</v>
      </c>
      <c r="APD4095" s="34">
        <v>-0.5</v>
      </c>
      <c r="APE4095" s="34">
        <v>0</v>
      </c>
      <c r="APF4095" s="34">
        <v>0.5</v>
      </c>
      <c r="APG4095" s="34">
        <v>1</v>
      </c>
      <c r="APH4095" s="34">
        <v>1.5</v>
      </c>
      <c r="API4095" s="34">
        <v>2</v>
      </c>
      <c r="APJ4095" s="34">
        <v>2.5</v>
      </c>
      <c r="APK4095" s="34">
        <v>3</v>
      </c>
      <c r="APL4095" s="34">
        <v>3.5</v>
      </c>
      <c r="APM4095" s="34">
        <v>4</v>
      </c>
      <c r="APN4095" s="34">
        <v>4.5</v>
      </c>
      <c r="APO4095" s="34">
        <v>5</v>
      </c>
      <c r="APQ4095" s="913"/>
      <c r="APR4095" s="31">
        <v>1</v>
      </c>
      <c r="APS4095" s="34">
        <v>0</v>
      </c>
      <c r="APT4095" s="34">
        <v>-1</v>
      </c>
      <c r="APU4095" s="34">
        <v>-2</v>
      </c>
      <c r="APV4095" s="34">
        <v>-3</v>
      </c>
      <c r="APW4095" s="34">
        <v>-4</v>
      </c>
      <c r="APX4095" s="34">
        <v>-5</v>
      </c>
      <c r="APY4095" s="908"/>
      <c r="APZ4095" s="909"/>
      <c r="AQA4095" s="34">
        <v>-5</v>
      </c>
      <c r="AQB4095" s="34">
        <v>-4.5</v>
      </c>
      <c r="AQC4095" s="34">
        <v>-4</v>
      </c>
      <c r="AQD4095" s="34">
        <v>-3.5</v>
      </c>
      <c r="AQE4095" s="34">
        <v>-3</v>
      </c>
      <c r="AQF4095" s="34">
        <v>-2.5</v>
      </c>
      <c r="AQG4095" s="34">
        <v>-2</v>
      </c>
      <c r="AQH4095" s="34">
        <v>-1.5</v>
      </c>
      <c r="AQI4095" s="34">
        <v>-1</v>
      </c>
      <c r="AQJ4095" s="34">
        <v>-0.5</v>
      </c>
      <c r="AQK4095" s="34">
        <v>0</v>
      </c>
      <c r="AQL4095" s="34">
        <v>0.5</v>
      </c>
      <c r="AQM4095" s="34">
        <v>1</v>
      </c>
      <c r="AQN4095" s="34">
        <v>1.5</v>
      </c>
      <c r="AQO4095" s="34">
        <v>2</v>
      </c>
      <c r="AQP4095" s="34">
        <v>2.5</v>
      </c>
      <c r="AQQ4095" s="34">
        <v>3</v>
      </c>
      <c r="AQR4095" s="34">
        <v>3.5</v>
      </c>
      <c r="AQS4095" s="34">
        <v>4</v>
      </c>
      <c r="AQT4095" s="34">
        <v>4.5</v>
      </c>
      <c r="AQU4095" s="34">
        <v>5</v>
      </c>
      <c r="AQW4095" s="913"/>
      <c r="AQX4095" s="31">
        <v>1</v>
      </c>
      <c r="AQY4095" s="34">
        <v>0</v>
      </c>
      <c r="AQZ4095" s="34">
        <v>-1</v>
      </c>
      <c r="ARA4095" s="34">
        <v>-2</v>
      </c>
      <c r="ARB4095" s="34">
        <v>-3</v>
      </c>
      <c r="ARC4095" s="34">
        <v>-4</v>
      </c>
      <c r="ARD4095" s="34">
        <v>-5</v>
      </c>
      <c r="ARE4095" s="908"/>
      <c r="ARF4095" s="909"/>
      <c r="ARG4095" s="34">
        <v>-5</v>
      </c>
      <c r="ARH4095" s="34">
        <v>-4.5</v>
      </c>
      <c r="ARI4095" s="34">
        <v>-4</v>
      </c>
      <c r="ARJ4095" s="34">
        <v>-3.5</v>
      </c>
      <c r="ARK4095" s="34">
        <v>-3</v>
      </c>
      <c r="ARL4095" s="34">
        <v>-2.5</v>
      </c>
      <c r="ARM4095" s="34">
        <v>-2</v>
      </c>
      <c r="ARN4095" s="34">
        <v>-1.5</v>
      </c>
      <c r="ARO4095" s="34">
        <v>-1</v>
      </c>
      <c r="ARP4095" s="34">
        <v>-0.5</v>
      </c>
      <c r="ARQ4095" s="34">
        <v>0</v>
      </c>
      <c r="ARR4095" s="34">
        <v>0.5</v>
      </c>
      <c r="ARS4095" s="34">
        <v>1</v>
      </c>
      <c r="ART4095" s="34">
        <v>1.5</v>
      </c>
      <c r="ARU4095" s="34">
        <v>2</v>
      </c>
      <c r="ARV4095" s="34">
        <v>2.5</v>
      </c>
      <c r="ARW4095" s="34">
        <v>3</v>
      </c>
      <c r="ARX4095" s="34">
        <v>3.5</v>
      </c>
      <c r="ARY4095" s="34">
        <v>4</v>
      </c>
      <c r="ARZ4095" s="34">
        <v>4.5</v>
      </c>
      <c r="ASA4095" s="34">
        <v>5</v>
      </c>
      <c r="ASC4095" s="913"/>
      <c r="ASD4095" s="31">
        <v>1</v>
      </c>
      <c r="ASE4095" s="34">
        <v>0</v>
      </c>
      <c r="ASF4095" s="34">
        <v>-1</v>
      </c>
      <c r="ASG4095" s="34">
        <v>-2</v>
      </c>
      <c r="ASH4095" s="34">
        <v>-3</v>
      </c>
      <c r="ASI4095" s="34">
        <v>-4</v>
      </c>
      <c r="ASJ4095" s="34">
        <v>-5</v>
      </c>
      <c r="ASK4095" s="908"/>
      <c r="ASL4095" s="909"/>
      <c r="ASM4095" s="34">
        <v>-5</v>
      </c>
      <c r="ASN4095" s="34">
        <v>-4.5</v>
      </c>
      <c r="ASO4095" s="34">
        <v>-4</v>
      </c>
      <c r="ASP4095" s="34">
        <v>-3.5</v>
      </c>
      <c r="ASQ4095" s="34">
        <v>-3</v>
      </c>
      <c r="ASR4095" s="34">
        <v>-2.5</v>
      </c>
      <c r="ASS4095" s="34">
        <v>-2</v>
      </c>
      <c r="AST4095" s="34">
        <v>-1.5</v>
      </c>
      <c r="ASU4095" s="34">
        <v>-1</v>
      </c>
      <c r="ASV4095" s="34">
        <v>-0.5</v>
      </c>
      <c r="ASW4095" s="34">
        <v>0</v>
      </c>
      <c r="ASX4095" s="34">
        <v>0.5</v>
      </c>
      <c r="ASY4095" s="34">
        <v>1</v>
      </c>
      <c r="ASZ4095" s="34">
        <v>1.5</v>
      </c>
      <c r="ATA4095" s="34">
        <v>2</v>
      </c>
      <c r="ATB4095" s="34">
        <v>2.5</v>
      </c>
      <c r="ATC4095" s="34">
        <v>3</v>
      </c>
      <c r="ATD4095" s="34">
        <v>3.5</v>
      </c>
      <c r="ATE4095" s="34">
        <v>4</v>
      </c>
      <c r="ATF4095" s="34">
        <v>4.5</v>
      </c>
      <c r="ATG4095" s="34">
        <v>5</v>
      </c>
      <c r="ATI4095" s="913"/>
      <c r="ATJ4095" s="31">
        <v>1</v>
      </c>
      <c r="ATK4095" s="34">
        <v>0</v>
      </c>
      <c r="ATL4095" s="34">
        <v>-1</v>
      </c>
      <c r="ATM4095" s="34">
        <v>-2</v>
      </c>
      <c r="ATN4095" s="34">
        <v>-3</v>
      </c>
      <c r="ATO4095" s="34">
        <v>-4</v>
      </c>
      <c r="ATP4095" s="34">
        <v>-5</v>
      </c>
      <c r="ATQ4095" s="908"/>
      <c r="ATR4095" s="909"/>
      <c r="ATS4095" s="34">
        <v>-5</v>
      </c>
      <c r="ATT4095" s="34">
        <v>-4.5</v>
      </c>
      <c r="ATU4095" s="34">
        <v>-4</v>
      </c>
      <c r="ATV4095" s="34">
        <v>-3.5</v>
      </c>
      <c r="ATW4095" s="34">
        <v>-3</v>
      </c>
      <c r="ATX4095" s="34">
        <v>-2.5</v>
      </c>
      <c r="ATY4095" s="34">
        <v>-2</v>
      </c>
      <c r="ATZ4095" s="34">
        <v>-1.5</v>
      </c>
      <c r="AUA4095" s="34">
        <v>-1</v>
      </c>
      <c r="AUB4095" s="34">
        <v>-0.5</v>
      </c>
      <c r="AUC4095" s="34">
        <v>0</v>
      </c>
      <c r="AUD4095" s="34">
        <v>0.5</v>
      </c>
      <c r="AUE4095" s="34">
        <v>1</v>
      </c>
      <c r="AUF4095" s="34">
        <v>1.5</v>
      </c>
      <c r="AUG4095" s="34">
        <v>2</v>
      </c>
      <c r="AUH4095" s="34">
        <v>2.5</v>
      </c>
      <c r="AUI4095" s="34">
        <v>3</v>
      </c>
      <c r="AUJ4095" s="34">
        <v>3.5</v>
      </c>
      <c r="AUK4095" s="34">
        <v>4</v>
      </c>
      <c r="AUL4095" s="34">
        <v>4.5</v>
      </c>
      <c r="AUM4095" s="34">
        <v>5</v>
      </c>
      <c r="AUO4095" s="913"/>
      <c r="AUP4095" s="31">
        <v>1</v>
      </c>
      <c r="AUQ4095" s="34">
        <v>0</v>
      </c>
      <c r="AUR4095" s="34">
        <v>-1</v>
      </c>
      <c r="AUS4095" s="34">
        <v>-2</v>
      </c>
      <c r="AUT4095" s="34">
        <v>-3</v>
      </c>
      <c r="AUU4095" s="34">
        <v>-4</v>
      </c>
      <c r="AUV4095" s="34">
        <v>-5</v>
      </c>
      <c r="AUW4095" s="908"/>
      <c r="AUX4095" s="909"/>
      <c r="AUY4095" s="34">
        <v>-5</v>
      </c>
      <c r="AUZ4095" s="34">
        <v>-4.5</v>
      </c>
      <c r="AVA4095" s="34">
        <v>-4</v>
      </c>
      <c r="AVB4095" s="34">
        <v>-3.5</v>
      </c>
      <c r="AVC4095" s="34">
        <v>-3</v>
      </c>
      <c r="AVD4095" s="34">
        <v>-2.5</v>
      </c>
      <c r="AVE4095" s="34">
        <v>-2</v>
      </c>
      <c r="AVF4095" s="34">
        <v>-1.5</v>
      </c>
      <c r="AVG4095" s="34">
        <v>-1</v>
      </c>
      <c r="AVH4095" s="34">
        <v>-0.5</v>
      </c>
      <c r="AVI4095" s="34">
        <v>0</v>
      </c>
      <c r="AVJ4095" s="34">
        <v>0.5</v>
      </c>
      <c r="AVK4095" s="34">
        <v>1</v>
      </c>
      <c r="AVL4095" s="34">
        <v>1.5</v>
      </c>
      <c r="AVM4095" s="34">
        <v>2</v>
      </c>
      <c r="AVN4095" s="34">
        <v>2.5</v>
      </c>
      <c r="AVO4095" s="34">
        <v>3</v>
      </c>
      <c r="AVP4095" s="34">
        <v>3.5</v>
      </c>
      <c r="AVQ4095" s="34">
        <v>4</v>
      </c>
      <c r="AVR4095" s="34">
        <v>4.5</v>
      </c>
      <c r="AVS4095" s="34">
        <v>5</v>
      </c>
      <c r="AVU4095" s="913"/>
      <c r="AVV4095" s="31">
        <v>1</v>
      </c>
      <c r="AVW4095" s="34">
        <v>0</v>
      </c>
      <c r="AVX4095" s="34">
        <v>-1</v>
      </c>
      <c r="AVY4095" s="34">
        <v>-2</v>
      </c>
      <c r="AVZ4095" s="34">
        <v>-3</v>
      </c>
      <c r="AWA4095" s="34">
        <v>-4</v>
      </c>
      <c r="AWB4095" s="34">
        <v>-5</v>
      </c>
      <c r="AWC4095" s="908"/>
      <c r="AWD4095" s="909"/>
      <c r="AWE4095" s="34">
        <v>-5</v>
      </c>
      <c r="AWF4095" s="34">
        <v>-4.5</v>
      </c>
      <c r="AWG4095" s="34">
        <v>-4</v>
      </c>
      <c r="AWH4095" s="34">
        <v>-3.5</v>
      </c>
      <c r="AWI4095" s="34">
        <v>-3</v>
      </c>
      <c r="AWJ4095" s="34">
        <v>-2.5</v>
      </c>
      <c r="AWK4095" s="34">
        <v>-2</v>
      </c>
      <c r="AWL4095" s="34">
        <v>-1.5</v>
      </c>
      <c r="AWM4095" s="34">
        <v>-1</v>
      </c>
      <c r="AWN4095" s="34">
        <v>-0.5</v>
      </c>
      <c r="AWO4095" s="34">
        <v>0</v>
      </c>
      <c r="AWP4095" s="34">
        <v>0.5</v>
      </c>
      <c r="AWQ4095" s="34">
        <v>1</v>
      </c>
      <c r="AWR4095" s="34">
        <v>1.5</v>
      </c>
      <c r="AWS4095" s="34">
        <v>2</v>
      </c>
      <c r="AWT4095" s="34">
        <v>2.5</v>
      </c>
      <c r="AWU4095" s="34">
        <v>3</v>
      </c>
      <c r="AWV4095" s="34">
        <v>3.5</v>
      </c>
      <c r="AWW4095" s="34">
        <v>4</v>
      </c>
      <c r="AWX4095" s="34">
        <v>4.5</v>
      </c>
      <c r="AWY4095" s="34">
        <v>5</v>
      </c>
      <c r="AXA4095" s="913"/>
      <c r="AXB4095" s="31">
        <v>1</v>
      </c>
      <c r="AXC4095" s="34">
        <v>0</v>
      </c>
      <c r="AXD4095" s="34">
        <v>-1</v>
      </c>
      <c r="AXE4095" s="34">
        <v>-2</v>
      </c>
      <c r="AXF4095" s="34">
        <v>-3</v>
      </c>
      <c r="AXG4095" s="34">
        <v>-4</v>
      </c>
      <c r="AXH4095" s="34">
        <v>-5</v>
      </c>
      <c r="AXI4095" s="908"/>
      <c r="AXJ4095" s="909"/>
      <c r="AXK4095" s="34">
        <v>-5</v>
      </c>
      <c r="AXL4095" s="34">
        <v>-4.5</v>
      </c>
      <c r="AXM4095" s="34">
        <v>-4</v>
      </c>
      <c r="AXN4095" s="34">
        <v>-3.5</v>
      </c>
      <c r="AXO4095" s="34">
        <v>-3</v>
      </c>
      <c r="AXP4095" s="34">
        <v>-2.5</v>
      </c>
      <c r="AXQ4095" s="34">
        <v>-2</v>
      </c>
      <c r="AXR4095" s="34">
        <v>-1.5</v>
      </c>
      <c r="AXS4095" s="34">
        <v>-1</v>
      </c>
      <c r="AXT4095" s="34">
        <v>-0.5</v>
      </c>
      <c r="AXU4095" s="34">
        <v>0</v>
      </c>
      <c r="AXV4095" s="34">
        <v>0.5</v>
      </c>
      <c r="AXW4095" s="34">
        <v>1</v>
      </c>
      <c r="AXX4095" s="34">
        <v>1.5</v>
      </c>
      <c r="AXY4095" s="34">
        <v>2</v>
      </c>
      <c r="AXZ4095" s="34">
        <v>2.5</v>
      </c>
      <c r="AYA4095" s="34">
        <v>3</v>
      </c>
      <c r="AYB4095" s="34">
        <v>3.5</v>
      </c>
      <c r="AYC4095" s="34">
        <v>4</v>
      </c>
      <c r="AYD4095" s="34">
        <v>4.5</v>
      </c>
      <c r="AYE4095" s="34">
        <v>5</v>
      </c>
      <c r="AYG4095" s="913"/>
      <c r="AYH4095" s="31">
        <v>1</v>
      </c>
      <c r="AYI4095" s="34">
        <v>0</v>
      </c>
      <c r="AYJ4095" s="34">
        <v>-1</v>
      </c>
      <c r="AYK4095" s="34">
        <v>-2</v>
      </c>
      <c r="AYL4095" s="34">
        <v>-3</v>
      </c>
      <c r="AYM4095" s="34">
        <v>-4</v>
      </c>
      <c r="AYN4095" s="34">
        <v>-5</v>
      </c>
      <c r="AYO4095" s="908"/>
      <c r="AYP4095" s="909"/>
      <c r="AYQ4095" s="34">
        <v>-5</v>
      </c>
      <c r="AYR4095" s="34">
        <v>-4.5</v>
      </c>
      <c r="AYS4095" s="34">
        <v>-4</v>
      </c>
      <c r="AYT4095" s="34">
        <v>-3.5</v>
      </c>
      <c r="AYU4095" s="34">
        <v>-3</v>
      </c>
      <c r="AYV4095" s="34">
        <v>-2.5</v>
      </c>
      <c r="AYW4095" s="34">
        <v>-2</v>
      </c>
      <c r="AYX4095" s="34">
        <v>-1.5</v>
      </c>
      <c r="AYY4095" s="34">
        <v>-1</v>
      </c>
      <c r="AYZ4095" s="34">
        <v>-0.5</v>
      </c>
      <c r="AZA4095" s="34">
        <v>0</v>
      </c>
      <c r="AZB4095" s="34">
        <v>0.5</v>
      </c>
      <c r="AZC4095" s="34">
        <v>1</v>
      </c>
      <c r="AZD4095" s="34">
        <v>1.5</v>
      </c>
      <c r="AZE4095" s="34">
        <v>2</v>
      </c>
      <c r="AZF4095" s="34">
        <v>2.5</v>
      </c>
      <c r="AZG4095" s="34">
        <v>3</v>
      </c>
      <c r="AZH4095" s="34">
        <v>3.5</v>
      </c>
      <c r="AZI4095" s="34">
        <v>4</v>
      </c>
      <c r="AZJ4095" s="34">
        <v>4.5</v>
      </c>
      <c r="AZK4095" s="34">
        <v>5</v>
      </c>
      <c r="AZM4095" s="913"/>
      <c r="AZN4095" s="31">
        <v>1</v>
      </c>
      <c r="AZO4095" s="34">
        <v>0</v>
      </c>
      <c r="AZP4095" s="34">
        <v>-1</v>
      </c>
      <c r="AZQ4095" s="34">
        <v>-2</v>
      </c>
      <c r="AZR4095" s="34">
        <v>-3</v>
      </c>
      <c r="AZS4095" s="34">
        <v>-4</v>
      </c>
      <c r="AZT4095" s="34">
        <v>-5</v>
      </c>
      <c r="AZU4095" s="908"/>
      <c r="AZV4095" s="909"/>
      <c r="AZW4095" s="34">
        <v>-5</v>
      </c>
      <c r="AZX4095" s="34">
        <v>-4.5</v>
      </c>
      <c r="AZY4095" s="34">
        <v>-4</v>
      </c>
      <c r="AZZ4095" s="34">
        <v>-3.5</v>
      </c>
      <c r="BAA4095" s="34">
        <v>-3</v>
      </c>
      <c r="BAB4095" s="34">
        <v>-2.5</v>
      </c>
      <c r="BAC4095" s="34">
        <v>-2</v>
      </c>
      <c r="BAD4095" s="34">
        <v>-1.5</v>
      </c>
      <c r="BAE4095" s="34">
        <v>-1</v>
      </c>
      <c r="BAF4095" s="34">
        <v>-0.5</v>
      </c>
      <c r="BAG4095" s="34">
        <v>0</v>
      </c>
      <c r="BAH4095" s="34">
        <v>0.5</v>
      </c>
      <c r="BAI4095" s="34">
        <v>1</v>
      </c>
      <c r="BAJ4095" s="34">
        <v>1.5</v>
      </c>
      <c r="BAK4095" s="34">
        <v>2</v>
      </c>
      <c r="BAL4095" s="34">
        <v>2.5</v>
      </c>
      <c r="BAM4095" s="34">
        <v>3</v>
      </c>
      <c r="BAN4095" s="34">
        <v>3.5</v>
      </c>
      <c r="BAO4095" s="34">
        <v>4</v>
      </c>
      <c r="BAP4095" s="34">
        <v>4.5</v>
      </c>
      <c r="BAQ4095" s="34">
        <v>5</v>
      </c>
      <c r="BAS4095" s="913"/>
      <c r="BAT4095" s="31">
        <v>1</v>
      </c>
      <c r="BAU4095" s="34">
        <v>0</v>
      </c>
      <c r="BAV4095" s="34">
        <v>-1</v>
      </c>
      <c r="BAW4095" s="34">
        <v>-2</v>
      </c>
      <c r="BAX4095" s="34">
        <v>-3</v>
      </c>
      <c r="BAY4095" s="34">
        <v>-4</v>
      </c>
      <c r="BAZ4095" s="34">
        <v>-5</v>
      </c>
      <c r="BBA4095" s="908"/>
      <c r="BBB4095" s="909"/>
      <c r="BBC4095" s="34">
        <v>-5</v>
      </c>
      <c r="BBD4095" s="34">
        <v>-4.5</v>
      </c>
      <c r="BBE4095" s="34">
        <v>-4</v>
      </c>
      <c r="BBF4095" s="34">
        <v>-3.5</v>
      </c>
      <c r="BBG4095" s="34">
        <v>-3</v>
      </c>
      <c r="BBH4095" s="34">
        <v>-2.5</v>
      </c>
      <c r="BBI4095" s="34">
        <v>-2</v>
      </c>
      <c r="BBJ4095" s="34">
        <v>-1.5</v>
      </c>
      <c r="BBK4095" s="34">
        <v>-1</v>
      </c>
      <c r="BBL4095" s="34">
        <v>-0.5</v>
      </c>
      <c r="BBM4095" s="34">
        <v>0</v>
      </c>
      <c r="BBN4095" s="34">
        <v>0.5</v>
      </c>
      <c r="BBO4095" s="34">
        <v>1</v>
      </c>
      <c r="BBP4095" s="34">
        <v>1.5</v>
      </c>
      <c r="BBQ4095" s="34">
        <v>2</v>
      </c>
      <c r="BBR4095" s="34">
        <v>2.5</v>
      </c>
      <c r="BBS4095" s="34">
        <v>3</v>
      </c>
      <c r="BBT4095" s="34">
        <v>3.5</v>
      </c>
      <c r="BBU4095" s="34">
        <v>4</v>
      </c>
      <c r="BBV4095" s="34">
        <v>4.5</v>
      </c>
      <c r="BBW4095" s="34">
        <v>5</v>
      </c>
      <c r="BBY4095" s="913"/>
      <c r="BBZ4095" s="31">
        <v>1</v>
      </c>
      <c r="BCA4095" s="34">
        <v>0</v>
      </c>
      <c r="BCB4095" s="34">
        <v>-1</v>
      </c>
      <c r="BCC4095" s="34">
        <v>-2</v>
      </c>
      <c r="BCD4095" s="34">
        <v>-3</v>
      </c>
      <c r="BCE4095" s="34">
        <v>-4</v>
      </c>
      <c r="BCF4095" s="34">
        <v>-5</v>
      </c>
      <c r="BCG4095" s="908"/>
      <c r="BCH4095" s="909"/>
      <c r="BCI4095" s="34">
        <v>-5</v>
      </c>
      <c r="BCJ4095" s="34">
        <v>-4.5</v>
      </c>
      <c r="BCK4095" s="34">
        <v>-4</v>
      </c>
      <c r="BCL4095" s="34">
        <v>-3.5</v>
      </c>
      <c r="BCM4095" s="34">
        <v>-3</v>
      </c>
      <c r="BCN4095" s="34">
        <v>-2.5</v>
      </c>
      <c r="BCO4095" s="34">
        <v>-2</v>
      </c>
      <c r="BCP4095" s="34">
        <v>-1.5</v>
      </c>
      <c r="BCQ4095" s="34">
        <v>-1</v>
      </c>
      <c r="BCR4095" s="34">
        <v>-0.5</v>
      </c>
      <c r="BCS4095" s="34">
        <v>0</v>
      </c>
      <c r="BCT4095" s="34">
        <v>0.5</v>
      </c>
      <c r="BCU4095" s="34">
        <v>1</v>
      </c>
      <c r="BCV4095" s="34">
        <v>1.5</v>
      </c>
      <c r="BCW4095" s="34">
        <v>2</v>
      </c>
      <c r="BCX4095" s="34">
        <v>2.5</v>
      </c>
      <c r="BCY4095" s="34">
        <v>3</v>
      </c>
      <c r="BCZ4095" s="34">
        <v>3.5</v>
      </c>
      <c r="BDA4095" s="34">
        <v>4</v>
      </c>
      <c r="BDB4095" s="34">
        <v>4.5</v>
      </c>
      <c r="BDC4095" s="34">
        <v>5</v>
      </c>
      <c r="BDE4095" s="913"/>
      <c r="BDF4095" s="31">
        <v>1</v>
      </c>
      <c r="BDG4095" s="34">
        <v>0</v>
      </c>
      <c r="BDH4095" s="34">
        <v>-1</v>
      </c>
      <c r="BDI4095" s="34">
        <v>-2</v>
      </c>
      <c r="BDJ4095" s="34">
        <v>-3</v>
      </c>
      <c r="BDK4095" s="34">
        <v>-4</v>
      </c>
      <c r="BDL4095" s="34">
        <v>-5</v>
      </c>
      <c r="BDM4095" s="908"/>
      <c r="BDN4095" s="909"/>
      <c r="BDO4095" s="34">
        <v>-5</v>
      </c>
      <c r="BDP4095" s="34">
        <v>-4.5</v>
      </c>
      <c r="BDQ4095" s="34">
        <v>-4</v>
      </c>
      <c r="BDR4095" s="34">
        <v>-3.5</v>
      </c>
      <c r="BDS4095" s="34">
        <v>-3</v>
      </c>
      <c r="BDT4095" s="34">
        <v>-2.5</v>
      </c>
      <c r="BDU4095" s="34">
        <v>-2</v>
      </c>
      <c r="BDV4095" s="34">
        <v>-1.5</v>
      </c>
      <c r="BDW4095" s="34">
        <v>-1</v>
      </c>
      <c r="BDX4095" s="34">
        <v>-0.5</v>
      </c>
      <c r="BDY4095" s="34">
        <v>0</v>
      </c>
      <c r="BDZ4095" s="34">
        <v>0.5</v>
      </c>
      <c r="BEA4095" s="34">
        <v>1</v>
      </c>
      <c r="BEB4095" s="34">
        <v>1.5</v>
      </c>
      <c r="BEC4095" s="34">
        <v>2</v>
      </c>
      <c r="BED4095" s="34">
        <v>2.5</v>
      </c>
      <c r="BEE4095" s="34">
        <v>3</v>
      </c>
      <c r="BEF4095" s="34">
        <v>3.5</v>
      </c>
      <c r="BEG4095" s="34">
        <v>4</v>
      </c>
      <c r="BEH4095" s="34">
        <v>4.5</v>
      </c>
      <c r="BEI4095" s="34">
        <v>5</v>
      </c>
      <c r="BEK4095" s="913"/>
      <c r="BEL4095" s="31">
        <v>1</v>
      </c>
      <c r="BEM4095" s="34">
        <v>0</v>
      </c>
      <c r="BEN4095" s="34">
        <v>-1</v>
      </c>
      <c r="BEO4095" s="34">
        <v>-2</v>
      </c>
      <c r="BEP4095" s="34">
        <v>-3</v>
      </c>
      <c r="BEQ4095" s="34">
        <v>-4</v>
      </c>
      <c r="BER4095" s="34">
        <v>-5</v>
      </c>
      <c r="BES4095" s="908"/>
      <c r="BET4095" s="909"/>
      <c r="BEU4095" s="34">
        <v>-5</v>
      </c>
      <c r="BEV4095" s="34">
        <v>-4.5</v>
      </c>
      <c r="BEW4095" s="34">
        <v>-4</v>
      </c>
      <c r="BEX4095" s="34">
        <v>-3.5</v>
      </c>
      <c r="BEY4095" s="34">
        <v>-3</v>
      </c>
      <c r="BEZ4095" s="34">
        <v>-2.5</v>
      </c>
      <c r="BFA4095" s="34">
        <v>-2</v>
      </c>
      <c r="BFB4095" s="34">
        <v>-1.5</v>
      </c>
      <c r="BFC4095" s="34">
        <v>-1</v>
      </c>
      <c r="BFD4095" s="34">
        <v>-0.5</v>
      </c>
      <c r="BFE4095" s="34">
        <v>0</v>
      </c>
      <c r="BFF4095" s="34">
        <v>0.5</v>
      </c>
      <c r="BFG4095" s="34">
        <v>1</v>
      </c>
      <c r="BFH4095" s="34">
        <v>1.5</v>
      </c>
      <c r="BFI4095" s="34">
        <v>2</v>
      </c>
      <c r="BFJ4095" s="34">
        <v>2.5</v>
      </c>
      <c r="BFK4095" s="34">
        <v>3</v>
      </c>
      <c r="BFL4095" s="34">
        <v>3.5</v>
      </c>
      <c r="BFM4095" s="34">
        <v>4</v>
      </c>
      <c r="BFN4095" s="34">
        <v>4.5</v>
      </c>
      <c r="BFO4095" s="34">
        <v>5</v>
      </c>
      <c r="BFQ4095" s="913"/>
      <c r="BFR4095" s="31">
        <v>1</v>
      </c>
      <c r="BFS4095" s="34">
        <v>0</v>
      </c>
      <c r="BFT4095" s="34">
        <v>-1</v>
      </c>
      <c r="BFU4095" s="34">
        <v>-2</v>
      </c>
      <c r="BFV4095" s="34">
        <v>-3</v>
      </c>
      <c r="BFW4095" s="34">
        <v>-4</v>
      </c>
      <c r="BFX4095" s="34">
        <v>-5</v>
      </c>
      <c r="BFY4095" s="908"/>
      <c r="BFZ4095" s="909"/>
      <c r="BGA4095" s="34">
        <v>-5</v>
      </c>
      <c r="BGB4095" s="34">
        <v>-4.5</v>
      </c>
      <c r="BGC4095" s="34">
        <v>-4</v>
      </c>
      <c r="BGD4095" s="34">
        <v>-3.5</v>
      </c>
      <c r="BGE4095" s="34">
        <v>-3</v>
      </c>
      <c r="BGF4095" s="34">
        <v>-2.5</v>
      </c>
      <c r="BGG4095" s="34">
        <v>-2</v>
      </c>
      <c r="BGH4095" s="34">
        <v>-1.5</v>
      </c>
      <c r="BGI4095" s="34">
        <v>-1</v>
      </c>
      <c r="BGJ4095" s="34">
        <v>-0.5</v>
      </c>
      <c r="BGK4095" s="34">
        <v>0</v>
      </c>
      <c r="BGL4095" s="34">
        <v>0.5</v>
      </c>
      <c r="BGM4095" s="34">
        <v>1</v>
      </c>
      <c r="BGN4095" s="34">
        <v>1.5</v>
      </c>
      <c r="BGO4095" s="34">
        <v>2</v>
      </c>
      <c r="BGP4095" s="34">
        <v>2.5</v>
      </c>
      <c r="BGQ4095" s="34">
        <v>3</v>
      </c>
      <c r="BGR4095" s="34">
        <v>3.5</v>
      </c>
      <c r="BGS4095" s="34">
        <v>4</v>
      </c>
      <c r="BGT4095" s="34">
        <v>4.5</v>
      </c>
      <c r="BGU4095" s="34">
        <v>5</v>
      </c>
      <c r="BGW4095" s="913"/>
      <c r="BGX4095" s="31">
        <v>1</v>
      </c>
      <c r="BGY4095" s="34">
        <v>0</v>
      </c>
      <c r="BGZ4095" s="34">
        <v>-1</v>
      </c>
      <c r="BHA4095" s="34">
        <v>-2</v>
      </c>
      <c r="BHB4095" s="34">
        <v>-3</v>
      </c>
      <c r="BHC4095" s="34">
        <v>-4</v>
      </c>
      <c r="BHD4095" s="34">
        <v>-5</v>
      </c>
      <c r="BHE4095" s="908"/>
      <c r="BHF4095" s="909"/>
      <c r="BHG4095" s="34">
        <v>-5</v>
      </c>
      <c r="BHH4095" s="34">
        <v>-4.5</v>
      </c>
      <c r="BHI4095" s="34">
        <v>-4</v>
      </c>
      <c r="BHJ4095" s="34">
        <v>-3.5</v>
      </c>
      <c r="BHK4095" s="34">
        <v>-3</v>
      </c>
      <c r="BHL4095" s="34">
        <v>-2.5</v>
      </c>
      <c r="BHM4095" s="34">
        <v>-2</v>
      </c>
      <c r="BHN4095" s="34">
        <v>-1.5</v>
      </c>
      <c r="BHO4095" s="34">
        <v>-1</v>
      </c>
      <c r="BHP4095" s="34">
        <v>-0.5</v>
      </c>
      <c r="BHQ4095" s="34">
        <v>0</v>
      </c>
      <c r="BHR4095" s="34">
        <v>0.5</v>
      </c>
      <c r="BHS4095" s="34">
        <v>1</v>
      </c>
      <c r="BHT4095" s="34">
        <v>1.5</v>
      </c>
      <c r="BHU4095" s="34">
        <v>2</v>
      </c>
      <c r="BHV4095" s="34">
        <v>2.5</v>
      </c>
      <c r="BHW4095" s="34">
        <v>3</v>
      </c>
      <c r="BHX4095" s="34">
        <v>3.5</v>
      </c>
      <c r="BHY4095" s="34">
        <v>4</v>
      </c>
      <c r="BHZ4095" s="34">
        <v>4.5</v>
      </c>
      <c r="BIA4095" s="34">
        <v>5</v>
      </c>
      <c r="BIC4095" s="913"/>
      <c r="BID4095" s="31">
        <v>1</v>
      </c>
      <c r="BIE4095" s="34">
        <v>0</v>
      </c>
      <c r="BIF4095" s="34">
        <v>-1</v>
      </c>
      <c r="BIG4095" s="34">
        <v>-2</v>
      </c>
      <c r="BIH4095" s="34">
        <v>-3</v>
      </c>
      <c r="BII4095" s="34">
        <v>-4</v>
      </c>
      <c r="BIJ4095" s="34">
        <v>-5</v>
      </c>
      <c r="BIK4095" s="908"/>
      <c r="BIL4095" s="909"/>
      <c r="BIM4095" s="34">
        <v>-5</v>
      </c>
      <c r="BIN4095" s="34">
        <v>-4.5</v>
      </c>
      <c r="BIO4095" s="34">
        <v>-4</v>
      </c>
      <c r="BIP4095" s="34">
        <v>-3.5</v>
      </c>
      <c r="BIQ4095" s="34">
        <v>-3</v>
      </c>
      <c r="BIR4095" s="34">
        <v>-2.5</v>
      </c>
      <c r="BIS4095" s="34">
        <v>-2</v>
      </c>
      <c r="BIT4095" s="34">
        <v>-1.5</v>
      </c>
      <c r="BIU4095" s="34">
        <v>-1</v>
      </c>
      <c r="BIV4095" s="34">
        <v>-0.5</v>
      </c>
      <c r="BIW4095" s="34">
        <v>0</v>
      </c>
      <c r="BIX4095" s="34">
        <v>0.5</v>
      </c>
      <c r="BIY4095" s="34">
        <v>1</v>
      </c>
      <c r="BIZ4095" s="34">
        <v>1.5</v>
      </c>
      <c r="BJA4095" s="34">
        <v>2</v>
      </c>
      <c r="BJB4095" s="34">
        <v>2.5</v>
      </c>
      <c r="BJC4095" s="34">
        <v>3</v>
      </c>
      <c r="BJD4095" s="34">
        <v>3.5</v>
      </c>
      <c r="BJE4095" s="34">
        <v>4</v>
      </c>
      <c r="BJF4095" s="34">
        <v>4.5</v>
      </c>
      <c r="BJG4095" s="34">
        <v>5</v>
      </c>
      <c r="BJI4095" s="913"/>
      <c r="BJJ4095" s="31">
        <v>1</v>
      </c>
      <c r="BJK4095" s="34">
        <v>0</v>
      </c>
      <c r="BJL4095" s="34">
        <v>-1</v>
      </c>
      <c r="BJM4095" s="34">
        <v>-2</v>
      </c>
      <c r="BJN4095" s="34">
        <v>-3</v>
      </c>
      <c r="BJO4095" s="34">
        <v>-4</v>
      </c>
      <c r="BJP4095" s="34">
        <v>-5</v>
      </c>
      <c r="BJQ4095" s="908"/>
      <c r="BJR4095" s="909"/>
      <c r="BJS4095" s="34">
        <v>-5</v>
      </c>
      <c r="BJT4095" s="34">
        <v>-4.5</v>
      </c>
      <c r="BJU4095" s="34">
        <v>-4</v>
      </c>
      <c r="BJV4095" s="34">
        <v>-3.5</v>
      </c>
      <c r="BJW4095" s="34">
        <v>-3</v>
      </c>
      <c r="BJX4095" s="34">
        <v>-2.5</v>
      </c>
      <c r="BJY4095" s="34">
        <v>-2</v>
      </c>
      <c r="BJZ4095" s="34">
        <v>-1.5</v>
      </c>
      <c r="BKA4095" s="34">
        <v>-1</v>
      </c>
      <c r="BKB4095" s="34">
        <v>-0.5</v>
      </c>
      <c r="BKC4095" s="34">
        <v>0</v>
      </c>
      <c r="BKD4095" s="34">
        <v>0.5</v>
      </c>
      <c r="BKE4095" s="34">
        <v>1</v>
      </c>
      <c r="BKF4095" s="34">
        <v>1.5</v>
      </c>
      <c r="BKG4095" s="34">
        <v>2</v>
      </c>
      <c r="BKH4095" s="34">
        <v>2.5</v>
      </c>
      <c r="BKI4095" s="34">
        <v>3</v>
      </c>
      <c r="BKJ4095" s="34">
        <v>3.5</v>
      </c>
      <c r="BKK4095" s="34">
        <v>4</v>
      </c>
      <c r="BKL4095" s="34">
        <v>4.5</v>
      </c>
      <c r="BKM4095" s="34">
        <v>5</v>
      </c>
      <c r="BKO4095" s="913"/>
      <c r="BKP4095" s="31">
        <v>1</v>
      </c>
      <c r="BKQ4095" s="34">
        <v>0</v>
      </c>
      <c r="BKR4095" s="34">
        <v>-1</v>
      </c>
      <c r="BKS4095" s="34">
        <v>-2</v>
      </c>
      <c r="BKT4095" s="34">
        <v>-3</v>
      </c>
      <c r="BKU4095" s="34">
        <v>-4</v>
      </c>
      <c r="BKV4095" s="34">
        <v>-5</v>
      </c>
      <c r="BKW4095" s="908"/>
      <c r="BKX4095" s="909"/>
      <c r="BKY4095" s="34">
        <v>-5</v>
      </c>
      <c r="BKZ4095" s="34">
        <v>-4.5</v>
      </c>
      <c r="BLA4095" s="34">
        <v>-4</v>
      </c>
      <c r="BLB4095" s="34">
        <v>-3.5</v>
      </c>
      <c r="BLC4095" s="34">
        <v>-3</v>
      </c>
      <c r="BLD4095" s="34">
        <v>-2.5</v>
      </c>
      <c r="BLE4095" s="34">
        <v>-2</v>
      </c>
      <c r="BLF4095" s="34">
        <v>-1.5</v>
      </c>
      <c r="BLG4095" s="34">
        <v>-1</v>
      </c>
      <c r="BLH4095" s="34">
        <v>-0.5</v>
      </c>
      <c r="BLI4095" s="34">
        <v>0</v>
      </c>
      <c r="BLJ4095" s="34">
        <v>0.5</v>
      </c>
      <c r="BLK4095" s="34">
        <v>1</v>
      </c>
      <c r="BLL4095" s="34">
        <v>1.5</v>
      </c>
      <c r="BLM4095" s="34">
        <v>2</v>
      </c>
      <c r="BLN4095" s="34">
        <v>2.5</v>
      </c>
      <c r="BLO4095" s="34">
        <v>3</v>
      </c>
      <c r="BLP4095" s="34">
        <v>3.5</v>
      </c>
      <c r="BLQ4095" s="34">
        <v>4</v>
      </c>
      <c r="BLR4095" s="34">
        <v>4.5</v>
      </c>
      <c r="BLS4095" s="34">
        <v>5</v>
      </c>
      <c r="BLU4095" s="913"/>
      <c r="BLV4095" s="31">
        <v>1</v>
      </c>
      <c r="BLW4095" s="34">
        <v>0</v>
      </c>
      <c r="BLX4095" s="34">
        <v>-1</v>
      </c>
      <c r="BLY4095" s="34">
        <v>-2</v>
      </c>
      <c r="BLZ4095" s="34">
        <v>-3</v>
      </c>
      <c r="BMA4095" s="34">
        <v>-4</v>
      </c>
      <c r="BMB4095" s="34">
        <v>-5</v>
      </c>
      <c r="BMC4095" s="908"/>
      <c r="BMD4095" s="909"/>
      <c r="BME4095" s="34">
        <v>-5</v>
      </c>
      <c r="BMF4095" s="34">
        <v>-4.5</v>
      </c>
      <c r="BMG4095" s="34">
        <v>-4</v>
      </c>
      <c r="BMH4095" s="34">
        <v>-3.5</v>
      </c>
      <c r="BMI4095" s="34">
        <v>-3</v>
      </c>
      <c r="BMJ4095" s="34">
        <v>-2.5</v>
      </c>
      <c r="BMK4095" s="34">
        <v>-2</v>
      </c>
      <c r="BML4095" s="34">
        <v>-1.5</v>
      </c>
      <c r="BMM4095" s="34">
        <v>-1</v>
      </c>
      <c r="BMN4095" s="34">
        <v>-0.5</v>
      </c>
      <c r="BMO4095" s="34">
        <v>0</v>
      </c>
      <c r="BMP4095" s="34">
        <v>0.5</v>
      </c>
      <c r="BMQ4095" s="34">
        <v>1</v>
      </c>
      <c r="BMR4095" s="34">
        <v>1.5</v>
      </c>
      <c r="BMS4095" s="34">
        <v>2</v>
      </c>
      <c r="BMT4095" s="34">
        <v>2.5</v>
      </c>
      <c r="BMU4095" s="34">
        <v>3</v>
      </c>
      <c r="BMV4095" s="34">
        <v>3.5</v>
      </c>
      <c r="BMW4095" s="34">
        <v>4</v>
      </c>
      <c r="BMX4095" s="34">
        <v>4.5</v>
      </c>
      <c r="BMY4095" s="34">
        <v>5</v>
      </c>
      <c r="BNA4095" s="913"/>
      <c r="BNB4095" s="31">
        <v>1</v>
      </c>
      <c r="BNC4095" s="34">
        <v>0</v>
      </c>
      <c r="BND4095" s="34">
        <v>-1</v>
      </c>
      <c r="BNE4095" s="34">
        <v>-2</v>
      </c>
      <c r="BNF4095" s="34">
        <v>-3</v>
      </c>
      <c r="BNG4095" s="34">
        <v>-4</v>
      </c>
      <c r="BNH4095" s="34">
        <v>-5</v>
      </c>
      <c r="BNI4095" s="908"/>
      <c r="BNJ4095" s="909"/>
      <c r="BNK4095" s="34">
        <v>-5</v>
      </c>
      <c r="BNL4095" s="34">
        <v>-4.5</v>
      </c>
      <c r="BNM4095" s="34">
        <v>-4</v>
      </c>
      <c r="BNN4095" s="34">
        <v>-3.5</v>
      </c>
      <c r="BNO4095" s="34">
        <v>-3</v>
      </c>
      <c r="BNP4095" s="34">
        <v>-2.5</v>
      </c>
      <c r="BNQ4095" s="34">
        <v>-2</v>
      </c>
      <c r="BNR4095" s="34">
        <v>-1.5</v>
      </c>
      <c r="BNS4095" s="34">
        <v>-1</v>
      </c>
      <c r="BNT4095" s="34">
        <v>-0.5</v>
      </c>
      <c r="BNU4095" s="34">
        <v>0</v>
      </c>
      <c r="BNV4095" s="34">
        <v>0.5</v>
      </c>
      <c r="BNW4095" s="34">
        <v>1</v>
      </c>
      <c r="BNX4095" s="34">
        <v>1.5</v>
      </c>
      <c r="BNY4095" s="34">
        <v>2</v>
      </c>
      <c r="BNZ4095" s="34">
        <v>2.5</v>
      </c>
      <c r="BOA4095" s="34">
        <v>3</v>
      </c>
      <c r="BOB4095" s="34">
        <v>3.5</v>
      </c>
      <c r="BOC4095" s="34">
        <v>4</v>
      </c>
      <c r="BOD4095" s="34">
        <v>4.5</v>
      </c>
      <c r="BOE4095" s="34">
        <v>5</v>
      </c>
      <c r="BOG4095" s="913"/>
      <c r="BOH4095" s="31">
        <v>1</v>
      </c>
      <c r="BOI4095" s="34">
        <v>0</v>
      </c>
      <c r="BOJ4095" s="34">
        <v>-1</v>
      </c>
      <c r="BOK4095" s="34">
        <v>-2</v>
      </c>
      <c r="BOL4095" s="34">
        <v>-3</v>
      </c>
      <c r="BOM4095" s="34">
        <v>-4</v>
      </c>
      <c r="BON4095" s="34">
        <v>-5</v>
      </c>
      <c r="BOO4095" s="908"/>
      <c r="BOP4095" s="909"/>
      <c r="BOQ4095" s="34">
        <v>-5</v>
      </c>
      <c r="BOR4095" s="34">
        <v>-4.5</v>
      </c>
      <c r="BOS4095" s="34">
        <v>-4</v>
      </c>
      <c r="BOT4095" s="34">
        <v>-3.5</v>
      </c>
      <c r="BOU4095" s="34">
        <v>-3</v>
      </c>
      <c r="BOV4095" s="34">
        <v>-2.5</v>
      </c>
      <c r="BOW4095" s="34">
        <v>-2</v>
      </c>
      <c r="BOX4095" s="34">
        <v>-1.5</v>
      </c>
      <c r="BOY4095" s="34">
        <v>-1</v>
      </c>
      <c r="BOZ4095" s="34">
        <v>-0.5</v>
      </c>
      <c r="BPA4095" s="34">
        <v>0</v>
      </c>
      <c r="BPB4095" s="34">
        <v>0.5</v>
      </c>
      <c r="BPC4095" s="34">
        <v>1</v>
      </c>
      <c r="BPD4095" s="34">
        <v>1.5</v>
      </c>
      <c r="BPE4095" s="34">
        <v>2</v>
      </c>
      <c r="BPF4095" s="34">
        <v>2.5</v>
      </c>
      <c r="BPG4095" s="34">
        <v>3</v>
      </c>
      <c r="BPH4095" s="34">
        <v>3.5</v>
      </c>
      <c r="BPI4095" s="34">
        <v>4</v>
      </c>
      <c r="BPJ4095" s="34">
        <v>4.5</v>
      </c>
      <c r="BPK4095" s="34">
        <v>5</v>
      </c>
      <c r="BPM4095" s="913"/>
      <c r="BPN4095" s="31">
        <v>1</v>
      </c>
      <c r="BPO4095" s="34">
        <v>0</v>
      </c>
      <c r="BPP4095" s="34">
        <v>-1</v>
      </c>
      <c r="BPQ4095" s="34">
        <v>-2</v>
      </c>
      <c r="BPR4095" s="34">
        <v>-3</v>
      </c>
      <c r="BPS4095" s="34">
        <v>-4</v>
      </c>
      <c r="BPT4095" s="34">
        <v>-5</v>
      </c>
      <c r="BPU4095" s="908"/>
      <c r="BPV4095" s="909"/>
      <c r="BPW4095" s="34">
        <v>-5</v>
      </c>
      <c r="BPX4095" s="34">
        <v>-4.5</v>
      </c>
      <c r="BPY4095" s="34">
        <v>-4</v>
      </c>
      <c r="BPZ4095" s="34">
        <v>-3.5</v>
      </c>
      <c r="BQA4095" s="34">
        <v>-3</v>
      </c>
      <c r="BQB4095" s="34">
        <v>-2.5</v>
      </c>
      <c r="BQC4095" s="34">
        <v>-2</v>
      </c>
      <c r="BQD4095" s="34">
        <v>-1.5</v>
      </c>
      <c r="BQE4095" s="34">
        <v>-1</v>
      </c>
      <c r="BQF4095" s="34">
        <v>-0.5</v>
      </c>
      <c r="BQG4095" s="34">
        <v>0</v>
      </c>
      <c r="BQH4095" s="34">
        <v>0.5</v>
      </c>
      <c r="BQI4095" s="34">
        <v>1</v>
      </c>
      <c r="BQJ4095" s="34">
        <v>1.5</v>
      </c>
      <c r="BQK4095" s="34">
        <v>2</v>
      </c>
      <c r="BQL4095" s="34">
        <v>2.5</v>
      </c>
      <c r="BQM4095" s="34">
        <v>3</v>
      </c>
      <c r="BQN4095" s="34">
        <v>3.5</v>
      </c>
      <c r="BQO4095" s="34">
        <v>4</v>
      </c>
      <c r="BQP4095" s="34">
        <v>4.5</v>
      </c>
      <c r="BQQ4095" s="34">
        <v>5</v>
      </c>
      <c r="BQS4095" s="913"/>
      <c r="BQT4095" s="31">
        <v>1</v>
      </c>
      <c r="BQU4095" s="34">
        <v>0</v>
      </c>
      <c r="BQV4095" s="34">
        <v>-1</v>
      </c>
      <c r="BQW4095" s="34">
        <v>-2</v>
      </c>
      <c r="BQX4095" s="34">
        <v>-3</v>
      </c>
      <c r="BQY4095" s="34">
        <v>-4</v>
      </c>
      <c r="BQZ4095" s="34">
        <v>-5</v>
      </c>
      <c r="BRA4095" s="908"/>
      <c r="BRB4095" s="909"/>
      <c r="BRC4095" s="34">
        <v>-5</v>
      </c>
      <c r="BRD4095" s="34">
        <v>-4.5</v>
      </c>
      <c r="BRE4095" s="34">
        <v>-4</v>
      </c>
      <c r="BRF4095" s="34">
        <v>-3.5</v>
      </c>
      <c r="BRG4095" s="34">
        <v>-3</v>
      </c>
      <c r="BRH4095" s="34">
        <v>-2.5</v>
      </c>
      <c r="BRI4095" s="34">
        <v>-2</v>
      </c>
      <c r="BRJ4095" s="34">
        <v>-1.5</v>
      </c>
      <c r="BRK4095" s="34">
        <v>-1</v>
      </c>
      <c r="BRL4095" s="34">
        <v>-0.5</v>
      </c>
      <c r="BRM4095" s="34">
        <v>0</v>
      </c>
      <c r="BRN4095" s="34">
        <v>0.5</v>
      </c>
      <c r="BRO4095" s="34">
        <v>1</v>
      </c>
      <c r="BRP4095" s="34">
        <v>1.5</v>
      </c>
      <c r="BRQ4095" s="34">
        <v>2</v>
      </c>
      <c r="BRR4095" s="34">
        <v>2.5</v>
      </c>
      <c r="BRS4095" s="34">
        <v>3</v>
      </c>
      <c r="BRT4095" s="34">
        <v>3.5</v>
      </c>
      <c r="BRU4095" s="34">
        <v>4</v>
      </c>
      <c r="BRV4095" s="34">
        <v>4.5</v>
      </c>
      <c r="BRW4095" s="34">
        <v>5</v>
      </c>
      <c r="BRY4095" s="913"/>
      <c r="BRZ4095" s="31">
        <v>1</v>
      </c>
      <c r="BSA4095" s="34">
        <v>0</v>
      </c>
      <c r="BSB4095" s="34">
        <v>-1</v>
      </c>
      <c r="BSC4095" s="34">
        <v>-2</v>
      </c>
      <c r="BSD4095" s="34">
        <v>-3</v>
      </c>
      <c r="BSE4095" s="34">
        <v>-4</v>
      </c>
      <c r="BSF4095" s="34">
        <v>-5</v>
      </c>
      <c r="BSG4095" s="908"/>
      <c r="BSH4095" s="909"/>
      <c r="BSI4095" s="34">
        <v>-5</v>
      </c>
      <c r="BSJ4095" s="34">
        <v>-4.5</v>
      </c>
      <c r="BSK4095" s="34">
        <v>-4</v>
      </c>
      <c r="BSL4095" s="34">
        <v>-3.5</v>
      </c>
      <c r="BSM4095" s="34">
        <v>-3</v>
      </c>
      <c r="BSN4095" s="34">
        <v>-2.5</v>
      </c>
      <c r="BSO4095" s="34">
        <v>-2</v>
      </c>
      <c r="BSP4095" s="34">
        <v>-1.5</v>
      </c>
      <c r="BSQ4095" s="34">
        <v>-1</v>
      </c>
      <c r="BSR4095" s="34">
        <v>-0.5</v>
      </c>
      <c r="BSS4095" s="34">
        <v>0</v>
      </c>
      <c r="BST4095" s="34">
        <v>0.5</v>
      </c>
      <c r="BSU4095" s="34">
        <v>1</v>
      </c>
      <c r="BSV4095" s="34">
        <v>1.5</v>
      </c>
      <c r="BSW4095" s="34">
        <v>2</v>
      </c>
      <c r="BSX4095" s="34">
        <v>2.5</v>
      </c>
      <c r="BSY4095" s="34">
        <v>3</v>
      </c>
      <c r="BSZ4095" s="34">
        <v>3.5</v>
      </c>
      <c r="BTA4095" s="34">
        <v>4</v>
      </c>
      <c r="BTB4095" s="34">
        <v>4.5</v>
      </c>
      <c r="BTC4095" s="34">
        <v>5</v>
      </c>
      <c r="BTE4095" s="913"/>
      <c r="BTF4095" s="31">
        <v>1</v>
      </c>
      <c r="BTG4095" s="34">
        <v>0</v>
      </c>
      <c r="BTH4095" s="34">
        <v>-1</v>
      </c>
      <c r="BTI4095" s="34">
        <v>-2</v>
      </c>
      <c r="BTJ4095" s="34">
        <v>-3</v>
      </c>
      <c r="BTK4095" s="34">
        <v>-4</v>
      </c>
      <c r="BTL4095" s="34">
        <v>-5</v>
      </c>
      <c r="BTM4095" s="908"/>
      <c r="BTN4095" s="909"/>
      <c r="BTO4095" s="34">
        <v>-5</v>
      </c>
      <c r="BTP4095" s="34">
        <v>-4.5</v>
      </c>
      <c r="BTQ4095" s="34">
        <v>-4</v>
      </c>
      <c r="BTR4095" s="34">
        <v>-3.5</v>
      </c>
      <c r="BTS4095" s="34">
        <v>-3</v>
      </c>
      <c r="BTT4095" s="34">
        <v>-2.5</v>
      </c>
      <c r="BTU4095" s="34">
        <v>-2</v>
      </c>
      <c r="BTV4095" s="34">
        <v>-1.5</v>
      </c>
      <c r="BTW4095" s="34">
        <v>-1</v>
      </c>
      <c r="BTX4095" s="34">
        <v>-0.5</v>
      </c>
      <c r="BTY4095" s="34">
        <v>0</v>
      </c>
      <c r="BTZ4095" s="34">
        <v>0.5</v>
      </c>
      <c r="BUA4095" s="34">
        <v>1</v>
      </c>
      <c r="BUB4095" s="34">
        <v>1.5</v>
      </c>
      <c r="BUC4095" s="34">
        <v>2</v>
      </c>
      <c r="BUD4095" s="34">
        <v>2.5</v>
      </c>
      <c r="BUE4095" s="34">
        <v>3</v>
      </c>
      <c r="BUF4095" s="34">
        <v>3.5</v>
      </c>
      <c r="BUG4095" s="34">
        <v>4</v>
      </c>
      <c r="BUH4095" s="34">
        <v>4.5</v>
      </c>
      <c r="BUI4095" s="34">
        <v>5</v>
      </c>
      <c r="BUK4095" s="913"/>
      <c r="BUL4095" s="31">
        <v>1</v>
      </c>
      <c r="BUM4095" s="34">
        <v>0</v>
      </c>
      <c r="BUN4095" s="34">
        <v>-1</v>
      </c>
      <c r="BUO4095" s="34">
        <v>-2</v>
      </c>
      <c r="BUP4095" s="34">
        <v>-3</v>
      </c>
      <c r="BUQ4095" s="34">
        <v>-4</v>
      </c>
      <c r="BUR4095" s="34">
        <v>-5</v>
      </c>
      <c r="BUS4095" s="908"/>
      <c r="BUT4095" s="909"/>
      <c r="BUU4095" s="34">
        <v>-5</v>
      </c>
      <c r="BUV4095" s="34">
        <v>-4.5</v>
      </c>
      <c r="BUW4095" s="34">
        <v>-4</v>
      </c>
      <c r="BUX4095" s="34">
        <v>-3.5</v>
      </c>
      <c r="BUY4095" s="34">
        <v>-3</v>
      </c>
      <c r="BUZ4095" s="34">
        <v>-2.5</v>
      </c>
      <c r="BVA4095" s="34">
        <v>-2</v>
      </c>
      <c r="BVB4095" s="34">
        <v>-1.5</v>
      </c>
      <c r="BVC4095" s="34">
        <v>-1</v>
      </c>
      <c r="BVD4095" s="34">
        <v>-0.5</v>
      </c>
      <c r="BVE4095" s="34">
        <v>0</v>
      </c>
      <c r="BVF4095" s="34">
        <v>0.5</v>
      </c>
      <c r="BVG4095" s="34">
        <v>1</v>
      </c>
      <c r="BVH4095" s="34">
        <v>1.5</v>
      </c>
      <c r="BVI4095" s="34">
        <v>2</v>
      </c>
      <c r="BVJ4095" s="34">
        <v>2.5</v>
      </c>
      <c r="BVK4095" s="34">
        <v>3</v>
      </c>
      <c r="BVL4095" s="34">
        <v>3.5</v>
      </c>
      <c r="BVM4095" s="34">
        <v>4</v>
      </c>
      <c r="BVN4095" s="34">
        <v>4.5</v>
      </c>
      <c r="BVO4095" s="34">
        <v>5</v>
      </c>
      <c r="BVQ4095" s="913"/>
      <c r="BVR4095" s="31">
        <v>1</v>
      </c>
      <c r="BVS4095" s="34">
        <v>0</v>
      </c>
      <c r="BVT4095" s="34">
        <v>-1</v>
      </c>
      <c r="BVU4095" s="34">
        <v>-2</v>
      </c>
      <c r="BVV4095" s="34">
        <v>-3</v>
      </c>
      <c r="BVW4095" s="34">
        <v>-4</v>
      </c>
      <c r="BVX4095" s="34">
        <v>-5</v>
      </c>
      <c r="BVY4095" s="908"/>
      <c r="BVZ4095" s="909"/>
      <c r="BWA4095" s="34">
        <v>-5</v>
      </c>
      <c r="BWB4095" s="34">
        <v>-4.5</v>
      </c>
      <c r="BWC4095" s="34">
        <v>-4</v>
      </c>
      <c r="BWD4095" s="34">
        <v>-3.5</v>
      </c>
      <c r="BWE4095" s="34">
        <v>-3</v>
      </c>
      <c r="BWF4095" s="34">
        <v>-2.5</v>
      </c>
      <c r="BWG4095" s="34">
        <v>-2</v>
      </c>
      <c r="BWH4095" s="34">
        <v>-1.5</v>
      </c>
      <c r="BWI4095" s="34">
        <v>-1</v>
      </c>
      <c r="BWJ4095" s="34">
        <v>-0.5</v>
      </c>
      <c r="BWK4095" s="34">
        <v>0</v>
      </c>
      <c r="BWL4095" s="34">
        <v>0.5</v>
      </c>
      <c r="BWM4095" s="34">
        <v>1</v>
      </c>
      <c r="BWN4095" s="34">
        <v>1.5</v>
      </c>
      <c r="BWO4095" s="34">
        <v>2</v>
      </c>
      <c r="BWP4095" s="34">
        <v>2.5</v>
      </c>
      <c r="BWQ4095" s="34">
        <v>3</v>
      </c>
      <c r="BWR4095" s="34">
        <v>3.5</v>
      </c>
      <c r="BWS4095" s="34">
        <v>4</v>
      </c>
      <c r="BWT4095" s="34">
        <v>4.5</v>
      </c>
      <c r="BWU4095" s="34">
        <v>5</v>
      </c>
      <c r="BWW4095" s="913"/>
      <c r="BWX4095" s="31">
        <v>1</v>
      </c>
      <c r="BWY4095" s="34">
        <v>0</v>
      </c>
      <c r="BWZ4095" s="34">
        <v>-1</v>
      </c>
      <c r="BXA4095" s="34">
        <v>-2</v>
      </c>
      <c r="BXB4095" s="34">
        <v>-3</v>
      </c>
      <c r="BXC4095" s="34">
        <v>-4</v>
      </c>
      <c r="BXD4095" s="34">
        <v>-5</v>
      </c>
      <c r="BXE4095" s="908"/>
      <c r="BXF4095" s="909"/>
      <c r="BXG4095" s="34">
        <v>-5</v>
      </c>
      <c r="BXH4095" s="34">
        <v>-4.5</v>
      </c>
      <c r="BXI4095" s="34">
        <v>-4</v>
      </c>
      <c r="BXJ4095" s="34">
        <v>-3.5</v>
      </c>
      <c r="BXK4095" s="34">
        <v>-3</v>
      </c>
      <c r="BXL4095" s="34">
        <v>-2.5</v>
      </c>
      <c r="BXM4095" s="34">
        <v>-2</v>
      </c>
      <c r="BXN4095" s="34">
        <v>-1.5</v>
      </c>
      <c r="BXO4095" s="34">
        <v>-1</v>
      </c>
      <c r="BXP4095" s="34">
        <v>-0.5</v>
      </c>
      <c r="BXQ4095" s="34">
        <v>0</v>
      </c>
      <c r="BXR4095" s="34">
        <v>0.5</v>
      </c>
      <c r="BXS4095" s="34">
        <v>1</v>
      </c>
      <c r="BXT4095" s="34">
        <v>1.5</v>
      </c>
      <c r="BXU4095" s="34">
        <v>2</v>
      </c>
      <c r="BXV4095" s="34">
        <v>2.5</v>
      </c>
      <c r="BXW4095" s="34">
        <v>3</v>
      </c>
      <c r="BXX4095" s="34">
        <v>3.5</v>
      </c>
      <c r="BXY4095" s="34">
        <v>4</v>
      </c>
      <c r="BXZ4095" s="34">
        <v>4.5</v>
      </c>
      <c r="BYA4095" s="34">
        <v>5</v>
      </c>
      <c r="BYC4095" s="913"/>
      <c r="BYD4095" s="31">
        <v>1</v>
      </c>
      <c r="BYE4095" s="34">
        <v>0</v>
      </c>
      <c r="BYF4095" s="34">
        <v>-1</v>
      </c>
      <c r="BYG4095" s="34">
        <v>-2</v>
      </c>
      <c r="BYH4095" s="34">
        <v>-3</v>
      </c>
      <c r="BYI4095" s="34">
        <v>-4</v>
      </c>
      <c r="BYJ4095" s="34">
        <v>-5</v>
      </c>
      <c r="BYK4095" s="908"/>
      <c r="BYL4095" s="909"/>
      <c r="BYM4095" s="34">
        <v>-5</v>
      </c>
      <c r="BYN4095" s="34">
        <v>-4.5</v>
      </c>
      <c r="BYO4095" s="34">
        <v>-4</v>
      </c>
      <c r="BYP4095" s="34">
        <v>-3.5</v>
      </c>
      <c r="BYQ4095" s="34">
        <v>-3</v>
      </c>
      <c r="BYR4095" s="34">
        <v>-2.5</v>
      </c>
      <c r="BYS4095" s="34">
        <v>-2</v>
      </c>
      <c r="BYT4095" s="34">
        <v>-1.5</v>
      </c>
      <c r="BYU4095" s="34">
        <v>-1</v>
      </c>
      <c r="BYV4095" s="34">
        <v>-0.5</v>
      </c>
      <c r="BYW4095" s="34">
        <v>0</v>
      </c>
      <c r="BYX4095" s="34">
        <v>0.5</v>
      </c>
      <c r="BYY4095" s="34">
        <v>1</v>
      </c>
      <c r="BYZ4095" s="34">
        <v>1.5</v>
      </c>
      <c r="BZA4095" s="34">
        <v>2</v>
      </c>
      <c r="BZB4095" s="34">
        <v>2.5</v>
      </c>
      <c r="BZC4095" s="34">
        <v>3</v>
      </c>
      <c r="BZD4095" s="34">
        <v>3.5</v>
      </c>
      <c r="BZE4095" s="34">
        <v>4</v>
      </c>
      <c r="BZF4095" s="34">
        <v>4.5</v>
      </c>
      <c r="BZG4095" s="34">
        <v>5</v>
      </c>
      <c r="BZI4095" s="913"/>
      <c r="BZJ4095" s="31">
        <v>1</v>
      </c>
      <c r="BZK4095" s="34">
        <v>0</v>
      </c>
      <c r="BZL4095" s="34">
        <v>-1</v>
      </c>
      <c r="BZM4095" s="34">
        <v>-2</v>
      </c>
      <c r="BZN4095" s="34">
        <v>-3</v>
      </c>
      <c r="BZO4095" s="34">
        <v>-4</v>
      </c>
      <c r="BZP4095" s="34">
        <v>-5</v>
      </c>
      <c r="BZQ4095" s="908"/>
      <c r="BZR4095" s="909"/>
      <c r="BZS4095" s="34">
        <v>-5</v>
      </c>
      <c r="BZT4095" s="34">
        <v>-4.5</v>
      </c>
      <c r="BZU4095" s="34">
        <v>-4</v>
      </c>
      <c r="BZV4095" s="34">
        <v>-3.5</v>
      </c>
      <c r="BZW4095" s="34">
        <v>-3</v>
      </c>
      <c r="BZX4095" s="34">
        <v>-2.5</v>
      </c>
      <c r="BZY4095" s="34">
        <v>-2</v>
      </c>
      <c r="BZZ4095" s="34">
        <v>-1.5</v>
      </c>
      <c r="CAA4095" s="34">
        <v>-1</v>
      </c>
      <c r="CAB4095" s="34">
        <v>-0.5</v>
      </c>
      <c r="CAC4095" s="34">
        <v>0</v>
      </c>
      <c r="CAD4095" s="34">
        <v>0.5</v>
      </c>
      <c r="CAE4095" s="34">
        <v>1</v>
      </c>
      <c r="CAF4095" s="34">
        <v>1.5</v>
      </c>
      <c r="CAG4095" s="34">
        <v>2</v>
      </c>
      <c r="CAH4095" s="34">
        <v>2.5</v>
      </c>
      <c r="CAI4095" s="34">
        <v>3</v>
      </c>
      <c r="CAJ4095" s="34">
        <v>3.5</v>
      </c>
      <c r="CAK4095" s="34">
        <v>4</v>
      </c>
      <c r="CAL4095" s="34">
        <v>4.5</v>
      </c>
      <c r="CAM4095" s="34">
        <v>5</v>
      </c>
      <c r="CAO4095" s="913"/>
      <c r="CAP4095" s="31">
        <v>1</v>
      </c>
      <c r="CAQ4095" s="34">
        <v>0</v>
      </c>
      <c r="CAR4095" s="34">
        <v>-1</v>
      </c>
      <c r="CAS4095" s="34">
        <v>-2</v>
      </c>
      <c r="CAT4095" s="34">
        <v>-3</v>
      </c>
      <c r="CAU4095" s="34">
        <v>-4</v>
      </c>
      <c r="CAV4095" s="34">
        <v>-5</v>
      </c>
      <c r="CAW4095" s="908"/>
      <c r="CAX4095" s="909"/>
      <c r="CAY4095" s="34">
        <v>-5</v>
      </c>
      <c r="CAZ4095" s="34">
        <v>-4.5</v>
      </c>
      <c r="CBA4095" s="34">
        <v>-4</v>
      </c>
      <c r="CBB4095" s="34">
        <v>-3.5</v>
      </c>
      <c r="CBC4095" s="34">
        <v>-3</v>
      </c>
      <c r="CBD4095" s="34">
        <v>-2.5</v>
      </c>
      <c r="CBE4095" s="34">
        <v>-2</v>
      </c>
      <c r="CBF4095" s="34">
        <v>-1.5</v>
      </c>
      <c r="CBG4095" s="34">
        <v>-1</v>
      </c>
      <c r="CBH4095" s="34">
        <v>-0.5</v>
      </c>
      <c r="CBI4095" s="34">
        <v>0</v>
      </c>
      <c r="CBJ4095" s="34">
        <v>0.5</v>
      </c>
      <c r="CBK4095" s="34">
        <v>1</v>
      </c>
      <c r="CBL4095" s="34">
        <v>1.5</v>
      </c>
      <c r="CBM4095" s="34">
        <v>2</v>
      </c>
      <c r="CBN4095" s="34">
        <v>2.5</v>
      </c>
      <c r="CBO4095" s="34">
        <v>3</v>
      </c>
      <c r="CBP4095" s="34">
        <v>3.5</v>
      </c>
      <c r="CBQ4095" s="34">
        <v>4</v>
      </c>
      <c r="CBR4095" s="34">
        <v>4.5</v>
      </c>
      <c r="CBS4095" s="34">
        <v>5</v>
      </c>
      <c r="CBU4095" s="913"/>
      <c r="CBV4095" s="31">
        <v>1</v>
      </c>
      <c r="CBW4095" s="34">
        <v>0</v>
      </c>
      <c r="CBX4095" s="34">
        <v>-1</v>
      </c>
      <c r="CBY4095" s="34">
        <v>-2</v>
      </c>
      <c r="CBZ4095" s="34">
        <v>-3</v>
      </c>
      <c r="CCA4095" s="34">
        <v>-4</v>
      </c>
      <c r="CCB4095" s="34">
        <v>-5</v>
      </c>
      <c r="CCC4095" s="908"/>
      <c r="CCD4095" s="909"/>
      <c r="CCE4095" s="34">
        <v>-5</v>
      </c>
      <c r="CCF4095" s="34">
        <v>-4.5</v>
      </c>
      <c r="CCG4095" s="34">
        <v>-4</v>
      </c>
      <c r="CCH4095" s="34">
        <v>-3.5</v>
      </c>
      <c r="CCI4095" s="34">
        <v>-3</v>
      </c>
      <c r="CCJ4095" s="34">
        <v>-2.5</v>
      </c>
      <c r="CCK4095" s="34">
        <v>-2</v>
      </c>
      <c r="CCL4095" s="34">
        <v>-1.5</v>
      </c>
      <c r="CCM4095" s="34">
        <v>-1</v>
      </c>
      <c r="CCN4095" s="34">
        <v>-0.5</v>
      </c>
      <c r="CCO4095" s="34">
        <v>0</v>
      </c>
      <c r="CCP4095" s="34">
        <v>0.5</v>
      </c>
      <c r="CCQ4095" s="34">
        <v>1</v>
      </c>
      <c r="CCR4095" s="34">
        <v>1.5</v>
      </c>
      <c r="CCS4095" s="34">
        <v>2</v>
      </c>
      <c r="CCT4095" s="34">
        <v>2.5</v>
      </c>
      <c r="CCU4095" s="34">
        <v>3</v>
      </c>
      <c r="CCV4095" s="34">
        <v>3.5</v>
      </c>
      <c r="CCW4095" s="34">
        <v>4</v>
      </c>
      <c r="CCX4095" s="34">
        <v>4.5</v>
      </c>
      <c r="CCY4095" s="34">
        <v>5</v>
      </c>
      <c r="CDA4095" s="913"/>
      <c r="CDB4095" s="31">
        <v>1</v>
      </c>
      <c r="CDC4095" s="34">
        <v>0</v>
      </c>
      <c r="CDD4095" s="34">
        <v>-1</v>
      </c>
      <c r="CDE4095" s="34">
        <v>-2</v>
      </c>
      <c r="CDF4095" s="34">
        <v>-3</v>
      </c>
      <c r="CDG4095" s="34">
        <v>-4</v>
      </c>
      <c r="CDH4095" s="34">
        <v>-5</v>
      </c>
      <c r="CDI4095" s="908"/>
      <c r="CDJ4095" s="909"/>
      <c r="CDK4095" s="34">
        <v>-5</v>
      </c>
      <c r="CDL4095" s="34">
        <v>-4.5</v>
      </c>
      <c r="CDM4095" s="34">
        <v>-4</v>
      </c>
      <c r="CDN4095" s="34">
        <v>-3.5</v>
      </c>
      <c r="CDO4095" s="34">
        <v>-3</v>
      </c>
      <c r="CDP4095" s="34">
        <v>-2.5</v>
      </c>
      <c r="CDQ4095" s="34">
        <v>-2</v>
      </c>
      <c r="CDR4095" s="34">
        <v>-1.5</v>
      </c>
      <c r="CDS4095" s="34">
        <v>-1</v>
      </c>
      <c r="CDT4095" s="34">
        <v>-0.5</v>
      </c>
      <c r="CDU4095" s="34">
        <v>0</v>
      </c>
      <c r="CDV4095" s="34">
        <v>0.5</v>
      </c>
      <c r="CDW4095" s="34">
        <v>1</v>
      </c>
      <c r="CDX4095" s="34">
        <v>1.5</v>
      </c>
      <c r="CDY4095" s="34">
        <v>2</v>
      </c>
      <c r="CDZ4095" s="34">
        <v>2.5</v>
      </c>
      <c r="CEA4095" s="34">
        <v>3</v>
      </c>
      <c r="CEB4095" s="34">
        <v>3.5</v>
      </c>
      <c r="CEC4095" s="34">
        <v>4</v>
      </c>
      <c r="CED4095" s="34">
        <v>4.5</v>
      </c>
      <c r="CEE4095" s="34">
        <v>5</v>
      </c>
      <c r="CEG4095" s="913"/>
      <c r="CEH4095" s="31">
        <v>1</v>
      </c>
      <c r="CEI4095" s="34">
        <v>0</v>
      </c>
      <c r="CEJ4095" s="34">
        <v>-1</v>
      </c>
      <c r="CEK4095" s="34">
        <v>-2</v>
      </c>
      <c r="CEL4095" s="34">
        <v>-3</v>
      </c>
      <c r="CEM4095" s="34">
        <v>-4</v>
      </c>
      <c r="CEN4095" s="34">
        <v>-5</v>
      </c>
      <c r="CEO4095" s="908"/>
      <c r="CEP4095" s="909"/>
      <c r="CEQ4095" s="34">
        <v>-5</v>
      </c>
      <c r="CER4095" s="34">
        <v>-4.5</v>
      </c>
      <c r="CES4095" s="34">
        <v>-4</v>
      </c>
      <c r="CET4095" s="34">
        <v>-3.5</v>
      </c>
      <c r="CEU4095" s="34">
        <v>-3</v>
      </c>
      <c r="CEV4095" s="34">
        <v>-2.5</v>
      </c>
      <c r="CEW4095" s="34">
        <v>-2</v>
      </c>
      <c r="CEX4095" s="34">
        <v>-1.5</v>
      </c>
      <c r="CEY4095" s="34">
        <v>-1</v>
      </c>
      <c r="CEZ4095" s="34">
        <v>-0.5</v>
      </c>
      <c r="CFA4095" s="34">
        <v>0</v>
      </c>
      <c r="CFB4095" s="34">
        <v>0.5</v>
      </c>
      <c r="CFC4095" s="34">
        <v>1</v>
      </c>
      <c r="CFD4095" s="34">
        <v>1.5</v>
      </c>
      <c r="CFE4095" s="34">
        <v>2</v>
      </c>
      <c r="CFF4095" s="34">
        <v>2.5</v>
      </c>
      <c r="CFG4095" s="34">
        <v>3</v>
      </c>
      <c r="CFH4095" s="34">
        <v>3.5</v>
      </c>
      <c r="CFI4095" s="34">
        <v>4</v>
      </c>
      <c r="CFJ4095" s="34">
        <v>4.5</v>
      </c>
      <c r="CFK4095" s="34">
        <v>5</v>
      </c>
      <c r="CFM4095" s="913"/>
      <c r="CFN4095" s="31">
        <v>1</v>
      </c>
      <c r="CFO4095" s="34">
        <v>0</v>
      </c>
      <c r="CFP4095" s="34">
        <v>-1</v>
      </c>
      <c r="CFQ4095" s="34">
        <v>-2</v>
      </c>
      <c r="CFR4095" s="34">
        <v>-3</v>
      </c>
      <c r="CFS4095" s="34">
        <v>-4</v>
      </c>
      <c r="CFT4095" s="34">
        <v>-5</v>
      </c>
      <c r="CFU4095" s="908"/>
      <c r="CFV4095" s="909"/>
      <c r="CFW4095" s="34">
        <v>-5</v>
      </c>
      <c r="CFX4095" s="34">
        <v>-4.5</v>
      </c>
      <c r="CFY4095" s="34">
        <v>-4</v>
      </c>
      <c r="CFZ4095" s="34">
        <v>-3.5</v>
      </c>
      <c r="CGA4095" s="34">
        <v>-3</v>
      </c>
      <c r="CGB4095" s="34">
        <v>-2.5</v>
      </c>
      <c r="CGC4095" s="34">
        <v>-2</v>
      </c>
      <c r="CGD4095" s="34">
        <v>-1.5</v>
      </c>
      <c r="CGE4095" s="34">
        <v>-1</v>
      </c>
      <c r="CGF4095" s="34">
        <v>-0.5</v>
      </c>
      <c r="CGG4095" s="34">
        <v>0</v>
      </c>
      <c r="CGH4095" s="34">
        <v>0.5</v>
      </c>
      <c r="CGI4095" s="34">
        <v>1</v>
      </c>
      <c r="CGJ4095" s="34">
        <v>1.5</v>
      </c>
      <c r="CGK4095" s="34">
        <v>2</v>
      </c>
      <c r="CGL4095" s="34">
        <v>2.5</v>
      </c>
      <c r="CGM4095" s="34">
        <v>3</v>
      </c>
      <c r="CGN4095" s="34">
        <v>3.5</v>
      </c>
      <c r="CGO4095" s="34">
        <v>4</v>
      </c>
      <c r="CGP4095" s="34">
        <v>4.5</v>
      </c>
      <c r="CGQ4095" s="34">
        <v>5</v>
      </c>
      <c r="CGS4095" s="913"/>
      <c r="CGT4095" s="31">
        <v>1</v>
      </c>
      <c r="CGU4095" s="34">
        <v>0</v>
      </c>
      <c r="CGV4095" s="34">
        <v>-1</v>
      </c>
      <c r="CGW4095" s="34">
        <v>-2</v>
      </c>
      <c r="CGX4095" s="34">
        <v>-3</v>
      </c>
      <c r="CGY4095" s="34">
        <v>-4</v>
      </c>
      <c r="CGZ4095" s="34">
        <v>-5</v>
      </c>
      <c r="CHA4095" s="908"/>
      <c r="CHB4095" s="909"/>
      <c r="CHC4095" s="34">
        <v>-5</v>
      </c>
      <c r="CHD4095" s="34">
        <v>-4.5</v>
      </c>
      <c r="CHE4095" s="34">
        <v>-4</v>
      </c>
      <c r="CHF4095" s="34">
        <v>-3.5</v>
      </c>
      <c r="CHG4095" s="34">
        <v>-3</v>
      </c>
      <c r="CHH4095" s="34">
        <v>-2.5</v>
      </c>
      <c r="CHI4095" s="34">
        <v>-2</v>
      </c>
      <c r="CHJ4095" s="34">
        <v>-1.5</v>
      </c>
      <c r="CHK4095" s="34">
        <v>-1</v>
      </c>
      <c r="CHL4095" s="34">
        <v>-0.5</v>
      </c>
      <c r="CHM4095" s="34">
        <v>0</v>
      </c>
      <c r="CHN4095" s="34">
        <v>0.5</v>
      </c>
      <c r="CHO4095" s="34">
        <v>1</v>
      </c>
      <c r="CHP4095" s="34">
        <v>1.5</v>
      </c>
      <c r="CHQ4095" s="34">
        <v>2</v>
      </c>
      <c r="CHR4095" s="34">
        <v>2.5</v>
      </c>
      <c r="CHS4095" s="34">
        <v>3</v>
      </c>
      <c r="CHT4095" s="34">
        <v>3.5</v>
      </c>
      <c r="CHU4095" s="34">
        <v>4</v>
      </c>
      <c r="CHV4095" s="34">
        <v>4.5</v>
      </c>
      <c r="CHW4095" s="34">
        <v>5</v>
      </c>
      <c r="CHY4095" s="913"/>
      <c r="CHZ4095" s="31">
        <v>1</v>
      </c>
      <c r="CIA4095" s="34">
        <v>0</v>
      </c>
      <c r="CIB4095" s="34">
        <v>-1</v>
      </c>
      <c r="CIC4095" s="34">
        <v>-2</v>
      </c>
      <c r="CID4095" s="34">
        <v>-3</v>
      </c>
      <c r="CIE4095" s="34">
        <v>-4</v>
      </c>
      <c r="CIF4095" s="34">
        <v>-5</v>
      </c>
      <c r="CIG4095" s="908"/>
      <c r="CIH4095" s="909"/>
      <c r="CII4095" s="34">
        <v>-5</v>
      </c>
      <c r="CIJ4095" s="34">
        <v>-4.5</v>
      </c>
      <c r="CIK4095" s="34">
        <v>-4</v>
      </c>
      <c r="CIL4095" s="34">
        <v>-3.5</v>
      </c>
      <c r="CIM4095" s="34">
        <v>-3</v>
      </c>
      <c r="CIN4095" s="34">
        <v>-2.5</v>
      </c>
      <c r="CIO4095" s="34">
        <v>-2</v>
      </c>
      <c r="CIP4095" s="34">
        <v>-1.5</v>
      </c>
      <c r="CIQ4095" s="34">
        <v>-1</v>
      </c>
      <c r="CIR4095" s="34">
        <v>-0.5</v>
      </c>
      <c r="CIS4095" s="34">
        <v>0</v>
      </c>
      <c r="CIT4095" s="34">
        <v>0.5</v>
      </c>
      <c r="CIU4095" s="34">
        <v>1</v>
      </c>
      <c r="CIV4095" s="34">
        <v>1.5</v>
      </c>
      <c r="CIW4095" s="34">
        <v>2</v>
      </c>
      <c r="CIX4095" s="34">
        <v>2.5</v>
      </c>
      <c r="CIY4095" s="34">
        <v>3</v>
      </c>
      <c r="CIZ4095" s="34">
        <v>3.5</v>
      </c>
      <c r="CJA4095" s="34">
        <v>4</v>
      </c>
      <c r="CJB4095" s="34">
        <v>4.5</v>
      </c>
      <c r="CJC4095" s="34">
        <v>5</v>
      </c>
      <c r="CJE4095" s="913"/>
      <c r="CJF4095" s="31">
        <v>1</v>
      </c>
      <c r="CJG4095" s="34">
        <v>0</v>
      </c>
      <c r="CJH4095" s="34">
        <v>-1</v>
      </c>
      <c r="CJI4095" s="34">
        <v>-2</v>
      </c>
      <c r="CJJ4095" s="34">
        <v>-3</v>
      </c>
      <c r="CJK4095" s="34">
        <v>-4</v>
      </c>
      <c r="CJL4095" s="34">
        <v>-5</v>
      </c>
      <c r="CJM4095" s="908"/>
      <c r="CJN4095" s="909"/>
      <c r="CJO4095" s="34">
        <v>-5</v>
      </c>
      <c r="CJP4095" s="34">
        <v>-4.5</v>
      </c>
      <c r="CJQ4095" s="34">
        <v>-4</v>
      </c>
      <c r="CJR4095" s="34">
        <v>-3.5</v>
      </c>
      <c r="CJS4095" s="34">
        <v>-3</v>
      </c>
      <c r="CJT4095" s="34">
        <v>-2.5</v>
      </c>
      <c r="CJU4095" s="34">
        <v>-2</v>
      </c>
      <c r="CJV4095" s="34">
        <v>-1.5</v>
      </c>
      <c r="CJW4095" s="34">
        <v>-1</v>
      </c>
      <c r="CJX4095" s="34">
        <v>-0.5</v>
      </c>
      <c r="CJY4095" s="34">
        <v>0</v>
      </c>
      <c r="CJZ4095" s="34">
        <v>0.5</v>
      </c>
      <c r="CKA4095" s="34">
        <v>1</v>
      </c>
      <c r="CKB4095" s="34">
        <v>1.5</v>
      </c>
      <c r="CKC4095" s="34">
        <v>2</v>
      </c>
      <c r="CKD4095" s="34">
        <v>2.5</v>
      </c>
      <c r="CKE4095" s="34">
        <v>3</v>
      </c>
      <c r="CKF4095" s="34">
        <v>3.5</v>
      </c>
      <c r="CKG4095" s="34">
        <v>4</v>
      </c>
      <c r="CKH4095" s="34">
        <v>4.5</v>
      </c>
      <c r="CKI4095" s="34">
        <v>5</v>
      </c>
      <c r="CKK4095" s="913"/>
      <c r="CKL4095" s="31">
        <v>1</v>
      </c>
      <c r="CKM4095" s="34">
        <v>0</v>
      </c>
      <c r="CKN4095" s="34">
        <v>-1</v>
      </c>
      <c r="CKO4095" s="34">
        <v>-2</v>
      </c>
      <c r="CKP4095" s="34">
        <v>-3</v>
      </c>
      <c r="CKQ4095" s="34">
        <v>-4</v>
      </c>
      <c r="CKR4095" s="34">
        <v>-5</v>
      </c>
      <c r="CKS4095" s="908"/>
      <c r="CKT4095" s="909"/>
      <c r="CKU4095" s="34">
        <v>-5</v>
      </c>
      <c r="CKV4095" s="34">
        <v>-4.5</v>
      </c>
      <c r="CKW4095" s="34">
        <v>-4</v>
      </c>
      <c r="CKX4095" s="34">
        <v>-3.5</v>
      </c>
      <c r="CKY4095" s="34">
        <v>-3</v>
      </c>
      <c r="CKZ4095" s="34">
        <v>-2.5</v>
      </c>
      <c r="CLA4095" s="34">
        <v>-2</v>
      </c>
      <c r="CLB4095" s="34">
        <v>-1.5</v>
      </c>
      <c r="CLC4095" s="34">
        <v>-1</v>
      </c>
      <c r="CLD4095" s="34">
        <v>-0.5</v>
      </c>
      <c r="CLE4095" s="34">
        <v>0</v>
      </c>
      <c r="CLF4095" s="34">
        <v>0.5</v>
      </c>
      <c r="CLG4095" s="34">
        <v>1</v>
      </c>
      <c r="CLH4095" s="34">
        <v>1.5</v>
      </c>
      <c r="CLI4095" s="34">
        <v>2</v>
      </c>
      <c r="CLJ4095" s="34">
        <v>2.5</v>
      </c>
      <c r="CLK4095" s="34">
        <v>3</v>
      </c>
      <c r="CLL4095" s="34">
        <v>3.5</v>
      </c>
      <c r="CLM4095" s="34">
        <v>4</v>
      </c>
      <c r="CLN4095" s="34">
        <v>4.5</v>
      </c>
      <c r="CLO4095" s="34">
        <v>5</v>
      </c>
      <c r="CLQ4095" s="913"/>
      <c r="CLR4095" s="31">
        <v>1</v>
      </c>
      <c r="CLS4095" s="34">
        <v>0</v>
      </c>
      <c r="CLT4095" s="34">
        <v>-1</v>
      </c>
      <c r="CLU4095" s="34">
        <v>-2</v>
      </c>
      <c r="CLV4095" s="34">
        <v>-3</v>
      </c>
      <c r="CLW4095" s="34">
        <v>-4</v>
      </c>
      <c r="CLX4095" s="34">
        <v>-5</v>
      </c>
      <c r="CLY4095" s="908"/>
      <c r="CLZ4095" s="909"/>
      <c r="CMA4095" s="34">
        <v>-5</v>
      </c>
      <c r="CMB4095" s="34">
        <v>-4.5</v>
      </c>
      <c r="CMC4095" s="34">
        <v>-4</v>
      </c>
      <c r="CMD4095" s="34">
        <v>-3.5</v>
      </c>
      <c r="CME4095" s="34">
        <v>-3</v>
      </c>
      <c r="CMF4095" s="34">
        <v>-2.5</v>
      </c>
      <c r="CMG4095" s="34">
        <v>-2</v>
      </c>
      <c r="CMH4095" s="34">
        <v>-1.5</v>
      </c>
      <c r="CMI4095" s="34">
        <v>-1</v>
      </c>
      <c r="CMJ4095" s="34">
        <v>-0.5</v>
      </c>
      <c r="CMK4095" s="34">
        <v>0</v>
      </c>
      <c r="CML4095" s="34">
        <v>0.5</v>
      </c>
      <c r="CMM4095" s="34">
        <v>1</v>
      </c>
      <c r="CMN4095" s="34">
        <v>1.5</v>
      </c>
      <c r="CMO4095" s="34">
        <v>2</v>
      </c>
      <c r="CMP4095" s="34">
        <v>2.5</v>
      </c>
      <c r="CMQ4095" s="34">
        <v>3</v>
      </c>
      <c r="CMR4095" s="34">
        <v>3.5</v>
      </c>
      <c r="CMS4095" s="34">
        <v>4</v>
      </c>
      <c r="CMT4095" s="34">
        <v>4.5</v>
      </c>
      <c r="CMU4095" s="34">
        <v>5</v>
      </c>
      <c r="CMW4095" s="913"/>
      <c r="CMX4095" s="31">
        <v>1</v>
      </c>
      <c r="CMY4095" s="34">
        <v>0</v>
      </c>
      <c r="CMZ4095" s="34">
        <v>-1</v>
      </c>
      <c r="CNA4095" s="34">
        <v>-2</v>
      </c>
      <c r="CNB4095" s="34">
        <v>-3</v>
      </c>
      <c r="CNC4095" s="34">
        <v>-4</v>
      </c>
      <c r="CND4095" s="34">
        <v>-5</v>
      </c>
      <c r="CNE4095" s="908"/>
      <c r="CNF4095" s="909"/>
      <c r="CNG4095" s="34">
        <v>-5</v>
      </c>
      <c r="CNH4095" s="34">
        <v>-4.5</v>
      </c>
      <c r="CNI4095" s="34">
        <v>-4</v>
      </c>
      <c r="CNJ4095" s="34">
        <v>-3.5</v>
      </c>
      <c r="CNK4095" s="34">
        <v>-3</v>
      </c>
      <c r="CNL4095" s="34">
        <v>-2.5</v>
      </c>
      <c r="CNM4095" s="34">
        <v>-2</v>
      </c>
      <c r="CNN4095" s="34">
        <v>-1.5</v>
      </c>
      <c r="CNO4095" s="34">
        <v>-1</v>
      </c>
      <c r="CNP4095" s="34">
        <v>-0.5</v>
      </c>
      <c r="CNQ4095" s="34">
        <v>0</v>
      </c>
      <c r="CNR4095" s="34">
        <v>0.5</v>
      </c>
      <c r="CNS4095" s="34">
        <v>1</v>
      </c>
      <c r="CNT4095" s="34">
        <v>1.5</v>
      </c>
      <c r="CNU4095" s="34">
        <v>2</v>
      </c>
      <c r="CNV4095" s="34">
        <v>2.5</v>
      </c>
      <c r="CNW4095" s="34">
        <v>3</v>
      </c>
      <c r="CNX4095" s="34">
        <v>3.5</v>
      </c>
      <c r="CNY4095" s="34">
        <v>4</v>
      </c>
      <c r="CNZ4095" s="34">
        <v>4.5</v>
      </c>
      <c r="COA4095" s="34">
        <v>5</v>
      </c>
      <c r="COC4095" s="913"/>
      <c r="COD4095" s="31">
        <v>1</v>
      </c>
      <c r="COE4095" s="34">
        <v>0</v>
      </c>
      <c r="COF4095" s="34">
        <v>-1</v>
      </c>
      <c r="COG4095" s="34">
        <v>-2</v>
      </c>
      <c r="COH4095" s="34">
        <v>-3</v>
      </c>
      <c r="COI4095" s="34">
        <v>-4</v>
      </c>
      <c r="COJ4095" s="34">
        <v>-5</v>
      </c>
      <c r="COK4095" s="908"/>
      <c r="COL4095" s="909"/>
      <c r="COM4095" s="34">
        <v>-5</v>
      </c>
      <c r="CON4095" s="34">
        <v>-4.5</v>
      </c>
      <c r="COO4095" s="34">
        <v>-4</v>
      </c>
      <c r="COP4095" s="34">
        <v>-3.5</v>
      </c>
      <c r="COQ4095" s="34">
        <v>-3</v>
      </c>
      <c r="COR4095" s="34">
        <v>-2.5</v>
      </c>
      <c r="COS4095" s="34">
        <v>-2</v>
      </c>
      <c r="COT4095" s="34">
        <v>-1.5</v>
      </c>
      <c r="COU4095" s="34">
        <v>-1</v>
      </c>
      <c r="COV4095" s="34">
        <v>-0.5</v>
      </c>
      <c r="COW4095" s="34">
        <v>0</v>
      </c>
      <c r="COX4095" s="34">
        <v>0.5</v>
      </c>
      <c r="COY4095" s="34">
        <v>1</v>
      </c>
      <c r="COZ4095" s="34">
        <v>1.5</v>
      </c>
      <c r="CPA4095" s="34">
        <v>2</v>
      </c>
      <c r="CPB4095" s="34">
        <v>2.5</v>
      </c>
      <c r="CPC4095" s="34">
        <v>3</v>
      </c>
      <c r="CPD4095" s="34">
        <v>3.5</v>
      </c>
      <c r="CPE4095" s="34">
        <v>4</v>
      </c>
      <c r="CPF4095" s="34">
        <v>4.5</v>
      </c>
      <c r="CPG4095" s="34">
        <v>5</v>
      </c>
      <c r="CPI4095" s="913"/>
      <c r="CPJ4095" s="31">
        <v>1</v>
      </c>
      <c r="CPK4095" s="34">
        <v>0</v>
      </c>
      <c r="CPL4095" s="34">
        <v>-1</v>
      </c>
      <c r="CPM4095" s="34">
        <v>-2</v>
      </c>
      <c r="CPN4095" s="34">
        <v>-3</v>
      </c>
      <c r="CPO4095" s="34">
        <v>-4</v>
      </c>
      <c r="CPP4095" s="34">
        <v>-5</v>
      </c>
      <c r="CPQ4095" s="908"/>
      <c r="CPR4095" s="909"/>
      <c r="CPS4095" s="34">
        <v>-5</v>
      </c>
      <c r="CPT4095" s="34">
        <v>-4.5</v>
      </c>
      <c r="CPU4095" s="34">
        <v>-4</v>
      </c>
      <c r="CPV4095" s="34">
        <v>-3.5</v>
      </c>
      <c r="CPW4095" s="34">
        <v>-3</v>
      </c>
      <c r="CPX4095" s="34">
        <v>-2.5</v>
      </c>
      <c r="CPY4095" s="34">
        <v>-2</v>
      </c>
      <c r="CPZ4095" s="34">
        <v>-1.5</v>
      </c>
      <c r="CQA4095" s="34">
        <v>-1</v>
      </c>
      <c r="CQB4095" s="34">
        <v>-0.5</v>
      </c>
      <c r="CQC4095" s="34">
        <v>0</v>
      </c>
      <c r="CQD4095" s="34">
        <v>0.5</v>
      </c>
      <c r="CQE4095" s="34">
        <v>1</v>
      </c>
      <c r="CQF4095" s="34">
        <v>1.5</v>
      </c>
      <c r="CQG4095" s="34">
        <v>2</v>
      </c>
      <c r="CQH4095" s="34">
        <v>2.5</v>
      </c>
      <c r="CQI4095" s="34">
        <v>3</v>
      </c>
      <c r="CQJ4095" s="34">
        <v>3.5</v>
      </c>
      <c r="CQK4095" s="34">
        <v>4</v>
      </c>
      <c r="CQL4095" s="34">
        <v>4.5</v>
      </c>
      <c r="CQM4095" s="34">
        <v>5</v>
      </c>
      <c r="CQO4095" s="913"/>
      <c r="CQP4095" s="31">
        <v>1</v>
      </c>
      <c r="CQQ4095" s="34">
        <v>0</v>
      </c>
      <c r="CQR4095" s="34">
        <v>-1</v>
      </c>
      <c r="CQS4095" s="34">
        <v>-2</v>
      </c>
      <c r="CQT4095" s="34">
        <v>-3</v>
      </c>
      <c r="CQU4095" s="34">
        <v>-4</v>
      </c>
      <c r="CQV4095" s="34">
        <v>-5</v>
      </c>
      <c r="CQW4095" s="908"/>
      <c r="CQX4095" s="909"/>
      <c r="CQY4095" s="34">
        <v>-5</v>
      </c>
      <c r="CQZ4095" s="34">
        <v>-4.5</v>
      </c>
      <c r="CRA4095" s="34">
        <v>-4</v>
      </c>
      <c r="CRB4095" s="34">
        <v>-3.5</v>
      </c>
      <c r="CRC4095" s="34">
        <v>-3</v>
      </c>
      <c r="CRD4095" s="34">
        <v>-2.5</v>
      </c>
      <c r="CRE4095" s="34">
        <v>-2</v>
      </c>
      <c r="CRF4095" s="34">
        <v>-1.5</v>
      </c>
      <c r="CRG4095" s="34">
        <v>-1</v>
      </c>
      <c r="CRH4095" s="34">
        <v>-0.5</v>
      </c>
      <c r="CRI4095" s="34">
        <v>0</v>
      </c>
      <c r="CRJ4095" s="34">
        <v>0.5</v>
      </c>
      <c r="CRK4095" s="34">
        <v>1</v>
      </c>
      <c r="CRL4095" s="34">
        <v>1.5</v>
      </c>
      <c r="CRM4095" s="34">
        <v>2</v>
      </c>
      <c r="CRN4095" s="34">
        <v>2.5</v>
      </c>
      <c r="CRO4095" s="34">
        <v>3</v>
      </c>
      <c r="CRP4095" s="34">
        <v>3.5</v>
      </c>
      <c r="CRQ4095" s="34">
        <v>4</v>
      </c>
      <c r="CRR4095" s="34">
        <v>4.5</v>
      </c>
      <c r="CRS4095" s="34">
        <v>5</v>
      </c>
      <c r="CRU4095" s="913"/>
      <c r="CRV4095" s="31">
        <v>1</v>
      </c>
      <c r="CRW4095" s="34">
        <v>0</v>
      </c>
      <c r="CRX4095" s="34">
        <v>-1</v>
      </c>
      <c r="CRY4095" s="34">
        <v>-2</v>
      </c>
      <c r="CRZ4095" s="34">
        <v>-3</v>
      </c>
      <c r="CSA4095" s="34">
        <v>-4</v>
      </c>
      <c r="CSB4095" s="34">
        <v>-5</v>
      </c>
      <c r="CSC4095" s="908"/>
      <c r="CSD4095" s="909"/>
      <c r="CSE4095" s="34">
        <v>-5</v>
      </c>
      <c r="CSF4095" s="34">
        <v>-4.5</v>
      </c>
      <c r="CSG4095" s="34">
        <v>-4</v>
      </c>
      <c r="CSH4095" s="34">
        <v>-3.5</v>
      </c>
      <c r="CSI4095" s="34">
        <v>-3</v>
      </c>
      <c r="CSJ4095" s="34">
        <v>-2.5</v>
      </c>
      <c r="CSK4095" s="34">
        <v>-2</v>
      </c>
      <c r="CSL4095" s="34">
        <v>-1.5</v>
      </c>
      <c r="CSM4095" s="34">
        <v>-1</v>
      </c>
      <c r="CSN4095" s="34">
        <v>-0.5</v>
      </c>
      <c r="CSO4095" s="34">
        <v>0</v>
      </c>
      <c r="CSP4095" s="34">
        <v>0.5</v>
      </c>
      <c r="CSQ4095" s="34">
        <v>1</v>
      </c>
      <c r="CSR4095" s="34">
        <v>1.5</v>
      </c>
      <c r="CSS4095" s="34">
        <v>2</v>
      </c>
      <c r="CST4095" s="34">
        <v>2.5</v>
      </c>
      <c r="CSU4095" s="34">
        <v>3</v>
      </c>
      <c r="CSV4095" s="34">
        <v>3.5</v>
      </c>
      <c r="CSW4095" s="34">
        <v>4</v>
      </c>
      <c r="CSX4095" s="34">
        <v>4.5</v>
      </c>
      <c r="CSY4095" s="34">
        <v>5</v>
      </c>
      <c r="CTA4095" s="913"/>
      <c r="CTB4095" s="31">
        <v>1</v>
      </c>
      <c r="CTC4095" s="34">
        <v>0</v>
      </c>
      <c r="CTD4095" s="34">
        <v>-1</v>
      </c>
      <c r="CTE4095" s="34">
        <v>-2</v>
      </c>
      <c r="CTF4095" s="34">
        <v>-3</v>
      </c>
      <c r="CTG4095" s="34">
        <v>-4</v>
      </c>
      <c r="CTH4095" s="34">
        <v>-5</v>
      </c>
      <c r="CTI4095" s="908"/>
      <c r="CTJ4095" s="909"/>
      <c r="CTK4095" s="34">
        <v>-5</v>
      </c>
      <c r="CTL4095" s="34">
        <v>-4.5</v>
      </c>
      <c r="CTM4095" s="34">
        <v>-4</v>
      </c>
      <c r="CTN4095" s="34">
        <v>-3.5</v>
      </c>
      <c r="CTO4095" s="34">
        <v>-3</v>
      </c>
      <c r="CTP4095" s="34">
        <v>-2.5</v>
      </c>
      <c r="CTQ4095" s="34">
        <v>-2</v>
      </c>
      <c r="CTR4095" s="34">
        <v>-1.5</v>
      </c>
      <c r="CTS4095" s="34">
        <v>-1</v>
      </c>
      <c r="CTT4095" s="34">
        <v>-0.5</v>
      </c>
      <c r="CTU4095" s="34">
        <v>0</v>
      </c>
      <c r="CTV4095" s="34">
        <v>0.5</v>
      </c>
      <c r="CTW4095" s="34">
        <v>1</v>
      </c>
      <c r="CTX4095" s="34">
        <v>1.5</v>
      </c>
      <c r="CTY4095" s="34">
        <v>2</v>
      </c>
      <c r="CTZ4095" s="34">
        <v>2.5</v>
      </c>
      <c r="CUA4095" s="34">
        <v>3</v>
      </c>
      <c r="CUB4095" s="34">
        <v>3.5</v>
      </c>
      <c r="CUC4095" s="34">
        <v>4</v>
      </c>
      <c r="CUD4095" s="34">
        <v>4.5</v>
      </c>
      <c r="CUE4095" s="34">
        <v>5</v>
      </c>
      <c r="CUG4095" s="913"/>
      <c r="CUH4095" s="31">
        <v>1</v>
      </c>
      <c r="CUI4095" s="34">
        <v>0</v>
      </c>
      <c r="CUJ4095" s="34">
        <v>-1</v>
      </c>
      <c r="CUK4095" s="34">
        <v>-2</v>
      </c>
      <c r="CUL4095" s="34">
        <v>-3</v>
      </c>
      <c r="CUM4095" s="34">
        <v>-4</v>
      </c>
      <c r="CUN4095" s="34">
        <v>-5</v>
      </c>
      <c r="CUO4095" s="908"/>
      <c r="CUP4095" s="909"/>
      <c r="CUQ4095" s="34">
        <v>-5</v>
      </c>
      <c r="CUR4095" s="34">
        <v>-4.5</v>
      </c>
      <c r="CUS4095" s="34">
        <v>-4</v>
      </c>
      <c r="CUT4095" s="34">
        <v>-3.5</v>
      </c>
      <c r="CUU4095" s="34">
        <v>-3</v>
      </c>
      <c r="CUV4095" s="34">
        <v>-2.5</v>
      </c>
      <c r="CUW4095" s="34">
        <v>-2</v>
      </c>
      <c r="CUX4095" s="34">
        <v>-1.5</v>
      </c>
      <c r="CUY4095" s="34">
        <v>-1</v>
      </c>
      <c r="CUZ4095" s="34">
        <v>-0.5</v>
      </c>
      <c r="CVA4095" s="34">
        <v>0</v>
      </c>
      <c r="CVB4095" s="34">
        <v>0.5</v>
      </c>
      <c r="CVC4095" s="34">
        <v>1</v>
      </c>
      <c r="CVD4095" s="34">
        <v>1.5</v>
      </c>
      <c r="CVE4095" s="34">
        <v>2</v>
      </c>
      <c r="CVF4095" s="34">
        <v>2.5</v>
      </c>
      <c r="CVG4095" s="34">
        <v>3</v>
      </c>
      <c r="CVH4095" s="34">
        <v>3.5</v>
      </c>
      <c r="CVI4095" s="34">
        <v>4</v>
      </c>
      <c r="CVJ4095" s="34">
        <v>4.5</v>
      </c>
      <c r="CVK4095" s="34">
        <v>5</v>
      </c>
      <c r="CVM4095" s="913"/>
      <c r="CVN4095" s="31">
        <v>1</v>
      </c>
      <c r="CVO4095" s="34">
        <v>0</v>
      </c>
      <c r="CVP4095" s="34">
        <v>-1</v>
      </c>
      <c r="CVQ4095" s="34">
        <v>-2</v>
      </c>
      <c r="CVR4095" s="34">
        <v>-3</v>
      </c>
      <c r="CVS4095" s="34">
        <v>-4</v>
      </c>
      <c r="CVT4095" s="34">
        <v>-5</v>
      </c>
      <c r="CVU4095" s="908"/>
      <c r="CVV4095" s="909"/>
      <c r="CVW4095" s="34">
        <v>-5</v>
      </c>
      <c r="CVX4095" s="34">
        <v>-4.5</v>
      </c>
      <c r="CVY4095" s="34">
        <v>-4</v>
      </c>
      <c r="CVZ4095" s="34">
        <v>-3.5</v>
      </c>
      <c r="CWA4095" s="34">
        <v>-3</v>
      </c>
      <c r="CWB4095" s="34">
        <v>-2.5</v>
      </c>
      <c r="CWC4095" s="34">
        <v>-2</v>
      </c>
      <c r="CWD4095" s="34">
        <v>-1.5</v>
      </c>
      <c r="CWE4095" s="34">
        <v>-1</v>
      </c>
      <c r="CWF4095" s="34">
        <v>-0.5</v>
      </c>
      <c r="CWG4095" s="34">
        <v>0</v>
      </c>
      <c r="CWH4095" s="34">
        <v>0.5</v>
      </c>
      <c r="CWI4095" s="34">
        <v>1</v>
      </c>
      <c r="CWJ4095" s="34">
        <v>1.5</v>
      </c>
      <c r="CWK4095" s="34">
        <v>2</v>
      </c>
      <c r="CWL4095" s="34">
        <v>2.5</v>
      </c>
      <c r="CWM4095" s="34">
        <v>3</v>
      </c>
      <c r="CWN4095" s="34">
        <v>3.5</v>
      </c>
      <c r="CWO4095" s="34">
        <v>4</v>
      </c>
      <c r="CWP4095" s="34">
        <v>4.5</v>
      </c>
      <c r="CWQ4095" s="34">
        <v>5</v>
      </c>
      <c r="CWS4095" s="913"/>
      <c r="CWT4095" s="31">
        <v>1</v>
      </c>
      <c r="CWU4095" s="34">
        <v>0</v>
      </c>
      <c r="CWV4095" s="34">
        <v>-1</v>
      </c>
      <c r="CWW4095" s="34">
        <v>-2</v>
      </c>
      <c r="CWX4095" s="34">
        <v>-3</v>
      </c>
      <c r="CWY4095" s="34">
        <v>-4</v>
      </c>
      <c r="CWZ4095" s="34">
        <v>-5</v>
      </c>
      <c r="CXA4095" s="908"/>
      <c r="CXB4095" s="909"/>
      <c r="CXC4095" s="34">
        <v>-5</v>
      </c>
      <c r="CXD4095" s="34">
        <v>-4.5</v>
      </c>
      <c r="CXE4095" s="34">
        <v>-4</v>
      </c>
      <c r="CXF4095" s="34">
        <v>-3.5</v>
      </c>
      <c r="CXG4095" s="34">
        <v>-3</v>
      </c>
      <c r="CXH4095" s="34">
        <v>-2.5</v>
      </c>
      <c r="CXI4095" s="34">
        <v>-2</v>
      </c>
      <c r="CXJ4095" s="34">
        <v>-1.5</v>
      </c>
      <c r="CXK4095" s="34">
        <v>-1</v>
      </c>
      <c r="CXL4095" s="34">
        <v>-0.5</v>
      </c>
      <c r="CXM4095" s="34">
        <v>0</v>
      </c>
      <c r="CXN4095" s="34">
        <v>0.5</v>
      </c>
      <c r="CXO4095" s="34">
        <v>1</v>
      </c>
      <c r="CXP4095" s="34">
        <v>1.5</v>
      </c>
      <c r="CXQ4095" s="34">
        <v>2</v>
      </c>
      <c r="CXR4095" s="34">
        <v>2.5</v>
      </c>
      <c r="CXS4095" s="34">
        <v>3</v>
      </c>
      <c r="CXT4095" s="34">
        <v>3.5</v>
      </c>
      <c r="CXU4095" s="34">
        <v>4</v>
      </c>
      <c r="CXV4095" s="34">
        <v>4.5</v>
      </c>
      <c r="CXW4095" s="34">
        <v>5</v>
      </c>
      <c r="CXY4095" s="913"/>
      <c r="CXZ4095" s="31">
        <v>1</v>
      </c>
      <c r="CYA4095" s="34">
        <v>0</v>
      </c>
      <c r="CYB4095" s="34">
        <v>-1</v>
      </c>
      <c r="CYC4095" s="34">
        <v>-2</v>
      </c>
      <c r="CYD4095" s="34">
        <v>-3</v>
      </c>
      <c r="CYE4095" s="34">
        <v>-4</v>
      </c>
      <c r="CYF4095" s="34">
        <v>-5</v>
      </c>
      <c r="CYG4095" s="908"/>
      <c r="CYH4095" s="909"/>
      <c r="CYI4095" s="34">
        <v>-5</v>
      </c>
      <c r="CYJ4095" s="34">
        <v>-4.5</v>
      </c>
      <c r="CYK4095" s="34">
        <v>-4</v>
      </c>
      <c r="CYL4095" s="34">
        <v>-3.5</v>
      </c>
      <c r="CYM4095" s="34">
        <v>-3</v>
      </c>
      <c r="CYN4095" s="34">
        <v>-2.5</v>
      </c>
      <c r="CYO4095" s="34">
        <v>-2</v>
      </c>
      <c r="CYP4095" s="34">
        <v>-1.5</v>
      </c>
      <c r="CYQ4095" s="34">
        <v>-1</v>
      </c>
      <c r="CYR4095" s="34">
        <v>-0.5</v>
      </c>
      <c r="CYS4095" s="34">
        <v>0</v>
      </c>
      <c r="CYT4095" s="34">
        <v>0.5</v>
      </c>
      <c r="CYU4095" s="34">
        <v>1</v>
      </c>
      <c r="CYV4095" s="34">
        <v>1.5</v>
      </c>
      <c r="CYW4095" s="34">
        <v>2</v>
      </c>
      <c r="CYX4095" s="34">
        <v>2.5</v>
      </c>
      <c r="CYY4095" s="34">
        <v>3</v>
      </c>
      <c r="CYZ4095" s="34">
        <v>3.5</v>
      </c>
      <c r="CZA4095" s="34">
        <v>4</v>
      </c>
      <c r="CZB4095" s="34">
        <v>4.5</v>
      </c>
      <c r="CZC4095" s="34">
        <v>5</v>
      </c>
      <c r="CZE4095" s="913"/>
      <c r="CZF4095" s="31">
        <v>1</v>
      </c>
      <c r="CZG4095" s="34">
        <v>0</v>
      </c>
      <c r="CZH4095" s="34">
        <v>-1</v>
      </c>
      <c r="CZI4095" s="34">
        <v>-2</v>
      </c>
      <c r="CZJ4095" s="34">
        <v>-3</v>
      </c>
      <c r="CZK4095" s="34">
        <v>-4</v>
      </c>
      <c r="CZL4095" s="34">
        <v>-5</v>
      </c>
      <c r="CZM4095" s="908"/>
      <c r="CZN4095" s="909"/>
      <c r="CZO4095" s="34">
        <v>-5</v>
      </c>
      <c r="CZP4095" s="34">
        <v>-4.5</v>
      </c>
      <c r="CZQ4095" s="34">
        <v>-4</v>
      </c>
      <c r="CZR4095" s="34">
        <v>-3.5</v>
      </c>
      <c r="CZS4095" s="34">
        <v>-3</v>
      </c>
      <c r="CZT4095" s="34">
        <v>-2.5</v>
      </c>
      <c r="CZU4095" s="34">
        <v>-2</v>
      </c>
      <c r="CZV4095" s="34">
        <v>-1.5</v>
      </c>
      <c r="CZW4095" s="34">
        <v>-1</v>
      </c>
      <c r="CZX4095" s="34">
        <v>-0.5</v>
      </c>
      <c r="CZY4095" s="34">
        <v>0</v>
      </c>
      <c r="CZZ4095" s="34">
        <v>0.5</v>
      </c>
      <c r="DAA4095" s="34">
        <v>1</v>
      </c>
      <c r="DAB4095" s="34">
        <v>1.5</v>
      </c>
      <c r="DAC4095" s="34">
        <v>2</v>
      </c>
      <c r="DAD4095" s="34">
        <v>2.5</v>
      </c>
      <c r="DAE4095" s="34">
        <v>3</v>
      </c>
      <c r="DAF4095" s="34">
        <v>3.5</v>
      </c>
      <c r="DAG4095" s="34">
        <v>4</v>
      </c>
      <c r="DAH4095" s="34">
        <v>4.5</v>
      </c>
      <c r="DAI4095" s="34">
        <v>5</v>
      </c>
      <c r="DAK4095" s="913"/>
      <c r="DAL4095" s="31">
        <v>1</v>
      </c>
      <c r="DAM4095" s="34">
        <v>0</v>
      </c>
      <c r="DAN4095" s="34">
        <v>-1</v>
      </c>
      <c r="DAO4095" s="34">
        <v>-2</v>
      </c>
      <c r="DAP4095" s="34">
        <v>-3</v>
      </c>
      <c r="DAQ4095" s="34">
        <v>-4</v>
      </c>
      <c r="DAR4095" s="34">
        <v>-5</v>
      </c>
      <c r="DAS4095" s="908"/>
      <c r="DAT4095" s="909"/>
      <c r="DAU4095" s="34">
        <v>-5</v>
      </c>
      <c r="DAV4095" s="34">
        <v>-4.5</v>
      </c>
      <c r="DAW4095" s="34">
        <v>-4</v>
      </c>
      <c r="DAX4095" s="34">
        <v>-3.5</v>
      </c>
      <c r="DAY4095" s="34">
        <v>-3</v>
      </c>
      <c r="DAZ4095" s="34">
        <v>-2.5</v>
      </c>
      <c r="DBA4095" s="34">
        <v>-2</v>
      </c>
      <c r="DBB4095" s="34">
        <v>-1.5</v>
      </c>
      <c r="DBC4095" s="34">
        <v>-1</v>
      </c>
      <c r="DBD4095" s="34">
        <v>-0.5</v>
      </c>
      <c r="DBE4095" s="34">
        <v>0</v>
      </c>
      <c r="DBF4095" s="34">
        <v>0.5</v>
      </c>
      <c r="DBG4095" s="34">
        <v>1</v>
      </c>
      <c r="DBH4095" s="34">
        <v>1.5</v>
      </c>
      <c r="DBI4095" s="34">
        <v>2</v>
      </c>
      <c r="DBJ4095" s="34">
        <v>2.5</v>
      </c>
      <c r="DBK4095" s="34">
        <v>3</v>
      </c>
      <c r="DBL4095" s="34">
        <v>3.5</v>
      </c>
      <c r="DBM4095" s="34">
        <v>4</v>
      </c>
      <c r="DBN4095" s="34">
        <v>4.5</v>
      </c>
      <c r="DBO4095" s="34">
        <v>5</v>
      </c>
      <c r="DBQ4095" s="913"/>
      <c r="DBR4095" s="31">
        <v>1</v>
      </c>
      <c r="DBS4095" s="34">
        <v>0</v>
      </c>
      <c r="DBT4095" s="34">
        <v>-1</v>
      </c>
      <c r="DBU4095" s="34">
        <v>-2</v>
      </c>
      <c r="DBV4095" s="34">
        <v>-3</v>
      </c>
      <c r="DBW4095" s="34">
        <v>-4</v>
      </c>
      <c r="DBX4095" s="34">
        <v>-5</v>
      </c>
      <c r="DBY4095" s="908"/>
      <c r="DBZ4095" s="909"/>
      <c r="DCA4095" s="34">
        <v>-5</v>
      </c>
      <c r="DCB4095" s="34">
        <v>-4.5</v>
      </c>
      <c r="DCC4095" s="34">
        <v>-4</v>
      </c>
      <c r="DCD4095" s="34">
        <v>-3.5</v>
      </c>
      <c r="DCE4095" s="34">
        <v>-3</v>
      </c>
      <c r="DCF4095" s="34">
        <v>-2.5</v>
      </c>
      <c r="DCG4095" s="34">
        <v>-2</v>
      </c>
      <c r="DCH4095" s="34">
        <v>-1.5</v>
      </c>
      <c r="DCI4095" s="34">
        <v>-1</v>
      </c>
      <c r="DCJ4095" s="34">
        <v>-0.5</v>
      </c>
      <c r="DCK4095" s="34">
        <v>0</v>
      </c>
      <c r="DCL4095" s="34">
        <v>0.5</v>
      </c>
      <c r="DCM4095" s="34">
        <v>1</v>
      </c>
      <c r="DCN4095" s="34">
        <v>1.5</v>
      </c>
      <c r="DCO4095" s="34">
        <v>2</v>
      </c>
      <c r="DCP4095" s="34">
        <v>2.5</v>
      </c>
      <c r="DCQ4095" s="34">
        <v>3</v>
      </c>
      <c r="DCR4095" s="34">
        <v>3.5</v>
      </c>
      <c r="DCS4095" s="34">
        <v>4</v>
      </c>
      <c r="DCT4095" s="34">
        <v>4.5</v>
      </c>
      <c r="DCU4095" s="34">
        <v>5</v>
      </c>
      <c r="DCW4095" s="913"/>
      <c r="DCX4095" s="31">
        <v>1</v>
      </c>
      <c r="DCY4095" s="34">
        <v>0</v>
      </c>
      <c r="DCZ4095" s="34">
        <v>-1</v>
      </c>
      <c r="DDA4095" s="34">
        <v>-2</v>
      </c>
      <c r="DDB4095" s="34">
        <v>-3</v>
      </c>
      <c r="DDC4095" s="34">
        <v>-4</v>
      </c>
      <c r="DDD4095" s="34">
        <v>-5</v>
      </c>
      <c r="DDE4095" s="908"/>
      <c r="DDF4095" s="909"/>
      <c r="DDG4095" s="34">
        <v>-5</v>
      </c>
      <c r="DDH4095" s="34">
        <v>-4.5</v>
      </c>
      <c r="DDI4095" s="34">
        <v>-4</v>
      </c>
      <c r="DDJ4095" s="34">
        <v>-3.5</v>
      </c>
      <c r="DDK4095" s="34">
        <v>-3</v>
      </c>
      <c r="DDL4095" s="34">
        <v>-2.5</v>
      </c>
      <c r="DDM4095" s="34">
        <v>-2</v>
      </c>
      <c r="DDN4095" s="34">
        <v>-1.5</v>
      </c>
      <c r="DDO4095" s="34">
        <v>-1</v>
      </c>
      <c r="DDP4095" s="34">
        <v>-0.5</v>
      </c>
      <c r="DDQ4095" s="34">
        <v>0</v>
      </c>
      <c r="DDR4095" s="34">
        <v>0.5</v>
      </c>
      <c r="DDS4095" s="34">
        <v>1</v>
      </c>
      <c r="DDT4095" s="34">
        <v>1.5</v>
      </c>
      <c r="DDU4095" s="34">
        <v>2</v>
      </c>
      <c r="DDV4095" s="34">
        <v>2.5</v>
      </c>
      <c r="DDW4095" s="34">
        <v>3</v>
      </c>
      <c r="DDX4095" s="34">
        <v>3.5</v>
      </c>
      <c r="DDY4095" s="34">
        <v>4</v>
      </c>
      <c r="DDZ4095" s="34">
        <v>4.5</v>
      </c>
      <c r="DEA4095" s="34">
        <v>5</v>
      </c>
      <c r="DEC4095" s="913"/>
      <c r="DED4095" s="31">
        <v>1</v>
      </c>
      <c r="DEE4095" s="34">
        <v>0</v>
      </c>
      <c r="DEF4095" s="34">
        <v>-1</v>
      </c>
      <c r="DEG4095" s="34">
        <v>-2</v>
      </c>
      <c r="DEH4095" s="34">
        <v>-3</v>
      </c>
      <c r="DEI4095" s="34">
        <v>-4</v>
      </c>
      <c r="DEJ4095" s="34">
        <v>-5</v>
      </c>
      <c r="DEK4095" s="908"/>
      <c r="DEL4095" s="909"/>
      <c r="DEM4095" s="34">
        <v>-5</v>
      </c>
      <c r="DEN4095" s="34">
        <v>-4.5</v>
      </c>
      <c r="DEO4095" s="34">
        <v>-4</v>
      </c>
      <c r="DEP4095" s="34">
        <v>-3.5</v>
      </c>
      <c r="DEQ4095" s="34">
        <v>-3</v>
      </c>
      <c r="DER4095" s="34">
        <v>-2.5</v>
      </c>
      <c r="DES4095" s="34">
        <v>-2</v>
      </c>
      <c r="DET4095" s="34">
        <v>-1.5</v>
      </c>
      <c r="DEU4095" s="34">
        <v>-1</v>
      </c>
      <c r="DEV4095" s="34">
        <v>-0.5</v>
      </c>
      <c r="DEW4095" s="34">
        <v>0</v>
      </c>
      <c r="DEX4095" s="34">
        <v>0.5</v>
      </c>
      <c r="DEY4095" s="34">
        <v>1</v>
      </c>
      <c r="DEZ4095" s="34">
        <v>1.5</v>
      </c>
      <c r="DFA4095" s="34">
        <v>2</v>
      </c>
      <c r="DFB4095" s="34">
        <v>2.5</v>
      </c>
      <c r="DFC4095" s="34">
        <v>3</v>
      </c>
      <c r="DFD4095" s="34">
        <v>3.5</v>
      </c>
      <c r="DFE4095" s="34">
        <v>4</v>
      </c>
      <c r="DFF4095" s="34">
        <v>4.5</v>
      </c>
      <c r="DFG4095" s="34">
        <v>5</v>
      </c>
      <c r="DFI4095" s="913"/>
      <c r="DFJ4095" s="31">
        <v>1</v>
      </c>
      <c r="DFK4095" s="34">
        <v>0</v>
      </c>
      <c r="DFL4095" s="34">
        <v>-1</v>
      </c>
      <c r="DFM4095" s="34">
        <v>-2</v>
      </c>
      <c r="DFN4095" s="34">
        <v>-3</v>
      </c>
      <c r="DFO4095" s="34">
        <v>-4</v>
      </c>
      <c r="DFP4095" s="34">
        <v>-5</v>
      </c>
      <c r="DFQ4095" s="908"/>
      <c r="DFR4095" s="909"/>
      <c r="DFS4095" s="34">
        <v>-5</v>
      </c>
      <c r="DFT4095" s="34">
        <v>-4.5</v>
      </c>
      <c r="DFU4095" s="34">
        <v>-4</v>
      </c>
      <c r="DFV4095" s="34">
        <v>-3.5</v>
      </c>
      <c r="DFW4095" s="34">
        <v>-3</v>
      </c>
      <c r="DFX4095" s="34">
        <v>-2.5</v>
      </c>
      <c r="DFY4095" s="34">
        <v>-2</v>
      </c>
      <c r="DFZ4095" s="34">
        <v>-1.5</v>
      </c>
      <c r="DGA4095" s="34">
        <v>-1</v>
      </c>
      <c r="DGB4095" s="34">
        <v>-0.5</v>
      </c>
      <c r="DGC4095" s="34">
        <v>0</v>
      </c>
      <c r="DGD4095" s="34">
        <v>0.5</v>
      </c>
      <c r="DGE4095" s="34">
        <v>1</v>
      </c>
      <c r="DGF4095" s="34">
        <v>1.5</v>
      </c>
      <c r="DGG4095" s="34">
        <v>2</v>
      </c>
      <c r="DGH4095" s="34">
        <v>2.5</v>
      </c>
      <c r="DGI4095" s="34">
        <v>3</v>
      </c>
      <c r="DGJ4095" s="34">
        <v>3.5</v>
      </c>
      <c r="DGK4095" s="34">
        <v>4</v>
      </c>
      <c r="DGL4095" s="34">
        <v>4.5</v>
      </c>
      <c r="DGM4095" s="34">
        <v>5</v>
      </c>
      <c r="DGO4095" s="913"/>
      <c r="DGP4095" s="31">
        <v>1</v>
      </c>
      <c r="DGQ4095" s="34">
        <v>0</v>
      </c>
      <c r="DGR4095" s="34">
        <v>-1</v>
      </c>
      <c r="DGS4095" s="34">
        <v>-2</v>
      </c>
      <c r="DGT4095" s="34">
        <v>-3</v>
      </c>
      <c r="DGU4095" s="34">
        <v>-4</v>
      </c>
      <c r="DGV4095" s="34">
        <v>-5</v>
      </c>
      <c r="DGW4095" s="908"/>
      <c r="DGX4095" s="909"/>
      <c r="DGY4095" s="34">
        <v>-5</v>
      </c>
      <c r="DGZ4095" s="34">
        <v>-4.5</v>
      </c>
      <c r="DHA4095" s="34">
        <v>-4</v>
      </c>
      <c r="DHB4095" s="34">
        <v>-3.5</v>
      </c>
      <c r="DHC4095" s="34">
        <v>-3</v>
      </c>
      <c r="DHD4095" s="34">
        <v>-2.5</v>
      </c>
      <c r="DHE4095" s="34">
        <v>-2</v>
      </c>
      <c r="DHF4095" s="34">
        <v>-1.5</v>
      </c>
      <c r="DHG4095" s="34">
        <v>-1</v>
      </c>
      <c r="DHH4095" s="34">
        <v>-0.5</v>
      </c>
      <c r="DHI4095" s="34">
        <v>0</v>
      </c>
      <c r="DHJ4095" s="34">
        <v>0.5</v>
      </c>
      <c r="DHK4095" s="34">
        <v>1</v>
      </c>
      <c r="DHL4095" s="34">
        <v>1.5</v>
      </c>
      <c r="DHM4095" s="34">
        <v>2</v>
      </c>
      <c r="DHN4095" s="34">
        <v>2.5</v>
      </c>
      <c r="DHO4095" s="34">
        <v>3</v>
      </c>
      <c r="DHP4095" s="34">
        <v>3.5</v>
      </c>
      <c r="DHQ4095" s="34">
        <v>4</v>
      </c>
      <c r="DHR4095" s="34">
        <v>4.5</v>
      </c>
      <c r="DHS4095" s="34">
        <v>5</v>
      </c>
      <c r="DHU4095" s="913"/>
      <c r="DHV4095" s="31">
        <v>1</v>
      </c>
      <c r="DHW4095" s="34">
        <v>0</v>
      </c>
      <c r="DHX4095" s="34">
        <v>-1</v>
      </c>
      <c r="DHY4095" s="34">
        <v>-2</v>
      </c>
      <c r="DHZ4095" s="34">
        <v>-3</v>
      </c>
      <c r="DIA4095" s="34">
        <v>-4</v>
      </c>
      <c r="DIB4095" s="34">
        <v>-5</v>
      </c>
      <c r="DIC4095" s="908"/>
      <c r="DID4095" s="909"/>
      <c r="DIE4095" s="34">
        <v>-5</v>
      </c>
      <c r="DIF4095" s="34">
        <v>-4.5</v>
      </c>
      <c r="DIG4095" s="34">
        <v>-4</v>
      </c>
      <c r="DIH4095" s="34">
        <v>-3.5</v>
      </c>
      <c r="DII4095" s="34">
        <v>-3</v>
      </c>
      <c r="DIJ4095" s="34">
        <v>-2.5</v>
      </c>
      <c r="DIK4095" s="34">
        <v>-2</v>
      </c>
      <c r="DIL4095" s="34">
        <v>-1.5</v>
      </c>
      <c r="DIM4095" s="34">
        <v>-1</v>
      </c>
      <c r="DIN4095" s="34">
        <v>-0.5</v>
      </c>
      <c r="DIO4095" s="34">
        <v>0</v>
      </c>
      <c r="DIP4095" s="34">
        <v>0.5</v>
      </c>
      <c r="DIQ4095" s="34">
        <v>1</v>
      </c>
      <c r="DIR4095" s="34">
        <v>1.5</v>
      </c>
      <c r="DIS4095" s="34">
        <v>2</v>
      </c>
      <c r="DIT4095" s="34">
        <v>2.5</v>
      </c>
      <c r="DIU4095" s="34">
        <v>3</v>
      </c>
      <c r="DIV4095" s="34">
        <v>3.5</v>
      </c>
      <c r="DIW4095" s="34">
        <v>4</v>
      </c>
      <c r="DIX4095" s="34">
        <v>4.5</v>
      </c>
      <c r="DIY4095" s="34">
        <v>5</v>
      </c>
      <c r="DJA4095" s="913"/>
      <c r="DJB4095" s="31">
        <v>1</v>
      </c>
      <c r="DJC4095" s="34">
        <v>0</v>
      </c>
      <c r="DJD4095" s="34">
        <v>-1</v>
      </c>
      <c r="DJE4095" s="34">
        <v>-2</v>
      </c>
      <c r="DJF4095" s="34">
        <v>-3</v>
      </c>
      <c r="DJG4095" s="34">
        <v>-4</v>
      </c>
      <c r="DJH4095" s="34">
        <v>-5</v>
      </c>
      <c r="DJI4095" s="908"/>
      <c r="DJJ4095" s="909"/>
      <c r="DJK4095" s="34">
        <v>-5</v>
      </c>
      <c r="DJL4095" s="34">
        <v>-4.5</v>
      </c>
      <c r="DJM4095" s="34">
        <v>-4</v>
      </c>
      <c r="DJN4095" s="34">
        <v>-3.5</v>
      </c>
      <c r="DJO4095" s="34">
        <v>-3</v>
      </c>
      <c r="DJP4095" s="34">
        <v>-2.5</v>
      </c>
      <c r="DJQ4095" s="34">
        <v>-2</v>
      </c>
      <c r="DJR4095" s="34">
        <v>-1.5</v>
      </c>
      <c r="DJS4095" s="34">
        <v>-1</v>
      </c>
      <c r="DJT4095" s="34">
        <v>-0.5</v>
      </c>
      <c r="DJU4095" s="34">
        <v>0</v>
      </c>
      <c r="DJV4095" s="34">
        <v>0.5</v>
      </c>
      <c r="DJW4095" s="34">
        <v>1</v>
      </c>
      <c r="DJX4095" s="34">
        <v>1.5</v>
      </c>
      <c r="DJY4095" s="34">
        <v>2</v>
      </c>
      <c r="DJZ4095" s="34">
        <v>2.5</v>
      </c>
      <c r="DKA4095" s="34">
        <v>3</v>
      </c>
      <c r="DKB4095" s="34">
        <v>3.5</v>
      </c>
      <c r="DKC4095" s="34">
        <v>4</v>
      </c>
      <c r="DKD4095" s="34">
        <v>4.5</v>
      </c>
      <c r="DKE4095" s="34">
        <v>5</v>
      </c>
      <c r="DKG4095" s="913"/>
      <c r="DKH4095" s="31">
        <v>1</v>
      </c>
      <c r="DKI4095" s="34">
        <v>0</v>
      </c>
      <c r="DKJ4095" s="34">
        <v>-1</v>
      </c>
      <c r="DKK4095" s="34">
        <v>-2</v>
      </c>
      <c r="DKL4095" s="34">
        <v>-3</v>
      </c>
      <c r="DKM4095" s="34">
        <v>-4</v>
      </c>
      <c r="DKN4095" s="34">
        <v>-5</v>
      </c>
      <c r="DKO4095" s="908"/>
      <c r="DKP4095" s="909"/>
      <c r="DKQ4095" s="34">
        <v>-5</v>
      </c>
      <c r="DKR4095" s="34">
        <v>-4.5</v>
      </c>
      <c r="DKS4095" s="34">
        <v>-4</v>
      </c>
      <c r="DKT4095" s="34">
        <v>-3.5</v>
      </c>
      <c r="DKU4095" s="34">
        <v>-3</v>
      </c>
      <c r="DKV4095" s="34">
        <v>-2.5</v>
      </c>
      <c r="DKW4095" s="34">
        <v>-2</v>
      </c>
      <c r="DKX4095" s="34">
        <v>-1.5</v>
      </c>
      <c r="DKY4095" s="34">
        <v>-1</v>
      </c>
      <c r="DKZ4095" s="34">
        <v>-0.5</v>
      </c>
      <c r="DLA4095" s="34">
        <v>0</v>
      </c>
      <c r="DLB4095" s="34">
        <v>0.5</v>
      </c>
      <c r="DLC4095" s="34">
        <v>1</v>
      </c>
      <c r="DLD4095" s="34">
        <v>1.5</v>
      </c>
      <c r="DLE4095" s="34">
        <v>2</v>
      </c>
      <c r="DLF4095" s="34">
        <v>2.5</v>
      </c>
      <c r="DLG4095" s="34">
        <v>3</v>
      </c>
      <c r="DLH4095" s="34">
        <v>3.5</v>
      </c>
      <c r="DLI4095" s="34">
        <v>4</v>
      </c>
      <c r="DLJ4095" s="34">
        <v>4.5</v>
      </c>
      <c r="DLK4095" s="34">
        <v>5</v>
      </c>
      <c r="DLM4095" s="913"/>
      <c r="DLN4095" s="31">
        <v>1</v>
      </c>
      <c r="DLO4095" s="34">
        <v>0</v>
      </c>
      <c r="DLP4095" s="34">
        <v>-1</v>
      </c>
      <c r="DLQ4095" s="34">
        <v>-2</v>
      </c>
      <c r="DLR4095" s="34">
        <v>-3</v>
      </c>
      <c r="DLS4095" s="34">
        <v>-4</v>
      </c>
      <c r="DLT4095" s="34">
        <v>-5</v>
      </c>
      <c r="DLU4095" s="908"/>
      <c r="DLV4095" s="909"/>
      <c r="DLW4095" s="34">
        <v>-5</v>
      </c>
      <c r="DLX4095" s="34">
        <v>-4.5</v>
      </c>
      <c r="DLY4095" s="34">
        <v>-4</v>
      </c>
      <c r="DLZ4095" s="34">
        <v>-3.5</v>
      </c>
      <c r="DMA4095" s="34">
        <v>-3</v>
      </c>
      <c r="DMB4095" s="34">
        <v>-2.5</v>
      </c>
      <c r="DMC4095" s="34">
        <v>-2</v>
      </c>
      <c r="DMD4095" s="34">
        <v>-1.5</v>
      </c>
      <c r="DME4095" s="34">
        <v>-1</v>
      </c>
      <c r="DMF4095" s="34">
        <v>-0.5</v>
      </c>
      <c r="DMG4095" s="34">
        <v>0</v>
      </c>
      <c r="DMH4095" s="34">
        <v>0.5</v>
      </c>
      <c r="DMI4095" s="34">
        <v>1</v>
      </c>
      <c r="DMJ4095" s="34">
        <v>1.5</v>
      </c>
      <c r="DMK4095" s="34">
        <v>2</v>
      </c>
      <c r="DML4095" s="34">
        <v>2.5</v>
      </c>
      <c r="DMM4095" s="34">
        <v>3</v>
      </c>
      <c r="DMN4095" s="34">
        <v>3.5</v>
      </c>
      <c r="DMO4095" s="34">
        <v>4</v>
      </c>
      <c r="DMP4095" s="34">
        <v>4.5</v>
      </c>
      <c r="DMQ4095" s="34">
        <v>5</v>
      </c>
      <c r="DMS4095" s="913"/>
      <c r="DMT4095" s="31">
        <v>1</v>
      </c>
      <c r="DMU4095" s="34">
        <v>0</v>
      </c>
      <c r="DMV4095" s="34">
        <v>-1</v>
      </c>
      <c r="DMW4095" s="34">
        <v>-2</v>
      </c>
      <c r="DMX4095" s="34">
        <v>-3</v>
      </c>
      <c r="DMY4095" s="34">
        <v>-4</v>
      </c>
      <c r="DMZ4095" s="34">
        <v>-5</v>
      </c>
      <c r="DNA4095" s="908"/>
      <c r="DNB4095" s="909"/>
      <c r="DNC4095" s="34">
        <v>-5</v>
      </c>
      <c r="DND4095" s="34">
        <v>-4.5</v>
      </c>
      <c r="DNE4095" s="34">
        <v>-4</v>
      </c>
      <c r="DNF4095" s="34">
        <v>-3.5</v>
      </c>
      <c r="DNG4095" s="34">
        <v>-3</v>
      </c>
      <c r="DNH4095" s="34">
        <v>-2.5</v>
      </c>
      <c r="DNI4095" s="34">
        <v>-2</v>
      </c>
      <c r="DNJ4095" s="34">
        <v>-1.5</v>
      </c>
      <c r="DNK4095" s="34">
        <v>-1</v>
      </c>
      <c r="DNL4095" s="34">
        <v>-0.5</v>
      </c>
      <c r="DNM4095" s="34">
        <v>0</v>
      </c>
      <c r="DNN4095" s="34">
        <v>0.5</v>
      </c>
      <c r="DNO4095" s="34">
        <v>1</v>
      </c>
      <c r="DNP4095" s="34">
        <v>1.5</v>
      </c>
      <c r="DNQ4095" s="34">
        <v>2</v>
      </c>
      <c r="DNR4095" s="34">
        <v>2.5</v>
      </c>
      <c r="DNS4095" s="34">
        <v>3</v>
      </c>
      <c r="DNT4095" s="34">
        <v>3.5</v>
      </c>
      <c r="DNU4095" s="34">
        <v>4</v>
      </c>
      <c r="DNV4095" s="34">
        <v>4.5</v>
      </c>
      <c r="DNW4095" s="34">
        <v>5</v>
      </c>
      <c r="DNY4095" s="913"/>
      <c r="DNZ4095" s="31">
        <v>1</v>
      </c>
      <c r="DOA4095" s="34">
        <v>0</v>
      </c>
      <c r="DOB4095" s="34">
        <v>-1</v>
      </c>
      <c r="DOC4095" s="34">
        <v>-2</v>
      </c>
      <c r="DOD4095" s="34">
        <v>-3</v>
      </c>
      <c r="DOE4095" s="34">
        <v>-4</v>
      </c>
      <c r="DOF4095" s="34">
        <v>-5</v>
      </c>
      <c r="DOG4095" s="908"/>
      <c r="DOH4095" s="909"/>
      <c r="DOI4095" s="34">
        <v>-5</v>
      </c>
      <c r="DOJ4095" s="34">
        <v>-4.5</v>
      </c>
      <c r="DOK4095" s="34">
        <v>-4</v>
      </c>
      <c r="DOL4095" s="34">
        <v>-3.5</v>
      </c>
      <c r="DOM4095" s="34">
        <v>-3</v>
      </c>
      <c r="DON4095" s="34">
        <v>-2.5</v>
      </c>
      <c r="DOO4095" s="34">
        <v>-2</v>
      </c>
      <c r="DOP4095" s="34">
        <v>-1.5</v>
      </c>
      <c r="DOQ4095" s="34">
        <v>-1</v>
      </c>
      <c r="DOR4095" s="34">
        <v>-0.5</v>
      </c>
      <c r="DOS4095" s="34">
        <v>0</v>
      </c>
      <c r="DOT4095" s="34">
        <v>0.5</v>
      </c>
      <c r="DOU4095" s="34">
        <v>1</v>
      </c>
      <c r="DOV4095" s="34">
        <v>1.5</v>
      </c>
      <c r="DOW4095" s="34">
        <v>2</v>
      </c>
      <c r="DOX4095" s="34">
        <v>2.5</v>
      </c>
      <c r="DOY4095" s="34">
        <v>3</v>
      </c>
      <c r="DOZ4095" s="34">
        <v>3.5</v>
      </c>
      <c r="DPA4095" s="34">
        <v>4</v>
      </c>
      <c r="DPB4095" s="34">
        <v>4.5</v>
      </c>
      <c r="DPC4095" s="34">
        <v>5</v>
      </c>
      <c r="DPE4095" s="913"/>
      <c r="DPF4095" s="31">
        <v>1</v>
      </c>
      <c r="DPG4095" s="34">
        <v>0</v>
      </c>
      <c r="DPH4095" s="34">
        <v>-1</v>
      </c>
      <c r="DPI4095" s="34">
        <v>-2</v>
      </c>
      <c r="DPJ4095" s="34">
        <v>-3</v>
      </c>
      <c r="DPK4095" s="34">
        <v>-4</v>
      </c>
      <c r="DPL4095" s="34">
        <v>-5</v>
      </c>
      <c r="DPM4095" s="908"/>
      <c r="DPN4095" s="909"/>
      <c r="DPO4095" s="34">
        <v>-5</v>
      </c>
      <c r="DPP4095" s="34">
        <v>-4.5</v>
      </c>
      <c r="DPQ4095" s="34">
        <v>-4</v>
      </c>
      <c r="DPR4095" s="34">
        <v>-3.5</v>
      </c>
      <c r="DPS4095" s="34">
        <v>-3</v>
      </c>
      <c r="DPT4095" s="34">
        <v>-2.5</v>
      </c>
      <c r="DPU4095" s="34">
        <v>-2</v>
      </c>
      <c r="DPV4095" s="34">
        <v>-1.5</v>
      </c>
      <c r="DPW4095" s="34">
        <v>-1</v>
      </c>
      <c r="DPX4095" s="34">
        <v>-0.5</v>
      </c>
      <c r="DPY4095" s="34">
        <v>0</v>
      </c>
      <c r="DPZ4095" s="34">
        <v>0.5</v>
      </c>
      <c r="DQA4095" s="34">
        <v>1</v>
      </c>
      <c r="DQB4095" s="34">
        <v>1.5</v>
      </c>
      <c r="DQC4095" s="34">
        <v>2</v>
      </c>
      <c r="DQD4095" s="34">
        <v>2.5</v>
      </c>
      <c r="DQE4095" s="34">
        <v>3</v>
      </c>
      <c r="DQF4095" s="34">
        <v>3.5</v>
      </c>
      <c r="DQG4095" s="34">
        <v>4</v>
      </c>
      <c r="DQH4095" s="34">
        <v>4.5</v>
      </c>
      <c r="DQI4095" s="34">
        <v>5</v>
      </c>
      <c r="DQK4095" s="913"/>
      <c r="DQL4095" s="31">
        <v>1</v>
      </c>
      <c r="DQM4095" s="34">
        <v>0</v>
      </c>
      <c r="DQN4095" s="34">
        <v>-1</v>
      </c>
      <c r="DQO4095" s="34">
        <v>-2</v>
      </c>
      <c r="DQP4095" s="34">
        <v>-3</v>
      </c>
      <c r="DQQ4095" s="34">
        <v>-4</v>
      </c>
      <c r="DQR4095" s="34">
        <v>-5</v>
      </c>
      <c r="DQS4095" s="908"/>
      <c r="DQT4095" s="909"/>
      <c r="DQU4095" s="34">
        <v>-5</v>
      </c>
      <c r="DQV4095" s="34">
        <v>-4.5</v>
      </c>
      <c r="DQW4095" s="34">
        <v>-4</v>
      </c>
      <c r="DQX4095" s="34">
        <v>-3.5</v>
      </c>
      <c r="DQY4095" s="34">
        <v>-3</v>
      </c>
      <c r="DQZ4095" s="34">
        <v>-2.5</v>
      </c>
      <c r="DRA4095" s="34">
        <v>-2</v>
      </c>
      <c r="DRB4095" s="34">
        <v>-1.5</v>
      </c>
      <c r="DRC4095" s="34">
        <v>-1</v>
      </c>
      <c r="DRD4095" s="34">
        <v>-0.5</v>
      </c>
      <c r="DRE4095" s="34">
        <v>0</v>
      </c>
      <c r="DRF4095" s="34">
        <v>0.5</v>
      </c>
      <c r="DRG4095" s="34">
        <v>1</v>
      </c>
      <c r="DRH4095" s="34">
        <v>1.5</v>
      </c>
      <c r="DRI4095" s="34">
        <v>2</v>
      </c>
      <c r="DRJ4095" s="34">
        <v>2.5</v>
      </c>
      <c r="DRK4095" s="34">
        <v>3</v>
      </c>
      <c r="DRL4095" s="34">
        <v>3.5</v>
      </c>
      <c r="DRM4095" s="34">
        <v>4</v>
      </c>
      <c r="DRN4095" s="34">
        <v>4.5</v>
      </c>
      <c r="DRO4095" s="34">
        <v>5</v>
      </c>
      <c r="DRQ4095" s="913"/>
      <c r="DRR4095" s="31">
        <v>1</v>
      </c>
      <c r="DRS4095" s="34">
        <v>0</v>
      </c>
      <c r="DRT4095" s="34">
        <v>-1</v>
      </c>
      <c r="DRU4095" s="34">
        <v>-2</v>
      </c>
      <c r="DRV4095" s="34">
        <v>-3</v>
      </c>
      <c r="DRW4095" s="34">
        <v>-4</v>
      </c>
      <c r="DRX4095" s="34">
        <v>-5</v>
      </c>
      <c r="DRY4095" s="908"/>
      <c r="DRZ4095" s="909"/>
      <c r="DSA4095" s="34">
        <v>-5</v>
      </c>
      <c r="DSB4095" s="34">
        <v>-4.5</v>
      </c>
      <c r="DSC4095" s="34">
        <v>-4</v>
      </c>
      <c r="DSD4095" s="34">
        <v>-3.5</v>
      </c>
      <c r="DSE4095" s="34">
        <v>-3</v>
      </c>
      <c r="DSF4095" s="34">
        <v>-2.5</v>
      </c>
      <c r="DSG4095" s="34">
        <v>-2</v>
      </c>
      <c r="DSH4095" s="34">
        <v>-1.5</v>
      </c>
      <c r="DSI4095" s="34">
        <v>-1</v>
      </c>
      <c r="DSJ4095" s="34">
        <v>-0.5</v>
      </c>
      <c r="DSK4095" s="34">
        <v>0</v>
      </c>
      <c r="DSL4095" s="34">
        <v>0.5</v>
      </c>
      <c r="DSM4095" s="34">
        <v>1</v>
      </c>
      <c r="DSN4095" s="34">
        <v>1.5</v>
      </c>
      <c r="DSO4095" s="34">
        <v>2</v>
      </c>
      <c r="DSP4095" s="34">
        <v>2.5</v>
      </c>
      <c r="DSQ4095" s="34">
        <v>3</v>
      </c>
      <c r="DSR4095" s="34">
        <v>3.5</v>
      </c>
      <c r="DSS4095" s="34">
        <v>4</v>
      </c>
      <c r="DST4095" s="34">
        <v>4.5</v>
      </c>
      <c r="DSU4095" s="34">
        <v>5</v>
      </c>
      <c r="DSW4095" s="913"/>
      <c r="DSX4095" s="31">
        <v>1</v>
      </c>
      <c r="DSY4095" s="34">
        <v>0</v>
      </c>
      <c r="DSZ4095" s="34">
        <v>-1</v>
      </c>
      <c r="DTA4095" s="34">
        <v>-2</v>
      </c>
      <c r="DTB4095" s="34">
        <v>-3</v>
      </c>
      <c r="DTC4095" s="34">
        <v>-4</v>
      </c>
      <c r="DTD4095" s="34">
        <v>-5</v>
      </c>
      <c r="DTE4095" s="908"/>
      <c r="DTF4095" s="909"/>
      <c r="DTG4095" s="34">
        <v>-5</v>
      </c>
      <c r="DTH4095" s="34">
        <v>-4.5</v>
      </c>
      <c r="DTI4095" s="34">
        <v>-4</v>
      </c>
      <c r="DTJ4095" s="34">
        <v>-3.5</v>
      </c>
      <c r="DTK4095" s="34">
        <v>-3</v>
      </c>
      <c r="DTL4095" s="34">
        <v>-2.5</v>
      </c>
      <c r="DTM4095" s="34">
        <v>-2</v>
      </c>
      <c r="DTN4095" s="34">
        <v>-1.5</v>
      </c>
      <c r="DTO4095" s="34">
        <v>-1</v>
      </c>
      <c r="DTP4095" s="34">
        <v>-0.5</v>
      </c>
      <c r="DTQ4095" s="34">
        <v>0</v>
      </c>
      <c r="DTR4095" s="34">
        <v>0.5</v>
      </c>
      <c r="DTS4095" s="34">
        <v>1</v>
      </c>
      <c r="DTT4095" s="34">
        <v>1.5</v>
      </c>
      <c r="DTU4095" s="34">
        <v>2</v>
      </c>
      <c r="DTV4095" s="34">
        <v>2.5</v>
      </c>
      <c r="DTW4095" s="34">
        <v>3</v>
      </c>
      <c r="DTX4095" s="34">
        <v>3.5</v>
      </c>
      <c r="DTY4095" s="34">
        <v>4</v>
      </c>
      <c r="DTZ4095" s="34">
        <v>4.5</v>
      </c>
      <c r="DUA4095" s="34">
        <v>5</v>
      </c>
      <c r="DUC4095" s="913"/>
      <c r="DUD4095" s="31">
        <v>1</v>
      </c>
      <c r="DUE4095" s="34">
        <v>0</v>
      </c>
      <c r="DUF4095" s="34">
        <v>-1</v>
      </c>
      <c r="DUG4095" s="34">
        <v>-2</v>
      </c>
      <c r="DUH4095" s="34">
        <v>-3</v>
      </c>
      <c r="DUI4095" s="34">
        <v>-4</v>
      </c>
      <c r="DUJ4095" s="34">
        <v>-5</v>
      </c>
      <c r="DUK4095" s="908"/>
      <c r="DUL4095" s="909"/>
      <c r="DUM4095" s="34">
        <v>-5</v>
      </c>
      <c r="DUN4095" s="34">
        <v>-4.5</v>
      </c>
      <c r="DUO4095" s="34">
        <v>-4</v>
      </c>
      <c r="DUP4095" s="34">
        <v>-3.5</v>
      </c>
      <c r="DUQ4095" s="34">
        <v>-3</v>
      </c>
      <c r="DUR4095" s="34">
        <v>-2.5</v>
      </c>
      <c r="DUS4095" s="34">
        <v>-2</v>
      </c>
      <c r="DUT4095" s="34">
        <v>-1.5</v>
      </c>
      <c r="DUU4095" s="34">
        <v>-1</v>
      </c>
      <c r="DUV4095" s="34">
        <v>-0.5</v>
      </c>
      <c r="DUW4095" s="34">
        <v>0</v>
      </c>
      <c r="DUX4095" s="34">
        <v>0.5</v>
      </c>
      <c r="DUY4095" s="34">
        <v>1</v>
      </c>
      <c r="DUZ4095" s="34">
        <v>1.5</v>
      </c>
      <c r="DVA4095" s="34">
        <v>2</v>
      </c>
      <c r="DVB4095" s="34">
        <v>2.5</v>
      </c>
      <c r="DVC4095" s="34">
        <v>3</v>
      </c>
      <c r="DVD4095" s="34">
        <v>3.5</v>
      </c>
      <c r="DVE4095" s="34">
        <v>4</v>
      </c>
      <c r="DVF4095" s="34">
        <v>4.5</v>
      </c>
      <c r="DVG4095" s="34">
        <v>5</v>
      </c>
      <c r="DVI4095" s="913"/>
      <c r="DVJ4095" s="31">
        <v>1</v>
      </c>
      <c r="DVK4095" s="34">
        <v>0</v>
      </c>
      <c r="DVL4095" s="34">
        <v>-1</v>
      </c>
      <c r="DVM4095" s="34">
        <v>-2</v>
      </c>
      <c r="DVN4095" s="34">
        <v>-3</v>
      </c>
      <c r="DVO4095" s="34">
        <v>-4</v>
      </c>
      <c r="DVP4095" s="34">
        <v>-5</v>
      </c>
      <c r="DVQ4095" s="908"/>
      <c r="DVR4095" s="909"/>
      <c r="DVS4095" s="34">
        <v>-5</v>
      </c>
      <c r="DVT4095" s="34">
        <v>-4.5</v>
      </c>
      <c r="DVU4095" s="34">
        <v>-4</v>
      </c>
      <c r="DVV4095" s="34">
        <v>-3.5</v>
      </c>
      <c r="DVW4095" s="34">
        <v>-3</v>
      </c>
      <c r="DVX4095" s="34">
        <v>-2.5</v>
      </c>
      <c r="DVY4095" s="34">
        <v>-2</v>
      </c>
      <c r="DVZ4095" s="34">
        <v>-1.5</v>
      </c>
      <c r="DWA4095" s="34">
        <v>-1</v>
      </c>
      <c r="DWB4095" s="34">
        <v>-0.5</v>
      </c>
      <c r="DWC4095" s="34">
        <v>0</v>
      </c>
      <c r="DWD4095" s="34">
        <v>0.5</v>
      </c>
      <c r="DWE4095" s="34">
        <v>1</v>
      </c>
      <c r="DWF4095" s="34">
        <v>1.5</v>
      </c>
      <c r="DWG4095" s="34">
        <v>2</v>
      </c>
      <c r="DWH4095" s="34">
        <v>2.5</v>
      </c>
      <c r="DWI4095" s="34">
        <v>3</v>
      </c>
      <c r="DWJ4095" s="34">
        <v>3.5</v>
      </c>
      <c r="DWK4095" s="34">
        <v>4</v>
      </c>
      <c r="DWL4095" s="34">
        <v>4.5</v>
      </c>
      <c r="DWM4095" s="34">
        <v>5</v>
      </c>
      <c r="DWO4095" s="913"/>
      <c r="DWP4095" s="31">
        <v>1</v>
      </c>
      <c r="DWQ4095" s="34">
        <v>0</v>
      </c>
      <c r="DWR4095" s="34">
        <v>-1</v>
      </c>
      <c r="DWS4095" s="34">
        <v>-2</v>
      </c>
      <c r="DWT4095" s="34">
        <v>-3</v>
      </c>
      <c r="DWU4095" s="34">
        <v>-4</v>
      </c>
      <c r="DWV4095" s="34">
        <v>-5</v>
      </c>
      <c r="DWW4095" s="908"/>
      <c r="DWX4095" s="909"/>
      <c r="DWY4095" s="34">
        <v>-5</v>
      </c>
      <c r="DWZ4095" s="34">
        <v>-4.5</v>
      </c>
      <c r="DXA4095" s="34">
        <v>-4</v>
      </c>
      <c r="DXB4095" s="34">
        <v>-3.5</v>
      </c>
      <c r="DXC4095" s="34">
        <v>-3</v>
      </c>
      <c r="DXD4095" s="34">
        <v>-2.5</v>
      </c>
      <c r="DXE4095" s="34">
        <v>-2</v>
      </c>
      <c r="DXF4095" s="34">
        <v>-1.5</v>
      </c>
      <c r="DXG4095" s="34">
        <v>-1</v>
      </c>
      <c r="DXH4095" s="34">
        <v>-0.5</v>
      </c>
      <c r="DXI4095" s="34">
        <v>0</v>
      </c>
      <c r="DXJ4095" s="34">
        <v>0.5</v>
      </c>
      <c r="DXK4095" s="34">
        <v>1</v>
      </c>
      <c r="DXL4095" s="34">
        <v>1.5</v>
      </c>
      <c r="DXM4095" s="34">
        <v>2</v>
      </c>
      <c r="DXN4095" s="34">
        <v>2.5</v>
      </c>
      <c r="DXO4095" s="34">
        <v>3</v>
      </c>
      <c r="DXP4095" s="34">
        <v>3.5</v>
      </c>
      <c r="DXQ4095" s="34">
        <v>4</v>
      </c>
      <c r="DXR4095" s="34">
        <v>4.5</v>
      </c>
      <c r="DXS4095" s="34">
        <v>5</v>
      </c>
      <c r="DXU4095" s="913"/>
      <c r="DXV4095" s="31">
        <v>1</v>
      </c>
      <c r="DXW4095" s="34">
        <v>0</v>
      </c>
      <c r="DXX4095" s="34">
        <v>-1</v>
      </c>
      <c r="DXY4095" s="34">
        <v>-2</v>
      </c>
      <c r="DXZ4095" s="34">
        <v>-3</v>
      </c>
      <c r="DYA4095" s="34">
        <v>-4</v>
      </c>
      <c r="DYB4095" s="34">
        <v>-5</v>
      </c>
      <c r="DYC4095" s="908"/>
      <c r="DYD4095" s="909"/>
      <c r="DYE4095" s="34">
        <v>-5</v>
      </c>
      <c r="DYF4095" s="34">
        <v>-4.5</v>
      </c>
      <c r="DYG4095" s="34">
        <v>-4</v>
      </c>
      <c r="DYH4095" s="34">
        <v>-3.5</v>
      </c>
      <c r="DYI4095" s="34">
        <v>-3</v>
      </c>
      <c r="DYJ4095" s="34">
        <v>-2.5</v>
      </c>
      <c r="DYK4095" s="34">
        <v>-2</v>
      </c>
      <c r="DYL4095" s="34">
        <v>-1.5</v>
      </c>
      <c r="DYM4095" s="34">
        <v>-1</v>
      </c>
      <c r="DYN4095" s="34">
        <v>-0.5</v>
      </c>
      <c r="DYO4095" s="34">
        <v>0</v>
      </c>
      <c r="DYP4095" s="34">
        <v>0.5</v>
      </c>
      <c r="DYQ4095" s="34">
        <v>1</v>
      </c>
      <c r="DYR4095" s="34">
        <v>1.5</v>
      </c>
      <c r="DYS4095" s="34">
        <v>2</v>
      </c>
      <c r="DYT4095" s="34">
        <v>2.5</v>
      </c>
      <c r="DYU4095" s="34">
        <v>3</v>
      </c>
      <c r="DYV4095" s="34">
        <v>3.5</v>
      </c>
      <c r="DYW4095" s="34">
        <v>4</v>
      </c>
      <c r="DYX4095" s="34">
        <v>4.5</v>
      </c>
      <c r="DYY4095" s="34">
        <v>5</v>
      </c>
      <c r="DZA4095" s="913"/>
      <c r="DZB4095" s="31">
        <v>1</v>
      </c>
      <c r="DZC4095" s="34">
        <v>0</v>
      </c>
      <c r="DZD4095" s="34">
        <v>-1</v>
      </c>
      <c r="DZE4095" s="34">
        <v>-2</v>
      </c>
      <c r="DZF4095" s="34">
        <v>-3</v>
      </c>
      <c r="DZG4095" s="34">
        <v>-4</v>
      </c>
      <c r="DZH4095" s="34">
        <v>-5</v>
      </c>
      <c r="DZI4095" s="908"/>
      <c r="DZJ4095" s="909"/>
      <c r="DZK4095" s="34">
        <v>-5</v>
      </c>
      <c r="DZL4095" s="34">
        <v>-4.5</v>
      </c>
      <c r="DZM4095" s="34">
        <v>-4</v>
      </c>
      <c r="DZN4095" s="34">
        <v>-3.5</v>
      </c>
      <c r="DZO4095" s="34">
        <v>-3</v>
      </c>
      <c r="DZP4095" s="34">
        <v>-2.5</v>
      </c>
      <c r="DZQ4095" s="34">
        <v>-2</v>
      </c>
      <c r="DZR4095" s="34">
        <v>-1.5</v>
      </c>
      <c r="DZS4095" s="34">
        <v>-1</v>
      </c>
      <c r="DZT4095" s="34">
        <v>-0.5</v>
      </c>
      <c r="DZU4095" s="34">
        <v>0</v>
      </c>
      <c r="DZV4095" s="34">
        <v>0.5</v>
      </c>
      <c r="DZW4095" s="34">
        <v>1</v>
      </c>
      <c r="DZX4095" s="34">
        <v>1.5</v>
      </c>
      <c r="DZY4095" s="34">
        <v>2</v>
      </c>
      <c r="DZZ4095" s="34">
        <v>2.5</v>
      </c>
      <c r="EAA4095" s="34">
        <v>3</v>
      </c>
      <c r="EAB4095" s="34">
        <v>3.5</v>
      </c>
      <c r="EAC4095" s="34">
        <v>4</v>
      </c>
      <c r="EAD4095" s="34">
        <v>4.5</v>
      </c>
      <c r="EAE4095" s="34">
        <v>5</v>
      </c>
      <c r="EAG4095" s="913"/>
      <c r="EAH4095" s="31">
        <v>1</v>
      </c>
      <c r="EAI4095" s="34">
        <v>0</v>
      </c>
      <c r="EAJ4095" s="34">
        <v>-1</v>
      </c>
      <c r="EAK4095" s="34">
        <v>-2</v>
      </c>
      <c r="EAL4095" s="34">
        <v>-3</v>
      </c>
      <c r="EAM4095" s="34">
        <v>-4</v>
      </c>
      <c r="EAN4095" s="34">
        <v>-5</v>
      </c>
      <c r="EAO4095" s="908"/>
      <c r="EAP4095" s="909"/>
      <c r="EAQ4095" s="34">
        <v>-5</v>
      </c>
      <c r="EAR4095" s="34">
        <v>-4.5</v>
      </c>
      <c r="EAS4095" s="34">
        <v>-4</v>
      </c>
      <c r="EAT4095" s="34">
        <v>-3.5</v>
      </c>
      <c r="EAU4095" s="34">
        <v>-3</v>
      </c>
      <c r="EAV4095" s="34">
        <v>-2.5</v>
      </c>
      <c r="EAW4095" s="34">
        <v>-2</v>
      </c>
      <c r="EAX4095" s="34">
        <v>-1.5</v>
      </c>
      <c r="EAY4095" s="34">
        <v>-1</v>
      </c>
      <c r="EAZ4095" s="34">
        <v>-0.5</v>
      </c>
      <c r="EBA4095" s="34">
        <v>0</v>
      </c>
      <c r="EBB4095" s="34">
        <v>0.5</v>
      </c>
      <c r="EBC4095" s="34">
        <v>1</v>
      </c>
      <c r="EBD4095" s="34">
        <v>1.5</v>
      </c>
      <c r="EBE4095" s="34">
        <v>2</v>
      </c>
      <c r="EBF4095" s="34">
        <v>2.5</v>
      </c>
      <c r="EBG4095" s="34">
        <v>3</v>
      </c>
      <c r="EBH4095" s="34">
        <v>3.5</v>
      </c>
      <c r="EBI4095" s="34">
        <v>4</v>
      </c>
      <c r="EBJ4095" s="34">
        <v>4.5</v>
      </c>
      <c r="EBK4095" s="34">
        <v>5</v>
      </c>
      <c r="EBM4095" s="913"/>
      <c r="EBN4095" s="31">
        <v>1</v>
      </c>
      <c r="EBO4095" s="34">
        <v>0</v>
      </c>
      <c r="EBP4095" s="34">
        <v>-1</v>
      </c>
      <c r="EBQ4095" s="34">
        <v>-2</v>
      </c>
      <c r="EBR4095" s="34">
        <v>-3</v>
      </c>
      <c r="EBS4095" s="34">
        <v>-4</v>
      </c>
      <c r="EBT4095" s="34">
        <v>-5</v>
      </c>
      <c r="EBU4095" s="908"/>
      <c r="EBV4095" s="909"/>
      <c r="EBW4095" s="34">
        <v>-5</v>
      </c>
      <c r="EBX4095" s="34">
        <v>-4.5</v>
      </c>
      <c r="EBY4095" s="34">
        <v>-4</v>
      </c>
      <c r="EBZ4095" s="34">
        <v>-3.5</v>
      </c>
      <c r="ECA4095" s="34">
        <v>-3</v>
      </c>
      <c r="ECB4095" s="34">
        <v>-2.5</v>
      </c>
      <c r="ECC4095" s="34">
        <v>-2</v>
      </c>
      <c r="ECD4095" s="34">
        <v>-1.5</v>
      </c>
      <c r="ECE4095" s="34">
        <v>-1</v>
      </c>
      <c r="ECF4095" s="34">
        <v>-0.5</v>
      </c>
      <c r="ECG4095" s="34">
        <v>0</v>
      </c>
      <c r="ECH4095" s="34">
        <v>0.5</v>
      </c>
      <c r="ECI4095" s="34">
        <v>1</v>
      </c>
      <c r="ECJ4095" s="34">
        <v>1.5</v>
      </c>
      <c r="ECK4095" s="34">
        <v>2</v>
      </c>
      <c r="ECL4095" s="34">
        <v>2.5</v>
      </c>
      <c r="ECM4095" s="34">
        <v>3</v>
      </c>
      <c r="ECN4095" s="34">
        <v>3.5</v>
      </c>
      <c r="ECO4095" s="34">
        <v>4</v>
      </c>
      <c r="ECP4095" s="34">
        <v>4.5</v>
      </c>
      <c r="ECQ4095" s="34">
        <v>5</v>
      </c>
      <c r="ECS4095" s="913"/>
      <c r="ECT4095" s="31">
        <v>1</v>
      </c>
      <c r="ECU4095" s="34">
        <v>0</v>
      </c>
      <c r="ECV4095" s="34">
        <v>-1</v>
      </c>
      <c r="ECW4095" s="34">
        <v>-2</v>
      </c>
      <c r="ECX4095" s="34">
        <v>-3</v>
      </c>
      <c r="ECY4095" s="34">
        <v>-4</v>
      </c>
      <c r="ECZ4095" s="34">
        <v>-5</v>
      </c>
      <c r="EDA4095" s="908"/>
      <c r="EDB4095" s="909"/>
      <c r="EDC4095" s="34">
        <v>-5</v>
      </c>
      <c r="EDD4095" s="34">
        <v>-4.5</v>
      </c>
      <c r="EDE4095" s="34">
        <v>-4</v>
      </c>
      <c r="EDF4095" s="34">
        <v>-3.5</v>
      </c>
      <c r="EDG4095" s="34">
        <v>-3</v>
      </c>
      <c r="EDH4095" s="34">
        <v>-2.5</v>
      </c>
      <c r="EDI4095" s="34">
        <v>-2</v>
      </c>
      <c r="EDJ4095" s="34">
        <v>-1.5</v>
      </c>
      <c r="EDK4095" s="34">
        <v>-1</v>
      </c>
      <c r="EDL4095" s="34">
        <v>-0.5</v>
      </c>
      <c r="EDM4095" s="34">
        <v>0</v>
      </c>
      <c r="EDN4095" s="34">
        <v>0.5</v>
      </c>
      <c r="EDO4095" s="34">
        <v>1</v>
      </c>
      <c r="EDP4095" s="34">
        <v>1.5</v>
      </c>
      <c r="EDQ4095" s="34">
        <v>2</v>
      </c>
      <c r="EDR4095" s="34">
        <v>2.5</v>
      </c>
      <c r="EDS4095" s="34">
        <v>3</v>
      </c>
      <c r="EDT4095" s="34">
        <v>3.5</v>
      </c>
      <c r="EDU4095" s="34">
        <v>4</v>
      </c>
      <c r="EDV4095" s="34">
        <v>4.5</v>
      </c>
      <c r="EDW4095" s="34">
        <v>5</v>
      </c>
      <c r="EDY4095" s="913"/>
      <c r="EDZ4095" s="31">
        <v>1</v>
      </c>
      <c r="EEA4095" s="34">
        <v>0</v>
      </c>
      <c r="EEB4095" s="34">
        <v>-1</v>
      </c>
      <c r="EEC4095" s="34">
        <v>-2</v>
      </c>
      <c r="EED4095" s="34">
        <v>-3</v>
      </c>
      <c r="EEE4095" s="34">
        <v>-4</v>
      </c>
      <c r="EEF4095" s="34">
        <v>-5</v>
      </c>
      <c r="EEG4095" s="908"/>
      <c r="EEH4095" s="909"/>
      <c r="EEI4095" s="34">
        <v>-5</v>
      </c>
      <c r="EEJ4095" s="34">
        <v>-4.5</v>
      </c>
      <c r="EEK4095" s="34">
        <v>-4</v>
      </c>
      <c r="EEL4095" s="34">
        <v>-3.5</v>
      </c>
      <c r="EEM4095" s="34">
        <v>-3</v>
      </c>
      <c r="EEN4095" s="34">
        <v>-2.5</v>
      </c>
      <c r="EEO4095" s="34">
        <v>-2</v>
      </c>
      <c r="EEP4095" s="34">
        <v>-1.5</v>
      </c>
      <c r="EEQ4095" s="34">
        <v>-1</v>
      </c>
      <c r="EER4095" s="34">
        <v>-0.5</v>
      </c>
      <c r="EES4095" s="34">
        <v>0</v>
      </c>
      <c r="EET4095" s="34">
        <v>0.5</v>
      </c>
      <c r="EEU4095" s="34">
        <v>1</v>
      </c>
      <c r="EEV4095" s="34">
        <v>1.5</v>
      </c>
      <c r="EEW4095" s="34">
        <v>2</v>
      </c>
      <c r="EEX4095" s="34">
        <v>2.5</v>
      </c>
      <c r="EEY4095" s="34">
        <v>3</v>
      </c>
      <c r="EEZ4095" s="34">
        <v>3.5</v>
      </c>
      <c r="EFA4095" s="34">
        <v>4</v>
      </c>
      <c r="EFB4095" s="34">
        <v>4.5</v>
      </c>
      <c r="EFC4095" s="34">
        <v>5</v>
      </c>
      <c r="EFE4095" s="913"/>
      <c r="EFF4095" s="31">
        <v>1</v>
      </c>
      <c r="EFG4095" s="34">
        <v>0</v>
      </c>
      <c r="EFH4095" s="34">
        <v>-1</v>
      </c>
      <c r="EFI4095" s="34">
        <v>-2</v>
      </c>
      <c r="EFJ4095" s="34">
        <v>-3</v>
      </c>
      <c r="EFK4095" s="34">
        <v>-4</v>
      </c>
      <c r="EFL4095" s="34">
        <v>-5</v>
      </c>
      <c r="EFM4095" s="908"/>
      <c r="EFN4095" s="909"/>
      <c r="EFO4095" s="34">
        <v>-5</v>
      </c>
      <c r="EFP4095" s="34">
        <v>-4.5</v>
      </c>
      <c r="EFQ4095" s="34">
        <v>-4</v>
      </c>
      <c r="EFR4095" s="34">
        <v>-3.5</v>
      </c>
      <c r="EFS4095" s="34">
        <v>-3</v>
      </c>
      <c r="EFT4095" s="34">
        <v>-2.5</v>
      </c>
      <c r="EFU4095" s="34">
        <v>-2</v>
      </c>
      <c r="EFV4095" s="34">
        <v>-1.5</v>
      </c>
      <c r="EFW4095" s="34">
        <v>-1</v>
      </c>
      <c r="EFX4095" s="34">
        <v>-0.5</v>
      </c>
      <c r="EFY4095" s="34">
        <v>0</v>
      </c>
      <c r="EFZ4095" s="34">
        <v>0.5</v>
      </c>
      <c r="EGA4095" s="34">
        <v>1</v>
      </c>
      <c r="EGB4095" s="34">
        <v>1.5</v>
      </c>
      <c r="EGC4095" s="34">
        <v>2</v>
      </c>
      <c r="EGD4095" s="34">
        <v>2.5</v>
      </c>
      <c r="EGE4095" s="34">
        <v>3</v>
      </c>
      <c r="EGF4095" s="34">
        <v>3.5</v>
      </c>
      <c r="EGG4095" s="34">
        <v>4</v>
      </c>
      <c r="EGH4095" s="34">
        <v>4.5</v>
      </c>
      <c r="EGI4095" s="34">
        <v>5</v>
      </c>
      <c r="EGK4095" s="913"/>
      <c r="EGL4095" s="31">
        <v>1</v>
      </c>
      <c r="EGM4095" s="34">
        <v>0</v>
      </c>
      <c r="EGN4095" s="34">
        <v>-1</v>
      </c>
      <c r="EGO4095" s="34">
        <v>-2</v>
      </c>
      <c r="EGP4095" s="34">
        <v>-3</v>
      </c>
      <c r="EGQ4095" s="34">
        <v>-4</v>
      </c>
      <c r="EGR4095" s="34">
        <v>-5</v>
      </c>
      <c r="EGS4095" s="908"/>
      <c r="EGT4095" s="909"/>
      <c r="EGU4095" s="34">
        <v>-5</v>
      </c>
      <c r="EGV4095" s="34">
        <v>-4.5</v>
      </c>
      <c r="EGW4095" s="34">
        <v>-4</v>
      </c>
      <c r="EGX4095" s="34">
        <v>-3.5</v>
      </c>
      <c r="EGY4095" s="34">
        <v>-3</v>
      </c>
      <c r="EGZ4095" s="34">
        <v>-2.5</v>
      </c>
      <c r="EHA4095" s="34">
        <v>-2</v>
      </c>
      <c r="EHB4095" s="34">
        <v>-1.5</v>
      </c>
      <c r="EHC4095" s="34">
        <v>-1</v>
      </c>
      <c r="EHD4095" s="34">
        <v>-0.5</v>
      </c>
      <c r="EHE4095" s="34">
        <v>0</v>
      </c>
      <c r="EHF4095" s="34">
        <v>0.5</v>
      </c>
      <c r="EHG4095" s="34">
        <v>1</v>
      </c>
      <c r="EHH4095" s="34">
        <v>1.5</v>
      </c>
      <c r="EHI4095" s="34">
        <v>2</v>
      </c>
      <c r="EHJ4095" s="34">
        <v>2.5</v>
      </c>
      <c r="EHK4095" s="34">
        <v>3</v>
      </c>
      <c r="EHL4095" s="34">
        <v>3.5</v>
      </c>
      <c r="EHM4095" s="34">
        <v>4</v>
      </c>
      <c r="EHN4095" s="34">
        <v>4.5</v>
      </c>
      <c r="EHO4095" s="34">
        <v>5</v>
      </c>
      <c r="EHQ4095" s="913"/>
      <c r="EHR4095" s="31">
        <v>1</v>
      </c>
      <c r="EHS4095" s="34">
        <v>0</v>
      </c>
      <c r="EHT4095" s="34">
        <v>-1</v>
      </c>
      <c r="EHU4095" s="34">
        <v>-2</v>
      </c>
      <c r="EHV4095" s="34">
        <v>-3</v>
      </c>
      <c r="EHW4095" s="34">
        <v>-4</v>
      </c>
      <c r="EHX4095" s="34">
        <v>-5</v>
      </c>
      <c r="EHY4095" s="908"/>
      <c r="EHZ4095" s="909"/>
      <c r="EIA4095" s="34">
        <v>-5</v>
      </c>
      <c r="EIB4095" s="34">
        <v>-4.5</v>
      </c>
      <c r="EIC4095" s="34">
        <v>-4</v>
      </c>
      <c r="EID4095" s="34">
        <v>-3.5</v>
      </c>
      <c r="EIE4095" s="34">
        <v>-3</v>
      </c>
      <c r="EIF4095" s="34">
        <v>-2.5</v>
      </c>
      <c r="EIG4095" s="34">
        <v>-2</v>
      </c>
      <c r="EIH4095" s="34">
        <v>-1.5</v>
      </c>
      <c r="EII4095" s="34">
        <v>-1</v>
      </c>
      <c r="EIJ4095" s="34">
        <v>-0.5</v>
      </c>
      <c r="EIK4095" s="34">
        <v>0</v>
      </c>
      <c r="EIL4095" s="34">
        <v>0.5</v>
      </c>
      <c r="EIM4095" s="34">
        <v>1</v>
      </c>
      <c r="EIN4095" s="34">
        <v>1.5</v>
      </c>
      <c r="EIO4095" s="34">
        <v>2</v>
      </c>
      <c r="EIP4095" s="34">
        <v>2.5</v>
      </c>
      <c r="EIQ4095" s="34">
        <v>3</v>
      </c>
      <c r="EIR4095" s="34">
        <v>3.5</v>
      </c>
      <c r="EIS4095" s="34">
        <v>4</v>
      </c>
      <c r="EIT4095" s="34">
        <v>4.5</v>
      </c>
      <c r="EIU4095" s="34">
        <v>5</v>
      </c>
      <c r="EIW4095" s="913"/>
      <c r="EIX4095" s="31">
        <v>1</v>
      </c>
      <c r="EIY4095" s="34">
        <v>0</v>
      </c>
      <c r="EIZ4095" s="34">
        <v>-1</v>
      </c>
      <c r="EJA4095" s="34">
        <v>-2</v>
      </c>
      <c r="EJB4095" s="34">
        <v>-3</v>
      </c>
      <c r="EJC4095" s="34">
        <v>-4</v>
      </c>
      <c r="EJD4095" s="34">
        <v>-5</v>
      </c>
      <c r="EJE4095" s="908"/>
      <c r="EJF4095" s="909"/>
      <c r="EJG4095" s="34">
        <v>-5</v>
      </c>
      <c r="EJH4095" s="34">
        <v>-4.5</v>
      </c>
      <c r="EJI4095" s="34">
        <v>-4</v>
      </c>
      <c r="EJJ4095" s="34">
        <v>-3.5</v>
      </c>
      <c r="EJK4095" s="34">
        <v>-3</v>
      </c>
      <c r="EJL4095" s="34">
        <v>-2.5</v>
      </c>
      <c r="EJM4095" s="34">
        <v>-2</v>
      </c>
      <c r="EJN4095" s="34">
        <v>-1.5</v>
      </c>
      <c r="EJO4095" s="34">
        <v>-1</v>
      </c>
      <c r="EJP4095" s="34">
        <v>-0.5</v>
      </c>
      <c r="EJQ4095" s="34">
        <v>0</v>
      </c>
      <c r="EJR4095" s="34">
        <v>0.5</v>
      </c>
      <c r="EJS4095" s="34">
        <v>1</v>
      </c>
      <c r="EJT4095" s="34">
        <v>1.5</v>
      </c>
      <c r="EJU4095" s="34">
        <v>2</v>
      </c>
      <c r="EJV4095" s="34">
        <v>2.5</v>
      </c>
      <c r="EJW4095" s="34">
        <v>3</v>
      </c>
      <c r="EJX4095" s="34">
        <v>3.5</v>
      </c>
      <c r="EJY4095" s="34">
        <v>4</v>
      </c>
      <c r="EJZ4095" s="34">
        <v>4.5</v>
      </c>
      <c r="EKA4095" s="34">
        <v>5</v>
      </c>
      <c r="EKC4095" s="913"/>
      <c r="EKD4095" s="31">
        <v>1</v>
      </c>
      <c r="EKE4095" s="34">
        <v>0</v>
      </c>
      <c r="EKF4095" s="34">
        <v>-1</v>
      </c>
      <c r="EKG4095" s="34">
        <v>-2</v>
      </c>
      <c r="EKH4095" s="34">
        <v>-3</v>
      </c>
      <c r="EKI4095" s="34">
        <v>-4</v>
      </c>
      <c r="EKJ4095" s="34">
        <v>-5</v>
      </c>
      <c r="EKK4095" s="908"/>
      <c r="EKL4095" s="909"/>
      <c r="EKM4095" s="34">
        <v>-5</v>
      </c>
      <c r="EKN4095" s="34">
        <v>-4.5</v>
      </c>
      <c r="EKO4095" s="34">
        <v>-4</v>
      </c>
      <c r="EKP4095" s="34">
        <v>-3.5</v>
      </c>
      <c r="EKQ4095" s="34">
        <v>-3</v>
      </c>
      <c r="EKR4095" s="34">
        <v>-2.5</v>
      </c>
      <c r="EKS4095" s="34">
        <v>-2</v>
      </c>
      <c r="EKT4095" s="34">
        <v>-1.5</v>
      </c>
      <c r="EKU4095" s="34">
        <v>-1</v>
      </c>
      <c r="EKV4095" s="34">
        <v>-0.5</v>
      </c>
      <c r="EKW4095" s="34">
        <v>0</v>
      </c>
      <c r="EKX4095" s="34">
        <v>0.5</v>
      </c>
      <c r="EKY4095" s="34">
        <v>1</v>
      </c>
      <c r="EKZ4095" s="34">
        <v>1.5</v>
      </c>
      <c r="ELA4095" s="34">
        <v>2</v>
      </c>
      <c r="ELB4095" s="34">
        <v>2.5</v>
      </c>
      <c r="ELC4095" s="34">
        <v>3</v>
      </c>
      <c r="ELD4095" s="34">
        <v>3.5</v>
      </c>
      <c r="ELE4095" s="34">
        <v>4</v>
      </c>
      <c r="ELF4095" s="34">
        <v>4.5</v>
      </c>
      <c r="ELG4095" s="34">
        <v>5</v>
      </c>
      <c r="ELI4095" s="913"/>
      <c r="ELJ4095" s="31">
        <v>1</v>
      </c>
      <c r="ELK4095" s="34">
        <v>0</v>
      </c>
      <c r="ELL4095" s="34">
        <v>-1</v>
      </c>
      <c r="ELM4095" s="34">
        <v>-2</v>
      </c>
      <c r="ELN4095" s="34">
        <v>-3</v>
      </c>
      <c r="ELO4095" s="34">
        <v>-4</v>
      </c>
      <c r="ELP4095" s="34">
        <v>-5</v>
      </c>
      <c r="ELQ4095" s="908"/>
      <c r="ELR4095" s="909"/>
      <c r="ELS4095" s="34">
        <v>-5</v>
      </c>
      <c r="ELT4095" s="34">
        <v>-4.5</v>
      </c>
      <c r="ELU4095" s="34">
        <v>-4</v>
      </c>
      <c r="ELV4095" s="34">
        <v>-3.5</v>
      </c>
      <c r="ELW4095" s="34">
        <v>-3</v>
      </c>
      <c r="ELX4095" s="34">
        <v>-2.5</v>
      </c>
      <c r="ELY4095" s="34">
        <v>-2</v>
      </c>
      <c r="ELZ4095" s="34">
        <v>-1.5</v>
      </c>
      <c r="EMA4095" s="34">
        <v>-1</v>
      </c>
      <c r="EMB4095" s="34">
        <v>-0.5</v>
      </c>
      <c r="EMC4095" s="34">
        <v>0</v>
      </c>
      <c r="EMD4095" s="34">
        <v>0.5</v>
      </c>
      <c r="EME4095" s="34">
        <v>1</v>
      </c>
      <c r="EMF4095" s="34">
        <v>1.5</v>
      </c>
      <c r="EMG4095" s="34">
        <v>2</v>
      </c>
      <c r="EMH4095" s="34">
        <v>2.5</v>
      </c>
      <c r="EMI4095" s="34">
        <v>3</v>
      </c>
      <c r="EMJ4095" s="34">
        <v>3.5</v>
      </c>
      <c r="EMK4095" s="34">
        <v>4</v>
      </c>
      <c r="EML4095" s="34">
        <v>4.5</v>
      </c>
      <c r="EMM4095" s="34">
        <v>5</v>
      </c>
      <c r="EMO4095" s="913"/>
      <c r="EMP4095" s="31">
        <v>1</v>
      </c>
      <c r="EMQ4095" s="34">
        <v>0</v>
      </c>
      <c r="EMR4095" s="34">
        <v>-1</v>
      </c>
      <c r="EMS4095" s="34">
        <v>-2</v>
      </c>
      <c r="EMT4095" s="34">
        <v>-3</v>
      </c>
      <c r="EMU4095" s="34">
        <v>-4</v>
      </c>
      <c r="EMV4095" s="34">
        <v>-5</v>
      </c>
      <c r="EMW4095" s="908"/>
      <c r="EMX4095" s="909"/>
      <c r="EMY4095" s="34">
        <v>-5</v>
      </c>
      <c r="EMZ4095" s="34">
        <v>-4.5</v>
      </c>
      <c r="ENA4095" s="34">
        <v>-4</v>
      </c>
      <c r="ENB4095" s="34">
        <v>-3.5</v>
      </c>
      <c r="ENC4095" s="34">
        <v>-3</v>
      </c>
      <c r="END4095" s="34">
        <v>-2.5</v>
      </c>
      <c r="ENE4095" s="34">
        <v>-2</v>
      </c>
      <c r="ENF4095" s="34">
        <v>-1.5</v>
      </c>
      <c r="ENG4095" s="34">
        <v>-1</v>
      </c>
      <c r="ENH4095" s="34">
        <v>-0.5</v>
      </c>
      <c r="ENI4095" s="34">
        <v>0</v>
      </c>
      <c r="ENJ4095" s="34">
        <v>0.5</v>
      </c>
      <c r="ENK4095" s="34">
        <v>1</v>
      </c>
      <c r="ENL4095" s="34">
        <v>1.5</v>
      </c>
      <c r="ENM4095" s="34">
        <v>2</v>
      </c>
      <c r="ENN4095" s="34">
        <v>2.5</v>
      </c>
      <c r="ENO4095" s="34">
        <v>3</v>
      </c>
      <c r="ENP4095" s="34">
        <v>3.5</v>
      </c>
      <c r="ENQ4095" s="34">
        <v>4</v>
      </c>
      <c r="ENR4095" s="34">
        <v>4.5</v>
      </c>
      <c r="ENS4095" s="34">
        <v>5</v>
      </c>
      <c r="ENU4095" s="913"/>
      <c r="ENV4095" s="31">
        <v>1</v>
      </c>
      <c r="ENW4095" s="34">
        <v>0</v>
      </c>
      <c r="ENX4095" s="34">
        <v>-1</v>
      </c>
      <c r="ENY4095" s="34">
        <v>-2</v>
      </c>
      <c r="ENZ4095" s="34">
        <v>-3</v>
      </c>
      <c r="EOA4095" s="34">
        <v>-4</v>
      </c>
      <c r="EOB4095" s="34">
        <v>-5</v>
      </c>
      <c r="EOC4095" s="908"/>
      <c r="EOD4095" s="909"/>
      <c r="EOE4095" s="34">
        <v>-5</v>
      </c>
      <c r="EOF4095" s="34">
        <v>-4.5</v>
      </c>
      <c r="EOG4095" s="34">
        <v>-4</v>
      </c>
      <c r="EOH4095" s="34">
        <v>-3.5</v>
      </c>
      <c r="EOI4095" s="34">
        <v>-3</v>
      </c>
      <c r="EOJ4095" s="34">
        <v>-2.5</v>
      </c>
      <c r="EOK4095" s="34">
        <v>-2</v>
      </c>
      <c r="EOL4095" s="34">
        <v>-1.5</v>
      </c>
      <c r="EOM4095" s="34">
        <v>-1</v>
      </c>
      <c r="EON4095" s="34">
        <v>-0.5</v>
      </c>
      <c r="EOO4095" s="34">
        <v>0</v>
      </c>
      <c r="EOP4095" s="34">
        <v>0.5</v>
      </c>
      <c r="EOQ4095" s="34">
        <v>1</v>
      </c>
      <c r="EOR4095" s="34">
        <v>1.5</v>
      </c>
      <c r="EOS4095" s="34">
        <v>2</v>
      </c>
      <c r="EOT4095" s="34">
        <v>2.5</v>
      </c>
      <c r="EOU4095" s="34">
        <v>3</v>
      </c>
      <c r="EOV4095" s="34">
        <v>3.5</v>
      </c>
      <c r="EOW4095" s="34">
        <v>4</v>
      </c>
      <c r="EOX4095" s="34">
        <v>4.5</v>
      </c>
      <c r="EOY4095" s="34">
        <v>5</v>
      </c>
      <c r="EPA4095" s="913"/>
      <c r="EPB4095" s="31">
        <v>1</v>
      </c>
      <c r="EPC4095" s="34">
        <v>0</v>
      </c>
      <c r="EPD4095" s="34">
        <v>-1</v>
      </c>
      <c r="EPE4095" s="34">
        <v>-2</v>
      </c>
      <c r="EPF4095" s="34">
        <v>-3</v>
      </c>
      <c r="EPG4095" s="34">
        <v>-4</v>
      </c>
      <c r="EPH4095" s="34">
        <v>-5</v>
      </c>
      <c r="EPI4095" s="908"/>
      <c r="EPJ4095" s="909"/>
      <c r="EPK4095" s="34">
        <v>-5</v>
      </c>
      <c r="EPL4095" s="34">
        <v>-4.5</v>
      </c>
      <c r="EPM4095" s="34">
        <v>-4</v>
      </c>
      <c r="EPN4095" s="34">
        <v>-3.5</v>
      </c>
      <c r="EPO4095" s="34">
        <v>-3</v>
      </c>
      <c r="EPP4095" s="34">
        <v>-2.5</v>
      </c>
      <c r="EPQ4095" s="34">
        <v>-2</v>
      </c>
      <c r="EPR4095" s="34">
        <v>-1.5</v>
      </c>
      <c r="EPS4095" s="34">
        <v>-1</v>
      </c>
      <c r="EPT4095" s="34">
        <v>-0.5</v>
      </c>
      <c r="EPU4095" s="34">
        <v>0</v>
      </c>
      <c r="EPV4095" s="34">
        <v>0.5</v>
      </c>
      <c r="EPW4095" s="34">
        <v>1</v>
      </c>
      <c r="EPX4095" s="34">
        <v>1.5</v>
      </c>
      <c r="EPY4095" s="34">
        <v>2</v>
      </c>
      <c r="EPZ4095" s="34">
        <v>2.5</v>
      </c>
      <c r="EQA4095" s="34">
        <v>3</v>
      </c>
      <c r="EQB4095" s="34">
        <v>3.5</v>
      </c>
      <c r="EQC4095" s="34">
        <v>4</v>
      </c>
      <c r="EQD4095" s="34">
        <v>4.5</v>
      </c>
      <c r="EQE4095" s="34">
        <v>5</v>
      </c>
      <c r="EQG4095" s="913"/>
      <c r="EQH4095" s="31">
        <v>1</v>
      </c>
      <c r="EQI4095" s="34">
        <v>0</v>
      </c>
      <c r="EQJ4095" s="34">
        <v>-1</v>
      </c>
      <c r="EQK4095" s="34">
        <v>-2</v>
      </c>
      <c r="EQL4095" s="34">
        <v>-3</v>
      </c>
      <c r="EQM4095" s="34">
        <v>-4</v>
      </c>
      <c r="EQN4095" s="34">
        <v>-5</v>
      </c>
      <c r="EQO4095" s="908"/>
      <c r="EQP4095" s="909"/>
      <c r="EQQ4095" s="34">
        <v>-5</v>
      </c>
      <c r="EQR4095" s="34">
        <v>-4.5</v>
      </c>
      <c r="EQS4095" s="34">
        <v>-4</v>
      </c>
      <c r="EQT4095" s="34">
        <v>-3.5</v>
      </c>
      <c r="EQU4095" s="34">
        <v>-3</v>
      </c>
      <c r="EQV4095" s="34">
        <v>-2.5</v>
      </c>
      <c r="EQW4095" s="34">
        <v>-2</v>
      </c>
      <c r="EQX4095" s="34">
        <v>-1.5</v>
      </c>
      <c r="EQY4095" s="34">
        <v>-1</v>
      </c>
      <c r="EQZ4095" s="34">
        <v>-0.5</v>
      </c>
      <c r="ERA4095" s="34">
        <v>0</v>
      </c>
      <c r="ERB4095" s="34">
        <v>0.5</v>
      </c>
      <c r="ERC4095" s="34">
        <v>1</v>
      </c>
      <c r="ERD4095" s="34">
        <v>1.5</v>
      </c>
      <c r="ERE4095" s="34">
        <v>2</v>
      </c>
      <c r="ERF4095" s="34">
        <v>2.5</v>
      </c>
      <c r="ERG4095" s="34">
        <v>3</v>
      </c>
      <c r="ERH4095" s="34">
        <v>3.5</v>
      </c>
      <c r="ERI4095" s="34">
        <v>4</v>
      </c>
      <c r="ERJ4095" s="34">
        <v>4.5</v>
      </c>
      <c r="ERK4095" s="34">
        <v>5</v>
      </c>
      <c r="ERM4095" s="913"/>
      <c r="ERN4095" s="31">
        <v>1</v>
      </c>
      <c r="ERO4095" s="34">
        <v>0</v>
      </c>
      <c r="ERP4095" s="34">
        <v>-1</v>
      </c>
      <c r="ERQ4095" s="34">
        <v>-2</v>
      </c>
      <c r="ERR4095" s="34">
        <v>-3</v>
      </c>
      <c r="ERS4095" s="34">
        <v>-4</v>
      </c>
      <c r="ERT4095" s="34">
        <v>-5</v>
      </c>
      <c r="ERU4095" s="908"/>
      <c r="ERV4095" s="909"/>
      <c r="ERW4095" s="34">
        <v>-5</v>
      </c>
      <c r="ERX4095" s="34">
        <v>-4.5</v>
      </c>
      <c r="ERY4095" s="34">
        <v>-4</v>
      </c>
      <c r="ERZ4095" s="34">
        <v>-3.5</v>
      </c>
      <c r="ESA4095" s="34">
        <v>-3</v>
      </c>
      <c r="ESB4095" s="34">
        <v>-2.5</v>
      </c>
      <c r="ESC4095" s="34">
        <v>-2</v>
      </c>
      <c r="ESD4095" s="34">
        <v>-1.5</v>
      </c>
      <c r="ESE4095" s="34">
        <v>-1</v>
      </c>
      <c r="ESF4095" s="34">
        <v>-0.5</v>
      </c>
      <c r="ESG4095" s="34">
        <v>0</v>
      </c>
      <c r="ESH4095" s="34">
        <v>0.5</v>
      </c>
      <c r="ESI4095" s="34">
        <v>1</v>
      </c>
      <c r="ESJ4095" s="34">
        <v>1.5</v>
      </c>
      <c r="ESK4095" s="34">
        <v>2</v>
      </c>
      <c r="ESL4095" s="34">
        <v>2.5</v>
      </c>
      <c r="ESM4095" s="34">
        <v>3</v>
      </c>
      <c r="ESN4095" s="34">
        <v>3.5</v>
      </c>
      <c r="ESO4095" s="34">
        <v>4</v>
      </c>
      <c r="ESP4095" s="34">
        <v>4.5</v>
      </c>
      <c r="ESQ4095" s="34">
        <v>5</v>
      </c>
      <c r="ESS4095" s="913"/>
      <c r="EST4095" s="31">
        <v>1</v>
      </c>
      <c r="ESU4095" s="34">
        <v>0</v>
      </c>
      <c r="ESV4095" s="34">
        <v>-1</v>
      </c>
      <c r="ESW4095" s="34">
        <v>-2</v>
      </c>
      <c r="ESX4095" s="34">
        <v>-3</v>
      </c>
      <c r="ESY4095" s="34">
        <v>-4</v>
      </c>
      <c r="ESZ4095" s="34">
        <v>-5</v>
      </c>
      <c r="ETA4095" s="908"/>
      <c r="ETB4095" s="909"/>
      <c r="ETC4095" s="34">
        <v>-5</v>
      </c>
      <c r="ETD4095" s="34">
        <v>-4.5</v>
      </c>
      <c r="ETE4095" s="34">
        <v>-4</v>
      </c>
      <c r="ETF4095" s="34">
        <v>-3.5</v>
      </c>
      <c r="ETG4095" s="34">
        <v>-3</v>
      </c>
      <c r="ETH4095" s="34">
        <v>-2.5</v>
      </c>
      <c r="ETI4095" s="34">
        <v>-2</v>
      </c>
      <c r="ETJ4095" s="34">
        <v>-1.5</v>
      </c>
      <c r="ETK4095" s="34">
        <v>-1</v>
      </c>
      <c r="ETL4095" s="34">
        <v>-0.5</v>
      </c>
      <c r="ETM4095" s="34">
        <v>0</v>
      </c>
      <c r="ETN4095" s="34">
        <v>0.5</v>
      </c>
      <c r="ETO4095" s="34">
        <v>1</v>
      </c>
      <c r="ETP4095" s="34">
        <v>1.5</v>
      </c>
      <c r="ETQ4095" s="34">
        <v>2</v>
      </c>
      <c r="ETR4095" s="34">
        <v>2.5</v>
      </c>
      <c r="ETS4095" s="34">
        <v>3</v>
      </c>
      <c r="ETT4095" s="34">
        <v>3.5</v>
      </c>
      <c r="ETU4095" s="34">
        <v>4</v>
      </c>
      <c r="ETV4095" s="34">
        <v>4.5</v>
      </c>
      <c r="ETW4095" s="34">
        <v>5</v>
      </c>
      <c r="ETY4095" s="913"/>
      <c r="ETZ4095" s="31">
        <v>1</v>
      </c>
      <c r="EUA4095" s="34">
        <v>0</v>
      </c>
      <c r="EUB4095" s="34">
        <v>-1</v>
      </c>
      <c r="EUC4095" s="34">
        <v>-2</v>
      </c>
      <c r="EUD4095" s="34">
        <v>-3</v>
      </c>
      <c r="EUE4095" s="34">
        <v>-4</v>
      </c>
      <c r="EUF4095" s="34">
        <v>-5</v>
      </c>
      <c r="EUG4095" s="908"/>
      <c r="EUH4095" s="909"/>
      <c r="EUI4095" s="34">
        <v>-5</v>
      </c>
      <c r="EUJ4095" s="34">
        <v>-4.5</v>
      </c>
      <c r="EUK4095" s="34">
        <v>-4</v>
      </c>
      <c r="EUL4095" s="34">
        <v>-3.5</v>
      </c>
      <c r="EUM4095" s="34">
        <v>-3</v>
      </c>
      <c r="EUN4095" s="34">
        <v>-2.5</v>
      </c>
      <c r="EUO4095" s="34">
        <v>-2</v>
      </c>
      <c r="EUP4095" s="34">
        <v>-1.5</v>
      </c>
      <c r="EUQ4095" s="34">
        <v>-1</v>
      </c>
      <c r="EUR4095" s="34">
        <v>-0.5</v>
      </c>
      <c r="EUS4095" s="34">
        <v>0</v>
      </c>
      <c r="EUT4095" s="34">
        <v>0.5</v>
      </c>
      <c r="EUU4095" s="34">
        <v>1</v>
      </c>
      <c r="EUV4095" s="34">
        <v>1.5</v>
      </c>
      <c r="EUW4095" s="34">
        <v>2</v>
      </c>
      <c r="EUX4095" s="34">
        <v>2.5</v>
      </c>
      <c r="EUY4095" s="34">
        <v>3</v>
      </c>
      <c r="EUZ4095" s="34">
        <v>3.5</v>
      </c>
      <c r="EVA4095" s="34">
        <v>4</v>
      </c>
      <c r="EVB4095" s="34">
        <v>4.5</v>
      </c>
      <c r="EVC4095" s="34">
        <v>5</v>
      </c>
      <c r="EVE4095" s="913"/>
      <c r="EVF4095" s="31">
        <v>1</v>
      </c>
      <c r="EVG4095" s="34">
        <v>0</v>
      </c>
      <c r="EVH4095" s="34">
        <v>-1</v>
      </c>
      <c r="EVI4095" s="34">
        <v>-2</v>
      </c>
      <c r="EVJ4095" s="34">
        <v>-3</v>
      </c>
      <c r="EVK4095" s="34">
        <v>-4</v>
      </c>
      <c r="EVL4095" s="34">
        <v>-5</v>
      </c>
      <c r="EVM4095" s="908"/>
      <c r="EVN4095" s="909"/>
      <c r="EVO4095" s="34">
        <v>-5</v>
      </c>
      <c r="EVP4095" s="34">
        <v>-4.5</v>
      </c>
      <c r="EVQ4095" s="34">
        <v>-4</v>
      </c>
      <c r="EVR4095" s="34">
        <v>-3.5</v>
      </c>
      <c r="EVS4095" s="34">
        <v>-3</v>
      </c>
      <c r="EVT4095" s="34">
        <v>-2.5</v>
      </c>
      <c r="EVU4095" s="34">
        <v>-2</v>
      </c>
      <c r="EVV4095" s="34">
        <v>-1.5</v>
      </c>
      <c r="EVW4095" s="34">
        <v>-1</v>
      </c>
      <c r="EVX4095" s="34">
        <v>-0.5</v>
      </c>
      <c r="EVY4095" s="34">
        <v>0</v>
      </c>
      <c r="EVZ4095" s="34">
        <v>0.5</v>
      </c>
      <c r="EWA4095" s="34">
        <v>1</v>
      </c>
      <c r="EWB4095" s="34">
        <v>1.5</v>
      </c>
      <c r="EWC4095" s="34">
        <v>2</v>
      </c>
      <c r="EWD4095" s="34">
        <v>2.5</v>
      </c>
      <c r="EWE4095" s="34">
        <v>3</v>
      </c>
      <c r="EWF4095" s="34">
        <v>3.5</v>
      </c>
      <c r="EWG4095" s="34">
        <v>4</v>
      </c>
      <c r="EWH4095" s="34">
        <v>4.5</v>
      </c>
      <c r="EWI4095" s="34">
        <v>5</v>
      </c>
      <c r="EWK4095" s="913"/>
      <c r="EWL4095" s="31">
        <v>1</v>
      </c>
      <c r="EWM4095" s="34">
        <v>0</v>
      </c>
      <c r="EWN4095" s="34">
        <v>-1</v>
      </c>
      <c r="EWO4095" s="34">
        <v>-2</v>
      </c>
      <c r="EWP4095" s="34">
        <v>-3</v>
      </c>
      <c r="EWQ4095" s="34">
        <v>-4</v>
      </c>
      <c r="EWR4095" s="34">
        <v>-5</v>
      </c>
      <c r="EWS4095" s="908"/>
      <c r="EWT4095" s="909"/>
      <c r="EWU4095" s="34">
        <v>-5</v>
      </c>
      <c r="EWV4095" s="34">
        <v>-4.5</v>
      </c>
      <c r="EWW4095" s="34">
        <v>-4</v>
      </c>
      <c r="EWX4095" s="34">
        <v>-3.5</v>
      </c>
      <c r="EWY4095" s="34">
        <v>-3</v>
      </c>
      <c r="EWZ4095" s="34">
        <v>-2.5</v>
      </c>
      <c r="EXA4095" s="34">
        <v>-2</v>
      </c>
      <c r="EXB4095" s="34">
        <v>-1.5</v>
      </c>
      <c r="EXC4095" s="34">
        <v>-1</v>
      </c>
      <c r="EXD4095" s="34">
        <v>-0.5</v>
      </c>
      <c r="EXE4095" s="34">
        <v>0</v>
      </c>
      <c r="EXF4095" s="34">
        <v>0.5</v>
      </c>
      <c r="EXG4095" s="34">
        <v>1</v>
      </c>
      <c r="EXH4095" s="34">
        <v>1.5</v>
      </c>
      <c r="EXI4095" s="34">
        <v>2</v>
      </c>
      <c r="EXJ4095" s="34">
        <v>2.5</v>
      </c>
      <c r="EXK4095" s="34">
        <v>3</v>
      </c>
      <c r="EXL4095" s="34">
        <v>3.5</v>
      </c>
      <c r="EXM4095" s="34">
        <v>4</v>
      </c>
      <c r="EXN4095" s="34">
        <v>4.5</v>
      </c>
      <c r="EXO4095" s="34">
        <v>5</v>
      </c>
      <c r="EXQ4095" s="913"/>
      <c r="EXR4095" s="31">
        <v>1</v>
      </c>
      <c r="EXS4095" s="34">
        <v>0</v>
      </c>
      <c r="EXT4095" s="34">
        <v>-1</v>
      </c>
      <c r="EXU4095" s="34">
        <v>-2</v>
      </c>
      <c r="EXV4095" s="34">
        <v>-3</v>
      </c>
      <c r="EXW4095" s="34">
        <v>-4</v>
      </c>
      <c r="EXX4095" s="34">
        <v>-5</v>
      </c>
      <c r="EXY4095" s="908"/>
      <c r="EXZ4095" s="909"/>
      <c r="EYA4095" s="34">
        <v>-5</v>
      </c>
      <c r="EYB4095" s="34">
        <v>-4.5</v>
      </c>
      <c r="EYC4095" s="34">
        <v>-4</v>
      </c>
      <c r="EYD4095" s="34">
        <v>-3.5</v>
      </c>
      <c r="EYE4095" s="34">
        <v>-3</v>
      </c>
      <c r="EYF4095" s="34">
        <v>-2.5</v>
      </c>
      <c r="EYG4095" s="34">
        <v>-2</v>
      </c>
      <c r="EYH4095" s="34">
        <v>-1.5</v>
      </c>
      <c r="EYI4095" s="34">
        <v>-1</v>
      </c>
      <c r="EYJ4095" s="34">
        <v>-0.5</v>
      </c>
      <c r="EYK4095" s="34">
        <v>0</v>
      </c>
      <c r="EYL4095" s="34">
        <v>0.5</v>
      </c>
      <c r="EYM4095" s="34">
        <v>1</v>
      </c>
      <c r="EYN4095" s="34">
        <v>1.5</v>
      </c>
      <c r="EYO4095" s="34">
        <v>2</v>
      </c>
      <c r="EYP4095" s="34">
        <v>2.5</v>
      </c>
      <c r="EYQ4095" s="34">
        <v>3</v>
      </c>
      <c r="EYR4095" s="34">
        <v>3.5</v>
      </c>
      <c r="EYS4095" s="34">
        <v>4</v>
      </c>
      <c r="EYT4095" s="34">
        <v>4.5</v>
      </c>
      <c r="EYU4095" s="34">
        <v>5</v>
      </c>
      <c r="EYW4095" s="913"/>
      <c r="EYX4095" s="31">
        <v>1</v>
      </c>
      <c r="EYY4095" s="34">
        <v>0</v>
      </c>
      <c r="EYZ4095" s="34">
        <v>-1</v>
      </c>
      <c r="EZA4095" s="34">
        <v>-2</v>
      </c>
      <c r="EZB4095" s="34">
        <v>-3</v>
      </c>
      <c r="EZC4095" s="34">
        <v>-4</v>
      </c>
      <c r="EZD4095" s="34">
        <v>-5</v>
      </c>
      <c r="EZE4095" s="908"/>
      <c r="EZF4095" s="909"/>
      <c r="EZG4095" s="34">
        <v>-5</v>
      </c>
      <c r="EZH4095" s="34">
        <v>-4.5</v>
      </c>
      <c r="EZI4095" s="34">
        <v>-4</v>
      </c>
      <c r="EZJ4095" s="34">
        <v>-3.5</v>
      </c>
      <c r="EZK4095" s="34">
        <v>-3</v>
      </c>
      <c r="EZL4095" s="34">
        <v>-2.5</v>
      </c>
      <c r="EZM4095" s="34">
        <v>-2</v>
      </c>
      <c r="EZN4095" s="34">
        <v>-1.5</v>
      </c>
      <c r="EZO4095" s="34">
        <v>-1</v>
      </c>
      <c r="EZP4095" s="34">
        <v>-0.5</v>
      </c>
      <c r="EZQ4095" s="34">
        <v>0</v>
      </c>
      <c r="EZR4095" s="34">
        <v>0.5</v>
      </c>
      <c r="EZS4095" s="34">
        <v>1</v>
      </c>
      <c r="EZT4095" s="34">
        <v>1.5</v>
      </c>
      <c r="EZU4095" s="34">
        <v>2</v>
      </c>
      <c r="EZV4095" s="34">
        <v>2.5</v>
      </c>
      <c r="EZW4095" s="34">
        <v>3</v>
      </c>
      <c r="EZX4095" s="34">
        <v>3.5</v>
      </c>
      <c r="EZY4095" s="34">
        <v>4</v>
      </c>
      <c r="EZZ4095" s="34">
        <v>4.5</v>
      </c>
      <c r="FAA4095" s="34">
        <v>5</v>
      </c>
      <c r="FAC4095" s="913"/>
      <c r="FAD4095" s="31">
        <v>1</v>
      </c>
      <c r="FAE4095" s="34">
        <v>0</v>
      </c>
      <c r="FAF4095" s="34">
        <v>-1</v>
      </c>
      <c r="FAG4095" s="34">
        <v>-2</v>
      </c>
      <c r="FAH4095" s="34">
        <v>-3</v>
      </c>
      <c r="FAI4095" s="34">
        <v>-4</v>
      </c>
      <c r="FAJ4095" s="34">
        <v>-5</v>
      </c>
      <c r="FAK4095" s="908"/>
      <c r="FAL4095" s="909"/>
      <c r="FAM4095" s="34">
        <v>-5</v>
      </c>
      <c r="FAN4095" s="34">
        <v>-4.5</v>
      </c>
      <c r="FAO4095" s="34">
        <v>-4</v>
      </c>
      <c r="FAP4095" s="34">
        <v>-3.5</v>
      </c>
      <c r="FAQ4095" s="34">
        <v>-3</v>
      </c>
      <c r="FAR4095" s="34">
        <v>-2.5</v>
      </c>
      <c r="FAS4095" s="34">
        <v>-2</v>
      </c>
      <c r="FAT4095" s="34">
        <v>-1.5</v>
      </c>
      <c r="FAU4095" s="34">
        <v>-1</v>
      </c>
      <c r="FAV4095" s="34">
        <v>-0.5</v>
      </c>
      <c r="FAW4095" s="34">
        <v>0</v>
      </c>
      <c r="FAX4095" s="34">
        <v>0.5</v>
      </c>
      <c r="FAY4095" s="34">
        <v>1</v>
      </c>
      <c r="FAZ4095" s="34">
        <v>1.5</v>
      </c>
      <c r="FBA4095" s="34">
        <v>2</v>
      </c>
      <c r="FBB4095" s="34">
        <v>2.5</v>
      </c>
      <c r="FBC4095" s="34">
        <v>3</v>
      </c>
      <c r="FBD4095" s="34">
        <v>3.5</v>
      </c>
      <c r="FBE4095" s="34">
        <v>4</v>
      </c>
      <c r="FBF4095" s="34">
        <v>4.5</v>
      </c>
      <c r="FBG4095" s="34">
        <v>5</v>
      </c>
      <c r="FBI4095" s="913"/>
      <c r="FBJ4095" s="31">
        <v>1</v>
      </c>
      <c r="FBK4095" s="34">
        <v>0</v>
      </c>
      <c r="FBL4095" s="34">
        <v>-1</v>
      </c>
      <c r="FBM4095" s="34">
        <v>-2</v>
      </c>
      <c r="FBN4095" s="34">
        <v>-3</v>
      </c>
      <c r="FBO4095" s="34">
        <v>-4</v>
      </c>
      <c r="FBP4095" s="34">
        <v>-5</v>
      </c>
      <c r="FBQ4095" s="908"/>
      <c r="FBR4095" s="909"/>
      <c r="FBS4095" s="34">
        <v>-5</v>
      </c>
      <c r="FBT4095" s="34">
        <v>-4.5</v>
      </c>
      <c r="FBU4095" s="34">
        <v>-4</v>
      </c>
      <c r="FBV4095" s="34">
        <v>-3.5</v>
      </c>
      <c r="FBW4095" s="34">
        <v>-3</v>
      </c>
      <c r="FBX4095" s="34">
        <v>-2.5</v>
      </c>
      <c r="FBY4095" s="34">
        <v>-2</v>
      </c>
      <c r="FBZ4095" s="34">
        <v>-1.5</v>
      </c>
      <c r="FCA4095" s="34">
        <v>-1</v>
      </c>
      <c r="FCB4095" s="34">
        <v>-0.5</v>
      </c>
      <c r="FCC4095" s="34">
        <v>0</v>
      </c>
      <c r="FCD4095" s="34">
        <v>0.5</v>
      </c>
      <c r="FCE4095" s="34">
        <v>1</v>
      </c>
      <c r="FCF4095" s="34">
        <v>1.5</v>
      </c>
      <c r="FCG4095" s="34">
        <v>2</v>
      </c>
      <c r="FCH4095" s="34">
        <v>2.5</v>
      </c>
      <c r="FCI4095" s="34">
        <v>3</v>
      </c>
      <c r="FCJ4095" s="34">
        <v>3.5</v>
      </c>
      <c r="FCK4095" s="34">
        <v>4</v>
      </c>
      <c r="FCL4095" s="34">
        <v>4.5</v>
      </c>
      <c r="FCM4095" s="34">
        <v>5</v>
      </c>
      <c r="FCO4095" s="913"/>
      <c r="FCP4095" s="31">
        <v>1</v>
      </c>
      <c r="FCQ4095" s="34">
        <v>0</v>
      </c>
      <c r="FCR4095" s="34">
        <v>-1</v>
      </c>
      <c r="FCS4095" s="34">
        <v>-2</v>
      </c>
      <c r="FCT4095" s="34">
        <v>-3</v>
      </c>
      <c r="FCU4095" s="34">
        <v>-4</v>
      </c>
      <c r="FCV4095" s="34">
        <v>-5</v>
      </c>
      <c r="FCW4095" s="908"/>
      <c r="FCX4095" s="909"/>
      <c r="FCY4095" s="34">
        <v>-5</v>
      </c>
      <c r="FCZ4095" s="34">
        <v>-4.5</v>
      </c>
      <c r="FDA4095" s="34">
        <v>-4</v>
      </c>
      <c r="FDB4095" s="34">
        <v>-3.5</v>
      </c>
      <c r="FDC4095" s="34">
        <v>-3</v>
      </c>
      <c r="FDD4095" s="34">
        <v>-2.5</v>
      </c>
      <c r="FDE4095" s="34">
        <v>-2</v>
      </c>
      <c r="FDF4095" s="34">
        <v>-1.5</v>
      </c>
      <c r="FDG4095" s="34">
        <v>-1</v>
      </c>
      <c r="FDH4095" s="34">
        <v>-0.5</v>
      </c>
      <c r="FDI4095" s="34">
        <v>0</v>
      </c>
      <c r="FDJ4095" s="34">
        <v>0.5</v>
      </c>
      <c r="FDK4095" s="34">
        <v>1</v>
      </c>
      <c r="FDL4095" s="34">
        <v>1.5</v>
      </c>
      <c r="FDM4095" s="34">
        <v>2</v>
      </c>
      <c r="FDN4095" s="34">
        <v>2.5</v>
      </c>
      <c r="FDO4095" s="34">
        <v>3</v>
      </c>
      <c r="FDP4095" s="34">
        <v>3.5</v>
      </c>
      <c r="FDQ4095" s="34">
        <v>4</v>
      </c>
      <c r="FDR4095" s="34">
        <v>4.5</v>
      </c>
      <c r="FDS4095" s="34">
        <v>5</v>
      </c>
      <c r="FDU4095" s="913"/>
      <c r="FDV4095" s="31">
        <v>1</v>
      </c>
      <c r="FDW4095" s="34">
        <v>0</v>
      </c>
      <c r="FDX4095" s="34">
        <v>-1</v>
      </c>
      <c r="FDY4095" s="34">
        <v>-2</v>
      </c>
      <c r="FDZ4095" s="34">
        <v>-3</v>
      </c>
      <c r="FEA4095" s="34">
        <v>-4</v>
      </c>
      <c r="FEB4095" s="34">
        <v>-5</v>
      </c>
      <c r="FEC4095" s="908"/>
      <c r="FED4095" s="909"/>
      <c r="FEE4095" s="34">
        <v>-5</v>
      </c>
      <c r="FEF4095" s="34">
        <v>-4.5</v>
      </c>
      <c r="FEG4095" s="34">
        <v>-4</v>
      </c>
      <c r="FEH4095" s="34">
        <v>-3.5</v>
      </c>
      <c r="FEI4095" s="34">
        <v>-3</v>
      </c>
      <c r="FEJ4095" s="34">
        <v>-2.5</v>
      </c>
      <c r="FEK4095" s="34">
        <v>-2</v>
      </c>
      <c r="FEL4095" s="34">
        <v>-1.5</v>
      </c>
      <c r="FEM4095" s="34">
        <v>-1</v>
      </c>
      <c r="FEN4095" s="34">
        <v>-0.5</v>
      </c>
      <c r="FEO4095" s="34">
        <v>0</v>
      </c>
      <c r="FEP4095" s="34">
        <v>0.5</v>
      </c>
      <c r="FEQ4095" s="34">
        <v>1</v>
      </c>
      <c r="FER4095" s="34">
        <v>1.5</v>
      </c>
      <c r="FES4095" s="34">
        <v>2</v>
      </c>
      <c r="FET4095" s="34">
        <v>2.5</v>
      </c>
      <c r="FEU4095" s="34">
        <v>3</v>
      </c>
      <c r="FEV4095" s="34">
        <v>3.5</v>
      </c>
      <c r="FEW4095" s="34">
        <v>4</v>
      </c>
      <c r="FEX4095" s="34">
        <v>4.5</v>
      </c>
      <c r="FEY4095" s="34">
        <v>5</v>
      </c>
      <c r="FFA4095" s="913"/>
      <c r="FFB4095" s="31">
        <v>1</v>
      </c>
      <c r="FFC4095" s="34">
        <v>0</v>
      </c>
      <c r="FFD4095" s="34">
        <v>-1</v>
      </c>
      <c r="FFE4095" s="34">
        <v>-2</v>
      </c>
      <c r="FFF4095" s="34">
        <v>-3</v>
      </c>
      <c r="FFG4095" s="34">
        <v>-4</v>
      </c>
      <c r="FFH4095" s="34">
        <v>-5</v>
      </c>
      <c r="FFI4095" s="908"/>
      <c r="FFJ4095" s="909"/>
      <c r="FFK4095" s="34">
        <v>-5</v>
      </c>
      <c r="FFL4095" s="34">
        <v>-4.5</v>
      </c>
      <c r="FFM4095" s="34">
        <v>-4</v>
      </c>
      <c r="FFN4095" s="34">
        <v>-3.5</v>
      </c>
      <c r="FFO4095" s="34">
        <v>-3</v>
      </c>
      <c r="FFP4095" s="34">
        <v>-2.5</v>
      </c>
      <c r="FFQ4095" s="34">
        <v>-2</v>
      </c>
      <c r="FFR4095" s="34">
        <v>-1.5</v>
      </c>
      <c r="FFS4095" s="34">
        <v>-1</v>
      </c>
      <c r="FFT4095" s="34">
        <v>-0.5</v>
      </c>
      <c r="FFU4095" s="34">
        <v>0</v>
      </c>
      <c r="FFV4095" s="34">
        <v>0.5</v>
      </c>
      <c r="FFW4095" s="34">
        <v>1</v>
      </c>
      <c r="FFX4095" s="34">
        <v>1.5</v>
      </c>
      <c r="FFY4095" s="34">
        <v>2</v>
      </c>
      <c r="FFZ4095" s="34">
        <v>2.5</v>
      </c>
      <c r="FGA4095" s="34">
        <v>3</v>
      </c>
      <c r="FGB4095" s="34">
        <v>3.5</v>
      </c>
      <c r="FGC4095" s="34">
        <v>4</v>
      </c>
      <c r="FGD4095" s="34">
        <v>4.5</v>
      </c>
      <c r="FGE4095" s="34">
        <v>5</v>
      </c>
      <c r="FGG4095" s="913"/>
      <c r="FGH4095" s="31">
        <v>1</v>
      </c>
      <c r="FGI4095" s="34">
        <v>0</v>
      </c>
      <c r="FGJ4095" s="34">
        <v>-1</v>
      </c>
      <c r="FGK4095" s="34">
        <v>-2</v>
      </c>
      <c r="FGL4095" s="34">
        <v>-3</v>
      </c>
      <c r="FGM4095" s="34">
        <v>-4</v>
      </c>
      <c r="FGN4095" s="34">
        <v>-5</v>
      </c>
      <c r="FGO4095" s="908"/>
      <c r="FGP4095" s="909"/>
      <c r="FGQ4095" s="34">
        <v>-5</v>
      </c>
      <c r="FGR4095" s="34">
        <v>-4.5</v>
      </c>
      <c r="FGS4095" s="34">
        <v>-4</v>
      </c>
      <c r="FGT4095" s="34">
        <v>-3.5</v>
      </c>
      <c r="FGU4095" s="34">
        <v>-3</v>
      </c>
      <c r="FGV4095" s="34">
        <v>-2.5</v>
      </c>
      <c r="FGW4095" s="34">
        <v>-2</v>
      </c>
      <c r="FGX4095" s="34">
        <v>-1.5</v>
      </c>
      <c r="FGY4095" s="34">
        <v>-1</v>
      </c>
      <c r="FGZ4095" s="34">
        <v>-0.5</v>
      </c>
      <c r="FHA4095" s="34">
        <v>0</v>
      </c>
      <c r="FHB4095" s="34">
        <v>0.5</v>
      </c>
      <c r="FHC4095" s="34">
        <v>1</v>
      </c>
      <c r="FHD4095" s="34">
        <v>1.5</v>
      </c>
      <c r="FHE4095" s="34">
        <v>2</v>
      </c>
      <c r="FHF4095" s="34">
        <v>2.5</v>
      </c>
      <c r="FHG4095" s="34">
        <v>3</v>
      </c>
      <c r="FHH4095" s="34">
        <v>3.5</v>
      </c>
      <c r="FHI4095" s="34">
        <v>4</v>
      </c>
      <c r="FHJ4095" s="34">
        <v>4.5</v>
      </c>
      <c r="FHK4095" s="34">
        <v>5</v>
      </c>
      <c r="FHM4095" s="913"/>
      <c r="FHN4095" s="31">
        <v>1</v>
      </c>
      <c r="FHO4095" s="34">
        <v>0</v>
      </c>
      <c r="FHP4095" s="34">
        <v>-1</v>
      </c>
      <c r="FHQ4095" s="34">
        <v>-2</v>
      </c>
      <c r="FHR4095" s="34">
        <v>-3</v>
      </c>
      <c r="FHS4095" s="34">
        <v>-4</v>
      </c>
      <c r="FHT4095" s="34">
        <v>-5</v>
      </c>
      <c r="FHU4095" s="908"/>
      <c r="FHV4095" s="909"/>
      <c r="FHW4095" s="34">
        <v>-5</v>
      </c>
      <c r="FHX4095" s="34">
        <v>-4.5</v>
      </c>
      <c r="FHY4095" s="34">
        <v>-4</v>
      </c>
      <c r="FHZ4095" s="34">
        <v>-3.5</v>
      </c>
      <c r="FIA4095" s="34">
        <v>-3</v>
      </c>
      <c r="FIB4095" s="34">
        <v>-2.5</v>
      </c>
      <c r="FIC4095" s="34">
        <v>-2</v>
      </c>
      <c r="FID4095" s="34">
        <v>-1.5</v>
      </c>
      <c r="FIE4095" s="34">
        <v>-1</v>
      </c>
      <c r="FIF4095" s="34">
        <v>-0.5</v>
      </c>
      <c r="FIG4095" s="34">
        <v>0</v>
      </c>
      <c r="FIH4095" s="34">
        <v>0.5</v>
      </c>
      <c r="FII4095" s="34">
        <v>1</v>
      </c>
      <c r="FIJ4095" s="34">
        <v>1.5</v>
      </c>
      <c r="FIK4095" s="34">
        <v>2</v>
      </c>
      <c r="FIL4095" s="34">
        <v>2.5</v>
      </c>
      <c r="FIM4095" s="34">
        <v>3</v>
      </c>
      <c r="FIN4095" s="34">
        <v>3.5</v>
      </c>
      <c r="FIO4095" s="34">
        <v>4</v>
      </c>
      <c r="FIP4095" s="34">
        <v>4.5</v>
      </c>
      <c r="FIQ4095" s="34">
        <v>5</v>
      </c>
      <c r="FIS4095" s="913"/>
      <c r="FIT4095" s="31">
        <v>1</v>
      </c>
      <c r="FIU4095" s="34">
        <v>0</v>
      </c>
      <c r="FIV4095" s="34">
        <v>-1</v>
      </c>
      <c r="FIW4095" s="34">
        <v>-2</v>
      </c>
      <c r="FIX4095" s="34">
        <v>-3</v>
      </c>
      <c r="FIY4095" s="34">
        <v>-4</v>
      </c>
      <c r="FIZ4095" s="34">
        <v>-5</v>
      </c>
      <c r="FJA4095" s="908"/>
      <c r="FJB4095" s="909"/>
      <c r="FJC4095" s="34">
        <v>-5</v>
      </c>
      <c r="FJD4095" s="34">
        <v>-4.5</v>
      </c>
      <c r="FJE4095" s="34">
        <v>-4</v>
      </c>
      <c r="FJF4095" s="34">
        <v>-3.5</v>
      </c>
      <c r="FJG4095" s="34">
        <v>-3</v>
      </c>
      <c r="FJH4095" s="34">
        <v>-2.5</v>
      </c>
      <c r="FJI4095" s="34">
        <v>-2</v>
      </c>
      <c r="FJJ4095" s="34">
        <v>-1.5</v>
      </c>
      <c r="FJK4095" s="34">
        <v>-1</v>
      </c>
      <c r="FJL4095" s="34">
        <v>-0.5</v>
      </c>
      <c r="FJM4095" s="34">
        <v>0</v>
      </c>
      <c r="FJN4095" s="34">
        <v>0.5</v>
      </c>
      <c r="FJO4095" s="34">
        <v>1</v>
      </c>
      <c r="FJP4095" s="34">
        <v>1.5</v>
      </c>
      <c r="FJQ4095" s="34">
        <v>2</v>
      </c>
      <c r="FJR4095" s="34">
        <v>2.5</v>
      </c>
      <c r="FJS4095" s="34">
        <v>3</v>
      </c>
      <c r="FJT4095" s="34">
        <v>3.5</v>
      </c>
      <c r="FJU4095" s="34">
        <v>4</v>
      </c>
      <c r="FJV4095" s="34">
        <v>4.5</v>
      </c>
      <c r="FJW4095" s="34">
        <v>5</v>
      </c>
      <c r="FJY4095" s="913"/>
      <c r="FJZ4095" s="31">
        <v>1</v>
      </c>
      <c r="FKA4095" s="34">
        <v>0</v>
      </c>
      <c r="FKB4095" s="34">
        <v>-1</v>
      </c>
      <c r="FKC4095" s="34">
        <v>-2</v>
      </c>
      <c r="FKD4095" s="34">
        <v>-3</v>
      </c>
      <c r="FKE4095" s="34">
        <v>-4</v>
      </c>
      <c r="FKF4095" s="34">
        <v>-5</v>
      </c>
      <c r="FKG4095" s="908"/>
      <c r="FKH4095" s="909"/>
      <c r="FKI4095" s="34">
        <v>-5</v>
      </c>
      <c r="FKJ4095" s="34">
        <v>-4.5</v>
      </c>
      <c r="FKK4095" s="34">
        <v>-4</v>
      </c>
      <c r="FKL4095" s="34">
        <v>-3.5</v>
      </c>
      <c r="FKM4095" s="34">
        <v>-3</v>
      </c>
      <c r="FKN4095" s="34">
        <v>-2.5</v>
      </c>
      <c r="FKO4095" s="34">
        <v>-2</v>
      </c>
      <c r="FKP4095" s="34">
        <v>-1.5</v>
      </c>
      <c r="FKQ4095" s="34">
        <v>-1</v>
      </c>
      <c r="FKR4095" s="34">
        <v>-0.5</v>
      </c>
      <c r="FKS4095" s="34">
        <v>0</v>
      </c>
      <c r="FKT4095" s="34">
        <v>0.5</v>
      </c>
      <c r="FKU4095" s="34">
        <v>1</v>
      </c>
      <c r="FKV4095" s="34">
        <v>1.5</v>
      </c>
      <c r="FKW4095" s="34">
        <v>2</v>
      </c>
      <c r="FKX4095" s="34">
        <v>2.5</v>
      </c>
      <c r="FKY4095" s="34">
        <v>3</v>
      </c>
      <c r="FKZ4095" s="34">
        <v>3.5</v>
      </c>
      <c r="FLA4095" s="34">
        <v>4</v>
      </c>
      <c r="FLB4095" s="34">
        <v>4.5</v>
      </c>
      <c r="FLC4095" s="34">
        <v>5</v>
      </c>
      <c r="FLE4095" s="913"/>
      <c r="FLF4095" s="31">
        <v>1</v>
      </c>
      <c r="FLG4095" s="34">
        <v>0</v>
      </c>
      <c r="FLH4095" s="34">
        <v>-1</v>
      </c>
      <c r="FLI4095" s="34">
        <v>-2</v>
      </c>
      <c r="FLJ4095" s="34">
        <v>-3</v>
      </c>
      <c r="FLK4095" s="34">
        <v>-4</v>
      </c>
      <c r="FLL4095" s="34">
        <v>-5</v>
      </c>
      <c r="FLM4095" s="908"/>
      <c r="FLN4095" s="909"/>
      <c r="FLO4095" s="34">
        <v>-5</v>
      </c>
      <c r="FLP4095" s="34">
        <v>-4.5</v>
      </c>
      <c r="FLQ4095" s="34">
        <v>-4</v>
      </c>
      <c r="FLR4095" s="34">
        <v>-3.5</v>
      </c>
      <c r="FLS4095" s="34">
        <v>-3</v>
      </c>
      <c r="FLT4095" s="34">
        <v>-2.5</v>
      </c>
      <c r="FLU4095" s="34">
        <v>-2</v>
      </c>
      <c r="FLV4095" s="34">
        <v>-1.5</v>
      </c>
      <c r="FLW4095" s="34">
        <v>-1</v>
      </c>
      <c r="FLX4095" s="34">
        <v>-0.5</v>
      </c>
      <c r="FLY4095" s="34">
        <v>0</v>
      </c>
      <c r="FLZ4095" s="34">
        <v>0.5</v>
      </c>
      <c r="FMA4095" s="34">
        <v>1</v>
      </c>
      <c r="FMB4095" s="34">
        <v>1.5</v>
      </c>
      <c r="FMC4095" s="34">
        <v>2</v>
      </c>
      <c r="FMD4095" s="34">
        <v>2.5</v>
      </c>
      <c r="FME4095" s="34">
        <v>3</v>
      </c>
      <c r="FMF4095" s="34">
        <v>3.5</v>
      </c>
      <c r="FMG4095" s="34">
        <v>4</v>
      </c>
      <c r="FMH4095" s="34">
        <v>4.5</v>
      </c>
      <c r="FMI4095" s="34">
        <v>5</v>
      </c>
      <c r="FMK4095" s="913"/>
      <c r="FML4095" s="31">
        <v>1</v>
      </c>
      <c r="FMM4095" s="34">
        <v>0</v>
      </c>
      <c r="FMN4095" s="34">
        <v>-1</v>
      </c>
      <c r="FMO4095" s="34">
        <v>-2</v>
      </c>
      <c r="FMP4095" s="34">
        <v>-3</v>
      </c>
      <c r="FMQ4095" s="34">
        <v>-4</v>
      </c>
      <c r="FMR4095" s="34">
        <v>-5</v>
      </c>
      <c r="FMS4095" s="908"/>
      <c r="FMT4095" s="909"/>
      <c r="FMU4095" s="34">
        <v>-5</v>
      </c>
      <c r="FMV4095" s="34">
        <v>-4.5</v>
      </c>
      <c r="FMW4095" s="34">
        <v>-4</v>
      </c>
      <c r="FMX4095" s="34">
        <v>-3.5</v>
      </c>
      <c r="FMY4095" s="34">
        <v>-3</v>
      </c>
      <c r="FMZ4095" s="34">
        <v>-2.5</v>
      </c>
      <c r="FNA4095" s="34">
        <v>-2</v>
      </c>
      <c r="FNB4095" s="34">
        <v>-1.5</v>
      </c>
      <c r="FNC4095" s="34">
        <v>-1</v>
      </c>
      <c r="FND4095" s="34">
        <v>-0.5</v>
      </c>
      <c r="FNE4095" s="34">
        <v>0</v>
      </c>
      <c r="FNF4095" s="34">
        <v>0.5</v>
      </c>
      <c r="FNG4095" s="34">
        <v>1</v>
      </c>
      <c r="FNH4095" s="34">
        <v>1.5</v>
      </c>
      <c r="FNI4095" s="34">
        <v>2</v>
      </c>
      <c r="FNJ4095" s="34">
        <v>2.5</v>
      </c>
      <c r="FNK4095" s="34">
        <v>3</v>
      </c>
      <c r="FNL4095" s="34">
        <v>3.5</v>
      </c>
      <c r="FNM4095" s="34">
        <v>4</v>
      </c>
      <c r="FNN4095" s="34">
        <v>4.5</v>
      </c>
      <c r="FNO4095" s="34">
        <v>5</v>
      </c>
      <c r="FNQ4095" s="913"/>
      <c r="FNR4095" s="31">
        <v>1</v>
      </c>
      <c r="FNS4095" s="34">
        <v>0</v>
      </c>
      <c r="FNT4095" s="34">
        <v>-1</v>
      </c>
      <c r="FNU4095" s="34">
        <v>-2</v>
      </c>
      <c r="FNV4095" s="34">
        <v>-3</v>
      </c>
      <c r="FNW4095" s="34">
        <v>-4</v>
      </c>
      <c r="FNX4095" s="34">
        <v>-5</v>
      </c>
      <c r="FNY4095" s="908"/>
      <c r="FNZ4095" s="909"/>
      <c r="FOA4095" s="34">
        <v>-5</v>
      </c>
      <c r="FOB4095" s="34">
        <v>-4.5</v>
      </c>
      <c r="FOC4095" s="34">
        <v>-4</v>
      </c>
      <c r="FOD4095" s="34">
        <v>-3.5</v>
      </c>
      <c r="FOE4095" s="34">
        <v>-3</v>
      </c>
      <c r="FOF4095" s="34">
        <v>-2.5</v>
      </c>
      <c r="FOG4095" s="34">
        <v>-2</v>
      </c>
      <c r="FOH4095" s="34">
        <v>-1.5</v>
      </c>
      <c r="FOI4095" s="34">
        <v>-1</v>
      </c>
      <c r="FOJ4095" s="34">
        <v>-0.5</v>
      </c>
      <c r="FOK4095" s="34">
        <v>0</v>
      </c>
      <c r="FOL4095" s="34">
        <v>0.5</v>
      </c>
      <c r="FOM4095" s="34">
        <v>1</v>
      </c>
      <c r="FON4095" s="34">
        <v>1.5</v>
      </c>
      <c r="FOO4095" s="34">
        <v>2</v>
      </c>
      <c r="FOP4095" s="34">
        <v>2.5</v>
      </c>
      <c r="FOQ4095" s="34">
        <v>3</v>
      </c>
      <c r="FOR4095" s="34">
        <v>3.5</v>
      </c>
      <c r="FOS4095" s="34">
        <v>4</v>
      </c>
      <c r="FOT4095" s="34">
        <v>4.5</v>
      </c>
      <c r="FOU4095" s="34">
        <v>5</v>
      </c>
      <c r="FOW4095" s="913"/>
      <c r="FOX4095" s="31">
        <v>1</v>
      </c>
      <c r="FOY4095" s="34">
        <v>0</v>
      </c>
      <c r="FOZ4095" s="34">
        <v>-1</v>
      </c>
      <c r="FPA4095" s="34">
        <v>-2</v>
      </c>
      <c r="FPB4095" s="34">
        <v>-3</v>
      </c>
      <c r="FPC4095" s="34">
        <v>-4</v>
      </c>
      <c r="FPD4095" s="34">
        <v>-5</v>
      </c>
      <c r="FPE4095" s="908"/>
      <c r="FPF4095" s="909"/>
      <c r="FPG4095" s="34">
        <v>-5</v>
      </c>
      <c r="FPH4095" s="34">
        <v>-4.5</v>
      </c>
      <c r="FPI4095" s="34">
        <v>-4</v>
      </c>
      <c r="FPJ4095" s="34">
        <v>-3.5</v>
      </c>
      <c r="FPK4095" s="34">
        <v>-3</v>
      </c>
      <c r="FPL4095" s="34">
        <v>-2.5</v>
      </c>
      <c r="FPM4095" s="34">
        <v>-2</v>
      </c>
      <c r="FPN4095" s="34">
        <v>-1.5</v>
      </c>
      <c r="FPO4095" s="34">
        <v>-1</v>
      </c>
      <c r="FPP4095" s="34">
        <v>-0.5</v>
      </c>
      <c r="FPQ4095" s="34">
        <v>0</v>
      </c>
      <c r="FPR4095" s="34">
        <v>0.5</v>
      </c>
      <c r="FPS4095" s="34">
        <v>1</v>
      </c>
      <c r="FPT4095" s="34">
        <v>1.5</v>
      </c>
      <c r="FPU4095" s="34">
        <v>2</v>
      </c>
      <c r="FPV4095" s="34">
        <v>2.5</v>
      </c>
      <c r="FPW4095" s="34">
        <v>3</v>
      </c>
      <c r="FPX4095" s="34">
        <v>3.5</v>
      </c>
      <c r="FPY4095" s="34">
        <v>4</v>
      </c>
      <c r="FPZ4095" s="34">
        <v>4.5</v>
      </c>
      <c r="FQA4095" s="34">
        <v>5</v>
      </c>
      <c r="FQC4095" s="913"/>
      <c r="FQD4095" s="31">
        <v>1</v>
      </c>
      <c r="FQE4095" s="34">
        <v>0</v>
      </c>
      <c r="FQF4095" s="34">
        <v>-1</v>
      </c>
      <c r="FQG4095" s="34">
        <v>-2</v>
      </c>
      <c r="FQH4095" s="34">
        <v>-3</v>
      </c>
      <c r="FQI4095" s="34">
        <v>-4</v>
      </c>
      <c r="FQJ4095" s="34">
        <v>-5</v>
      </c>
      <c r="FQK4095" s="908"/>
      <c r="FQL4095" s="909"/>
      <c r="FQM4095" s="34">
        <v>-5</v>
      </c>
      <c r="FQN4095" s="34">
        <v>-4.5</v>
      </c>
      <c r="FQO4095" s="34">
        <v>-4</v>
      </c>
      <c r="FQP4095" s="34">
        <v>-3.5</v>
      </c>
      <c r="FQQ4095" s="34">
        <v>-3</v>
      </c>
      <c r="FQR4095" s="34">
        <v>-2.5</v>
      </c>
      <c r="FQS4095" s="34">
        <v>-2</v>
      </c>
      <c r="FQT4095" s="34">
        <v>-1.5</v>
      </c>
      <c r="FQU4095" s="34">
        <v>-1</v>
      </c>
      <c r="FQV4095" s="34">
        <v>-0.5</v>
      </c>
      <c r="FQW4095" s="34">
        <v>0</v>
      </c>
      <c r="FQX4095" s="34">
        <v>0.5</v>
      </c>
      <c r="FQY4095" s="34">
        <v>1</v>
      </c>
      <c r="FQZ4095" s="34">
        <v>1.5</v>
      </c>
      <c r="FRA4095" s="34">
        <v>2</v>
      </c>
      <c r="FRB4095" s="34">
        <v>2.5</v>
      </c>
      <c r="FRC4095" s="34">
        <v>3</v>
      </c>
      <c r="FRD4095" s="34">
        <v>3.5</v>
      </c>
      <c r="FRE4095" s="34">
        <v>4</v>
      </c>
      <c r="FRF4095" s="34">
        <v>4.5</v>
      </c>
      <c r="FRG4095" s="34">
        <v>5</v>
      </c>
      <c r="FRI4095" s="913"/>
      <c r="FRJ4095" s="31">
        <v>1</v>
      </c>
      <c r="FRK4095" s="34">
        <v>0</v>
      </c>
      <c r="FRL4095" s="34">
        <v>-1</v>
      </c>
      <c r="FRM4095" s="34">
        <v>-2</v>
      </c>
      <c r="FRN4095" s="34">
        <v>-3</v>
      </c>
      <c r="FRO4095" s="34">
        <v>-4</v>
      </c>
      <c r="FRP4095" s="34">
        <v>-5</v>
      </c>
      <c r="FRQ4095" s="908"/>
      <c r="FRR4095" s="909"/>
      <c r="FRS4095" s="34">
        <v>-5</v>
      </c>
      <c r="FRT4095" s="34">
        <v>-4.5</v>
      </c>
      <c r="FRU4095" s="34">
        <v>-4</v>
      </c>
      <c r="FRV4095" s="34">
        <v>-3.5</v>
      </c>
      <c r="FRW4095" s="34">
        <v>-3</v>
      </c>
      <c r="FRX4095" s="34">
        <v>-2.5</v>
      </c>
      <c r="FRY4095" s="34">
        <v>-2</v>
      </c>
      <c r="FRZ4095" s="34">
        <v>-1.5</v>
      </c>
      <c r="FSA4095" s="34">
        <v>-1</v>
      </c>
      <c r="FSB4095" s="34">
        <v>-0.5</v>
      </c>
      <c r="FSC4095" s="34">
        <v>0</v>
      </c>
      <c r="FSD4095" s="34">
        <v>0.5</v>
      </c>
      <c r="FSE4095" s="34">
        <v>1</v>
      </c>
      <c r="FSF4095" s="34">
        <v>1.5</v>
      </c>
      <c r="FSG4095" s="34">
        <v>2</v>
      </c>
      <c r="FSH4095" s="34">
        <v>2.5</v>
      </c>
      <c r="FSI4095" s="34">
        <v>3</v>
      </c>
      <c r="FSJ4095" s="34">
        <v>3.5</v>
      </c>
      <c r="FSK4095" s="34">
        <v>4</v>
      </c>
      <c r="FSL4095" s="34">
        <v>4.5</v>
      </c>
      <c r="FSM4095" s="34">
        <v>5</v>
      </c>
      <c r="FSO4095" s="913"/>
      <c r="FSP4095" s="31">
        <v>1</v>
      </c>
      <c r="FSQ4095" s="34">
        <v>0</v>
      </c>
      <c r="FSR4095" s="34">
        <v>-1</v>
      </c>
      <c r="FSS4095" s="34">
        <v>-2</v>
      </c>
      <c r="FST4095" s="34">
        <v>-3</v>
      </c>
      <c r="FSU4095" s="34">
        <v>-4</v>
      </c>
      <c r="FSV4095" s="34">
        <v>-5</v>
      </c>
      <c r="FSW4095" s="908"/>
      <c r="FSX4095" s="909"/>
      <c r="FSY4095" s="34">
        <v>-5</v>
      </c>
      <c r="FSZ4095" s="34">
        <v>-4.5</v>
      </c>
      <c r="FTA4095" s="34">
        <v>-4</v>
      </c>
      <c r="FTB4095" s="34">
        <v>-3.5</v>
      </c>
      <c r="FTC4095" s="34">
        <v>-3</v>
      </c>
      <c r="FTD4095" s="34">
        <v>-2.5</v>
      </c>
      <c r="FTE4095" s="34">
        <v>-2</v>
      </c>
      <c r="FTF4095" s="34">
        <v>-1.5</v>
      </c>
      <c r="FTG4095" s="34">
        <v>-1</v>
      </c>
      <c r="FTH4095" s="34">
        <v>-0.5</v>
      </c>
      <c r="FTI4095" s="34">
        <v>0</v>
      </c>
      <c r="FTJ4095" s="34">
        <v>0.5</v>
      </c>
      <c r="FTK4095" s="34">
        <v>1</v>
      </c>
      <c r="FTL4095" s="34">
        <v>1.5</v>
      </c>
      <c r="FTM4095" s="34">
        <v>2</v>
      </c>
      <c r="FTN4095" s="34">
        <v>2.5</v>
      </c>
      <c r="FTO4095" s="34">
        <v>3</v>
      </c>
      <c r="FTP4095" s="34">
        <v>3.5</v>
      </c>
      <c r="FTQ4095" s="34">
        <v>4</v>
      </c>
      <c r="FTR4095" s="34">
        <v>4.5</v>
      </c>
      <c r="FTS4095" s="34">
        <v>5</v>
      </c>
      <c r="FTU4095" s="913"/>
      <c r="FTV4095" s="31">
        <v>1</v>
      </c>
      <c r="FTW4095" s="34">
        <v>0</v>
      </c>
      <c r="FTX4095" s="34">
        <v>-1</v>
      </c>
      <c r="FTY4095" s="34">
        <v>-2</v>
      </c>
      <c r="FTZ4095" s="34">
        <v>-3</v>
      </c>
      <c r="FUA4095" s="34">
        <v>-4</v>
      </c>
      <c r="FUB4095" s="34">
        <v>-5</v>
      </c>
      <c r="FUC4095" s="908"/>
      <c r="FUD4095" s="909"/>
      <c r="FUE4095" s="34">
        <v>-5</v>
      </c>
      <c r="FUF4095" s="34">
        <v>-4.5</v>
      </c>
      <c r="FUG4095" s="34">
        <v>-4</v>
      </c>
      <c r="FUH4095" s="34">
        <v>-3.5</v>
      </c>
      <c r="FUI4095" s="34">
        <v>-3</v>
      </c>
      <c r="FUJ4095" s="34">
        <v>-2.5</v>
      </c>
      <c r="FUK4095" s="34">
        <v>-2</v>
      </c>
      <c r="FUL4095" s="34">
        <v>-1.5</v>
      </c>
      <c r="FUM4095" s="34">
        <v>-1</v>
      </c>
      <c r="FUN4095" s="34">
        <v>-0.5</v>
      </c>
      <c r="FUO4095" s="34">
        <v>0</v>
      </c>
      <c r="FUP4095" s="34">
        <v>0.5</v>
      </c>
      <c r="FUQ4095" s="34">
        <v>1</v>
      </c>
      <c r="FUR4095" s="34">
        <v>1.5</v>
      </c>
      <c r="FUS4095" s="34">
        <v>2</v>
      </c>
      <c r="FUT4095" s="34">
        <v>2.5</v>
      </c>
      <c r="FUU4095" s="34">
        <v>3</v>
      </c>
      <c r="FUV4095" s="34">
        <v>3.5</v>
      </c>
      <c r="FUW4095" s="34">
        <v>4</v>
      </c>
      <c r="FUX4095" s="34">
        <v>4.5</v>
      </c>
      <c r="FUY4095" s="34">
        <v>5</v>
      </c>
      <c r="FVA4095" s="913"/>
      <c r="FVB4095" s="31">
        <v>1</v>
      </c>
      <c r="FVC4095" s="34">
        <v>0</v>
      </c>
      <c r="FVD4095" s="34">
        <v>-1</v>
      </c>
      <c r="FVE4095" s="34">
        <v>-2</v>
      </c>
      <c r="FVF4095" s="34">
        <v>-3</v>
      </c>
      <c r="FVG4095" s="34">
        <v>-4</v>
      </c>
      <c r="FVH4095" s="34">
        <v>-5</v>
      </c>
      <c r="FVI4095" s="908"/>
      <c r="FVJ4095" s="909"/>
      <c r="FVK4095" s="34">
        <v>-5</v>
      </c>
      <c r="FVL4095" s="34">
        <v>-4.5</v>
      </c>
      <c r="FVM4095" s="34">
        <v>-4</v>
      </c>
      <c r="FVN4095" s="34">
        <v>-3.5</v>
      </c>
      <c r="FVO4095" s="34">
        <v>-3</v>
      </c>
      <c r="FVP4095" s="34">
        <v>-2.5</v>
      </c>
      <c r="FVQ4095" s="34">
        <v>-2</v>
      </c>
      <c r="FVR4095" s="34">
        <v>-1.5</v>
      </c>
      <c r="FVS4095" s="34">
        <v>-1</v>
      </c>
      <c r="FVT4095" s="34">
        <v>-0.5</v>
      </c>
      <c r="FVU4095" s="34">
        <v>0</v>
      </c>
      <c r="FVV4095" s="34">
        <v>0.5</v>
      </c>
      <c r="FVW4095" s="34">
        <v>1</v>
      </c>
      <c r="FVX4095" s="34">
        <v>1.5</v>
      </c>
      <c r="FVY4095" s="34">
        <v>2</v>
      </c>
      <c r="FVZ4095" s="34">
        <v>2.5</v>
      </c>
      <c r="FWA4095" s="34">
        <v>3</v>
      </c>
      <c r="FWB4095" s="34">
        <v>3.5</v>
      </c>
      <c r="FWC4095" s="34">
        <v>4</v>
      </c>
      <c r="FWD4095" s="34">
        <v>4.5</v>
      </c>
      <c r="FWE4095" s="34">
        <v>5</v>
      </c>
      <c r="FWG4095" s="913"/>
      <c r="FWH4095" s="31">
        <v>1</v>
      </c>
      <c r="FWI4095" s="34">
        <v>0</v>
      </c>
      <c r="FWJ4095" s="34">
        <v>-1</v>
      </c>
      <c r="FWK4095" s="34">
        <v>-2</v>
      </c>
      <c r="FWL4095" s="34">
        <v>-3</v>
      </c>
      <c r="FWM4095" s="34">
        <v>-4</v>
      </c>
      <c r="FWN4095" s="34">
        <v>-5</v>
      </c>
      <c r="FWO4095" s="908"/>
      <c r="FWP4095" s="909"/>
      <c r="FWQ4095" s="34">
        <v>-5</v>
      </c>
      <c r="FWR4095" s="34">
        <v>-4.5</v>
      </c>
      <c r="FWS4095" s="34">
        <v>-4</v>
      </c>
      <c r="FWT4095" s="34">
        <v>-3.5</v>
      </c>
      <c r="FWU4095" s="34">
        <v>-3</v>
      </c>
      <c r="FWV4095" s="34">
        <v>-2.5</v>
      </c>
      <c r="FWW4095" s="34">
        <v>-2</v>
      </c>
      <c r="FWX4095" s="34">
        <v>-1.5</v>
      </c>
      <c r="FWY4095" s="34">
        <v>-1</v>
      </c>
      <c r="FWZ4095" s="34">
        <v>-0.5</v>
      </c>
      <c r="FXA4095" s="34">
        <v>0</v>
      </c>
      <c r="FXB4095" s="34">
        <v>0.5</v>
      </c>
      <c r="FXC4095" s="34">
        <v>1</v>
      </c>
      <c r="FXD4095" s="34">
        <v>1.5</v>
      </c>
      <c r="FXE4095" s="34">
        <v>2</v>
      </c>
      <c r="FXF4095" s="34">
        <v>2.5</v>
      </c>
      <c r="FXG4095" s="34">
        <v>3</v>
      </c>
      <c r="FXH4095" s="34">
        <v>3.5</v>
      </c>
      <c r="FXI4095" s="34">
        <v>4</v>
      </c>
      <c r="FXJ4095" s="34">
        <v>4.5</v>
      </c>
      <c r="FXK4095" s="34">
        <v>5</v>
      </c>
      <c r="FXM4095" s="913"/>
      <c r="FXN4095" s="31">
        <v>1</v>
      </c>
      <c r="FXO4095" s="34">
        <v>0</v>
      </c>
      <c r="FXP4095" s="34">
        <v>-1</v>
      </c>
      <c r="FXQ4095" s="34">
        <v>-2</v>
      </c>
      <c r="FXR4095" s="34">
        <v>-3</v>
      </c>
      <c r="FXS4095" s="34">
        <v>-4</v>
      </c>
      <c r="FXT4095" s="34">
        <v>-5</v>
      </c>
      <c r="FXU4095" s="908"/>
      <c r="FXV4095" s="909"/>
      <c r="FXW4095" s="34">
        <v>-5</v>
      </c>
      <c r="FXX4095" s="34">
        <v>-4.5</v>
      </c>
      <c r="FXY4095" s="34">
        <v>-4</v>
      </c>
      <c r="FXZ4095" s="34">
        <v>-3.5</v>
      </c>
      <c r="FYA4095" s="34">
        <v>-3</v>
      </c>
      <c r="FYB4095" s="34">
        <v>-2.5</v>
      </c>
      <c r="FYC4095" s="34">
        <v>-2</v>
      </c>
      <c r="FYD4095" s="34">
        <v>-1.5</v>
      </c>
      <c r="FYE4095" s="34">
        <v>-1</v>
      </c>
      <c r="FYF4095" s="34">
        <v>-0.5</v>
      </c>
      <c r="FYG4095" s="34">
        <v>0</v>
      </c>
      <c r="FYH4095" s="34">
        <v>0.5</v>
      </c>
      <c r="FYI4095" s="34">
        <v>1</v>
      </c>
      <c r="FYJ4095" s="34">
        <v>1.5</v>
      </c>
      <c r="FYK4095" s="34">
        <v>2</v>
      </c>
      <c r="FYL4095" s="34">
        <v>2.5</v>
      </c>
      <c r="FYM4095" s="34">
        <v>3</v>
      </c>
      <c r="FYN4095" s="34">
        <v>3.5</v>
      </c>
      <c r="FYO4095" s="34">
        <v>4</v>
      </c>
      <c r="FYP4095" s="34">
        <v>4.5</v>
      </c>
      <c r="FYQ4095" s="34">
        <v>5</v>
      </c>
      <c r="FYS4095" s="913"/>
      <c r="FYT4095" s="31">
        <v>1</v>
      </c>
      <c r="FYU4095" s="34">
        <v>0</v>
      </c>
      <c r="FYV4095" s="34">
        <v>-1</v>
      </c>
      <c r="FYW4095" s="34">
        <v>-2</v>
      </c>
      <c r="FYX4095" s="34">
        <v>-3</v>
      </c>
      <c r="FYY4095" s="34">
        <v>-4</v>
      </c>
      <c r="FYZ4095" s="34">
        <v>-5</v>
      </c>
      <c r="FZA4095" s="908"/>
      <c r="FZB4095" s="909"/>
      <c r="FZC4095" s="34">
        <v>-5</v>
      </c>
      <c r="FZD4095" s="34">
        <v>-4.5</v>
      </c>
      <c r="FZE4095" s="34">
        <v>-4</v>
      </c>
      <c r="FZF4095" s="34">
        <v>-3.5</v>
      </c>
      <c r="FZG4095" s="34">
        <v>-3</v>
      </c>
      <c r="FZH4095" s="34">
        <v>-2.5</v>
      </c>
      <c r="FZI4095" s="34">
        <v>-2</v>
      </c>
      <c r="FZJ4095" s="34">
        <v>-1.5</v>
      </c>
      <c r="FZK4095" s="34">
        <v>-1</v>
      </c>
      <c r="FZL4095" s="34">
        <v>-0.5</v>
      </c>
      <c r="FZM4095" s="34">
        <v>0</v>
      </c>
      <c r="FZN4095" s="34">
        <v>0.5</v>
      </c>
      <c r="FZO4095" s="34">
        <v>1</v>
      </c>
      <c r="FZP4095" s="34">
        <v>1.5</v>
      </c>
      <c r="FZQ4095" s="34">
        <v>2</v>
      </c>
      <c r="FZR4095" s="34">
        <v>2.5</v>
      </c>
      <c r="FZS4095" s="34">
        <v>3</v>
      </c>
      <c r="FZT4095" s="34">
        <v>3.5</v>
      </c>
      <c r="FZU4095" s="34">
        <v>4</v>
      </c>
      <c r="FZV4095" s="34">
        <v>4.5</v>
      </c>
      <c r="FZW4095" s="34">
        <v>5</v>
      </c>
      <c r="FZY4095" s="913"/>
      <c r="FZZ4095" s="31">
        <v>1</v>
      </c>
      <c r="GAA4095" s="34">
        <v>0</v>
      </c>
      <c r="GAB4095" s="34">
        <v>-1</v>
      </c>
      <c r="GAC4095" s="34">
        <v>-2</v>
      </c>
      <c r="GAD4095" s="34">
        <v>-3</v>
      </c>
      <c r="GAE4095" s="34">
        <v>-4</v>
      </c>
      <c r="GAF4095" s="34">
        <v>-5</v>
      </c>
      <c r="GAG4095" s="908"/>
      <c r="GAH4095" s="909"/>
      <c r="GAI4095" s="34">
        <v>-5</v>
      </c>
      <c r="GAJ4095" s="34">
        <v>-4.5</v>
      </c>
      <c r="GAK4095" s="34">
        <v>-4</v>
      </c>
      <c r="GAL4095" s="34">
        <v>-3.5</v>
      </c>
      <c r="GAM4095" s="34">
        <v>-3</v>
      </c>
      <c r="GAN4095" s="34">
        <v>-2.5</v>
      </c>
      <c r="GAO4095" s="34">
        <v>-2</v>
      </c>
      <c r="GAP4095" s="34">
        <v>-1.5</v>
      </c>
      <c r="GAQ4095" s="34">
        <v>-1</v>
      </c>
      <c r="GAR4095" s="34">
        <v>-0.5</v>
      </c>
      <c r="GAS4095" s="34">
        <v>0</v>
      </c>
      <c r="GAT4095" s="34">
        <v>0.5</v>
      </c>
      <c r="GAU4095" s="34">
        <v>1</v>
      </c>
      <c r="GAV4095" s="34">
        <v>1.5</v>
      </c>
      <c r="GAW4095" s="34">
        <v>2</v>
      </c>
      <c r="GAX4095" s="34">
        <v>2.5</v>
      </c>
      <c r="GAY4095" s="34">
        <v>3</v>
      </c>
      <c r="GAZ4095" s="34">
        <v>3.5</v>
      </c>
      <c r="GBA4095" s="34">
        <v>4</v>
      </c>
      <c r="GBB4095" s="34">
        <v>4.5</v>
      </c>
      <c r="GBC4095" s="34">
        <v>5</v>
      </c>
      <c r="GBE4095" s="913"/>
      <c r="GBF4095" s="31">
        <v>1</v>
      </c>
      <c r="GBG4095" s="34">
        <v>0</v>
      </c>
      <c r="GBH4095" s="34">
        <v>-1</v>
      </c>
      <c r="GBI4095" s="34">
        <v>-2</v>
      </c>
      <c r="GBJ4095" s="34">
        <v>-3</v>
      </c>
      <c r="GBK4095" s="34">
        <v>-4</v>
      </c>
      <c r="GBL4095" s="34">
        <v>-5</v>
      </c>
      <c r="GBM4095" s="908"/>
      <c r="GBN4095" s="909"/>
      <c r="GBO4095" s="34">
        <v>-5</v>
      </c>
      <c r="GBP4095" s="34">
        <v>-4.5</v>
      </c>
      <c r="GBQ4095" s="34">
        <v>-4</v>
      </c>
      <c r="GBR4095" s="34">
        <v>-3.5</v>
      </c>
      <c r="GBS4095" s="34">
        <v>-3</v>
      </c>
      <c r="GBT4095" s="34">
        <v>-2.5</v>
      </c>
      <c r="GBU4095" s="34">
        <v>-2</v>
      </c>
      <c r="GBV4095" s="34">
        <v>-1.5</v>
      </c>
      <c r="GBW4095" s="34">
        <v>-1</v>
      </c>
      <c r="GBX4095" s="34">
        <v>-0.5</v>
      </c>
      <c r="GBY4095" s="34">
        <v>0</v>
      </c>
      <c r="GBZ4095" s="34">
        <v>0.5</v>
      </c>
      <c r="GCA4095" s="34">
        <v>1</v>
      </c>
      <c r="GCB4095" s="34">
        <v>1.5</v>
      </c>
      <c r="GCC4095" s="34">
        <v>2</v>
      </c>
      <c r="GCD4095" s="34">
        <v>2.5</v>
      </c>
      <c r="GCE4095" s="34">
        <v>3</v>
      </c>
      <c r="GCF4095" s="34">
        <v>3.5</v>
      </c>
      <c r="GCG4095" s="34">
        <v>4</v>
      </c>
      <c r="GCH4095" s="34">
        <v>4.5</v>
      </c>
      <c r="GCI4095" s="34">
        <v>5</v>
      </c>
      <c r="GCK4095" s="913"/>
      <c r="GCL4095" s="31">
        <v>1</v>
      </c>
      <c r="GCM4095" s="34">
        <v>0</v>
      </c>
      <c r="GCN4095" s="34">
        <v>-1</v>
      </c>
      <c r="GCO4095" s="34">
        <v>-2</v>
      </c>
      <c r="GCP4095" s="34">
        <v>-3</v>
      </c>
      <c r="GCQ4095" s="34">
        <v>-4</v>
      </c>
      <c r="GCR4095" s="34">
        <v>-5</v>
      </c>
      <c r="GCS4095" s="908"/>
      <c r="GCT4095" s="909"/>
      <c r="GCU4095" s="34">
        <v>-5</v>
      </c>
      <c r="GCV4095" s="34">
        <v>-4.5</v>
      </c>
      <c r="GCW4095" s="34">
        <v>-4</v>
      </c>
      <c r="GCX4095" s="34">
        <v>-3.5</v>
      </c>
      <c r="GCY4095" s="34">
        <v>-3</v>
      </c>
      <c r="GCZ4095" s="34">
        <v>-2.5</v>
      </c>
      <c r="GDA4095" s="34">
        <v>-2</v>
      </c>
      <c r="GDB4095" s="34">
        <v>-1.5</v>
      </c>
      <c r="GDC4095" s="34">
        <v>-1</v>
      </c>
      <c r="GDD4095" s="34">
        <v>-0.5</v>
      </c>
      <c r="GDE4095" s="34">
        <v>0</v>
      </c>
      <c r="GDF4095" s="34">
        <v>0.5</v>
      </c>
      <c r="GDG4095" s="34">
        <v>1</v>
      </c>
      <c r="GDH4095" s="34">
        <v>1.5</v>
      </c>
      <c r="GDI4095" s="34">
        <v>2</v>
      </c>
      <c r="GDJ4095" s="34">
        <v>2.5</v>
      </c>
      <c r="GDK4095" s="34">
        <v>3</v>
      </c>
      <c r="GDL4095" s="34">
        <v>3.5</v>
      </c>
      <c r="GDM4095" s="34">
        <v>4</v>
      </c>
      <c r="GDN4095" s="34">
        <v>4.5</v>
      </c>
      <c r="GDO4095" s="34">
        <v>5</v>
      </c>
      <c r="GDQ4095" s="913"/>
      <c r="GDR4095" s="31">
        <v>1</v>
      </c>
      <c r="GDS4095" s="34">
        <v>0</v>
      </c>
      <c r="GDT4095" s="34">
        <v>-1</v>
      </c>
      <c r="GDU4095" s="34">
        <v>-2</v>
      </c>
      <c r="GDV4095" s="34">
        <v>-3</v>
      </c>
      <c r="GDW4095" s="34">
        <v>-4</v>
      </c>
      <c r="GDX4095" s="34">
        <v>-5</v>
      </c>
      <c r="GDY4095" s="908"/>
      <c r="GDZ4095" s="909"/>
      <c r="GEA4095" s="34">
        <v>-5</v>
      </c>
      <c r="GEB4095" s="34">
        <v>-4.5</v>
      </c>
      <c r="GEC4095" s="34">
        <v>-4</v>
      </c>
      <c r="GED4095" s="34">
        <v>-3.5</v>
      </c>
      <c r="GEE4095" s="34">
        <v>-3</v>
      </c>
      <c r="GEF4095" s="34">
        <v>-2.5</v>
      </c>
      <c r="GEG4095" s="34">
        <v>-2</v>
      </c>
      <c r="GEH4095" s="34">
        <v>-1.5</v>
      </c>
      <c r="GEI4095" s="34">
        <v>-1</v>
      </c>
      <c r="GEJ4095" s="34">
        <v>-0.5</v>
      </c>
      <c r="GEK4095" s="34">
        <v>0</v>
      </c>
      <c r="GEL4095" s="34">
        <v>0.5</v>
      </c>
      <c r="GEM4095" s="34">
        <v>1</v>
      </c>
      <c r="GEN4095" s="34">
        <v>1.5</v>
      </c>
      <c r="GEO4095" s="34">
        <v>2</v>
      </c>
      <c r="GEP4095" s="34">
        <v>2.5</v>
      </c>
      <c r="GEQ4095" s="34">
        <v>3</v>
      </c>
      <c r="GER4095" s="34">
        <v>3.5</v>
      </c>
      <c r="GES4095" s="34">
        <v>4</v>
      </c>
      <c r="GET4095" s="34">
        <v>4.5</v>
      </c>
      <c r="GEU4095" s="34">
        <v>5</v>
      </c>
      <c r="GEW4095" s="913"/>
      <c r="GEX4095" s="31">
        <v>1</v>
      </c>
      <c r="GEY4095" s="34">
        <v>0</v>
      </c>
      <c r="GEZ4095" s="34">
        <v>-1</v>
      </c>
      <c r="GFA4095" s="34">
        <v>-2</v>
      </c>
      <c r="GFB4095" s="34">
        <v>-3</v>
      </c>
      <c r="GFC4095" s="34">
        <v>-4</v>
      </c>
      <c r="GFD4095" s="34">
        <v>-5</v>
      </c>
      <c r="GFE4095" s="908"/>
      <c r="GFF4095" s="909"/>
      <c r="GFG4095" s="34">
        <v>-5</v>
      </c>
      <c r="GFH4095" s="34">
        <v>-4.5</v>
      </c>
      <c r="GFI4095" s="34">
        <v>-4</v>
      </c>
      <c r="GFJ4095" s="34">
        <v>-3.5</v>
      </c>
      <c r="GFK4095" s="34">
        <v>-3</v>
      </c>
      <c r="GFL4095" s="34">
        <v>-2.5</v>
      </c>
      <c r="GFM4095" s="34">
        <v>-2</v>
      </c>
      <c r="GFN4095" s="34">
        <v>-1.5</v>
      </c>
      <c r="GFO4095" s="34">
        <v>-1</v>
      </c>
      <c r="GFP4095" s="34">
        <v>-0.5</v>
      </c>
      <c r="GFQ4095" s="34">
        <v>0</v>
      </c>
      <c r="GFR4095" s="34">
        <v>0.5</v>
      </c>
      <c r="GFS4095" s="34">
        <v>1</v>
      </c>
      <c r="GFT4095" s="34">
        <v>1.5</v>
      </c>
      <c r="GFU4095" s="34">
        <v>2</v>
      </c>
      <c r="GFV4095" s="34">
        <v>2.5</v>
      </c>
      <c r="GFW4095" s="34">
        <v>3</v>
      </c>
      <c r="GFX4095" s="34">
        <v>3.5</v>
      </c>
      <c r="GFY4095" s="34">
        <v>4</v>
      </c>
      <c r="GFZ4095" s="34">
        <v>4.5</v>
      </c>
      <c r="GGA4095" s="34">
        <v>5</v>
      </c>
      <c r="GGC4095" s="913"/>
      <c r="GGD4095" s="31">
        <v>1</v>
      </c>
      <c r="GGE4095" s="34">
        <v>0</v>
      </c>
      <c r="GGF4095" s="34">
        <v>-1</v>
      </c>
      <c r="GGG4095" s="34">
        <v>-2</v>
      </c>
      <c r="GGH4095" s="34">
        <v>-3</v>
      </c>
      <c r="GGI4095" s="34">
        <v>-4</v>
      </c>
      <c r="GGJ4095" s="34">
        <v>-5</v>
      </c>
      <c r="GGK4095" s="908"/>
      <c r="GGL4095" s="909"/>
      <c r="GGM4095" s="34">
        <v>-5</v>
      </c>
      <c r="GGN4095" s="34">
        <v>-4.5</v>
      </c>
      <c r="GGO4095" s="34">
        <v>-4</v>
      </c>
      <c r="GGP4095" s="34">
        <v>-3.5</v>
      </c>
      <c r="GGQ4095" s="34">
        <v>-3</v>
      </c>
      <c r="GGR4095" s="34">
        <v>-2.5</v>
      </c>
      <c r="GGS4095" s="34">
        <v>-2</v>
      </c>
      <c r="GGT4095" s="34">
        <v>-1.5</v>
      </c>
      <c r="GGU4095" s="34">
        <v>-1</v>
      </c>
      <c r="GGV4095" s="34">
        <v>-0.5</v>
      </c>
      <c r="GGW4095" s="34">
        <v>0</v>
      </c>
      <c r="GGX4095" s="34">
        <v>0.5</v>
      </c>
      <c r="GGY4095" s="34">
        <v>1</v>
      </c>
      <c r="GGZ4095" s="34">
        <v>1.5</v>
      </c>
      <c r="GHA4095" s="34">
        <v>2</v>
      </c>
      <c r="GHB4095" s="34">
        <v>2.5</v>
      </c>
      <c r="GHC4095" s="34">
        <v>3</v>
      </c>
      <c r="GHD4095" s="34">
        <v>3.5</v>
      </c>
      <c r="GHE4095" s="34">
        <v>4</v>
      </c>
      <c r="GHF4095" s="34">
        <v>4.5</v>
      </c>
      <c r="GHG4095" s="34">
        <v>5</v>
      </c>
      <c r="GHI4095" s="913"/>
      <c r="GHJ4095" s="31">
        <v>1</v>
      </c>
      <c r="GHK4095" s="34">
        <v>0</v>
      </c>
      <c r="GHL4095" s="34">
        <v>-1</v>
      </c>
      <c r="GHM4095" s="34">
        <v>-2</v>
      </c>
      <c r="GHN4095" s="34">
        <v>-3</v>
      </c>
      <c r="GHO4095" s="34">
        <v>-4</v>
      </c>
      <c r="GHP4095" s="34">
        <v>-5</v>
      </c>
      <c r="GHQ4095" s="908"/>
      <c r="GHR4095" s="909"/>
      <c r="GHS4095" s="34">
        <v>-5</v>
      </c>
      <c r="GHT4095" s="34">
        <v>-4.5</v>
      </c>
      <c r="GHU4095" s="34">
        <v>-4</v>
      </c>
      <c r="GHV4095" s="34">
        <v>-3.5</v>
      </c>
      <c r="GHW4095" s="34">
        <v>-3</v>
      </c>
      <c r="GHX4095" s="34">
        <v>-2.5</v>
      </c>
      <c r="GHY4095" s="34">
        <v>-2</v>
      </c>
      <c r="GHZ4095" s="34">
        <v>-1.5</v>
      </c>
      <c r="GIA4095" s="34">
        <v>-1</v>
      </c>
      <c r="GIB4095" s="34">
        <v>-0.5</v>
      </c>
      <c r="GIC4095" s="34">
        <v>0</v>
      </c>
      <c r="GID4095" s="34">
        <v>0.5</v>
      </c>
      <c r="GIE4095" s="34">
        <v>1</v>
      </c>
      <c r="GIF4095" s="34">
        <v>1.5</v>
      </c>
      <c r="GIG4095" s="34">
        <v>2</v>
      </c>
      <c r="GIH4095" s="34">
        <v>2.5</v>
      </c>
      <c r="GII4095" s="34">
        <v>3</v>
      </c>
      <c r="GIJ4095" s="34">
        <v>3.5</v>
      </c>
      <c r="GIK4095" s="34">
        <v>4</v>
      </c>
      <c r="GIL4095" s="34">
        <v>4.5</v>
      </c>
      <c r="GIM4095" s="34">
        <v>5</v>
      </c>
      <c r="GIO4095" s="913"/>
      <c r="GIP4095" s="31">
        <v>1</v>
      </c>
      <c r="GIQ4095" s="34">
        <v>0</v>
      </c>
      <c r="GIR4095" s="34">
        <v>-1</v>
      </c>
      <c r="GIS4095" s="34">
        <v>-2</v>
      </c>
      <c r="GIT4095" s="34">
        <v>-3</v>
      </c>
      <c r="GIU4095" s="34">
        <v>-4</v>
      </c>
      <c r="GIV4095" s="34">
        <v>-5</v>
      </c>
      <c r="GIW4095" s="908"/>
      <c r="GIX4095" s="909"/>
      <c r="GIY4095" s="34">
        <v>-5</v>
      </c>
      <c r="GIZ4095" s="34">
        <v>-4.5</v>
      </c>
      <c r="GJA4095" s="34">
        <v>-4</v>
      </c>
      <c r="GJB4095" s="34">
        <v>-3.5</v>
      </c>
      <c r="GJC4095" s="34">
        <v>-3</v>
      </c>
      <c r="GJD4095" s="34">
        <v>-2.5</v>
      </c>
      <c r="GJE4095" s="34">
        <v>-2</v>
      </c>
      <c r="GJF4095" s="34">
        <v>-1.5</v>
      </c>
      <c r="GJG4095" s="34">
        <v>-1</v>
      </c>
      <c r="GJH4095" s="34">
        <v>-0.5</v>
      </c>
      <c r="GJI4095" s="34">
        <v>0</v>
      </c>
      <c r="GJJ4095" s="34">
        <v>0.5</v>
      </c>
      <c r="GJK4095" s="34">
        <v>1</v>
      </c>
      <c r="GJL4095" s="34">
        <v>1.5</v>
      </c>
      <c r="GJM4095" s="34">
        <v>2</v>
      </c>
      <c r="GJN4095" s="34">
        <v>2.5</v>
      </c>
      <c r="GJO4095" s="34">
        <v>3</v>
      </c>
      <c r="GJP4095" s="34">
        <v>3.5</v>
      </c>
      <c r="GJQ4095" s="34">
        <v>4</v>
      </c>
      <c r="GJR4095" s="34">
        <v>4.5</v>
      </c>
      <c r="GJS4095" s="34">
        <v>5</v>
      </c>
      <c r="GJU4095" s="913"/>
      <c r="GJV4095" s="31">
        <v>1</v>
      </c>
      <c r="GJW4095" s="34">
        <v>0</v>
      </c>
      <c r="GJX4095" s="34">
        <v>-1</v>
      </c>
      <c r="GJY4095" s="34">
        <v>-2</v>
      </c>
      <c r="GJZ4095" s="34">
        <v>-3</v>
      </c>
      <c r="GKA4095" s="34">
        <v>-4</v>
      </c>
      <c r="GKB4095" s="34">
        <v>-5</v>
      </c>
      <c r="GKC4095" s="908"/>
      <c r="GKD4095" s="909"/>
      <c r="GKE4095" s="34">
        <v>-5</v>
      </c>
      <c r="GKF4095" s="34">
        <v>-4.5</v>
      </c>
      <c r="GKG4095" s="34">
        <v>-4</v>
      </c>
      <c r="GKH4095" s="34">
        <v>-3.5</v>
      </c>
      <c r="GKI4095" s="34">
        <v>-3</v>
      </c>
      <c r="GKJ4095" s="34">
        <v>-2.5</v>
      </c>
      <c r="GKK4095" s="34">
        <v>-2</v>
      </c>
      <c r="GKL4095" s="34">
        <v>-1.5</v>
      </c>
      <c r="GKM4095" s="34">
        <v>-1</v>
      </c>
      <c r="GKN4095" s="34">
        <v>-0.5</v>
      </c>
      <c r="GKO4095" s="34">
        <v>0</v>
      </c>
      <c r="GKP4095" s="34">
        <v>0.5</v>
      </c>
      <c r="GKQ4095" s="34">
        <v>1</v>
      </c>
      <c r="GKR4095" s="34">
        <v>1.5</v>
      </c>
      <c r="GKS4095" s="34">
        <v>2</v>
      </c>
      <c r="GKT4095" s="34">
        <v>2.5</v>
      </c>
      <c r="GKU4095" s="34">
        <v>3</v>
      </c>
      <c r="GKV4095" s="34">
        <v>3.5</v>
      </c>
      <c r="GKW4095" s="34">
        <v>4</v>
      </c>
      <c r="GKX4095" s="34">
        <v>4.5</v>
      </c>
      <c r="GKY4095" s="34">
        <v>5</v>
      </c>
      <c r="GLA4095" s="913"/>
      <c r="GLB4095" s="31">
        <v>1</v>
      </c>
      <c r="GLC4095" s="34">
        <v>0</v>
      </c>
      <c r="GLD4095" s="34">
        <v>-1</v>
      </c>
      <c r="GLE4095" s="34">
        <v>-2</v>
      </c>
      <c r="GLF4095" s="34">
        <v>-3</v>
      </c>
      <c r="GLG4095" s="34">
        <v>-4</v>
      </c>
      <c r="GLH4095" s="34">
        <v>-5</v>
      </c>
      <c r="GLI4095" s="908"/>
      <c r="GLJ4095" s="909"/>
      <c r="GLK4095" s="34">
        <v>-5</v>
      </c>
      <c r="GLL4095" s="34">
        <v>-4.5</v>
      </c>
      <c r="GLM4095" s="34">
        <v>-4</v>
      </c>
      <c r="GLN4095" s="34">
        <v>-3.5</v>
      </c>
      <c r="GLO4095" s="34">
        <v>-3</v>
      </c>
      <c r="GLP4095" s="34">
        <v>-2.5</v>
      </c>
      <c r="GLQ4095" s="34">
        <v>-2</v>
      </c>
      <c r="GLR4095" s="34">
        <v>-1.5</v>
      </c>
      <c r="GLS4095" s="34">
        <v>-1</v>
      </c>
      <c r="GLT4095" s="34">
        <v>-0.5</v>
      </c>
      <c r="GLU4095" s="34">
        <v>0</v>
      </c>
      <c r="GLV4095" s="34">
        <v>0.5</v>
      </c>
      <c r="GLW4095" s="34">
        <v>1</v>
      </c>
      <c r="GLX4095" s="34">
        <v>1.5</v>
      </c>
      <c r="GLY4095" s="34">
        <v>2</v>
      </c>
      <c r="GLZ4095" s="34">
        <v>2.5</v>
      </c>
      <c r="GMA4095" s="34">
        <v>3</v>
      </c>
      <c r="GMB4095" s="34">
        <v>3.5</v>
      </c>
      <c r="GMC4095" s="34">
        <v>4</v>
      </c>
      <c r="GMD4095" s="34">
        <v>4.5</v>
      </c>
      <c r="GME4095" s="34">
        <v>5</v>
      </c>
      <c r="GMG4095" s="913"/>
      <c r="GMH4095" s="31">
        <v>1</v>
      </c>
      <c r="GMI4095" s="34">
        <v>0</v>
      </c>
      <c r="GMJ4095" s="34">
        <v>-1</v>
      </c>
      <c r="GMK4095" s="34">
        <v>-2</v>
      </c>
      <c r="GML4095" s="34">
        <v>-3</v>
      </c>
      <c r="GMM4095" s="34">
        <v>-4</v>
      </c>
      <c r="GMN4095" s="34">
        <v>-5</v>
      </c>
      <c r="GMO4095" s="908"/>
      <c r="GMP4095" s="909"/>
      <c r="GMQ4095" s="34">
        <v>-5</v>
      </c>
      <c r="GMR4095" s="34">
        <v>-4.5</v>
      </c>
      <c r="GMS4095" s="34">
        <v>-4</v>
      </c>
      <c r="GMT4095" s="34">
        <v>-3.5</v>
      </c>
      <c r="GMU4095" s="34">
        <v>-3</v>
      </c>
      <c r="GMV4095" s="34">
        <v>-2.5</v>
      </c>
      <c r="GMW4095" s="34">
        <v>-2</v>
      </c>
      <c r="GMX4095" s="34">
        <v>-1.5</v>
      </c>
      <c r="GMY4095" s="34">
        <v>-1</v>
      </c>
      <c r="GMZ4095" s="34">
        <v>-0.5</v>
      </c>
      <c r="GNA4095" s="34">
        <v>0</v>
      </c>
      <c r="GNB4095" s="34">
        <v>0.5</v>
      </c>
      <c r="GNC4095" s="34">
        <v>1</v>
      </c>
      <c r="GND4095" s="34">
        <v>1.5</v>
      </c>
      <c r="GNE4095" s="34">
        <v>2</v>
      </c>
      <c r="GNF4095" s="34">
        <v>2.5</v>
      </c>
      <c r="GNG4095" s="34">
        <v>3</v>
      </c>
      <c r="GNH4095" s="34">
        <v>3.5</v>
      </c>
      <c r="GNI4095" s="34">
        <v>4</v>
      </c>
      <c r="GNJ4095" s="34">
        <v>4.5</v>
      </c>
      <c r="GNK4095" s="34">
        <v>5</v>
      </c>
      <c r="GNM4095" s="913"/>
      <c r="GNN4095" s="31">
        <v>1</v>
      </c>
      <c r="GNO4095" s="34">
        <v>0</v>
      </c>
      <c r="GNP4095" s="34">
        <v>-1</v>
      </c>
      <c r="GNQ4095" s="34">
        <v>-2</v>
      </c>
      <c r="GNR4095" s="34">
        <v>-3</v>
      </c>
      <c r="GNS4095" s="34">
        <v>-4</v>
      </c>
      <c r="GNT4095" s="34">
        <v>-5</v>
      </c>
      <c r="GNU4095" s="908"/>
      <c r="GNV4095" s="909"/>
      <c r="GNW4095" s="34">
        <v>-5</v>
      </c>
      <c r="GNX4095" s="34">
        <v>-4.5</v>
      </c>
      <c r="GNY4095" s="34">
        <v>-4</v>
      </c>
      <c r="GNZ4095" s="34">
        <v>-3.5</v>
      </c>
      <c r="GOA4095" s="34">
        <v>-3</v>
      </c>
      <c r="GOB4095" s="34">
        <v>-2.5</v>
      </c>
      <c r="GOC4095" s="34">
        <v>-2</v>
      </c>
      <c r="GOD4095" s="34">
        <v>-1.5</v>
      </c>
      <c r="GOE4095" s="34">
        <v>-1</v>
      </c>
      <c r="GOF4095" s="34">
        <v>-0.5</v>
      </c>
      <c r="GOG4095" s="34">
        <v>0</v>
      </c>
      <c r="GOH4095" s="34">
        <v>0.5</v>
      </c>
      <c r="GOI4095" s="34">
        <v>1</v>
      </c>
      <c r="GOJ4095" s="34">
        <v>1.5</v>
      </c>
      <c r="GOK4095" s="34">
        <v>2</v>
      </c>
      <c r="GOL4095" s="34">
        <v>2.5</v>
      </c>
      <c r="GOM4095" s="34">
        <v>3</v>
      </c>
      <c r="GON4095" s="34">
        <v>3.5</v>
      </c>
      <c r="GOO4095" s="34">
        <v>4</v>
      </c>
      <c r="GOP4095" s="34">
        <v>4.5</v>
      </c>
      <c r="GOQ4095" s="34">
        <v>5</v>
      </c>
      <c r="GOS4095" s="913"/>
      <c r="GOT4095" s="31">
        <v>1</v>
      </c>
      <c r="GOU4095" s="34">
        <v>0</v>
      </c>
      <c r="GOV4095" s="34">
        <v>-1</v>
      </c>
      <c r="GOW4095" s="34">
        <v>-2</v>
      </c>
      <c r="GOX4095" s="34">
        <v>-3</v>
      </c>
      <c r="GOY4095" s="34">
        <v>-4</v>
      </c>
      <c r="GOZ4095" s="34">
        <v>-5</v>
      </c>
      <c r="GPA4095" s="908"/>
      <c r="GPB4095" s="909"/>
      <c r="GPC4095" s="34">
        <v>-5</v>
      </c>
      <c r="GPD4095" s="34">
        <v>-4.5</v>
      </c>
      <c r="GPE4095" s="34">
        <v>-4</v>
      </c>
      <c r="GPF4095" s="34">
        <v>-3.5</v>
      </c>
      <c r="GPG4095" s="34">
        <v>-3</v>
      </c>
      <c r="GPH4095" s="34">
        <v>-2.5</v>
      </c>
      <c r="GPI4095" s="34">
        <v>-2</v>
      </c>
      <c r="GPJ4095" s="34">
        <v>-1.5</v>
      </c>
      <c r="GPK4095" s="34">
        <v>-1</v>
      </c>
      <c r="GPL4095" s="34">
        <v>-0.5</v>
      </c>
      <c r="GPM4095" s="34">
        <v>0</v>
      </c>
      <c r="GPN4095" s="34">
        <v>0.5</v>
      </c>
      <c r="GPO4095" s="34">
        <v>1</v>
      </c>
      <c r="GPP4095" s="34">
        <v>1.5</v>
      </c>
      <c r="GPQ4095" s="34">
        <v>2</v>
      </c>
      <c r="GPR4095" s="34">
        <v>2.5</v>
      </c>
      <c r="GPS4095" s="34">
        <v>3</v>
      </c>
      <c r="GPT4095" s="34">
        <v>3.5</v>
      </c>
      <c r="GPU4095" s="34">
        <v>4</v>
      </c>
      <c r="GPV4095" s="34">
        <v>4.5</v>
      </c>
      <c r="GPW4095" s="34">
        <v>5</v>
      </c>
      <c r="GPY4095" s="913"/>
      <c r="GPZ4095" s="31">
        <v>1</v>
      </c>
      <c r="GQA4095" s="34">
        <v>0</v>
      </c>
      <c r="GQB4095" s="34">
        <v>-1</v>
      </c>
      <c r="GQC4095" s="34">
        <v>-2</v>
      </c>
      <c r="GQD4095" s="34">
        <v>-3</v>
      </c>
      <c r="GQE4095" s="34">
        <v>-4</v>
      </c>
      <c r="GQF4095" s="34">
        <v>-5</v>
      </c>
      <c r="GQG4095" s="908"/>
      <c r="GQH4095" s="909"/>
      <c r="GQI4095" s="34">
        <v>-5</v>
      </c>
      <c r="GQJ4095" s="34">
        <v>-4.5</v>
      </c>
      <c r="GQK4095" s="34">
        <v>-4</v>
      </c>
      <c r="GQL4095" s="34">
        <v>-3.5</v>
      </c>
      <c r="GQM4095" s="34">
        <v>-3</v>
      </c>
      <c r="GQN4095" s="34">
        <v>-2.5</v>
      </c>
      <c r="GQO4095" s="34">
        <v>-2</v>
      </c>
      <c r="GQP4095" s="34">
        <v>-1.5</v>
      </c>
      <c r="GQQ4095" s="34">
        <v>-1</v>
      </c>
      <c r="GQR4095" s="34">
        <v>-0.5</v>
      </c>
      <c r="GQS4095" s="34">
        <v>0</v>
      </c>
      <c r="GQT4095" s="34">
        <v>0.5</v>
      </c>
      <c r="GQU4095" s="34">
        <v>1</v>
      </c>
      <c r="GQV4095" s="34">
        <v>1.5</v>
      </c>
      <c r="GQW4095" s="34">
        <v>2</v>
      </c>
      <c r="GQX4095" s="34">
        <v>2.5</v>
      </c>
      <c r="GQY4095" s="34">
        <v>3</v>
      </c>
      <c r="GQZ4095" s="34">
        <v>3.5</v>
      </c>
      <c r="GRA4095" s="34">
        <v>4</v>
      </c>
      <c r="GRB4095" s="34">
        <v>4.5</v>
      </c>
      <c r="GRC4095" s="34">
        <v>5</v>
      </c>
      <c r="GRE4095" s="913"/>
      <c r="GRF4095" s="31">
        <v>1</v>
      </c>
      <c r="GRG4095" s="34">
        <v>0</v>
      </c>
      <c r="GRH4095" s="34">
        <v>-1</v>
      </c>
      <c r="GRI4095" s="34">
        <v>-2</v>
      </c>
      <c r="GRJ4095" s="34">
        <v>-3</v>
      </c>
      <c r="GRK4095" s="34">
        <v>-4</v>
      </c>
      <c r="GRL4095" s="34">
        <v>-5</v>
      </c>
      <c r="GRM4095" s="908"/>
      <c r="GRN4095" s="909"/>
      <c r="GRO4095" s="34">
        <v>-5</v>
      </c>
      <c r="GRP4095" s="34">
        <v>-4.5</v>
      </c>
      <c r="GRQ4095" s="34">
        <v>-4</v>
      </c>
      <c r="GRR4095" s="34">
        <v>-3.5</v>
      </c>
      <c r="GRS4095" s="34">
        <v>-3</v>
      </c>
      <c r="GRT4095" s="34">
        <v>-2.5</v>
      </c>
      <c r="GRU4095" s="34">
        <v>-2</v>
      </c>
      <c r="GRV4095" s="34">
        <v>-1.5</v>
      </c>
      <c r="GRW4095" s="34">
        <v>-1</v>
      </c>
      <c r="GRX4095" s="34">
        <v>-0.5</v>
      </c>
      <c r="GRY4095" s="34">
        <v>0</v>
      </c>
      <c r="GRZ4095" s="34">
        <v>0.5</v>
      </c>
      <c r="GSA4095" s="34">
        <v>1</v>
      </c>
      <c r="GSB4095" s="34">
        <v>1.5</v>
      </c>
      <c r="GSC4095" s="34">
        <v>2</v>
      </c>
      <c r="GSD4095" s="34">
        <v>2.5</v>
      </c>
      <c r="GSE4095" s="34">
        <v>3</v>
      </c>
      <c r="GSF4095" s="34">
        <v>3.5</v>
      </c>
      <c r="GSG4095" s="34">
        <v>4</v>
      </c>
      <c r="GSH4095" s="34">
        <v>4.5</v>
      </c>
      <c r="GSI4095" s="34">
        <v>5</v>
      </c>
      <c r="GSK4095" s="913"/>
      <c r="GSL4095" s="31">
        <v>1</v>
      </c>
      <c r="GSM4095" s="34">
        <v>0</v>
      </c>
      <c r="GSN4095" s="34">
        <v>-1</v>
      </c>
      <c r="GSO4095" s="34">
        <v>-2</v>
      </c>
      <c r="GSP4095" s="34">
        <v>-3</v>
      </c>
      <c r="GSQ4095" s="34">
        <v>-4</v>
      </c>
      <c r="GSR4095" s="34">
        <v>-5</v>
      </c>
      <c r="GSS4095" s="908"/>
      <c r="GST4095" s="909"/>
      <c r="GSU4095" s="34">
        <v>-5</v>
      </c>
      <c r="GSV4095" s="34">
        <v>-4.5</v>
      </c>
      <c r="GSW4095" s="34">
        <v>-4</v>
      </c>
      <c r="GSX4095" s="34">
        <v>-3.5</v>
      </c>
      <c r="GSY4095" s="34">
        <v>-3</v>
      </c>
      <c r="GSZ4095" s="34">
        <v>-2.5</v>
      </c>
      <c r="GTA4095" s="34">
        <v>-2</v>
      </c>
      <c r="GTB4095" s="34">
        <v>-1.5</v>
      </c>
      <c r="GTC4095" s="34">
        <v>-1</v>
      </c>
      <c r="GTD4095" s="34">
        <v>-0.5</v>
      </c>
      <c r="GTE4095" s="34">
        <v>0</v>
      </c>
      <c r="GTF4095" s="34">
        <v>0.5</v>
      </c>
      <c r="GTG4095" s="34">
        <v>1</v>
      </c>
      <c r="GTH4095" s="34">
        <v>1.5</v>
      </c>
      <c r="GTI4095" s="34">
        <v>2</v>
      </c>
      <c r="GTJ4095" s="34">
        <v>2.5</v>
      </c>
      <c r="GTK4095" s="34">
        <v>3</v>
      </c>
      <c r="GTL4095" s="34">
        <v>3.5</v>
      </c>
      <c r="GTM4095" s="34">
        <v>4</v>
      </c>
      <c r="GTN4095" s="34">
        <v>4.5</v>
      </c>
      <c r="GTO4095" s="34">
        <v>5</v>
      </c>
      <c r="GTQ4095" s="913"/>
      <c r="GTR4095" s="31">
        <v>1</v>
      </c>
      <c r="GTS4095" s="34">
        <v>0</v>
      </c>
      <c r="GTT4095" s="34">
        <v>-1</v>
      </c>
      <c r="GTU4095" s="34">
        <v>-2</v>
      </c>
      <c r="GTV4095" s="34">
        <v>-3</v>
      </c>
      <c r="GTW4095" s="34">
        <v>-4</v>
      </c>
      <c r="GTX4095" s="34">
        <v>-5</v>
      </c>
      <c r="GTY4095" s="908"/>
      <c r="GTZ4095" s="909"/>
      <c r="GUA4095" s="34">
        <v>-5</v>
      </c>
      <c r="GUB4095" s="34">
        <v>-4.5</v>
      </c>
      <c r="GUC4095" s="34">
        <v>-4</v>
      </c>
      <c r="GUD4095" s="34">
        <v>-3.5</v>
      </c>
      <c r="GUE4095" s="34">
        <v>-3</v>
      </c>
      <c r="GUF4095" s="34">
        <v>-2.5</v>
      </c>
      <c r="GUG4095" s="34">
        <v>-2</v>
      </c>
      <c r="GUH4095" s="34">
        <v>-1.5</v>
      </c>
      <c r="GUI4095" s="34">
        <v>-1</v>
      </c>
      <c r="GUJ4095" s="34">
        <v>-0.5</v>
      </c>
      <c r="GUK4095" s="34">
        <v>0</v>
      </c>
      <c r="GUL4095" s="34">
        <v>0.5</v>
      </c>
      <c r="GUM4095" s="34">
        <v>1</v>
      </c>
      <c r="GUN4095" s="34">
        <v>1.5</v>
      </c>
      <c r="GUO4095" s="34">
        <v>2</v>
      </c>
      <c r="GUP4095" s="34">
        <v>2.5</v>
      </c>
      <c r="GUQ4095" s="34">
        <v>3</v>
      </c>
      <c r="GUR4095" s="34">
        <v>3.5</v>
      </c>
      <c r="GUS4095" s="34">
        <v>4</v>
      </c>
      <c r="GUT4095" s="34">
        <v>4.5</v>
      </c>
      <c r="GUU4095" s="34">
        <v>5</v>
      </c>
      <c r="GUW4095" s="913"/>
      <c r="GUX4095" s="31">
        <v>1</v>
      </c>
      <c r="GUY4095" s="34">
        <v>0</v>
      </c>
      <c r="GUZ4095" s="34">
        <v>-1</v>
      </c>
      <c r="GVA4095" s="34">
        <v>-2</v>
      </c>
      <c r="GVB4095" s="34">
        <v>-3</v>
      </c>
      <c r="GVC4095" s="34">
        <v>-4</v>
      </c>
      <c r="GVD4095" s="34">
        <v>-5</v>
      </c>
      <c r="GVE4095" s="908"/>
      <c r="GVF4095" s="909"/>
      <c r="GVG4095" s="34">
        <v>-5</v>
      </c>
      <c r="GVH4095" s="34">
        <v>-4.5</v>
      </c>
      <c r="GVI4095" s="34">
        <v>-4</v>
      </c>
      <c r="GVJ4095" s="34">
        <v>-3.5</v>
      </c>
      <c r="GVK4095" s="34">
        <v>-3</v>
      </c>
      <c r="GVL4095" s="34">
        <v>-2.5</v>
      </c>
      <c r="GVM4095" s="34">
        <v>-2</v>
      </c>
      <c r="GVN4095" s="34">
        <v>-1.5</v>
      </c>
      <c r="GVO4095" s="34">
        <v>-1</v>
      </c>
      <c r="GVP4095" s="34">
        <v>-0.5</v>
      </c>
      <c r="GVQ4095" s="34">
        <v>0</v>
      </c>
      <c r="GVR4095" s="34">
        <v>0.5</v>
      </c>
      <c r="GVS4095" s="34">
        <v>1</v>
      </c>
      <c r="GVT4095" s="34">
        <v>1.5</v>
      </c>
      <c r="GVU4095" s="34">
        <v>2</v>
      </c>
      <c r="GVV4095" s="34">
        <v>2.5</v>
      </c>
      <c r="GVW4095" s="34">
        <v>3</v>
      </c>
      <c r="GVX4095" s="34">
        <v>3.5</v>
      </c>
      <c r="GVY4095" s="34">
        <v>4</v>
      </c>
      <c r="GVZ4095" s="34">
        <v>4.5</v>
      </c>
      <c r="GWA4095" s="34">
        <v>5</v>
      </c>
      <c r="GWC4095" s="913"/>
      <c r="GWD4095" s="31">
        <v>1</v>
      </c>
      <c r="GWE4095" s="34">
        <v>0</v>
      </c>
      <c r="GWF4095" s="34">
        <v>-1</v>
      </c>
      <c r="GWG4095" s="34">
        <v>-2</v>
      </c>
      <c r="GWH4095" s="34">
        <v>-3</v>
      </c>
      <c r="GWI4095" s="34">
        <v>-4</v>
      </c>
      <c r="GWJ4095" s="34">
        <v>-5</v>
      </c>
      <c r="GWK4095" s="908"/>
      <c r="GWL4095" s="909"/>
      <c r="GWM4095" s="34">
        <v>-5</v>
      </c>
      <c r="GWN4095" s="34">
        <v>-4.5</v>
      </c>
      <c r="GWO4095" s="34">
        <v>-4</v>
      </c>
      <c r="GWP4095" s="34">
        <v>-3.5</v>
      </c>
      <c r="GWQ4095" s="34">
        <v>-3</v>
      </c>
      <c r="GWR4095" s="34">
        <v>-2.5</v>
      </c>
      <c r="GWS4095" s="34">
        <v>-2</v>
      </c>
      <c r="GWT4095" s="34">
        <v>-1.5</v>
      </c>
      <c r="GWU4095" s="34">
        <v>-1</v>
      </c>
      <c r="GWV4095" s="34">
        <v>-0.5</v>
      </c>
      <c r="GWW4095" s="34">
        <v>0</v>
      </c>
      <c r="GWX4095" s="34">
        <v>0.5</v>
      </c>
      <c r="GWY4095" s="34">
        <v>1</v>
      </c>
      <c r="GWZ4095" s="34">
        <v>1.5</v>
      </c>
      <c r="GXA4095" s="34">
        <v>2</v>
      </c>
      <c r="GXB4095" s="34">
        <v>2.5</v>
      </c>
      <c r="GXC4095" s="34">
        <v>3</v>
      </c>
      <c r="GXD4095" s="34">
        <v>3.5</v>
      </c>
      <c r="GXE4095" s="34">
        <v>4</v>
      </c>
      <c r="GXF4095" s="34">
        <v>4.5</v>
      </c>
      <c r="GXG4095" s="34">
        <v>5</v>
      </c>
      <c r="GXI4095" s="913"/>
      <c r="GXJ4095" s="31">
        <v>1</v>
      </c>
      <c r="GXK4095" s="34">
        <v>0</v>
      </c>
      <c r="GXL4095" s="34">
        <v>-1</v>
      </c>
      <c r="GXM4095" s="34">
        <v>-2</v>
      </c>
      <c r="GXN4095" s="34">
        <v>-3</v>
      </c>
      <c r="GXO4095" s="34">
        <v>-4</v>
      </c>
      <c r="GXP4095" s="34">
        <v>-5</v>
      </c>
      <c r="GXQ4095" s="908"/>
      <c r="GXR4095" s="909"/>
      <c r="GXS4095" s="34">
        <v>-5</v>
      </c>
      <c r="GXT4095" s="34">
        <v>-4.5</v>
      </c>
      <c r="GXU4095" s="34">
        <v>-4</v>
      </c>
      <c r="GXV4095" s="34">
        <v>-3.5</v>
      </c>
      <c r="GXW4095" s="34">
        <v>-3</v>
      </c>
      <c r="GXX4095" s="34">
        <v>-2.5</v>
      </c>
      <c r="GXY4095" s="34">
        <v>-2</v>
      </c>
      <c r="GXZ4095" s="34">
        <v>-1.5</v>
      </c>
      <c r="GYA4095" s="34">
        <v>-1</v>
      </c>
      <c r="GYB4095" s="34">
        <v>-0.5</v>
      </c>
      <c r="GYC4095" s="34">
        <v>0</v>
      </c>
      <c r="GYD4095" s="34">
        <v>0.5</v>
      </c>
      <c r="GYE4095" s="34">
        <v>1</v>
      </c>
      <c r="GYF4095" s="34">
        <v>1.5</v>
      </c>
      <c r="GYG4095" s="34">
        <v>2</v>
      </c>
      <c r="GYH4095" s="34">
        <v>2.5</v>
      </c>
      <c r="GYI4095" s="34">
        <v>3</v>
      </c>
      <c r="GYJ4095" s="34">
        <v>3.5</v>
      </c>
      <c r="GYK4095" s="34">
        <v>4</v>
      </c>
      <c r="GYL4095" s="34">
        <v>4.5</v>
      </c>
      <c r="GYM4095" s="34">
        <v>5</v>
      </c>
      <c r="GYO4095" s="913"/>
      <c r="GYP4095" s="31">
        <v>1</v>
      </c>
      <c r="GYQ4095" s="34">
        <v>0</v>
      </c>
      <c r="GYR4095" s="34">
        <v>-1</v>
      </c>
      <c r="GYS4095" s="34">
        <v>-2</v>
      </c>
      <c r="GYT4095" s="34">
        <v>-3</v>
      </c>
      <c r="GYU4095" s="34">
        <v>-4</v>
      </c>
      <c r="GYV4095" s="34">
        <v>-5</v>
      </c>
      <c r="GYW4095" s="908"/>
      <c r="GYX4095" s="909"/>
      <c r="GYY4095" s="34">
        <v>-5</v>
      </c>
      <c r="GYZ4095" s="34">
        <v>-4.5</v>
      </c>
      <c r="GZA4095" s="34">
        <v>-4</v>
      </c>
      <c r="GZB4095" s="34">
        <v>-3.5</v>
      </c>
      <c r="GZC4095" s="34">
        <v>-3</v>
      </c>
      <c r="GZD4095" s="34">
        <v>-2.5</v>
      </c>
      <c r="GZE4095" s="34">
        <v>-2</v>
      </c>
      <c r="GZF4095" s="34">
        <v>-1.5</v>
      </c>
      <c r="GZG4095" s="34">
        <v>-1</v>
      </c>
      <c r="GZH4095" s="34">
        <v>-0.5</v>
      </c>
      <c r="GZI4095" s="34">
        <v>0</v>
      </c>
      <c r="GZJ4095" s="34">
        <v>0.5</v>
      </c>
      <c r="GZK4095" s="34">
        <v>1</v>
      </c>
      <c r="GZL4095" s="34">
        <v>1.5</v>
      </c>
      <c r="GZM4095" s="34">
        <v>2</v>
      </c>
      <c r="GZN4095" s="34">
        <v>2.5</v>
      </c>
      <c r="GZO4095" s="34">
        <v>3</v>
      </c>
      <c r="GZP4095" s="34">
        <v>3.5</v>
      </c>
      <c r="GZQ4095" s="34">
        <v>4</v>
      </c>
      <c r="GZR4095" s="34">
        <v>4.5</v>
      </c>
      <c r="GZS4095" s="34">
        <v>5</v>
      </c>
      <c r="GZU4095" s="913"/>
      <c r="GZV4095" s="31">
        <v>1</v>
      </c>
      <c r="GZW4095" s="34">
        <v>0</v>
      </c>
      <c r="GZX4095" s="34">
        <v>-1</v>
      </c>
      <c r="GZY4095" s="34">
        <v>-2</v>
      </c>
      <c r="GZZ4095" s="34">
        <v>-3</v>
      </c>
      <c r="HAA4095" s="34">
        <v>-4</v>
      </c>
      <c r="HAB4095" s="34">
        <v>-5</v>
      </c>
      <c r="HAC4095" s="908"/>
      <c r="HAD4095" s="909"/>
      <c r="HAE4095" s="34">
        <v>-5</v>
      </c>
      <c r="HAF4095" s="34">
        <v>-4.5</v>
      </c>
      <c r="HAG4095" s="34">
        <v>-4</v>
      </c>
      <c r="HAH4095" s="34">
        <v>-3.5</v>
      </c>
      <c r="HAI4095" s="34">
        <v>-3</v>
      </c>
      <c r="HAJ4095" s="34">
        <v>-2.5</v>
      </c>
      <c r="HAK4095" s="34">
        <v>-2</v>
      </c>
      <c r="HAL4095" s="34">
        <v>-1.5</v>
      </c>
      <c r="HAM4095" s="34">
        <v>-1</v>
      </c>
      <c r="HAN4095" s="34">
        <v>-0.5</v>
      </c>
      <c r="HAO4095" s="34">
        <v>0</v>
      </c>
      <c r="HAP4095" s="34">
        <v>0.5</v>
      </c>
      <c r="HAQ4095" s="34">
        <v>1</v>
      </c>
      <c r="HAR4095" s="34">
        <v>1.5</v>
      </c>
      <c r="HAS4095" s="34">
        <v>2</v>
      </c>
      <c r="HAT4095" s="34">
        <v>2.5</v>
      </c>
      <c r="HAU4095" s="34">
        <v>3</v>
      </c>
      <c r="HAV4095" s="34">
        <v>3.5</v>
      </c>
      <c r="HAW4095" s="34">
        <v>4</v>
      </c>
      <c r="HAX4095" s="34">
        <v>4.5</v>
      </c>
      <c r="HAY4095" s="34">
        <v>5</v>
      </c>
      <c r="HBA4095" s="913"/>
      <c r="HBB4095" s="31">
        <v>1</v>
      </c>
      <c r="HBC4095" s="34">
        <v>0</v>
      </c>
      <c r="HBD4095" s="34">
        <v>-1</v>
      </c>
      <c r="HBE4095" s="34">
        <v>-2</v>
      </c>
      <c r="HBF4095" s="34">
        <v>-3</v>
      </c>
      <c r="HBG4095" s="34">
        <v>-4</v>
      </c>
      <c r="HBH4095" s="34">
        <v>-5</v>
      </c>
      <c r="HBI4095" s="908"/>
      <c r="HBJ4095" s="909"/>
      <c r="HBK4095" s="34">
        <v>-5</v>
      </c>
      <c r="HBL4095" s="34">
        <v>-4.5</v>
      </c>
      <c r="HBM4095" s="34">
        <v>-4</v>
      </c>
      <c r="HBN4095" s="34">
        <v>-3.5</v>
      </c>
      <c r="HBO4095" s="34">
        <v>-3</v>
      </c>
      <c r="HBP4095" s="34">
        <v>-2.5</v>
      </c>
      <c r="HBQ4095" s="34">
        <v>-2</v>
      </c>
      <c r="HBR4095" s="34">
        <v>-1.5</v>
      </c>
      <c r="HBS4095" s="34">
        <v>-1</v>
      </c>
      <c r="HBT4095" s="34">
        <v>-0.5</v>
      </c>
      <c r="HBU4095" s="34">
        <v>0</v>
      </c>
      <c r="HBV4095" s="34">
        <v>0.5</v>
      </c>
      <c r="HBW4095" s="34">
        <v>1</v>
      </c>
      <c r="HBX4095" s="34">
        <v>1.5</v>
      </c>
      <c r="HBY4095" s="34">
        <v>2</v>
      </c>
      <c r="HBZ4095" s="34">
        <v>2.5</v>
      </c>
      <c r="HCA4095" s="34">
        <v>3</v>
      </c>
      <c r="HCB4095" s="34">
        <v>3.5</v>
      </c>
      <c r="HCC4095" s="34">
        <v>4</v>
      </c>
      <c r="HCD4095" s="34">
        <v>4.5</v>
      </c>
      <c r="HCE4095" s="34">
        <v>5</v>
      </c>
      <c r="HCG4095" s="913"/>
      <c r="HCH4095" s="31">
        <v>1</v>
      </c>
      <c r="HCI4095" s="34">
        <v>0</v>
      </c>
      <c r="HCJ4095" s="34">
        <v>-1</v>
      </c>
      <c r="HCK4095" s="34">
        <v>-2</v>
      </c>
      <c r="HCL4095" s="34">
        <v>-3</v>
      </c>
      <c r="HCM4095" s="34">
        <v>-4</v>
      </c>
      <c r="HCN4095" s="34">
        <v>-5</v>
      </c>
      <c r="HCO4095" s="908"/>
      <c r="HCP4095" s="909"/>
      <c r="HCQ4095" s="34">
        <v>-5</v>
      </c>
      <c r="HCR4095" s="34">
        <v>-4.5</v>
      </c>
      <c r="HCS4095" s="34">
        <v>-4</v>
      </c>
      <c r="HCT4095" s="34">
        <v>-3.5</v>
      </c>
      <c r="HCU4095" s="34">
        <v>-3</v>
      </c>
      <c r="HCV4095" s="34">
        <v>-2.5</v>
      </c>
      <c r="HCW4095" s="34">
        <v>-2</v>
      </c>
      <c r="HCX4095" s="34">
        <v>-1.5</v>
      </c>
      <c r="HCY4095" s="34">
        <v>-1</v>
      </c>
      <c r="HCZ4095" s="34">
        <v>-0.5</v>
      </c>
      <c r="HDA4095" s="34">
        <v>0</v>
      </c>
      <c r="HDB4095" s="34">
        <v>0.5</v>
      </c>
      <c r="HDC4095" s="34">
        <v>1</v>
      </c>
      <c r="HDD4095" s="34">
        <v>1.5</v>
      </c>
      <c r="HDE4095" s="34">
        <v>2</v>
      </c>
      <c r="HDF4095" s="34">
        <v>2.5</v>
      </c>
      <c r="HDG4095" s="34">
        <v>3</v>
      </c>
      <c r="HDH4095" s="34">
        <v>3.5</v>
      </c>
      <c r="HDI4095" s="34">
        <v>4</v>
      </c>
      <c r="HDJ4095" s="34">
        <v>4.5</v>
      </c>
      <c r="HDK4095" s="34">
        <v>5</v>
      </c>
      <c r="HDM4095" s="913"/>
      <c r="HDN4095" s="31">
        <v>1</v>
      </c>
      <c r="HDO4095" s="34">
        <v>0</v>
      </c>
      <c r="HDP4095" s="34">
        <v>-1</v>
      </c>
      <c r="HDQ4095" s="34">
        <v>-2</v>
      </c>
      <c r="HDR4095" s="34">
        <v>-3</v>
      </c>
      <c r="HDS4095" s="34">
        <v>-4</v>
      </c>
      <c r="HDT4095" s="34">
        <v>-5</v>
      </c>
      <c r="HDU4095" s="908"/>
      <c r="HDV4095" s="909"/>
      <c r="HDW4095" s="34">
        <v>-5</v>
      </c>
      <c r="HDX4095" s="34">
        <v>-4.5</v>
      </c>
      <c r="HDY4095" s="34">
        <v>-4</v>
      </c>
      <c r="HDZ4095" s="34">
        <v>-3.5</v>
      </c>
      <c r="HEA4095" s="34">
        <v>-3</v>
      </c>
      <c r="HEB4095" s="34">
        <v>-2.5</v>
      </c>
      <c r="HEC4095" s="34">
        <v>-2</v>
      </c>
      <c r="HED4095" s="34">
        <v>-1.5</v>
      </c>
      <c r="HEE4095" s="34">
        <v>-1</v>
      </c>
      <c r="HEF4095" s="34">
        <v>-0.5</v>
      </c>
      <c r="HEG4095" s="34">
        <v>0</v>
      </c>
      <c r="HEH4095" s="34">
        <v>0.5</v>
      </c>
      <c r="HEI4095" s="34">
        <v>1</v>
      </c>
      <c r="HEJ4095" s="34">
        <v>1.5</v>
      </c>
      <c r="HEK4095" s="34">
        <v>2</v>
      </c>
      <c r="HEL4095" s="34">
        <v>2.5</v>
      </c>
      <c r="HEM4095" s="34">
        <v>3</v>
      </c>
      <c r="HEN4095" s="34">
        <v>3.5</v>
      </c>
      <c r="HEO4095" s="34">
        <v>4</v>
      </c>
      <c r="HEP4095" s="34">
        <v>4.5</v>
      </c>
      <c r="HEQ4095" s="34">
        <v>5</v>
      </c>
      <c r="HES4095" s="913"/>
      <c r="HET4095" s="31">
        <v>1</v>
      </c>
      <c r="HEU4095" s="34">
        <v>0</v>
      </c>
      <c r="HEV4095" s="34">
        <v>-1</v>
      </c>
      <c r="HEW4095" s="34">
        <v>-2</v>
      </c>
      <c r="HEX4095" s="34">
        <v>-3</v>
      </c>
      <c r="HEY4095" s="34">
        <v>-4</v>
      </c>
      <c r="HEZ4095" s="34">
        <v>-5</v>
      </c>
      <c r="HFA4095" s="908"/>
      <c r="HFB4095" s="909"/>
      <c r="HFC4095" s="34">
        <v>-5</v>
      </c>
      <c r="HFD4095" s="34">
        <v>-4.5</v>
      </c>
      <c r="HFE4095" s="34">
        <v>-4</v>
      </c>
      <c r="HFF4095" s="34">
        <v>-3.5</v>
      </c>
      <c r="HFG4095" s="34">
        <v>-3</v>
      </c>
      <c r="HFH4095" s="34">
        <v>-2.5</v>
      </c>
      <c r="HFI4095" s="34">
        <v>-2</v>
      </c>
      <c r="HFJ4095" s="34">
        <v>-1.5</v>
      </c>
      <c r="HFK4095" s="34">
        <v>-1</v>
      </c>
      <c r="HFL4095" s="34">
        <v>-0.5</v>
      </c>
      <c r="HFM4095" s="34">
        <v>0</v>
      </c>
      <c r="HFN4095" s="34">
        <v>0.5</v>
      </c>
      <c r="HFO4095" s="34">
        <v>1</v>
      </c>
      <c r="HFP4095" s="34">
        <v>1.5</v>
      </c>
      <c r="HFQ4095" s="34">
        <v>2</v>
      </c>
      <c r="HFR4095" s="34">
        <v>2.5</v>
      </c>
      <c r="HFS4095" s="34">
        <v>3</v>
      </c>
      <c r="HFT4095" s="34">
        <v>3.5</v>
      </c>
      <c r="HFU4095" s="34">
        <v>4</v>
      </c>
      <c r="HFV4095" s="34">
        <v>4.5</v>
      </c>
      <c r="HFW4095" s="34">
        <v>5</v>
      </c>
      <c r="HFY4095" s="913"/>
      <c r="HFZ4095" s="31">
        <v>1</v>
      </c>
      <c r="HGA4095" s="34">
        <v>0</v>
      </c>
      <c r="HGB4095" s="34">
        <v>-1</v>
      </c>
      <c r="HGC4095" s="34">
        <v>-2</v>
      </c>
      <c r="HGD4095" s="34">
        <v>-3</v>
      </c>
      <c r="HGE4095" s="34">
        <v>-4</v>
      </c>
      <c r="HGF4095" s="34">
        <v>-5</v>
      </c>
      <c r="HGG4095" s="908"/>
      <c r="HGH4095" s="909"/>
      <c r="HGI4095" s="34">
        <v>-5</v>
      </c>
      <c r="HGJ4095" s="34">
        <v>-4.5</v>
      </c>
      <c r="HGK4095" s="34">
        <v>-4</v>
      </c>
      <c r="HGL4095" s="34">
        <v>-3.5</v>
      </c>
      <c r="HGM4095" s="34">
        <v>-3</v>
      </c>
      <c r="HGN4095" s="34">
        <v>-2.5</v>
      </c>
      <c r="HGO4095" s="34">
        <v>-2</v>
      </c>
      <c r="HGP4095" s="34">
        <v>-1.5</v>
      </c>
      <c r="HGQ4095" s="34">
        <v>-1</v>
      </c>
      <c r="HGR4095" s="34">
        <v>-0.5</v>
      </c>
      <c r="HGS4095" s="34">
        <v>0</v>
      </c>
      <c r="HGT4095" s="34">
        <v>0.5</v>
      </c>
      <c r="HGU4095" s="34">
        <v>1</v>
      </c>
      <c r="HGV4095" s="34">
        <v>1.5</v>
      </c>
      <c r="HGW4095" s="34">
        <v>2</v>
      </c>
      <c r="HGX4095" s="34">
        <v>2.5</v>
      </c>
      <c r="HGY4095" s="34">
        <v>3</v>
      </c>
      <c r="HGZ4095" s="34">
        <v>3.5</v>
      </c>
      <c r="HHA4095" s="34">
        <v>4</v>
      </c>
      <c r="HHB4095" s="34">
        <v>4.5</v>
      </c>
      <c r="HHC4095" s="34">
        <v>5</v>
      </c>
      <c r="HHE4095" s="913"/>
      <c r="HHF4095" s="31">
        <v>1</v>
      </c>
      <c r="HHG4095" s="34">
        <v>0</v>
      </c>
      <c r="HHH4095" s="34">
        <v>-1</v>
      </c>
      <c r="HHI4095" s="34">
        <v>-2</v>
      </c>
      <c r="HHJ4095" s="34">
        <v>-3</v>
      </c>
      <c r="HHK4095" s="34">
        <v>-4</v>
      </c>
      <c r="HHL4095" s="34">
        <v>-5</v>
      </c>
      <c r="HHM4095" s="908"/>
      <c r="HHN4095" s="909"/>
      <c r="HHO4095" s="34">
        <v>-5</v>
      </c>
      <c r="HHP4095" s="34">
        <v>-4.5</v>
      </c>
      <c r="HHQ4095" s="34">
        <v>-4</v>
      </c>
      <c r="HHR4095" s="34">
        <v>-3.5</v>
      </c>
      <c r="HHS4095" s="34">
        <v>-3</v>
      </c>
      <c r="HHT4095" s="34">
        <v>-2.5</v>
      </c>
      <c r="HHU4095" s="34">
        <v>-2</v>
      </c>
      <c r="HHV4095" s="34">
        <v>-1.5</v>
      </c>
      <c r="HHW4095" s="34">
        <v>-1</v>
      </c>
      <c r="HHX4095" s="34">
        <v>-0.5</v>
      </c>
      <c r="HHY4095" s="34">
        <v>0</v>
      </c>
      <c r="HHZ4095" s="34">
        <v>0.5</v>
      </c>
      <c r="HIA4095" s="34">
        <v>1</v>
      </c>
      <c r="HIB4095" s="34">
        <v>1.5</v>
      </c>
      <c r="HIC4095" s="34">
        <v>2</v>
      </c>
      <c r="HID4095" s="34">
        <v>2.5</v>
      </c>
      <c r="HIE4095" s="34">
        <v>3</v>
      </c>
      <c r="HIF4095" s="34">
        <v>3.5</v>
      </c>
      <c r="HIG4095" s="34">
        <v>4</v>
      </c>
      <c r="HIH4095" s="34">
        <v>4.5</v>
      </c>
      <c r="HII4095" s="34">
        <v>5</v>
      </c>
      <c r="HIK4095" s="913"/>
      <c r="HIL4095" s="31">
        <v>1</v>
      </c>
      <c r="HIM4095" s="34">
        <v>0</v>
      </c>
      <c r="HIN4095" s="34">
        <v>-1</v>
      </c>
      <c r="HIO4095" s="34">
        <v>-2</v>
      </c>
      <c r="HIP4095" s="34">
        <v>-3</v>
      </c>
      <c r="HIQ4095" s="34">
        <v>-4</v>
      </c>
      <c r="HIR4095" s="34">
        <v>-5</v>
      </c>
      <c r="HIS4095" s="908"/>
      <c r="HIT4095" s="909"/>
      <c r="HIU4095" s="34">
        <v>-5</v>
      </c>
      <c r="HIV4095" s="34">
        <v>-4.5</v>
      </c>
      <c r="HIW4095" s="34">
        <v>-4</v>
      </c>
      <c r="HIX4095" s="34">
        <v>-3.5</v>
      </c>
      <c r="HIY4095" s="34">
        <v>-3</v>
      </c>
      <c r="HIZ4095" s="34">
        <v>-2.5</v>
      </c>
      <c r="HJA4095" s="34">
        <v>-2</v>
      </c>
      <c r="HJB4095" s="34">
        <v>-1.5</v>
      </c>
      <c r="HJC4095" s="34">
        <v>-1</v>
      </c>
      <c r="HJD4095" s="34">
        <v>-0.5</v>
      </c>
      <c r="HJE4095" s="34">
        <v>0</v>
      </c>
      <c r="HJF4095" s="34">
        <v>0.5</v>
      </c>
      <c r="HJG4095" s="34">
        <v>1</v>
      </c>
      <c r="HJH4095" s="34">
        <v>1.5</v>
      </c>
      <c r="HJI4095" s="34">
        <v>2</v>
      </c>
      <c r="HJJ4095" s="34">
        <v>2.5</v>
      </c>
      <c r="HJK4095" s="34">
        <v>3</v>
      </c>
      <c r="HJL4095" s="34">
        <v>3.5</v>
      </c>
      <c r="HJM4095" s="34">
        <v>4</v>
      </c>
      <c r="HJN4095" s="34">
        <v>4.5</v>
      </c>
      <c r="HJO4095" s="34">
        <v>5</v>
      </c>
      <c r="HJQ4095" s="913"/>
      <c r="HJR4095" s="31">
        <v>1</v>
      </c>
      <c r="HJS4095" s="34">
        <v>0</v>
      </c>
      <c r="HJT4095" s="34">
        <v>-1</v>
      </c>
      <c r="HJU4095" s="34">
        <v>-2</v>
      </c>
      <c r="HJV4095" s="34">
        <v>-3</v>
      </c>
      <c r="HJW4095" s="34">
        <v>-4</v>
      </c>
      <c r="HJX4095" s="34">
        <v>-5</v>
      </c>
      <c r="HJY4095" s="908"/>
      <c r="HJZ4095" s="909"/>
      <c r="HKA4095" s="34">
        <v>-5</v>
      </c>
      <c r="HKB4095" s="34">
        <v>-4.5</v>
      </c>
      <c r="HKC4095" s="34">
        <v>-4</v>
      </c>
      <c r="HKD4095" s="34">
        <v>-3.5</v>
      </c>
      <c r="HKE4095" s="34">
        <v>-3</v>
      </c>
      <c r="HKF4095" s="34">
        <v>-2.5</v>
      </c>
      <c r="HKG4095" s="34">
        <v>-2</v>
      </c>
      <c r="HKH4095" s="34">
        <v>-1.5</v>
      </c>
      <c r="HKI4095" s="34">
        <v>-1</v>
      </c>
      <c r="HKJ4095" s="34">
        <v>-0.5</v>
      </c>
      <c r="HKK4095" s="34">
        <v>0</v>
      </c>
      <c r="HKL4095" s="34">
        <v>0.5</v>
      </c>
      <c r="HKM4095" s="34">
        <v>1</v>
      </c>
      <c r="HKN4095" s="34">
        <v>1.5</v>
      </c>
      <c r="HKO4095" s="34">
        <v>2</v>
      </c>
      <c r="HKP4095" s="34">
        <v>2.5</v>
      </c>
      <c r="HKQ4095" s="34">
        <v>3</v>
      </c>
      <c r="HKR4095" s="34">
        <v>3.5</v>
      </c>
      <c r="HKS4095" s="34">
        <v>4</v>
      </c>
      <c r="HKT4095" s="34">
        <v>4.5</v>
      </c>
      <c r="HKU4095" s="34">
        <v>5</v>
      </c>
      <c r="HKW4095" s="913"/>
      <c r="HKX4095" s="31">
        <v>1</v>
      </c>
      <c r="HKY4095" s="34">
        <v>0</v>
      </c>
      <c r="HKZ4095" s="34">
        <v>-1</v>
      </c>
      <c r="HLA4095" s="34">
        <v>-2</v>
      </c>
      <c r="HLB4095" s="34">
        <v>-3</v>
      </c>
      <c r="HLC4095" s="34">
        <v>-4</v>
      </c>
      <c r="HLD4095" s="34">
        <v>-5</v>
      </c>
      <c r="HLE4095" s="908"/>
      <c r="HLF4095" s="909"/>
      <c r="HLG4095" s="34">
        <v>-5</v>
      </c>
      <c r="HLH4095" s="34">
        <v>-4.5</v>
      </c>
      <c r="HLI4095" s="34">
        <v>-4</v>
      </c>
      <c r="HLJ4095" s="34">
        <v>-3.5</v>
      </c>
      <c r="HLK4095" s="34">
        <v>-3</v>
      </c>
      <c r="HLL4095" s="34">
        <v>-2.5</v>
      </c>
      <c r="HLM4095" s="34">
        <v>-2</v>
      </c>
      <c r="HLN4095" s="34">
        <v>-1.5</v>
      </c>
      <c r="HLO4095" s="34">
        <v>-1</v>
      </c>
      <c r="HLP4095" s="34">
        <v>-0.5</v>
      </c>
      <c r="HLQ4095" s="34">
        <v>0</v>
      </c>
      <c r="HLR4095" s="34">
        <v>0.5</v>
      </c>
      <c r="HLS4095" s="34">
        <v>1</v>
      </c>
      <c r="HLT4095" s="34">
        <v>1.5</v>
      </c>
      <c r="HLU4095" s="34">
        <v>2</v>
      </c>
      <c r="HLV4095" s="34">
        <v>2.5</v>
      </c>
      <c r="HLW4095" s="34">
        <v>3</v>
      </c>
      <c r="HLX4095" s="34">
        <v>3.5</v>
      </c>
      <c r="HLY4095" s="34">
        <v>4</v>
      </c>
      <c r="HLZ4095" s="34">
        <v>4.5</v>
      </c>
      <c r="HMA4095" s="34">
        <v>5</v>
      </c>
      <c r="HMC4095" s="913"/>
      <c r="HMD4095" s="31">
        <v>1</v>
      </c>
      <c r="HME4095" s="34">
        <v>0</v>
      </c>
      <c r="HMF4095" s="34">
        <v>-1</v>
      </c>
      <c r="HMG4095" s="34">
        <v>-2</v>
      </c>
      <c r="HMH4095" s="34">
        <v>-3</v>
      </c>
      <c r="HMI4095" s="34">
        <v>-4</v>
      </c>
      <c r="HMJ4095" s="34">
        <v>-5</v>
      </c>
      <c r="HMK4095" s="908"/>
      <c r="HML4095" s="909"/>
      <c r="HMM4095" s="34">
        <v>-5</v>
      </c>
      <c r="HMN4095" s="34">
        <v>-4.5</v>
      </c>
      <c r="HMO4095" s="34">
        <v>-4</v>
      </c>
      <c r="HMP4095" s="34">
        <v>-3.5</v>
      </c>
      <c r="HMQ4095" s="34">
        <v>-3</v>
      </c>
      <c r="HMR4095" s="34">
        <v>-2.5</v>
      </c>
      <c r="HMS4095" s="34">
        <v>-2</v>
      </c>
      <c r="HMT4095" s="34">
        <v>-1.5</v>
      </c>
      <c r="HMU4095" s="34">
        <v>-1</v>
      </c>
      <c r="HMV4095" s="34">
        <v>-0.5</v>
      </c>
      <c r="HMW4095" s="34">
        <v>0</v>
      </c>
      <c r="HMX4095" s="34">
        <v>0.5</v>
      </c>
      <c r="HMY4095" s="34">
        <v>1</v>
      </c>
      <c r="HMZ4095" s="34">
        <v>1.5</v>
      </c>
      <c r="HNA4095" s="34">
        <v>2</v>
      </c>
      <c r="HNB4095" s="34">
        <v>2.5</v>
      </c>
      <c r="HNC4095" s="34">
        <v>3</v>
      </c>
      <c r="HND4095" s="34">
        <v>3.5</v>
      </c>
      <c r="HNE4095" s="34">
        <v>4</v>
      </c>
      <c r="HNF4095" s="34">
        <v>4.5</v>
      </c>
      <c r="HNG4095" s="34">
        <v>5</v>
      </c>
      <c r="HNI4095" s="913"/>
      <c r="HNJ4095" s="31">
        <v>1</v>
      </c>
      <c r="HNK4095" s="34">
        <v>0</v>
      </c>
      <c r="HNL4095" s="34">
        <v>-1</v>
      </c>
      <c r="HNM4095" s="34">
        <v>-2</v>
      </c>
      <c r="HNN4095" s="34">
        <v>-3</v>
      </c>
      <c r="HNO4095" s="34">
        <v>-4</v>
      </c>
      <c r="HNP4095" s="34">
        <v>-5</v>
      </c>
      <c r="HNQ4095" s="908"/>
      <c r="HNR4095" s="909"/>
      <c r="HNS4095" s="34">
        <v>-5</v>
      </c>
      <c r="HNT4095" s="34">
        <v>-4.5</v>
      </c>
      <c r="HNU4095" s="34">
        <v>-4</v>
      </c>
      <c r="HNV4095" s="34">
        <v>-3.5</v>
      </c>
      <c r="HNW4095" s="34">
        <v>-3</v>
      </c>
      <c r="HNX4095" s="34">
        <v>-2.5</v>
      </c>
      <c r="HNY4095" s="34">
        <v>-2</v>
      </c>
      <c r="HNZ4095" s="34">
        <v>-1.5</v>
      </c>
      <c r="HOA4095" s="34">
        <v>-1</v>
      </c>
      <c r="HOB4095" s="34">
        <v>-0.5</v>
      </c>
      <c r="HOC4095" s="34">
        <v>0</v>
      </c>
      <c r="HOD4095" s="34">
        <v>0.5</v>
      </c>
      <c r="HOE4095" s="34">
        <v>1</v>
      </c>
      <c r="HOF4095" s="34">
        <v>1.5</v>
      </c>
      <c r="HOG4095" s="34">
        <v>2</v>
      </c>
      <c r="HOH4095" s="34">
        <v>2.5</v>
      </c>
      <c r="HOI4095" s="34">
        <v>3</v>
      </c>
      <c r="HOJ4095" s="34">
        <v>3.5</v>
      </c>
      <c r="HOK4095" s="34">
        <v>4</v>
      </c>
      <c r="HOL4095" s="34">
        <v>4.5</v>
      </c>
      <c r="HOM4095" s="34">
        <v>5</v>
      </c>
      <c r="HOO4095" s="913"/>
      <c r="HOP4095" s="31">
        <v>1</v>
      </c>
      <c r="HOQ4095" s="34">
        <v>0</v>
      </c>
      <c r="HOR4095" s="34">
        <v>-1</v>
      </c>
      <c r="HOS4095" s="34">
        <v>-2</v>
      </c>
      <c r="HOT4095" s="34">
        <v>-3</v>
      </c>
      <c r="HOU4095" s="34">
        <v>-4</v>
      </c>
      <c r="HOV4095" s="34">
        <v>-5</v>
      </c>
      <c r="HOW4095" s="908"/>
      <c r="HOX4095" s="909"/>
      <c r="HOY4095" s="34">
        <v>-5</v>
      </c>
      <c r="HOZ4095" s="34">
        <v>-4.5</v>
      </c>
      <c r="HPA4095" s="34">
        <v>-4</v>
      </c>
      <c r="HPB4095" s="34">
        <v>-3.5</v>
      </c>
      <c r="HPC4095" s="34">
        <v>-3</v>
      </c>
      <c r="HPD4095" s="34">
        <v>-2.5</v>
      </c>
      <c r="HPE4095" s="34">
        <v>-2</v>
      </c>
      <c r="HPF4095" s="34">
        <v>-1.5</v>
      </c>
      <c r="HPG4095" s="34">
        <v>-1</v>
      </c>
      <c r="HPH4095" s="34">
        <v>-0.5</v>
      </c>
      <c r="HPI4095" s="34">
        <v>0</v>
      </c>
      <c r="HPJ4095" s="34">
        <v>0.5</v>
      </c>
      <c r="HPK4095" s="34">
        <v>1</v>
      </c>
      <c r="HPL4095" s="34">
        <v>1.5</v>
      </c>
      <c r="HPM4095" s="34">
        <v>2</v>
      </c>
      <c r="HPN4095" s="34">
        <v>2.5</v>
      </c>
      <c r="HPO4095" s="34">
        <v>3</v>
      </c>
      <c r="HPP4095" s="34">
        <v>3.5</v>
      </c>
      <c r="HPQ4095" s="34">
        <v>4</v>
      </c>
      <c r="HPR4095" s="34">
        <v>4.5</v>
      </c>
      <c r="HPS4095" s="34">
        <v>5</v>
      </c>
      <c r="HPU4095" s="913"/>
      <c r="HPV4095" s="31">
        <v>1</v>
      </c>
      <c r="HPW4095" s="34">
        <v>0</v>
      </c>
      <c r="HPX4095" s="34">
        <v>-1</v>
      </c>
      <c r="HPY4095" s="34">
        <v>-2</v>
      </c>
      <c r="HPZ4095" s="34">
        <v>-3</v>
      </c>
      <c r="HQA4095" s="34">
        <v>-4</v>
      </c>
      <c r="HQB4095" s="34">
        <v>-5</v>
      </c>
      <c r="HQC4095" s="908"/>
      <c r="HQD4095" s="909"/>
      <c r="HQE4095" s="34">
        <v>-5</v>
      </c>
      <c r="HQF4095" s="34">
        <v>-4.5</v>
      </c>
      <c r="HQG4095" s="34">
        <v>-4</v>
      </c>
      <c r="HQH4095" s="34">
        <v>-3.5</v>
      </c>
      <c r="HQI4095" s="34">
        <v>-3</v>
      </c>
      <c r="HQJ4095" s="34">
        <v>-2.5</v>
      </c>
      <c r="HQK4095" s="34">
        <v>-2</v>
      </c>
      <c r="HQL4095" s="34">
        <v>-1.5</v>
      </c>
      <c r="HQM4095" s="34">
        <v>-1</v>
      </c>
      <c r="HQN4095" s="34">
        <v>-0.5</v>
      </c>
      <c r="HQO4095" s="34">
        <v>0</v>
      </c>
      <c r="HQP4095" s="34">
        <v>0.5</v>
      </c>
      <c r="HQQ4095" s="34">
        <v>1</v>
      </c>
      <c r="HQR4095" s="34">
        <v>1.5</v>
      </c>
      <c r="HQS4095" s="34">
        <v>2</v>
      </c>
      <c r="HQT4095" s="34">
        <v>2.5</v>
      </c>
      <c r="HQU4095" s="34">
        <v>3</v>
      </c>
      <c r="HQV4095" s="34">
        <v>3.5</v>
      </c>
      <c r="HQW4095" s="34">
        <v>4</v>
      </c>
      <c r="HQX4095" s="34">
        <v>4.5</v>
      </c>
      <c r="HQY4095" s="34">
        <v>5</v>
      </c>
      <c r="HRA4095" s="913"/>
      <c r="HRB4095" s="31">
        <v>1</v>
      </c>
      <c r="HRC4095" s="34">
        <v>0</v>
      </c>
      <c r="HRD4095" s="34">
        <v>-1</v>
      </c>
      <c r="HRE4095" s="34">
        <v>-2</v>
      </c>
      <c r="HRF4095" s="34">
        <v>-3</v>
      </c>
      <c r="HRG4095" s="34">
        <v>-4</v>
      </c>
      <c r="HRH4095" s="34">
        <v>-5</v>
      </c>
      <c r="HRI4095" s="908"/>
      <c r="HRJ4095" s="909"/>
      <c r="HRK4095" s="34">
        <v>-5</v>
      </c>
      <c r="HRL4095" s="34">
        <v>-4.5</v>
      </c>
      <c r="HRM4095" s="34">
        <v>-4</v>
      </c>
      <c r="HRN4095" s="34">
        <v>-3.5</v>
      </c>
      <c r="HRO4095" s="34">
        <v>-3</v>
      </c>
      <c r="HRP4095" s="34">
        <v>-2.5</v>
      </c>
      <c r="HRQ4095" s="34">
        <v>-2</v>
      </c>
      <c r="HRR4095" s="34">
        <v>-1.5</v>
      </c>
      <c r="HRS4095" s="34">
        <v>-1</v>
      </c>
      <c r="HRT4095" s="34">
        <v>-0.5</v>
      </c>
      <c r="HRU4095" s="34">
        <v>0</v>
      </c>
      <c r="HRV4095" s="34">
        <v>0.5</v>
      </c>
      <c r="HRW4095" s="34">
        <v>1</v>
      </c>
      <c r="HRX4095" s="34">
        <v>1.5</v>
      </c>
      <c r="HRY4095" s="34">
        <v>2</v>
      </c>
      <c r="HRZ4095" s="34">
        <v>2.5</v>
      </c>
      <c r="HSA4095" s="34">
        <v>3</v>
      </c>
      <c r="HSB4095" s="34">
        <v>3.5</v>
      </c>
      <c r="HSC4095" s="34">
        <v>4</v>
      </c>
      <c r="HSD4095" s="34">
        <v>4.5</v>
      </c>
      <c r="HSE4095" s="34">
        <v>5</v>
      </c>
      <c r="HSG4095" s="913"/>
      <c r="HSH4095" s="31">
        <v>1</v>
      </c>
      <c r="HSI4095" s="34">
        <v>0</v>
      </c>
      <c r="HSJ4095" s="34">
        <v>-1</v>
      </c>
      <c r="HSK4095" s="34">
        <v>-2</v>
      </c>
      <c r="HSL4095" s="34">
        <v>-3</v>
      </c>
      <c r="HSM4095" s="34">
        <v>-4</v>
      </c>
      <c r="HSN4095" s="34">
        <v>-5</v>
      </c>
      <c r="HSO4095" s="908"/>
      <c r="HSP4095" s="909"/>
      <c r="HSQ4095" s="34">
        <v>-5</v>
      </c>
      <c r="HSR4095" s="34">
        <v>-4.5</v>
      </c>
      <c r="HSS4095" s="34">
        <v>-4</v>
      </c>
      <c r="HST4095" s="34">
        <v>-3.5</v>
      </c>
      <c r="HSU4095" s="34">
        <v>-3</v>
      </c>
      <c r="HSV4095" s="34">
        <v>-2.5</v>
      </c>
      <c r="HSW4095" s="34">
        <v>-2</v>
      </c>
      <c r="HSX4095" s="34">
        <v>-1.5</v>
      </c>
      <c r="HSY4095" s="34">
        <v>-1</v>
      </c>
      <c r="HSZ4095" s="34">
        <v>-0.5</v>
      </c>
      <c r="HTA4095" s="34">
        <v>0</v>
      </c>
      <c r="HTB4095" s="34">
        <v>0.5</v>
      </c>
      <c r="HTC4095" s="34">
        <v>1</v>
      </c>
      <c r="HTD4095" s="34">
        <v>1.5</v>
      </c>
      <c r="HTE4095" s="34">
        <v>2</v>
      </c>
      <c r="HTF4095" s="34">
        <v>2.5</v>
      </c>
      <c r="HTG4095" s="34">
        <v>3</v>
      </c>
      <c r="HTH4095" s="34">
        <v>3.5</v>
      </c>
      <c r="HTI4095" s="34">
        <v>4</v>
      </c>
      <c r="HTJ4095" s="34">
        <v>4.5</v>
      </c>
      <c r="HTK4095" s="34">
        <v>5</v>
      </c>
      <c r="HTM4095" s="913"/>
      <c r="HTN4095" s="31">
        <v>1</v>
      </c>
      <c r="HTO4095" s="34">
        <v>0</v>
      </c>
      <c r="HTP4095" s="34">
        <v>-1</v>
      </c>
      <c r="HTQ4095" s="34">
        <v>-2</v>
      </c>
      <c r="HTR4095" s="34">
        <v>-3</v>
      </c>
      <c r="HTS4095" s="34">
        <v>-4</v>
      </c>
      <c r="HTT4095" s="34">
        <v>-5</v>
      </c>
      <c r="HTU4095" s="908"/>
      <c r="HTV4095" s="909"/>
      <c r="HTW4095" s="34">
        <v>-5</v>
      </c>
      <c r="HTX4095" s="34">
        <v>-4.5</v>
      </c>
      <c r="HTY4095" s="34">
        <v>-4</v>
      </c>
      <c r="HTZ4095" s="34">
        <v>-3.5</v>
      </c>
      <c r="HUA4095" s="34">
        <v>-3</v>
      </c>
      <c r="HUB4095" s="34">
        <v>-2.5</v>
      </c>
      <c r="HUC4095" s="34">
        <v>-2</v>
      </c>
      <c r="HUD4095" s="34">
        <v>-1.5</v>
      </c>
      <c r="HUE4095" s="34">
        <v>-1</v>
      </c>
      <c r="HUF4095" s="34">
        <v>-0.5</v>
      </c>
      <c r="HUG4095" s="34">
        <v>0</v>
      </c>
      <c r="HUH4095" s="34">
        <v>0.5</v>
      </c>
      <c r="HUI4095" s="34">
        <v>1</v>
      </c>
      <c r="HUJ4095" s="34">
        <v>1.5</v>
      </c>
      <c r="HUK4095" s="34">
        <v>2</v>
      </c>
      <c r="HUL4095" s="34">
        <v>2.5</v>
      </c>
      <c r="HUM4095" s="34">
        <v>3</v>
      </c>
      <c r="HUN4095" s="34">
        <v>3.5</v>
      </c>
      <c r="HUO4095" s="34">
        <v>4</v>
      </c>
      <c r="HUP4095" s="34">
        <v>4.5</v>
      </c>
      <c r="HUQ4095" s="34">
        <v>5</v>
      </c>
      <c r="HUS4095" s="913"/>
      <c r="HUT4095" s="31">
        <v>1</v>
      </c>
      <c r="HUU4095" s="34">
        <v>0</v>
      </c>
      <c r="HUV4095" s="34">
        <v>-1</v>
      </c>
      <c r="HUW4095" s="34">
        <v>-2</v>
      </c>
      <c r="HUX4095" s="34">
        <v>-3</v>
      </c>
      <c r="HUY4095" s="34">
        <v>-4</v>
      </c>
      <c r="HUZ4095" s="34">
        <v>-5</v>
      </c>
      <c r="HVA4095" s="908"/>
      <c r="HVB4095" s="909"/>
      <c r="HVC4095" s="34">
        <v>-5</v>
      </c>
      <c r="HVD4095" s="34">
        <v>-4.5</v>
      </c>
      <c r="HVE4095" s="34">
        <v>-4</v>
      </c>
      <c r="HVF4095" s="34">
        <v>-3.5</v>
      </c>
      <c r="HVG4095" s="34">
        <v>-3</v>
      </c>
      <c r="HVH4095" s="34">
        <v>-2.5</v>
      </c>
      <c r="HVI4095" s="34">
        <v>-2</v>
      </c>
      <c r="HVJ4095" s="34">
        <v>-1.5</v>
      </c>
      <c r="HVK4095" s="34">
        <v>-1</v>
      </c>
      <c r="HVL4095" s="34">
        <v>-0.5</v>
      </c>
      <c r="HVM4095" s="34">
        <v>0</v>
      </c>
      <c r="HVN4095" s="34">
        <v>0.5</v>
      </c>
      <c r="HVO4095" s="34">
        <v>1</v>
      </c>
      <c r="HVP4095" s="34">
        <v>1.5</v>
      </c>
      <c r="HVQ4095" s="34">
        <v>2</v>
      </c>
      <c r="HVR4095" s="34">
        <v>2.5</v>
      </c>
      <c r="HVS4095" s="34">
        <v>3</v>
      </c>
      <c r="HVT4095" s="34">
        <v>3.5</v>
      </c>
      <c r="HVU4095" s="34">
        <v>4</v>
      </c>
      <c r="HVV4095" s="34">
        <v>4.5</v>
      </c>
      <c r="HVW4095" s="34">
        <v>5</v>
      </c>
      <c r="HVY4095" s="913"/>
      <c r="HVZ4095" s="31">
        <v>1</v>
      </c>
      <c r="HWA4095" s="34">
        <v>0</v>
      </c>
      <c r="HWB4095" s="34">
        <v>-1</v>
      </c>
      <c r="HWC4095" s="34">
        <v>-2</v>
      </c>
      <c r="HWD4095" s="34">
        <v>-3</v>
      </c>
      <c r="HWE4095" s="34">
        <v>-4</v>
      </c>
      <c r="HWF4095" s="34">
        <v>-5</v>
      </c>
      <c r="HWG4095" s="908"/>
      <c r="HWH4095" s="909"/>
      <c r="HWI4095" s="34">
        <v>-5</v>
      </c>
      <c r="HWJ4095" s="34">
        <v>-4.5</v>
      </c>
      <c r="HWK4095" s="34">
        <v>-4</v>
      </c>
      <c r="HWL4095" s="34">
        <v>-3.5</v>
      </c>
      <c r="HWM4095" s="34">
        <v>-3</v>
      </c>
      <c r="HWN4095" s="34">
        <v>-2.5</v>
      </c>
      <c r="HWO4095" s="34">
        <v>-2</v>
      </c>
      <c r="HWP4095" s="34">
        <v>-1.5</v>
      </c>
      <c r="HWQ4095" s="34">
        <v>-1</v>
      </c>
      <c r="HWR4095" s="34">
        <v>-0.5</v>
      </c>
      <c r="HWS4095" s="34">
        <v>0</v>
      </c>
      <c r="HWT4095" s="34">
        <v>0.5</v>
      </c>
      <c r="HWU4095" s="34">
        <v>1</v>
      </c>
      <c r="HWV4095" s="34">
        <v>1.5</v>
      </c>
      <c r="HWW4095" s="34">
        <v>2</v>
      </c>
      <c r="HWX4095" s="34">
        <v>2.5</v>
      </c>
      <c r="HWY4095" s="34">
        <v>3</v>
      </c>
      <c r="HWZ4095" s="34">
        <v>3.5</v>
      </c>
      <c r="HXA4095" s="34">
        <v>4</v>
      </c>
      <c r="HXB4095" s="34">
        <v>4.5</v>
      </c>
      <c r="HXC4095" s="34">
        <v>5</v>
      </c>
      <c r="HXE4095" s="913"/>
      <c r="HXF4095" s="31">
        <v>1</v>
      </c>
      <c r="HXG4095" s="34">
        <v>0</v>
      </c>
      <c r="HXH4095" s="34">
        <v>-1</v>
      </c>
      <c r="HXI4095" s="34">
        <v>-2</v>
      </c>
      <c r="HXJ4095" s="34">
        <v>-3</v>
      </c>
      <c r="HXK4095" s="34">
        <v>-4</v>
      </c>
      <c r="HXL4095" s="34">
        <v>-5</v>
      </c>
      <c r="HXM4095" s="908"/>
      <c r="HXN4095" s="909"/>
      <c r="HXO4095" s="34">
        <v>-5</v>
      </c>
      <c r="HXP4095" s="34">
        <v>-4.5</v>
      </c>
      <c r="HXQ4095" s="34">
        <v>-4</v>
      </c>
      <c r="HXR4095" s="34">
        <v>-3.5</v>
      </c>
      <c r="HXS4095" s="34">
        <v>-3</v>
      </c>
      <c r="HXT4095" s="34">
        <v>-2.5</v>
      </c>
      <c r="HXU4095" s="34">
        <v>-2</v>
      </c>
      <c r="HXV4095" s="34">
        <v>-1.5</v>
      </c>
      <c r="HXW4095" s="34">
        <v>-1</v>
      </c>
      <c r="HXX4095" s="34">
        <v>-0.5</v>
      </c>
      <c r="HXY4095" s="34">
        <v>0</v>
      </c>
      <c r="HXZ4095" s="34">
        <v>0.5</v>
      </c>
      <c r="HYA4095" s="34">
        <v>1</v>
      </c>
      <c r="HYB4095" s="34">
        <v>1.5</v>
      </c>
      <c r="HYC4095" s="34">
        <v>2</v>
      </c>
      <c r="HYD4095" s="34">
        <v>2.5</v>
      </c>
      <c r="HYE4095" s="34">
        <v>3</v>
      </c>
      <c r="HYF4095" s="34">
        <v>3.5</v>
      </c>
      <c r="HYG4095" s="34">
        <v>4</v>
      </c>
      <c r="HYH4095" s="34">
        <v>4.5</v>
      </c>
      <c r="HYI4095" s="34">
        <v>5</v>
      </c>
      <c r="HYK4095" s="913"/>
      <c r="HYL4095" s="31">
        <v>1</v>
      </c>
      <c r="HYM4095" s="34">
        <v>0</v>
      </c>
      <c r="HYN4095" s="34">
        <v>-1</v>
      </c>
      <c r="HYO4095" s="34">
        <v>-2</v>
      </c>
      <c r="HYP4095" s="34">
        <v>-3</v>
      </c>
      <c r="HYQ4095" s="34">
        <v>-4</v>
      </c>
      <c r="HYR4095" s="34">
        <v>-5</v>
      </c>
      <c r="HYS4095" s="908"/>
      <c r="HYT4095" s="909"/>
      <c r="HYU4095" s="34">
        <v>-5</v>
      </c>
      <c r="HYV4095" s="34">
        <v>-4.5</v>
      </c>
      <c r="HYW4095" s="34">
        <v>-4</v>
      </c>
      <c r="HYX4095" s="34">
        <v>-3.5</v>
      </c>
      <c r="HYY4095" s="34">
        <v>-3</v>
      </c>
      <c r="HYZ4095" s="34">
        <v>-2.5</v>
      </c>
      <c r="HZA4095" s="34">
        <v>-2</v>
      </c>
      <c r="HZB4095" s="34">
        <v>-1.5</v>
      </c>
      <c r="HZC4095" s="34">
        <v>-1</v>
      </c>
      <c r="HZD4095" s="34">
        <v>-0.5</v>
      </c>
      <c r="HZE4095" s="34">
        <v>0</v>
      </c>
      <c r="HZF4095" s="34">
        <v>0.5</v>
      </c>
      <c r="HZG4095" s="34">
        <v>1</v>
      </c>
      <c r="HZH4095" s="34">
        <v>1.5</v>
      </c>
      <c r="HZI4095" s="34">
        <v>2</v>
      </c>
      <c r="HZJ4095" s="34">
        <v>2.5</v>
      </c>
      <c r="HZK4095" s="34">
        <v>3</v>
      </c>
      <c r="HZL4095" s="34">
        <v>3.5</v>
      </c>
      <c r="HZM4095" s="34">
        <v>4</v>
      </c>
      <c r="HZN4095" s="34">
        <v>4.5</v>
      </c>
      <c r="HZO4095" s="34">
        <v>5</v>
      </c>
      <c r="HZQ4095" s="913"/>
      <c r="HZR4095" s="31">
        <v>1</v>
      </c>
      <c r="HZS4095" s="34">
        <v>0</v>
      </c>
      <c r="HZT4095" s="34">
        <v>-1</v>
      </c>
      <c r="HZU4095" s="34">
        <v>-2</v>
      </c>
      <c r="HZV4095" s="34">
        <v>-3</v>
      </c>
      <c r="HZW4095" s="34">
        <v>-4</v>
      </c>
      <c r="HZX4095" s="34">
        <v>-5</v>
      </c>
      <c r="HZY4095" s="908"/>
      <c r="HZZ4095" s="909"/>
      <c r="IAA4095" s="34">
        <v>-5</v>
      </c>
      <c r="IAB4095" s="34">
        <v>-4.5</v>
      </c>
      <c r="IAC4095" s="34">
        <v>-4</v>
      </c>
      <c r="IAD4095" s="34">
        <v>-3.5</v>
      </c>
      <c r="IAE4095" s="34">
        <v>-3</v>
      </c>
      <c r="IAF4095" s="34">
        <v>-2.5</v>
      </c>
      <c r="IAG4095" s="34">
        <v>-2</v>
      </c>
      <c r="IAH4095" s="34">
        <v>-1.5</v>
      </c>
      <c r="IAI4095" s="34">
        <v>-1</v>
      </c>
      <c r="IAJ4095" s="34">
        <v>-0.5</v>
      </c>
      <c r="IAK4095" s="34">
        <v>0</v>
      </c>
      <c r="IAL4095" s="34">
        <v>0.5</v>
      </c>
      <c r="IAM4095" s="34">
        <v>1</v>
      </c>
      <c r="IAN4095" s="34">
        <v>1.5</v>
      </c>
      <c r="IAO4095" s="34">
        <v>2</v>
      </c>
      <c r="IAP4095" s="34">
        <v>2.5</v>
      </c>
      <c r="IAQ4095" s="34">
        <v>3</v>
      </c>
      <c r="IAR4095" s="34">
        <v>3.5</v>
      </c>
      <c r="IAS4095" s="34">
        <v>4</v>
      </c>
      <c r="IAT4095" s="34">
        <v>4.5</v>
      </c>
      <c r="IAU4095" s="34">
        <v>5</v>
      </c>
      <c r="IAW4095" s="913"/>
      <c r="IAX4095" s="31">
        <v>1</v>
      </c>
      <c r="IAY4095" s="34">
        <v>0</v>
      </c>
      <c r="IAZ4095" s="34">
        <v>-1</v>
      </c>
      <c r="IBA4095" s="34">
        <v>-2</v>
      </c>
      <c r="IBB4095" s="34">
        <v>-3</v>
      </c>
      <c r="IBC4095" s="34">
        <v>-4</v>
      </c>
      <c r="IBD4095" s="34">
        <v>-5</v>
      </c>
      <c r="IBE4095" s="908"/>
      <c r="IBF4095" s="909"/>
      <c r="IBG4095" s="34">
        <v>-5</v>
      </c>
      <c r="IBH4095" s="34">
        <v>-4.5</v>
      </c>
      <c r="IBI4095" s="34">
        <v>-4</v>
      </c>
      <c r="IBJ4095" s="34">
        <v>-3.5</v>
      </c>
      <c r="IBK4095" s="34">
        <v>-3</v>
      </c>
      <c r="IBL4095" s="34">
        <v>-2.5</v>
      </c>
      <c r="IBM4095" s="34">
        <v>-2</v>
      </c>
      <c r="IBN4095" s="34">
        <v>-1.5</v>
      </c>
      <c r="IBO4095" s="34">
        <v>-1</v>
      </c>
      <c r="IBP4095" s="34">
        <v>-0.5</v>
      </c>
      <c r="IBQ4095" s="34">
        <v>0</v>
      </c>
      <c r="IBR4095" s="34">
        <v>0.5</v>
      </c>
      <c r="IBS4095" s="34">
        <v>1</v>
      </c>
      <c r="IBT4095" s="34">
        <v>1.5</v>
      </c>
      <c r="IBU4095" s="34">
        <v>2</v>
      </c>
      <c r="IBV4095" s="34">
        <v>2.5</v>
      </c>
      <c r="IBW4095" s="34">
        <v>3</v>
      </c>
      <c r="IBX4095" s="34">
        <v>3.5</v>
      </c>
      <c r="IBY4095" s="34">
        <v>4</v>
      </c>
      <c r="IBZ4095" s="34">
        <v>4.5</v>
      </c>
      <c r="ICA4095" s="34">
        <v>5</v>
      </c>
      <c r="ICC4095" s="913"/>
      <c r="ICD4095" s="31">
        <v>1</v>
      </c>
      <c r="ICE4095" s="34">
        <v>0</v>
      </c>
      <c r="ICF4095" s="34">
        <v>-1</v>
      </c>
      <c r="ICG4095" s="34">
        <v>-2</v>
      </c>
      <c r="ICH4095" s="34">
        <v>-3</v>
      </c>
      <c r="ICI4095" s="34">
        <v>-4</v>
      </c>
      <c r="ICJ4095" s="34">
        <v>-5</v>
      </c>
      <c r="ICK4095" s="908"/>
      <c r="ICL4095" s="909"/>
      <c r="ICM4095" s="34">
        <v>-5</v>
      </c>
      <c r="ICN4095" s="34">
        <v>-4.5</v>
      </c>
      <c r="ICO4095" s="34">
        <v>-4</v>
      </c>
      <c r="ICP4095" s="34">
        <v>-3.5</v>
      </c>
      <c r="ICQ4095" s="34">
        <v>-3</v>
      </c>
      <c r="ICR4095" s="34">
        <v>-2.5</v>
      </c>
      <c r="ICS4095" s="34">
        <v>-2</v>
      </c>
      <c r="ICT4095" s="34">
        <v>-1.5</v>
      </c>
      <c r="ICU4095" s="34">
        <v>-1</v>
      </c>
      <c r="ICV4095" s="34">
        <v>-0.5</v>
      </c>
      <c r="ICW4095" s="34">
        <v>0</v>
      </c>
      <c r="ICX4095" s="34">
        <v>0.5</v>
      </c>
      <c r="ICY4095" s="34">
        <v>1</v>
      </c>
      <c r="ICZ4095" s="34">
        <v>1.5</v>
      </c>
      <c r="IDA4095" s="34">
        <v>2</v>
      </c>
      <c r="IDB4095" s="34">
        <v>2.5</v>
      </c>
      <c r="IDC4095" s="34">
        <v>3</v>
      </c>
      <c r="IDD4095" s="34">
        <v>3.5</v>
      </c>
      <c r="IDE4095" s="34">
        <v>4</v>
      </c>
      <c r="IDF4095" s="34">
        <v>4.5</v>
      </c>
      <c r="IDG4095" s="34">
        <v>5</v>
      </c>
      <c r="IDI4095" s="913"/>
      <c r="IDJ4095" s="31">
        <v>1</v>
      </c>
      <c r="IDK4095" s="34">
        <v>0</v>
      </c>
      <c r="IDL4095" s="34">
        <v>-1</v>
      </c>
      <c r="IDM4095" s="34">
        <v>-2</v>
      </c>
      <c r="IDN4095" s="34">
        <v>-3</v>
      </c>
      <c r="IDO4095" s="34">
        <v>-4</v>
      </c>
      <c r="IDP4095" s="34">
        <v>-5</v>
      </c>
      <c r="IDQ4095" s="908"/>
      <c r="IDR4095" s="909"/>
      <c r="IDS4095" s="34">
        <v>-5</v>
      </c>
      <c r="IDT4095" s="34">
        <v>-4.5</v>
      </c>
      <c r="IDU4095" s="34">
        <v>-4</v>
      </c>
      <c r="IDV4095" s="34">
        <v>-3.5</v>
      </c>
      <c r="IDW4095" s="34">
        <v>-3</v>
      </c>
      <c r="IDX4095" s="34">
        <v>-2.5</v>
      </c>
      <c r="IDY4095" s="34">
        <v>-2</v>
      </c>
      <c r="IDZ4095" s="34">
        <v>-1.5</v>
      </c>
      <c r="IEA4095" s="34">
        <v>-1</v>
      </c>
      <c r="IEB4095" s="34">
        <v>-0.5</v>
      </c>
      <c r="IEC4095" s="34">
        <v>0</v>
      </c>
      <c r="IED4095" s="34">
        <v>0.5</v>
      </c>
      <c r="IEE4095" s="34">
        <v>1</v>
      </c>
      <c r="IEF4095" s="34">
        <v>1.5</v>
      </c>
      <c r="IEG4095" s="34">
        <v>2</v>
      </c>
      <c r="IEH4095" s="34">
        <v>2.5</v>
      </c>
      <c r="IEI4095" s="34">
        <v>3</v>
      </c>
      <c r="IEJ4095" s="34">
        <v>3.5</v>
      </c>
      <c r="IEK4095" s="34">
        <v>4</v>
      </c>
      <c r="IEL4095" s="34">
        <v>4.5</v>
      </c>
      <c r="IEM4095" s="34">
        <v>5</v>
      </c>
      <c r="IEO4095" s="913"/>
      <c r="IEP4095" s="31">
        <v>1</v>
      </c>
      <c r="IEQ4095" s="34">
        <v>0</v>
      </c>
      <c r="IER4095" s="34">
        <v>-1</v>
      </c>
      <c r="IES4095" s="34">
        <v>-2</v>
      </c>
      <c r="IET4095" s="34">
        <v>-3</v>
      </c>
      <c r="IEU4095" s="34">
        <v>-4</v>
      </c>
      <c r="IEV4095" s="34">
        <v>-5</v>
      </c>
      <c r="IEW4095" s="908"/>
      <c r="IEX4095" s="909"/>
      <c r="IEY4095" s="34">
        <v>-5</v>
      </c>
      <c r="IEZ4095" s="34">
        <v>-4.5</v>
      </c>
      <c r="IFA4095" s="34">
        <v>-4</v>
      </c>
      <c r="IFB4095" s="34">
        <v>-3.5</v>
      </c>
      <c r="IFC4095" s="34">
        <v>-3</v>
      </c>
      <c r="IFD4095" s="34">
        <v>-2.5</v>
      </c>
      <c r="IFE4095" s="34">
        <v>-2</v>
      </c>
      <c r="IFF4095" s="34">
        <v>-1.5</v>
      </c>
      <c r="IFG4095" s="34">
        <v>-1</v>
      </c>
      <c r="IFH4095" s="34">
        <v>-0.5</v>
      </c>
      <c r="IFI4095" s="34">
        <v>0</v>
      </c>
      <c r="IFJ4095" s="34">
        <v>0.5</v>
      </c>
      <c r="IFK4095" s="34">
        <v>1</v>
      </c>
      <c r="IFL4095" s="34">
        <v>1.5</v>
      </c>
      <c r="IFM4095" s="34">
        <v>2</v>
      </c>
      <c r="IFN4095" s="34">
        <v>2.5</v>
      </c>
      <c r="IFO4095" s="34">
        <v>3</v>
      </c>
      <c r="IFP4095" s="34">
        <v>3.5</v>
      </c>
      <c r="IFQ4095" s="34">
        <v>4</v>
      </c>
      <c r="IFR4095" s="34">
        <v>4.5</v>
      </c>
      <c r="IFS4095" s="34">
        <v>5</v>
      </c>
      <c r="IFU4095" s="913"/>
      <c r="IFV4095" s="31">
        <v>1</v>
      </c>
      <c r="IFW4095" s="34">
        <v>0</v>
      </c>
      <c r="IFX4095" s="34">
        <v>-1</v>
      </c>
      <c r="IFY4095" s="34">
        <v>-2</v>
      </c>
      <c r="IFZ4095" s="34">
        <v>-3</v>
      </c>
      <c r="IGA4095" s="34">
        <v>-4</v>
      </c>
      <c r="IGB4095" s="34">
        <v>-5</v>
      </c>
      <c r="IGC4095" s="908"/>
      <c r="IGD4095" s="909"/>
      <c r="IGE4095" s="34">
        <v>-5</v>
      </c>
      <c r="IGF4095" s="34">
        <v>-4.5</v>
      </c>
      <c r="IGG4095" s="34">
        <v>-4</v>
      </c>
      <c r="IGH4095" s="34">
        <v>-3.5</v>
      </c>
      <c r="IGI4095" s="34">
        <v>-3</v>
      </c>
      <c r="IGJ4095" s="34">
        <v>-2.5</v>
      </c>
      <c r="IGK4095" s="34">
        <v>-2</v>
      </c>
      <c r="IGL4095" s="34">
        <v>-1.5</v>
      </c>
      <c r="IGM4095" s="34">
        <v>-1</v>
      </c>
      <c r="IGN4095" s="34">
        <v>-0.5</v>
      </c>
      <c r="IGO4095" s="34">
        <v>0</v>
      </c>
      <c r="IGP4095" s="34">
        <v>0.5</v>
      </c>
      <c r="IGQ4095" s="34">
        <v>1</v>
      </c>
      <c r="IGR4095" s="34">
        <v>1.5</v>
      </c>
      <c r="IGS4095" s="34">
        <v>2</v>
      </c>
      <c r="IGT4095" s="34">
        <v>2.5</v>
      </c>
      <c r="IGU4095" s="34">
        <v>3</v>
      </c>
      <c r="IGV4095" s="34">
        <v>3.5</v>
      </c>
      <c r="IGW4095" s="34">
        <v>4</v>
      </c>
      <c r="IGX4095" s="34">
        <v>4.5</v>
      </c>
      <c r="IGY4095" s="34">
        <v>5</v>
      </c>
      <c r="IHA4095" s="913"/>
      <c r="IHB4095" s="31">
        <v>1</v>
      </c>
      <c r="IHC4095" s="34">
        <v>0</v>
      </c>
      <c r="IHD4095" s="34">
        <v>-1</v>
      </c>
      <c r="IHE4095" s="34">
        <v>-2</v>
      </c>
      <c r="IHF4095" s="34">
        <v>-3</v>
      </c>
      <c r="IHG4095" s="34">
        <v>-4</v>
      </c>
      <c r="IHH4095" s="34">
        <v>-5</v>
      </c>
      <c r="IHI4095" s="908"/>
      <c r="IHJ4095" s="909"/>
      <c r="IHK4095" s="34">
        <v>-5</v>
      </c>
      <c r="IHL4095" s="34">
        <v>-4.5</v>
      </c>
      <c r="IHM4095" s="34">
        <v>-4</v>
      </c>
      <c r="IHN4095" s="34">
        <v>-3.5</v>
      </c>
      <c r="IHO4095" s="34">
        <v>-3</v>
      </c>
      <c r="IHP4095" s="34">
        <v>-2.5</v>
      </c>
      <c r="IHQ4095" s="34">
        <v>-2</v>
      </c>
      <c r="IHR4095" s="34">
        <v>-1.5</v>
      </c>
      <c r="IHS4095" s="34">
        <v>-1</v>
      </c>
      <c r="IHT4095" s="34">
        <v>-0.5</v>
      </c>
      <c r="IHU4095" s="34">
        <v>0</v>
      </c>
      <c r="IHV4095" s="34">
        <v>0.5</v>
      </c>
      <c r="IHW4095" s="34">
        <v>1</v>
      </c>
      <c r="IHX4095" s="34">
        <v>1.5</v>
      </c>
      <c r="IHY4095" s="34">
        <v>2</v>
      </c>
      <c r="IHZ4095" s="34">
        <v>2.5</v>
      </c>
      <c r="IIA4095" s="34">
        <v>3</v>
      </c>
      <c r="IIB4095" s="34">
        <v>3.5</v>
      </c>
      <c r="IIC4095" s="34">
        <v>4</v>
      </c>
      <c r="IID4095" s="34">
        <v>4.5</v>
      </c>
      <c r="IIE4095" s="34">
        <v>5</v>
      </c>
      <c r="IIG4095" s="913"/>
      <c r="IIH4095" s="31">
        <v>1</v>
      </c>
      <c r="III4095" s="34">
        <v>0</v>
      </c>
      <c r="IIJ4095" s="34">
        <v>-1</v>
      </c>
      <c r="IIK4095" s="34">
        <v>-2</v>
      </c>
      <c r="IIL4095" s="34">
        <v>-3</v>
      </c>
      <c r="IIM4095" s="34">
        <v>-4</v>
      </c>
      <c r="IIN4095" s="34">
        <v>-5</v>
      </c>
      <c r="IIO4095" s="908"/>
      <c r="IIP4095" s="909"/>
      <c r="IIQ4095" s="34">
        <v>-5</v>
      </c>
      <c r="IIR4095" s="34">
        <v>-4.5</v>
      </c>
      <c r="IIS4095" s="34">
        <v>-4</v>
      </c>
      <c r="IIT4095" s="34">
        <v>-3.5</v>
      </c>
      <c r="IIU4095" s="34">
        <v>-3</v>
      </c>
      <c r="IIV4095" s="34">
        <v>-2.5</v>
      </c>
      <c r="IIW4095" s="34">
        <v>-2</v>
      </c>
      <c r="IIX4095" s="34">
        <v>-1.5</v>
      </c>
      <c r="IIY4095" s="34">
        <v>-1</v>
      </c>
      <c r="IIZ4095" s="34">
        <v>-0.5</v>
      </c>
      <c r="IJA4095" s="34">
        <v>0</v>
      </c>
      <c r="IJB4095" s="34">
        <v>0.5</v>
      </c>
      <c r="IJC4095" s="34">
        <v>1</v>
      </c>
      <c r="IJD4095" s="34">
        <v>1.5</v>
      </c>
      <c r="IJE4095" s="34">
        <v>2</v>
      </c>
      <c r="IJF4095" s="34">
        <v>2.5</v>
      </c>
      <c r="IJG4095" s="34">
        <v>3</v>
      </c>
      <c r="IJH4095" s="34">
        <v>3.5</v>
      </c>
      <c r="IJI4095" s="34">
        <v>4</v>
      </c>
      <c r="IJJ4095" s="34">
        <v>4.5</v>
      </c>
      <c r="IJK4095" s="34">
        <v>5</v>
      </c>
      <c r="IJM4095" s="913"/>
      <c r="IJN4095" s="31">
        <v>1</v>
      </c>
      <c r="IJO4095" s="34">
        <v>0</v>
      </c>
      <c r="IJP4095" s="34">
        <v>-1</v>
      </c>
      <c r="IJQ4095" s="34">
        <v>-2</v>
      </c>
      <c r="IJR4095" s="34">
        <v>-3</v>
      </c>
      <c r="IJS4095" s="34">
        <v>-4</v>
      </c>
      <c r="IJT4095" s="34">
        <v>-5</v>
      </c>
      <c r="IJU4095" s="908"/>
      <c r="IJV4095" s="909"/>
      <c r="IJW4095" s="34">
        <v>-5</v>
      </c>
      <c r="IJX4095" s="34">
        <v>-4.5</v>
      </c>
      <c r="IJY4095" s="34">
        <v>-4</v>
      </c>
      <c r="IJZ4095" s="34">
        <v>-3.5</v>
      </c>
      <c r="IKA4095" s="34">
        <v>-3</v>
      </c>
      <c r="IKB4095" s="34">
        <v>-2.5</v>
      </c>
      <c r="IKC4095" s="34">
        <v>-2</v>
      </c>
      <c r="IKD4095" s="34">
        <v>-1.5</v>
      </c>
      <c r="IKE4095" s="34">
        <v>-1</v>
      </c>
      <c r="IKF4095" s="34">
        <v>-0.5</v>
      </c>
      <c r="IKG4095" s="34">
        <v>0</v>
      </c>
      <c r="IKH4095" s="34">
        <v>0.5</v>
      </c>
      <c r="IKI4095" s="34">
        <v>1</v>
      </c>
      <c r="IKJ4095" s="34">
        <v>1.5</v>
      </c>
      <c r="IKK4095" s="34">
        <v>2</v>
      </c>
      <c r="IKL4095" s="34">
        <v>2.5</v>
      </c>
      <c r="IKM4095" s="34">
        <v>3</v>
      </c>
      <c r="IKN4095" s="34">
        <v>3.5</v>
      </c>
      <c r="IKO4095" s="34">
        <v>4</v>
      </c>
      <c r="IKP4095" s="34">
        <v>4.5</v>
      </c>
      <c r="IKQ4095" s="34">
        <v>5</v>
      </c>
      <c r="IKS4095" s="913"/>
      <c r="IKT4095" s="31">
        <v>1</v>
      </c>
      <c r="IKU4095" s="34">
        <v>0</v>
      </c>
      <c r="IKV4095" s="34">
        <v>-1</v>
      </c>
      <c r="IKW4095" s="34">
        <v>-2</v>
      </c>
      <c r="IKX4095" s="34">
        <v>-3</v>
      </c>
      <c r="IKY4095" s="34">
        <v>-4</v>
      </c>
      <c r="IKZ4095" s="34">
        <v>-5</v>
      </c>
      <c r="ILA4095" s="908"/>
      <c r="ILB4095" s="909"/>
      <c r="ILC4095" s="34">
        <v>-5</v>
      </c>
      <c r="ILD4095" s="34">
        <v>-4.5</v>
      </c>
      <c r="ILE4095" s="34">
        <v>-4</v>
      </c>
      <c r="ILF4095" s="34">
        <v>-3.5</v>
      </c>
      <c r="ILG4095" s="34">
        <v>-3</v>
      </c>
      <c r="ILH4095" s="34">
        <v>-2.5</v>
      </c>
      <c r="ILI4095" s="34">
        <v>-2</v>
      </c>
      <c r="ILJ4095" s="34">
        <v>-1.5</v>
      </c>
      <c r="ILK4095" s="34">
        <v>-1</v>
      </c>
      <c r="ILL4095" s="34">
        <v>-0.5</v>
      </c>
      <c r="ILM4095" s="34">
        <v>0</v>
      </c>
      <c r="ILN4095" s="34">
        <v>0.5</v>
      </c>
      <c r="ILO4095" s="34">
        <v>1</v>
      </c>
      <c r="ILP4095" s="34">
        <v>1.5</v>
      </c>
      <c r="ILQ4095" s="34">
        <v>2</v>
      </c>
      <c r="ILR4095" s="34">
        <v>2.5</v>
      </c>
      <c r="ILS4095" s="34">
        <v>3</v>
      </c>
      <c r="ILT4095" s="34">
        <v>3.5</v>
      </c>
      <c r="ILU4095" s="34">
        <v>4</v>
      </c>
      <c r="ILV4095" s="34">
        <v>4.5</v>
      </c>
      <c r="ILW4095" s="34">
        <v>5</v>
      </c>
      <c r="ILY4095" s="913"/>
      <c r="ILZ4095" s="31">
        <v>1</v>
      </c>
      <c r="IMA4095" s="34">
        <v>0</v>
      </c>
      <c r="IMB4095" s="34">
        <v>-1</v>
      </c>
      <c r="IMC4095" s="34">
        <v>-2</v>
      </c>
      <c r="IMD4095" s="34">
        <v>-3</v>
      </c>
      <c r="IME4095" s="34">
        <v>-4</v>
      </c>
      <c r="IMF4095" s="34">
        <v>-5</v>
      </c>
      <c r="IMG4095" s="908"/>
      <c r="IMH4095" s="909"/>
      <c r="IMI4095" s="34">
        <v>-5</v>
      </c>
      <c r="IMJ4095" s="34">
        <v>-4.5</v>
      </c>
      <c r="IMK4095" s="34">
        <v>-4</v>
      </c>
      <c r="IML4095" s="34">
        <v>-3.5</v>
      </c>
      <c r="IMM4095" s="34">
        <v>-3</v>
      </c>
      <c r="IMN4095" s="34">
        <v>-2.5</v>
      </c>
      <c r="IMO4095" s="34">
        <v>-2</v>
      </c>
      <c r="IMP4095" s="34">
        <v>-1.5</v>
      </c>
      <c r="IMQ4095" s="34">
        <v>-1</v>
      </c>
      <c r="IMR4095" s="34">
        <v>-0.5</v>
      </c>
      <c r="IMS4095" s="34">
        <v>0</v>
      </c>
      <c r="IMT4095" s="34">
        <v>0.5</v>
      </c>
      <c r="IMU4095" s="34">
        <v>1</v>
      </c>
      <c r="IMV4095" s="34">
        <v>1.5</v>
      </c>
      <c r="IMW4095" s="34">
        <v>2</v>
      </c>
      <c r="IMX4095" s="34">
        <v>2.5</v>
      </c>
      <c r="IMY4095" s="34">
        <v>3</v>
      </c>
      <c r="IMZ4095" s="34">
        <v>3.5</v>
      </c>
      <c r="INA4095" s="34">
        <v>4</v>
      </c>
      <c r="INB4095" s="34">
        <v>4.5</v>
      </c>
      <c r="INC4095" s="34">
        <v>5</v>
      </c>
      <c r="INE4095" s="913"/>
      <c r="INF4095" s="31">
        <v>1</v>
      </c>
      <c r="ING4095" s="34">
        <v>0</v>
      </c>
      <c r="INH4095" s="34">
        <v>-1</v>
      </c>
      <c r="INI4095" s="34">
        <v>-2</v>
      </c>
      <c r="INJ4095" s="34">
        <v>-3</v>
      </c>
      <c r="INK4095" s="34">
        <v>-4</v>
      </c>
      <c r="INL4095" s="34">
        <v>-5</v>
      </c>
      <c r="INM4095" s="908"/>
      <c r="INN4095" s="909"/>
      <c r="INO4095" s="34">
        <v>-5</v>
      </c>
      <c r="INP4095" s="34">
        <v>-4.5</v>
      </c>
      <c r="INQ4095" s="34">
        <v>-4</v>
      </c>
      <c r="INR4095" s="34">
        <v>-3.5</v>
      </c>
      <c r="INS4095" s="34">
        <v>-3</v>
      </c>
      <c r="INT4095" s="34">
        <v>-2.5</v>
      </c>
      <c r="INU4095" s="34">
        <v>-2</v>
      </c>
      <c r="INV4095" s="34">
        <v>-1.5</v>
      </c>
      <c r="INW4095" s="34">
        <v>-1</v>
      </c>
      <c r="INX4095" s="34">
        <v>-0.5</v>
      </c>
      <c r="INY4095" s="34">
        <v>0</v>
      </c>
      <c r="INZ4095" s="34">
        <v>0.5</v>
      </c>
      <c r="IOA4095" s="34">
        <v>1</v>
      </c>
      <c r="IOB4095" s="34">
        <v>1.5</v>
      </c>
      <c r="IOC4095" s="34">
        <v>2</v>
      </c>
      <c r="IOD4095" s="34">
        <v>2.5</v>
      </c>
      <c r="IOE4095" s="34">
        <v>3</v>
      </c>
      <c r="IOF4095" s="34">
        <v>3.5</v>
      </c>
      <c r="IOG4095" s="34">
        <v>4</v>
      </c>
      <c r="IOH4095" s="34">
        <v>4.5</v>
      </c>
      <c r="IOI4095" s="34">
        <v>5</v>
      </c>
      <c r="IOK4095" s="913"/>
      <c r="IOL4095" s="31">
        <v>1</v>
      </c>
      <c r="IOM4095" s="34">
        <v>0</v>
      </c>
      <c r="ION4095" s="34">
        <v>-1</v>
      </c>
      <c r="IOO4095" s="34">
        <v>-2</v>
      </c>
      <c r="IOP4095" s="34">
        <v>-3</v>
      </c>
      <c r="IOQ4095" s="34">
        <v>-4</v>
      </c>
      <c r="IOR4095" s="34">
        <v>-5</v>
      </c>
      <c r="IOS4095" s="908"/>
      <c r="IOT4095" s="909"/>
      <c r="IOU4095" s="34">
        <v>-5</v>
      </c>
      <c r="IOV4095" s="34">
        <v>-4.5</v>
      </c>
      <c r="IOW4095" s="34">
        <v>-4</v>
      </c>
      <c r="IOX4095" s="34">
        <v>-3.5</v>
      </c>
      <c r="IOY4095" s="34">
        <v>-3</v>
      </c>
      <c r="IOZ4095" s="34">
        <v>-2.5</v>
      </c>
      <c r="IPA4095" s="34">
        <v>-2</v>
      </c>
      <c r="IPB4095" s="34">
        <v>-1.5</v>
      </c>
      <c r="IPC4095" s="34">
        <v>-1</v>
      </c>
      <c r="IPD4095" s="34">
        <v>-0.5</v>
      </c>
      <c r="IPE4095" s="34">
        <v>0</v>
      </c>
      <c r="IPF4095" s="34">
        <v>0.5</v>
      </c>
      <c r="IPG4095" s="34">
        <v>1</v>
      </c>
      <c r="IPH4095" s="34">
        <v>1.5</v>
      </c>
      <c r="IPI4095" s="34">
        <v>2</v>
      </c>
      <c r="IPJ4095" s="34">
        <v>2.5</v>
      </c>
      <c r="IPK4095" s="34">
        <v>3</v>
      </c>
      <c r="IPL4095" s="34">
        <v>3.5</v>
      </c>
      <c r="IPM4095" s="34">
        <v>4</v>
      </c>
      <c r="IPN4095" s="34">
        <v>4.5</v>
      </c>
      <c r="IPO4095" s="34">
        <v>5</v>
      </c>
      <c r="IPQ4095" s="913"/>
      <c r="IPR4095" s="31">
        <v>1</v>
      </c>
      <c r="IPS4095" s="34">
        <v>0</v>
      </c>
      <c r="IPT4095" s="34">
        <v>-1</v>
      </c>
      <c r="IPU4095" s="34">
        <v>-2</v>
      </c>
      <c r="IPV4095" s="34">
        <v>-3</v>
      </c>
      <c r="IPW4095" s="34">
        <v>-4</v>
      </c>
      <c r="IPX4095" s="34">
        <v>-5</v>
      </c>
      <c r="IPY4095" s="908"/>
      <c r="IPZ4095" s="909"/>
      <c r="IQA4095" s="34">
        <v>-5</v>
      </c>
      <c r="IQB4095" s="34">
        <v>-4.5</v>
      </c>
      <c r="IQC4095" s="34">
        <v>-4</v>
      </c>
      <c r="IQD4095" s="34">
        <v>-3.5</v>
      </c>
      <c r="IQE4095" s="34">
        <v>-3</v>
      </c>
      <c r="IQF4095" s="34">
        <v>-2.5</v>
      </c>
      <c r="IQG4095" s="34">
        <v>-2</v>
      </c>
      <c r="IQH4095" s="34">
        <v>-1.5</v>
      </c>
      <c r="IQI4095" s="34">
        <v>-1</v>
      </c>
      <c r="IQJ4095" s="34">
        <v>-0.5</v>
      </c>
      <c r="IQK4095" s="34">
        <v>0</v>
      </c>
      <c r="IQL4095" s="34">
        <v>0.5</v>
      </c>
      <c r="IQM4095" s="34">
        <v>1</v>
      </c>
      <c r="IQN4095" s="34">
        <v>1.5</v>
      </c>
      <c r="IQO4095" s="34">
        <v>2</v>
      </c>
      <c r="IQP4095" s="34">
        <v>2.5</v>
      </c>
      <c r="IQQ4095" s="34">
        <v>3</v>
      </c>
      <c r="IQR4095" s="34">
        <v>3.5</v>
      </c>
      <c r="IQS4095" s="34">
        <v>4</v>
      </c>
      <c r="IQT4095" s="34">
        <v>4.5</v>
      </c>
      <c r="IQU4095" s="34">
        <v>5</v>
      </c>
      <c r="IQW4095" s="913"/>
      <c r="IQX4095" s="31">
        <v>1</v>
      </c>
      <c r="IQY4095" s="34">
        <v>0</v>
      </c>
      <c r="IQZ4095" s="34">
        <v>-1</v>
      </c>
      <c r="IRA4095" s="34">
        <v>-2</v>
      </c>
      <c r="IRB4095" s="34">
        <v>-3</v>
      </c>
      <c r="IRC4095" s="34">
        <v>-4</v>
      </c>
      <c r="IRD4095" s="34">
        <v>-5</v>
      </c>
      <c r="IRE4095" s="908"/>
      <c r="IRF4095" s="909"/>
      <c r="IRG4095" s="34">
        <v>-5</v>
      </c>
      <c r="IRH4095" s="34">
        <v>-4.5</v>
      </c>
      <c r="IRI4095" s="34">
        <v>-4</v>
      </c>
      <c r="IRJ4095" s="34">
        <v>-3.5</v>
      </c>
      <c r="IRK4095" s="34">
        <v>-3</v>
      </c>
      <c r="IRL4095" s="34">
        <v>-2.5</v>
      </c>
      <c r="IRM4095" s="34">
        <v>-2</v>
      </c>
      <c r="IRN4095" s="34">
        <v>-1.5</v>
      </c>
      <c r="IRO4095" s="34">
        <v>-1</v>
      </c>
      <c r="IRP4095" s="34">
        <v>-0.5</v>
      </c>
      <c r="IRQ4095" s="34">
        <v>0</v>
      </c>
      <c r="IRR4095" s="34">
        <v>0.5</v>
      </c>
      <c r="IRS4095" s="34">
        <v>1</v>
      </c>
      <c r="IRT4095" s="34">
        <v>1.5</v>
      </c>
      <c r="IRU4095" s="34">
        <v>2</v>
      </c>
      <c r="IRV4095" s="34">
        <v>2.5</v>
      </c>
      <c r="IRW4095" s="34">
        <v>3</v>
      </c>
      <c r="IRX4095" s="34">
        <v>3.5</v>
      </c>
      <c r="IRY4095" s="34">
        <v>4</v>
      </c>
      <c r="IRZ4095" s="34">
        <v>4.5</v>
      </c>
      <c r="ISA4095" s="34">
        <v>5</v>
      </c>
      <c r="ISC4095" s="913"/>
      <c r="ISD4095" s="31">
        <v>1</v>
      </c>
      <c r="ISE4095" s="34">
        <v>0</v>
      </c>
      <c r="ISF4095" s="34">
        <v>-1</v>
      </c>
      <c r="ISG4095" s="34">
        <v>-2</v>
      </c>
      <c r="ISH4095" s="34">
        <v>-3</v>
      </c>
      <c r="ISI4095" s="34">
        <v>-4</v>
      </c>
      <c r="ISJ4095" s="34">
        <v>-5</v>
      </c>
      <c r="ISK4095" s="908"/>
      <c r="ISL4095" s="909"/>
      <c r="ISM4095" s="34">
        <v>-5</v>
      </c>
      <c r="ISN4095" s="34">
        <v>-4.5</v>
      </c>
      <c r="ISO4095" s="34">
        <v>-4</v>
      </c>
      <c r="ISP4095" s="34">
        <v>-3.5</v>
      </c>
      <c r="ISQ4095" s="34">
        <v>-3</v>
      </c>
      <c r="ISR4095" s="34">
        <v>-2.5</v>
      </c>
      <c r="ISS4095" s="34">
        <v>-2</v>
      </c>
      <c r="IST4095" s="34">
        <v>-1.5</v>
      </c>
      <c r="ISU4095" s="34">
        <v>-1</v>
      </c>
      <c r="ISV4095" s="34">
        <v>-0.5</v>
      </c>
      <c r="ISW4095" s="34">
        <v>0</v>
      </c>
      <c r="ISX4095" s="34">
        <v>0.5</v>
      </c>
      <c r="ISY4095" s="34">
        <v>1</v>
      </c>
      <c r="ISZ4095" s="34">
        <v>1.5</v>
      </c>
      <c r="ITA4095" s="34">
        <v>2</v>
      </c>
      <c r="ITB4095" s="34">
        <v>2.5</v>
      </c>
      <c r="ITC4095" s="34">
        <v>3</v>
      </c>
      <c r="ITD4095" s="34">
        <v>3.5</v>
      </c>
      <c r="ITE4095" s="34">
        <v>4</v>
      </c>
      <c r="ITF4095" s="34">
        <v>4.5</v>
      </c>
      <c r="ITG4095" s="34">
        <v>5</v>
      </c>
      <c r="ITI4095" s="913"/>
      <c r="ITJ4095" s="31">
        <v>1</v>
      </c>
      <c r="ITK4095" s="34">
        <v>0</v>
      </c>
      <c r="ITL4095" s="34">
        <v>-1</v>
      </c>
      <c r="ITM4095" s="34">
        <v>-2</v>
      </c>
      <c r="ITN4095" s="34">
        <v>-3</v>
      </c>
      <c r="ITO4095" s="34">
        <v>-4</v>
      </c>
      <c r="ITP4095" s="34">
        <v>-5</v>
      </c>
      <c r="ITQ4095" s="908"/>
      <c r="ITR4095" s="909"/>
      <c r="ITS4095" s="34">
        <v>-5</v>
      </c>
      <c r="ITT4095" s="34">
        <v>-4.5</v>
      </c>
      <c r="ITU4095" s="34">
        <v>-4</v>
      </c>
      <c r="ITV4095" s="34">
        <v>-3.5</v>
      </c>
      <c r="ITW4095" s="34">
        <v>-3</v>
      </c>
      <c r="ITX4095" s="34">
        <v>-2.5</v>
      </c>
      <c r="ITY4095" s="34">
        <v>-2</v>
      </c>
      <c r="ITZ4095" s="34">
        <v>-1.5</v>
      </c>
      <c r="IUA4095" s="34">
        <v>-1</v>
      </c>
      <c r="IUB4095" s="34">
        <v>-0.5</v>
      </c>
      <c r="IUC4095" s="34">
        <v>0</v>
      </c>
      <c r="IUD4095" s="34">
        <v>0.5</v>
      </c>
      <c r="IUE4095" s="34">
        <v>1</v>
      </c>
      <c r="IUF4095" s="34">
        <v>1.5</v>
      </c>
      <c r="IUG4095" s="34">
        <v>2</v>
      </c>
      <c r="IUH4095" s="34">
        <v>2.5</v>
      </c>
      <c r="IUI4095" s="34">
        <v>3</v>
      </c>
      <c r="IUJ4095" s="34">
        <v>3.5</v>
      </c>
      <c r="IUK4095" s="34">
        <v>4</v>
      </c>
      <c r="IUL4095" s="34">
        <v>4.5</v>
      </c>
      <c r="IUM4095" s="34">
        <v>5</v>
      </c>
      <c r="IUO4095" s="913"/>
      <c r="IUP4095" s="31">
        <v>1</v>
      </c>
      <c r="IUQ4095" s="34">
        <v>0</v>
      </c>
      <c r="IUR4095" s="34">
        <v>-1</v>
      </c>
      <c r="IUS4095" s="34">
        <v>-2</v>
      </c>
      <c r="IUT4095" s="34">
        <v>-3</v>
      </c>
      <c r="IUU4095" s="34">
        <v>-4</v>
      </c>
      <c r="IUV4095" s="34">
        <v>-5</v>
      </c>
      <c r="IUW4095" s="908"/>
      <c r="IUX4095" s="909"/>
      <c r="IUY4095" s="34">
        <v>-5</v>
      </c>
      <c r="IUZ4095" s="34">
        <v>-4.5</v>
      </c>
      <c r="IVA4095" s="34">
        <v>-4</v>
      </c>
      <c r="IVB4095" s="34">
        <v>-3.5</v>
      </c>
      <c r="IVC4095" s="34">
        <v>-3</v>
      </c>
      <c r="IVD4095" s="34">
        <v>-2.5</v>
      </c>
      <c r="IVE4095" s="34">
        <v>-2</v>
      </c>
      <c r="IVF4095" s="34">
        <v>-1.5</v>
      </c>
      <c r="IVG4095" s="34">
        <v>-1</v>
      </c>
      <c r="IVH4095" s="34">
        <v>-0.5</v>
      </c>
      <c r="IVI4095" s="34">
        <v>0</v>
      </c>
      <c r="IVJ4095" s="34">
        <v>0.5</v>
      </c>
      <c r="IVK4095" s="34">
        <v>1</v>
      </c>
      <c r="IVL4095" s="34">
        <v>1.5</v>
      </c>
      <c r="IVM4095" s="34">
        <v>2</v>
      </c>
      <c r="IVN4095" s="34">
        <v>2.5</v>
      </c>
      <c r="IVO4095" s="34">
        <v>3</v>
      </c>
      <c r="IVP4095" s="34">
        <v>3.5</v>
      </c>
      <c r="IVQ4095" s="34">
        <v>4</v>
      </c>
      <c r="IVR4095" s="34">
        <v>4.5</v>
      </c>
      <c r="IVS4095" s="34">
        <v>5</v>
      </c>
      <c r="IVU4095" s="913"/>
      <c r="IVV4095" s="31">
        <v>1</v>
      </c>
      <c r="IVW4095" s="34">
        <v>0</v>
      </c>
      <c r="IVX4095" s="34">
        <v>-1</v>
      </c>
      <c r="IVY4095" s="34">
        <v>-2</v>
      </c>
      <c r="IVZ4095" s="34">
        <v>-3</v>
      </c>
      <c r="IWA4095" s="34">
        <v>-4</v>
      </c>
      <c r="IWB4095" s="34">
        <v>-5</v>
      </c>
      <c r="IWC4095" s="908"/>
      <c r="IWD4095" s="909"/>
      <c r="IWE4095" s="34">
        <v>-5</v>
      </c>
      <c r="IWF4095" s="34">
        <v>-4.5</v>
      </c>
      <c r="IWG4095" s="34">
        <v>-4</v>
      </c>
      <c r="IWH4095" s="34">
        <v>-3.5</v>
      </c>
      <c r="IWI4095" s="34">
        <v>-3</v>
      </c>
      <c r="IWJ4095" s="34">
        <v>-2.5</v>
      </c>
      <c r="IWK4095" s="34">
        <v>-2</v>
      </c>
      <c r="IWL4095" s="34">
        <v>-1.5</v>
      </c>
      <c r="IWM4095" s="34">
        <v>-1</v>
      </c>
      <c r="IWN4095" s="34">
        <v>-0.5</v>
      </c>
      <c r="IWO4095" s="34">
        <v>0</v>
      </c>
      <c r="IWP4095" s="34">
        <v>0.5</v>
      </c>
      <c r="IWQ4095" s="34">
        <v>1</v>
      </c>
      <c r="IWR4095" s="34">
        <v>1.5</v>
      </c>
      <c r="IWS4095" s="34">
        <v>2</v>
      </c>
      <c r="IWT4095" s="34">
        <v>2.5</v>
      </c>
      <c r="IWU4095" s="34">
        <v>3</v>
      </c>
      <c r="IWV4095" s="34">
        <v>3.5</v>
      </c>
      <c r="IWW4095" s="34">
        <v>4</v>
      </c>
      <c r="IWX4095" s="34">
        <v>4.5</v>
      </c>
      <c r="IWY4095" s="34">
        <v>5</v>
      </c>
      <c r="IXA4095" s="913"/>
      <c r="IXB4095" s="31">
        <v>1</v>
      </c>
      <c r="IXC4095" s="34">
        <v>0</v>
      </c>
      <c r="IXD4095" s="34">
        <v>-1</v>
      </c>
      <c r="IXE4095" s="34">
        <v>-2</v>
      </c>
      <c r="IXF4095" s="34">
        <v>-3</v>
      </c>
      <c r="IXG4095" s="34">
        <v>-4</v>
      </c>
      <c r="IXH4095" s="34">
        <v>-5</v>
      </c>
      <c r="IXI4095" s="908"/>
      <c r="IXJ4095" s="909"/>
      <c r="IXK4095" s="34">
        <v>-5</v>
      </c>
      <c r="IXL4095" s="34">
        <v>-4.5</v>
      </c>
      <c r="IXM4095" s="34">
        <v>-4</v>
      </c>
      <c r="IXN4095" s="34">
        <v>-3.5</v>
      </c>
      <c r="IXO4095" s="34">
        <v>-3</v>
      </c>
      <c r="IXP4095" s="34">
        <v>-2.5</v>
      </c>
      <c r="IXQ4095" s="34">
        <v>-2</v>
      </c>
      <c r="IXR4095" s="34">
        <v>-1.5</v>
      </c>
      <c r="IXS4095" s="34">
        <v>-1</v>
      </c>
      <c r="IXT4095" s="34">
        <v>-0.5</v>
      </c>
      <c r="IXU4095" s="34">
        <v>0</v>
      </c>
      <c r="IXV4095" s="34">
        <v>0.5</v>
      </c>
      <c r="IXW4095" s="34">
        <v>1</v>
      </c>
      <c r="IXX4095" s="34">
        <v>1.5</v>
      </c>
      <c r="IXY4095" s="34">
        <v>2</v>
      </c>
      <c r="IXZ4095" s="34">
        <v>2.5</v>
      </c>
      <c r="IYA4095" s="34">
        <v>3</v>
      </c>
      <c r="IYB4095" s="34">
        <v>3.5</v>
      </c>
      <c r="IYC4095" s="34">
        <v>4</v>
      </c>
      <c r="IYD4095" s="34">
        <v>4.5</v>
      </c>
      <c r="IYE4095" s="34">
        <v>5</v>
      </c>
      <c r="IYG4095" s="913"/>
      <c r="IYH4095" s="31">
        <v>1</v>
      </c>
      <c r="IYI4095" s="34">
        <v>0</v>
      </c>
      <c r="IYJ4095" s="34">
        <v>-1</v>
      </c>
      <c r="IYK4095" s="34">
        <v>-2</v>
      </c>
      <c r="IYL4095" s="34">
        <v>-3</v>
      </c>
      <c r="IYM4095" s="34">
        <v>-4</v>
      </c>
      <c r="IYN4095" s="34">
        <v>-5</v>
      </c>
      <c r="IYO4095" s="908"/>
      <c r="IYP4095" s="909"/>
      <c r="IYQ4095" s="34">
        <v>-5</v>
      </c>
      <c r="IYR4095" s="34">
        <v>-4.5</v>
      </c>
      <c r="IYS4095" s="34">
        <v>-4</v>
      </c>
      <c r="IYT4095" s="34">
        <v>-3.5</v>
      </c>
      <c r="IYU4095" s="34">
        <v>-3</v>
      </c>
      <c r="IYV4095" s="34">
        <v>-2.5</v>
      </c>
      <c r="IYW4095" s="34">
        <v>-2</v>
      </c>
      <c r="IYX4095" s="34">
        <v>-1.5</v>
      </c>
      <c r="IYY4095" s="34">
        <v>-1</v>
      </c>
      <c r="IYZ4095" s="34">
        <v>-0.5</v>
      </c>
      <c r="IZA4095" s="34">
        <v>0</v>
      </c>
      <c r="IZB4095" s="34">
        <v>0.5</v>
      </c>
      <c r="IZC4095" s="34">
        <v>1</v>
      </c>
      <c r="IZD4095" s="34">
        <v>1.5</v>
      </c>
      <c r="IZE4095" s="34">
        <v>2</v>
      </c>
      <c r="IZF4095" s="34">
        <v>2.5</v>
      </c>
      <c r="IZG4095" s="34">
        <v>3</v>
      </c>
      <c r="IZH4095" s="34">
        <v>3.5</v>
      </c>
      <c r="IZI4095" s="34">
        <v>4</v>
      </c>
      <c r="IZJ4095" s="34">
        <v>4.5</v>
      </c>
      <c r="IZK4095" s="34">
        <v>5</v>
      </c>
      <c r="IZM4095" s="913"/>
      <c r="IZN4095" s="31">
        <v>1</v>
      </c>
      <c r="IZO4095" s="34">
        <v>0</v>
      </c>
      <c r="IZP4095" s="34">
        <v>-1</v>
      </c>
      <c r="IZQ4095" s="34">
        <v>-2</v>
      </c>
      <c r="IZR4095" s="34">
        <v>-3</v>
      </c>
      <c r="IZS4095" s="34">
        <v>-4</v>
      </c>
      <c r="IZT4095" s="34">
        <v>-5</v>
      </c>
      <c r="IZU4095" s="908"/>
      <c r="IZV4095" s="909"/>
      <c r="IZW4095" s="34">
        <v>-5</v>
      </c>
      <c r="IZX4095" s="34">
        <v>-4.5</v>
      </c>
      <c r="IZY4095" s="34">
        <v>-4</v>
      </c>
      <c r="IZZ4095" s="34">
        <v>-3.5</v>
      </c>
      <c r="JAA4095" s="34">
        <v>-3</v>
      </c>
      <c r="JAB4095" s="34">
        <v>-2.5</v>
      </c>
      <c r="JAC4095" s="34">
        <v>-2</v>
      </c>
      <c r="JAD4095" s="34">
        <v>-1.5</v>
      </c>
      <c r="JAE4095" s="34">
        <v>-1</v>
      </c>
      <c r="JAF4095" s="34">
        <v>-0.5</v>
      </c>
      <c r="JAG4095" s="34">
        <v>0</v>
      </c>
      <c r="JAH4095" s="34">
        <v>0.5</v>
      </c>
      <c r="JAI4095" s="34">
        <v>1</v>
      </c>
      <c r="JAJ4095" s="34">
        <v>1.5</v>
      </c>
      <c r="JAK4095" s="34">
        <v>2</v>
      </c>
      <c r="JAL4095" s="34">
        <v>2.5</v>
      </c>
      <c r="JAM4095" s="34">
        <v>3</v>
      </c>
      <c r="JAN4095" s="34">
        <v>3.5</v>
      </c>
      <c r="JAO4095" s="34">
        <v>4</v>
      </c>
      <c r="JAP4095" s="34">
        <v>4.5</v>
      </c>
      <c r="JAQ4095" s="34">
        <v>5</v>
      </c>
      <c r="JAS4095" s="913"/>
      <c r="JAT4095" s="31">
        <v>1</v>
      </c>
      <c r="JAU4095" s="34">
        <v>0</v>
      </c>
      <c r="JAV4095" s="34">
        <v>-1</v>
      </c>
      <c r="JAW4095" s="34">
        <v>-2</v>
      </c>
      <c r="JAX4095" s="34">
        <v>-3</v>
      </c>
      <c r="JAY4095" s="34">
        <v>-4</v>
      </c>
      <c r="JAZ4095" s="34">
        <v>-5</v>
      </c>
      <c r="JBA4095" s="908"/>
      <c r="JBB4095" s="909"/>
      <c r="JBC4095" s="34">
        <v>-5</v>
      </c>
      <c r="JBD4095" s="34">
        <v>-4.5</v>
      </c>
      <c r="JBE4095" s="34">
        <v>-4</v>
      </c>
      <c r="JBF4095" s="34">
        <v>-3.5</v>
      </c>
      <c r="JBG4095" s="34">
        <v>-3</v>
      </c>
      <c r="JBH4095" s="34">
        <v>-2.5</v>
      </c>
      <c r="JBI4095" s="34">
        <v>-2</v>
      </c>
      <c r="JBJ4095" s="34">
        <v>-1.5</v>
      </c>
      <c r="JBK4095" s="34">
        <v>-1</v>
      </c>
      <c r="JBL4095" s="34">
        <v>-0.5</v>
      </c>
      <c r="JBM4095" s="34">
        <v>0</v>
      </c>
      <c r="JBN4095" s="34">
        <v>0.5</v>
      </c>
      <c r="JBO4095" s="34">
        <v>1</v>
      </c>
      <c r="JBP4095" s="34">
        <v>1.5</v>
      </c>
      <c r="JBQ4095" s="34">
        <v>2</v>
      </c>
      <c r="JBR4095" s="34">
        <v>2.5</v>
      </c>
      <c r="JBS4095" s="34">
        <v>3</v>
      </c>
      <c r="JBT4095" s="34">
        <v>3.5</v>
      </c>
      <c r="JBU4095" s="34">
        <v>4</v>
      </c>
      <c r="JBV4095" s="34">
        <v>4.5</v>
      </c>
      <c r="JBW4095" s="34">
        <v>5</v>
      </c>
      <c r="JBY4095" s="913"/>
      <c r="JBZ4095" s="31">
        <v>1</v>
      </c>
      <c r="JCA4095" s="34">
        <v>0</v>
      </c>
      <c r="JCB4095" s="34">
        <v>-1</v>
      </c>
      <c r="JCC4095" s="34">
        <v>-2</v>
      </c>
      <c r="JCD4095" s="34">
        <v>-3</v>
      </c>
      <c r="JCE4095" s="34">
        <v>-4</v>
      </c>
      <c r="JCF4095" s="34">
        <v>-5</v>
      </c>
      <c r="JCG4095" s="908"/>
      <c r="JCH4095" s="909"/>
      <c r="JCI4095" s="34">
        <v>-5</v>
      </c>
      <c r="JCJ4095" s="34">
        <v>-4.5</v>
      </c>
      <c r="JCK4095" s="34">
        <v>-4</v>
      </c>
      <c r="JCL4095" s="34">
        <v>-3.5</v>
      </c>
      <c r="JCM4095" s="34">
        <v>-3</v>
      </c>
      <c r="JCN4095" s="34">
        <v>-2.5</v>
      </c>
      <c r="JCO4095" s="34">
        <v>-2</v>
      </c>
      <c r="JCP4095" s="34">
        <v>-1.5</v>
      </c>
      <c r="JCQ4095" s="34">
        <v>-1</v>
      </c>
      <c r="JCR4095" s="34">
        <v>-0.5</v>
      </c>
      <c r="JCS4095" s="34">
        <v>0</v>
      </c>
      <c r="JCT4095" s="34">
        <v>0.5</v>
      </c>
      <c r="JCU4095" s="34">
        <v>1</v>
      </c>
      <c r="JCV4095" s="34">
        <v>1.5</v>
      </c>
      <c r="JCW4095" s="34">
        <v>2</v>
      </c>
      <c r="JCX4095" s="34">
        <v>2.5</v>
      </c>
      <c r="JCY4095" s="34">
        <v>3</v>
      </c>
      <c r="JCZ4095" s="34">
        <v>3.5</v>
      </c>
      <c r="JDA4095" s="34">
        <v>4</v>
      </c>
      <c r="JDB4095" s="34">
        <v>4.5</v>
      </c>
      <c r="JDC4095" s="34">
        <v>5</v>
      </c>
      <c r="JDE4095" s="913"/>
      <c r="JDF4095" s="31">
        <v>1</v>
      </c>
      <c r="JDG4095" s="34">
        <v>0</v>
      </c>
      <c r="JDH4095" s="34">
        <v>-1</v>
      </c>
      <c r="JDI4095" s="34">
        <v>-2</v>
      </c>
      <c r="JDJ4095" s="34">
        <v>-3</v>
      </c>
      <c r="JDK4095" s="34">
        <v>-4</v>
      </c>
      <c r="JDL4095" s="34">
        <v>-5</v>
      </c>
      <c r="JDM4095" s="908"/>
      <c r="JDN4095" s="909"/>
      <c r="JDO4095" s="34">
        <v>-5</v>
      </c>
      <c r="JDP4095" s="34">
        <v>-4.5</v>
      </c>
      <c r="JDQ4095" s="34">
        <v>-4</v>
      </c>
      <c r="JDR4095" s="34">
        <v>-3.5</v>
      </c>
      <c r="JDS4095" s="34">
        <v>-3</v>
      </c>
      <c r="JDT4095" s="34">
        <v>-2.5</v>
      </c>
      <c r="JDU4095" s="34">
        <v>-2</v>
      </c>
      <c r="JDV4095" s="34">
        <v>-1.5</v>
      </c>
      <c r="JDW4095" s="34">
        <v>-1</v>
      </c>
      <c r="JDX4095" s="34">
        <v>-0.5</v>
      </c>
      <c r="JDY4095" s="34">
        <v>0</v>
      </c>
      <c r="JDZ4095" s="34">
        <v>0.5</v>
      </c>
      <c r="JEA4095" s="34">
        <v>1</v>
      </c>
      <c r="JEB4095" s="34">
        <v>1.5</v>
      </c>
      <c r="JEC4095" s="34">
        <v>2</v>
      </c>
      <c r="JED4095" s="34">
        <v>2.5</v>
      </c>
      <c r="JEE4095" s="34">
        <v>3</v>
      </c>
      <c r="JEF4095" s="34">
        <v>3.5</v>
      </c>
      <c r="JEG4095" s="34">
        <v>4</v>
      </c>
      <c r="JEH4095" s="34">
        <v>4.5</v>
      </c>
      <c r="JEI4095" s="34">
        <v>5</v>
      </c>
      <c r="JEK4095" s="913"/>
      <c r="JEL4095" s="31">
        <v>1</v>
      </c>
      <c r="JEM4095" s="34">
        <v>0</v>
      </c>
      <c r="JEN4095" s="34">
        <v>-1</v>
      </c>
      <c r="JEO4095" s="34">
        <v>-2</v>
      </c>
      <c r="JEP4095" s="34">
        <v>-3</v>
      </c>
      <c r="JEQ4095" s="34">
        <v>-4</v>
      </c>
      <c r="JER4095" s="34">
        <v>-5</v>
      </c>
      <c r="JES4095" s="908"/>
      <c r="JET4095" s="909"/>
      <c r="JEU4095" s="34">
        <v>-5</v>
      </c>
      <c r="JEV4095" s="34">
        <v>-4.5</v>
      </c>
      <c r="JEW4095" s="34">
        <v>-4</v>
      </c>
      <c r="JEX4095" s="34">
        <v>-3.5</v>
      </c>
      <c r="JEY4095" s="34">
        <v>-3</v>
      </c>
      <c r="JEZ4095" s="34">
        <v>-2.5</v>
      </c>
      <c r="JFA4095" s="34">
        <v>-2</v>
      </c>
      <c r="JFB4095" s="34">
        <v>-1.5</v>
      </c>
      <c r="JFC4095" s="34">
        <v>-1</v>
      </c>
      <c r="JFD4095" s="34">
        <v>-0.5</v>
      </c>
      <c r="JFE4095" s="34">
        <v>0</v>
      </c>
      <c r="JFF4095" s="34">
        <v>0.5</v>
      </c>
      <c r="JFG4095" s="34">
        <v>1</v>
      </c>
      <c r="JFH4095" s="34">
        <v>1.5</v>
      </c>
      <c r="JFI4095" s="34">
        <v>2</v>
      </c>
      <c r="JFJ4095" s="34">
        <v>2.5</v>
      </c>
      <c r="JFK4095" s="34">
        <v>3</v>
      </c>
      <c r="JFL4095" s="34">
        <v>3.5</v>
      </c>
      <c r="JFM4095" s="34">
        <v>4</v>
      </c>
      <c r="JFN4095" s="34">
        <v>4.5</v>
      </c>
      <c r="JFO4095" s="34">
        <v>5</v>
      </c>
      <c r="JFQ4095" s="913"/>
      <c r="JFR4095" s="31">
        <v>1</v>
      </c>
      <c r="JFS4095" s="34">
        <v>0</v>
      </c>
      <c r="JFT4095" s="34">
        <v>-1</v>
      </c>
      <c r="JFU4095" s="34">
        <v>-2</v>
      </c>
      <c r="JFV4095" s="34">
        <v>-3</v>
      </c>
      <c r="JFW4095" s="34">
        <v>-4</v>
      </c>
      <c r="JFX4095" s="34">
        <v>-5</v>
      </c>
      <c r="JFY4095" s="908"/>
      <c r="JFZ4095" s="909"/>
      <c r="JGA4095" s="34">
        <v>-5</v>
      </c>
      <c r="JGB4095" s="34">
        <v>-4.5</v>
      </c>
      <c r="JGC4095" s="34">
        <v>-4</v>
      </c>
      <c r="JGD4095" s="34">
        <v>-3.5</v>
      </c>
      <c r="JGE4095" s="34">
        <v>-3</v>
      </c>
      <c r="JGF4095" s="34">
        <v>-2.5</v>
      </c>
      <c r="JGG4095" s="34">
        <v>-2</v>
      </c>
      <c r="JGH4095" s="34">
        <v>-1.5</v>
      </c>
      <c r="JGI4095" s="34">
        <v>-1</v>
      </c>
      <c r="JGJ4095" s="34">
        <v>-0.5</v>
      </c>
      <c r="JGK4095" s="34">
        <v>0</v>
      </c>
      <c r="JGL4095" s="34">
        <v>0.5</v>
      </c>
      <c r="JGM4095" s="34">
        <v>1</v>
      </c>
      <c r="JGN4095" s="34">
        <v>1.5</v>
      </c>
      <c r="JGO4095" s="34">
        <v>2</v>
      </c>
      <c r="JGP4095" s="34">
        <v>2.5</v>
      </c>
      <c r="JGQ4095" s="34">
        <v>3</v>
      </c>
      <c r="JGR4095" s="34">
        <v>3.5</v>
      </c>
      <c r="JGS4095" s="34">
        <v>4</v>
      </c>
      <c r="JGT4095" s="34">
        <v>4.5</v>
      </c>
      <c r="JGU4095" s="34">
        <v>5</v>
      </c>
      <c r="JGW4095" s="913"/>
      <c r="JGX4095" s="31">
        <v>1</v>
      </c>
      <c r="JGY4095" s="34">
        <v>0</v>
      </c>
      <c r="JGZ4095" s="34">
        <v>-1</v>
      </c>
      <c r="JHA4095" s="34">
        <v>-2</v>
      </c>
      <c r="JHB4095" s="34">
        <v>-3</v>
      </c>
      <c r="JHC4095" s="34">
        <v>-4</v>
      </c>
      <c r="JHD4095" s="34">
        <v>-5</v>
      </c>
      <c r="JHE4095" s="908"/>
      <c r="JHF4095" s="909"/>
      <c r="JHG4095" s="34">
        <v>-5</v>
      </c>
      <c r="JHH4095" s="34">
        <v>-4.5</v>
      </c>
      <c r="JHI4095" s="34">
        <v>-4</v>
      </c>
      <c r="JHJ4095" s="34">
        <v>-3.5</v>
      </c>
      <c r="JHK4095" s="34">
        <v>-3</v>
      </c>
      <c r="JHL4095" s="34">
        <v>-2.5</v>
      </c>
      <c r="JHM4095" s="34">
        <v>-2</v>
      </c>
      <c r="JHN4095" s="34">
        <v>-1.5</v>
      </c>
      <c r="JHO4095" s="34">
        <v>-1</v>
      </c>
      <c r="JHP4095" s="34">
        <v>-0.5</v>
      </c>
      <c r="JHQ4095" s="34">
        <v>0</v>
      </c>
      <c r="JHR4095" s="34">
        <v>0.5</v>
      </c>
      <c r="JHS4095" s="34">
        <v>1</v>
      </c>
      <c r="JHT4095" s="34">
        <v>1.5</v>
      </c>
      <c r="JHU4095" s="34">
        <v>2</v>
      </c>
      <c r="JHV4095" s="34">
        <v>2.5</v>
      </c>
      <c r="JHW4095" s="34">
        <v>3</v>
      </c>
      <c r="JHX4095" s="34">
        <v>3.5</v>
      </c>
      <c r="JHY4095" s="34">
        <v>4</v>
      </c>
      <c r="JHZ4095" s="34">
        <v>4.5</v>
      </c>
      <c r="JIA4095" s="34">
        <v>5</v>
      </c>
      <c r="JIC4095" s="913"/>
      <c r="JID4095" s="31">
        <v>1</v>
      </c>
      <c r="JIE4095" s="34">
        <v>0</v>
      </c>
      <c r="JIF4095" s="34">
        <v>-1</v>
      </c>
      <c r="JIG4095" s="34">
        <v>-2</v>
      </c>
      <c r="JIH4095" s="34">
        <v>-3</v>
      </c>
      <c r="JII4095" s="34">
        <v>-4</v>
      </c>
      <c r="JIJ4095" s="34">
        <v>-5</v>
      </c>
      <c r="JIK4095" s="908"/>
      <c r="JIL4095" s="909"/>
      <c r="JIM4095" s="34">
        <v>-5</v>
      </c>
      <c r="JIN4095" s="34">
        <v>-4.5</v>
      </c>
      <c r="JIO4095" s="34">
        <v>-4</v>
      </c>
      <c r="JIP4095" s="34">
        <v>-3.5</v>
      </c>
      <c r="JIQ4095" s="34">
        <v>-3</v>
      </c>
      <c r="JIR4095" s="34">
        <v>-2.5</v>
      </c>
      <c r="JIS4095" s="34">
        <v>-2</v>
      </c>
      <c r="JIT4095" s="34">
        <v>-1.5</v>
      </c>
      <c r="JIU4095" s="34">
        <v>-1</v>
      </c>
      <c r="JIV4095" s="34">
        <v>-0.5</v>
      </c>
      <c r="JIW4095" s="34">
        <v>0</v>
      </c>
      <c r="JIX4095" s="34">
        <v>0.5</v>
      </c>
      <c r="JIY4095" s="34">
        <v>1</v>
      </c>
      <c r="JIZ4095" s="34">
        <v>1.5</v>
      </c>
      <c r="JJA4095" s="34">
        <v>2</v>
      </c>
      <c r="JJB4095" s="34">
        <v>2.5</v>
      </c>
      <c r="JJC4095" s="34">
        <v>3</v>
      </c>
      <c r="JJD4095" s="34">
        <v>3.5</v>
      </c>
      <c r="JJE4095" s="34">
        <v>4</v>
      </c>
      <c r="JJF4095" s="34">
        <v>4.5</v>
      </c>
      <c r="JJG4095" s="34">
        <v>5</v>
      </c>
      <c r="JJI4095" s="913"/>
      <c r="JJJ4095" s="31">
        <v>1</v>
      </c>
      <c r="JJK4095" s="34">
        <v>0</v>
      </c>
      <c r="JJL4095" s="34">
        <v>-1</v>
      </c>
      <c r="JJM4095" s="34">
        <v>-2</v>
      </c>
      <c r="JJN4095" s="34">
        <v>-3</v>
      </c>
      <c r="JJO4095" s="34">
        <v>-4</v>
      </c>
      <c r="JJP4095" s="34">
        <v>-5</v>
      </c>
      <c r="JJQ4095" s="908"/>
      <c r="JJR4095" s="909"/>
      <c r="JJS4095" s="34">
        <v>-5</v>
      </c>
      <c r="JJT4095" s="34">
        <v>-4.5</v>
      </c>
      <c r="JJU4095" s="34">
        <v>-4</v>
      </c>
      <c r="JJV4095" s="34">
        <v>-3.5</v>
      </c>
      <c r="JJW4095" s="34">
        <v>-3</v>
      </c>
      <c r="JJX4095" s="34">
        <v>-2.5</v>
      </c>
      <c r="JJY4095" s="34">
        <v>-2</v>
      </c>
      <c r="JJZ4095" s="34">
        <v>-1.5</v>
      </c>
      <c r="JKA4095" s="34">
        <v>-1</v>
      </c>
      <c r="JKB4095" s="34">
        <v>-0.5</v>
      </c>
      <c r="JKC4095" s="34">
        <v>0</v>
      </c>
      <c r="JKD4095" s="34">
        <v>0.5</v>
      </c>
      <c r="JKE4095" s="34">
        <v>1</v>
      </c>
      <c r="JKF4095" s="34">
        <v>1.5</v>
      </c>
      <c r="JKG4095" s="34">
        <v>2</v>
      </c>
      <c r="JKH4095" s="34">
        <v>2.5</v>
      </c>
      <c r="JKI4095" s="34">
        <v>3</v>
      </c>
      <c r="JKJ4095" s="34">
        <v>3.5</v>
      </c>
      <c r="JKK4095" s="34">
        <v>4</v>
      </c>
      <c r="JKL4095" s="34">
        <v>4.5</v>
      </c>
      <c r="JKM4095" s="34">
        <v>5</v>
      </c>
      <c r="JKO4095" s="913"/>
      <c r="JKP4095" s="31">
        <v>1</v>
      </c>
      <c r="JKQ4095" s="34">
        <v>0</v>
      </c>
      <c r="JKR4095" s="34">
        <v>-1</v>
      </c>
      <c r="JKS4095" s="34">
        <v>-2</v>
      </c>
      <c r="JKT4095" s="34">
        <v>-3</v>
      </c>
      <c r="JKU4095" s="34">
        <v>-4</v>
      </c>
      <c r="JKV4095" s="34">
        <v>-5</v>
      </c>
      <c r="JKW4095" s="908"/>
      <c r="JKX4095" s="909"/>
      <c r="JKY4095" s="34">
        <v>-5</v>
      </c>
      <c r="JKZ4095" s="34">
        <v>-4.5</v>
      </c>
      <c r="JLA4095" s="34">
        <v>-4</v>
      </c>
      <c r="JLB4095" s="34">
        <v>-3.5</v>
      </c>
      <c r="JLC4095" s="34">
        <v>-3</v>
      </c>
      <c r="JLD4095" s="34">
        <v>-2.5</v>
      </c>
      <c r="JLE4095" s="34">
        <v>-2</v>
      </c>
      <c r="JLF4095" s="34">
        <v>-1.5</v>
      </c>
      <c r="JLG4095" s="34">
        <v>-1</v>
      </c>
      <c r="JLH4095" s="34">
        <v>-0.5</v>
      </c>
      <c r="JLI4095" s="34">
        <v>0</v>
      </c>
      <c r="JLJ4095" s="34">
        <v>0.5</v>
      </c>
      <c r="JLK4095" s="34">
        <v>1</v>
      </c>
      <c r="JLL4095" s="34">
        <v>1.5</v>
      </c>
      <c r="JLM4095" s="34">
        <v>2</v>
      </c>
      <c r="JLN4095" s="34">
        <v>2.5</v>
      </c>
      <c r="JLO4095" s="34">
        <v>3</v>
      </c>
      <c r="JLP4095" s="34">
        <v>3.5</v>
      </c>
      <c r="JLQ4095" s="34">
        <v>4</v>
      </c>
      <c r="JLR4095" s="34">
        <v>4.5</v>
      </c>
      <c r="JLS4095" s="34">
        <v>5</v>
      </c>
      <c r="JLU4095" s="913"/>
      <c r="JLV4095" s="31">
        <v>1</v>
      </c>
      <c r="JLW4095" s="34">
        <v>0</v>
      </c>
      <c r="JLX4095" s="34">
        <v>-1</v>
      </c>
      <c r="JLY4095" s="34">
        <v>-2</v>
      </c>
      <c r="JLZ4095" s="34">
        <v>-3</v>
      </c>
      <c r="JMA4095" s="34">
        <v>-4</v>
      </c>
      <c r="JMB4095" s="34">
        <v>-5</v>
      </c>
      <c r="JMC4095" s="908"/>
      <c r="JMD4095" s="909"/>
      <c r="JME4095" s="34">
        <v>-5</v>
      </c>
      <c r="JMF4095" s="34">
        <v>-4.5</v>
      </c>
      <c r="JMG4095" s="34">
        <v>-4</v>
      </c>
      <c r="JMH4095" s="34">
        <v>-3.5</v>
      </c>
      <c r="JMI4095" s="34">
        <v>-3</v>
      </c>
      <c r="JMJ4095" s="34">
        <v>-2.5</v>
      </c>
      <c r="JMK4095" s="34">
        <v>-2</v>
      </c>
      <c r="JML4095" s="34">
        <v>-1.5</v>
      </c>
      <c r="JMM4095" s="34">
        <v>-1</v>
      </c>
      <c r="JMN4095" s="34">
        <v>-0.5</v>
      </c>
      <c r="JMO4095" s="34">
        <v>0</v>
      </c>
      <c r="JMP4095" s="34">
        <v>0.5</v>
      </c>
      <c r="JMQ4095" s="34">
        <v>1</v>
      </c>
      <c r="JMR4095" s="34">
        <v>1.5</v>
      </c>
      <c r="JMS4095" s="34">
        <v>2</v>
      </c>
      <c r="JMT4095" s="34">
        <v>2.5</v>
      </c>
      <c r="JMU4095" s="34">
        <v>3</v>
      </c>
      <c r="JMV4095" s="34">
        <v>3.5</v>
      </c>
      <c r="JMW4095" s="34">
        <v>4</v>
      </c>
      <c r="JMX4095" s="34">
        <v>4.5</v>
      </c>
      <c r="JMY4095" s="34">
        <v>5</v>
      </c>
      <c r="JNA4095" s="913"/>
      <c r="JNB4095" s="31">
        <v>1</v>
      </c>
      <c r="JNC4095" s="34">
        <v>0</v>
      </c>
      <c r="JND4095" s="34">
        <v>-1</v>
      </c>
      <c r="JNE4095" s="34">
        <v>-2</v>
      </c>
      <c r="JNF4095" s="34">
        <v>-3</v>
      </c>
      <c r="JNG4095" s="34">
        <v>-4</v>
      </c>
      <c r="JNH4095" s="34">
        <v>-5</v>
      </c>
      <c r="JNI4095" s="908"/>
      <c r="JNJ4095" s="909"/>
      <c r="JNK4095" s="34">
        <v>-5</v>
      </c>
      <c r="JNL4095" s="34">
        <v>-4.5</v>
      </c>
      <c r="JNM4095" s="34">
        <v>-4</v>
      </c>
      <c r="JNN4095" s="34">
        <v>-3.5</v>
      </c>
      <c r="JNO4095" s="34">
        <v>-3</v>
      </c>
      <c r="JNP4095" s="34">
        <v>-2.5</v>
      </c>
      <c r="JNQ4095" s="34">
        <v>-2</v>
      </c>
      <c r="JNR4095" s="34">
        <v>-1.5</v>
      </c>
      <c r="JNS4095" s="34">
        <v>-1</v>
      </c>
      <c r="JNT4095" s="34">
        <v>-0.5</v>
      </c>
      <c r="JNU4095" s="34">
        <v>0</v>
      </c>
      <c r="JNV4095" s="34">
        <v>0.5</v>
      </c>
      <c r="JNW4095" s="34">
        <v>1</v>
      </c>
      <c r="JNX4095" s="34">
        <v>1.5</v>
      </c>
      <c r="JNY4095" s="34">
        <v>2</v>
      </c>
      <c r="JNZ4095" s="34">
        <v>2.5</v>
      </c>
      <c r="JOA4095" s="34">
        <v>3</v>
      </c>
      <c r="JOB4095" s="34">
        <v>3.5</v>
      </c>
      <c r="JOC4095" s="34">
        <v>4</v>
      </c>
      <c r="JOD4095" s="34">
        <v>4.5</v>
      </c>
      <c r="JOE4095" s="34">
        <v>5</v>
      </c>
      <c r="JOG4095" s="913"/>
      <c r="JOH4095" s="31">
        <v>1</v>
      </c>
      <c r="JOI4095" s="34">
        <v>0</v>
      </c>
      <c r="JOJ4095" s="34">
        <v>-1</v>
      </c>
      <c r="JOK4095" s="34">
        <v>-2</v>
      </c>
      <c r="JOL4095" s="34">
        <v>-3</v>
      </c>
      <c r="JOM4095" s="34">
        <v>-4</v>
      </c>
      <c r="JON4095" s="34">
        <v>-5</v>
      </c>
      <c r="JOO4095" s="908"/>
      <c r="JOP4095" s="909"/>
      <c r="JOQ4095" s="34">
        <v>-5</v>
      </c>
      <c r="JOR4095" s="34">
        <v>-4.5</v>
      </c>
      <c r="JOS4095" s="34">
        <v>-4</v>
      </c>
      <c r="JOT4095" s="34">
        <v>-3.5</v>
      </c>
      <c r="JOU4095" s="34">
        <v>-3</v>
      </c>
      <c r="JOV4095" s="34">
        <v>-2.5</v>
      </c>
      <c r="JOW4095" s="34">
        <v>-2</v>
      </c>
      <c r="JOX4095" s="34">
        <v>-1.5</v>
      </c>
      <c r="JOY4095" s="34">
        <v>-1</v>
      </c>
      <c r="JOZ4095" s="34">
        <v>-0.5</v>
      </c>
      <c r="JPA4095" s="34">
        <v>0</v>
      </c>
      <c r="JPB4095" s="34">
        <v>0.5</v>
      </c>
      <c r="JPC4095" s="34">
        <v>1</v>
      </c>
      <c r="JPD4095" s="34">
        <v>1.5</v>
      </c>
      <c r="JPE4095" s="34">
        <v>2</v>
      </c>
      <c r="JPF4095" s="34">
        <v>2.5</v>
      </c>
      <c r="JPG4095" s="34">
        <v>3</v>
      </c>
      <c r="JPH4095" s="34">
        <v>3.5</v>
      </c>
      <c r="JPI4095" s="34">
        <v>4</v>
      </c>
      <c r="JPJ4095" s="34">
        <v>4.5</v>
      </c>
      <c r="JPK4095" s="34">
        <v>5</v>
      </c>
      <c r="JPM4095" s="913"/>
      <c r="JPN4095" s="31">
        <v>1</v>
      </c>
      <c r="JPO4095" s="34">
        <v>0</v>
      </c>
      <c r="JPP4095" s="34">
        <v>-1</v>
      </c>
      <c r="JPQ4095" s="34">
        <v>-2</v>
      </c>
      <c r="JPR4095" s="34">
        <v>-3</v>
      </c>
      <c r="JPS4095" s="34">
        <v>-4</v>
      </c>
      <c r="JPT4095" s="34">
        <v>-5</v>
      </c>
      <c r="JPU4095" s="908"/>
      <c r="JPV4095" s="909"/>
      <c r="JPW4095" s="34">
        <v>-5</v>
      </c>
      <c r="JPX4095" s="34">
        <v>-4.5</v>
      </c>
      <c r="JPY4095" s="34">
        <v>-4</v>
      </c>
      <c r="JPZ4095" s="34">
        <v>-3.5</v>
      </c>
      <c r="JQA4095" s="34">
        <v>-3</v>
      </c>
      <c r="JQB4095" s="34">
        <v>-2.5</v>
      </c>
      <c r="JQC4095" s="34">
        <v>-2</v>
      </c>
      <c r="JQD4095" s="34">
        <v>-1.5</v>
      </c>
      <c r="JQE4095" s="34">
        <v>-1</v>
      </c>
      <c r="JQF4095" s="34">
        <v>-0.5</v>
      </c>
      <c r="JQG4095" s="34">
        <v>0</v>
      </c>
      <c r="JQH4095" s="34">
        <v>0.5</v>
      </c>
      <c r="JQI4095" s="34">
        <v>1</v>
      </c>
      <c r="JQJ4095" s="34">
        <v>1.5</v>
      </c>
      <c r="JQK4095" s="34">
        <v>2</v>
      </c>
      <c r="JQL4095" s="34">
        <v>2.5</v>
      </c>
      <c r="JQM4095" s="34">
        <v>3</v>
      </c>
      <c r="JQN4095" s="34">
        <v>3.5</v>
      </c>
      <c r="JQO4095" s="34">
        <v>4</v>
      </c>
      <c r="JQP4095" s="34">
        <v>4.5</v>
      </c>
      <c r="JQQ4095" s="34">
        <v>5</v>
      </c>
      <c r="JQS4095" s="913"/>
      <c r="JQT4095" s="31">
        <v>1</v>
      </c>
      <c r="JQU4095" s="34">
        <v>0</v>
      </c>
      <c r="JQV4095" s="34">
        <v>-1</v>
      </c>
      <c r="JQW4095" s="34">
        <v>-2</v>
      </c>
      <c r="JQX4095" s="34">
        <v>-3</v>
      </c>
      <c r="JQY4095" s="34">
        <v>-4</v>
      </c>
      <c r="JQZ4095" s="34">
        <v>-5</v>
      </c>
      <c r="JRA4095" s="908"/>
      <c r="JRB4095" s="909"/>
      <c r="JRC4095" s="34">
        <v>-5</v>
      </c>
      <c r="JRD4095" s="34">
        <v>-4.5</v>
      </c>
      <c r="JRE4095" s="34">
        <v>-4</v>
      </c>
      <c r="JRF4095" s="34">
        <v>-3.5</v>
      </c>
      <c r="JRG4095" s="34">
        <v>-3</v>
      </c>
      <c r="JRH4095" s="34">
        <v>-2.5</v>
      </c>
      <c r="JRI4095" s="34">
        <v>-2</v>
      </c>
      <c r="JRJ4095" s="34">
        <v>-1.5</v>
      </c>
      <c r="JRK4095" s="34">
        <v>-1</v>
      </c>
      <c r="JRL4095" s="34">
        <v>-0.5</v>
      </c>
      <c r="JRM4095" s="34">
        <v>0</v>
      </c>
      <c r="JRN4095" s="34">
        <v>0.5</v>
      </c>
      <c r="JRO4095" s="34">
        <v>1</v>
      </c>
      <c r="JRP4095" s="34">
        <v>1.5</v>
      </c>
      <c r="JRQ4095" s="34">
        <v>2</v>
      </c>
      <c r="JRR4095" s="34">
        <v>2.5</v>
      </c>
      <c r="JRS4095" s="34">
        <v>3</v>
      </c>
      <c r="JRT4095" s="34">
        <v>3.5</v>
      </c>
      <c r="JRU4095" s="34">
        <v>4</v>
      </c>
      <c r="JRV4095" s="34">
        <v>4.5</v>
      </c>
      <c r="JRW4095" s="34">
        <v>5</v>
      </c>
      <c r="JRY4095" s="913"/>
      <c r="JRZ4095" s="31">
        <v>1</v>
      </c>
      <c r="JSA4095" s="34">
        <v>0</v>
      </c>
      <c r="JSB4095" s="34">
        <v>-1</v>
      </c>
      <c r="JSC4095" s="34">
        <v>-2</v>
      </c>
      <c r="JSD4095" s="34">
        <v>-3</v>
      </c>
      <c r="JSE4095" s="34">
        <v>-4</v>
      </c>
      <c r="JSF4095" s="34">
        <v>-5</v>
      </c>
      <c r="JSG4095" s="908"/>
      <c r="JSH4095" s="909"/>
      <c r="JSI4095" s="34">
        <v>-5</v>
      </c>
      <c r="JSJ4095" s="34">
        <v>-4.5</v>
      </c>
      <c r="JSK4095" s="34">
        <v>-4</v>
      </c>
      <c r="JSL4095" s="34">
        <v>-3.5</v>
      </c>
      <c r="JSM4095" s="34">
        <v>-3</v>
      </c>
      <c r="JSN4095" s="34">
        <v>-2.5</v>
      </c>
      <c r="JSO4095" s="34">
        <v>-2</v>
      </c>
      <c r="JSP4095" s="34">
        <v>-1.5</v>
      </c>
      <c r="JSQ4095" s="34">
        <v>-1</v>
      </c>
      <c r="JSR4095" s="34">
        <v>-0.5</v>
      </c>
      <c r="JSS4095" s="34">
        <v>0</v>
      </c>
      <c r="JST4095" s="34">
        <v>0.5</v>
      </c>
      <c r="JSU4095" s="34">
        <v>1</v>
      </c>
      <c r="JSV4095" s="34">
        <v>1.5</v>
      </c>
      <c r="JSW4095" s="34">
        <v>2</v>
      </c>
      <c r="JSX4095" s="34">
        <v>2.5</v>
      </c>
      <c r="JSY4095" s="34">
        <v>3</v>
      </c>
      <c r="JSZ4095" s="34">
        <v>3.5</v>
      </c>
      <c r="JTA4095" s="34">
        <v>4</v>
      </c>
      <c r="JTB4095" s="34">
        <v>4.5</v>
      </c>
      <c r="JTC4095" s="34">
        <v>5</v>
      </c>
      <c r="JTE4095" s="913"/>
      <c r="JTF4095" s="31">
        <v>1</v>
      </c>
      <c r="JTG4095" s="34">
        <v>0</v>
      </c>
      <c r="JTH4095" s="34">
        <v>-1</v>
      </c>
      <c r="JTI4095" s="34">
        <v>-2</v>
      </c>
      <c r="JTJ4095" s="34">
        <v>-3</v>
      </c>
      <c r="JTK4095" s="34">
        <v>-4</v>
      </c>
      <c r="JTL4095" s="34">
        <v>-5</v>
      </c>
      <c r="JTM4095" s="908"/>
      <c r="JTN4095" s="909"/>
      <c r="JTO4095" s="34">
        <v>-5</v>
      </c>
      <c r="JTP4095" s="34">
        <v>-4.5</v>
      </c>
      <c r="JTQ4095" s="34">
        <v>-4</v>
      </c>
      <c r="JTR4095" s="34">
        <v>-3.5</v>
      </c>
      <c r="JTS4095" s="34">
        <v>-3</v>
      </c>
      <c r="JTT4095" s="34">
        <v>-2.5</v>
      </c>
      <c r="JTU4095" s="34">
        <v>-2</v>
      </c>
      <c r="JTV4095" s="34">
        <v>-1.5</v>
      </c>
      <c r="JTW4095" s="34">
        <v>-1</v>
      </c>
      <c r="JTX4095" s="34">
        <v>-0.5</v>
      </c>
      <c r="JTY4095" s="34">
        <v>0</v>
      </c>
      <c r="JTZ4095" s="34">
        <v>0.5</v>
      </c>
      <c r="JUA4095" s="34">
        <v>1</v>
      </c>
      <c r="JUB4095" s="34">
        <v>1.5</v>
      </c>
      <c r="JUC4095" s="34">
        <v>2</v>
      </c>
      <c r="JUD4095" s="34">
        <v>2.5</v>
      </c>
      <c r="JUE4095" s="34">
        <v>3</v>
      </c>
      <c r="JUF4095" s="34">
        <v>3.5</v>
      </c>
      <c r="JUG4095" s="34">
        <v>4</v>
      </c>
      <c r="JUH4095" s="34">
        <v>4.5</v>
      </c>
      <c r="JUI4095" s="34">
        <v>5</v>
      </c>
      <c r="JUK4095" s="913"/>
      <c r="JUL4095" s="31">
        <v>1</v>
      </c>
      <c r="JUM4095" s="34">
        <v>0</v>
      </c>
      <c r="JUN4095" s="34">
        <v>-1</v>
      </c>
      <c r="JUO4095" s="34">
        <v>-2</v>
      </c>
      <c r="JUP4095" s="34">
        <v>-3</v>
      </c>
      <c r="JUQ4095" s="34">
        <v>-4</v>
      </c>
      <c r="JUR4095" s="34">
        <v>-5</v>
      </c>
      <c r="JUS4095" s="908"/>
      <c r="JUT4095" s="909"/>
      <c r="JUU4095" s="34">
        <v>-5</v>
      </c>
      <c r="JUV4095" s="34">
        <v>-4.5</v>
      </c>
      <c r="JUW4095" s="34">
        <v>-4</v>
      </c>
      <c r="JUX4095" s="34">
        <v>-3.5</v>
      </c>
      <c r="JUY4095" s="34">
        <v>-3</v>
      </c>
      <c r="JUZ4095" s="34">
        <v>-2.5</v>
      </c>
      <c r="JVA4095" s="34">
        <v>-2</v>
      </c>
      <c r="JVB4095" s="34">
        <v>-1.5</v>
      </c>
      <c r="JVC4095" s="34">
        <v>-1</v>
      </c>
      <c r="JVD4095" s="34">
        <v>-0.5</v>
      </c>
      <c r="JVE4095" s="34">
        <v>0</v>
      </c>
      <c r="JVF4095" s="34">
        <v>0.5</v>
      </c>
      <c r="JVG4095" s="34">
        <v>1</v>
      </c>
      <c r="JVH4095" s="34">
        <v>1.5</v>
      </c>
      <c r="JVI4095" s="34">
        <v>2</v>
      </c>
      <c r="JVJ4095" s="34">
        <v>2.5</v>
      </c>
      <c r="JVK4095" s="34">
        <v>3</v>
      </c>
      <c r="JVL4095" s="34">
        <v>3.5</v>
      </c>
      <c r="JVM4095" s="34">
        <v>4</v>
      </c>
      <c r="JVN4095" s="34">
        <v>4.5</v>
      </c>
      <c r="JVO4095" s="34">
        <v>5</v>
      </c>
      <c r="JVQ4095" s="913"/>
      <c r="JVR4095" s="31">
        <v>1</v>
      </c>
      <c r="JVS4095" s="34">
        <v>0</v>
      </c>
      <c r="JVT4095" s="34">
        <v>-1</v>
      </c>
      <c r="JVU4095" s="34">
        <v>-2</v>
      </c>
      <c r="JVV4095" s="34">
        <v>-3</v>
      </c>
      <c r="JVW4095" s="34">
        <v>-4</v>
      </c>
      <c r="JVX4095" s="34">
        <v>-5</v>
      </c>
      <c r="JVY4095" s="908"/>
      <c r="JVZ4095" s="909"/>
      <c r="JWA4095" s="34">
        <v>-5</v>
      </c>
      <c r="JWB4095" s="34">
        <v>-4.5</v>
      </c>
      <c r="JWC4095" s="34">
        <v>-4</v>
      </c>
      <c r="JWD4095" s="34">
        <v>-3.5</v>
      </c>
      <c r="JWE4095" s="34">
        <v>-3</v>
      </c>
      <c r="JWF4095" s="34">
        <v>-2.5</v>
      </c>
      <c r="JWG4095" s="34">
        <v>-2</v>
      </c>
      <c r="JWH4095" s="34">
        <v>-1.5</v>
      </c>
      <c r="JWI4095" s="34">
        <v>-1</v>
      </c>
      <c r="JWJ4095" s="34">
        <v>-0.5</v>
      </c>
      <c r="JWK4095" s="34">
        <v>0</v>
      </c>
      <c r="JWL4095" s="34">
        <v>0.5</v>
      </c>
      <c r="JWM4095" s="34">
        <v>1</v>
      </c>
      <c r="JWN4095" s="34">
        <v>1.5</v>
      </c>
      <c r="JWO4095" s="34">
        <v>2</v>
      </c>
      <c r="JWP4095" s="34">
        <v>2.5</v>
      </c>
      <c r="JWQ4095" s="34">
        <v>3</v>
      </c>
      <c r="JWR4095" s="34">
        <v>3.5</v>
      </c>
      <c r="JWS4095" s="34">
        <v>4</v>
      </c>
      <c r="JWT4095" s="34">
        <v>4.5</v>
      </c>
      <c r="JWU4095" s="34">
        <v>5</v>
      </c>
      <c r="JWW4095" s="913"/>
      <c r="JWX4095" s="31">
        <v>1</v>
      </c>
      <c r="JWY4095" s="34">
        <v>0</v>
      </c>
      <c r="JWZ4095" s="34">
        <v>-1</v>
      </c>
      <c r="JXA4095" s="34">
        <v>-2</v>
      </c>
      <c r="JXB4095" s="34">
        <v>-3</v>
      </c>
      <c r="JXC4095" s="34">
        <v>-4</v>
      </c>
      <c r="JXD4095" s="34">
        <v>-5</v>
      </c>
      <c r="JXE4095" s="908"/>
      <c r="JXF4095" s="909"/>
      <c r="JXG4095" s="34">
        <v>-5</v>
      </c>
      <c r="JXH4095" s="34">
        <v>-4.5</v>
      </c>
      <c r="JXI4095" s="34">
        <v>-4</v>
      </c>
      <c r="JXJ4095" s="34">
        <v>-3.5</v>
      </c>
      <c r="JXK4095" s="34">
        <v>-3</v>
      </c>
      <c r="JXL4095" s="34">
        <v>-2.5</v>
      </c>
      <c r="JXM4095" s="34">
        <v>-2</v>
      </c>
      <c r="JXN4095" s="34">
        <v>-1.5</v>
      </c>
      <c r="JXO4095" s="34">
        <v>-1</v>
      </c>
      <c r="JXP4095" s="34">
        <v>-0.5</v>
      </c>
      <c r="JXQ4095" s="34">
        <v>0</v>
      </c>
      <c r="JXR4095" s="34">
        <v>0.5</v>
      </c>
      <c r="JXS4095" s="34">
        <v>1</v>
      </c>
      <c r="JXT4095" s="34">
        <v>1.5</v>
      </c>
      <c r="JXU4095" s="34">
        <v>2</v>
      </c>
      <c r="JXV4095" s="34">
        <v>2.5</v>
      </c>
      <c r="JXW4095" s="34">
        <v>3</v>
      </c>
      <c r="JXX4095" s="34">
        <v>3.5</v>
      </c>
      <c r="JXY4095" s="34">
        <v>4</v>
      </c>
      <c r="JXZ4095" s="34">
        <v>4.5</v>
      </c>
      <c r="JYA4095" s="34">
        <v>5</v>
      </c>
      <c r="JYC4095" s="913"/>
      <c r="JYD4095" s="31">
        <v>1</v>
      </c>
      <c r="JYE4095" s="34">
        <v>0</v>
      </c>
      <c r="JYF4095" s="34">
        <v>-1</v>
      </c>
      <c r="JYG4095" s="34">
        <v>-2</v>
      </c>
      <c r="JYH4095" s="34">
        <v>-3</v>
      </c>
      <c r="JYI4095" s="34">
        <v>-4</v>
      </c>
      <c r="JYJ4095" s="34">
        <v>-5</v>
      </c>
      <c r="JYK4095" s="908"/>
      <c r="JYL4095" s="909"/>
      <c r="JYM4095" s="34">
        <v>-5</v>
      </c>
      <c r="JYN4095" s="34">
        <v>-4.5</v>
      </c>
      <c r="JYO4095" s="34">
        <v>-4</v>
      </c>
      <c r="JYP4095" s="34">
        <v>-3.5</v>
      </c>
      <c r="JYQ4095" s="34">
        <v>-3</v>
      </c>
      <c r="JYR4095" s="34">
        <v>-2.5</v>
      </c>
      <c r="JYS4095" s="34">
        <v>-2</v>
      </c>
      <c r="JYT4095" s="34">
        <v>-1.5</v>
      </c>
      <c r="JYU4095" s="34">
        <v>-1</v>
      </c>
      <c r="JYV4095" s="34">
        <v>-0.5</v>
      </c>
      <c r="JYW4095" s="34">
        <v>0</v>
      </c>
      <c r="JYX4095" s="34">
        <v>0.5</v>
      </c>
      <c r="JYY4095" s="34">
        <v>1</v>
      </c>
      <c r="JYZ4095" s="34">
        <v>1.5</v>
      </c>
      <c r="JZA4095" s="34">
        <v>2</v>
      </c>
      <c r="JZB4095" s="34">
        <v>2.5</v>
      </c>
      <c r="JZC4095" s="34">
        <v>3</v>
      </c>
      <c r="JZD4095" s="34">
        <v>3.5</v>
      </c>
      <c r="JZE4095" s="34">
        <v>4</v>
      </c>
      <c r="JZF4095" s="34">
        <v>4.5</v>
      </c>
      <c r="JZG4095" s="34">
        <v>5</v>
      </c>
      <c r="JZI4095" s="913"/>
      <c r="JZJ4095" s="31">
        <v>1</v>
      </c>
      <c r="JZK4095" s="34">
        <v>0</v>
      </c>
      <c r="JZL4095" s="34">
        <v>-1</v>
      </c>
      <c r="JZM4095" s="34">
        <v>-2</v>
      </c>
      <c r="JZN4095" s="34">
        <v>-3</v>
      </c>
      <c r="JZO4095" s="34">
        <v>-4</v>
      </c>
      <c r="JZP4095" s="34">
        <v>-5</v>
      </c>
      <c r="JZQ4095" s="908"/>
      <c r="JZR4095" s="909"/>
      <c r="JZS4095" s="34">
        <v>-5</v>
      </c>
      <c r="JZT4095" s="34">
        <v>-4.5</v>
      </c>
      <c r="JZU4095" s="34">
        <v>-4</v>
      </c>
      <c r="JZV4095" s="34">
        <v>-3.5</v>
      </c>
      <c r="JZW4095" s="34">
        <v>-3</v>
      </c>
      <c r="JZX4095" s="34">
        <v>-2.5</v>
      </c>
      <c r="JZY4095" s="34">
        <v>-2</v>
      </c>
      <c r="JZZ4095" s="34">
        <v>-1.5</v>
      </c>
      <c r="KAA4095" s="34">
        <v>-1</v>
      </c>
      <c r="KAB4095" s="34">
        <v>-0.5</v>
      </c>
      <c r="KAC4095" s="34">
        <v>0</v>
      </c>
      <c r="KAD4095" s="34">
        <v>0.5</v>
      </c>
      <c r="KAE4095" s="34">
        <v>1</v>
      </c>
      <c r="KAF4095" s="34">
        <v>1.5</v>
      </c>
      <c r="KAG4095" s="34">
        <v>2</v>
      </c>
      <c r="KAH4095" s="34">
        <v>2.5</v>
      </c>
      <c r="KAI4095" s="34">
        <v>3</v>
      </c>
      <c r="KAJ4095" s="34">
        <v>3.5</v>
      </c>
      <c r="KAK4095" s="34">
        <v>4</v>
      </c>
      <c r="KAL4095" s="34">
        <v>4.5</v>
      </c>
      <c r="KAM4095" s="34">
        <v>5</v>
      </c>
      <c r="KAO4095" s="913"/>
      <c r="KAP4095" s="31">
        <v>1</v>
      </c>
      <c r="KAQ4095" s="34">
        <v>0</v>
      </c>
      <c r="KAR4095" s="34">
        <v>-1</v>
      </c>
      <c r="KAS4095" s="34">
        <v>-2</v>
      </c>
      <c r="KAT4095" s="34">
        <v>-3</v>
      </c>
      <c r="KAU4095" s="34">
        <v>-4</v>
      </c>
      <c r="KAV4095" s="34">
        <v>-5</v>
      </c>
      <c r="KAW4095" s="908"/>
      <c r="KAX4095" s="909"/>
      <c r="KAY4095" s="34">
        <v>-5</v>
      </c>
      <c r="KAZ4095" s="34">
        <v>-4.5</v>
      </c>
      <c r="KBA4095" s="34">
        <v>-4</v>
      </c>
      <c r="KBB4095" s="34">
        <v>-3.5</v>
      </c>
      <c r="KBC4095" s="34">
        <v>-3</v>
      </c>
      <c r="KBD4095" s="34">
        <v>-2.5</v>
      </c>
      <c r="KBE4095" s="34">
        <v>-2</v>
      </c>
      <c r="KBF4095" s="34">
        <v>-1.5</v>
      </c>
      <c r="KBG4095" s="34">
        <v>-1</v>
      </c>
      <c r="KBH4095" s="34">
        <v>-0.5</v>
      </c>
      <c r="KBI4095" s="34">
        <v>0</v>
      </c>
      <c r="KBJ4095" s="34">
        <v>0.5</v>
      </c>
      <c r="KBK4095" s="34">
        <v>1</v>
      </c>
      <c r="KBL4095" s="34">
        <v>1.5</v>
      </c>
      <c r="KBM4095" s="34">
        <v>2</v>
      </c>
      <c r="KBN4095" s="34">
        <v>2.5</v>
      </c>
      <c r="KBO4095" s="34">
        <v>3</v>
      </c>
      <c r="KBP4095" s="34">
        <v>3.5</v>
      </c>
      <c r="KBQ4095" s="34">
        <v>4</v>
      </c>
      <c r="KBR4095" s="34">
        <v>4.5</v>
      </c>
      <c r="KBS4095" s="34">
        <v>5</v>
      </c>
      <c r="KBU4095" s="913"/>
      <c r="KBV4095" s="31">
        <v>1</v>
      </c>
      <c r="KBW4095" s="34">
        <v>0</v>
      </c>
      <c r="KBX4095" s="34">
        <v>-1</v>
      </c>
      <c r="KBY4095" s="34">
        <v>-2</v>
      </c>
      <c r="KBZ4095" s="34">
        <v>-3</v>
      </c>
      <c r="KCA4095" s="34">
        <v>-4</v>
      </c>
      <c r="KCB4095" s="34">
        <v>-5</v>
      </c>
      <c r="KCC4095" s="908"/>
      <c r="KCD4095" s="909"/>
      <c r="KCE4095" s="34">
        <v>-5</v>
      </c>
      <c r="KCF4095" s="34">
        <v>-4.5</v>
      </c>
      <c r="KCG4095" s="34">
        <v>-4</v>
      </c>
      <c r="KCH4095" s="34">
        <v>-3.5</v>
      </c>
      <c r="KCI4095" s="34">
        <v>-3</v>
      </c>
      <c r="KCJ4095" s="34">
        <v>-2.5</v>
      </c>
      <c r="KCK4095" s="34">
        <v>-2</v>
      </c>
      <c r="KCL4095" s="34">
        <v>-1.5</v>
      </c>
      <c r="KCM4095" s="34">
        <v>-1</v>
      </c>
      <c r="KCN4095" s="34">
        <v>-0.5</v>
      </c>
      <c r="KCO4095" s="34">
        <v>0</v>
      </c>
      <c r="KCP4095" s="34">
        <v>0.5</v>
      </c>
      <c r="KCQ4095" s="34">
        <v>1</v>
      </c>
      <c r="KCR4095" s="34">
        <v>1.5</v>
      </c>
      <c r="KCS4095" s="34">
        <v>2</v>
      </c>
      <c r="KCT4095" s="34">
        <v>2.5</v>
      </c>
      <c r="KCU4095" s="34">
        <v>3</v>
      </c>
      <c r="KCV4095" s="34">
        <v>3.5</v>
      </c>
      <c r="KCW4095" s="34">
        <v>4</v>
      </c>
      <c r="KCX4095" s="34">
        <v>4.5</v>
      </c>
      <c r="KCY4095" s="34">
        <v>5</v>
      </c>
      <c r="KDA4095" s="913"/>
      <c r="KDB4095" s="31">
        <v>1</v>
      </c>
      <c r="KDC4095" s="34">
        <v>0</v>
      </c>
      <c r="KDD4095" s="34">
        <v>-1</v>
      </c>
      <c r="KDE4095" s="34">
        <v>-2</v>
      </c>
      <c r="KDF4095" s="34">
        <v>-3</v>
      </c>
      <c r="KDG4095" s="34">
        <v>-4</v>
      </c>
      <c r="KDH4095" s="34">
        <v>-5</v>
      </c>
      <c r="KDI4095" s="908"/>
      <c r="KDJ4095" s="909"/>
      <c r="KDK4095" s="34">
        <v>-5</v>
      </c>
      <c r="KDL4095" s="34">
        <v>-4.5</v>
      </c>
      <c r="KDM4095" s="34">
        <v>-4</v>
      </c>
      <c r="KDN4095" s="34">
        <v>-3.5</v>
      </c>
      <c r="KDO4095" s="34">
        <v>-3</v>
      </c>
      <c r="KDP4095" s="34">
        <v>-2.5</v>
      </c>
      <c r="KDQ4095" s="34">
        <v>-2</v>
      </c>
      <c r="KDR4095" s="34">
        <v>-1.5</v>
      </c>
      <c r="KDS4095" s="34">
        <v>-1</v>
      </c>
      <c r="KDT4095" s="34">
        <v>-0.5</v>
      </c>
      <c r="KDU4095" s="34">
        <v>0</v>
      </c>
      <c r="KDV4095" s="34">
        <v>0.5</v>
      </c>
      <c r="KDW4095" s="34">
        <v>1</v>
      </c>
      <c r="KDX4095" s="34">
        <v>1.5</v>
      </c>
      <c r="KDY4095" s="34">
        <v>2</v>
      </c>
      <c r="KDZ4095" s="34">
        <v>2.5</v>
      </c>
      <c r="KEA4095" s="34">
        <v>3</v>
      </c>
      <c r="KEB4095" s="34">
        <v>3.5</v>
      </c>
      <c r="KEC4095" s="34">
        <v>4</v>
      </c>
      <c r="KED4095" s="34">
        <v>4.5</v>
      </c>
      <c r="KEE4095" s="34">
        <v>5</v>
      </c>
      <c r="KEG4095" s="913"/>
      <c r="KEH4095" s="31">
        <v>1</v>
      </c>
      <c r="KEI4095" s="34">
        <v>0</v>
      </c>
      <c r="KEJ4095" s="34">
        <v>-1</v>
      </c>
      <c r="KEK4095" s="34">
        <v>-2</v>
      </c>
      <c r="KEL4095" s="34">
        <v>-3</v>
      </c>
      <c r="KEM4095" s="34">
        <v>-4</v>
      </c>
      <c r="KEN4095" s="34">
        <v>-5</v>
      </c>
      <c r="KEO4095" s="908"/>
      <c r="KEP4095" s="909"/>
      <c r="KEQ4095" s="34">
        <v>-5</v>
      </c>
      <c r="KER4095" s="34">
        <v>-4.5</v>
      </c>
      <c r="KES4095" s="34">
        <v>-4</v>
      </c>
      <c r="KET4095" s="34">
        <v>-3.5</v>
      </c>
      <c r="KEU4095" s="34">
        <v>-3</v>
      </c>
      <c r="KEV4095" s="34">
        <v>-2.5</v>
      </c>
      <c r="KEW4095" s="34">
        <v>-2</v>
      </c>
      <c r="KEX4095" s="34">
        <v>-1.5</v>
      </c>
      <c r="KEY4095" s="34">
        <v>-1</v>
      </c>
      <c r="KEZ4095" s="34">
        <v>-0.5</v>
      </c>
      <c r="KFA4095" s="34">
        <v>0</v>
      </c>
      <c r="KFB4095" s="34">
        <v>0.5</v>
      </c>
      <c r="KFC4095" s="34">
        <v>1</v>
      </c>
      <c r="KFD4095" s="34">
        <v>1.5</v>
      </c>
      <c r="KFE4095" s="34">
        <v>2</v>
      </c>
      <c r="KFF4095" s="34">
        <v>2.5</v>
      </c>
      <c r="KFG4095" s="34">
        <v>3</v>
      </c>
      <c r="KFH4095" s="34">
        <v>3.5</v>
      </c>
      <c r="KFI4095" s="34">
        <v>4</v>
      </c>
      <c r="KFJ4095" s="34">
        <v>4.5</v>
      </c>
      <c r="KFK4095" s="34">
        <v>5</v>
      </c>
      <c r="KFM4095" s="913"/>
      <c r="KFN4095" s="31">
        <v>1</v>
      </c>
      <c r="KFO4095" s="34">
        <v>0</v>
      </c>
      <c r="KFP4095" s="34">
        <v>-1</v>
      </c>
      <c r="KFQ4095" s="34">
        <v>-2</v>
      </c>
      <c r="KFR4095" s="34">
        <v>-3</v>
      </c>
      <c r="KFS4095" s="34">
        <v>-4</v>
      </c>
      <c r="KFT4095" s="34">
        <v>-5</v>
      </c>
      <c r="KFU4095" s="908"/>
      <c r="KFV4095" s="909"/>
      <c r="KFW4095" s="34">
        <v>-5</v>
      </c>
      <c r="KFX4095" s="34">
        <v>-4.5</v>
      </c>
      <c r="KFY4095" s="34">
        <v>-4</v>
      </c>
      <c r="KFZ4095" s="34">
        <v>-3.5</v>
      </c>
      <c r="KGA4095" s="34">
        <v>-3</v>
      </c>
      <c r="KGB4095" s="34">
        <v>-2.5</v>
      </c>
      <c r="KGC4095" s="34">
        <v>-2</v>
      </c>
      <c r="KGD4095" s="34">
        <v>-1.5</v>
      </c>
      <c r="KGE4095" s="34">
        <v>-1</v>
      </c>
      <c r="KGF4095" s="34">
        <v>-0.5</v>
      </c>
      <c r="KGG4095" s="34">
        <v>0</v>
      </c>
      <c r="KGH4095" s="34">
        <v>0.5</v>
      </c>
      <c r="KGI4095" s="34">
        <v>1</v>
      </c>
      <c r="KGJ4095" s="34">
        <v>1.5</v>
      </c>
      <c r="KGK4095" s="34">
        <v>2</v>
      </c>
      <c r="KGL4095" s="34">
        <v>2.5</v>
      </c>
      <c r="KGM4095" s="34">
        <v>3</v>
      </c>
      <c r="KGN4095" s="34">
        <v>3.5</v>
      </c>
      <c r="KGO4095" s="34">
        <v>4</v>
      </c>
      <c r="KGP4095" s="34">
        <v>4.5</v>
      </c>
      <c r="KGQ4095" s="34">
        <v>5</v>
      </c>
      <c r="KGS4095" s="913"/>
      <c r="KGT4095" s="31">
        <v>1</v>
      </c>
      <c r="KGU4095" s="34">
        <v>0</v>
      </c>
      <c r="KGV4095" s="34">
        <v>-1</v>
      </c>
      <c r="KGW4095" s="34">
        <v>-2</v>
      </c>
      <c r="KGX4095" s="34">
        <v>-3</v>
      </c>
      <c r="KGY4095" s="34">
        <v>-4</v>
      </c>
      <c r="KGZ4095" s="34">
        <v>-5</v>
      </c>
      <c r="KHA4095" s="908"/>
      <c r="KHB4095" s="909"/>
      <c r="KHC4095" s="34">
        <v>-5</v>
      </c>
      <c r="KHD4095" s="34">
        <v>-4.5</v>
      </c>
      <c r="KHE4095" s="34">
        <v>-4</v>
      </c>
      <c r="KHF4095" s="34">
        <v>-3.5</v>
      </c>
      <c r="KHG4095" s="34">
        <v>-3</v>
      </c>
      <c r="KHH4095" s="34">
        <v>-2.5</v>
      </c>
      <c r="KHI4095" s="34">
        <v>-2</v>
      </c>
      <c r="KHJ4095" s="34">
        <v>-1.5</v>
      </c>
      <c r="KHK4095" s="34">
        <v>-1</v>
      </c>
      <c r="KHL4095" s="34">
        <v>-0.5</v>
      </c>
      <c r="KHM4095" s="34">
        <v>0</v>
      </c>
      <c r="KHN4095" s="34">
        <v>0.5</v>
      </c>
      <c r="KHO4095" s="34">
        <v>1</v>
      </c>
      <c r="KHP4095" s="34">
        <v>1.5</v>
      </c>
      <c r="KHQ4095" s="34">
        <v>2</v>
      </c>
      <c r="KHR4095" s="34">
        <v>2.5</v>
      </c>
      <c r="KHS4095" s="34">
        <v>3</v>
      </c>
      <c r="KHT4095" s="34">
        <v>3.5</v>
      </c>
      <c r="KHU4095" s="34">
        <v>4</v>
      </c>
      <c r="KHV4095" s="34">
        <v>4.5</v>
      </c>
      <c r="KHW4095" s="34">
        <v>5</v>
      </c>
      <c r="KHY4095" s="913"/>
      <c r="KHZ4095" s="31">
        <v>1</v>
      </c>
      <c r="KIA4095" s="34">
        <v>0</v>
      </c>
      <c r="KIB4095" s="34">
        <v>-1</v>
      </c>
      <c r="KIC4095" s="34">
        <v>-2</v>
      </c>
      <c r="KID4095" s="34">
        <v>-3</v>
      </c>
      <c r="KIE4095" s="34">
        <v>-4</v>
      </c>
      <c r="KIF4095" s="34">
        <v>-5</v>
      </c>
      <c r="KIG4095" s="908"/>
      <c r="KIH4095" s="909"/>
      <c r="KII4095" s="34">
        <v>-5</v>
      </c>
      <c r="KIJ4095" s="34">
        <v>-4.5</v>
      </c>
      <c r="KIK4095" s="34">
        <v>-4</v>
      </c>
      <c r="KIL4095" s="34">
        <v>-3.5</v>
      </c>
      <c r="KIM4095" s="34">
        <v>-3</v>
      </c>
      <c r="KIN4095" s="34">
        <v>-2.5</v>
      </c>
      <c r="KIO4095" s="34">
        <v>-2</v>
      </c>
      <c r="KIP4095" s="34">
        <v>-1.5</v>
      </c>
      <c r="KIQ4095" s="34">
        <v>-1</v>
      </c>
      <c r="KIR4095" s="34">
        <v>-0.5</v>
      </c>
      <c r="KIS4095" s="34">
        <v>0</v>
      </c>
      <c r="KIT4095" s="34">
        <v>0.5</v>
      </c>
      <c r="KIU4095" s="34">
        <v>1</v>
      </c>
      <c r="KIV4095" s="34">
        <v>1.5</v>
      </c>
      <c r="KIW4095" s="34">
        <v>2</v>
      </c>
      <c r="KIX4095" s="34">
        <v>2.5</v>
      </c>
      <c r="KIY4095" s="34">
        <v>3</v>
      </c>
      <c r="KIZ4095" s="34">
        <v>3.5</v>
      </c>
      <c r="KJA4095" s="34">
        <v>4</v>
      </c>
      <c r="KJB4095" s="34">
        <v>4.5</v>
      </c>
      <c r="KJC4095" s="34">
        <v>5</v>
      </c>
      <c r="KJE4095" s="913"/>
      <c r="KJF4095" s="31">
        <v>1</v>
      </c>
      <c r="KJG4095" s="34">
        <v>0</v>
      </c>
      <c r="KJH4095" s="34">
        <v>-1</v>
      </c>
      <c r="KJI4095" s="34">
        <v>-2</v>
      </c>
      <c r="KJJ4095" s="34">
        <v>-3</v>
      </c>
      <c r="KJK4095" s="34">
        <v>-4</v>
      </c>
      <c r="KJL4095" s="34">
        <v>-5</v>
      </c>
      <c r="KJM4095" s="908"/>
      <c r="KJN4095" s="909"/>
      <c r="KJO4095" s="34">
        <v>-5</v>
      </c>
      <c r="KJP4095" s="34">
        <v>-4.5</v>
      </c>
      <c r="KJQ4095" s="34">
        <v>-4</v>
      </c>
      <c r="KJR4095" s="34">
        <v>-3.5</v>
      </c>
      <c r="KJS4095" s="34">
        <v>-3</v>
      </c>
      <c r="KJT4095" s="34">
        <v>-2.5</v>
      </c>
      <c r="KJU4095" s="34">
        <v>-2</v>
      </c>
      <c r="KJV4095" s="34">
        <v>-1.5</v>
      </c>
      <c r="KJW4095" s="34">
        <v>-1</v>
      </c>
      <c r="KJX4095" s="34">
        <v>-0.5</v>
      </c>
      <c r="KJY4095" s="34">
        <v>0</v>
      </c>
      <c r="KJZ4095" s="34">
        <v>0.5</v>
      </c>
      <c r="KKA4095" s="34">
        <v>1</v>
      </c>
      <c r="KKB4095" s="34">
        <v>1.5</v>
      </c>
      <c r="KKC4095" s="34">
        <v>2</v>
      </c>
      <c r="KKD4095" s="34">
        <v>2.5</v>
      </c>
      <c r="KKE4095" s="34">
        <v>3</v>
      </c>
      <c r="KKF4095" s="34">
        <v>3.5</v>
      </c>
      <c r="KKG4095" s="34">
        <v>4</v>
      </c>
      <c r="KKH4095" s="34">
        <v>4.5</v>
      </c>
      <c r="KKI4095" s="34">
        <v>5</v>
      </c>
      <c r="KKK4095" s="913"/>
      <c r="KKL4095" s="31">
        <v>1</v>
      </c>
      <c r="KKM4095" s="34">
        <v>0</v>
      </c>
      <c r="KKN4095" s="34">
        <v>-1</v>
      </c>
      <c r="KKO4095" s="34">
        <v>-2</v>
      </c>
      <c r="KKP4095" s="34">
        <v>-3</v>
      </c>
      <c r="KKQ4095" s="34">
        <v>-4</v>
      </c>
      <c r="KKR4095" s="34">
        <v>-5</v>
      </c>
      <c r="KKS4095" s="908"/>
      <c r="KKT4095" s="909"/>
      <c r="KKU4095" s="34">
        <v>-5</v>
      </c>
      <c r="KKV4095" s="34">
        <v>-4.5</v>
      </c>
      <c r="KKW4095" s="34">
        <v>-4</v>
      </c>
      <c r="KKX4095" s="34">
        <v>-3.5</v>
      </c>
      <c r="KKY4095" s="34">
        <v>-3</v>
      </c>
      <c r="KKZ4095" s="34">
        <v>-2.5</v>
      </c>
      <c r="KLA4095" s="34">
        <v>-2</v>
      </c>
      <c r="KLB4095" s="34">
        <v>-1.5</v>
      </c>
      <c r="KLC4095" s="34">
        <v>-1</v>
      </c>
      <c r="KLD4095" s="34">
        <v>-0.5</v>
      </c>
      <c r="KLE4095" s="34">
        <v>0</v>
      </c>
      <c r="KLF4095" s="34">
        <v>0.5</v>
      </c>
      <c r="KLG4095" s="34">
        <v>1</v>
      </c>
      <c r="KLH4095" s="34">
        <v>1.5</v>
      </c>
      <c r="KLI4095" s="34">
        <v>2</v>
      </c>
      <c r="KLJ4095" s="34">
        <v>2.5</v>
      </c>
      <c r="KLK4095" s="34">
        <v>3</v>
      </c>
      <c r="KLL4095" s="34">
        <v>3.5</v>
      </c>
      <c r="KLM4095" s="34">
        <v>4</v>
      </c>
      <c r="KLN4095" s="34">
        <v>4.5</v>
      </c>
      <c r="KLO4095" s="34">
        <v>5</v>
      </c>
      <c r="KLQ4095" s="913"/>
      <c r="KLR4095" s="31">
        <v>1</v>
      </c>
      <c r="KLS4095" s="34">
        <v>0</v>
      </c>
      <c r="KLT4095" s="34">
        <v>-1</v>
      </c>
      <c r="KLU4095" s="34">
        <v>-2</v>
      </c>
      <c r="KLV4095" s="34">
        <v>-3</v>
      </c>
      <c r="KLW4095" s="34">
        <v>-4</v>
      </c>
      <c r="KLX4095" s="34">
        <v>-5</v>
      </c>
      <c r="KLY4095" s="908"/>
      <c r="KLZ4095" s="909"/>
      <c r="KMA4095" s="34">
        <v>-5</v>
      </c>
      <c r="KMB4095" s="34">
        <v>-4.5</v>
      </c>
      <c r="KMC4095" s="34">
        <v>-4</v>
      </c>
      <c r="KMD4095" s="34">
        <v>-3.5</v>
      </c>
      <c r="KME4095" s="34">
        <v>-3</v>
      </c>
      <c r="KMF4095" s="34">
        <v>-2.5</v>
      </c>
      <c r="KMG4095" s="34">
        <v>-2</v>
      </c>
      <c r="KMH4095" s="34">
        <v>-1.5</v>
      </c>
      <c r="KMI4095" s="34">
        <v>-1</v>
      </c>
      <c r="KMJ4095" s="34">
        <v>-0.5</v>
      </c>
      <c r="KMK4095" s="34">
        <v>0</v>
      </c>
      <c r="KML4095" s="34">
        <v>0.5</v>
      </c>
      <c r="KMM4095" s="34">
        <v>1</v>
      </c>
      <c r="KMN4095" s="34">
        <v>1.5</v>
      </c>
      <c r="KMO4095" s="34">
        <v>2</v>
      </c>
      <c r="KMP4095" s="34">
        <v>2.5</v>
      </c>
      <c r="KMQ4095" s="34">
        <v>3</v>
      </c>
      <c r="KMR4095" s="34">
        <v>3.5</v>
      </c>
      <c r="KMS4095" s="34">
        <v>4</v>
      </c>
      <c r="KMT4095" s="34">
        <v>4.5</v>
      </c>
      <c r="KMU4095" s="34">
        <v>5</v>
      </c>
      <c r="KMW4095" s="913"/>
      <c r="KMX4095" s="31">
        <v>1</v>
      </c>
      <c r="KMY4095" s="34">
        <v>0</v>
      </c>
      <c r="KMZ4095" s="34">
        <v>-1</v>
      </c>
      <c r="KNA4095" s="34">
        <v>-2</v>
      </c>
      <c r="KNB4095" s="34">
        <v>-3</v>
      </c>
      <c r="KNC4095" s="34">
        <v>-4</v>
      </c>
      <c r="KND4095" s="34">
        <v>-5</v>
      </c>
      <c r="KNE4095" s="908"/>
      <c r="KNF4095" s="909"/>
      <c r="KNG4095" s="34">
        <v>-5</v>
      </c>
      <c r="KNH4095" s="34">
        <v>-4.5</v>
      </c>
      <c r="KNI4095" s="34">
        <v>-4</v>
      </c>
      <c r="KNJ4095" s="34">
        <v>-3.5</v>
      </c>
      <c r="KNK4095" s="34">
        <v>-3</v>
      </c>
      <c r="KNL4095" s="34">
        <v>-2.5</v>
      </c>
      <c r="KNM4095" s="34">
        <v>-2</v>
      </c>
      <c r="KNN4095" s="34">
        <v>-1.5</v>
      </c>
      <c r="KNO4095" s="34">
        <v>-1</v>
      </c>
      <c r="KNP4095" s="34">
        <v>-0.5</v>
      </c>
      <c r="KNQ4095" s="34">
        <v>0</v>
      </c>
      <c r="KNR4095" s="34">
        <v>0.5</v>
      </c>
      <c r="KNS4095" s="34">
        <v>1</v>
      </c>
      <c r="KNT4095" s="34">
        <v>1.5</v>
      </c>
      <c r="KNU4095" s="34">
        <v>2</v>
      </c>
      <c r="KNV4095" s="34">
        <v>2.5</v>
      </c>
      <c r="KNW4095" s="34">
        <v>3</v>
      </c>
      <c r="KNX4095" s="34">
        <v>3.5</v>
      </c>
      <c r="KNY4095" s="34">
        <v>4</v>
      </c>
      <c r="KNZ4095" s="34">
        <v>4.5</v>
      </c>
      <c r="KOA4095" s="34">
        <v>5</v>
      </c>
      <c r="KOC4095" s="913"/>
      <c r="KOD4095" s="31">
        <v>1</v>
      </c>
      <c r="KOE4095" s="34">
        <v>0</v>
      </c>
      <c r="KOF4095" s="34">
        <v>-1</v>
      </c>
      <c r="KOG4095" s="34">
        <v>-2</v>
      </c>
      <c r="KOH4095" s="34">
        <v>-3</v>
      </c>
      <c r="KOI4095" s="34">
        <v>-4</v>
      </c>
      <c r="KOJ4095" s="34">
        <v>-5</v>
      </c>
      <c r="KOK4095" s="908"/>
      <c r="KOL4095" s="909"/>
      <c r="KOM4095" s="34">
        <v>-5</v>
      </c>
      <c r="KON4095" s="34">
        <v>-4.5</v>
      </c>
      <c r="KOO4095" s="34">
        <v>-4</v>
      </c>
      <c r="KOP4095" s="34">
        <v>-3.5</v>
      </c>
      <c r="KOQ4095" s="34">
        <v>-3</v>
      </c>
      <c r="KOR4095" s="34">
        <v>-2.5</v>
      </c>
      <c r="KOS4095" s="34">
        <v>-2</v>
      </c>
      <c r="KOT4095" s="34">
        <v>-1.5</v>
      </c>
      <c r="KOU4095" s="34">
        <v>-1</v>
      </c>
      <c r="KOV4095" s="34">
        <v>-0.5</v>
      </c>
      <c r="KOW4095" s="34">
        <v>0</v>
      </c>
      <c r="KOX4095" s="34">
        <v>0.5</v>
      </c>
      <c r="KOY4095" s="34">
        <v>1</v>
      </c>
      <c r="KOZ4095" s="34">
        <v>1.5</v>
      </c>
      <c r="KPA4095" s="34">
        <v>2</v>
      </c>
      <c r="KPB4095" s="34">
        <v>2.5</v>
      </c>
      <c r="KPC4095" s="34">
        <v>3</v>
      </c>
      <c r="KPD4095" s="34">
        <v>3.5</v>
      </c>
      <c r="KPE4095" s="34">
        <v>4</v>
      </c>
      <c r="KPF4095" s="34">
        <v>4.5</v>
      </c>
      <c r="KPG4095" s="34">
        <v>5</v>
      </c>
      <c r="KPI4095" s="913"/>
      <c r="KPJ4095" s="31">
        <v>1</v>
      </c>
      <c r="KPK4095" s="34">
        <v>0</v>
      </c>
      <c r="KPL4095" s="34">
        <v>-1</v>
      </c>
      <c r="KPM4095" s="34">
        <v>-2</v>
      </c>
      <c r="KPN4095" s="34">
        <v>-3</v>
      </c>
      <c r="KPO4095" s="34">
        <v>-4</v>
      </c>
      <c r="KPP4095" s="34">
        <v>-5</v>
      </c>
      <c r="KPQ4095" s="908"/>
      <c r="KPR4095" s="909"/>
      <c r="KPS4095" s="34">
        <v>-5</v>
      </c>
      <c r="KPT4095" s="34">
        <v>-4.5</v>
      </c>
      <c r="KPU4095" s="34">
        <v>-4</v>
      </c>
      <c r="KPV4095" s="34">
        <v>-3.5</v>
      </c>
      <c r="KPW4095" s="34">
        <v>-3</v>
      </c>
      <c r="KPX4095" s="34">
        <v>-2.5</v>
      </c>
      <c r="KPY4095" s="34">
        <v>-2</v>
      </c>
      <c r="KPZ4095" s="34">
        <v>-1.5</v>
      </c>
      <c r="KQA4095" s="34">
        <v>-1</v>
      </c>
      <c r="KQB4095" s="34">
        <v>-0.5</v>
      </c>
      <c r="KQC4095" s="34">
        <v>0</v>
      </c>
      <c r="KQD4095" s="34">
        <v>0.5</v>
      </c>
      <c r="KQE4095" s="34">
        <v>1</v>
      </c>
      <c r="KQF4095" s="34">
        <v>1.5</v>
      </c>
      <c r="KQG4095" s="34">
        <v>2</v>
      </c>
      <c r="KQH4095" s="34">
        <v>2.5</v>
      </c>
      <c r="KQI4095" s="34">
        <v>3</v>
      </c>
      <c r="KQJ4095" s="34">
        <v>3.5</v>
      </c>
      <c r="KQK4095" s="34">
        <v>4</v>
      </c>
      <c r="KQL4095" s="34">
        <v>4.5</v>
      </c>
      <c r="KQM4095" s="34">
        <v>5</v>
      </c>
      <c r="KQO4095" s="913"/>
      <c r="KQP4095" s="31">
        <v>1</v>
      </c>
      <c r="KQQ4095" s="34">
        <v>0</v>
      </c>
      <c r="KQR4095" s="34">
        <v>-1</v>
      </c>
      <c r="KQS4095" s="34">
        <v>-2</v>
      </c>
      <c r="KQT4095" s="34">
        <v>-3</v>
      </c>
      <c r="KQU4095" s="34">
        <v>-4</v>
      </c>
      <c r="KQV4095" s="34">
        <v>-5</v>
      </c>
      <c r="KQW4095" s="908"/>
      <c r="KQX4095" s="909"/>
      <c r="KQY4095" s="34">
        <v>-5</v>
      </c>
      <c r="KQZ4095" s="34">
        <v>-4.5</v>
      </c>
      <c r="KRA4095" s="34">
        <v>-4</v>
      </c>
      <c r="KRB4095" s="34">
        <v>-3.5</v>
      </c>
      <c r="KRC4095" s="34">
        <v>-3</v>
      </c>
      <c r="KRD4095" s="34">
        <v>-2.5</v>
      </c>
      <c r="KRE4095" s="34">
        <v>-2</v>
      </c>
      <c r="KRF4095" s="34">
        <v>-1.5</v>
      </c>
      <c r="KRG4095" s="34">
        <v>-1</v>
      </c>
      <c r="KRH4095" s="34">
        <v>-0.5</v>
      </c>
      <c r="KRI4095" s="34">
        <v>0</v>
      </c>
      <c r="KRJ4095" s="34">
        <v>0.5</v>
      </c>
      <c r="KRK4095" s="34">
        <v>1</v>
      </c>
      <c r="KRL4095" s="34">
        <v>1.5</v>
      </c>
      <c r="KRM4095" s="34">
        <v>2</v>
      </c>
      <c r="KRN4095" s="34">
        <v>2.5</v>
      </c>
      <c r="KRO4095" s="34">
        <v>3</v>
      </c>
      <c r="KRP4095" s="34">
        <v>3.5</v>
      </c>
      <c r="KRQ4095" s="34">
        <v>4</v>
      </c>
      <c r="KRR4095" s="34">
        <v>4.5</v>
      </c>
      <c r="KRS4095" s="34">
        <v>5</v>
      </c>
      <c r="KRU4095" s="913"/>
      <c r="KRV4095" s="31">
        <v>1</v>
      </c>
      <c r="KRW4095" s="34">
        <v>0</v>
      </c>
      <c r="KRX4095" s="34">
        <v>-1</v>
      </c>
      <c r="KRY4095" s="34">
        <v>-2</v>
      </c>
      <c r="KRZ4095" s="34">
        <v>-3</v>
      </c>
      <c r="KSA4095" s="34">
        <v>-4</v>
      </c>
      <c r="KSB4095" s="34">
        <v>-5</v>
      </c>
      <c r="KSC4095" s="908"/>
      <c r="KSD4095" s="909"/>
      <c r="KSE4095" s="34">
        <v>-5</v>
      </c>
      <c r="KSF4095" s="34">
        <v>-4.5</v>
      </c>
      <c r="KSG4095" s="34">
        <v>-4</v>
      </c>
      <c r="KSH4095" s="34">
        <v>-3.5</v>
      </c>
      <c r="KSI4095" s="34">
        <v>-3</v>
      </c>
      <c r="KSJ4095" s="34">
        <v>-2.5</v>
      </c>
      <c r="KSK4095" s="34">
        <v>-2</v>
      </c>
      <c r="KSL4095" s="34">
        <v>-1.5</v>
      </c>
      <c r="KSM4095" s="34">
        <v>-1</v>
      </c>
      <c r="KSN4095" s="34">
        <v>-0.5</v>
      </c>
      <c r="KSO4095" s="34">
        <v>0</v>
      </c>
      <c r="KSP4095" s="34">
        <v>0.5</v>
      </c>
      <c r="KSQ4095" s="34">
        <v>1</v>
      </c>
      <c r="KSR4095" s="34">
        <v>1.5</v>
      </c>
      <c r="KSS4095" s="34">
        <v>2</v>
      </c>
      <c r="KST4095" s="34">
        <v>2.5</v>
      </c>
      <c r="KSU4095" s="34">
        <v>3</v>
      </c>
      <c r="KSV4095" s="34">
        <v>3.5</v>
      </c>
      <c r="KSW4095" s="34">
        <v>4</v>
      </c>
      <c r="KSX4095" s="34">
        <v>4.5</v>
      </c>
      <c r="KSY4095" s="34">
        <v>5</v>
      </c>
      <c r="KTA4095" s="913"/>
      <c r="KTB4095" s="31">
        <v>1</v>
      </c>
      <c r="KTC4095" s="34">
        <v>0</v>
      </c>
      <c r="KTD4095" s="34">
        <v>-1</v>
      </c>
      <c r="KTE4095" s="34">
        <v>-2</v>
      </c>
      <c r="KTF4095" s="34">
        <v>-3</v>
      </c>
      <c r="KTG4095" s="34">
        <v>-4</v>
      </c>
      <c r="KTH4095" s="34">
        <v>-5</v>
      </c>
      <c r="KTI4095" s="908"/>
      <c r="KTJ4095" s="909"/>
      <c r="KTK4095" s="34">
        <v>-5</v>
      </c>
      <c r="KTL4095" s="34">
        <v>-4.5</v>
      </c>
      <c r="KTM4095" s="34">
        <v>-4</v>
      </c>
      <c r="KTN4095" s="34">
        <v>-3.5</v>
      </c>
      <c r="KTO4095" s="34">
        <v>-3</v>
      </c>
      <c r="KTP4095" s="34">
        <v>-2.5</v>
      </c>
      <c r="KTQ4095" s="34">
        <v>-2</v>
      </c>
      <c r="KTR4095" s="34">
        <v>-1.5</v>
      </c>
      <c r="KTS4095" s="34">
        <v>-1</v>
      </c>
      <c r="KTT4095" s="34">
        <v>-0.5</v>
      </c>
      <c r="KTU4095" s="34">
        <v>0</v>
      </c>
      <c r="KTV4095" s="34">
        <v>0.5</v>
      </c>
      <c r="KTW4095" s="34">
        <v>1</v>
      </c>
      <c r="KTX4095" s="34">
        <v>1.5</v>
      </c>
      <c r="KTY4095" s="34">
        <v>2</v>
      </c>
      <c r="KTZ4095" s="34">
        <v>2.5</v>
      </c>
      <c r="KUA4095" s="34">
        <v>3</v>
      </c>
      <c r="KUB4095" s="34">
        <v>3.5</v>
      </c>
      <c r="KUC4095" s="34">
        <v>4</v>
      </c>
      <c r="KUD4095" s="34">
        <v>4.5</v>
      </c>
      <c r="KUE4095" s="34">
        <v>5</v>
      </c>
      <c r="KUG4095" s="913"/>
      <c r="KUH4095" s="31">
        <v>1</v>
      </c>
      <c r="KUI4095" s="34">
        <v>0</v>
      </c>
      <c r="KUJ4095" s="34">
        <v>-1</v>
      </c>
      <c r="KUK4095" s="34">
        <v>-2</v>
      </c>
      <c r="KUL4095" s="34">
        <v>-3</v>
      </c>
      <c r="KUM4095" s="34">
        <v>-4</v>
      </c>
      <c r="KUN4095" s="34">
        <v>-5</v>
      </c>
      <c r="KUO4095" s="908"/>
      <c r="KUP4095" s="909"/>
      <c r="KUQ4095" s="34">
        <v>-5</v>
      </c>
      <c r="KUR4095" s="34">
        <v>-4.5</v>
      </c>
      <c r="KUS4095" s="34">
        <v>-4</v>
      </c>
      <c r="KUT4095" s="34">
        <v>-3.5</v>
      </c>
      <c r="KUU4095" s="34">
        <v>-3</v>
      </c>
      <c r="KUV4095" s="34">
        <v>-2.5</v>
      </c>
      <c r="KUW4095" s="34">
        <v>-2</v>
      </c>
      <c r="KUX4095" s="34">
        <v>-1.5</v>
      </c>
      <c r="KUY4095" s="34">
        <v>-1</v>
      </c>
      <c r="KUZ4095" s="34">
        <v>-0.5</v>
      </c>
      <c r="KVA4095" s="34">
        <v>0</v>
      </c>
      <c r="KVB4095" s="34">
        <v>0.5</v>
      </c>
      <c r="KVC4095" s="34">
        <v>1</v>
      </c>
      <c r="KVD4095" s="34">
        <v>1.5</v>
      </c>
      <c r="KVE4095" s="34">
        <v>2</v>
      </c>
      <c r="KVF4095" s="34">
        <v>2.5</v>
      </c>
      <c r="KVG4095" s="34">
        <v>3</v>
      </c>
      <c r="KVH4095" s="34">
        <v>3.5</v>
      </c>
      <c r="KVI4095" s="34">
        <v>4</v>
      </c>
      <c r="KVJ4095" s="34">
        <v>4.5</v>
      </c>
      <c r="KVK4095" s="34">
        <v>5</v>
      </c>
      <c r="KVM4095" s="913"/>
      <c r="KVN4095" s="31">
        <v>1</v>
      </c>
      <c r="KVO4095" s="34">
        <v>0</v>
      </c>
      <c r="KVP4095" s="34">
        <v>-1</v>
      </c>
      <c r="KVQ4095" s="34">
        <v>-2</v>
      </c>
      <c r="KVR4095" s="34">
        <v>-3</v>
      </c>
      <c r="KVS4095" s="34">
        <v>-4</v>
      </c>
      <c r="KVT4095" s="34">
        <v>-5</v>
      </c>
      <c r="KVU4095" s="908"/>
      <c r="KVV4095" s="909"/>
      <c r="KVW4095" s="34">
        <v>-5</v>
      </c>
      <c r="KVX4095" s="34">
        <v>-4.5</v>
      </c>
      <c r="KVY4095" s="34">
        <v>-4</v>
      </c>
      <c r="KVZ4095" s="34">
        <v>-3.5</v>
      </c>
      <c r="KWA4095" s="34">
        <v>-3</v>
      </c>
      <c r="KWB4095" s="34">
        <v>-2.5</v>
      </c>
      <c r="KWC4095" s="34">
        <v>-2</v>
      </c>
      <c r="KWD4095" s="34">
        <v>-1.5</v>
      </c>
      <c r="KWE4095" s="34">
        <v>-1</v>
      </c>
      <c r="KWF4095" s="34">
        <v>-0.5</v>
      </c>
      <c r="KWG4095" s="34">
        <v>0</v>
      </c>
      <c r="KWH4095" s="34">
        <v>0.5</v>
      </c>
      <c r="KWI4095" s="34">
        <v>1</v>
      </c>
      <c r="KWJ4095" s="34">
        <v>1.5</v>
      </c>
      <c r="KWK4095" s="34">
        <v>2</v>
      </c>
      <c r="KWL4095" s="34">
        <v>2.5</v>
      </c>
      <c r="KWM4095" s="34">
        <v>3</v>
      </c>
      <c r="KWN4095" s="34">
        <v>3.5</v>
      </c>
      <c r="KWO4095" s="34">
        <v>4</v>
      </c>
      <c r="KWP4095" s="34">
        <v>4.5</v>
      </c>
      <c r="KWQ4095" s="34">
        <v>5</v>
      </c>
      <c r="KWS4095" s="913"/>
      <c r="KWT4095" s="31">
        <v>1</v>
      </c>
      <c r="KWU4095" s="34">
        <v>0</v>
      </c>
      <c r="KWV4095" s="34">
        <v>-1</v>
      </c>
      <c r="KWW4095" s="34">
        <v>-2</v>
      </c>
      <c r="KWX4095" s="34">
        <v>-3</v>
      </c>
      <c r="KWY4095" s="34">
        <v>-4</v>
      </c>
      <c r="KWZ4095" s="34">
        <v>-5</v>
      </c>
      <c r="KXA4095" s="908"/>
      <c r="KXB4095" s="909"/>
      <c r="KXC4095" s="34">
        <v>-5</v>
      </c>
      <c r="KXD4095" s="34">
        <v>-4.5</v>
      </c>
      <c r="KXE4095" s="34">
        <v>-4</v>
      </c>
      <c r="KXF4095" s="34">
        <v>-3.5</v>
      </c>
      <c r="KXG4095" s="34">
        <v>-3</v>
      </c>
      <c r="KXH4095" s="34">
        <v>-2.5</v>
      </c>
      <c r="KXI4095" s="34">
        <v>-2</v>
      </c>
      <c r="KXJ4095" s="34">
        <v>-1.5</v>
      </c>
      <c r="KXK4095" s="34">
        <v>-1</v>
      </c>
      <c r="KXL4095" s="34">
        <v>-0.5</v>
      </c>
      <c r="KXM4095" s="34">
        <v>0</v>
      </c>
      <c r="KXN4095" s="34">
        <v>0.5</v>
      </c>
      <c r="KXO4095" s="34">
        <v>1</v>
      </c>
      <c r="KXP4095" s="34">
        <v>1.5</v>
      </c>
      <c r="KXQ4095" s="34">
        <v>2</v>
      </c>
      <c r="KXR4095" s="34">
        <v>2.5</v>
      </c>
      <c r="KXS4095" s="34">
        <v>3</v>
      </c>
      <c r="KXT4095" s="34">
        <v>3.5</v>
      </c>
      <c r="KXU4095" s="34">
        <v>4</v>
      </c>
      <c r="KXV4095" s="34">
        <v>4.5</v>
      </c>
      <c r="KXW4095" s="34">
        <v>5</v>
      </c>
      <c r="KXY4095" s="913"/>
      <c r="KXZ4095" s="31">
        <v>1</v>
      </c>
      <c r="KYA4095" s="34">
        <v>0</v>
      </c>
      <c r="KYB4095" s="34">
        <v>-1</v>
      </c>
      <c r="KYC4095" s="34">
        <v>-2</v>
      </c>
      <c r="KYD4095" s="34">
        <v>-3</v>
      </c>
      <c r="KYE4095" s="34">
        <v>-4</v>
      </c>
      <c r="KYF4095" s="34">
        <v>-5</v>
      </c>
      <c r="KYG4095" s="908"/>
      <c r="KYH4095" s="909"/>
      <c r="KYI4095" s="34">
        <v>-5</v>
      </c>
      <c r="KYJ4095" s="34">
        <v>-4.5</v>
      </c>
      <c r="KYK4095" s="34">
        <v>-4</v>
      </c>
      <c r="KYL4095" s="34">
        <v>-3.5</v>
      </c>
      <c r="KYM4095" s="34">
        <v>-3</v>
      </c>
      <c r="KYN4095" s="34">
        <v>-2.5</v>
      </c>
      <c r="KYO4095" s="34">
        <v>-2</v>
      </c>
      <c r="KYP4095" s="34">
        <v>-1.5</v>
      </c>
      <c r="KYQ4095" s="34">
        <v>-1</v>
      </c>
      <c r="KYR4095" s="34">
        <v>-0.5</v>
      </c>
      <c r="KYS4095" s="34">
        <v>0</v>
      </c>
      <c r="KYT4095" s="34">
        <v>0.5</v>
      </c>
      <c r="KYU4095" s="34">
        <v>1</v>
      </c>
      <c r="KYV4095" s="34">
        <v>1.5</v>
      </c>
      <c r="KYW4095" s="34">
        <v>2</v>
      </c>
      <c r="KYX4095" s="34">
        <v>2.5</v>
      </c>
      <c r="KYY4095" s="34">
        <v>3</v>
      </c>
      <c r="KYZ4095" s="34">
        <v>3.5</v>
      </c>
      <c r="KZA4095" s="34">
        <v>4</v>
      </c>
      <c r="KZB4095" s="34">
        <v>4.5</v>
      </c>
      <c r="KZC4095" s="34">
        <v>5</v>
      </c>
      <c r="KZE4095" s="913"/>
      <c r="KZF4095" s="31">
        <v>1</v>
      </c>
      <c r="KZG4095" s="34">
        <v>0</v>
      </c>
      <c r="KZH4095" s="34">
        <v>-1</v>
      </c>
      <c r="KZI4095" s="34">
        <v>-2</v>
      </c>
      <c r="KZJ4095" s="34">
        <v>-3</v>
      </c>
      <c r="KZK4095" s="34">
        <v>-4</v>
      </c>
      <c r="KZL4095" s="34">
        <v>-5</v>
      </c>
      <c r="KZM4095" s="908"/>
      <c r="KZN4095" s="909"/>
      <c r="KZO4095" s="34">
        <v>-5</v>
      </c>
      <c r="KZP4095" s="34">
        <v>-4.5</v>
      </c>
      <c r="KZQ4095" s="34">
        <v>-4</v>
      </c>
      <c r="KZR4095" s="34">
        <v>-3.5</v>
      </c>
      <c r="KZS4095" s="34">
        <v>-3</v>
      </c>
      <c r="KZT4095" s="34">
        <v>-2.5</v>
      </c>
      <c r="KZU4095" s="34">
        <v>-2</v>
      </c>
      <c r="KZV4095" s="34">
        <v>-1.5</v>
      </c>
      <c r="KZW4095" s="34">
        <v>-1</v>
      </c>
      <c r="KZX4095" s="34">
        <v>-0.5</v>
      </c>
      <c r="KZY4095" s="34">
        <v>0</v>
      </c>
      <c r="KZZ4095" s="34">
        <v>0.5</v>
      </c>
      <c r="LAA4095" s="34">
        <v>1</v>
      </c>
      <c r="LAB4095" s="34">
        <v>1.5</v>
      </c>
      <c r="LAC4095" s="34">
        <v>2</v>
      </c>
      <c r="LAD4095" s="34">
        <v>2.5</v>
      </c>
      <c r="LAE4095" s="34">
        <v>3</v>
      </c>
      <c r="LAF4095" s="34">
        <v>3.5</v>
      </c>
      <c r="LAG4095" s="34">
        <v>4</v>
      </c>
      <c r="LAH4095" s="34">
        <v>4.5</v>
      </c>
      <c r="LAI4095" s="34">
        <v>5</v>
      </c>
      <c r="LAK4095" s="913"/>
      <c r="LAL4095" s="31">
        <v>1</v>
      </c>
      <c r="LAM4095" s="34">
        <v>0</v>
      </c>
      <c r="LAN4095" s="34">
        <v>-1</v>
      </c>
      <c r="LAO4095" s="34">
        <v>-2</v>
      </c>
      <c r="LAP4095" s="34">
        <v>-3</v>
      </c>
      <c r="LAQ4095" s="34">
        <v>-4</v>
      </c>
      <c r="LAR4095" s="34">
        <v>-5</v>
      </c>
      <c r="LAS4095" s="908"/>
      <c r="LAT4095" s="909"/>
      <c r="LAU4095" s="34">
        <v>-5</v>
      </c>
      <c r="LAV4095" s="34">
        <v>-4.5</v>
      </c>
      <c r="LAW4095" s="34">
        <v>-4</v>
      </c>
      <c r="LAX4095" s="34">
        <v>-3.5</v>
      </c>
      <c r="LAY4095" s="34">
        <v>-3</v>
      </c>
      <c r="LAZ4095" s="34">
        <v>-2.5</v>
      </c>
      <c r="LBA4095" s="34">
        <v>-2</v>
      </c>
      <c r="LBB4095" s="34">
        <v>-1.5</v>
      </c>
      <c r="LBC4095" s="34">
        <v>-1</v>
      </c>
      <c r="LBD4095" s="34">
        <v>-0.5</v>
      </c>
      <c r="LBE4095" s="34">
        <v>0</v>
      </c>
      <c r="LBF4095" s="34">
        <v>0.5</v>
      </c>
      <c r="LBG4095" s="34">
        <v>1</v>
      </c>
      <c r="LBH4095" s="34">
        <v>1.5</v>
      </c>
      <c r="LBI4095" s="34">
        <v>2</v>
      </c>
      <c r="LBJ4095" s="34">
        <v>2.5</v>
      </c>
      <c r="LBK4095" s="34">
        <v>3</v>
      </c>
      <c r="LBL4095" s="34">
        <v>3.5</v>
      </c>
      <c r="LBM4095" s="34">
        <v>4</v>
      </c>
      <c r="LBN4095" s="34">
        <v>4.5</v>
      </c>
      <c r="LBO4095" s="34">
        <v>5</v>
      </c>
      <c r="LBQ4095" s="913"/>
      <c r="LBR4095" s="31">
        <v>1</v>
      </c>
      <c r="LBS4095" s="34">
        <v>0</v>
      </c>
      <c r="LBT4095" s="34">
        <v>-1</v>
      </c>
      <c r="LBU4095" s="34">
        <v>-2</v>
      </c>
      <c r="LBV4095" s="34">
        <v>-3</v>
      </c>
      <c r="LBW4095" s="34">
        <v>-4</v>
      </c>
      <c r="LBX4095" s="34">
        <v>-5</v>
      </c>
      <c r="LBY4095" s="908"/>
      <c r="LBZ4095" s="909"/>
      <c r="LCA4095" s="34">
        <v>-5</v>
      </c>
      <c r="LCB4095" s="34">
        <v>-4.5</v>
      </c>
      <c r="LCC4095" s="34">
        <v>-4</v>
      </c>
      <c r="LCD4095" s="34">
        <v>-3.5</v>
      </c>
      <c r="LCE4095" s="34">
        <v>-3</v>
      </c>
      <c r="LCF4095" s="34">
        <v>-2.5</v>
      </c>
      <c r="LCG4095" s="34">
        <v>-2</v>
      </c>
      <c r="LCH4095" s="34">
        <v>-1.5</v>
      </c>
      <c r="LCI4095" s="34">
        <v>-1</v>
      </c>
      <c r="LCJ4095" s="34">
        <v>-0.5</v>
      </c>
      <c r="LCK4095" s="34">
        <v>0</v>
      </c>
      <c r="LCL4095" s="34">
        <v>0.5</v>
      </c>
      <c r="LCM4095" s="34">
        <v>1</v>
      </c>
      <c r="LCN4095" s="34">
        <v>1.5</v>
      </c>
      <c r="LCO4095" s="34">
        <v>2</v>
      </c>
      <c r="LCP4095" s="34">
        <v>2.5</v>
      </c>
      <c r="LCQ4095" s="34">
        <v>3</v>
      </c>
      <c r="LCR4095" s="34">
        <v>3.5</v>
      </c>
      <c r="LCS4095" s="34">
        <v>4</v>
      </c>
      <c r="LCT4095" s="34">
        <v>4.5</v>
      </c>
      <c r="LCU4095" s="34">
        <v>5</v>
      </c>
      <c r="LCW4095" s="913"/>
      <c r="LCX4095" s="31">
        <v>1</v>
      </c>
      <c r="LCY4095" s="34">
        <v>0</v>
      </c>
      <c r="LCZ4095" s="34">
        <v>-1</v>
      </c>
      <c r="LDA4095" s="34">
        <v>-2</v>
      </c>
      <c r="LDB4095" s="34">
        <v>-3</v>
      </c>
      <c r="LDC4095" s="34">
        <v>-4</v>
      </c>
      <c r="LDD4095" s="34">
        <v>-5</v>
      </c>
      <c r="LDE4095" s="908"/>
      <c r="LDF4095" s="909"/>
      <c r="LDG4095" s="34">
        <v>-5</v>
      </c>
      <c r="LDH4095" s="34">
        <v>-4.5</v>
      </c>
      <c r="LDI4095" s="34">
        <v>-4</v>
      </c>
      <c r="LDJ4095" s="34">
        <v>-3.5</v>
      </c>
      <c r="LDK4095" s="34">
        <v>-3</v>
      </c>
      <c r="LDL4095" s="34">
        <v>-2.5</v>
      </c>
      <c r="LDM4095" s="34">
        <v>-2</v>
      </c>
      <c r="LDN4095" s="34">
        <v>-1.5</v>
      </c>
      <c r="LDO4095" s="34">
        <v>-1</v>
      </c>
      <c r="LDP4095" s="34">
        <v>-0.5</v>
      </c>
      <c r="LDQ4095" s="34">
        <v>0</v>
      </c>
      <c r="LDR4095" s="34">
        <v>0.5</v>
      </c>
      <c r="LDS4095" s="34">
        <v>1</v>
      </c>
      <c r="LDT4095" s="34">
        <v>1.5</v>
      </c>
      <c r="LDU4095" s="34">
        <v>2</v>
      </c>
      <c r="LDV4095" s="34">
        <v>2.5</v>
      </c>
      <c r="LDW4095" s="34">
        <v>3</v>
      </c>
      <c r="LDX4095" s="34">
        <v>3.5</v>
      </c>
      <c r="LDY4095" s="34">
        <v>4</v>
      </c>
      <c r="LDZ4095" s="34">
        <v>4.5</v>
      </c>
      <c r="LEA4095" s="34">
        <v>5</v>
      </c>
      <c r="LEC4095" s="913"/>
      <c r="LED4095" s="31">
        <v>1</v>
      </c>
      <c r="LEE4095" s="34">
        <v>0</v>
      </c>
      <c r="LEF4095" s="34">
        <v>-1</v>
      </c>
      <c r="LEG4095" s="34">
        <v>-2</v>
      </c>
      <c r="LEH4095" s="34">
        <v>-3</v>
      </c>
      <c r="LEI4095" s="34">
        <v>-4</v>
      </c>
      <c r="LEJ4095" s="34">
        <v>-5</v>
      </c>
      <c r="LEK4095" s="908"/>
      <c r="LEL4095" s="909"/>
      <c r="LEM4095" s="34">
        <v>-5</v>
      </c>
      <c r="LEN4095" s="34">
        <v>-4.5</v>
      </c>
      <c r="LEO4095" s="34">
        <v>-4</v>
      </c>
      <c r="LEP4095" s="34">
        <v>-3.5</v>
      </c>
      <c r="LEQ4095" s="34">
        <v>-3</v>
      </c>
      <c r="LER4095" s="34">
        <v>-2.5</v>
      </c>
      <c r="LES4095" s="34">
        <v>-2</v>
      </c>
      <c r="LET4095" s="34">
        <v>-1.5</v>
      </c>
      <c r="LEU4095" s="34">
        <v>-1</v>
      </c>
      <c r="LEV4095" s="34">
        <v>-0.5</v>
      </c>
      <c r="LEW4095" s="34">
        <v>0</v>
      </c>
      <c r="LEX4095" s="34">
        <v>0.5</v>
      </c>
      <c r="LEY4095" s="34">
        <v>1</v>
      </c>
      <c r="LEZ4095" s="34">
        <v>1.5</v>
      </c>
      <c r="LFA4095" s="34">
        <v>2</v>
      </c>
      <c r="LFB4095" s="34">
        <v>2.5</v>
      </c>
      <c r="LFC4095" s="34">
        <v>3</v>
      </c>
      <c r="LFD4095" s="34">
        <v>3.5</v>
      </c>
      <c r="LFE4095" s="34">
        <v>4</v>
      </c>
      <c r="LFF4095" s="34">
        <v>4.5</v>
      </c>
      <c r="LFG4095" s="34">
        <v>5</v>
      </c>
      <c r="LFI4095" s="913"/>
      <c r="LFJ4095" s="31">
        <v>1</v>
      </c>
      <c r="LFK4095" s="34">
        <v>0</v>
      </c>
      <c r="LFL4095" s="34">
        <v>-1</v>
      </c>
      <c r="LFM4095" s="34">
        <v>-2</v>
      </c>
      <c r="LFN4095" s="34">
        <v>-3</v>
      </c>
      <c r="LFO4095" s="34">
        <v>-4</v>
      </c>
      <c r="LFP4095" s="34">
        <v>-5</v>
      </c>
      <c r="LFQ4095" s="908"/>
      <c r="LFR4095" s="909"/>
      <c r="LFS4095" s="34">
        <v>-5</v>
      </c>
      <c r="LFT4095" s="34">
        <v>-4.5</v>
      </c>
      <c r="LFU4095" s="34">
        <v>-4</v>
      </c>
      <c r="LFV4095" s="34">
        <v>-3.5</v>
      </c>
      <c r="LFW4095" s="34">
        <v>-3</v>
      </c>
      <c r="LFX4095" s="34">
        <v>-2.5</v>
      </c>
      <c r="LFY4095" s="34">
        <v>-2</v>
      </c>
      <c r="LFZ4095" s="34">
        <v>-1.5</v>
      </c>
      <c r="LGA4095" s="34">
        <v>-1</v>
      </c>
      <c r="LGB4095" s="34">
        <v>-0.5</v>
      </c>
      <c r="LGC4095" s="34">
        <v>0</v>
      </c>
      <c r="LGD4095" s="34">
        <v>0.5</v>
      </c>
      <c r="LGE4095" s="34">
        <v>1</v>
      </c>
      <c r="LGF4095" s="34">
        <v>1.5</v>
      </c>
      <c r="LGG4095" s="34">
        <v>2</v>
      </c>
      <c r="LGH4095" s="34">
        <v>2.5</v>
      </c>
      <c r="LGI4095" s="34">
        <v>3</v>
      </c>
      <c r="LGJ4095" s="34">
        <v>3.5</v>
      </c>
      <c r="LGK4095" s="34">
        <v>4</v>
      </c>
      <c r="LGL4095" s="34">
        <v>4.5</v>
      </c>
      <c r="LGM4095" s="34">
        <v>5</v>
      </c>
      <c r="LGO4095" s="913"/>
      <c r="LGP4095" s="31">
        <v>1</v>
      </c>
      <c r="LGQ4095" s="34">
        <v>0</v>
      </c>
      <c r="LGR4095" s="34">
        <v>-1</v>
      </c>
      <c r="LGS4095" s="34">
        <v>-2</v>
      </c>
      <c r="LGT4095" s="34">
        <v>-3</v>
      </c>
      <c r="LGU4095" s="34">
        <v>-4</v>
      </c>
      <c r="LGV4095" s="34">
        <v>-5</v>
      </c>
      <c r="LGW4095" s="908"/>
      <c r="LGX4095" s="909"/>
      <c r="LGY4095" s="34">
        <v>-5</v>
      </c>
      <c r="LGZ4095" s="34">
        <v>-4.5</v>
      </c>
      <c r="LHA4095" s="34">
        <v>-4</v>
      </c>
      <c r="LHB4095" s="34">
        <v>-3.5</v>
      </c>
      <c r="LHC4095" s="34">
        <v>-3</v>
      </c>
      <c r="LHD4095" s="34">
        <v>-2.5</v>
      </c>
      <c r="LHE4095" s="34">
        <v>-2</v>
      </c>
      <c r="LHF4095" s="34">
        <v>-1.5</v>
      </c>
      <c r="LHG4095" s="34">
        <v>-1</v>
      </c>
      <c r="LHH4095" s="34">
        <v>-0.5</v>
      </c>
      <c r="LHI4095" s="34">
        <v>0</v>
      </c>
      <c r="LHJ4095" s="34">
        <v>0.5</v>
      </c>
      <c r="LHK4095" s="34">
        <v>1</v>
      </c>
      <c r="LHL4095" s="34">
        <v>1.5</v>
      </c>
      <c r="LHM4095" s="34">
        <v>2</v>
      </c>
      <c r="LHN4095" s="34">
        <v>2.5</v>
      </c>
      <c r="LHO4095" s="34">
        <v>3</v>
      </c>
      <c r="LHP4095" s="34">
        <v>3.5</v>
      </c>
      <c r="LHQ4095" s="34">
        <v>4</v>
      </c>
      <c r="LHR4095" s="34">
        <v>4.5</v>
      </c>
      <c r="LHS4095" s="34">
        <v>5</v>
      </c>
      <c r="LHU4095" s="913"/>
      <c r="LHV4095" s="31">
        <v>1</v>
      </c>
      <c r="LHW4095" s="34">
        <v>0</v>
      </c>
      <c r="LHX4095" s="34">
        <v>-1</v>
      </c>
      <c r="LHY4095" s="34">
        <v>-2</v>
      </c>
      <c r="LHZ4095" s="34">
        <v>-3</v>
      </c>
      <c r="LIA4095" s="34">
        <v>-4</v>
      </c>
      <c r="LIB4095" s="34">
        <v>-5</v>
      </c>
      <c r="LIC4095" s="908"/>
      <c r="LID4095" s="909"/>
      <c r="LIE4095" s="34">
        <v>-5</v>
      </c>
      <c r="LIF4095" s="34">
        <v>-4.5</v>
      </c>
      <c r="LIG4095" s="34">
        <v>-4</v>
      </c>
      <c r="LIH4095" s="34">
        <v>-3.5</v>
      </c>
      <c r="LII4095" s="34">
        <v>-3</v>
      </c>
      <c r="LIJ4095" s="34">
        <v>-2.5</v>
      </c>
      <c r="LIK4095" s="34">
        <v>-2</v>
      </c>
      <c r="LIL4095" s="34">
        <v>-1.5</v>
      </c>
      <c r="LIM4095" s="34">
        <v>-1</v>
      </c>
      <c r="LIN4095" s="34">
        <v>-0.5</v>
      </c>
      <c r="LIO4095" s="34">
        <v>0</v>
      </c>
      <c r="LIP4095" s="34">
        <v>0.5</v>
      </c>
      <c r="LIQ4095" s="34">
        <v>1</v>
      </c>
      <c r="LIR4095" s="34">
        <v>1.5</v>
      </c>
      <c r="LIS4095" s="34">
        <v>2</v>
      </c>
      <c r="LIT4095" s="34">
        <v>2.5</v>
      </c>
      <c r="LIU4095" s="34">
        <v>3</v>
      </c>
      <c r="LIV4095" s="34">
        <v>3.5</v>
      </c>
      <c r="LIW4095" s="34">
        <v>4</v>
      </c>
      <c r="LIX4095" s="34">
        <v>4.5</v>
      </c>
      <c r="LIY4095" s="34">
        <v>5</v>
      </c>
      <c r="LJA4095" s="913"/>
      <c r="LJB4095" s="31">
        <v>1</v>
      </c>
      <c r="LJC4095" s="34">
        <v>0</v>
      </c>
      <c r="LJD4095" s="34">
        <v>-1</v>
      </c>
      <c r="LJE4095" s="34">
        <v>-2</v>
      </c>
      <c r="LJF4095" s="34">
        <v>-3</v>
      </c>
      <c r="LJG4095" s="34">
        <v>-4</v>
      </c>
      <c r="LJH4095" s="34">
        <v>-5</v>
      </c>
      <c r="LJI4095" s="908"/>
      <c r="LJJ4095" s="909"/>
      <c r="LJK4095" s="34">
        <v>-5</v>
      </c>
      <c r="LJL4095" s="34">
        <v>-4.5</v>
      </c>
      <c r="LJM4095" s="34">
        <v>-4</v>
      </c>
      <c r="LJN4095" s="34">
        <v>-3.5</v>
      </c>
      <c r="LJO4095" s="34">
        <v>-3</v>
      </c>
      <c r="LJP4095" s="34">
        <v>-2.5</v>
      </c>
      <c r="LJQ4095" s="34">
        <v>-2</v>
      </c>
      <c r="LJR4095" s="34">
        <v>-1.5</v>
      </c>
      <c r="LJS4095" s="34">
        <v>-1</v>
      </c>
      <c r="LJT4095" s="34">
        <v>-0.5</v>
      </c>
      <c r="LJU4095" s="34">
        <v>0</v>
      </c>
      <c r="LJV4095" s="34">
        <v>0.5</v>
      </c>
      <c r="LJW4095" s="34">
        <v>1</v>
      </c>
      <c r="LJX4095" s="34">
        <v>1.5</v>
      </c>
      <c r="LJY4095" s="34">
        <v>2</v>
      </c>
      <c r="LJZ4095" s="34">
        <v>2.5</v>
      </c>
      <c r="LKA4095" s="34">
        <v>3</v>
      </c>
      <c r="LKB4095" s="34">
        <v>3.5</v>
      </c>
      <c r="LKC4095" s="34">
        <v>4</v>
      </c>
      <c r="LKD4095" s="34">
        <v>4.5</v>
      </c>
      <c r="LKE4095" s="34">
        <v>5</v>
      </c>
      <c r="LKG4095" s="913"/>
      <c r="LKH4095" s="31">
        <v>1</v>
      </c>
      <c r="LKI4095" s="34">
        <v>0</v>
      </c>
      <c r="LKJ4095" s="34">
        <v>-1</v>
      </c>
      <c r="LKK4095" s="34">
        <v>-2</v>
      </c>
      <c r="LKL4095" s="34">
        <v>-3</v>
      </c>
      <c r="LKM4095" s="34">
        <v>-4</v>
      </c>
      <c r="LKN4095" s="34">
        <v>-5</v>
      </c>
      <c r="LKO4095" s="908"/>
      <c r="LKP4095" s="909"/>
      <c r="LKQ4095" s="34">
        <v>-5</v>
      </c>
      <c r="LKR4095" s="34">
        <v>-4.5</v>
      </c>
      <c r="LKS4095" s="34">
        <v>-4</v>
      </c>
      <c r="LKT4095" s="34">
        <v>-3.5</v>
      </c>
      <c r="LKU4095" s="34">
        <v>-3</v>
      </c>
      <c r="LKV4095" s="34">
        <v>-2.5</v>
      </c>
      <c r="LKW4095" s="34">
        <v>-2</v>
      </c>
      <c r="LKX4095" s="34">
        <v>-1.5</v>
      </c>
      <c r="LKY4095" s="34">
        <v>-1</v>
      </c>
      <c r="LKZ4095" s="34">
        <v>-0.5</v>
      </c>
      <c r="LLA4095" s="34">
        <v>0</v>
      </c>
      <c r="LLB4095" s="34">
        <v>0.5</v>
      </c>
      <c r="LLC4095" s="34">
        <v>1</v>
      </c>
      <c r="LLD4095" s="34">
        <v>1.5</v>
      </c>
      <c r="LLE4095" s="34">
        <v>2</v>
      </c>
      <c r="LLF4095" s="34">
        <v>2.5</v>
      </c>
      <c r="LLG4095" s="34">
        <v>3</v>
      </c>
      <c r="LLH4095" s="34">
        <v>3.5</v>
      </c>
      <c r="LLI4095" s="34">
        <v>4</v>
      </c>
      <c r="LLJ4095" s="34">
        <v>4.5</v>
      </c>
      <c r="LLK4095" s="34">
        <v>5</v>
      </c>
      <c r="LLM4095" s="913"/>
      <c r="LLN4095" s="31">
        <v>1</v>
      </c>
      <c r="LLO4095" s="34">
        <v>0</v>
      </c>
      <c r="LLP4095" s="34">
        <v>-1</v>
      </c>
      <c r="LLQ4095" s="34">
        <v>-2</v>
      </c>
      <c r="LLR4095" s="34">
        <v>-3</v>
      </c>
      <c r="LLS4095" s="34">
        <v>-4</v>
      </c>
      <c r="LLT4095" s="34">
        <v>-5</v>
      </c>
      <c r="LLU4095" s="908"/>
      <c r="LLV4095" s="909"/>
      <c r="LLW4095" s="34">
        <v>-5</v>
      </c>
      <c r="LLX4095" s="34">
        <v>-4.5</v>
      </c>
      <c r="LLY4095" s="34">
        <v>-4</v>
      </c>
      <c r="LLZ4095" s="34">
        <v>-3.5</v>
      </c>
      <c r="LMA4095" s="34">
        <v>-3</v>
      </c>
      <c r="LMB4095" s="34">
        <v>-2.5</v>
      </c>
      <c r="LMC4095" s="34">
        <v>-2</v>
      </c>
      <c r="LMD4095" s="34">
        <v>-1.5</v>
      </c>
      <c r="LME4095" s="34">
        <v>-1</v>
      </c>
      <c r="LMF4095" s="34">
        <v>-0.5</v>
      </c>
      <c r="LMG4095" s="34">
        <v>0</v>
      </c>
      <c r="LMH4095" s="34">
        <v>0.5</v>
      </c>
      <c r="LMI4095" s="34">
        <v>1</v>
      </c>
      <c r="LMJ4095" s="34">
        <v>1.5</v>
      </c>
      <c r="LMK4095" s="34">
        <v>2</v>
      </c>
      <c r="LML4095" s="34">
        <v>2.5</v>
      </c>
      <c r="LMM4095" s="34">
        <v>3</v>
      </c>
      <c r="LMN4095" s="34">
        <v>3.5</v>
      </c>
      <c r="LMO4095" s="34">
        <v>4</v>
      </c>
      <c r="LMP4095" s="34">
        <v>4.5</v>
      </c>
      <c r="LMQ4095" s="34">
        <v>5</v>
      </c>
      <c r="LMS4095" s="913"/>
      <c r="LMT4095" s="31">
        <v>1</v>
      </c>
      <c r="LMU4095" s="34">
        <v>0</v>
      </c>
      <c r="LMV4095" s="34">
        <v>-1</v>
      </c>
      <c r="LMW4095" s="34">
        <v>-2</v>
      </c>
      <c r="LMX4095" s="34">
        <v>-3</v>
      </c>
      <c r="LMY4095" s="34">
        <v>-4</v>
      </c>
      <c r="LMZ4095" s="34">
        <v>-5</v>
      </c>
      <c r="LNA4095" s="908"/>
      <c r="LNB4095" s="909"/>
      <c r="LNC4095" s="34">
        <v>-5</v>
      </c>
      <c r="LND4095" s="34">
        <v>-4.5</v>
      </c>
      <c r="LNE4095" s="34">
        <v>-4</v>
      </c>
      <c r="LNF4095" s="34">
        <v>-3.5</v>
      </c>
      <c r="LNG4095" s="34">
        <v>-3</v>
      </c>
      <c r="LNH4095" s="34">
        <v>-2.5</v>
      </c>
      <c r="LNI4095" s="34">
        <v>-2</v>
      </c>
      <c r="LNJ4095" s="34">
        <v>-1.5</v>
      </c>
      <c r="LNK4095" s="34">
        <v>-1</v>
      </c>
      <c r="LNL4095" s="34">
        <v>-0.5</v>
      </c>
      <c r="LNM4095" s="34">
        <v>0</v>
      </c>
      <c r="LNN4095" s="34">
        <v>0.5</v>
      </c>
      <c r="LNO4095" s="34">
        <v>1</v>
      </c>
      <c r="LNP4095" s="34">
        <v>1.5</v>
      </c>
      <c r="LNQ4095" s="34">
        <v>2</v>
      </c>
      <c r="LNR4095" s="34">
        <v>2.5</v>
      </c>
      <c r="LNS4095" s="34">
        <v>3</v>
      </c>
      <c r="LNT4095" s="34">
        <v>3.5</v>
      </c>
      <c r="LNU4095" s="34">
        <v>4</v>
      </c>
      <c r="LNV4095" s="34">
        <v>4.5</v>
      </c>
      <c r="LNW4095" s="34">
        <v>5</v>
      </c>
      <c r="LNY4095" s="913"/>
      <c r="LNZ4095" s="31">
        <v>1</v>
      </c>
      <c r="LOA4095" s="34">
        <v>0</v>
      </c>
      <c r="LOB4095" s="34">
        <v>-1</v>
      </c>
      <c r="LOC4095" s="34">
        <v>-2</v>
      </c>
      <c r="LOD4095" s="34">
        <v>-3</v>
      </c>
      <c r="LOE4095" s="34">
        <v>-4</v>
      </c>
      <c r="LOF4095" s="34">
        <v>-5</v>
      </c>
      <c r="LOG4095" s="908"/>
      <c r="LOH4095" s="909"/>
      <c r="LOI4095" s="34">
        <v>-5</v>
      </c>
      <c r="LOJ4095" s="34">
        <v>-4.5</v>
      </c>
      <c r="LOK4095" s="34">
        <v>-4</v>
      </c>
      <c r="LOL4095" s="34">
        <v>-3.5</v>
      </c>
      <c r="LOM4095" s="34">
        <v>-3</v>
      </c>
      <c r="LON4095" s="34">
        <v>-2.5</v>
      </c>
      <c r="LOO4095" s="34">
        <v>-2</v>
      </c>
      <c r="LOP4095" s="34">
        <v>-1.5</v>
      </c>
      <c r="LOQ4095" s="34">
        <v>-1</v>
      </c>
      <c r="LOR4095" s="34">
        <v>-0.5</v>
      </c>
      <c r="LOS4095" s="34">
        <v>0</v>
      </c>
      <c r="LOT4095" s="34">
        <v>0.5</v>
      </c>
      <c r="LOU4095" s="34">
        <v>1</v>
      </c>
      <c r="LOV4095" s="34">
        <v>1.5</v>
      </c>
      <c r="LOW4095" s="34">
        <v>2</v>
      </c>
      <c r="LOX4095" s="34">
        <v>2.5</v>
      </c>
      <c r="LOY4095" s="34">
        <v>3</v>
      </c>
      <c r="LOZ4095" s="34">
        <v>3.5</v>
      </c>
      <c r="LPA4095" s="34">
        <v>4</v>
      </c>
      <c r="LPB4095" s="34">
        <v>4.5</v>
      </c>
      <c r="LPC4095" s="34">
        <v>5</v>
      </c>
      <c r="LPE4095" s="913"/>
      <c r="LPF4095" s="31">
        <v>1</v>
      </c>
      <c r="LPG4095" s="34">
        <v>0</v>
      </c>
      <c r="LPH4095" s="34">
        <v>-1</v>
      </c>
      <c r="LPI4095" s="34">
        <v>-2</v>
      </c>
      <c r="LPJ4095" s="34">
        <v>-3</v>
      </c>
      <c r="LPK4095" s="34">
        <v>-4</v>
      </c>
      <c r="LPL4095" s="34">
        <v>-5</v>
      </c>
      <c r="LPM4095" s="908"/>
      <c r="LPN4095" s="909"/>
      <c r="LPO4095" s="34">
        <v>-5</v>
      </c>
      <c r="LPP4095" s="34">
        <v>-4.5</v>
      </c>
      <c r="LPQ4095" s="34">
        <v>-4</v>
      </c>
      <c r="LPR4095" s="34">
        <v>-3.5</v>
      </c>
      <c r="LPS4095" s="34">
        <v>-3</v>
      </c>
      <c r="LPT4095" s="34">
        <v>-2.5</v>
      </c>
      <c r="LPU4095" s="34">
        <v>-2</v>
      </c>
      <c r="LPV4095" s="34">
        <v>-1.5</v>
      </c>
      <c r="LPW4095" s="34">
        <v>-1</v>
      </c>
      <c r="LPX4095" s="34">
        <v>-0.5</v>
      </c>
      <c r="LPY4095" s="34">
        <v>0</v>
      </c>
      <c r="LPZ4095" s="34">
        <v>0.5</v>
      </c>
      <c r="LQA4095" s="34">
        <v>1</v>
      </c>
      <c r="LQB4095" s="34">
        <v>1.5</v>
      </c>
      <c r="LQC4095" s="34">
        <v>2</v>
      </c>
      <c r="LQD4095" s="34">
        <v>2.5</v>
      </c>
      <c r="LQE4095" s="34">
        <v>3</v>
      </c>
      <c r="LQF4095" s="34">
        <v>3.5</v>
      </c>
      <c r="LQG4095" s="34">
        <v>4</v>
      </c>
      <c r="LQH4095" s="34">
        <v>4.5</v>
      </c>
      <c r="LQI4095" s="34">
        <v>5</v>
      </c>
      <c r="LQK4095" s="913"/>
      <c r="LQL4095" s="31">
        <v>1</v>
      </c>
      <c r="LQM4095" s="34">
        <v>0</v>
      </c>
      <c r="LQN4095" s="34">
        <v>-1</v>
      </c>
      <c r="LQO4095" s="34">
        <v>-2</v>
      </c>
      <c r="LQP4095" s="34">
        <v>-3</v>
      </c>
      <c r="LQQ4095" s="34">
        <v>-4</v>
      </c>
      <c r="LQR4095" s="34">
        <v>-5</v>
      </c>
      <c r="LQS4095" s="908"/>
      <c r="LQT4095" s="909"/>
      <c r="LQU4095" s="34">
        <v>-5</v>
      </c>
      <c r="LQV4095" s="34">
        <v>-4.5</v>
      </c>
      <c r="LQW4095" s="34">
        <v>-4</v>
      </c>
      <c r="LQX4095" s="34">
        <v>-3.5</v>
      </c>
      <c r="LQY4095" s="34">
        <v>-3</v>
      </c>
      <c r="LQZ4095" s="34">
        <v>-2.5</v>
      </c>
      <c r="LRA4095" s="34">
        <v>-2</v>
      </c>
      <c r="LRB4095" s="34">
        <v>-1.5</v>
      </c>
      <c r="LRC4095" s="34">
        <v>-1</v>
      </c>
      <c r="LRD4095" s="34">
        <v>-0.5</v>
      </c>
      <c r="LRE4095" s="34">
        <v>0</v>
      </c>
      <c r="LRF4095" s="34">
        <v>0.5</v>
      </c>
      <c r="LRG4095" s="34">
        <v>1</v>
      </c>
      <c r="LRH4095" s="34">
        <v>1.5</v>
      </c>
      <c r="LRI4095" s="34">
        <v>2</v>
      </c>
      <c r="LRJ4095" s="34">
        <v>2.5</v>
      </c>
      <c r="LRK4095" s="34">
        <v>3</v>
      </c>
      <c r="LRL4095" s="34">
        <v>3.5</v>
      </c>
      <c r="LRM4095" s="34">
        <v>4</v>
      </c>
      <c r="LRN4095" s="34">
        <v>4.5</v>
      </c>
      <c r="LRO4095" s="34">
        <v>5</v>
      </c>
      <c r="LRQ4095" s="913"/>
      <c r="LRR4095" s="31">
        <v>1</v>
      </c>
      <c r="LRS4095" s="34">
        <v>0</v>
      </c>
      <c r="LRT4095" s="34">
        <v>-1</v>
      </c>
      <c r="LRU4095" s="34">
        <v>-2</v>
      </c>
      <c r="LRV4095" s="34">
        <v>-3</v>
      </c>
      <c r="LRW4095" s="34">
        <v>-4</v>
      </c>
      <c r="LRX4095" s="34">
        <v>-5</v>
      </c>
      <c r="LRY4095" s="908"/>
      <c r="LRZ4095" s="909"/>
      <c r="LSA4095" s="34">
        <v>-5</v>
      </c>
      <c r="LSB4095" s="34">
        <v>-4.5</v>
      </c>
      <c r="LSC4095" s="34">
        <v>-4</v>
      </c>
      <c r="LSD4095" s="34">
        <v>-3.5</v>
      </c>
      <c r="LSE4095" s="34">
        <v>-3</v>
      </c>
      <c r="LSF4095" s="34">
        <v>-2.5</v>
      </c>
      <c r="LSG4095" s="34">
        <v>-2</v>
      </c>
      <c r="LSH4095" s="34">
        <v>-1.5</v>
      </c>
      <c r="LSI4095" s="34">
        <v>-1</v>
      </c>
      <c r="LSJ4095" s="34">
        <v>-0.5</v>
      </c>
      <c r="LSK4095" s="34">
        <v>0</v>
      </c>
      <c r="LSL4095" s="34">
        <v>0.5</v>
      </c>
      <c r="LSM4095" s="34">
        <v>1</v>
      </c>
      <c r="LSN4095" s="34">
        <v>1.5</v>
      </c>
      <c r="LSO4095" s="34">
        <v>2</v>
      </c>
      <c r="LSP4095" s="34">
        <v>2.5</v>
      </c>
      <c r="LSQ4095" s="34">
        <v>3</v>
      </c>
      <c r="LSR4095" s="34">
        <v>3.5</v>
      </c>
      <c r="LSS4095" s="34">
        <v>4</v>
      </c>
      <c r="LST4095" s="34">
        <v>4.5</v>
      </c>
      <c r="LSU4095" s="34">
        <v>5</v>
      </c>
      <c r="LSW4095" s="913"/>
      <c r="LSX4095" s="31">
        <v>1</v>
      </c>
      <c r="LSY4095" s="34">
        <v>0</v>
      </c>
      <c r="LSZ4095" s="34">
        <v>-1</v>
      </c>
      <c r="LTA4095" s="34">
        <v>-2</v>
      </c>
      <c r="LTB4095" s="34">
        <v>-3</v>
      </c>
      <c r="LTC4095" s="34">
        <v>-4</v>
      </c>
      <c r="LTD4095" s="34">
        <v>-5</v>
      </c>
      <c r="LTE4095" s="908"/>
      <c r="LTF4095" s="909"/>
      <c r="LTG4095" s="34">
        <v>-5</v>
      </c>
      <c r="LTH4095" s="34">
        <v>-4.5</v>
      </c>
      <c r="LTI4095" s="34">
        <v>-4</v>
      </c>
      <c r="LTJ4095" s="34">
        <v>-3.5</v>
      </c>
      <c r="LTK4095" s="34">
        <v>-3</v>
      </c>
      <c r="LTL4095" s="34">
        <v>-2.5</v>
      </c>
      <c r="LTM4095" s="34">
        <v>-2</v>
      </c>
      <c r="LTN4095" s="34">
        <v>-1.5</v>
      </c>
      <c r="LTO4095" s="34">
        <v>-1</v>
      </c>
      <c r="LTP4095" s="34">
        <v>-0.5</v>
      </c>
      <c r="LTQ4095" s="34">
        <v>0</v>
      </c>
      <c r="LTR4095" s="34">
        <v>0.5</v>
      </c>
      <c r="LTS4095" s="34">
        <v>1</v>
      </c>
      <c r="LTT4095" s="34">
        <v>1.5</v>
      </c>
      <c r="LTU4095" s="34">
        <v>2</v>
      </c>
      <c r="LTV4095" s="34">
        <v>2.5</v>
      </c>
      <c r="LTW4095" s="34">
        <v>3</v>
      </c>
      <c r="LTX4095" s="34">
        <v>3.5</v>
      </c>
      <c r="LTY4095" s="34">
        <v>4</v>
      </c>
      <c r="LTZ4095" s="34">
        <v>4.5</v>
      </c>
      <c r="LUA4095" s="34">
        <v>5</v>
      </c>
      <c r="LUC4095" s="913"/>
      <c r="LUD4095" s="31">
        <v>1</v>
      </c>
      <c r="LUE4095" s="34">
        <v>0</v>
      </c>
      <c r="LUF4095" s="34">
        <v>-1</v>
      </c>
      <c r="LUG4095" s="34">
        <v>-2</v>
      </c>
      <c r="LUH4095" s="34">
        <v>-3</v>
      </c>
      <c r="LUI4095" s="34">
        <v>-4</v>
      </c>
      <c r="LUJ4095" s="34">
        <v>-5</v>
      </c>
      <c r="LUK4095" s="908"/>
      <c r="LUL4095" s="909"/>
      <c r="LUM4095" s="34">
        <v>-5</v>
      </c>
      <c r="LUN4095" s="34">
        <v>-4.5</v>
      </c>
      <c r="LUO4095" s="34">
        <v>-4</v>
      </c>
      <c r="LUP4095" s="34">
        <v>-3.5</v>
      </c>
      <c r="LUQ4095" s="34">
        <v>-3</v>
      </c>
      <c r="LUR4095" s="34">
        <v>-2.5</v>
      </c>
      <c r="LUS4095" s="34">
        <v>-2</v>
      </c>
      <c r="LUT4095" s="34">
        <v>-1.5</v>
      </c>
      <c r="LUU4095" s="34">
        <v>-1</v>
      </c>
      <c r="LUV4095" s="34">
        <v>-0.5</v>
      </c>
      <c r="LUW4095" s="34">
        <v>0</v>
      </c>
      <c r="LUX4095" s="34">
        <v>0.5</v>
      </c>
      <c r="LUY4095" s="34">
        <v>1</v>
      </c>
      <c r="LUZ4095" s="34">
        <v>1.5</v>
      </c>
      <c r="LVA4095" s="34">
        <v>2</v>
      </c>
      <c r="LVB4095" s="34">
        <v>2.5</v>
      </c>
      <c r="LVC4095" s="34">
        <v>3</v>
      </c>
      <c r="LVD4095" s="34">
        <v>3.5</v>
      </c>
      <c r="LVE4095" s="34">
        <v>4</v>
      </c>
      <c r="LVF4095" s="34">
        <v>4.5</v>
      </c>
      <c r="LVG4095" s="34">
        <v>5</v>
      </c>
      <c r="LVI4095" s="913"/>
      <c r="LVJ4095" s="31">
        <v>1</v>
      </c>
      <c r="LVK4095" s="34">
        <v>0</v>
      </c>
      <c r="LVL4095" s="34">
        <v>-1</v>
      </c>
      <c r="LVM4095" s="34">
        <v>-2</v>
      </c>
      <c r="LVN4095" s="34">
        <v>-3</v>
      </c>
      <c r="LVO4095" s="34">
        <v>-4</v>
      </c>
      <c r="LVP4095" s="34">
        <v>-5</v>
      </c>
      <c r="LVQ4095" s="908"/>
      <c r="LVR4095" s="909"/>
      <c r="LVS4095" s="34">
        <v>-5</v>
      </c>
      <c r="LVT4095" s="34">
        <v>-4.5</v>
      </c>
      <c r="LVU4095" s="34">
        <v>-4</v>
      </c>
      <c r="LVV4095" s="34">
        <v>-3.5</v>
      </c>
      <c r="LVW4095" s="34">
        <v>-3</v>
      </c>
      <c r="LVX4095" s="34">
        <v>-2.5</v>
      </c>
      <c r="LVY4095" s="34">
        <v>-2</v>
      </c>
      <c r="LVZ4095" s="34">
        <v>-1.5</v>
      </c>
      <c r="LWA4095" s="34">
        <v>-1</v>
      </c>
      <c r="LWB4095" s="34">
        <v>-0.5</v>
      </c>
      <c r="LWC4095" s="34">
        <v>0</v>
      </c>
      <c r="LWD4095" s="34">
        <v>0.5</v>
      </c>
      <c r="LWE4095" s="34">
        <v>1</v>
      </c>
      <c r="LWF4095" s="34">
        <v>1.5</v>
      </c>
      <c r="LWG4095" s="34">
        <v>2</v>
      </c>
      <c r="LWH4095" s="34">
        <v>2.5</v>
      </c>
      <c r="LWI4095" s="34">
        <v>3</v>
      </c>
      <c r="LWJ4095" s="34">
        <v>3.5</v>
      </c>
      <c r="LWK4095" s="34">
        <v>4</v>
      </c>
      <c r="LWL4095" s="34">
        <v>4.5</v>
      </c>
      <c r="LWM4095" s="34">
        <v>5</v>
      </c>
      <c r="LWO4095" s="913"/>
      <c r="LWP4095" s="31">
        <v>1</v>
      </c>
      <c r="LWQ4095" s="34">
        <v>0</v>
      </c>
      <c r="LWR4095" s="34">
        <v>-1</v>
      </c>
      <c r="LWS4095" s="34">
        <v>-2</v>
      </c>
      <c r="LWT4095" s="34">
        <v>-3</v>
      </c>
      <c r="LWU4095" s="34">
        <v>-4</v>
      </c>
      <c r="LWV4095" s="34">
        <v>-5</v>
      </c>
      <c r="LWW4095" s="908"/>
      <c r="LWX4095" s="909"/>
      <c r="LWY4095" s="34">
        <v>-5</v>
      </c>
      <c r="LWZ4095" s="34">
        <v>-4.5</v>
      </c>
      <c r="LXA4095" s="34">
        <v>-4</v>
      </c>
      <c r="LXB4095" s="34">
        <v>-3.5</v>
      </c>
      <c r="LXC4095" s="34">
        <v>-3</v>
      </c>
      <c r="LXD4095" s="34">
        <v>-2.5</v>
      </c>
      <c r="LXE4095" s="34">
        <v>-2</v>
      </c>
      <c r="LXF4095" s="34">
        <v>-1.5</v>
      </c>
      <c r="LXG4095" s="34">
        <v>-1</v>
      </c>
      <c r="LXH4095" s="34">
        <v>-0.5</v>
      </c>
      <c r="LXI4095" s="34">
        <v>0</v>
      </c>
      <c r="LXJ4095" s="34">
        <v>0.5</v>
      </c>
      <c r="LXK4095" s="34">
        <v>1</v>
      </c>
      <c r="LXL4095" s="34">
        <v>1.5</v>
      </c>
      <c r="LXM4095" s="34">
        <v>2</v>
      </c>
      <c r="LXN4095" s="34">
        <v>2.5</v>
      </c>
      <c r="LXO4095" s="34">
        <v>3</v>
      </c>
      <c r="LXP4095" s="34">
        <v>3.5</v>
      </c>
      <c r="LXQ4095" s="34">
        <v>4</v>
      </c>
      <c r="LXR4095" s="34">
        <v>4.5</v>
      </c>
      <c r="LXS4095" s="34">
        <v>5</v>
      </c>
      <c r="LXU4095" s="913"/>
      <c r="LXV4095" s="31">
        <v>1</v>
      </c>
      <c r="LXW4095" s="34">
        <v>0</v>
      </c>
      <c r="LXX4095" s="34">
        <v>-1</v>
      </c>
      <c r="LXY4095" s="34">
        <v>-2</v>
      </c>
      <c r="LXZ4095" s="34">
        <v>-3</v>
      </c>
      <c r="LYA4095" s="34">
        <v>-4</v>
      </c>
      <c r="LYB4095" s="34">
        <v>-5</v>
      </c>
      <c r="LYC4095" s="908"/>
      <c r="LYD4095" s="909"/>
      <c r="LYE4095" s="34">
        <v>-5</v>
      </c>
      <c r="LYF4095" s="34">
        <v>-4.5</v>
      </c>
      <c r="LYG4095" s="34">
        <v>-4</v>
      </c>
      <c r="LYH4095" s="34">
        <v>-3.5</v>
      </c>
      <c r="LYI4095" s="34">
        <v>-3</v>
      </c>
      <c r="LYJ4095" s="34">
        <v>-2.5</v>
      </c>
      <c r="LYK4095" s="34">
        <v>-2</v>
      </c>
      <c r="LYL4095" s="34">
        <v>-1.5</v>
      </c>
      <c r="LYM4095" s="34">
        <v>-1</v>
      </c>
      <c r="LYN4095" s="34">
        <v>-0.5</v>
      </c>
      <c r="LYO4095" s="34">
        <v>0</v>
      </c>
      <c r="LYP4095" s="34">
        <v>0.5</v>
      </c>
      <c r="LYQ4095" s="34">
        <v>1</v>
      </c>
      <c r="LYR4095" s="34">
        <v>1.5</v>
      </c>
      <c r="LYS4095" s="34">
        <v>2</v>
      </c>
      <c r="LYT4095" s="34">
        <v>2.5</v>
      </c>
      <c r="LYU4095" s="34">
        <v>3</v>
      </c>
      <c r="LYV4095" s="34">
        <v>3.5</v>
      </c>
      <c r="LYW4095" s="34">
        <v>4</v>
      </c>
      <c r="LYX4095" s="34">
        <v>4.5</v>
      </c>
      <c r="LYY4095" s="34">
        <v>5</v>
      </c>
      <c r="LZA4095" s="913"/>
      <c r="LZB4095" s="31">
        <v>1</v>
      </c>
      <c r="LZC4095" s="34">
        <v>0</v>
      </c>
      <c r="LZD4095" s="34">
        <v>-1</v>
      </c>
      <c r="LZE4095" s="34">
        <v>-2</v>
      </c>
      <c r="LZF4095" s="34">
        <v>-3</v>
      </c>
      <c r="LZG4095" s="34">
        <v>-4</v>
      </c>
      <c r="LZH4095" s="34">
        <v>-5</v>
      </c>
      <c r="LZI4095" s="908"/>
      <c r="LZJ4095" s="909"/>
      <c r="LZK4095" s="34">
        <v>-5</v>
      </c>
      <c r="LZL4095" s="34">
        <v>-4.5</v>
      </c>
      <c r="LZM4095" s="34">
        <v>-4</v>
      </c>
      <c r="LZN4095" s="34">
        <v>-3.5</v>
      </c>
      <c r="LZO4095" s="34">
        <v>-3</v>
      </c>
      <c r="LZP4095" s="34">
        <v>-2.5</v>
      </c>
      <c r="LZQ4095" s="34">
        <v>-2</v>
      </c>
      <c r="LZR4095" s="34">
        <v>-1.5</v>
      </c>
      <c r="LZS4095" s="34">
        <v>-1</v>
      </c>
      <c r="LZT4095" s="34">
        <v>-0.5</v>
      </c>
      <c r="LZU4095" s="34">
        <v>0</v>
      </c>
      <c r="LZV4095" s="34">
        <v>0.5</v>
      </c>
      <c r="LZW4095" s="34">
        <v>1</v>
      </c>
      <c r="LZX4095" s="34">
        <v>1.5</v>
      </c>
      <c r="LZY4095" s="34">
        <v>2</v>
      </c>
      <c r="LZZ4095" s="34">
        <v>2.5</v>
      </c>
      <c r="MAA4095" s="34">
        <v>3</v>
      </c>
      <c r="MAB4095" s="34">
        <v>3.5</v>
      </c>
      <c r="MAC4095" s="34">
        <v>4</v>
      </c>
      <c r="MAD4095" s="34">
        <v>4.5</v>
      </c>
      <c r="MAE4095" s="34">
        <v>5</v>
      </c>
      <c r="MAG4095" s="913"/>
      <c r="MAH4095" s="31">
        <v>1</v>
      </c>
      <c r="MAI4095" s="34">
        <v>0</v>
      </c>
      <c r="MAJ4095" s="34">
        <v>-1</v>
      </c>
      <c r="MAK4095" s="34">
        <v>-2</v>
      </c>
      <c r="MAL4095" s="34">
        <v>-3</v>
      </c>
      <c r="MAM4095" s="34">
        <v>-4</v>
      </c>
      <c r="MAN4095" s="34">
        <v>-5</v>
      </c>
      <c r="MAO4095" s="908"/>
      <c r="MAP4095" s="909"/>
      <c r="MAQ4095" s="34">
        <v>-5</v>
      </c>
      <c r="MAR4095" s="34">
        <v>-4.5</v>
      </c>
      <c r="MAS4095" s="34">
        <v>-4</v>
      </c>
      <c r="MAT4095" s="34">
        <v>-3.5</v>
      </c>
      <c r="MAU4095" s="34">
        <v>-3</v>
      </c>
      <c r="MAV4095" s="34">
        <v>-2.5</v>
      </c>
      <c r="MAW4095" s="34">
        <v>-2</v>
      </c>
      <c r="MAX4095" s="34">
        <v>-1.5</v>
      </c>
      <c r="MAY4095" s="34">
        <v>-1</v>
      </c>
      <c r="MAZ4095" s="34">
        <v>-0.5</v>
      </c>
      <c r="MBA4095" s="34">
        <v>0</v>
      </c>
      <c r="MBB4095" s="34">
        <v>0.5</v>
      </c>
      <c r="MBC4095" s="34">
        <v>1</v>
      </c>
      <c r="MBD4095" s="34">
        <v>1.5</v>
      </c>
      <c r="MBE4095" s="34">
        <v>2</v>
      </c>
      <c r="MBF4095" s="34">
        <v>2.5</v>
      </c>
      <c r="MBG4095" s="34">
        <v>3</v>
      </c>
      <c r="MBH4095" s="34">
        <v>3.5</v>
      </c>
      <c r="MBI4095" s="34">
        <v>4</v>
      </c>
      <c r="MBJ4095" s="34">
        <v>4.5</v>
      </c>
      <c r="MBK4095" s="34">
        <v>5</v>
      </c>
      <c r="MBM4095" s="913"/>
      <c r="MBN4095" s="31">
        <v>1</v>
      </c>
      <c r="MBO4095" s="34">
        <v>0</v>
      </c>
      <c r="MBP4095" s="34">
        <v>-1</v>
      </c>
      <c r="MBQ4095" s="34">
        <v>-2</v>
      </c>
      <c r="MBR4095" s="34">
        <v>-3</v>
      </c>
      <c r="MBS4095" s="34">
        <v>-4</v>
      </c>
      <c r="MBT4095" s="34">
        <v>-5</v>
      </c>
      <c r="MBU4095" s="908"/>
      <c r="MBV4095" s="909"/>
      <c r="MBW4095" s="34">
        <v>-5</v>
      </c>
      <c r="MBX4095" s="34">
        <v>-4.5</v>
      </c>
      <c r="MBY4095" s="34">
        <v>-4</v>
      </c>
      <c r="MBZ4095" s="34">
        <v>-3.5</v>
      </c>
      <c r="MCA4095" s="34">
        <v>-3</v>
      </c>
      <c r="MCB4095" s="34">
        <v>-2.5</v>
      </c>
      <c r="MCC4095" s="34">
        <v>-2</v>
      </c>
      <c r="MCD4095" s="34">
        <v>-1.5</v>
      </c>
      <c r="MCE4095" s="34">
        <v>-1</v>
      </c>
      <c r="MCF4095" s="34">
        <v>-0.5</v>
      </c>
      <c r="MCG4095" s="34">
        <v>0</v>
      </c>
      <c r="MCH4095" s="34">
        <v>0.5</v>
      </c>
      <c r="MCI4095" s="34">
        <v>1</v>
      </c>
      <c r="MCJ4095" s="34">
        <v>1.5</v>
      </c>
      <c r="MCK4095" s="34">
        <v>2</v>
      </c>
      <c r="MCL4095" s="34">
        <v>2.5</v>
      </c>
      <c r="MCM4095" s="34">
        <v>3</v>
      </c>
      <c r="MCN4095" s="34">
        <v>3.5</v>
      </c>
      <c r="MCO4095" s="34">
        <v>4</v>
      </c>
      <c r="MCP4095" s="34">
        <v>4.5</v>
      </c>
      <c r="MCQ4095" s="34">
        <v>5</v>
      </c>
      <c r="MCS4095" s="913"/>
      <c r="MCT4095" s="31">
        <v>1</v>
      </c>
      <c r="MCU4095" s="34">
        <v>0</v>
      </c>
      <c r="MCV4095" s="34">
        <v>-1</v>
      </c>
      <c r="MCW4095" s="34">
        <v>-2</v>
      </c>
      <c r="MCX4095" s="34">
        <v>-3</v>
      </c>
      <c r="MCY4095" s="34">
        <v>-4</v>
      </c>
      <c r="MCZ4095" s="34">
        <v>-5</v>
      </c>
      <c r="MDA4095" s="908"/>
      <c r="MDB4095" s="909"/>
      <c r="MDC4095" s="34">
        <v>-5</v>
      </c>
      <c r="MDD4095" s="34">
        <v>-4.5</v>
      </c>
      <c r="MDE4095" s="34">
        <v>-4</v>
      </c>
      <c r="MDF4095" s="34">
        <v>-3.5</v>
      </c>
      <c r="MDG4095" s="34">
        <v>-3</v>
      </c>
      <c r="MDH4095" s="34">
        <v>-2.5</v>
      </c>
      <c r="MDI4095" s="34">
        <v>-2</v>
      </c>
      <c r="MDJ4095" s="34">
        <v>-1.5</v>
      </c>
      <c r="MDK4095" s="34">
        <v>-1</v>
      </c>
      <c r="MDL4095" s="34">
        <v>-0.5</v>
      </c>
      <c r="MDM4095" s="34">
        <v>0</v>
      </c>
      <c r="MDN4095" s="34">
        <v>0.5</v>
      </c>
      <c r="MDO4095" s="34">
        <v>1</v>
      </c>
      <c r="MDP4095" s="34">
        <v>1.5</v>
      </c>
      <c r="MDQ4095" s="34">
        <v>2</v>
      </c>
      <c r="MDR4095" s="34">
        <v>2.5</v>
      </c>
      <c r="MDS4095" s="34">
        <v>3</v>
      </c>
      <c r="MDT4095" s="34">
        <v>3.5</v>
      </c>
      <c r="MDU4095" s="34">
        <v>4</v>
      </c>
      <c r="MDV4095" s="34">
        <v>4.5</v>
      </c>
      <c r="MDW4095" s="34">
        <v>5</v>
      </c>
      <c r="MDY4095" s="913"/>
      <c r="MDZ4095" s="31">
        <v>1</v>
      </c>
      <c r="MEA4095" s="34">
        <v>0</v>
      </c>
      <c r="MEB4095" s="34">
        <v>-1</v>
      </c>
      <c r="MEC4095" s="34">
        <v>-2</v>
      </c>
      <c r="MED4095" s="34">
        <v>-3</v>
      </c>
      <c r="MEE4095" s="34">
        <v>-4</v>
      </c>
      <c r="MEF4095" s="34">
        <v>-5</v>
      </c>
      <c r="MEG4095" s="908"/>
      <c r="MEH4095" s="909"/>
      <c r="MEI4095" s="34">
        <v>-5</v>
      </c>
      <c r="MEJ4095" s="34">
        <v>-4.5</v>
      </c>
      <c r="MEK4095" s="34">
        <v>-4</v>
      </c>
      <c r="MEL4095" s="34">
        <v>-3.5</v>
      </c>
      <c r="MEM4095" s="34">
        <v>-3</v>
      </c>
      <c r="MEN4095" s="34">
        <v>-2.5</v>
      </c>
      <c r="MEO4095" s="34">
        <v>-2</v>
      </c>
      <c r="MEP4095" s="34">
        <v>-1.5</v>
      </c>
      <c r="MEQ4095" s="34">
        <v>-1</v>
      </c>
      <c r="MER4095" s="34">
        <v>-0.5</v>
      </c>
      <c r="MES4095" s="34">
        <v>0</v>
      </c>
      <c r="MET4095" s="34">
        <v>0.5</v>
      </c>
      <c r="MEU4095" s="34">
        <v>1</v>
      </c>
      <c r="MEV4095" s="34">
        <v>1.5</v>
      </c>
      <c r="MEW4095" s="34">
        <v>2</v>
      </c>
      <c r="MEX4095" s="34">
        <v>2.5</v>
      </c>
      <c r="MEY4095" s="34">
        <v>3</v>
      </c>
      <c r="MEZ4095" s="34">
        <v>3.5</v>
      </c>
      <c r="MFA4095" s="34">
        <v>4</v>
      </c>
      <c r="MFB4095" s="34">
        <v>4.5</v>
      </c>
      <c r="MFC4095" s="34">
        <v>5</v>
      </c>
      <c r="MFE4095" s="913"/>
      <c r="MFF4095" s="31">
        <v>1</v>
      </c>
      <c r="MFG4095" s="34">
        <v>0</v>
      </c>
      <c r="MFH4095" s="34">
        <v>-1</v>
      </c>
      <c r="MFI4095" s="34">
        <v>-2</v>
      </c>
      <c r="MFJ4095" s="34">
        <v>-3</v>
      </c>
      <c r="MFK4095" s="34">
        <v>-4</v>
      </c>
      <c r="MFL4095" s="34">
        <v>-5</v>
      </c>
      <c r="MFM4095" s="908"/>
      <c r="MFN4095" s="909"/>
      <c r="MFO4095" s="34">
        <v>-5</v>
      </c>
      <c r="MFP4095" s="34">
        <v>-4.5</v>
      </c>
      <c r="MFQ4095" s="34">
        <v>-4</v>
      </c>
      <c r="MFR4095" s="34">
        <v>-3.5</v>
      </c>
      <c r="MFS4095" s="34">
        <v>-3</v>
      </c>
      <c r="MFT4095" s="34">
        <v>-2.5</v>
      </c>
      <c r="MFU4095" s="34">
        <v>-2</v>
      </c>
      <c r="MFV4095" s="34">
        <v>-1.5</v>
      </c>
      <c r="MFW4095" s="34">
        <v>-1</v>
      </c>
      <c r="MFX4095" s="34">
        <v>-0.5</v>
      </c>
      <c r="MFY4095" s="34">
        <v>0</v>
      </c>
      <c r="MFZ4095" s="34">
        <v>0.5</v>
      </c>
      <c r="MGA4095" s="34">
        <v>1</v>
      </c>
      <c r="MGB4095" s="34">
        <v>1.5</v>
      </c>
      <c r="MGC4095" s="34">
        <v>2</v>
      </c>
      <c r="MGD4095" s="34">
        <v>2.5</v>
      </c>
      <c r="MGE4095" s="34">
        <v>3</v>
      </c>
      <c r="MGF4095" s="34">
        <v>3.5</v>
      </c>
      <c r="MGG4095" s="34">
        <v>4</v>
      </c>
      <c r="MGH4095" s="34">
        <v>4.5</v>
      </c>
      <c r="MGI4095" s="34">
        <v>5</v>
      </c>
      <c r="MGK4095" s="913"/>
      <c r="MGL4095" s="31">
        <v>1</v>
      </c>
      <c r="MGM4095" s="34">
        <v>0</v>
      </c>
      <c r="MGN4095" s="34">
        <v>-1</v>
      </c>
      <c r="MGO4095" s="34">
        <v>-2</v>
      </c>
      <c r="MGP4095" s="34">
        <v>-3</v>
      </c>
      <c r="MGQ4095" s="34">
        <v>-4</v>
      </c>
      <c r="MGR4095" s="34">
        <v>-5</v>
      </c>
      <c r="MGS4095" s="908"/>
      <c r="MGT4095" s="909"/>
      <c r="MGU4095" s="34">
        <v>-5</v>
      </c>
      <c r="MGV4095" s="34">
        <v>-4.5</v>
      </c>
      <c r="MGW4095" s="34">
        <v>-4</v>
      </c>
      <c r="MGX4095" s="34">
        <v>-3.5</v>
      </c>
      <c r="MGY4095" s="34">
        <v>-3</v>
      </c>
      <c r="MGZ4095" s="34">
        <v>-2.5</v>
      </c>
      <c r="MHA4095" s="34">
        <v>-2</v>
      </c>
      <c r="MHB4095" s="34">
        <v>-1.5</v>
      </c>
      <c r="MHC4095" s="34">
        <v>-1</v>
      </c>
      <c r="MHD4095" s="34">
        <v>-0.5</v>
      </c>
      <c r="MHE4095" s="34">
        <v>0</v>
      </c>
      <c r="MHF4095" s="34">
        <v>0.5</v>
      </c>
      <c r="MHG4095" s="34">
        <v>1</v>
      </c>
      <c r="MHH4095" s="34">
        <v>1.5</v>
      </c>
      <c r="MHI4095" s="34">
        <v>2</v>
      </c>
      <c r="MHJ4095" s="34">
        <v>2.5</v>
      </c>
      <c r="MHK4095" s="34">
        <v>3</v>
      </c>
      <c r="MHL4095" s="34">
        <v>3.5</v>
      </c>
      <c r="MHM4095" s="34">
        <v>4</v>
      </c>
      <c r="MHN4095" s="34">
        <v>4.5</v>
      </c>
      <c r="MHO4095" s="34">
        <v>5</v>
      </c>
      <c r="MHQ4095" s="913"/>
      <c r="MHR4095" s="31">
        <v>1</v>
      </c>
      <c r="MHS4095" s="34">
        <v>0</v>
      </c>
      <c r="MHT4095" s="34">
        <v>-1</v>
      </c>
      <c r="MHU4095" s="34">
        <v>-2</v>
      </c>
      <c r="MHV4095" s="34">
        <v>-3</v>
      </c>
      <c r="MHW4095" s="34">
        <v>-4</v>
      </c>
      <c r="MHX4095" s="34">
        <v>-5</v>
      </c>
      <c r="MHY4095" s="908"/>
      <c r="MHZ4095" s="909"/>
      <c r="MIA4095" s="34">
        <v>-5</v>
      </c>
      <c r="MIB4095" s="34">
        <v>-4.5</v>
      </c>
      <c r="MIC4095" s="34">
        <v>-4</v>
      </c>
      <c r="MID4095" s="34">
        <v>-3.5</v>
      </c>
      <c r="MIE4095" s="34">
        <v>-3</v>
      </c>
      <c r="MIF4095" s="34">
        <v>-2.5</v>
      </c>
      <c r="MIG4095" s="34">
        <v>-2</v>
      </c>
      <c r="MIH4095" s="34">
        <v>-1.5</v>
      </c>
      <c r="MII4095" s="34">
        <v>-1</v>
      </c>
      <c r="MIJ4095" s="34">
        <v>-0.5</v>
      </c>
      <c r="MIK4095" s="34">
        <v>0</v>
      </c>
      <c r="MIL4095" s="34">
        <v>0.5</v>
      </c>
      <c r="MIM4095" s="34">
        <v>1</v>
      </c>
      <c r="MIN4095" s="34">
        <v>1.5</v>
      </c>
      <c r="MIO4095" s="34">
        <v>2</v>
      </c>
      <c r="MIP4095" s="34">
        <v>2.5</v>
      </c>
      <c r="MIQ4095" s="34">
        <v>3</v>
      </c>
      <c r="MIR4095" s="34">
        <v>3.5</v>
      </c>
      <c r="MIS4095" s="34">
        <v>4</v>
      </c>
      <c r="MIT4095" s="34">
        <v>4.5</v>
      </c>
      <c r="MIU4095" s="34">
        <v>5</v>
      </c>
      <c r="MIW4095" s="913"/>
      <c r="MIX4095" s="31">
        <v>1</v>
      </c>
      <c r="MIY4095" s="34">
        <v>0</v>
      </c>
      <c r="MIZ4095" s="34">
        <v>-1</v>
      </c>
      <c r="MJA4095" s="34">
        <v>-2</v>
      </c>
      <c r="MJB4095" s="34">
        <v>-3</v>
      </c>
      <c r="MJC4095" s="34">
        <v>-4</v>
      </c>
      <c r="MJD4095" s="34">
        <v>-5</v>
      </c>
      <c r="MJE4095" s="908"/>
      <c r="MJF4095" s="909"/>
      <c r="MJG4095" s="34">
        <v>-5</v>
      </c>
      <c r="MJH4095" s="34">
        <v>-4.5</v>
      </c>
      <c r="MJI4095" s="34">
        <v>-4</v>
      </c>
      <c r="MJJ4095" s="34">
        <v>-3.5</v>
      </c>
      <c r="MJK4095" s="34">
        <v>-3</v>
      </c>
      <c r="MJL4095" s="34">
        <v>-2.5</v>
      </c>
      <c r="MJM4095" s="34">
        <v>-2</v>
      </c>
      <c r="MJN4095" s="34">
        <v>-1.5</v>
      </c>
      <c r="MJO4095" s="34">
        <v>-1</v>
      </c>
      <c r="MJP4095" s="34">
        <v>-0.5</v>
      </c>
      <c r="MJQ4095" s="34">
        <v>0</v>
      </c>
      <c r="MJR4095" s="34">
        <v>0.5</v>
      </c>
      <c r="MJS4095" s="34">
        <v>1</v>
      </c>
      <c r="MJT4095" s="34">
        <v>1.5</v>
      </c>
      <c r="MJU4095" s="34">
        <v>2</v>
      </c>
      <c r="MJV4095" s="34">
        <v>2.5</v>
      </c>
      <c r="MJW4095" s="34">
        <v>3</v>
      </c>
      <c r="MJX4095" s="34">
        <v>3.5</v>
      </c>
      <c r="MJY4095" s="34">
        <v>4</v>
      </c>
      <c r="MJZ4095" s="34">
        <v>4.5</v>
      </c>
      <c r="MKA4095" s="34">
        <v>5</v>
      </c>
      <c r="MKC4095" s="913"/>
      <c r="MKD4095" s="31">
        <v>1</v>
      </c>
      <c r="MKE4095" s="34">
        <v>0</v>
      </c>
      <c r="MKF4095" s="34">
        <v>-1</v>
      </c>
      <c r="MKG4095" s="34">
        <v>-2</v>
      </c>
      <c r="MKH4095" s="34">
        <v>-3</v>
      </c>
      <c r="MKI4095" s="34">
        <v>-4</v>
      </c>
      <c r="MKJ4095" s="34">
        <v>-5</v>
      </c>
      <c r="MKK4095" s="908"/>
      <c r="MKL4095" s="909"/>
      <c r="MKM4095" s="34">
        <v>-5</v>
      </c>
      <c r="MKN4095" s="34">
        <v>-4.5</v>
      </c>
      <c r="MKO4095" s="34">
        <v>-4</v>
      </c>
      <c r="MKP4095" s="34">
        <v>-3.5</v>
      </c>
      <c r="MKQ4095" s="34">
        <v>-3</v>
      </c>
      <c r="MKR4095" s="34">
        <v>-2.5</v>
      </c>
      <c r="MKS4095" s="34">
        <v>-2</v>
      </c>
      <c r="MKT4095" s="34">
        <v>-1.5</v>
      </c>
      <c r="MKU4095" s="34">
        <v>-1</v>
      </c>
      <c r="MKV4095" s="34">
        <v>-0.5</v>
      </c>
      <c r="MKW4095" s="34">
        <v>0</v>
      </c>
      <c r="MKX4095" s="34">
        <v>0.5</v>
      </c>
      <c r="MKY4095" s="34">
        <v>1</v>
      </c>
      <c r="MKZ4095" s="34">
        <v>1.5</v>
      </c>
      <c r="MLA4095" s="34">
        <v>2</v>
      </c>
      <c r="MLB4095" s="34">
        <v>2.5</v>
      </c>
      <c r="MLC4095" s="34">
        <v>3</v>
      </c>
      <c r="MLD4095" s="34">
        <v>3.5</v>
      </c>
      <c r="MLE4095" s="34">
        <v>4</v>
      </c>
      <c r="MLF4095" s="34">
        <v>4.5</v>
      </c>
      <c r="MLG4095" s="34">
        <v>5</v>
      </c>
      <c r="MLI4095" s="913"/>
      <c r="MLJ4095" s="31">
        <v>1</v>
      </c>
      <c r="MLK4095" s="34">
        <v>0</v>
      </c>
      <c r="MLL4095" s="34">
        <v>-1</v>
      </c>
      <c r="MLM4095" s="34">
        <v>-2</v>
      </c>
      <c r="MLN4095" s="34">
        <v>-3</v>
      </c>
      <c r="MLO4095" s="34">
        <v>-4</v>
      </c>
      <c r="MLP4095" s="34">
        <v>-5</v>
      </c>
      <c r="MLQ4095" s="908"/>
      <c r="MLR4095" s="909"/>
      <c r="MLS4095" s="34">
        <v>-5</v>
      </c>
      <c r="MLT4095" s="34">
        <v>-4.5</v>
      </c>
      <c r="MLU4095" s="34">
        <v>-4</v>
      </c>
      <c r="MLV4095" s="34">
        <v>-3.5</v>
      </c>
      <c r="MLW4095" s="34">
        <v>-3</v>
      </c>
      <c r="MLX4095" s="34">
        <v>-2.5</v>
      </c>
      <c r="MLY4095" s="34">
        <v>-2</v>
      </c>
      <c r="MLZ4095" s="34">
        <v>-1.5</v>
      </c>
      <c r="MMA4095" s="34">
        <v>-1</v>
      </c>
      <c r="MMB4095" s="34">
        <v>-0.5</v>
      </c>
      <c r="MMC4095" s="34">
        <v>0</v>
      </c>
      <c r="MMD4095" s="34">
        <v>0.5</v>
      </c>
      <c r="MME4095" s="34">
        <v>1</v>
      </c>
      <c r="MMF4095" s="34">
        <v>1.5</v>
      </c>
      <c r="MMG4095" s="34">
        <v>2</v>
      </c>
      <c r="MMH4095" s="34">
        <v>2.5</v>
      </c>
      <c r="MMI4095" s="34">
        <v>3</v>
      </c>
      <c r="MMJ4095" s="34">
        <v>3.5</v>
      </c>
      <c r="MMK4095" s="34">
        <v>4</v>
      </c>
      <c r="MML4095" s="34">
        <v>4.5</v>
      </c>
      <c r="MMM4095" s="34">
        <v>5</v>
      </c>
      <c r="MMO4095" s="913"/>
      <c r="MMP4095" s="31">
        <v>1</v>
      </c>
      <c r="MMQ4095" s="34">
        <v>0</v>
      </c>
      <c r="MMR4095" s="34">
        <v>-1</v>
      </c>
      <c r="MMS4095" s="34">
        <v>-2</v>
      </c>
      <c r="MMT4095" s="34">
        <v>-3</v>
      </c>
      <c r="MMU4095" s="34">
        <v>-4</v>
      </c>
      <c r="MMV4095" s="34">
        <v>-5</v>
      </c>
      <c r="MMW4095" s="908"/>
      <c r="MMX4095" s="909"/>
      <c r="MMY4095" s="34">
        <v>-5</v>
      </c>
      <c r="MMZ4095" s="34">
        <v>-4.5</v>
      </c>
      <c r="MNA4095" s="34">
        <v>-4</v>
      </c>
      <c r="MNB4095" s="34">
        <v>-3.5</v>
      </c>
      <c r="MNC4095" s="34">
        <v>-3</v>
      </c>
      <c r="MND4095" s="34">
        <v>-2.5</v>
      </c>
      <c r="MNE4095" s="34">
        <v>-2</v>
      </c>
      <c r="MNF4095" s="34">
        <v>-1.5</v>
      </c>
      <c r="MNG4095" s="34">
        <v>-1</v>
      </c>
      <c r="MNH4095" s="34">
        <v>-0.5</v>
      </c>
      <c r="MNI4095" s="34">
        <v>0</v>
      </c>
      <c r="MNJ4095" s="34">
        <v>0.5</v>
      </c>
      <c r="MNK4095" s="34">
        <v>1</v>
      </c>
      <c r="MNL4095" s="34">
        <v>1.5</v>
      </c>
      <c r="MNM4095" s="34">
        <v>2</v>
      </c>
      <c r="MNN4095" s="34">
        <v>2.5</v>
      </c>
      <c r="MNO4095" s="34">
        <v>3</v>
      </c>
      <c r="MNP4095" s="34">
        <v>3.5</v>
      </c>
      <c r="MNQ4095" s="34">
        <v>4</v>
      </c>
      <c r="MNR4095" s="34">
        <v>4.5</v>
      </c>
      <c r="MNS4095" s="34">
        <v>5</v>
      </c>
      <c r="MNU4095" s="913"/>
      <c r="MNV4095" s="31">
        <v>1</v>
      </c>
      <c r="MNW4095" s="34">
        <v>0</v>
      </c>
      <c r="MNX4095" s="34">
        <v>-1</v>
      </c>
      <c r="MNY4095" s="34">
        <v>-2</v>
      </c>
      <c r="MNZ4095" s="34">
        <v>-3</v>
      </c>
      <c r="MOA4095" s="34">
        <v>-4</v>
      </c>
      <c r="MOB4095" s="34">
        <v>-5</v>
      </c>
      <c r="MOC4095" s="908"/>
      <c r="MOD4095" s="909"/>
      <c r="MOE4095" s="34">
        <v>-5</v>
      </c>
      <c r="MOF4095" s="34">
        <v>-4.5</v>
      </c>
      <c r="MOG4095" s="34">
        <v>-4</v>
      </c>
      <c r="MOH4095" s="34">
        <v>-3.5</v>
      </c>
      <c r="MOI4095" s="34">
        <v>-3</v>
      </c>
      <c r="MOJ4095" s="34">
        <v>-2.5</v>
      </c>
      <c r="MOK4095" s="34">
        <v>-2</v>
      </c>
      <c r="MOL4095" s="34">
        <v>-1.5</v>
      </c>
      <c r="MOM4095" s="34">
        <v>-1</v>
      </c>
      <c r="MON4095" s="34">
        <v>-0.5</v>
      </c>
      <c r="MOO4095" s="34">
        <v>0</v>
      </c>
      <c r="MOP4095" s="34">
        <v>0.5</v>
      </c>
      <c r="MOQ4095" s="34">
        <v>1</v>
      </c>
      <c r="MOR4095" s="34">
        <v>1.5</v>
      </c>
      <c r="MOS4095" s="34">
        <v>2</v>
      </c>
      <c r="MOT4095" s="34">
        <v>2.5</v>
      </c>
      <c r="MOU4095" s="34">
        <v>3</v>
      </c>
      <c r="MOV4095" s="34">
        <v>3.5</v>
      </c>
      <c r="MOW4095" s="34">
        <v>4</v>
      </c>
      <c r="MOX4095" s="34">
        <v>4.5</v>
      </c>
      <c r="MOY4095" s="34">
        <v>5</v>
      </c>
      <c r="MPA4095" s="913"/>
      <c r="MPB4095" s="31">
        <v>1</v>
      </c>
      <c r="MPC4095" s="34">
        <v>0</v>
      </c>
      <c r="MPD4095" s="34">
        <v>-1</v>
      </c>
      <c r="MPE4095" s="34">
        <v>-2</v>
      </c>
      <c r="MPF4095" s="34">
        <v>-3</v>
      </c>
      <c r="MPG4095" s="34">
        <v>-4</v>
      </c>
      <c r="MPH4095" s="34">
        <v>-5</v>
      </c>
      <c r="MPI4095" s="908"/>
      <c r="MPJ4095" s="909"/>
      <c r="MPK4095" s="34">
        <v>-5</v>
      </c>
      <c r="MPL4095" s="34">
        <v>-4.5</v>
      </c>
      <c r="MPM4095" s="34">
        <v>-4</v>
      </c>
      <c r="MPN4095" s="34">
        <v>-3.5</v>
      </c>
      <c r="MPO4095" s="34">
        <v>-3</v>
      </c>
      <c r="MPP4095" s="34">
        <v>-2.5</v>
      </c>
      <c r="MPQ4095" s="34">
        <v>-2</v>
      </c>
      <c r="MPR4095" s="34">
        <v>-1.5</v>
      </c>
      <c r="MPS4095" s="34">
        <v>-1</v>
      </c>
      <c r="MPT4095" s="34">
        <v>-0.5</v>
      </c>
      <c r="MPU4095" s="34">
        <v>0</v>
      </c>
      <c r="MPV4095" s="34">
        <v>0.5</v>
      </c>
      <c r="MPW4095" s="34">
        <v>1</v>
      </c>
      <c r="MPX4095" s="34">
        <v>1.5</v>
      </c>
      <c r="MPY4095" s="34">
        <v>2</v>
      </c>
      <c r="MPZ4095" s="34">
        <v>2.5</v>
      </c>
      <c r="MQA4095" s="34">
        <v>3</v>
      </c>
      <c r="MQB4095" s="34">
        <v>3.5</v>
      </c>
      <c r="MQC4095" s="34">
        <v>4</v>
      </c>
      <c r="MQD4095" s="34">
        <v>4.5</v>
      </c>
      <c r="MQE4095" s="34">
        <v>5</v>
      </c>
      <c r="MQG4095" s="913"/>
      <c r="MQH4095" s="31">
        <v>1</v>
      </c>
      <c r="MQI4095" s="34">
        <v>0</v>
      </c>
      <c r="MQJ4095" s="34">
        <v>-1</v>
      </c>
      <c r="MQK4095" s="34">
        <v>-2</v>
      </c>
      <c r="MQL4095" s="34">
        <v>-3</v>
      </c>
      <c r="MQM4095" s="34">
        <v>-4</v>
      </c>
      <c r="MQN4095" s="34">
        <v>-5</v>
      </c>
      <c r="MQO4095" s="908"/>
      <c r="MQP4095" s="909"/>
      <c r="MQQ4095" s="34">
        <v>-5</v>
      </c>
      <c r="MQR4095" s="34">
        <v>-4.5</v>
      </c>
      <c r="MQS4095" s="34">
        <v>-4</v>
      </c>
      <c r="MQT4095" s="34">
        <v>-3.5</v>
      </c>
      <c r="MQU4095" s="34">
        <v>-3</v>
      </c>
      <c r="MQV4095" s="34">
        <v>-2.5</v>
      </c>
      <c r="MQW4095" s="34">
        <v>-2</v>
      </c>
      <c r="MQX4095" s="34">
        <v>-1.5</v>
      </c>
      <c r="MQY4095" s="34">
        <v>-1</v>
      </c>
      <c r="MQZ4095" s="34">
        <v>-0.5</v>
      </c>
      <c r="MRA4095" s="34">
        <v>0</v>
      </c>
      <c r="MRB4095" s="34">
        <v>0.5</v>
      </c>
      <c r="MRC4095" s="34">
        <v>1</v>
      </c>
      <c r="MRD4095" s="34">
        <v>1.5</v>
      </c>
      <c r="MRE4095" s="34">
        <v>2</v>
      </c>
      <c r="MRF4095" s="34">
        <v>2.5</v>
      </c>
      <c r="MRG4095" s="34">
        <v>3</v>
      </c>
      <c r="MRH4095" s="34">
        <v>3.5</v>
      </c>
      <c r="MRI4095" s="34">
        <v>4</v>
      </c>
      <c r="MRJ4095" s="34">
        <v>4.5</v>
      </c>
      <c r="MRK4095" s="34">
        <v>5</v>
      </c>
      <c r="MRM4095" s="913"/>
      <c r="MRN4095" s="31">
        <v>1</v>
      </c>
      <c r="MRO4095" s="34">
        <v>0</v>
      </c>
      <c r="MRP4095" s="34">
        <v>-1</v>
      </c>
      <c r="MRQ4095" s="34">
        <v>-2</v>
      </c>
      <c r="MRR4095" s="34">
        <v>-3</v>
      </c>
      <c r="MRS4095" s="34">
        <v>-4</v>
      </c>
      <c r="MRT4095" s="34">
        <v>-5</v>
      </c>
      <c r="MRU4095" s="908"/>
      <c r="MRV4095" s="909"/>
      <c r="MRW4095" s="34">
        <v>-5</v>
      </c>
      <c r="MRX4095" s="34">
        <v>-4.5</v>
      </c>
      <c r="MRY4095" s="34">
        <v>-4</v>
      </c>
      <c r="MRZ4095" s="34">
        <v>-3.5</v>
      </c>
      <c r="MSA4095" s="34">
        <v>-3</v>
      </c>
      <c r="MSB4095" s="34">
        <v>-2.5</v>
      </c>
      <c r="MSC4095" s="34">
        <v>-2</v>
      </c>
      <c r="MSD4095" s="34">
        <v>-1.5</v>
      </c>
      <c r="MSE4095" s="34">
        <v>-1</v>
      </c>
      <c r="MSF4095" s="34">
        <v>-0.5</v>
      </c>
      <c r="MSG4095" s="34">
        <v>0</v>
      </c>
      <c r="MSH4095" s="34">
        <v>0.5</v>
      </c>
      <c r="MSI4095" s="34">
        <v>1</v>
      </c>
      <c r="MSJ4095" s="34">
        <v>1.5</v>
      </c>
      <c r="MSK4095" s="34">
        <v>2</v>
      </c>
      <c r="MSL4095" s="34">
        <v>2.5</v>
      </c>
      <c r="MSM4095" s="34">
        <v>3</v>
      </c>
      <c r="MSN4095" s="34">
        <v>3.5</v>
      </c>
      <c r="MSO4095" s="34">
        <v>4</v>
      </c>
      <c r="MSP4095" s="34">
        <v>4.5</v>
      </c>
      <c r="MSQ4095" s="34">
        <v>5</v>
      </c>
      <c r="MSS4095" s="913"/>
      <c r="MST4095" s="31">
        <v>1</v>
      </c>
      <c r="MSU4095" s="34">
        <v>0</v>
      </c>
      <c r="MSV4095" s="34">
        <v>-1</v>
      </c>
      <c r="MSW4095" s="34">
        <v>-2</v>
      </c>
      <c r="MSX4095" s="34">
        <v>-3</v>
      </c>
      <c r="MSY4095" s="34">
        <v>-4</v>
      </c>
      <c r="MSZ4095" s="34">
        <v>-5</v>
      </c>
      <c r="MTA4095" s="908"/>
      <c r="MTB4095" s="909"/>
      <c r="MTC4095" s="34">
        <v>-5</v>
      </c>
      <c r="MTD4095" s="34">
        <v>-4.5</v>
      </c>
      <c r="MTE4095" s="34">
        <v>-4</v>
      </c>
      <c r="MTF4095" s="34">
        <v>-3.5</v>
      </c>
      <c r="MTG4095" s="34">
        <v>-3</v>
      </c>
      <c r="MTH4095" s="34">
        <v>-2.5</v>
      </c>
      <c r="MTI4095" s="34">
        <v>-2</v>
      </c>
      <c r="MTJ4095" s="34">
        <v>-1.5</v>
      </c>
      <c r="MTK4095" s="34">
        <v>-1</v>
      </c>
      <c r="MTL4095" s="34">
        <v>-0.5</v>
      </c>
      <c r="MTM4095" s="34">
        <v>0</v>
      </c>
      <c r="MTN4095" s="34">
        <v>0.5</v>
      </c>
      <c r="MTO4095" s="34">
        <v>1</v>
      </c>
      <c r="MTP4095" s="34">
        <v>1.5</v>
      </c>
      <c r="MTQ4095" s="34">
        <v>2</v>
      </c>
      <c r="MTR4095" s="34">
        <v>2.5</v>
      </c>
      <c r="MTS4095" s="34">
        <v>3</v>
      </c>
      <c r="MTT4095" s="34">
        <v>3.5</v>
      </c>
      <c r="MTU4095" s="34">
        <v>4</v>
      </c>
      <c r="MTV4095" s="34">
        <v>4.5</v>
      </c>
      <c r="MTW4095" s="34">
        <v>5</v>
      </c>
      <c r="MTY4095" s="913"/>
      <c r="MTZ4095" s="31">
        <v>1</v>
      </c>
      <c r="MUA4095" s="34">
        <v>0</v>
      </c>
      <c r="MUB4095" s="34">
        <v>-1</v>
      </c>
      <c r="MUC4095" s="34">
        <v>-2</v>
      </c>
      <c r="MUD4095" s="34">
        <v>-3</v>
      </c>
      <c r="MUE4095" s="34">
        <v>-4</v>
      </c>
      <c r="MUF4095" s="34">
        <v>-5</v>
      </c>
      <c r="MUG4095" s="908"/>
      <c r="MUH4095" s="909"/>
      <c r="MUI4095" s="34">
        <v>-5</v>
      </c>
      <c r="MUJ4095" s="34">
        <v>-4.5</v>
      </c>
      <c r="MUK4095" s="34">
        <v>-4</v>
      </c>
      <c r="MUL4095" s="34">
        <v>-3.5</v>
      </c>
      <c r="MUM4095" s="34">
        <v>-3</v>
      </c>
      <c r="MUN4095" s="34">
        <v>-2.5</v>
      </c>
      <c r="MUO4095" s="34">
        <v>-2</v>
      </c>
      <c r="MUP4095" s="34">
        <v>-1.5</v>
      </c>
      <c r="MUQ4095" s="34">
        <v>-1</v>
      </c>
      <c r="MUR4095" s="34">
        <v>-0.5</v>
      </c>
      <c r="MUS4095" s="34">
        <v>0</v>
      </c>
      <c r="MUT4095" s="34">
        <v>0.5</v>
      </c>
      <c r="MUU4095" s="34">
        <v>1</v>
      </c>
      <c r="MUV4095" s="34">
        <v>1.5</v>
      </c>
      <c r="MUW4095" s="34">
        <v>2</v>
      </c>
      <c r="MUX4095" s="34">
        <v>2.5</v>
      </c>
      <c r="MUY4095" s="34">
        <v>3</v>
      </c>
      <c r="MUZ4095" s="34">
        <v>3.5</v>
      </c>
      <c r="MVA4095" s="34">
        <v>4</v>
      </c>
      <c r="MVB4095" s="34">
        <v>4.5</v>
      </c>
      <c r="MVC4095" s="34">
        <v>5</v>
      </c>
      <c r="MVE4095" s="913"/>
      <c r="MVF4095" s="31">
        <v>1</v>
      </c>
      <c r="MVG4095" s="34">
        <v>0</v>
      </c>
      <c r="MVH4095" s="34">
        <v>-1</v>
      </c>
      <c r="MVI4095" s="34">
        <v>-2</v>
      </c>
      <c r="MVJ4095" s="34">
        <v>-3</v>
      </c>
      <c r="MVK4095" s="34">
        <v>-4</v>
      </c>
      <c r="MVL4095" s="34">
        <v>-5</v>
      </c>
      <c r="MVM4095" s="908"/>
      <c r="MVN4095" s="909"/>
      <c r="MVO4095" s="34">
        <v>-5</v>
      </c>
      <c r="MVP4095" s="34">
        <v>-4.5</v>
      </c>
      <c r="MVQ4095" s="34">
        <v>-4</v>
      </c>
      <c r="MVR4095" s="34">
        <v>-3.5</v>
      </c>
      <c r="MVS4095" s="34">
        <v>-3</v>
      </c>
      <c r="MVT4095" s="34">
        <v>-2.5</v>
      </c>
      <c r="MVU4095" s="34">
        <v>-2</v>
      </c>
      <c r="MVV4095" s="34">
        <v>-1.5</v>
      </c>
      <c r="MVW4095" s="34">
        <v>-1</v>
      </c>
      <c r="MVX4095" s="34">
        <v>-0.5</v>
      </c>
      <c r="MVY4095" s="34">
        <v>0</v>
      </c>
      <c r="MVZ4095" s="34">
        <v>0.5</v>
      </c>
      <c r="MWA4095" s="34">
        <v>1</v>
      </c>
      <c r="MWB4095" s="34">
        <v>1.5</v>
      </c>
      <c r="MWC4095" s="34">
        <v>2</v>
      </c>
      <c r="MWD4095" s="34">
        <v>2.5</v>
      </c>
      <c r="MWE4095" s="34">
        <v>3</v>
      </c>
      <c r="MWF4095" s="34">
        <v>3.5</v>
      </c>
      <c r="MWG4095" s="34">
        <v>4</v>
      </c>
      <c r="MWH4095" s="34">
        <v>4.5</v>
      </c>
      <c r="MWI4095" s="34">
        <v>5</v>
      </c>
      <c r="MWK4095" s="913"/>
      <c r="MWL4095" s="31">
        <v>1</v>
      </c>
      <c r="MWM4095" s="34">
        <v>0</v>
      </c>
      <c r="MWN4095" s="34">
        <v>-1</v>
      </c>
      <c r="MWO4095" s="34">
        <v>-2</v>
      </c>
      <c r="MWP4095" s="34">
        <v>-3</v>
      </c>
      <c r="MWQ4095" s="34">
        <v>-4</v>
      </c>
      <c r="MWR4095" s="34">
        <v>-5</v>
      </c>
      <c r="MWS4095" s="908"/>
      <c r="MWT4095" s="909"/>
      <c r="MWU4095" s="34">
        <v>-5</v>
      </c>
      <c r="MWV4095" s="34">
        <v>-4.5</v>
      </c>
      <c r="MWW4095" s="34">
        <v>-4</v>
      </c>
      <c r="MWX4095" s="34">
        <v>-3.5</v>
      </c>
      <c r="MWY4095" s="34">
        <v>-3</v>
      </c>
      <c r="MWZ4095" s="34">
        <v>-2.5</v>
      </c>
      <c r="MXA4095" s="34">
        <v>-2</v>
      </c>
      <c r="MXB4095" s="34">
        <v>-1.5</v>
      </c>
      <c r="MXC4095" s="34">
        <v>-1</v>
      </c>
      <c r="MXD4095" s="34">
        <v>-0.5</v>
      </c>
      <c r="MXE4095" s="34">
        <v>0</v>
      </c>
      <c r="MXF4095" s="34">
        <v>0.5</v>
      </c>
      <c r="MXG4095" s="34">
        <v>1</v>
      </c>
      <c r="MXH4095" s="34">
        <v>1.5</v>
      </c>
      <c r="MXI4095" s="34">
        <v>2</v>
      </c>
      <c r="MXJ4095" s="34">
        <v>2.5</v>
      </c>
      <c r="MXK4095" s="34">
        <v>3</v>
      </c>
      <c r="MXL4095" s="34">
        <v>3.5</v>
      </c>
      <c r="MXM4095" s="34">
        <v>4</v>
      </c>
      <c r="MXN4095" s="34">
        <v>4.5</v>
      </c>
      <c r="MXO4095" s="34">
        <v>5</v>
      </c>
      <c r="MXQ4095" s="913"/>
      <c r="MXR4095" s="31">
        <v>1</v>
      </c>
      <c r="MXS4095" s="34">
        <v>0</v>
      </c>
      <c r="MXT4095" s="34">
        <v>-1</v>
      </c>
      <c r="MXU4095" s="34">
        <v>-2</v>
      </c>
      <c r="MXV4095" s="34">
        <v>-3</v>
      </c>
      <c r="MXW4095" s="34">
        <v>-4</v>
      </c>
      <c r="MXX4095" s="34">
        <v>-5</v>
      </c>
      <c r="MXY4095" s="908"/>
      <c r="MXZ4095" s="909"/>
      <c r="MYA4095" s="34">
        <v>-5</v>
      </c>
      <c r="MYB4095" s="34">
        <v>-4.5</v>
      </c>
      <c r="MYC4095" s="34">
        <v>-4</v>
      </c>
      <c r="MYD4095" s="34">
        <v>-3.5</v>
      </c>
      <c r="MYE4095" s="34">
        <v>-3</v>
      </c>
      <c r="MYF4095" s="34">
        <v>-2.5</v>
      </c>
      <c r="MYG4095" s="34">
        <v>-2</v>
      </c>
      <c r="MYH4095" s="34">
        <v>-1.5</v>
      </c>
      <c r="MYI4095" s="34">
        <v>-1</v>
      </c>
      <c r="MYJ4095" s="34">
        <v>-0.5</v>
      </c>
      <c r="MYK4095" s="34">
        <v>0</v>
      </c>
      <c r="MYL4095" s="34">
        <v>0.5</v>
      </c>
      <c r="MYM4095" s="34">
        <v>1</v>
      </c>
      <c r="MYN4095" s="34">
        <v>1.5</v>
      </c>
      <c r="MYO4095" s="34">
        <v>2</v>
      </c>
      <c r="MYP4095" s="34">
        <v>2.5</v>
      </c>
      <c r="MYQ4095" s="34">
        <v>3</v>
      </c>
      <c r="MYR4095" s="34">
        <v>3.5</v>
      </c>
      <c r="MYS4095" s="34">
        <v>4</v>
      </c>
      <c r="MYT4095" s="34">
        <v>4.5</v>
      </c>
      <c r="MYU4095" s="34">
        <v>5</v>
      </c>
      <c r="MYW4095" s="913"/>
      <c r="MYX4095" s="31">
        <v>1</v>
      </c>
      <c r="MYY4095" s="34">
        <v>0</v>
      </c>
      <c r="MYZ4095" s="34">
        <v>-1</v>
      </c>
      <c r="MZA4095" s="34">
        <v>-2</v>
      </c>
      <c r="MZB4095" s="34">
        <v>-3</v>
      </c>
      <c r="MZC4095" s="34">
        <v>-4</v>
      </c>
      <c r="MZD4095" s="34">
        <v>-5</v>
      </c>
      <c r="MZE4095" s="908"/>
      <c r="MZF4095" s="909"/>
      <c r="MZG4095" s="34">
        <v>-5</v>
      </c>
      <c r="MZH4095" s="34">
        <v>-4.5</v>
      </c>
      <c r="MZI4095" s="34">
        <v>-4</v>
      </c>
      <c r="MZJ4095" s="34">
        <v>-3.5</v>
      </c>
      <c r="MZK4095" s="34">
        <v>-3</v>
      </c>
      <c r="MZL4095" s="34">
        <v>-2.5</v>
      </c>
      <c r="MZM4095" s="34">
        <v>-2</v>
      </c>
      <c r="MZN4095" s="34">
        <v>-1.5</v>
      </c>
      <c r="MZO4095" s="34">
        <v>-1</v>
      </c>
      <c r="MZP4095" s="34">
        <v>-0.5</v>
      </c>
      <c r="MZQ4095" s="34">
        <v>0</v>
      </c>
      <c r="MZR4095" s="34">
        <v>0.5</v>
      </c>
      <c r="MZS4095" s="34">
        <v>1</v>
      </c>
      <c r="MZT4095" s="34">
        <v>1.5</v>
      </c>
      <c r="MZU4095" s="34">
        <v>2</v>
      </c>
      <c r="MZV4095" s="34">
        <v>2.5</v>
      </c>
      <c r="MZW4095" s="34">
        <v>3</v>
      </c>
      <c r="MZX4095" s="34">
        <v>3.5</v>
      </c>
      <c r="MZY4095" s="34">
        <v>4</v>
      </c>
      <c r="MZZ4095" s="34">
        <v>4.5</v>
      </c>
      <c r="NAA4095" s="34">
        <v>5</v>
      </c>
      <c r="NAC4095" s="913"/>
      <c r="NAD4095" s="31">
        <v>1</v>
      </c>
      <c r="NAE4095" s="34">
        <v>0</v>
      </c>
      <c r="NAF4095" s="34">
        <v>-1</v>
      </c>
      <c r="NAG4095" s="34">
        <v>-2</v>
      </c>
      <c r="NAH4095" s="34">
        <v>-3</v>
      </c>
      <c r="NAI4095" s="34">
        <v>-4</v>
      </c>
      <c r="NAJ4095" s="34">
        <v>-5</v>
      </c>
      <c r="NAK4095" s="908"/>
      <c r="NAL4095" s="909"/>
      <c r="NAM4095" s="34">
        <v>-5</v>
      </c>
      <c r="NAN4095" s="34">
        <v>-4.5</v>
      </c>
      <c r="NAO4095" s="34">
        <v>-4</v>
      </c>
      <c r="NAP4095" s="34">
        <v>-3.5</v>
      </c>
      <c r="NAQ4095" s="34">
        <v>-3</v>
      </c>
      <c r="NAR4095" s="34">
        <v>-2.5</v>
      </c>
      <c r="NAS4095" s="34">
        <v>-2</v>
      </c>
      <c r="NAT4095" s="34">
        <v>-1.5</v>
      </c>
      <c r="NAU4095" s="34">
        <v>-1</v>
      </c>
      <c r="NAV4095" s="34">
        <v>-0.5</v>
      </c>
      <c r="NAW4095" s="34">
        <v>0</v>
      </c>
      <c r="NAX4095" s="34">
        <v>0.5</v>
      </c>
      <c r="NAY4095" s="34">
        <v>1</v>
      </c>
      <c r="NAZ4095" s="34">
        <v>1.5</v>
      </c>
      <c r="NBA4095" s="34">
        <v>2</v>
      </c>
      <c r="NBB4095" s="34">
        <v>2.5</v>
      </c>
      <c r="NBC4095" s="34">
        <v>3</v>
      </c>
      <c r="NBD4095" s="34">
        <v>3.5</v>
      </c>
      <c r="NBE4095" s="34">
        <v>4</v>
      </c>
      <c r="NBF4095" s="34">
        <v>4.5</v>
      </c>
      <c r="NBG4095" s="34">
        <v>5</v>
      </c>
      <c r="NBI4095" s="913"/>
      <c r="NBJ4095" s="31">
        <v>1</v>
      </c>
      <c r="NBK4095" s="34">
        <v>0</v>
      </c>
      <c r="NBL4095" s="34">
        <v>-1</v>
      </c>
      <c r="NBM4095" s="34">
        <v>-2</v>
      </c>
      <c r="NBN4095" s="34">
        <v>-3</v>
      </c>
      <c r="NBO4095" s="34">
        <v>-4</v>
      </c>
      <c r="NBP4095" s="34">
        <v>-5</v>
      </c>
      <c r="NBQ4095" s="908"/>
      <c r="NBR4095" s="909"/>
      <c r="NBS4095" s="34">
        <v>-5</v>
      </c>
      <c r="NBT4095" s="34">
        <v>-4.5</v>
      </c>
      <c r="NBU4095" s="34">
        <v>-4</v>
      </c>
      <c r="NBV4095" s="34">
        <v>-3.5</v>
      </c>
      <c r="NBW4095" s="34">
        <v>-3</v>
      </c>
      <c r="NBX4095" s="34">
        <v>-2.5</v>
      </c>
      <c r="NBY4095" s="34">
        <v>-2</v>
      </c>
      <c r="NBZ4095" s="34">
        <v>-1.5</v>
      </c>
      <c r="NCA4095" s="34">
        <v>-1</v>
      </c>
      <c r="NCB4095" s="34">
        <v>-0.5</v>
      </c>
      <c r="NCC4095" s="34">
        <v>0</v>
      </c>
      <c r="NCD4095" s="34">
        <v>0.5</v>
      </c>
      <c r="NCE4095" s="34">
        <v>1</v>
      </c>
      <c r="NCF4095" s="34">
        <v>1.5</v>
      </c>
      <c r="NCG4095" s="34">
        <v>2</v>
      </c>
      <c r="NCH4095" s="34">
        <v>2.5</v>
      </c>
      <c r="NCI4095" s="34">
        <v>3</v>
      </c>
      <c r="NCJ4095" s="34">
        <v>3.5</v>
      </c>
      <c r="NCK4095" s="34">
        <v>4</v>
      </c>
      <c r="NCL4095" s="34">
        <v>4.5</v>
      </c>
      <c r="NCM4095" s="34">
        <v>5</v>
      </c>
      <c r="NCO4095" s="913"/>
      <c r="NCP4095" s="31">
        <v>1</v>
      </c>
      <c r="NCQ4095" s="34">
        <v>0</v>
      </c>
      <c r="NCR4095" s="34">
        <v>-1</v>
      </c>
      <c r="NCS4095" s="34">
        <v>-2</v>
      </c>
      <c r="NCT4095" s="34">
        <v>-3</v>
      </c>
      <c r="NCU4095" s="34">
        <v>-4</v>
      </c>
      <c r="NCV4095" s="34">
        <v>-5</v>
      </c>
      <c r="NCW4095" s="908"/>
      <c r="NCX4095" s="909"/>
      <c r="NCY4095" s="34">
        <v>-5</v>
      </c>
      <c r="NCZ4095" s="34">
        <v>-4.5</v>
      </c>
      <c r="NDA4095" s="34">
        <v>-4</v>
      </c>
      <c r="NDB4095" s="34">
        <v>-3.5</v>
      </c>
      <c r="NDC4095" s="34">
        <v>-3</v>
      </c>
      <c r="NDD4095" s="34">
        <v>-2.5</v>
      </c>
      <c r="NDE4095" s="34">
        <v>-2</v>
      </c>
      <c r="NDF4095" s="34">
        <v>-1.5</v>
      </c>
      <c r="NDG4095" s="34">
        <v>-1</v>
      </c>
      <c r="NDH4095" s="34">
        <v>-0.5</v>
      </c>
      <c r="NDI4095" s="34">
        <v>0</v>
      </c>
      <c r="NDJ4095" s="34">
        <v>0.5</v>
      </c>
      <c r="NDK4095" s="34">
        <v>1</v>
      </c>
      <c r="NDL4095" s="34">
        <v>1.5</v>
      </c>
      <c r="NDM4095" s="34">
        <v>2</v>
      </c>
      <c r="NDN4095" s="34">
        <v>2.5</v>
      </c>
      <c r="NDO4095" s="34">
        <v>3</v>
      </c>
      <c r="NDP4095" s="34">
        <v>3.5</v>
      </c>
      <c r="NDQ4095" s="34">
        <v>4</v>
      </c>
      <c r="NDR4095" s="34">
        <v>4.5</v>
      </c>
      <c r="NDS4095" s="34">
        <v>5</v>
      </c>
      <c r="NDU4095" s="913"/>
      <c r="NDV4095" s="31">
        <v>1</v>
      </c>
      <c r="NDW4095" s="34">
        <v>0</v>
      </c>
      <c r="NDX4095" s="34">
        <v>-1</v>
      </c>
      <c r="NDY4095" s="34">
        <v>-2</v>
      </c>
      <c r="NDZ4095" s="34">
        <v>-3</v>
      </c>
      <c r="NEA4095" s="34">
        <v>-4</v>
      </c>
      <c r="NEB4095" s="34">
        <v>-5</v>
      </c>
      <c r="NEC4095" s="908"/>
      <c r="NED4095" s="909"/>
      <c r="NEE4095" s="34">
        <v>-5</v>
      </c>
      <c r="NEF4095" s="34">
        <v>-4.5</v>
      </c>
      <c r="NEG4095" s="34">
        <v>-4</v>
      </c>
      <c r="NEH4095" s="34">
        <v>-3.5</v>
      </c>
      <c r="NEI4095" s="34">
        <v>-3</v>
      </c>
      <c r="NEJ4095" s="34">
        <v>-2.5</v>
      </c>
      <c r="NEK4095" s="34">
        <v>-2</v>
      </c>
      <c r="NEL4095" s="34">
        <v>-1.5</v>
      </c>
      <c r="NEM4095" s="34">
        <v>-1</v>
      </c>
      <c r="NEN4095" s="34">
        <v>-0.5</v>
      </c>
      <c r="NEO4095" s="34">
        <v>0</v>
      </c>
      <c r="NEP4095" s="34">
        <v>0.5</v>
      </c>
      <c r="NEQ4095" s="34">
        <v>1</v>
      </c>
      <c r="NER4095" s="34">
        <v>1.5</v>
      </c>
      <c r="NES4095" s="34">
        <v>2</v>
      </c>
      <c r="NET4095" s="34">
        <v>2.5</v>
      </c>
      <c r="NEU4095" s="34">
        <v>3</v>
      </c>
      <c r="NEV4095" s="34">
        <v>3.5</v>
      </c>
      <c r="NEW4095" s="34">
        <v>4</v>
      </c>
      <c r="NEX4095" s="34">
        <v>4.5</v>
      </c>
      <c r="NEY4095" s="34">
        <v>5</v>
      </c>
      <c r="NFA4095" s="913"/>
      <c r="NFB4095" s="31">
        <v>1</v>
      </c>
      <c r="NFC4095" s="34">
        <v>0</v>
      </c>
      <c r="NFD4095" s="34">
        <v>-1</v>
      </c>
      <c r="NFE4095" s="34">
        <v>-2</v>
      </c>
      <c r="NFF4095" s="34">
        <v>-3</v>
      </c>
      <c r="NFG4095" s="34">
        <v>-4</v>
      </c>
      <c r="NFH4095" s="34">
        <v>-5</v>
      </c>
      <c r="NFI4095" s="908"/>
      <c r="NFJ4095" s="909"/>
      <c r="NFK4095" s="34">
        <v>-5</v>
      </c>
      <c r="NFL4095" s="34">
        <v>-4.5</v>
      </c>
      <c r="NFM4095" s="34">
        <v>-4</v>
      </c>
      <c r="NFN4095" s="34">
        <v>-3.5</v>
      </c>
      <c r="NFO4095" s="34">
        <v>-3</v>
      </c>
      <c r="NFP4095" s="34">
        <v>-2.5</v>
      </c>
      <c r="NFQ4095" s="34">
        <v>-2</v>
      </c>
      <c r="NFR4095" s="34">
        <v>-1.5</v>
      </c>
      <c r="NFS4095" s="34">
        <v>-1</v>
      </c>
      <c r="NFT4095" s="34">
        <v>-0.5</v>
      </c>
      <c r="NFU4095" s="34">
        <v>0</v>
      </c>
      <c r="NFV4095" s="34">
        <v>0.5</v>
      </c>
      <c r="NFW4095" s="34">
        <v>1</v>
      </c>
      <c r="NFX4095" s="34">
        <v>1.5</v>
      </c>
      <c r="NFY4095" s="34">
        <v>2</v>
      </c>
      <c r="NFZ4095" s="34">
        <v>2.5</v>
      </c>
      <c r="NGA4095" s="34">
        <v>3</v>
      </c>
      <c r="NGB4095" s="34">
        <v>3.5</v>
      </c>
      <c r="NGC4095" s="34">
        <v>4</v>
      </c>
      <c r="NGD4095" s="34">
        <v>4.5</v>
      </c>
      <c r="NGE4095" s="34">
        <v>5</v>
      </c>
      <c r="NGG4095" s="913"/>
      <c r="NGH4095" s="31">
        <v>1</v>
      </c>
      <c r="NGI4095" s="34">
        <v>0</v>
      </c>
      <c r="NGJ4095" s="34">
        <v>-1</v>
      </c>
      <c r="NGK4095" s="34">
        <v>-2</v>
      </c>
      <c r="NGL4095" s="34">
        <v>-3</v>
      </c>
      <c r="NGM4095" s="34">
        <v>-4</v>
      </c>
      <c r="NGN4095" s="34">
        <v>-5</v>
      </c>
      <c r="NGO4095" s="908"/>
      <c r="NGP4095" s="909"/>
      <c r="NGQ4095" s="34">
        <v>-5</v>
      </c>
      <c r="NGR4095" s="34">
        <v>-4.5</v>
      </c>
      <c r="NGS4095" s="34">
        <v>-4</v>
      </c>
      <c r="NGT4095" s="34">
        <v>-3.5</v>
      </c>
      <c r="NGU4095" s="34">
        <v>-3</v>
      </c>
      <c r="NGV4095" s="34">
        <v>-2.5</v>
      </c>
      <c r="NGW4095" s="34">
        <v>-2</v>
      </c>
      <c r="NGX4095" s="34">
        <v>-1.5</v>
      </c>
      <c r="NGY4095" s="34">
        <v>-1</v>
      </c>
      <c r="NGZ4095" s="34">
        <v>-0.5</v>
      </c>
      <c r="NHA4095" s="34">
        <v>0</v>
      </c>
      <c r="NHB4095" s="34">
        <v>0.5</v>
      </c>
      <c r="NHC4095" s="34">
        <v>1</v>
      </c>
      <c r="NHD4095" s="34">
        <v>1.5</v>
      </c>
      <c r="NHE4095" s="34">
        <v>2</v>
      </c>
      <c r="NHF4095" s="34">
        <v>2.5</v>
      </c>
      <c r="NHG4095" s="34">
        <v>3</v>
      </c>
      <c r="NHH4095" s="34">
        <v>3.5</v>
      </c>
      <c r="NHI4095" s="34">
        <v>4</v>
      </c>
      <c r="NHJ4095" s="34">
        <v>4.5</v>
      </c>
      <c r="NHK4095" s="34">
        <v>5</v>
      </c>
      <c r="NHM4095" s="913"/>
      <c r="NHN4095" s="31">
        <v>1</v>
      </c>
      <c r="NHO4095" s="34">
        <v>0</v>
      </c>
      <c r="NHP4095" s="34">
        <v>-1</v>
      </c>
      <c r="NHQ4095" s="34">
        <v>-2</v>
      </c>
      <c r="NHR4095" s="34">
        <v>-3</v>
      </c>
      <c r="NHS4095" s="34">
        <v>-4</v>
      </c>
      <c r="NHT4095" s="34">
        <v>-5</v>
      </c>
      <c r="NHU4095" s="908"/>
      <c r="NHV4095" s="909"/>
      <c r="NHW4095" s="34">
        <v>-5</v>
      </c>
      <c r="NHX4095" s="34">
        <v>-4.5</v>
      </c>
      <c r="NHY4095" s="34">
        <v>-4</v>
      </c>
      <c r="NHZ4095" s="34">
        <v>-3.5</v>
      </c>
      <c r="NIA4095" s="34">
        <v>-3</v>
      </c>
      <c r="NIB4095" s="34">
        <v>-2.5</v>
      </c>
      <c r="NIC4095" s="34">
        <v>-2</v>
      </c>
      <c r="NID4095" s="34">
        <v>-1.5</v>
      </c>
      <c r="NIE4095" s="34">
        <v>-1</v>
      </c>
      <c r="NIF4095" s="34">
        <v>-0.5</v>
      </c>
      <c r="NIG4095" s="34">
        <v>0</v>
      </c>
      <c r="NIH4095" s="34">
        <v>0.5</v>
      </c>
      <c r="NII4095" s="34">
        <v>1</v>
      </c>
      <c r="NIJ4095" s="34">
        <v>1.5</v>
      </c>
      <c r="NIK4095" s="34">
        <v>2</v>
      </c>
      <c r="NIL4095" s="34">
        <v>2.5</v>
      </c>
      <c r="NIM4095" s="34">
        <v>3</v>
      </c>
      <c r="NIN4095" s="34">
        <v>3.5</v>
      </c>
      <c r="NIO4095" s="34">
        <v>4</v>
      </c>
      <c r="NIP4095" s="34">
        <v>4.5</v>
      </c>
      <c r="NIQ4095" s="34">
        <v>5</v>
      </c>
      <c r="NIS4095" s="913"/>
      <c r="NIT4095" s="31">
        <v>1</v>
      </c>
      <c r="NIU4095" s="34">
        <v>0</v>
      </c>
      <c r="NIV4095" s="34">
        <v>-1</v>
      </c>
      <c r="NIW4095" s="34">
        <v>-2</v>
      </c>
      <c r="NIX4095" s="34">
        <v>-3</v>
      </c>
      <c r="NIY4095" s="34">
        <v>-4</v>
      </c>
      <c r="NIZ4095" s="34">
        <v>-5</v>
      </c>
      <c r="NJA4095" s="908"/>
      <c r="NJB4095" s="909"/>
      <c r="NJC4095" s="34">
        <v>-5</v>
      </c>
      <c r="NJD4095" s="34">
        <v>-4.5</v>
      </c>
      <c r="NJE4095" s="34">
        <v>-4</v>
      </c>
      <c r="NJF4095" s="34">
        <v>-3.5</v>
      </c>
      <c r="NJG4095" s="34">
        <v>-3</v>
      </c>
      <c r="NJH4095" s="34">
        <v>-2.5</v>
      </c>
      <c r="NJI4095" s="34">
        <v>-2</v>
      </c>
      <c r="NJJ4095" s="34">
        <v>-1.5</v>
      </c>
      <c r="NJK4095" s="34">
        <v>-1</v>
      </c>
      <c r="NJL4095" s="34">
        <v>-0.5</v>
      </c>
      <c r="NJM4095" s="34">
        <v>0</v>
      </c>
      <c r="NJN4095" s="34">
        <v>0.5</v>
      </c>
      <c r="NJO4095" s="34">
        <v>1</v>
      </c>
      <c r="NJP4095" s="34">
        <v>1.5</v>
      </c>
      <c r="NJQ4095" s="34">
        <v>2</v>
      </c>
      <c r="NJR4095" s="34">
        <v>2.5</v>
      </c>
      <c r="NJS4095" s="34">
        <v>3</v>
      </c>
      <c r="NJT4095" s="34">
        <v>3.5</v>
      </c>
      <c r="NJU4095" s="34">
        <v>4</v>
      </c>
      <c r="NJV4095" s="34">
        <v>4.5</v>
      </c>
      <c r="NJW4095" s="34">
        <v>5</v>
      </c>
      <c r="NJY4095" s="913"/>
      <c r="NJZ4095" s="31">
        <v>1</v>
      </c>
      <c r="NKA4095" s="34">
        <v>0</v>
      </c>
      <c r="NKB4095" s="34">
        <v>-1</v>
      </c>
      <c r="NKC4095" s="34">
        <v>-2</v>
      </c>
      <c r="NKD4095" s="34">
        <v>-3</v>
      </c>
      <c r="NKE4095" s="34">
        <v>-4</v>
      </c>
      <c r="NKF4095" s="34">
        <v>-5</v>
      </c>
      <c r="NKG4095" s="908"/>
      <c r="NKH4095" s="909"/>
      <c r="NKI4095" s="34">
        <v>-5</v>
      </c>
      <c r="NKJ4095" s="34">
        <v>-4.5</v>
      </c>
      <c r="NKK4095" s="34">
        <v>-4</v>
      </c>
      <c r="NKL4095" s="34">
        <v>-3.5</v>
      </c>
      <c r="NKM4095" s="34">
        <v>-3</v>
      </c>
      <c r="NKN4095" s="34">
        <v>-2.5</v>
      </c>
      <c r="NKO4095" s="34">
        <v>-2</v>
      </c>
      <c r="NKP4095" s="34">
        <v>-1.5</v>
      </c>
      <c r="NKQ4095" s="34">
        <v>-1</v>
      </c>
      <c r="NKR4095" s="34">
        <v>-0.5</v>
      </c>
      <c r="NKS4095" s="34">
        <v>0</v>
      </c>
      <c r="NKT4095" s="34">
        <v>0.5</v>
      </c>
      <c r="NKU4095" s="34">
        <v>1</v>
      </c>
      <c r="NKV4095" s="34">
        <v>1.5</v>
      </c>
      <c r="NKW4095" s="34">
        <v>2</v>
      </c>
      <c r="NKX4095" s="34">
        <v>2.5</v>
      </c>
      <c r="NKY4095" s="34">
        <v>3</v>
      </c>
      <c r="NKZ4095" s="34">
        <v>3.5</v>
      </c>
      <c r="NLA4095" s="34">
        <v>4</v>
      </c>
      <c r="NLB4095" s="34">
        <v>4.5</v>
      </c>
      <c r="NLC4095" s="34">
        <v>5</v>
      </c>
      <c r="NLE4095" s="913"/>
      <c r="NLF4095" s="31">
        <v>1</v>
      </c>
      <c r="NLG4095" s="34">
        <v>0</v>
      </c>
      <c r="NLH4095" s="34">
        <v>-1</v>
      </c>
      <c r="NLI4095" s="34">
        <v>-2</v>
      </c>
      <c r="NLJ4095" s="34">
        <v>-3</v>
      </c>
      <c r="NLK4095" s="34">
        <v>-4</v>
      </c>
      <c r="NLL4095" s="34">
        <v>-5</v>
      </c>
      <c r="NLM4095" s="908"/>
      <c r="NLN4095" s="909"/>
      <c r="NLO4095" s="34">
        <v>-5</v>
      </c>
      <c r="NLP4095" s="34">
        <v>-4.5</v>
      </c>
      <c r="NLQ4095" s="34">
        <v>-4</v>
      </c>
      <c r="NLR4095" s="34">
        <v>-3.5</v>
      </c>
      <c r="NLS4095" s="34">
        <v>-3</v>
      </c>
      <c r="NLT4095" s="34">
        <v>-2.5</v>
      </c>
      <c r="NLU4095" s="34">
        <v>-2</v>
      </c>
      <c r="NLV4095" s="34">
        <v>-1.5</v>
      </c>
      <c r="NLW4095" s="34">
        <v>-1</v>
      </c>
      <c r="NLX4095" s="34">
        <v>-0.5</v>
      </c>
      <c r="NLY4095" s="34">
        <v>0</v>
      </c>
      <c r="NLZ4095" s="34">
        <v>0.5</v>
      </c>
      <c r="NMA4095" s="34">
        <v>1</v>
      </c>
      <c r="NMB4095" s="34">
        <v>1.5</v>
      </c>
      <c r="NMC4095" s="34">
        <v>2</v>
      </c>
      <c r="NMD4095" s="34">
        <v>2.5</v>
      </c>
      <c r="NME4095" s="34">
        <v>3</v>
      </c>
      <c r="NMF4095" s="34">
        <v>3.5</v>
      </c>
      <c r="NMG4095" s="34">
        <v>4</v>
      </c>
      <c r="NMH4095" s="34">
        <v>4.5</v>
      </c>
      <c r="NMI4095" s="34">
        <v>5</v>
      </c>
      <c r="NMK4095" s="913"/>
      <c r="NML4095" s="31">
        <v>1</v>
      </c>
      <c r="NMM4095" s="34">
        <v>0</v>
      </c>
      <c r="NMN4095" s="34">
        <v>-1</v>
      </c>
      <c r="NMO4095" s="34">
        <v>-2</v>
      </c>
      <c r="NMP4095" s="34">
        <v>-3</v>
      </c>
      <c r="NMQ4095" s="34">
        <v>-4</v>
      </c>
      <c r="NMR4095" s="34">
        <v>-5</v>
      </c>
      <c r="NMS4095" s="908"/>
      <c r="NMT4095" s="909"/>
      <c r="NMU4095" s="34">
        <v>-5</v>
      </c>
      <c r="NMV4095" s="34">
        <v>-4.5</v>
      </c>
      <c r="NMW4095" s="34">
        <v>-4</v>
      </c>
      <c r="NMX4095" s="34">
        <v>-3.5</v>
      </c>
      <c r="NMY4095" s="34">
        <v>-3</v>
      </c>
      <c r="NMZ4095" s="34">
        <v>-2.5</v>
      </c>
      <c r="NNA4095" s="34">
        <v>-2</v>
      </c>
      <c r="NNB4095" s="34">
        <v>-1.5</v>
      </c>
      <c r="NNC4095" s="34">
        <v>-1</v>
      </c>
      <c r="NND4095" s="34">
        <v>-0.5</v>
      </c>
      <c r="NNE4095" s="34">
        <v>0</v>
      </c>
      <c r="NNF4095" s="34">
        <v>0.5</v>
      </c>
      <c r="NNG4095" s="34">
        <v>1</v>
      </c>
      <c r="NNH4095" s="34">
        <v>1.5</v>
      </c>
      <c r="NNI4095" s="34">
        <v>2</v>
      </c>
      <c r="NNJ4095" s="34">
        <v>2.5</v>
      </c>
      <c r="NNK4095" s="34">
        <v>3</v>
      </c>
      <c r="NNL4095" s="34">
        <v>3.5</v>
      </c>
      <c r="NNM4095" s="34">
        <v>4</v>
      </c>
      <c r="NNN4095" s="34">
        <v>4.5</v>
      </c>
      <c r="NNO4095" s="34">
        <v>5</v>
      </c>
      <c r="NNQ4095" s="913"/>
      <c r="NNR4095" s="31">
        <v>1</v>
      </c>
      <c r="NNS4095" s="34">
        <v>0</v>
      </c>
      <c r="NNT4095" s="34">
        <v>-1</v>
      </c>
      <c r="NNU4095" s="34">
        <v>-2</v>
      </c>
      <c r="NNV4095" s="34">
        <v>-3</v>
      </c>
      <c r="NNW4095" s="34">
        <v>-4</v>
      </c>
      <c r="NNX4095" s="34">
        <v>-5</v>
      </c>
      <c r="NNY4095" s="908"/>
      <c r="NNZ4095" s="909"/>
      <c r="NOA4095" s="34">
        <v>-5</v>
      </c>
      <c r="NOB4095" s="34">
        <v>-4.5</v>
      </c>
      <c r="NOC4095" s="34">
        <v>-4</v>
      </c>
      <c r="NOD4095" s="34">
        <v>-3.5</v>
      </c>
      <c r="NOE4095" s="34">
        <v>-3</v>
      </c>
      <c r="NOF4095" s="34">
        <v>-2.5</v>
      </c>
      <c r="NOG4095" s="34">
        <v>-2</v>
      </c>
      <c r="NOH4095" s="34">
        <v>-1.5</v>
      </c>
      <c r="NOI4095" s="34">
        <v>-1</v>
      </c>
      <c r="NOJ4095" s="34">
        <v>-0.5</v>
      </c>
      <c r="NOK4095" s="34">
        <v>0</v>
      </c>
      <c r="NOL4095" s="34">
        <v>0.5</v>
      </c>
      <c r="NOM4095" s="34">
        <v>1</v>
      </c>
      <c r="NON4095" s="34">
        <v>1.5</v>
      </c>
      <c r="NOO4095" s="34">
        <v>2</v>
      </c>
      <c r="NOP4095" s="34">
        <v>2.5</v>
      </c>
      <c r="NOQ4095" s="34">
        <v>3</v>
      </c>
      <c r="NOR4095" s="34">
        <v>3.5</v>
      </c>
      <c r="NOS4095" s="34">
        <v>4</v>
      </c>
      <c r="NOT4095" s="34">
        <v>4.5</v>
      </c>
      <c r="NOU4095" s="34">
        <v>5</v>
      </c>
      <c r="NOW4095" s="913"/>
      <c r="NOX4095" s="31">
        <v>1</v>
      </c>
      <c r="NOY4095" s="34">
        <v>0</v>
      </c>
      <c r="NOZ4095" s="34">
        <v>-1</v>
      </c>
      <c r="NPA4095" s="34">
        <v>-2</v>
      </c>
      <c r="NPB4095" s="34">
        <v>-3</v>
      </c>
      <c r="NPC4095" s="34">
        <v>-4</v>
      </c>
      <c r="NPD4095" s="34">
        <v>-5</v>
      </c>
      <c r="NPE4095" s="908"/>
      <c r="NPF4095" s="909"/>
      <c r="NPG4095" s="34">
        <v>-5</v>
      </c>
      <c r="NPH4095" s="34">
        <v>-4.5</v>
      </c>
      <c r="NPI4095" s="34">
        <v>-4</v>
      </c>
      <c r="NPJ4095" s="34">
        <v>-3.5</v>
      </c>
      <c r="NPK4095" s="34">
        <v>-3</v>
      </c>
      <c r="NPL4095" s="34">
        <v>-2.5</v>
      </c>
      <c r="NPM4095" s="34">
        <v>-2</v>
      </c>
      <c r="NPN4095" s="34">
        <v>-1.5</v>
      </c>
      <c r="NPO4095" s="34">
        <v>-1</v>
      </c>
      <c r="NPP4095" s="34">
        <v>-0.5</v>
      </c>
      <c r="NPQ4095" s="34">
        <v>0</v>
      </c>
      <c r="NPR4095" s="34">
        <v>0.5</v>
      </c>
      <c r="NPS4095" s="34">
        <v>1</v>
      </c>
      <c r="NPT4095" s="34">
        <v>1.5</v>
      </c>
      <c r="NPU4095" s="34">
        <v>2</v>
      </c>
      <c r="NPV4095" s="34">
        <v>2.5</v>
      </c>
      <c r="NPW4095" s="34">
        <v>3</v>
      </c>
      <c r="NPX4095" s="34">
        <v>3.5</v>
      </c>
      <c r="NPY4095" s="34">
        <v>4</v>
      </c>
      <c r="NPZ4095" s="34">
        <v>4.5</v>
      </c>
      <c r="NQA4095" s="34">
        <v>5</v>
      </c>
      <c r="NQC4095" s="913"/>
      <c r="NQD4095" s="31">
        <v>1</v>
      </c>
      <c r="NQE4095" s="34">
        <v>0</v>
      </c>
      <c r="NQF4095" s="34">
        <v>-1</v>
      </c>
      <c r="NQG4095" s="34">
        <v>-2</v>
      </c>
      <c r="NQH4095" s="34">
        <v>-3</v>
      </c>
      <c r="NQI4095" s="34">
        <v>-4</v>
      </c>
      <c r="NQJ4095" s="34">
        <v>-5</v>
      </c>
      <c r="NQK4095" s="908"/>
      <c r="NQL4095" s="909"/>
      <c r="NQM4095" s="34">
        <v>-5</v>
      </c>
      <c r="NQN4095" s="34">
        <v>-4.5</v>
      </c>
      <c r="NQO4095" s="34">
        <v>-4</v>
      </c>
      <c r="NQP4095" s="34">
        <v>-3.5</v>
      </c>
      <c r="NQQ4095" s="34">
        <v>-3</v>
      </c>
      <c r="NQR4095" s="34">
        <v>-2.5</v>
      </c>
      <c r="NQS4095" s="34">
        <v>-2</v>
      </c>
      <c r="NQT4095" s="34">
        <v>-1.5</v>
      </c>
      <c r="NQU4095" s="34">
        <v>-1</v>
      </c>
      <c r="NQV4095" s="34">
        <v>-0.5</v>
      </c>
      <c r="NQW4095" s="34">
        <v>0</v>
      </c>
      <c r="NQX4095" s="34">
        <v>0.5</v>
      </c>
      <c r="NQY4095" s="34">
        <v>1</v>
      </c>
      <c r="NQZ4095" s="34">
        <v>1.5</v>
      </c>
      <c r="NRA4095" s="34">
        <v>2</v>
      </c>
      <c r="NRB4095" s="34">
        <v>2.5</v>
      </c>
      <c r="NRC4095" s="34">
        <v>3</v>
      </c>
      <c r="NRD4095" s="34">
        <v>3.5</v>
      </c>
      <c r="NRE4095" s="34">
        <v>4</v>
      </c>
      <c r="NRF4095" s="34">
        <v>4.5</v>
      </c>
      <c r="NRG4095" s="34">
        <v>5</v>
      </c>
      <c r="NRI4095" s="913"/>
      <c r="NRJ4095" s="31">
        <v>1</v>
      </c>
      <c r="NRK4095" s="34">
        <v>0</v>
      </c>
      <c r="NRL4095" s="34">
        <v>-1</v>
      </c>
      <c r="NRM4095" s="34">
        <v>-2</v>
      </c>
      <c r="NRN4095" s="34">
        <v>-3</v>
      </c>
      <c r="NRO4095" s="34">
        <v>-4</v>
      </c>
      <c r="NRP4095" s="34">
        <v>-5</v>
      </c>
      <c r="NRQ4095" s="908"/>
      <c r="NRR4095" s="909"/>
      <c r="NRS4095" s="34">
        <v>-5</v>
      </c>
      <c r="NRT4095" s="34">
        <v>-4.5</v>
      </c>
      <c r="NRU4095" s="34">
        <v>-4</v>
      </c>
      <c r="NRV4095" s="34">
        <v>-3.5</v>
      </c>
      <c r="NRW4095" s="34">
        <v>-3</v>
      </c>
      <c r="NRX4095" s="34">
        <v>-2.5</v>
      </c>
      <c r="NRY4095" s="34">
        <v>-2</v>
      </c>
      <c r="NRZ4095" s="34">
        <v>-1.5</v>
      </c>
      <c r="NSA4095" s="34">
        <v>-1</v>
      </c>
      <c r="NSB4095" s="34">
        <v>-0.5</v>
      </c>
      <c r="NSC4095" s="34">
        <v>0</v>
      </c>
      <c r="NSD4095" s="34">
        <v>0.5</v>
      </c>
      <c r="NSE4095" s="34">
        <v>1</v>
      </c>
      <c r="NSF4095" s="34">
        <v>1.5</v>
      </c>
      <c r="NSG4095" s="34">
        <v>2</v>
      </c>
      <c r="NSH4095" s="34">
        <v>2.5</v>
      </c>
      <c r="NSI4095" s="34">
        <v>3</v>
      </c>
      <c r="NSJ4095" s="34">
        <v>3.5</v>
      </c>
      <c r="NSK4095" s="34">
        <v>4</v>
      </c>
      <c r="NSL4095" s="34">
        <v>4.5</v>
      </c>
      <c r="NSM4095" s="34">
        <v>5</v>
      </c>
      <c r="NSO4095" s="913"/>
      <c r="NSP4095" s="31">
        <v>1</v>
      </c>
      <c r="NSQ4095" s="34">
        <v>0</v>
      </c>
      <c r="NSR4095" s="34">
        <v>-1</v>
      </c>
      <c r="NSS4095" s="34">
        <v>-2</v>
      </c>
      <c r="NST4095" s="34">
        <v>-3</v>
      </c>
      <c r="NSU4095" s="34">
        <v>-4</v>
      </c>
      <c r="NSV4095" s="34">
        <v>-5</v>
      </c>
      <c r="NSW4095" s="908"/>
      <c r="NSX4095" s="909"/>
      <c r="NSY4095" s="34">
        <v>-5</v>
      </c>
      <c r="NSZ4095" s="34">
        <v>-4.5</v>
      </c>
      <c r="NTA4095" s="34">
        <v>-4</v>
      </c>
      <c r="NTB4095" s="34">
        <v>-3.5</v>
      </c>
      <c r="NTC4095" s="34">
        <v>-3</v>
      </c>
      <c r="NTD4095" s="34">
        <v>-2.5</v>
      </c>
      <c r="NTE4095" s="34">
        <v>-2</v>
      </c>
      <c r="NTF4095" s="34">
        <v>-1.5</v>
      </c>
      <c r="NTG4095" s="34">
        <v>-1</v>
      </c>
      <c r="NTH4095" s="34">
        <v>-0.5</v>
      </c>
      <c r="NTI4095" s="34">
        <v>0</v>
      </c>
      <c r="NTJ4095" s="34">
        <v>0.5</v>
      </c>
      <c r="NTK4095" s="34">
        <v>1</v>
      </c>
      <c r="NTL4095" s="34">
        <v>1.5</v>
      </c>
      <c r="NTM4095" s="34">
        <v>2</v>
      </c>
      <c r="NTN4095" s="34">
        <v>2.5</v>
      </c>
      <c r="NTO4095" s="34">
        <v>3</v>
      </c>
      <c r="NTP4095" s="34">
        <v>3.5</v>
      </c>
      <c r="NTQ4095" s="34">
        <v>4</v>
      </c>
      <c r="NTR4095" s="34">
        <v>4.5</v>
      </c>
      <c r="NTS4095" s="34">
        <v>5</v>
      </c>
      <c r="NTU4095" s="913"/>
      <c r="NTV4095" s="31">
        <v>1</v>
      </c>
      <c r="NTW4095" s="34">
        <v>0</v>
      </c>
      <c r="NTX4095" s="34">
        <v>-1</v>
      </c>
      <c r="NTY4095" s="34">
        <v>-2</v>
      </c>
      <c r="NTZ4095" s="34">
        <v>-3</v>
      </c>
      <c r="NUA4095" s="34">
        <v>-4</v>
      </c>
      <c r="NUB4095" s="34">
        <v>-5</v>
      </c>
      <c r="NUC4095" s="908"/>
      <c r="NUD4095" s="909"/>
      <c r="NUE4095" s="34">
        <v>-5</v>
      </c>
      <c r="NUF4095" s="34">
        <v>-4.5</v>
      </c>
      <c r="NUG4095" s="34">
        <v>-4</v>
      </c>
      <c r="NUH4095" s="34">
        <v>-3.5</v>
      </c>
      <c r="NUI4095" s="34">
        <v>-3</v>
      </c>
      <c r="NUJ4095" s="34">
        <v>-2.5</v>
      </c>
      <c r="NUK4095" s="34">
        <v>-2</v>
      </c>
      <c r="NUL4095" s="34">
        <v>-1.5</v>
      </c>
      <c r="NUM4095" s="34">
        <v>-1</v>
      </c>
      <c r="NUN4095" s="34">
        <v>-0.5</v>
      </c>
      <c r="NUO4095" s="34">
        <v>0</v>
      </c>
      <c r="NUP4095" s="34">
        <v>0.5</v>
      </c>
      <c r="NUQ4095" s="34">
        <v>1</v>
      </c>
      <c r="NUR4095" s="34">
        <v>1.5</v>
      </c>
      <c r="NUS4095" s="34">
        <v>2</v>
      </c>
      <c r="NUT4095" s="34">
        <v>2.5</v>
      </c>
      <c r="NUU4095" s="34">
        <v>3</v>
      </c>
      <c r="NUV4095" s="34">
        <v>3.5</v>
      </c>
      <c r="NUW4095" s="34">
        <v>4</v>
      </c>
      <c r="NUX4095" s="34">
        <v>4.5</v>
      </c>
      <c r="NUY4095" s="34">
        <v>5</v>
      </c>
      <c r="NVA4095" s="913"/>
      <c r="NVB4095" s="31">
        <v>1</v>
      </c>
      <c r="NVC4095" s="34">
        <v>0</v>
      </c>
      <c r="NVD4095" s="34">
        <v>-1</v>
      </c>
      <c r="NVE4095" s="34">
        <v>-2</v>
      </c>
      <c r="NVF4095" s="34">
        <v>-3</v>
      </c>
      <c r="NVG4095" s="34">
        <v>-4</v>
      </c>
      <c r="NVH4095" s="34">
        <v>-5</v>
      </c>
      <c r="NVI4095" s="908"/>
      <c r="NVJ4095" s="909"/>
      <c r="NVK4095" s="34">
        <v>-5</v>
      </c>
      <c r="NVL4095" s="34">
        <v>-4.5</v>
      </c>
      <c r="NVM4095" s="34">
        <v>-4</v>
      </c>
      <c r="NVN4095" s="34">
        <v>-3.5</v>
      </c>
      <c r="NVO4095" s="34">
        <v>-3</v>
      </c>
      <c r="NVP4095" s="34">
        <v>-2.5</v>
      </c>
      <c r="NVQ4095" s="34">
        <v>-2</v>
      </c>
      <c r="NVR4095" s="34">
        <v>-1.5</v>
      </c>
      <c r="NVS4095" s="34">
        <v>-1</v>
      </c>
      <c r="NVT4095" s="34">
        <v>-0.5</v>
      </c>
      <c r="NVU4095" s="34">
        <v>0</v>
      </c>
      <c r="NVV4095" s="34">
        <v>0.5</v>
      </c>
      <c r="NVW4095" s="34">
        <v>1</v>
      </c>
      <c r="NVX4095" s="34">
        <v>1.5</v>
      </c>
      <c r="NVY4095" s="34">
        <v>2</v>
      </c>
      <c r="NVZ4095" s="34">
        <v>2.5</v>
      </c>
      <c r="NWA4095" s="34">
        <v>3</v>
      </c>
      <c r="NWB4095" s="34">
        <v>3.5</v>
      </c>
      <c r="NWC4095" s="34">
        <v>4</v>
      </c>
      <c r="NWD4095" s="34">
        <v>4.5</v>
      </c>
      <c r="NWE4095" s="34">
        <v>5</v>
      </c>
      <c r="NWG4095" s="913"/>
      <c r="NWH4095" s="31">
        <v>1</v>
      </c>
      <c r="NWI4095" s="34">
        <v>0</v>
      </c>
      <c r="NWJ4095" s="34">
        <v>-1</v>
      </c>
      <c r="NWK4095" s="34">
        <v>-2</v>
      </c>
      <c r="NWL4095" s="34">
        <v>-3</v>
      </c>
      <c r="NWM4095" s="34">
        <v>-4</v>
      </c>
      <c r="NWN4095" s="34">
        <v>-5</v>
      </c>
      <c r="NWO4095" s="908"/>
      <c r="NWP4095" s="909"/>
      <c r="NWQ4095" s="34">
        <v>-5</v>
      </c>
      <c r="NWR4095" s="34">
        <v>-4.5</v>
      </c>
      <c r="NWS4095" s="34">
        <v>-4</v>
      </c>
      <c r="NWT4095" s="34">
        <v>-3.5</v>
      </c>
      <c r="NWU4095" s="34">
        <v>-3</v>
      </c>
      <c r="NWV4095" s="34">
        <v>-2.5</v>
      </c>
      <c r="NWW4095" s="34">
        <v>-2</v>
      </c>
      <c r="NWX4095" s="34">
        <v>-1.5</v>
      </c>
      <c r="NWY4095" s="34">
        <v>-1</v>
      </c>
      <c r="NWZ4095" s="34">
        <v>-0.5</v>
      </c>
      <c r="NXA4095" s="34">
        <v>0</v>
      </c>
      <c r="NXB4095" s="34">
        <v>0.5</v>
      </c>
      <c r="NXC4095" s="34">
        <v>1</v>
      </c>
      <c r="NXD4095" s="34">
        <v>1.5</v>
      </c>
      <c r="NXE4095" s="34">
        <v>2</v>
      </c>
      <c r="NXF4095" s="34">
        <v>2.5</v>
      </c>
      <c r="NXG4095" s="34">
        <v>3</v>
      </c>
      <c r="NXH4095" s="34">
        <v>3.5</v>
      </c>
      <c r="NXI4095" s="34">
        <v>4</v>
      </c>
      <c r="NXJ4095" s="34">
        <v>4.5</v>
      </c>
      <c r="NXK4095" s="34">
        <v>5</v>
      </c>
      <c r="NXM4095" s="913"/>
      <c r="NXN4095" s="31">
        <v>1</v>
      </c>
      <c r="NXO4095" s="34">
        <v>0</v>
      </c>
      <c r="NXP4095" s="34">
        <v>-1</v>
      </c>
      <c r="NXQ4095" s="34">
        <v>-2</v>
      </c>
      <c r="NXR4095" s="34">
        <v>-3</v>
      </c>
      <c r="NXS4095" s="34">
        <v>-4</v>
      </c>
      <c r="NXT4095" s="34">
        <v>-5</v>
      </c>
      <c r="NXU4095" s="908"/>
      <c r="NXV4095" s="909"/>
      <c r="NXW4095" s="34">
        <v>-5</v>
      </c>
      <c r="NXX4095" s="34">
        <v>-4.5</v>
      </c>
      <c r="NXY4095" s="34">
        <v>-4</v>
      </c>
      <c r="NXZ4095" s="34">
        <v>-3.5</v>
      </c>
      <c r="NYA4095" s="34">
        <v>-3</v>
      </c>
      <c r="NYB4095" s="34">
        <v>-2.5</v>
      </c>
      <c r="NYC4095" s="34">
        <v>-2</v>
      </c>
      <c r="NYD4095" s="34">
        <v>-1.5</v>
      </c>
      <c r="NYE4095" s="34">
        <v>-1</v>
      </c>
      <c r="NYF4095" s="34">
        <v>-0.5</v>
      </c>
      <c r="NYG4095" s="34">
        <v>0</v>
      </c>
      <c r="NYH4095" s="34">
        <v>0.5</v>
      </c>
      <c r="NYI4095" s="34">
        <v>1</v>
      </c>
      <c r="NYJ4095" s="34">
        <v>1.5</v>
      </c>
      <c r="NYK4095" s="34">
        <v>2</v>
      </c>
      <c r="NYL4095" s="34">
        <v>2.5</v>
      </c>
      <c r="NYM4095" s="34">
        <v>3</v>
      </c>
      <c r="NYN4095" s="34">
        <v>3.5</v>
      </c>
      <c r="NYO4095" s="34">
        <v>4</v>
      </c>
      <c r="NYP4095" s="34">
        <v>4.5</v>
      </c>
      <c r="NYQ4095" s="34">
        <v>5</v>
      </c>
      <c r="NYS4095" s="913"/>
      <c r="NYT4095" s="31">
        <v>1</v>
      </c>
      <c r="NYU4095" s="34">
        <v>0</v>
      </c>
      <c r="NYV4095" s="34">
        <v>-1</v>
      </c>
      <c r="NYW4095" s="34">
        <v>-2</v>
      </c>
      <c r="NYX4095" s="34">
        <v>-3</v>
      </c>
      <c r="NYY4095" s="34">
        <v>-4</v>
      </c>
      <c r="NYZ4095" s="34">
        <v>-5</v>
      </c>
      <c r="NZA4095" s="908"/>
      <c r="NZB4095" s="909"/>
      <c r="NZC4095" s="34">
        <v>-5</v>
      </c>
      <c r="NZD4095" s="34">
        <v>-4.5</v>
      </c>
      <c r="NZE4095" s="34">
        <v>-4</v>
      </c>
      <c r="NZF4095" s="34">
        <v>-3.5</v>
      </c>
      <c r="NZG4095" s="34">
        <v>-3</v>
      </c>
      <c r="NZH4095" s="34">
        <v>-2.5</v>
      </c>
      <c r="NZI4095" s="34">
        <v>-2</v>
      </c>
      <c r="NZJ4095" s="34">
        <v>-1.5</v>
      </c>
      <c r="NZK4095" s="34">
        <v>-1</v>
      </c>
      <c r="NZL4095" s="34">
        <v>-0.5</v>
      </c>
      <c r="NZM4095" s="34">
        <v>0</v>
      </c>
      <c r="NZN4095" s="34">
        <v>0.5</v>
      </c>
      <c r="NZO4095" s="34">
        <v>1</v>
      </c>
      <c r="NZP4095" s="34">
        <v>1.5</v>
      </c>
      <c r="NZQ4095" s="34">
        <v>2</v>
      </c>
      <c r="NZR4095" s="34">
        <v>2.5</v>
      </c>
      <c r="NZS4095" s="34">
        <v>3</v>
      </c>
      <c r="NZT4095" s="34">
        <v>3.5</v>
      </c>
      <c r="NZU4095" s="34">
        <v>4</v>
      </c>
      <c r="NZV4095" s="34">
        <v>4.5</v>
      </c>
      <c r="NZW4095" s="34">
        <v>5</v>
      </c>
      <c r="NZY4095" s="913"/>
      <c r="NZZ4095" s="31">
        <v>1</v>
      </c>
      <c r="OAA4095" s="34">
        <v>0</v>
      </c>
      <c r="OAB4095" s="34">
        <v>-1</v>
      </c>
      <c r="OAC4095" s="34">
        <v>-2</v>
      </c>
      <c r="OAD4095" s="34">
        <v>-3</v>
      </c>
      <c r="OAE4095" s="34">
        <v>-4</v>
      </c>
      <c r="OAF4095" s="34">
        <v>-5</v>
      </c>
      <c r="OAG4095" s="908"/>
      <c r="OAH4095" s="909"/>
      <c r="OAI4095" s="34">
        <v>-5</v>
      </c>
      <c r="OAJ4095" s="34">
        <v>-4.5</v>
      </c>
      <c r="OAK4095" s="34">
        <v>-4</v>
      </c>
      <c r="OAL4095" s="34">
        <v>-3.5</v>
      </c>
      <c r="OAM4095" s="34">
        <v>-3</v>
      </c>
      <c r="OAN4095" s="34">
        <v>-2.5</v>
      </c>
      <c r="OAO4095" s="34">
        <v>-2</v>
      </c>
      <c r="OAP4095" s="34">
        <v>-1.5</v>
      </c>
      <c r="OAQ4095" s="34">
        <v>-1</v>
      </c>
      <c r="OAR4095" s="34">
        <v>-0.5</v>
      </c>
      <c r="OAS4095" s="34">
        <v>0</v>
      </c>
      <c r="OAT4095" s="34">
        <v>0.5</v>
      </c>
      <c r="OAU4095" s="34">
        <v>1</v>
      </c>
      <c r="OAV4095" s="34">
        <v>1.5</v>
      </c>
      <c r="OAW4095" s="34">
        <v>2</v>
      </c>
      <c r="OAX4095" s="34">
        <v>2.5</v>
      </c>
      <c r="OAY4095" s="34">
        <v>3</v>
      </c>
      <c r="OAZ4095" s="34">
        <v>3.5</v>
      </c>
      <c r="OBA4095" s="34">
        <v>4</v>
      </c>
      <c r="OBB4095" s="34">
        <v>4.5</v>
      </c>
      <c r="OBC4095" s="34">
        <v>5</v>
      </c>
      <c r="OBE4095" s="913"/>
      <c r="OBF4095" s="31">
        <v>1</v>
      </c>
      <c r="OBG4095" s="34">
        <v>0</v>
      </c>
      <c r="OBH4095" s="34">
        <v>-1</v>
      </c>
      <c r="OBI4095" s="34">
        <v>-2</v>
      </c>
      <c r="OBJ4095" s="34">
        <v>-3</v>
      </c>
      <c r="OBK4095" s="34">
        <v>-4</v>
      </c>
      <c r="OBL4095" s="34">
        <v>-5</v>
      </c>
      <c r="OBM4095" s="908"/>
      <c r="OBN4095" s="909"/>
      <c r="OBO4095" s="34">
        <v>-5</v>
      </c>
      <c r="OBP4095" s="34">
        <v>-4.5</v>
      </c>
      <c r="OBQ4095" s="34">
        <v>-4</v>
      </c>
      <c r="OBR4095" s="34">
        <v>-3.5</v>
      </c>
      <c r="OBS4095" s="34">
        <v>-3</v>
      </c>
      <c r="OBT4095" s="34">
        <v>-2.5</v>
      </c>
      <c r="OBU4095" s="34">
        <v>-2</v>
      </c>
      <c r="OBV4095" s="34">
        <v>-1.5</v>
      </c>
      <c r="OBW4095" s="34">
        <v>-1</v>
      </c>
      <c r="OBX4095" s="34">
        <v>-0.5</v>
      </c>
      <c r="OBY4095" s="34">
        <v>0</v>
      </c>
      <c r="OBZ4095" s="34">
        <v>0.5</v>
      </c>
      <c r="OCA4095" s="34">
        <v>1</v>
      </c>
      <c r="OCB4095" s="34">
        <v>1.5</v>
      </c>
      <c r="OCC4095" s="34">
        <v>2</v>
      </c>
      <c r="OCD4095" s="34">
        <v>2.5</v>
      </c>
      <c r="OCE4095" s="34">
        <v>3</v>
      </c>
      <c r="OCF4095" s="34">
        <v>3.5</v>
      </c>
      <c r="OCG4095" s="34">
        <v>4</v>
      </c>
      <c r="OCH4095" s="34">
        <v>4.5</v>
      </c>
      <c r="OCI4095" s="34">
        <v>5</v>
      </c>
      <c r="OCK4095" s="913"/>
      <c r="OCL4095" s="31">
        <v>1</v>
      </c>
      <c r="OCM4095" s="34">
        <v>0</v>
      </c>
      <c r="OCN4095" s="34">
        <v>-1</v>
      </c>
      <c r="OCO4095" s="34">
        <v>-2</v>
      </c>
      <c r="OCP4095" s="34">
        <v>-3</v>
      </c>
      <c r="OCQ4095" s="34">
        <v>-4</v>
      </c>
      <c r="OCR4095" s="34">
        <v>-5</v>
      </c>
      <c r="OCS4095" s="908"/>
      <c r="OCT4095" s="909"/>
      <c r="OCU4095" s="34">
        <v>-5</v>
      </c>
      <c r="OCV4095" s="34">
        <v>-4.5</v>
      </c>
      <c r="OCW4095" s="34">
        <v>-4</v>
      </c>
      <c r="OCX4095" s="34">
        <v>-3.5</v>
      </c>
      <c r="OCY4095" s="34">
        <v>-3</v>
      </c>
      <c r="OCZ4095" s="34">
        <v>-2.5</v>
      </c>
      <c r="ODA4095" s="34">
        <v>-2</v>
      </c>
      <c r="ODB4095" s="34">
        <v>-1.5</v>
      </c>
      <c r="ODC4095" s="34">
        <v>-1</v>
      </c>
      <c r="ODD4095" s="34">
        <v>-0.5</v>
      </c>
      <c r="ODE4095" s="34">
        <v>0</v>
      </c>
      <c r="ODF4095" s="34">
        <v>0.5</v>
      </c>
      <c r="ODG4095" s="34">
        <v>1</v>
      </c>
      <c r="ODH4095" s="34">
        <v>1.5</v>
      </c>
      <c r="ODI4095" s="34">
        <v>2</v>
      </c>
      <c r="ODJ4095" s="34">
        <v>2.5</v>
      </c>
      <c r="ODK4095" s="34">
        <v>3</v>
      </c>
      <c r="ODL4095" s="34">
        <v>3.5</v>
      </c>
      <c r="ODM4095" s="34">
        <v>4</v>
      </c>
      <c r="ODN4095" s="34">
        <v>4.5</v>
      </c>
      <c r="ODO4095" s="34">
        <v>5</v>
      </c>
      <c r="ODQ4095" s="913"/>
      <c r="ODR4095" s="31">
        <v>1</v>
      </c>
      <c r="ODS4095" s="34">
        <v>0</v>
      </c>
      <c r="ODT4095" s="34">
        <v>-1</v>
      </c>
      <c r="ODU4095" s="34">
        <v>-2</v>
      </c>
      <c r="ODV4095" s="34">
        <v>-3</v>
      </c>
      <c r="ODW4095" s="34">
        <v>-4</v>
      </c>
      <c r="ODX4095" s="34">
        <v>-5</v>
      </c>
      <c r="ODY4095" s="908"/>
      <c r="ODZ4095" s="909"/>
      <c r="OEA4095" s="34">
        <v>-5</v>
      </c>
      <c r="OEB4095" s="34">
        <v>-4.5</v>
      </c>
      <c r="OEC4095" s="34">
        <v>-4</v>
      </c>
      <c r="OED4095" s="34">
        <v>-3.5</v>
      </c>
      <c r="OEE4095" s="34">
        <v>-3</v>
      </c>
      <c r="OEF4095" s="34">
        <v>-2.5</v>
      </c>
      <c r="OEG4095" s="34">
        <v>-2</v>
      </c>
      <c r="OEH4095" s="34">
        <v>-1.5</v>
      </c>
      <c r="OEI4095" s="34">
        <v>-1</v>
      </c>
      <c r="OEJ4095" s="34">
        <v>-0.5</v>
      </c>
      <c r="OEK4095" s="34">
        <v>0</v>
      </c>
      <c r="OEL4095" s="34">
        <v>0.5</v>
      </c>
      <c r="OEM4095" s="34">
        <v>1</v>
      </c>
      <c r="OEN4095" s="34">
        <v>1.5</v>
      </c>
      <c r="OEO4095" s="34">
        <v>2</v>
      </c>
      <c r="OEP4095" s="34">
        <v>2.5</v>
      </c>
      <c r="OEQ4095" s="34">
        <v>3</v>
      </c>
      <c r="OER4095" s="34">
        <v>3.5</v>
      </c>
      <c r="OES4095" s="34">
        <v>4</v>
      </c>
      <c r="OET4095" s="34">
        <v>4.5</v>
      </c>
      <c r="OEU4095" s="34">
        <v>5</v>
      </c>
      <c r="OEW4095" s="913"/>
      <c r="OEX4095" s="31">
        <v>1</v>
      </c>
      <c r="OEY4095" s="34">
        <v>0</v>
      </c>
      <c r="OEZ4095" s="34">
        <v>-1</v>
      </c>
      <c r="OFA4095" s="34">
        <v>-2</v>
      </c>
      <c r="OFB4095" s="34">
        <v>-3</v>
      </c>
      <c r="OFC4095" s="34">
        <v>-4</v>
      </c>
      <c r="OFD4095" s="34">
        <v>-5</v>
      </c>
      <c r="OFE4095" s="908"/>
      <c r="OFF4095" s="909"/>
      <c r="OFG4095" s="34">
        <v>-5</v>
      </c>
      <c r="OFH4095" s="34">
        <v>-4.5</v>
      </c>
      <c r="OFI4095" s="34">
        <v>-4</v>
      </c>
      <c r="OFJ4095" s="34">
        <v>-3.5</v>
      </c>
      <c r="OFK4095" s="34">
        <v>-3</v>
      </c>
      <c r="OFL4095" s="34">
        <v>-2.5</v>
      </c>
      <c r="OFM4095" s="34">
        <v>-2</v>
      </c>
      <c r="OFN4095" s="34">
        <v>-1.5</v>
      </c>
      <c r="OFO4095" s="34">
        <v>-1</v>
      </c>
      <c r="OFP4095" s="34">
        <v>-0.5</v>
      </c>
      <c r="OFQ4095" s="34">
        <v>0</v>
      </c>
      <c r="OFR4095" s="34">
        <v>0.5</v>
      </c>
      <c r="OFS4095" s="34">
        <v>1</v>
      </c>
      <c r="OFT4095" s="34">
        <v>1.5</v>
      </c>
      <c r="OFU4095" s="34">
        <v>2</v>
      </c>
      <c r="OFV4095" s="34">
        <v>2.5</v>
      </c>
      <c r="OFW4095" s="34">
        <v>3</v>
      </c>
      <c r="OFX4095" s="34">
        <v>3.5</v>
      </c>
      <c r="OFY4095" s="34">
        <v>4</v>
      </c>
      <c r="OFZ4095" s="34">
        <v>4.5</v>
      </c>
      <c r="OGA4095" s="34">
        <v>5</v>
      </c>
      <c r="OGC4095" s="913"/>
      <c r="OGD4095" s="31">
        <v>1</v>
      </c>
      <c r="OGE4095" s="34">
        <v>0</v>
      </c>
      <c r="OGF4095" s="34">
        <v>-1</v>
      </c>
      <c r="OGG4095" s="34">
        <v>-2</v>
      </c>
      <c r="OGH4095" s="34">
        <v>-3</v>
      </c>
      <c r="OGI4095" s="34">
        <v>-4</v>
      </c>
      <c r="OGJ4095" s="34">
        <v>-5</v>
      </c>
      <c r="OGK4095" s="908"/>
      <c r="OGL4095" s="909"/>
      <c r="OGM4095" s="34">
        <v>-5</v>
      </c>
      <c r="OGN4095" s="34">
        <v>-4.5</v>
      </c>
      <c r="OGO4095" s="34">
        <v>-4</v>
      </c>
      <c r="OGP4095" s="34">
        <v>-3.5</v>
      </c>
      <c r="OGQ4095" s="34">
        <v>-3</v>
      </c>
      <c r="OGR4095" s="34">
        <v>-2.5</v>
      </c>
      <c r="OGS4095" s="34">
        <v>-2</v>
      </c>
      <c r="OGT4095" s="34">
        <v>-1.5</v>
      </c>
      <c r="OGU4095" s="34">
        <v>-1</v>
      </c>
      <c r="OGV4095" s="34">
        <v>-0.5</v>
      </c>
      <c r="OGW4095" s="34">
        <v>0</v>
      </c>
      <c r="OGX4095" s="34">
        <v>0.5</v>
      </c>
      <c r="OGY4095" s="34">
        <v>1</v>
      </c>
      <c r="OGZ4095" s="34">
        <v>1.5</v>
      </c>
      <c r="OHA4095" s="34">
        <v>2</v>
      </c>
      <c r="OHB4095" s="34">
        <v>2.5</v>
      </c>
      <c r="OHC4095" s="34">
        <v>3</v>
      </c>
      <c r="OHD4095" s="34">
        <v>3.5</v>
      </c>
      <c r="OHE4095" s="34">
        <v>4</v>
      </c>
      <c r="OHF4095" s="34">
        <v>4.5</v>
      </c>
      <c r="OHG4095" s="34">
        <v>5</v>
      </c>
      <c r="OHI4095" s="913"/>
      <c r="OHJ4095" s="31">
        <v>1</v>
      </c>
      <c r="OHK4095" s="34">
        <v>0</v>
      </c>
      <c r="OHL4095" s="34">
        <v>-1</v>
      </c>
      <c r="OHM4095" s="34">
        <v>-2</v>
      </c>
      <c r="OHN4095" s="34">
        <v>-3</v>
      </c>
      <c r="OHO4095" s="34">
        <v>-4</v>
      </c>
      <c r="OHP4095" s="34">
        <v>-5</v>
      </c>
      <c r="OHQ4095" s="908"/>
      <c r="OHR4095" s="909"/>
      <c r="OHS4095" s="34">
        <v>-5</v>
      </c>
      <c r="OHT4095" s="34">
        <v>-4.5</v>
      </c>
      <c r="OHU4095" s="34">
        <v>-4</v>
      </c>
      <c r="OHV4095" s="34">
        <v>-3.5</v>
      </c>
      <c r="OHW4095" s="34">
        <v>-3</v>
      </c>
      <c r="OHX4095" s="34">
        <v>-2.5</v>
      </c>
      <c r="OHY4095" s="34">
        <v>-2</v>
      </c>
      <c r="OHZ4095" s="34">
        <v>-1.5</v>
      </c>
      <c r="OIA4095" s="34">
        <v>-1</v>
      </c>
      <c r="OIB4095" s="34">
        <v>-0.5</v>
      </c>
      <c r="OIC4095" s="34">
        <v>0</v>
      </c>
      <c r="OID4095" s="34">
        <v>0.5</v>
      </c>
      <c r="OIE4095" s="34">
        <v>1</v>
      </c>
      <c r="OIF4095" s="34">
        <v>1.5</v>
      </c>
      <c r="OIG4095" s="34">
        <v>2</v>
      </c>
      <c r="OIH4095" s="34">
        <v>2.5</v>
      </c>
      <c r="OII4095" s="34">
        <v>3</v>
      </c>
      <c r="OIJ4095" s="34">
        <v>3.5</v>
      </c>
      <c r="OIK4095" s="34">
        <v>4</v>
      </c>
      <c r="OIL4095" s="34">
        <v>4.5</v>
      </c>
      <c r="OIM4095" s="34">
        <v>5</v>
      </c>
      <c r="OIO4095" s="913"/>
      <c r="OIP4095" s="31">
        <v>1</v>
      </c>
      <c r="OIQ4095" s="34">
        <v>0</v>
      </c>
      <c r="OIR4095" s="34">
        <v>-1</v>
      </c>
      <c r="OIS4095" s="34">
        <v>-2</v>
      </c>
      <c r="OIT4095" s="34">
        <v>-3</v>
      </c>
      <c r="OIU4095" s="34">
        <v>-4</v>
      </c>
      <c r="OIV4095" s="34">
        <v>-5</v>
      </c>
      <c r="OIW4095" s="908"/>
      <c r="OIX4095" s="909"/>
      <c r="OIY4095" s="34">
        <v>-5</v>
      </c>
      <c r="OIZ4095" s="34">
        <v>-4.5</v>
      </c>
      <c r="OJA4095" s="34">
        <v>-4</v>
      </c>
      <c r="OJB4095" s="34">
        <v>-3.5</v>
      </c>
      <c r="OJC4095" s="34">
        <v>-3</v>
      </c>
      <c r="OJD4095" s="34">
        <v>-2.5</v>
      </c>
      <c r="OJE4095" s="34">
        <v>-2</v>
      </c>
      <c r="OJF4095" s="34">
        <v>-1.5</v>
      </c>
      <c r="OJG4095" s="34">
        <v>-1</v>
      </c>
      <c r="OJH4095" s="34">
        <v>-0.5</v>
      </c>
      <c r="OJI4095" s="34">
        <v>0</v>
      </c>
      <c r="OJJ4095" s="34">
        <v>0.5</v>
      </c>
      <c r="OJK4095" s="34">
        <v>1</v>
      </c>
      <c r="OJL4095" s="34">
        <v>1.5</v>
      </c>
      <c r="OJM4095" s="34">
        <v>2</v>
      </c>
      <c r="OJN4095" s="34">
        <v>2.5</v>
      </c>
      <c r="OJO4095" s="34">
        <v>3</v>
      </c>
      <c r="OJP4095" s="34">
        <v>3.5</v>
      </c>
      <c r="OJQ4095" s="34">
        <v>4</v>
      </c>
      <c r="OJR4095" s="34">
        <v>4.5</v>
      </c>
      <c r="OJS4095" s="34">
        <v>5</v>
      </c>
      <c r="OJU4095" s="913"/>
      <c r="OJV4095" s="31">
        <v>1</v>
      </c>
      <c r="OJW4095" s="34">
        <v>0</v>
      </c>
      <c r="OJX4095" s="34">
        <v>-1</v>
      </c>
      <c r="OJY4095" s="34">
        <v>-2</v>
      </c>
      <c r="OJZ4095" s="34">
        <v>-3</v>
      </c>
      <c r="OKA4095" s="34">
        <v>-4</v>
      </c>
      <c r="OKB4095" s="34">
        <v>-5</v>
      </c>
      <c r="OKC4095" s="908"/>
      <c r="OKD4095" s="909"/>
      <c r="OKE4095" s="34">
        <v>-5</v>
      </c>
      <c r="OKF4095" s="34">
        <v>-4.5</v>
      </c>
      <c r="OKG4095" s="34">
        <v>-4</v>
      </c>
      <c r="OKH4095" s="34">
        <v>-3.5</v>
      </c>
      <c r="OKI4095" s="34">
        <v>-3</v>
      </c>
      <c r="OKJ4095" s="34">
        <v>-2.5</v>
      </c>
      <c r="OKK4095" s="34">
        <v>-2</v>
      </c>
      <c r="OKL4095" s="34">
        <v>-1.5</v>
      </c>
      <c r="OKM4095" s="34">
        <v>-1</v>
      </c>
      <c r="OKN4095" s="34">
        <v>-0.5</v>
      </c>
      <c r="OKO4095" s="34">
        <v>0</v>
      </c>
      <c r="OKP4095" s="34">
        <v>0.5</v>
      </c>
      <c r="OKQ4095" s="34">
        <v>1</v>
      </c>
      <c r="OKR4095" s="34">
        <v>1.5</v>
      </c>
      <c r="OKS4095" s="34">
        <v>2</v>
      </c>
      <c r="OKT4095" s="34">
        <v>2.5</v>
      </c>
      <c r="OKU4095" s="34">
        <v>3</v>
      </c>
      <c r="OKV4095" s="34">
        <v>3.5</v>
      </c>
      <c r="OKW4095" s="34">
        <v>4</v>
      </c>
      <c r="OKX4095" s="34">
        <v>4.5</v>
      </c>
      <c r="OKY4095" s="34">
        <v>5</v>
      </c>
      <c r="OLA4095" s="913"/>
      <c r="OLB4095" s="31">
        <v>1</v>
      </c>
      <c r="OLC4095" s="34">
        <v>0</v>
      </c>
      <c r="OLD4095" s="34">
        <v>-1</v>
      </c>
      <c r="OLE4095" s="34">
        <v>-2</v>
      </c>
      <c r="OLF4095" s="34">
        <v>-3</v>
      </c>
      <c r="OLG4095" s="34">
        <v>-4</v>
      </c>
      <c r="OLH4095" s="34">
        <v>-5</v>
      </c>
      <c r="OLI4095" s="908"/>
      <c r="OLJ4095" s="909"/>
      <c r="OLK4095" s="34">
        <v>-5</v>
      </c>
      <c r="OLL4095" s="34">
        <v>-4.5</v>
      </c>
      <c r="OLM4095" s="34">
        <v>-4</v>
      </c>
      <c r="OLN4095" s="34">
        <v>-3.5</v>
      </c>
      <c r="OLO4095" s="34">
        <v>-3</v>
      </c>
      <c r="OLP4095" s="34">
        <v>-2.5</v>
      </c>
      <c r="OLQ4095" s="34">
        <v>-2</v>
      </c>
      <c r="OLR4095" s="34">
        <v>-1.5</v>
      </c>
      <c r="OLS4095" s="34">
        <v>-1</v>
      </c>
      <c r="OLT4095" s="34">
        <v>-0.5</v>
      </c>
      <c r="OLU4095" s="34">
        <v>0</v>
      </c>
      <c r="OLV4095" s="34">
        <v>0.5</v>
      </c>
      <c r="OLW4095" s="34">
        <v>1</v>
      </c>
      <c r="OLX4095" s="34">
        <v>1.5</v>
      </c>
      <c r="OLY4095" s="34">
        <v>2</v>
      </c>
      <c r="OLZ4095" s="34">
        <v>2.5</v>
      </c>
      <c r="OMA4095" s="34">
        <v>3</v>
      </c>
      <c r="OMB4095" s="34">
        <v>3.5</v>
      </c>
      <c r="OMC4095" s="34">
        <v>4</v>
      </c>
      <c r="OMD4095" s="34">
        <v>4.5</v>
      </c>
      <c r="OME4095" s="34">
        <v>5</v>
      </c>
      <c r="OMG4095" s="913"/>
      <c r="OMH4095" s="31">
        <v>1</v>
      </c>
      <c r="OMI4095" s="34">
        <v>0</v>
      </c>
      <c r="OMJ4095" s="34">
        <v>-1</v>
      </c>
      <c r="OMK4095" s="34">
        <v>-2</v>
      </c>
      <c r="OML4095" s="34">
        <v>-3</v>
      </c>
      <c r="OMM4095" s="34">
        <v>-4</v>
      </c>
      <c r="OMN4095" s="34">
        <v>-5</v>
      </c>
      <c r="OMO4095" s="908"/>
      <c r="OMP4095" s="909"/>
      <c r="OMQ4095" s="34">
        <v>-5</v>
      </c>
      <c r="OMR4095" s="34">
        <v>-4.5</v>
      </c>
      <c r="OMS4095" s="34">
        <v>-4</v>
      </c>
      <c r="OMT4095" s="34">
        <v>-3.5</v>
      </c>
      <c r="OMU4095" s="34">
        <v>-3</v>
      </c>
      <c r="OMV4095" s="34">
        <v>-2.5</v>
      </c>
      <c r="OMW4095" s="34">
        <v>-2</v>
      </c>
      <c r="OMX4095" s="34">
        <v>-1.5</v>
      </c>
      <c r="OMY4095" s="34">
        <v>-1</v>
      </c>
      <c r="OMZ4095" s="34">
        <v>-0.5</v>
      </c>
      <c r="ONA4095" s="34">
        <v>0</v>
      </c>
      <c r="ONB4095" s="34">
        <v>0.5</v>
      </c>
      <c r="ONC4095" s="34">
        <v>1</v>
      </c>
      <c r="OND4095" s="34">
        <v>1.5</v>
      </c>
      <c r="ONE4095" s="34">
        <v>2</v>
      </c>
      <c r="ONF4095" s="34">
        <v>2.5</v>
      </c>
      <c r="ONG4095" s="34">
        <v>3</v>
      </c>
      <c r="ONH4095" s="34">
        <v>3.5</v>
      </c>
      <c r="ONI4095" s="34">
        <v>4</v>
      </c>
      <c r="ONJ4095" s="34">
        <v>4.5</v>
      </c>
      <c r="ONK4095" s="34">
        <v>5</v>
      </c>
      <c r="ONM4095" s="913"/>
      <c r="ONN4095" s="31">
        <v>1</v>
      </c>
      <c r="ONO4095" s="34">
        <v>0</v>
      </c>
      <c r="ONP4095" s="34">
        <v>-1</v>
      </c>
      <c r="ONQ4095" s="34">
        <v>-2</v>
      </c>
      <c r="ONR4095" s="34">
        <v>-3</v>
      </c>
      <c r="ONS4095" s="34">
        <v>-4</v>
      </c>
      <c r="ONT4095" s="34">
        <v>-5</v>
      </c>
      <c r="ONU4095" s="908"/>
      <c r="ONV4095" s="909"/>
      <c r="ONW4095" s="34">
        <v>-5</v>
      </c>
      <c r="ONX4095" s="34">
        <v>-4.5</v>
      </c>
      <c r="ONY4095" s="34">
        <v>-4</v>
      </c>
      <c r="ONZ4095" s="34">
        <v>-3.5</v>
      </c>
      <c r="OOA4095" s="34">
        <v>-3</v>
      </c>
      <c r="OOB4095" s="34">
        <v>-2.5</v>
      </c>
      <c r="OOC4095" s="34">
        <v>-2</v>
      </c>
      <c r="OOD4095" s="34">
        <v>-1.5</v>
      </c>
      <c r="OOE4095" s="34">
        <v>-1</v>
      </c>
      <c r="OOF4095" s="34">
        <v>-0.5</v>
      </c>
      <c r="OOG4095" s="34">
        <v>0</v>
      </c>
      <c r="OOH4095" s="34">
        <v>0.5</v>
      </c>
      <c r="OOI4095" s="34">
        <v>1</v>
      </c>
      <c r="OOJ4095" s="34">
        <v>1.5</v>
      </c>
      <c r="OOK4095" s="34">
        <v>2</v>
      </c>
      <c r="OOL4095" s="34">
        <v>2.5</v>
      </c>
      <c r="OOM4095" s="34">
        <v>3</v>
      </c>
      <c r="OON4095" s="34">
        <v>3.5</v>
      </c>
      <c r="OOO4095" s="34">
        <v>4</v>
      </c>
      <c r="OOP4095" s="34">
        <v>4.5</v>
      </c>
      <c r="OOQ4095" s="34">
        <v>5</v>
      </c>
      <c r="OOS4095" s="913"/>
      <c r="OOT4095" s="31">
        <v>1</v>
      </c>
      <c r="OOU4095" s="34">
        <v>0</v>
      </c>
      <c r="OOV4095" s="34">
        <v>-1</v>
      </c>
      <c r="OOW4095" s="34">
        <v>-2</v>
      </c>
      <c r="OOX4095" s="34">
        <v>-3</v>
      </c>
      <c r="OOY4095" s="34">
        <v>-4</v>
      </c>
      <c r="OOZ4095" s="34">
        <v>-5</v>
      </c>
      <c r="OPA4095" s="908"/>
      <c r="OPB4095" s="909"/>
      <c r="OPC4095" s="34">
        <v>-5</v>
      </c>
      <c r="OPD4095" s="34">
        <v>-4.5</v>
      </c>
      <c r="OPE4095" s="34">
        <v>-4</v>
      </c>
      <c r="OPF4095" s="34">
        <v>-3.5</v>
      </c>
      <c r="OPG4095" s="34">
        <v>-3</v>
      </c>
      <c r="OPH4095" s="34">
        <v>-2.5</v>
      </c>
      <c r="OPI4095" s="34">
        <v>-2</v>
      </c>
      <c r="OPJ4095" s="34">
        <v>-1.5</v>
      </c>
      <c r="OPK4095" s="34">
        <v>-1</v>
      </c>
      <c r="OPL4095" s="34">
        <v>-0.5</v>
      </c>
      <c r="OPM4095" s="34">
        <v>0</v>
      </c>
      <c r="OPN4095" s="34">
        <v>0.5</v>
      </c>
      <c r="OPO4095" s="34">
        <v>1</v>
      </c>
      <c r="OPP4095" s="34">
        <v>1.5</v>
      </c>
      <c r="OPQ4095" s="34">
        <v>2</v>
      </c>
      <c r="OPR4095" s="34">
        <v>2.5</v>
      </c>
      <c r="OPS4095" s="34">
        <v>3</v>
      </c>
      <c r="OPT4095" s="34">
        <v>3.5</v>
      </c>
      <c r="OPU4095" s="34">
        <v>4</v>
      </c>
      <c r="OPV4095" s="34">
        <v>4.5</v>
      </c>
      <c r="OPW4095" s="34">
        <v>5</v>
      </c>
      <c r="OPY4095" s="913"/>
      <c r="OPZ4095" s="31">
        <v>1</v>
      </c>
      <c r="OQA4095" s="34">
        <v>0</v>
      </c>
      <c r="OQB4095" s="34">
        <v>-1</v>
      </c>
      <c r="OQC4095" s="34">
        <v>-2</v>
      </c>
      <c r="OQD4095" s="34">
        <v>-3</v>
      </c>
      <c r="OQE4095" s="34">
        <v>-4</v>
      </c>
      <c r="OQF4095" s="34">
        <v>-5</v>
      </c>
      <c r="OQG4095" s="908"/>
      <c r="OQH4095" s="909"/>
      <c r="OQI4095" s="34">
        <v>-5</v>
      </c>
      <c r="OQJ4095" s="34">
        <v>-4.5</v>
      </c>
      <c r="OQK4095" s="34">
        <v>-4</v>
      </c>
      <c r="OQL4095" s="34">
        <v>-3.5</v>
      </c>
      <c r="OQM4095" s="34">
        <v>-3</v>
      </c>
      <c r="OQN4095" s="34">
        <v>-2.5</v>
      </c>
      <c r="OQO4095" s="34">
        <v>-2</v>
      </c>
      <c r="OQP4095" s="34">
        <v>-1.5</v>
      </c>
      <c r="OQQ4095" s="34">
        <v>-1</v>
      </c>
      <c r="OQR4095" s="34">
        <v>-0.5</v>
      </c>
      <c r="OQS4095" s="34">
        <v>0</v>
      </c>
      <c r="OQT4095" s="34">
        <v>0.5</v>
      </c>
      <c r="OQU4095" s="34">
        <v>1</v>
      </c>
      <c r="OQV4095" s="34">
        <v>1.5</v>
      </c>
      <c r="OQW4095" s="34">
        <v>2</v>
      </c>
      <c r="OQX4095" s="34">
        <v>2.5</v>
      </c>
      <c r="OQY4095" s="34">
        <v>3</v>
      </c>
      <c r="OQZ4095" s="34">
        <v>3.5</v>
      </c>
      <c r="ORA4095" s="34">
        <v>4</v>
      </c>
      <c r="ORB4095" s="34">
        <v>4.5</v>
      </c>
      <c r="ORC4095" s="34">
        <v>5</v>
      </c>
      <c r="ORE4095" s="913"/>
      <c r="ORF4095" s="31">
        <v>1</v>
      </c>
      <c r="ORG4095" s="34">
        <v>0</v>
      </c>
      <c r="ORH4095" s="34">
        <v>-1</v>
      </c>
      <c r="ORI4095" s="34">
        <v>-2</v>
      </c>
      <c r="ORJ4095" s="34">
        <v>-3</v>
      </c>
      <c r="ORK4095" s="34">
        <v>-4</v>
      </c>
      <c r="ORL4095" s="34">
        <v>-5</v>
      </c>
      <c r="ORM4095" s="908"/>
      <c r="ORN4095" s="909"/>
      <c r="ORO4095" s="34">
        <v>-5</v>
      </c>
      <c r="ORP4095" s="34">
        <v>-4.5</v>
      </c>
      <c r="ORQ4095" s="34">
        <v>-4</v>
      </c>
      <c r="ORR4095" s="34">
        <v>-3.5</v>
      </c>
      <c r="ORS4095" s="34">
        <v>-3</v>
      </c>
      <c r="ORT4095" s="34">
        <v>-2.5</v>
      </c>
      <c r="ORU4095" s="34">
        <v>-2</v>
      </c>
      <c r="ORV4095" s="34">
        <v>-1.5</v>
      </c>
      <c r="ORW4095" s="34">
        <v>-1</v>
      </c>
      <c r="ORX4095" s="34">
        <v>-0.5</v>
      </c>
      <c r="ORY4095" s="34">
        <v>0</v>
      </c>
      <c r="ORZ4095" s="34">
        <v>0.5</v>
      </c>
      <c r="OSA4095" s="34">
        <v>1</v>
      </c>
      <c r="OSB4095" s="34">
        <v>1.5</v>
      </c>
      <c r="OSC4095" s="34">
        <v>2</v>
      </c>
      <c r="OSD4095" s="34">
        <v>2.5</v>
      </c>
      <c r="OSE4095" s="34">
        <v>3</v>
      </c>
      <c r="OSF4095" s="34">
        <v>3.5</v>
      </c>
      <c r="OSG4095" s="34">
        <v>4</v>
      </c>
      <c r="OSH4095" s="34">
        <v>4.5</v>
      </c>
      <c r="OSI4095" s="34">
        <v>5</v>
      </c>
      <c r="OSK4095" s="913"/>
      <c r="OSL4095" s="31">
        <v>1</v>
      </c>
      <c r="OSM4095" s="34">
        <v>0</v>
      </c>
      <c r="OSN4095" s="34">
        <v>-1</v>
      </c>
      <c r="OSO4095" s="34">
        <v>-2</v>
      </c>
      <c r="OSP4095" s="34">
        <v>-3</v>
      </c>
      <c r="OSQ4095" s="34">
        <v>-4</v>
      </c>
      <c r="OSR4095" s="34">
        <v>-5</v>
      </c>
      <c r="OSS4095" s="908"/>
      <c r="OST4095" s="909"/>
      <c r="OSU4095" s="34">
        <v>-5</v>
      </c>
      <c r="OSV4095" s="34">
        <v>-4.5</v>
      </c>
      <c r="OSW4095" s="34">
        <v>-4</v>
      </c>
      <c r="OSX4095" s="34">
        <v>-3.5</v>
      </c>
      <c r="OSY4095" s="34">
        <v>-3</v>
      </c>
      <c r="OSZ4095" s="34">
        <v>-2.5</v>
      </c>
      <c r="OTA4095" s="34">
        <v>-2</v>
      </c>
      <c r="OTB4095" s="34">
        <v>-1.5</v>
      </c>
      <c r="OTC4095" s="34">
        <v>-1</v>
      </c>
      <c r="OTD4095" s="34">
        <v>-0.5</v>
      </c>
      <c r="OTE4095" s="34">
        <v>0</v>
      </c>
      <c r="OTF4095" s="34">
        <v>0.5</v>
      </c>
      <c r="OTG4095" s="34">
        <v>1</v>
      </c>
      <c r="OTH4095" s="34">
        <v>1.5</v>
      </c>
      <c r="OTI4095" s="34">
        <v>2</v>
      </c>
      <c r="OTJ4095" s="34">
        <v>2.5</v>
      </c>
      <c r="OTK4095" s="34">
        <v>3</v>
      </c>
      <c r="OTL4095" s="34">
        <v>3.5</v>
      </c>
      <c r="OTM4095" s="34">
        <v>4</v>
      </c>
      <c r="OTN4095" s="34">
        <v>4.5</v>
      </c>
      <c r="OTO4095" s="34">
        <v>5</v>
      </c>
      <c r="OTQ4095" s="913"/>
      <c r="OTR4095" s="31">
        <v>1</v>
      </c>
      <c r="OTS4095" s="34">
        <v>0</v>
      </c>
      <c r="OTT4095" s="34">
        <v>-1</v>
      </c>
      <c r="OTU4095" s="34">
        <v>-2</v>
      </c>
      <c r="OTV4095" s="34">
        <v>-3</v>
      </c>
      <c r="OTW4095" s="34">
        <v>-4</v>
      </c>
      <c r="OTX4095" s="34">
        <v>-5</v>
      </c>
      <c r="OTY4095" s="908"/>
      <c r="OTZ4095" s="909"/>
      <c r="OUA4095" s="34">
        <v>-5</v>
      </c>
      <c r="OUB4095" s="34">
        <v>-4.5</v>
      </c>
      <c r="OUC4095" s="34">
        <v>-4</v>
      </c>
      <c r="OUD4095" s="34">
        <v>-3.5</v>
      </c>
      <c r="OUE4095" s="34">
        <v>-3</v>
      </c>
      <c r="OUF4095" s="34">
        <v>-2.5</v>
      </c>
      <c r="OUG4095" s="34">
        <v>-2</v>
      </c>
      <c r="OUH4095" s="34">
        <v>-1.5</v>
      </c>
      <c r="OUI4095" s="34">
        <v>-1</v>
      </c>
      <c r="OUJ4095" s="34">
        <v>-0.5</v>
      </c>
      <c r="OUK4095" s="34">
        <v>0</v>
      </c>
      <c r="OUL4095" s="34">
        <v>0.5</v>
      </c>
      <c r="OUM4095" s="34">
        <v>1</v>
      </c>
      <c r="OUN4095" s="34">
        <v>1.5</v>
      </c>
      <c r="OUO4095" s="34">
        <v>2</v>
      </c>
      <c r="OUP4095" s="34">
        <v>2.5</v>
      </c>
      <c r="OUQ4095" s="34">
        <v>3</v>
      </c>
      <c r="OUR4095" s="34">
        <v>3.5</v>
      </c>
      <c r="OUS4095" s="34">
        <v>4</v>
      </c>
      <c r="OUT4095" s="34">
        <v>4.5</v>
      </c>
      <c r="OUU4095" s="34">
        <v>5</v>
      </c>
      <c r="OUW4095" s="913"/>
      <c r="OUX4095" s="31">
        <v>1</v>
      </c>
      <c r="OUY4095" s="34">
        <v>0</v>
      </c>
      <c r="OUZ4095" s="34">
        <v>-1</v>
      </c>
      <c r="OVA4095" s="34">
        <v>-2</v>
      </c>
      <c r="OVB4095" s="34">
        <v>-3</v>
      </c>
      <c r="OVC4095" s="34">
        <v>-4</v>
      </c>
      <c r="OVD4095" s="34">
        <v>-5</v>
      </c>
      <c r="OVE4095" s="908"/>
      <c r="OVF4095" s="909"/>
      <c r="OVG4095" s="34">
        <v>-5</v>
      </c>
      <c r="OVH4095" s="34">
        <v>-4.5</v>
      </c>
      <c r="OVI4095" s="34">
        <v>-4</v>
      </c>
      <c r="OVJ4095" s="34">
        <v>-3.5</v>
      </c>
      <c r="OVK4095" s="34">
        <v>-3</v>
      </c>
      <c r="OVL4095" s="34">
        <v>-2.5</v>
      </c>
      <c r="OVM4095" s="34">
        <v>-2</v>
      </c>
      <c r="OVN4095" s="34">
        <v>-1.5</v>
      </c>
      <c r="OVO4095" s="34">
        <v>-1</v>
      </c>
      <c r="OVP4095" s="34">
        <v>-0.5</v>
      </c>
      <c r="OVQ4095" s="34">
        <v>0</v>
      </c>
      <c r="OVR4095" s="34">
        <v>0.5</v>
      </c>
      <c r="OVS4095" s="34">
        <v>1</v>
      </c>
      <c r="OVT4095" s="34">
        <v>1.5</v>
      </c>
      <c r="OVU4095" s="34">
        <v>2</v>
      </c>
      <c r="OVV4095" s="34">
        <v>2.5</v>
      </c>
      <c r="OVW4095" s="34">
        <v>3</v>
      </c>
      <c r="OVX4095" s="34">
        <v>3.5</v>
      </c>
      <c r="OVY4095" s="34">
        <v>4</v>
      </c>
      <c r="OVZ4095" s="34">
        <v>4.5</v>
      </c>
      <c r="OWA4095" s="34">
        <v>5</v>
      </c>
      <c r="OWC4095" s="913"/>
      <c r="OWD4095" s="31">
        <v>1</v>
      </c>
      <c r="OWE4095" s="34">
        <v>0</v>
      </c>
      <c r="OWF4095" s="34">
        <v>-1</v>
      </c>
      <c r="OWG4095" s="34">
        <v>-2</v>
      </c>
      <c r="OWH4095" s="34">
        <v>-3</v>
      </c>
      <c r="OWI4095" s="34">
        <v>-4</v>
      </c>
      <c r="OWJ4095" s="34">
        <v>-5</v>
      </c>
      <c r="OWK4095" s="908"/>
      <c r="OWL4095" s="909"/>
      <c r="OWM4095" s="34">
        <v>-5</v>
      </c>
      <c r="OWN4095" s="34">
        <v>-4.5</v>
      </c>
      <c r="OWO4095" s="34">
        <v>-4</v>
      </c>
      <c r="OWP4095" s="34">
        <v>-3.5</v>
      </c>
      <c r="OWQ4095" s="34">
        <v>-3</v>
      </c>
      <c r="OWR4095" s="34">
        <v>-2.5</v>
      </c>
      <c r="OWS4095" s="34">
        <v>-2</v>
      </c>
      <c r="OWT4095" s="34">
        <v>-1.5</v>
      </c>
      <c r="OWU4095" s="34">
        <v>-1</v>
      </c>
      <c r="OWV4095" s="34">
        <v>-0.5</v>
      </c>
      <c r="OWW4095" s="34">
        <v>0</v>
      </c>
      <c r="OWX4095" s="34">
        <v>0.5</v>
      </c>
      <c r="OWY4095" s="34">
        <v>1</v>
      </c>
      <c r="OWZ4095" s="34">
        <v>1.5</v>
      </c>
      <c r="OXA4095" s="34">
        <v>2</v>
      </c>
      <c r="OXB4095" s="34">
        <v>2.5</v>
      </c>
      <c r="OXC4095" s="34">
        <v>3</v>
      </c>
      <c r="OXD4095" s="34">
        <v>3.5</v>
      </c>
      <c r="OXE4095" s="34">
        <v>4</v>
      </c>
      <c r="OXF4095" s="34">
        <v>4.5</v>
      </c>
      <c r="OXG4095" s="34">
        <v>5</v>
      </c>
      <c r="OXI4095" s="913"/>
      <c r="OXJ4095" s="31">
        <v>1</v>
      </c>
      <c r="OXK4095" s="34">
        <v>0</v>
      </c>
      <c r="OXL4095" s="34">
        <v>-1</v>
      </c>
      <c r="OXM4095" s="34">
        <v>-2</v>
      </c>
      <c r="OXN4095" s="34">
        <v>-3</v>
      </c>
      <c r="OXO4095" s="34">
        <v>-4</v>
      </c>
      <c r="OXP4095" s="34">
        <v>-5</v>
      </c>
      <c r="OXQ4095" s="908"/>
      <c r="OXR4095" s="909"/>
      <c r="OXS4095" s="34">
        <v>-5</v>
      </c>
      <c r="OXT4095" s="34">
        <v>-4.5</v>
      </c>
      <c r="OXU4095" s="34">
        <v>-4</v>
      </c>
      <c r="OXV4095" s="34">
        <v>-3.5</v>
      </c>
      <c r="OXW4095" s="34">
        <v>-3</v>
      </c>
      <c r="OXX4095" s="34">
        <v>-2.5</v>
      </c>
      <c r="OXY4095" s="34">
        <v>-2</v>
      </c>
      <c r="OXZ4095" s="34">
        <v>-1.5</v>
      </c>
      <c r="OYA4095" s="34">
        <v>-1</v>
      </c>
      <c r="OYB4095" s="34">
        <v>-0.5</v>
      </c>
      <c r="OYC4095" s="34">
        <v>0</v>
      </c>
      <c r="OYD4095" s="34">
        <v>0.5</v>
      </c>
      <c r="OYE4095" s="34">
        <v>1</v>
      </c>
      <c r="OYF4095" s="34">
        <v>1.5</v>
      </c>
      <c r="OYG4095" s="34">
        <v>2</v>
      </c>
      <c r="OYH4095" s="34">
        <v>2.5</v>
      </c>
      <c r="OYI4095" s="34">
        <v>3</v>
      </c>
      <c r="OYJ4095" s="34">
        <v>3.5</v>
      </c>
      <c r="OYK4095" s="34">
        <v>4</v>
      </c>
      <c r="OYL4095" s="34">
        <v>4.5</v>
      </c>
      <c r="OYM4095" s="34">
        <v>5</v>
      </c>
      <c r="OYO4095" s="913"/>
      <c r="OYP4095" s="31">
        <v>1</v>
      </c>
      <c r="OYQ4095" s="34">
        <v>0</v>
      </c>
      <c r="OYR4095" s="34">
        <v>-1</v>
      </c>
      <c r="OYS4095" s="34">
        <v>-2</v>
      </c>
      <c r="OYT4095" s="34">
        <v>-3</v>
      </c>
      <c r="OYU4095" s="34">
        <v>-4</v>
      </c>
      <c r="OYV4095" s="34">
        <v>-5</v>
      </c>
      <c r="OYW4095" s="908"/>
      <c r="OYX4095" s="909"/>
      <c r="OYY4095" s="34">
        <v>-5</v>
      </c>
      <c r="OYZ4095" s="34">
        <v>-4.5</v>
      </c>
      <c r="OZA4095" s="34">
        <v>-4</v>
      </c>
      <c r="OZB4095" s="34">
        <v>-3.5</v>
      </c>
      <c r="OZC4095" s="34">
        <v>-3</v>
      </c>
      <c r="OZD4095" s="34">
        <v>-2.5</v>
      </c>
      <c r="OZE4095" s="34">
        <v>-2</v>
      </c>
      <c r="OZF4095" s="34">
        <v>-1.5</v>
      </c>
      <c r="OZG4095" s="34">
        <v>-1</v>
      </c>
      <c r="OZH4095" s="34">
        <v>-0.5</v>
      </c>
      <c r="OZI4095" s="34">
        <v>0</v>
      </c>
      <c r="OZJ4095" s="34">
        <v>0.5</v>
      </c>
      <c r="OZK4095" s="34">
        <v>1</v>
      </c>
      <c r="OZL4095" s="34">
        <v>1.5</v>
      </c>
      <c r="OZM4095" s="34">
        <v>2</v>
      </c>
      <c r="OZN4095" s="34">
        <v>2.5</v>
      </c>
      <c r="OZO4095" s="34">
        <v>3</v>
      </c>
      <c r="OZP4095" s="34">
        <v>3.5</v>
      </c>
      <c r="OZQ4095" s="34">
        <v>4</v>
      </c>
      <c r="OZR4095" s="34">
        <v>4.5</v>
      </c>
      <c r="OZS4095" s="34">
        <v>5</v>
      </c>
      <c r="OZU4095" s="913"/>
      <c r="OZV4095" s="31">
        <v>1</v>
      </c>
      <c r="OZW4095" s="34">
        <v>0</v>
      </c>
      <c r="OZX4095" s="34">
        <v>-1</v>
      </c>
      <c r="OZY4095" s="34">
        <v>-2</v>
      </c>
      <c r="OZZ4095" s="34">
        <v>-3</v>
      </c>
      <c r="PAA4095" s="34">
        <v>-4</v>
      </c>
      <c r="PAB4095" s="34">
        <v>-5</v>
      </c>
      <c r="PAC4095" s="908"/>
      <c r="PAD4095" s="909"/>
      <c r="PAE4095" s="34">
        <v>-5</v>
      </c>
      <c r="PAF4095" s="34">
        <v>-4.5</v>
      </c>
      <c r="PAG4095" s="34">
        <v>-4</v>
      </c>
      <c r="PAH4095" s="34">
        <v>-3.5</v>
      </c>
      <c r="PAI4095" s="34">
        <v>-3</v>
      </c>
      <c r="PAJ4095" s="34">
        <v>-2.5</v>
      </c>
      <c r="PAK4095" s="34">
        <v>-2</v>
      </c>
      <c r="PAL4095" s="34">
        <v>-1.5</v>
      </c>
      <c r="PAM4095" s="34">
        <v>-1</v>
      </c>
      <c r="PAN4095" s="34">
        <v>-0.5</v>
      </c>
      <c r="PAO4095" s="34">
        <v>0</v>
      </c>
      <c r="PAP4095" s="34">
        <v>0.5</v>
      </c>
      <c r="PAQ4095" s="34">
        <v>1</v>
      </c>
      <c r="PAR4095" s="34">
        <v>1.5</v>
      </c>
      <c r="PAS4095" s="34">
        <v>2</v>
      </c>
      <c r="PAT4095" s="34">
        <v>2.5</v>
      </c>
      <c r="PAU4095" s="34">
        <v>3</v>
      </c>
      <c r="PAV4095" s="34">
        <v>3.5</v>
      </c>
      <c r="PAW4095" s="34">
        <v>4</v>
      </c>
      <c r="PAX4095" s="34">
        <v>4.5</v>
      </c>
      <c r="PAY4095" s="34">
        <v>5</v>
      </c>
      <c r="PBA4095" s="913"/>
      <c r="PBB4095" s="31">
        <v>1</v>
      </c>
      <c r="PBC4095" s="34">
        <v>0</v>
      </c>
      <c r="PBD4095" s="34">
        <v>-1</v>
      </c>
      <c r="PBE4095" s="34">
        <v>-2</v>
      </c>
      <c r="PBF4095" s="34">
        <v>-3</v>
      </c>
      <c r="PBG4095" s="34">
        <v>-4</v>
      </c>
      <c r="PBH4095" s="34">
        <v>-5</v>
      </c>
      <c r="PBI4095" s="908"/>
      <c r="PBJ4095" s="909"/>
      <c r="PBK4095" s="34">
        <v>-5</v>
      </c>
      <c r="PBL4095" s="34">
        <v>-4.5</v>
      </c>
      <c r="PBM4095" s="34">
        <v>-4</v>
      </c>
      <c r="PBN4095" s="34">
        <v>-3.5</v>
      </c>
      <c r="PBO4095" s="34">
        <v>-3</v>
      </c>
      <c r="PBP4095" s="34">
        <v>-2.5</v>
      </c>
      <c r="PBQ4095" s="34">
        <v>-2</v>
      </c>
      <c r="PBR4095" s="34">
        <v>-1.5</v>
      </c>
      <c r="PBS4095" s="34">
        <v>-1</v>
      </c>
      <c r="PBT4095" s="34">
        <v>-0.5</v>
      </c>
      <c r="PBU4095" s="34">
        <v>0</v>
      </c>
      <c r="PBV4095" s="34">
        <v>0.5</v>
      </c>
      <c r="PBW4095" s="34">
        <v>1</v>
      </c>
      <c r="PBX4095" s="34">
        <v>1.5</v>
      </c>
      <c r="PBY4095" s="34">
        <v>2</v>
      </c>
      <c r="PBZ4095" s="34">
        <v>2.5</v>
      </c>
      <c r="PCA4095" s="34">
        <v>3</v>
      </c>
      <c r="PCB4095" s="34">
        <v>3.5</v>
      </c>
      <c r="PCC4095" s="34">
        <v>4</v>
      </c>
      <c r="PCD4095" s="34">
        <v>4.5</v>
      </c>
      <c r="PCE4095" s="34">
        <v>5</v>
      </c>
      <c r="PCG4095" s="913"/>
      <c r="PCH4095" s="31">
        <v>1</v>
      </c>
      <c r="PCI4095" s="34">
        <v>0</v>
      </c>
      <c r="PCJ4095" s="34">
        <v>-1</v>
      </c>
      <c r="PCK4095" s="34">
        <v>-2</v>
      </c>
      <c r="PCL4095" s="34">
        <v>-3</v>
      </c>
      <c r="PCM4095" s="34">
        <v>-4</v>
      </c>
      <c r="PCN4095" s="34">
        <v>-5</v>
      </c>
      <c r="PCO4095" s="908"/>
      <c r="PCP4095" s="909"/>
      <c r="PCQ4095" s="34">
        <v>-5</v>
      </c>
      <c r="PCR4095" s="34">
        <v>-4.5</v>
      </c>
      <c r="PCS4095" s="34">
        <v>-4</v>
      </c>
      <c r="PCT4095" s="34">
        <v>-3.5</v>
      </c>
      <c r="PCU4095" s="34">
        <v>-3</v>
      </c>
      <c r="PCV4095" s="34">
        <v>-2.5</v>
      </c>
      <c r="PCW4095" s="34">
        <v>-2</v>
      </c>
      <c r="PCX4095" s="34">
        <v>-1.5</v>
      </c>
      <c r="PCY4095" s="34">
        <v>-1</v>
      </c>
      <c r="PCZ4095" s="34">
        <v>-0.5</v>
      </c>
      <c r="PDA4095" s="34">
        <v>0</v>
      </c>
      <c r="PDB4095" s="34">
        <v>0.5</v>
      </c>
      <c r="PDC4095" s="34">
        <v>1</v>
      </c>
      <c r="PDD4095" s="34">
        <v>1.5</v>
      </c>
      <c r="PDE4095" s="34">
        <v>2</v>
      </c>
      <c r="PDF4095" s="34">
        <v>2.5</v>
      </c>
      <c r="PDG4095" s="34">
        <v>3</v>
      </c>
      <c r="PDH4095" s="34">
        <v>3.5</v>
      </c>
      <c r="PDI4095" s="34">
        <v>4</v>
      </c>
      <c r="PDJ4095" s="34">
        <v>4.5</v>
      </c>
      <c r="PDK4095" s="34">
        <v>5</v>
      </c>
      <c r="PDM4095" s="913"/>
      <c r="PDN4095" s="31">
        <v>1</v>
      </c>
      <c r="PDO4095" s="34">
        <v>0</v>
      </c>
      <c r="PDP4095" s="34">
        <v>-1</v>
      </c>
      <c r="PDQ4095" s="34">
        <v>-2</v>
      </c>
      <c r="PDR4095" s="34">
        <v>-3</v>
      </c>
      <c r="PDS4095" s="34">
        <v>-4</v>
      </c>
      <c r="PDT4095" s="34">
        <v>-5</v>
      </c>
      <c r="PDU4095" s="908"/>
      <c r="PDV4095" s="909"/>
      <c r="PDW4095" s="34">
        <v>-5</v>
      </c>
      <c r="PDX4095" s="34">
        <v>-4.5</v>
      </c>
      <c r="PDY4095" s="34">
        <v>-4</v>
      </c>
      <c r="PDZ4095" s="34">
        <v>-3.5</v>
      </c>
      <c r="PEA4095" s="34">
        <v>-3</v>
      </c>
      <c r="PEB4095" s="34">
        <v>-2.5</v>
      </c>
      <c r="PEC4095" s="34">
        <v>-2</v>
      </c>
      <c r="PED4095" s="34">
        <v>-1.5</v>
      </c>
      <c r="PEE4095" s="34">
        <v>-1</v>
      </c>
      <c r="PEF4095" s="34">
        <v>-0.5</v>
      </c>
      <c r="PEG4095" s="34">
        <v>0</v>
      </c>
      <c r="PEH4095" s="34">
        <v>0.5</v>
      </c>
      <c r="PEI4095" s="34">
        <v>1</v>
      </c>
      <c r="PEJ4095" s="34">
        <v>1.5</v>
      </c>
      <c r="PEK4095" s="34">
        <v>2</v>
      </c>
      <c r="PEL4095" s="34">
        <v>2.5</v>
      </c>
      <c r="PEM4095" s="34">
        <v>3</v>
      </c>
      <c r="PEN4095" s="34">
        <v>3.5</v>
      </c>
      <c r="PEO4095" s="34">
        <v>4</v>
      </c>
      <c r="PEP4095" s="34">
        <v>4.5</v>
      </c>
      <c r="PEQ4095" s="34">
        <v>5</v>
      </c>
      <c r="PES4095" s="913"/>
      <c r="PET4095" s="31">
        <v>1</v>
      </c>
      <c r="PEU4095" s="34">
        <v>0</v>
      </c>
      <c r="PEV4095" s="34">
        <v>-1</v>
      </c>
      <c r="PEW4095" s="34">
        <v>-2</v>
      </c>
      <c r="PEX4095" s="34">
        <v>-3</v>
      </c>
      <c r="PEY4095" s="34">
        <v>-4</v>
      </c>
      <c r="PEZ4095" s="34">
        <v>-5</v>
      </c>
      <c r="PFA4095" s="908"/>
      <c r="PFB4095" s="909"/>
      <c r="PFC4095" s="34">
        <v>-5</v>
      </c>
      <c r="PFD4095" s="34">
        <v>-4.5</v>
      </c>
      <c r="PFE4095" s="34">
        <v>-4</v>
      </c>
      <c r="PFF4095" s="34">
        <v>-3.5</v>
      </c>
      <c r="PFG4095" s="34">
        <v>-3</v>
      </c>
      <c r="PFH4095" s="34">
        <v>-2.5</v>
      </c>
      <c r="PFI4095" s="34">
        <v>-2</v>
      </c>
      <c r="PFJ4095" s="34">
        <v>-1.5</v>
      </c>
      <c r="PFK4095" s="34">
        <v>-1</v>
      </c>
      <c r="PFL4095" s="34">
        <v>-0.5</v>
      </c>
      <c r="PFM4095" s="34">
        <v>0</v>
      </c>
      <c r="PFN4095" s="34">
        <v>0.5</v>
      </c>
      <c r="PFO4095" s="34">
        <v>1</v>
      </c>
      <c r="PFP4095" s="34">
        <v>1.5</v>
      </c>
      <c r="PFQ4095" s="34">
        <v>2</v>
      </c>
      <c r="PFR4095" s="34">
        <v>2.5</v>
      </c>
      <c r="PFS4095" s="34">
        <v>3</v>
      </c>
      <c r="PFT4095" s="34">
        <v>3.5</v>
      </c>
      <c r="PFU4095" s="34">
        <v>4</v>
      </c>
      <c r="PFV4095" s="34">
        <v>4.5</v>
      </c>
      <c r="PFW4095" s="34">
        <v>5</v>
      </c>
      <c r="PFY4095" s="913"/>
      <c r="PFZ4095" s="31">
        <v>1</v>
      </c>
      <c r="PGA4095" s="34">
        <v>0</v>
      </c>
      <c r="PGB4095" s="34">
        <v>-1</v>
      </c>
      <c r="PGC4095" s="34">
        <v>-2</v>
      </c>
      <c r="PGD4095" s="34">
        <v>-3</v>
      </c>
      <c r="PGE4095" s="34">
        <v>-4</v>
      </c>
      <c r="PGF4095" s="34">
        <v>-5</v>
      </c>
      <c r="PGG4095" s="908"/>
      <c r="PGH4095" s="909"/>
      <c r="PGI4095" s="34">
        <v>-5</v>
      </c>
      <c r="PGJ4095" s="34">
        <v>-4.5</v>
      </c>
      <c r="PGK4095" s="34">
        <v>-4</v>
      </c>
      <c r="PGL4095" s="34">
        <v>-3.5</v>
      </c>
      <c r="PGM4095" s="34">
        <v>-3</v>
      </c>
      <c r="PGN4095" s="34">
        <v>-2.5</v>
      </c>
      <c r="PGO4095" s="34">
        <v>-2</v>
      </c>
      <c r="PGP4095" s="34">
        <v>-1.5</v>
      </c>
      <c r="PGQ4095" s="34">
        <v>-1</v>
      </c>
      <c r="PGR4095" s="34">
        <v>-0.5</v>
      </c>
      <c r="PGS4095" s="34">
        <v>0</v>
      </c>
      <c r="PGT4095" s="34">
        <v>0.5</v>
      </c>
      <c r="PGU4095" s="34">
        <v>1</v>
      </c>
      <c r="PGV4095" s="34">
        <v>1.5</v>
      </c>
      <c r="PGW4095" s="34">
        <v>2</v>
      </c>
      <c r="PGX4095" s="34">
        <v>2.5</v>
      </c>
      <c r="PGY4095" s="34">
        <v>3</v>
      </c>
      <c r="PGZ4095" s="34">
        <v>3.5</v>
      </c>
      <c r="PHA4095" s="34">
        <v>4</v>
      </c>
      <c r="PHB4095" s="34">
        <v>4.5</v>
      </c>
      <c r="PHC4095" s="34">
        <v>5</v>
      </c>
      <c r="PHE4095" s="913"/>
      <c r="PHF4095" s="31">
        <v>1</v>
      </c>
      <c r="PHG4095" s="34">
        <v>0</v>
      </c>
      <c r="PHH4095" s="34">
        <v>-1</v>
      </c>
      <c r="PHI4095" s="34">
        <v>-2</v>
      </c>
      <c r="PHJ4095" s="34">
        <v>-3</v>
      </c>
      <c r="PHK4095" s="34">
        <v>-4</v>
      </c>
      <c r="PHL4095" s="34">
        <v>-5</v>
      </c>
      <c r="PHM4095" s="908"/>
      <c r="PHN4095" s="909"/>
      <c r="PHO4095" s="34">
        <v>-5</v>
      </c>
      <c r="PHP4095" s="34">
        <v>-4.5</v>
      </c>
      <c r="PHQ4095" s="34">
        <v>-4</v>
      </c>
      <c r="PHR4095" s="34">
        <v>-3.5</v>
      </c>
      <c r="PHS4095" s="34">
        <v>-3</v>
      </c>
      <c r="PHT4095" s="34">
        <v>-2.5</v>
      </c>
      <c r="PHU4095" s="34">
        <v>-2</v>
      </c>
      <c r="PHV4095" s="34">
        <v>-1.5</v>
      </c>
      <c r="PHW4095" s="34">
        <v>-1</v>
      </c>
      <c r="PHX4095" s="34">
        <v>-0.5</v>
      </c>
      <c r="PHY4095" s="34">
        <v>0</v>
      </c>
      <c r="PHZ4095" s="34">
        <v>0.5</v>
      </c>
      <c r="PIA4095" s="34">
        <v>1</v>
      </c>
      <c r="PIB4095" s="34">
        <v>1.5</v>
      </c>
      <c r="PIC4095" s="34">
        <v>2</v>
      </c>
      <c r="PID4095" s="34">
        <v>2.5</v>
      </c>
      <c r="PIE4095" s="34">
        <v>3</v>
      </c>
      <c r="PIF4095" s="34">
        <v>3.5</v>
      </c>
      <c r="PIG4095" s="34">
        <v>4</v>
      </c>
      <c r="PIH4095" s="34">
        <v>4.5</v>
      </c>
      <c r="PII4095" s="34">
        <v>5</v>
      </c>
      <c r="PIK4095" s="913"/>
      <c r="PIL4095" s="31">
        <v>1</v>
      </c>
      <c r="PIM4095" s="34">
        <v>0</v>
      </c>
      <c r="PIN4095" s="34">
        <v>-1</v>
      </c>
      <c r="PIO4095" s="34">
        <v>-2</v>
      </c>
      <c r="PIP4095" s="34">
        <v>-3</v>
      </c>
      <c r="PIQ4095" s="34">
        <v>-4</v>
      </c>
      <c r="PIR4095" s="34">
        <v>-5</v>
      </c>
      <c r="PIS4095" s="908"/>
      <c r="PIT4095" s="909"/>
      <c r="PIU4095" s="34">
        <v>-5</v>
      </c>
      <c r="PIV4095" s="34">
        <v>-4.5</v>
      </c>
      <c r="PIW4095" s="34">
        <v>-4</v>
      </c>
      <c r="PIX4095" s="34">
        <v>-3.5</v>
      </c>
      <c r="PIY4095" s="34">
        <v>-3</v>
      </c>
      <c r="PIZ4095" s="34">
        <v>-2.5</v>
      </c>
      <c r="PJA4095" s="34">
        <v>-2</v>
      </c>
      <c r="PJB4095" s="34">
        <v>-1.5</v>
      </c>
      <c r="PJC4095" s="34">
        <v>-1</v>
      </c>
      <c r="PJD4095" s="34">
        <v>-0.5</v>
      </c>
      <c r="PJE4095" s="34">
        <v>0</v>
      </c>
      <c r="PJF4095" s="34">
        <v>0.5</v>
      </c>
      <c r="PJG4095" s="34">
        <v>1</v>
      </c>
      <c r="PJH4095" s="34">
        <v>1.5</v>
      </c>
      <c r="PJI4095" s="34">
        <v>2</v>
      </c>
      <c r="PJJ4095" s="34">
        <v>2.5</v>
      </c>
      <c r="PJK4095" s="34">
        <v>3</v>
      </c>
      <c r="PJL4095" s="34">
        <v>3.5</v>
      </c>
      <c r="PJM4095" s="34">
        <v>4</v>
      </c>
      <c r="PJN4095" s="34">
        <v>4.5</v>
      </c>
      <c r="PJO4095" s="34">
        <v>5</v>
      </c>
      <c r="PJQ4095" s="913"/>
      <c r="PJR4095" s="31">
        <v>1</v>
      </c>
      <c r="PJS4095" s="34">
        <v>0</v>
      </c>
      <c r="PJT4095" s="34">
        <v>-1</v>
      </c>
      <c r="PJU4095" s="34">
        <v>-2</v>
      </c>
      <c r="PJV4095" s="34">
        <v>-3</v>
      </c>
      <c r="PJW4095" s="34">
        <v>-4</v>
      </c>
      <c r="PJX4095" s="34">
        <v>-5</v>
      </c>
      <c r="PJY4095" s="908"/>
      <c r="PJZ4095" s="909"/>
      <c r="PKA4095" s="34">
        <v>-5</v>
      </c>
      <c r="PKB4095" s="34">
        <v>-4.5</v>
      </c>
      <c r="PKC4095" s="34">
        <v>-4</v>
      </c>
      <c r="PKD4095" s="34">
        <v>-3.5</v>
      </c>
      <c r="PKE4095" s="34">
        <v>-3</v>
      </c>
      <c r="PKF4095" s="34">
        <v>-2.5</v>
      </c>
      <c r="PKG4095" s="34">
        <v>-2</v>
      </c>
      <c r="PKH4095" s="34">
        <v>-1.5</v>
      </c>
      <c r="PKI4095" s="34">
        <v>-1</v>
      </c>
      <c r="PKJ4095" s="34">
        <v>-0.5</v>
      </c>
      <c r="PKK4095" s="34">
        <v>0</v>
      </c>
      <c r="PKL4095" s="34">
        <v>0.5</v>
      </c>
      <c r="PKM4095" s="34">
        <v>1</v>
      </c>
      <c r="PKN4095" s="34">
        <v>1.5</v>
      </c>
      <c r="PKO4095" s="34">
        <v>2</v>
      </c>
      <c r="PKP4095" s="34">
        <v>2.5</v>
      </c>
      <c r="PKQ4095" s="34">
        <v>3</v>
      </c>
      <c r="PKR4095" s="34">
        <v>3.5</v>
      </c>
      <c r="PKS4095" s="34">
        <v>4</v>
      </c>
      <c r="PKT4095" s="34">
        <v>4.5</v>
      </c>
      <c r="PKU4095" s="34">
        <v>5</v>
      </c>
      <c r="PKW4095" s="913"/>
      <c r="PKX4095" s="31">
        <v>1</v>
      </c>
      <c r="PKY4095" s="34">
        <v>0</v>
      </c>
      <c r="PKZ4095" s="34">
        <v>-1</v>
      </c>
      <c r="PLA4095" s="34">
        <v>-2</v>
      </c>
      <c r="PLB4095" s="34">
        <v>-3</v>
      </c>
      <c r="PLC4095" s="34">
        <v>-4</v>
      </c>
      <c r="PLD4095" s="34">
        <v>-5</v>
      </c>
      <c r="PLE4095" s="908"/>
      <c r="PLF4095" s="909"/>
      <c r="PLG4095" s="34">
        <v>-5</v>
      </c>
      <c r="PLH4095" s="34">
        <v>-4.5</v>
      </c>
      <c r="PLI4095" s="34">
        <v>-4</v>
      </c>
      <c r="PLJ4095" s="34">
        <v>-3.5</v>
      </c>
      <c r="PLK4095" s="34">
        <v>-3</v>
      </c>
      <c r="PLL4095" s="34">
        <v>-2.5</v>
      </c>
      <c r="PLM4095" s="34">
        <v>-2</v>
      </c>
      <c r="PLN4095" s="34">
        <v>-1.5</v>
      </c>
      <c r="PLO4095" s="34">
        <v>-1</v>
      </c>
      <c r="PLP4095" s="34">
        <v>-0.5</v>
      </c>
      <c r="PLQ4095" s="34">
        <v>0</v>
      </c>
      <c r="PLR4095" s="34">
        <v>0.5</v>
      </c>
      <c r="PLS4095" s="34">
        <v>1</v>
      </c>
      <c r="PLT4095" s="34">
        <v>1.5</v>
      </c>
      <c r="PLU4095" s="34">
        <v>2</v>
      </c>
      <c r="PLV4095" s="34">
        <v>2.5</v>
      </c>
      <c r="PLW4095" s="34">
        <v>3</v>
      </c>
      <c r="PLX4095" s="34">
        <v>3.5</v>
      </c>
      <c r="PLY4095" s="34">
        <v>4</v>
      </c>
      <c r="PLZ4095" s="34">
        <v>4.5</v>
      </c>
      <c r="PMA4095" s="34">
        <v>5</v>
      </c>
      <c r="PMC4095" s="913"/>
      <c r="PMD4095" s="31">
        <v>1</v>
      </c>
      <c r="PME4095" s="34">
        <v>0</v>
      </c>
      <c r="PMF4095" s="34">
        <v>-1</v>
      </c>
      <c r="PMG4095" s="34">
        <v>-2</v>
      </c>
      <c r="PMH4095" s="34">
        <v>-3</v>
      </c>
      <c r="PMI4095" s="34">
        <v>-4</v>
      </c>
      <c r="PMJ4095" s="34">
        <v>-5</v>
      </c>
      <c r="PMK4095" s="908"/>
      <c r="PML4095" s="909"/>
      <c r="PMM4095" s="34">
        <v>-5</v>
      </c>
      <c r="PMN4095" s="34">
        <v>-4.5</v>
      </c>
      <c r="PMO4095" s="34">
        <v>-4</v>
      </c>
      <c r="PMP4095" s="34">
        <v>-3.5</v>
      </c>
      <c r="PMQ4095" s="34">
        <v>-3</v>
      </c>
      <c r="PMR4095" s="34">
        <v>-2.5</v>
      </c>
      <c r="PMS4095" s="34">
        <v>-2</v>
      </c>
      <c r="PMT4095" s="34">
        <v>-1.5</v>
      </c>
      <c r="PMU4095" s="34">
        <v>-1</v>
      </c>
      <c r="PMV4095" s="34">
        <v>-0.5</v>
      </c>
      <c r="PMW4095" s="34">
        <v>0</v>
      </c>
      <c r="PMX4095" s="34">
        <v>0.5</v>
      </c>
      <c r="PMY4095" s="34">
        <v>1</v>
      </c>
      <c r="PMZ4095" s="34">
        <v>1.5</v>
      </c>
      <c r="PNA4095" s="34">
        <v>2</v>
      </c>
      <c r="PNB4095" s="34">
        <v>2.5</v>
      </c>
      <c r="PNC4095" s="34">
        <v>3</v>
      </c>
      <c r="PND4095" s="34">
        <v>3.5</v>
      </c>
      <c r="PNE4095" s="34">
        <v>4</v>
      </c>
      <c r="PNF4095" s="34">
        <v>4.5</v>
      </c>
      <c r="PNG4095" s="34">
        <v>5</v>
      </c>
      <c r="PNI4095" s="913"/>
      <c r="PNJ4095" s="31">
        <v>1</v>
      </c>
      <c r="PNK4095" s="34">
        <v>0</v>
      </c>
      <c r="PNL4095" s="34">
        <v>-1</v>
      </c>
      <c r="PNM4095" s="34">
        <v>-2</v>
      </c>
      <c r="PNN4095" s="34">
        <v>-3</v>
      </c>
      <c r="PNO4095" s="34">
        <v>-4</v>
      </c>
      <c r="PNP4095" s="34">
        <v>-5</v>
      </c>
      <c r="PNQ4095" s="908"/>
      <c r="PNR4095" s="909"/>
      <c r="PNS4095" s="34">
        <v>-5</v>
      </c>
      <c r="PNT4095" s="34">
        <v>-4.5</v>
      </c>
      <c r="PNU4095" s="34">
        <v>-4</v>
      </c>
      <c r="PNV4095" s="34">
        <v>-3.5</v>
      </c>
      <c r="PNW4095" s="34">
        <v>-3</v>
      </c>
      <c r="PNX4095" s="34">
        <v>-2.5</v>
      </c>
      <c r="PNY4095" s="34">
        <v>-2</v>
      </c>
      <c r="PNZ4095" s="34">
        <v>-1.5</v>
      </c>
      <c r="POA4095" s="34">
        <v>-1</v>
      </c>
      <c r="POB4095" s="34">
        <v>-0.5</v>
      </c>
      <c r="POC4095" s="34">
        <v>0</v>
      </c>
      <c r="POD4095" s="34">
        <v>0.5</v>
      </c>
      <c r="POE4095" s="34">
        <v>1</v>
      </c>
      <c r="POF4095" s="34">
        <v>1.5</v>
      </c>
      <c r="POG4095" s="34">
        <v>2</v>
      </c>
      <c r="POH4095" s="34">
        <v>2.5</v>
      </c>
      <c r="POI4095" s="34">
        <v>3</v>
      </c>
      <c r="POJ4095" s="34">
        <v>3.5</v>
      </c>
      <c r="POK4095" s="34">
        <v>4</v>
      </c>
      <c r="POL4095" s="34">
        <v>4.5</v>
      </c>
      <c r="POM4095" s="34">
        <v>5</v>
      </c>
      <c r="POO4095" s="913"/>
      <c r="POP4095" s="31">
        <v>1</v>
      </c>
      <c r="POQ4095" s="34">
        <v>0</v>
      </c>
      <c r="POR4095" s="34">
        <v>-1</v>
      </c>
      <c r="POS4095" s="34">
        <v>-2</v>
      </c>
      <c r="POT4095" s="34">
        <v>-3</v>
      </c>
      <c r="POU4095" s="34">
        <v>-4</v>
      </c>
      <c r="POV4095" s="34">
        <v>-5</v>
      </c>
      <c r="POW4095" s="908"/>
      <c r="POX4095" s="909"/>
      <c r="POY4095" s="34">
        <v>-5</v>
      </c>
      <c r="POZ4095" s="34">
        <v>-4.5</v>
      </c>
      <c r="PPA4095" s="34">
        <v>-4</v>
      </c>
      <c r="PPB4095" s="34">
        <v>-3.5</v>
      </c>
      <c r="PPC4095" s="34">
        <v>-3</v>
      </c>
      <c r="PPD4095" s="34">
        <v>-2.5</v>
      </c>
      <c r="PPE4095" s="34">
        <v>-2</v>
      </c>
      <c r="PPF4095" s="34">
        <v>-1.5</v>
      </c>
      <c r="PPG4095" s="34">
        <v>-1</v>
      </c>
      <c r="PPH4095" s="34">
        <v>-0.5</v>
      </c>
      <c r="PPI4095" s="34">
        <v>0</v>
      </c>
      <c r="PPJ4095" s="34">
        <v>0.5</v>
      </c>
      <c r="PPK4095" s="34">
        <v>1</v>
      </c>
      <c r="PPL4095" s="34">
        <v>1.5</v>
      </c>
      <c r="PPM4095" s="34">
        <v>2</v>
      </c>
      <c r="PPN4095" s="34">
        <v>2.5</v>
      </c>
      <c r="PPO4095" s="34">
        <v>3</v>
      </c>
      <c r="PPP4095" s="34">
        <v>3.5</v>
      </c>
      <c r="PPQ4095" s="34">
        <v>4</v>
      </c>
      <c r="PPR4095" s="34">
        <v>4.5</v>
      </c>
      <c r="PPS4095" s="34">
        <v>5</v>
      </c>
      <c r="PPU4095" s="913"/>
      <c r="PPV4095" s="31">
        <v>1</v>
      </c>
      <c r="PPW4095" s="34">
        <v>0</v>
      </c>
      <c r="PPX4095" s="34">
        <v>-1</v>
      </c>
      <c r="PPY4095" s="34">
        <v>-2</v>
      </c>
      <c r="PPZ4095" s="34">
        <v>-3</v>
      </c>
      <c r="PQA4095" s="34">
        <v>-4</v>
      </c>
      <c r="PQB4095" s="34">
        <v>-5</v>
      </c>
      <c r="PQC4095" s="908"/>
      <c r="PQD4095" s="909"/>
      <c r="PQE4095" s="34">
        <v>-5</v>
      </c>
      <c r="PQF4095" s="34">
        <v>-4.5</v>
      </c>
      <c r="PQG4095" s="34">
        <v>-4</v>
      </c>
      <c r="PQH4095" s="34">
        <v>-3.5</v>
      </c>
      <c r="PQI4095" s="34">
        <v>-3</v>
      </c>
      <c r="PQJ4095" s="34">
        <v>-2.5</v>
      </c>
      <c r="PQK4095" s="34">
        <v>-2</v>
      </c>
      <c r="PQL4095" s="34">
        <v>-1.5</v>
      </c>
      <c r="PQM4095" s="34">
        <v>-1</v>
      </c>
      <c r="PQN4095" s="34">
        <v>-0.5</v>
      </c>
      <c r="PQO4095" s="34">
        <v>0</v>
      </c>
      <c r="PQP4095" s="34">
        <v>0.5</v>
      </c>
      <c r="PQQ4095" s="34">
        <v>1</v>
      </c>
      <c r="PQR4095" s="34">
        <v>1.5</v>
      </c>
      <c r="PQS4095" s="34">
        <v>2</v>
      </c>
      <c r="PQT4095" s="34">
        <v>2.5</v>
      </c>
      <c r="PQU4095" s="34">
        <v>3</v>
      </c>
      <c r="PQV4095" s="34">
        <v>3.5</v>
      </c>
      <c r="PQW4095" s="34">
        <v>4</v>
      </c>
      <c r="PQX4095" s="34">
        <v>4.5</v>
      </c>
      <c r="PQY4095" s="34">
        <v>5</v>
      </c>
      <c r="PRA4095" s="913"/>
      <c r="PRB4095" s="31">
        <v>1</v>
      </c>
      <c r="PRC4095" s="34">
        <v>0</v>
      </c>
      <c r="PRD4095" s="34">
        <v>-1</v>
      </c>
      <c r="PRE4095" s="34">
        <v>-2</v>
      </c>
      <c r="PRF4095" s="34">
        <v>-3</v>
      </c>
      <c r="PRG4095" s="34">
        <v>-4</v>
      </c>
      <c r="PRH4095" s="34">
        <v>-5</v>
      </c>
      <c r="PRI4095" s="908"/>
      <c r="PRJ4095" s="909"/>
      <c r="PRK4095" s="34">
        <v>-5</v>
      </c>
      <c r="PRL4095" s="34">
        <v>-4.5</v>
      </c>
      <c r="PRM4095" s="34">
        <v>-4</v>
      </c>
      <c r="PRN4095" s="34">
        <v>-3.5</v>
      </c>
      <c r="PRO4095" s="34">
        <v>-3</v>
      </c>
      <c r="PRP4095" s="34">
        <v>-2.5</v>
      </c>
      <c r="PRQ4095" s="34">
        <v>-2</v>
      </c>
      <c r="PRR4095" s="34">
        <v>-1.5</v>
      </c>
      <c r="PRS4095" s="34">
        <v>-1</v>
      </c>
      <c r="PRT4095" s="34">
        <v>-0.5</v>
      </c>
      <c r="PRU4095" s="34">
        <v>0</v>
      </c>
      <c r="PRV4095" s="34">
        <v>0.5</v>
      </c>
      <c r="PRW4095" s="34">
        <v>1</v>
      </c>
      <c r="PRX4095" s="34">
        <v>1.5</v>
      </c>
      <c r="PRY4095" s="34">
        <v>2</v>
      </c>
      <c r="PRZ4095" s="34">
        <v>2.5</v>
      </c>
      <c r="PSA4095" s="34">
        <v>3</v>
      </c>
      <c r="PSB4095" s="34">
        <v>3.5</v>
      </c>
      <c r="PSC4095" s="34">
        <v>4</v>
      </c>
      <c r="PSD4095" s="34">
        <v>4.5</v>
      </c>
      <c r="PSE4095" s="34">
        <v>5</v>
      </c>
      <c r="PSG4095" s="913"/>
      <c r="PSH4095" s="31">
        <v>1</v>
      </c>
      <c r="PSI4095" s="34">
        <v>0</v>
      </c>
      <c r="PSJ4095" s="34">
        <v>-1</v>
      </c>
      <c r="PSK4095" s="34">
        <v>-2</v>
      </c>
      <c r="PSL4095" s="34">
        <v>-3</v>
      </c>
      <c r="PSM4095" s="34">
        <v>-4</v>
      </c>
      <c r="PSN4095" s="34">
        <v>-5</v>
      </c>
      <c r="PSO4095" s="908"/>
      <c r="PSP4095" s="909"/>
      <c r="PSQ4095" s="34">
        <v>-5</v>
      </c>
      <c r="PSR4095" s="34">
        <v>-4.5</v>
      </c>
      <c r="PSS4095" s="34">
        <v>-4</v>
      </c>
      <c r="PST4095" s="34">
        <v>-3.5</v>
      </c>
      <c r="PSU4095" s="34">
        <v>-3</v>
      </c>
      <c r="PSV4095" s="34">
        <v>-2.5</v>
      </c>
      <c r="PSW4095" s="34">
        <v>-2</v>
      </c>
      <c r="PSX4095" s="34">
        <v>-1.5</v>
      </c>
      <c r="PSY4095" s="34">
        <v>-1</v>
      </c>
      <c r="PSZ4095" s="34">
        <v>-0.5</v>
      </c>
      <c r="PTA4095" s="34">
        <v>0</v>
      </c>
      <c r="PTB4095" s="34">
        <v>0.5</v>
      </c>
      <c r="PTC4095" s="34">
        <v>1</v>
      </c>
      <c r="PTD4095" s="34">
        <v>1.5</v>
      </c>
      <c r="PTE4095" s="34">
        <v>2</v>
      </c>
      <c r="PTF4095" s="34">
        <v>2.5</v>
      </c>
      <c r="PTG4095" s="34">
        <v>3</v>
      </c>
      <c r="PTH4095" s="34">
        <v>3.5</v>
      </c>
      <c r="PTI4095" s="34">
        <v>4</v>
      </c>
      <c r="PTJ4095" s="34">
        <v>4.5</v>
      </c>
      <c r="PTK4095" s="34">
        <v>5</v>
      </c>
      <c r="PTM4095" s="913"/>
      <c r="PTN4095" s="31">
        <v>1</v>
      </c>
      <c r="PTO4095" s="34">
        <v>0</v>
      </c>
      <c r="PTP4095" s="34">
        <v>-1</v>
      </c>
      <c r="PTQ4095" s="34">
        <v>-2</v>
      </c>
      <c r="PTR4095" s="34">
        <v>-3</v>
      </c>
      <c r="PTS4095" s="34">
        <v>-4</v>
      </c>
      <c r="PTT4095" s="34">
        <v>-5</v>
      </c>
      <c r="PTU4095" s="908"/>
      <c r="PTV4095" s="909"/>
      <c r="PTW4095" s="34">
        <v>-5</v>
      </c>
      <c r="PTX4095" s="34">
        <v>-4.5</v>
      </c>
      <c r="PTY4095" s="34">
        <v>-4</v>
      </c>
      <c r="PTZ4095" s="34">
        <v>-3.5</v>
      </c>
      <c r="PUA4095" s="34">
        <v>-3</v>
      </c>
      <c r="PUB4095" s="34">
        <v>-2.5</v>
      </c>
      <c r="PUC4095" s="34">
        <v>-2</v>
      </c>
      <c r="PUD4095" s="34">
        <v>-1.5</v>
      </c>
      <c r="PUE4095" s="34">
        <v>-1</v>
      </c>
      <c r="PUF4095" s="34">
        <v>-0.5</v>
      </c>
      <c r="PUG4095" s="34">
        <v>0</v>
      </c>
      <c r="PUH4095" s="34">
        <v>0.5</v>
      </c>
      <c r="PUI4095" s="34">
        <v>1</v>
      </c>
      <c r="PUJ4095" s="34">
        <v>1.5</v>
      </c>
      <c r="PUK4095" s="34">
        <v>2</v>
      </c>
      <c r="PUL4095" s="34">
        <v>2.5</v>
      </c>
      <c r="PUM4095" s="34">
        <v>3</v>
      </c>
      <c r="PUN4095" s="34">
        <v>3.5</v>
      </c>
      <c r="PUO4095" s="34">
        <v>4</v>
      </c>
      <c r="PUP4095" s="34">
        <v>4.5</v>
      </c>
      <c r="PUQ4095" s="34">
        <v>5</v>
      </c>
      <c r="PUS4095" s="913"/>
      <c r="PUT4095" s="31">
        <v>1</v>
      </c>
      <c r="PUU4095" s="34">
        <v>0</v>
      </c>
      <c r="PUV4095" s="34">
        <v>-1</v>
      </c>
      <c r="PUW4095" s="34">
        <v>-2</v>
      </c>
      <c r="PUX4095" s="34">
        <v>-3</v>
      </c>
      <c r="PUY4095" s="34">
        <v>-4</v>
      </c>
      <c r="PUZ4095" s="34">
        <v>-5</v>
      </c>
      <c r="PVA4095" s="908"/>
      <c r="PVB4095" s="909"/>
      <c r="PVC4095" s="34">
        <v>-5</v>
      </c>
      <c r="PVD4095" s="34">
        <v>-4.5</v>
      </c>
      <c r="PVE4095" s="34">
        <v>-4</v>
      </c>
      <c r="PVF4095" s="34">
        <v>-3.5</v>
      </c>
      <c r="PVG4095" s="34">
        <v>-3</v>
      </c>
      <c r="PVH4095" s="34">
        <v>-2.5</v>
      </c>
      <c r="PVI4095" s="34">
        <v>-2</v>
      </c>
      <c r="PVJ4095" s="34">
        <v>-1.5</v>
      </c>
      <c r="PVK4095" s="34">
        <v>-1</v>
      </c>
      <c r="PVL4095" s="34">
        <v>-0.5</v>
      </c>
      <c r="PVM4095" s="34">
        <v>0</v>
      </c>
      <c r="PVN4095" s="34">
        <v>0.5</v>
      </c>
      <c r="PVO4095" s="34">
        <v>1</v>
      </c>
      <c r="PVP4095" s="34">
        <v>1.5</v>
      </c>
      <c r="PVQ4095" s="34">
        <v>2</v>
      </c>
      <c r="PVR4095" s="34">
        <v>2.5</v>
      </c>
      <c r="PVS4095" s="34">
        <v>3</v>
      </c>
      <c r="PVT4095" s="34">
        <v>3.5</v>
      </c>
      <c r="PVU4095" s="34">
        <v>4</v>
      </c>
      <c r="PVV4095" s="34">
        <v>4.5</v>
      </c>
      <c r="PVW4095" s="34">
        <v>5</v>
      </c>
      <c r="PVY4095" s="913"/>
      <c r="PVZ4095" s="31">
        <v>1</v>
      </c>
      <c r="PWA4095" s="34">
        <v>0</v>
      </c>
      <c r="PWB4095" s="34">
        <v>-1</v>
      </c>
      <c r="PWC4095" s="34">
        <v>-2</v>
      </c>
      <c r="PWD4095" s="34">
        <v>-3</v>
      </c>
      <c r="PWE4095" s="34">
        <v>-4</v>
      </c>
      <c r="PWF4095" s="34">
        <v>-5</v>
      </c>
      <c r="PWG4095" s="908"/>
      <c r="PWH4095" s="909"/>
      <c r="PWI4095" s="34">
        <v>-5</v>
      </c>
      <c r="PWJ4095" s="34">
        <v>-4.5</v>
      </c>
      <c r="PWK4095" s="34">
        <v>-4</v>
      </c>
      <c r="PWL4095" s="34">
        <v>-3.5</v>
      </c>
      <c r="PWM4095" s="34">
        <v>-3</v>
      </c>
      <c r="PWN4095" s="34">
        <v>-2.5</v>
      </c>
      <c r="PWO4095" s="34">
        <v>-2</v>
      </c>
      <c r="PWP4095" s="34">
        <v>-1.5</v>
      </c>
      <c r="PWQ4095" s="34">
        <v>-1</v>
      </c>
      <c r="PWR4095" s="34">
        <v>-0.5</v>
      </c>
      <c r="PWS4095" s="34">
        <v>0</v>
      </c>
      <c r="PWT4095" s="34">
        <v>0.5</v>
      </c>
      <c r="PWU4095" s="34">
        <v>1</v>
      </c>
      <c r="PWV4095" s="34">
        <v>1.5</v>
      </c>
      <c r="PWW4095" s="34">
        <v>2</v>
      </c>
      <c r="PWX4095" s="34">
        <v>2.5</v>
      </c>
      <c r="PWY4095" s="34">
        <v>3</v>
      </c>
      <c r="PWZ4095" s="34">
        <v>3.5</v>
      </c>
      <c r="PXA4095" s="34">
        <v>4</v>
      </c>
      <c r="PXB4095" s="34">
        <v>4.5</v>
      </c>
      <c r="PXC4095" s="34">
        <v>5</v>
      </c>
      <c r="PXE4095" s="913"/>
      <c r="PXF4095" s="31">
        <v>1</v>
      </c>
      <c r="PXG4095" s="34">
        <v>0</v>
      </c>
      <c r="PXH4095" s="34">
        <v>-1</v>
      </c>
      <c r="PXI4095" s="34">
        <v>-2</v>
      </c>
      <c r="PXJ4095" s="34">
        <v>-3</v>
      </c>
      <c r="PXK4095" s="34">
        <v>-4</v>
      </c>
      <c r="PXL4095" s="34">
        <v>-5</v>
      </c>
      <c r="PXM4095" s="908"/>
      <c r="PXN4095" s="909"/>
      <c r="PXO4095" s="34">
        <v>-5</v>
      </c>
      <c r="PXP4095" s="34">
        <v>-4.5</v>
      </c>
      <c r="PXQ4095" s="34">
        <v>-4</v>
      </c>
      <c r="PXR4095" s="34">
        <v>-3.5</v>
      </c>
      <c r="PXS4095" s="34">
        <v>-3</v>
      </c>
      <c r="PXT4095" s="34">
        <v>-2.5</v>
      </c>
      <c r="PXU4095" s="34">
        <v>-2</v>
      </c>
      <c r="PXV4095" s="34">
        <v>-1.5</v>
      </c>
      <c r="PXW4095" s="34">
        <v>-1</v>
      </c>
      <c r="PXX4095" s="34">
        <v>-0.5</v>
      </c>
      <c r="PXY4095" s="34">
        <v>0</v>
      </c>
      <c r="PXZ4095" s="34">
        <v>0.5</v>
      </c>
      <c r="PYA4095" s="34">
        <v>1</v>
      </c>
      <c r="PYB4095" s="34">
        <v>1.5</v>
      </c>
      <c r="PYC4095" s="34">
        <v>2</v>
      </c>
      <c r="PYD4095" s="34">
        <v>2.5</v>
      </c>
      <c r="PYE4095" s="34">
        <v>3</v>
      </c>
      <c r="PYF4095" s="34">
        <v>3.5</v>
      </c>
      <c r="PYG4095" s="34">
        <v>4</v>
      </c>
      <c r="PYH4095" s="34">
        <v>4.5</v>
      </c>
      <c r="PYI4095" s="34">
        <v>5</v>
      </c>
      <c r="PYK4095" s="913"/>
      <c r="PYL4095" s="31">
        <v>1</v>
      </c>
      <c r="PYM4095" s="34">
        <v>0</v>
      </c>
      <c r="PYN4095" s="34">
        <v>-1</v>
      </c>
      <c r="PYO4095" s="34">
        <v>-2</v>
      </c>
      <c r="PYP4095" s="34">
        <v>-3</v>
      </c>
      <c r="PYQ4095" s="34">
        <v>-4</v>
      </c>
      <c r="PYR4095" s="34">
        <v>-5</v>
      </c>
      <c r="PYS4095" s="908"/>
      <c r="PYT4095" s="909"/>
      <c r="PYU4095" s="34">
        <v>-5</v>
      </c>
      <c r="PYV4095" s="34">
        <v>-4.5</v>
      </c>
      <c r="PYW4095" s="34">
        <v>-4</v>
      </c>
      <c r="PYX4095" s="34">
        <v>-3.5</v>
      </c>
      <c r="PYY4095" s="34">
        <v>-3</v>
      </c>
      <c r="PYZ4095" s="34">
        <v>-2.5</v>
      </c>
      <c r="PZA4095" s="34">
        <v>-2</v>
      </c>
      <c r="PZB4095" s="34">
        <v>-1.5</v>
      </c>
      <c r="PZC4095" s="34">
        <v>-1</v>
      </c>
      <c r="PZD4095" s="34">
        <v>-0.5</v>
      </c>
      <c r="PZE4095" s="34">
        <v>0</v>
      </c>
      <c r="PZF4095" s="34">
        <v>0.5</v>
      </c>
      <c r="PZG4095" s="34">
        <v>1</v>
      </c>
      <c r="PZH4095" s="34">
        <v>1.5</v>
      </c>
      <c r="PZI4095" s="34">
        <v>2</v>
      </c>
      <c r="PZJ4095" s="34">
        <v>2.5</v>
      </c>
      <c r="PZK4095" s="34">
        <v>3</v>
      </c>
      <c r="PZL4095" s="34">
        <v>3.5</v>
      </c>
      <c r="PZM4095" s="34">
        <v>4</v>
      </c>
      <c r="PZN4095" s="34">
        <v>4.5</v>
      </c>
      <c r="PZO4095" s="34">
        <v>5</v>
      </c>
      <c r="PZQ4095" s="913"/>
      <c r="PZR4095" s="31">
        <v>1</v>
      </c>
      <c r="PZS4095" s="34">
        <v>0</v>
      </c>
      <c r="PZT4095" s="34">
        <v>-1</v>
      </c>
      <c r="PZU4095" s="34">
        <v>-2</v>
      </c>
      <c r="PZV4095" s="34">
        <v>-3</v>
      </c>
      <c r="PZW4095" s="34">
        <v>-4</v>
      </c>
      <c r="PZX4095" s="34">
        <v>-5</v>
      </c>
      <c r="PZY4095" s="908"/>
      <c r="PZZ4095" s="909"/>
      <c r="QAA4095" s="34">
        <v>-5</v>
      </c>
      <c r="QAB4095" s="34">
        <v>-4.5</v>
      </c>
      <c r="QAC4095" s="34">
        <v>-4</v>
      </c>
      <c r="QAD4095" s="34">
        <v>-3.5</v>
      </c>
      <c r="QAE4095" s="34">
        <v>-3</v>
      </c>
      <c r="QAF4095" s="34">
        <v>-2.5</v>
      </c>
      <c r="QAG4095" s="34">
        <v>-2</v>
      </c>
      <c r="QAH4095" s="34">
        <v>-1.5</v>
      </c>
      <c r="QAI4095" s="34">
        <v>-1</v>
      </c>
      <c r="QAJ4095" s="34">
        <v>-0.5</v>
      </c>
      <c r="QAK4095" s="34">
        <v>0</v>
      </c>
      <c r="QAL4095" s="34">
        <v>0.5</v>
      </c>
      <c r="QAM4095" s="34">
        <v>1</v>
      </c>
      <c r="QAN4095" s="34">
        <v>1.5</v>
      </c>
      <c r="QAO4095" s="34">
        <v>2</v>
      </c>
      <c r="QAP4095" s="34">
        <v>2.5</v>
      </c>
      <c r="QAQ4095" s="34">
        <v>3</v>
      </c>
      <c r="QAR4095" s="34">
        <v>3.5</v>
      </c>
      <c r="QAS4095" s="34">
        <v>4</v>
      </c>
      <c r="QAT4095" s="34">
        <v>4.5</v>
      </c>
      <c r="QAU4095" s="34">
        <v>5</v>
      </c>
      <c r="QAW4095" s="913"/>
      <c r="QAX4095" s="31">
        <v>1</v>
      </c>
      <c r="QAY4095" s="34">
        <v>0</v>
      </c>
      <c r="QAZ4095" s="34">
        <v>-1</v>
      </c>
      <c r="QBA4095" s="34">
        <v>-2</v>
      </c>
      <c r="QBB4095" s="34">
        <v>-3</v>
      </c>
      <c r="QBC4095" s="34">
        <v>-4</v>
      </c>
      <c r="QBD4095" s="34">
        <v>-5</v>
      </c>
      <c r="QBE4095" s="908"/>
      <c r="QBF4095" s="909"/>
      <c r="QBG4095" s="34">
        <v>-5</v>
      </c>
      <c r="QBH4095" s="34">
        <v>-4.5</v>
      </c>
      <c r="QBI4095" s="34">
        <v>-4</v>
      </c>
      <c r="QBJ4095" s="34">
        <v>-3.5</v>
      </c>
      <c r="QBK4095" s="34">
        <v>-3</v>
      </c>
      <c r="QBL4095" s="34">
        <v>-2.5</v>
      </c>
      <c r="QBM4095" s="34">
        <v>-2</v>
      </c>
      <c r="QBN4095" s="34">
        <v>-1.5</v>
      </c>
      <c r="QBO4095" s="34">
        <v>-1</v>
      </c>
      <c r="QBP4095" s="34">
        <v>-0.5</v>
      </c>
      <c r="QBQ4095" s="34">
        <v>0</v>
      </c>
      <c r="QBR4095" s="34">
        <v>0.5</v>
      </c>
      <c r="QBS4095" s="34">
        <v>1</v>
      </c>
      <c r="QBT4095" s="34">
        <v>1.5</v>
      </c>
      <c r="QBU4095" s="34">
        <v>2</v>
      </c>
      <c r="QBV4095" s="34">
        <v>2.5</v>
      </c>
      <c r="QBW4095" s="34">
        <v>3</v>
      </c>
      <c r="QBX4095" s="34">
        <v>3.5</v>
      </c>
      <c r="QBY4095" s="34">
        <v>4</v>
      </c>
      <c r="QBZ4095" s="34">
        <v>4.5</v>
      </c>
      <c r="QCA4095" s="34">
        <v>5</v>
      </c>
      <c r="QCC4095" s="913"/>
      <c r="QCD4095" s="31">
        <v>1</v>
      </c>
      <c r="QCE4095" s="34">
        <v>0</v>
      </c>
      <c r="QCF4095" s="34">
        <v>-1</v>
      </c>
      <c r="QCG4095" s="34">
        <v>-2</v>
      </c>
      <c r="QCH4095" s="34">
        <v>-3</v>
      </c>
      <c r="QCI4095" s="34">
        <v>-4</v>
      </c>
      <c r="QCJ4095" s="34">
        <v>-5</v>
      </c>
      <c r="QCK4095" s="908"/>
      <c r="QCL4095" s="909"/>
      <c r="QCM4095" s="34">
        <v>-5</v>
      </c>
      <c r="QCN4095" s="34">
        <v>-4.5</v>
      </c>
      <c r="QCO4095" s="34">
        <v>-4</v>
      </c>
      <c r="QCP4095" s="34">
        <v>-3.5</v>
      </c>
      <c r="QCQ4095" s="34">
        <v>-3</v>
      </c>
      <c r="QCR4095" s="34">
        <v>-2.5</v>
      </c>
      <c r="QCS4095" s="34">
        <v>-2</v>
      </c>
      <c r="QCT4095" s="34">
        <v>-1.5</v>
      </c>
      <c r="QCU4095" s="34">
        <v>-1</v>
      </c>
      <c r="QCV4095" s="34">
        <v>-0.5</v>
      </c>
      <c r="QCW4095" s="34">
        <v>0</v>
      </c>
      <c r="QCX4095" s="34">
        <v>0.5</v>
      </c>
      <c r="QCY4095" s="34">
        <v>1</v>
      </c>
      <c r="QCZ4095" s="34">
        <v>1.5</v>
      </c>
      <c r="QDA4095" s="34">
        <v>2</v>
      </c>
      <c r="QDB4095" s="34">
        <v>2.5</v>
      </c>
      <c r="QDC4095" s="34">
        <v>3</v>
      </c>
      <c r="QDD4095" s="34">
        <v>3.5</v>
      </c>
      <c r="QDE4095" s="34">
        <v>4</v>
      </c>
      <c r="QDF4095" s="34">
        <v>4.5</v>
      </c>
      <c r="QDG4095" s="34">
        <v>5</v>
      </c>
      <c r="QDI4095" s="913"/>
      <c r="QDJ4095" s="31">
        <v>1</v>
      </c>
      <c r="QDK4095" s="34">
        <v>0</v>
      </c>
      <c r="QDL4095" s="34">
        <v>-1</v>
      </c>
      <c r="QDM4095" s="34">
        <v>-2</v>
      </c>
      <c r="QDN4095" s="34">
        <v>-3</v>
      </c>
      <c r="QDO4095" s="34">
        <v>-4</v>
      </c>
      <c r="QDP4095" s="34">
        <v>-5</v>
      </c>
      <c r="QDQ4095" s="908"/>
      <c r="QDR4095" s="909"/>
      <c r="QDS4095" s="34">
        <v>-5</v>
      </c>
      <c r="QDT4095" s="34">
        <v>-4.5</v>
      </c>
      <c r="QDU4095" s="34">
        <v>-4</v>
      </c>
      <c r="QDV4095" s="34">
        <v>-3.5</v>
      </c>
      <c r="QDW4095" s="34">
        <v>-3</v>
      </c>
      <c r="QDX4095" s="34">
        <v>-2.5</v>
      </c>
      <c r="QDY4095" s="34">
        <v>-2</v>
      </c>
      <c r="QDZ4095" s="34">
        <v>-1.5</v>
      </c>
      <c r="QEA4095" s="34">
        <v>-1</v>
      </c>
      <c r="QEB4095" s="34">
        <v>-0.5</v>
      </c>
      <c r="QEC4095" s="34">
        <v>0</v>
      </c>
      <c r="QED4095" s="34">
        <v>0.5</v>
      </c>
      <c r="QEE4095" s="34">
        <v>1</v>
      </c>
      <c r="QEF4095" s="34">
        <v>1.5</v>
      </c>
      <c r="QEG4095" s="34">
        <v>2</v>
      </c>
      <c r="QEH4095" s="34">
        <v>2.5</v>
      </c>
      <c r="QEI4095" s="34">
        <v>3</v>
      </c>
      <c r="QEJ4095" s="34">
        <v>3.5</v>
      </c>
      <c r="QEK4095" s="34">
        <v>4</v>
      </c>
      <c r="QEL4095" s="34">
        <v>4.5</v>
      </c>
      <c r="QEM4095" s="34">
        <v>5</v>
      </c>
      <c r="QEO4095" s="913"/>
      <c r="QEP4095" s="31">
        <v>1</v>
      </c>
      <c r="QEQ4095" s="34">
        <v>0</v>
      </c>
      <c r="QER4095" s="34">
        <v>-1</v>
      </c>
      <c r="QES4095" s="34">
        <v>-2</v>
      </c>
      <c r="QET4095" s="34">
        <v>-3</v>
      </c>
      <c r="QEU4095" s="34">
        <v>-4</v>
      </c>
      <c r="QEV4095" s="34">
        <v>-5</v>
      </c>
      <c r="QEW4095" s="908"/>
      <c r="QEX4095" s="909"/>
      <c r="QEY4095" s="34">
        <v>-5</v>
      </c>
      <c r="QEZ4095" s="34">
        <v>-4.5</v>
      </c>
      <c r="QFA4095" s="34">
        <v>-4</v>
      </c>
      <c r="QFB4095" s="34">
        <v>-3.5</v>
      </c>
      <c r="QFC4095" s="34">
        <v>-3</v>
      </c>
      <c r="QFD4095" s="34">
        <v>-2.5</v>
      </c>
      <c r="QFE4095" s="34">
        <v>-2</v>
      </c>
      <c r="QFF4095" s="34">
        <v>-1.5</v>
      </c>
      <c r="QFG4095" s="34">
        <v>-1</v>
      </c>
      <c r="QFH4095" s="34">
        <v>-0.5</v>
      </c>
      <c r="QFI4095" s="34">
        <v>0</v>
      </c>
      <c r="QFJ4095" s="34">
        <v>0.5</v>
      </c>
      <c r="QFK4095" s="34">
        <v>1</v>
      </c>
      <c r="QFL4095" s="34">
        <v>1.5</v>
      </c>
      <c r="QFM4095" s="34">
        <v>2</v>
      </c>
      <c r="QFN4095" s="34">
        <v>2.5</v>
      </c>
      <c r="QFO4095" s="34">
        <v>3</v>
      </c>
      <c r="QFP4095" s="34">
        <v>3.5</v>
      </c>
      <c r="QFQ4095" s="34">
        <v>4</v>
      </c>
      <c r="QFR4095" s="34">
        <v>4.5</v>
      </c>
      <c r="QFS4095" s="34">
        <v>5</v>
      </c>
      <c r="QFU4095" s="913"/>
      <c r="QFV4095" s="31">
        <v>1</v>
      </c>
      <c r="QFW4095" s="34">
        <v>0</v>
      </c>
      <c r="QFX4095" s="34">
        <v>-1</v>
      </c>
      <c r="QFY4095" s="34">
        <v>-2</v>
      </c>
      <c r="QFZ4095" s="34">
        <v>-3</v>
      </c>
      <c r="QGA4095" s="34">
        <v>-4</v>
      </c>
      <c r="QGB4095" s="34">
        <v>-5</v>
      </c>
      <c r="QGC4095" s="908"/>
      <c r="QGD4095" s="909"/>
      <c r="QGE4095" s="34">
        <v>-5</v>
      </c>
      <c r="QGF4095" s="34">
        <v>-4.5</v>
      </c>
      <c r="QGG4095" s="34">
        <v>-4</v>
      </c>
      <c r="QGH4095" s="34">
        <v>-3.5</v>
      </c>
      <c r="QGI4095" s="34">
        <v>-3</v>
      </c>
      <c r="QGJ4095" s="34">
        <v>-2.5</v>
      </c>
      <c r="QGK4095" s="34">
        <v>-2</v>
      </c>
      <c r="QGL4095" s="34">
        <v>-1.5</v>
      </c>
      <c r="QGM4095" s="34">
        <v>-1</v>
      </c>
      <c r="QGN4095" s="34">
        <v>-0.5</v>
      </c>
      <c r="QGO4095" s="34">
        <v>0</v>
      </c>
      <c r="QGP4095" s="34">
        <v>0.5</v>
      </c>
      <c r="QGQ4095" s="34">
        <v>1</v>
      </c>
      <c r="QGR4095" s="34">
        <v>1.5</v>
      </c>
      <c r="QGS4095" s="34">
        <v>2</v>
      </c>
      <c r="QGT4095" s="34">
        <v>2.5</v>
      </c>
      <c r="QGU4095" s="34">
        <v>3</v>
      </c>
      <c r="QGV4095" s="34">
        <v>3.5</v>
      </c>
      <c r="QGW4095" s="34">
        <v>4</v>
      </c>
      <c r="QGX4095" s="34">
        <v>4.5</v>
      </c>
      <c r="QGY4095" s="34">
        <v>5</v>
      </c>
      <c r="QHA4095" s="913"/>
      <c r="QHB4095" s="31">
        <v>1</v>
      </c>
      <c r="QHC4095" s="34">
        <v>0</v>
      </c>
      <c r="QHD4095" s="34">
        <v>-1</v>
      </c>
      <c r="QHE4095" s="34">
        <v>-2</v>
      </c>
      <c r="QHF4095" s="34">
        <v>-3</v>
      </c>
      <c r="QHG4095" s="34">
        <v>-4</v>
      </c>
      <c r="QHH4095" s="34">
        <v>-5</v>
      </c>
      <c r="QHI4095" s="908"/>
      <c r="QHJ4095" s="909"/>
      <c r="QHK4095" s="34">
        <v>-5</v>
      </c>
      <c r="QHL4095" s="34">
        <v>-4.5</v>
      </c>
      <c r="QHM4095" s="34">
        <v>-4</v>
      </c>
      <c r="QHN4095" s="34">
        <v>-3.5</v>
      </c>
      <c r="QHO4095" s="34">
        <v>-3</v>
      </c>
      <c r="QHP4095" s="34">
        <v>-2.5</v>
      </c>
      <c r="QHQ4095" s="34">
        <v>-2</v>
      </c>
      <c r="QHR4095" s="34">
        <v>-1.5</v>
      </c>
      <c r="QHS4095" s="34">
        <v>-1</v>
      </c>
      <c r="QHT4095" s="34">
        <v>-0.5</v>
      </c>
      <c r="QHU4095" s="34">
        <v>0</v>
      </c>
      <c r="QHV4095" s="34">
        <v>0.5</v>
      </c>
      <c r="QHW4095" s="34">
        <v>1</v>
      </c>
      <c r="QHX4095" s="34">
        <v>1.5</v>
      </c>
      <c r="QHY4095" s="34">
        <v>2</v>
      </c>
      <c r="QHZ4095" s="34">
        <v>2.5</v>
      </c>
      <c r="QIA4095" s="34">
        <v>3</v>
      </c>
      <c r="QIB4095" s="34">
        <v>3.5</v>
      </c>
      <c r="QIC4095" s="34">
        <v>4</v>
      </c>
      <c r="QID4095" s="34">
        <v>4.5</v>
      </c>
      <c r="QIE4095" s="34">
        <v>5</v>
      </c>
      <c r="QIG4095" s="913"/>
      <c r="QIH4095" s="31">
        <v>1</v>
      </c>
      <c r="QII4095" s="34">
        <v>0</v>
      </c>
      <c r="QIJ4095" s="34">
        <v>-1</v>
      </c>
      <c r="QIK4095" s="34">
        <v>-2</v>
      </c>
      <c r="QIL4095" s="34">
        <v>-3</v>
      </c>
      <c r="QIM4095" s="34">
        <v>-4</v>
      </c>
      <c r="QIN4095" s="34">
        <v>-5</v>
      </c>
      <c r="QIO4095" s="908"/>
      <c r="QIP4095" s="909"/>
      <c r="QIQ4095" s="34">
        <v>-5</v>
      </c>
      <c r="QIR4095" s="34">
        <v>-4.5</v>
      </c>
      <c r="QIS4095" s="34">
        <v>-4</v>
      </c>
      <c r="QIT4095" s="34">
        <v>-3.5</v>
      </c>
      <c r="QIU4095" s="34">
        <v>-3</v>
      </c>
      <c r="QIV4095" s="34">
        <v>-2.5</v>
      </c>
      <c r="QIW4095" s="34">
        <v>-2</v>
      </c>
      <c r="QIX4095" s="34">
        <v>-1.5</v>
      </c>
      <c r="QIY4095" s="34">
        <v>-1</v>
      </c>
      <c r="QIZ4095" s="34">
        <v>-0.5</v>
      </c>
      <c r="QJA4095" s="34">
        <v>0</v>
      </c>
      <c r="QJB4095" s="34">
        <v>0.5</v>
      </c>
      <c r="QJC4095" s="34">
        <v>1</v>
      </c>
      <c r="QJD4095" s="34">
        <v>1.5</v>
      </c>
      <c r="QJE4095" s="34">
        <v>2</v>
      </c>
      <c r="QJF4095" s="34">
        <v>2.5</v>
      </c>
      <c r="QJG4095" s="34">
        <v>3</v>
      </c>
      <c r="QJH4095" s="34">
        <v>3.5</v>
      </c>
      <c r="QJI4095" s="34">
        <v>4</v>
      </c>
      <c r="QJJ4095" s="34">
        <v>4.5</v>
      </c>
      <c r="QJK4095" s="34">
        <v>5</v>
      </c>
      <c r="QJM4095" s="913"/>
      <c r="QJN4095" s="31">
        <v>1</v>
      </c>
      <c r="QJO4095" s="34">
        <v>0</v>
      </c>
      <c r="QJP4095" s="34">
        <v>-1</v>
      </c>
      <c r="QJQ4095" s="34">
        <v>-2</v>
      </c>
      <c r="QJR4095" s="34">
        <v>-3</v>
      </c>
      <c r="QJS4095" s="34">
        <v>-4</v>
      </c>
      <c r="QJT4095" s="34">
        <v>-5</v>
      </c>
      <c r="QJU4095" s="908"/>
      <c r="QJV4095" s="909"/>
      <c r="QJW4095" s="34">
        <v>-5</v>
      </c>
      <c r="QJX4095" s="34">
        <v>-4.5</v>
      </c>
      <c r="QJY4095" s="34">
        <v>-4</v>
      </c>
      <c r="QJZ4095" s="34">
        <v>-3.5</v>
      </c>
      <c r="QKA4095" s="34">
        <v>-3</v>
      </c>
      <c r="QKB4095" s="34">
        <v>-2.5</v>
      </c>
      <c r="QKC4095" s="34">
        <v>-2</v>
      </c>
      <c r="QKD4095" s="34">
        <v>-1.5</v>
      </c>
      <c r="QKE4095" s="34">
        <v>-1</v>
      </c>
      <c r="QKF4095" s="34">
        <v>-0.5</v>
      </c>
      <c r="QKG4095" s="34">
        <v>0</v>
      </c>
      <c r="QKH4095" s="34">
        <v>0.5</v>
      </c>
      <c r="QKI4095" s="34">
        <v>1</v>
      </c>
      <c r="QKJ4095" s="34">
        <v>1.5</v>
      </c>
      <c r="QKK4095" s="34">
        <v>2</v>
      </c>
      <c r="QKL4095" s="34">
        <v>2.5</v>
      </c>
      <c r="QKM4095" s="34">
        <v>3</v>
      </c>
      <c r="QKN4095" s="34">
        <v>3.5</v>
      </c>
      <c r="QKO4095" s="34">
        <v>4</v>
      </c>
      <c r="QKP4095" s="34">
        <v>4.5</v>
      </c>
      <c r="QKQ4095" s="34">
        <v>5</v>
      </c>
      <c r="QKS4095" s="913"/>
      <c r="QKT4095" s="31">
        <v>1</v>
      </c>
      <c r="QKU4095" s="34">
        <v>0</v>
      </c>
      <c r="QKV4095" s="34">
        <v>-1</v>
      </c>
      <c r="QKW4095" s="34">
        <v>-2</v>
      </c>
      <c r="QKX4095" s="34">
        <v>-3</v>
      </c>
      <c r="QKY4095" s="34">
        <v>-4</v>
      </c>
      <c r="QKZ4095" s="34">
        <v>-5</v>
      </c>
      <c r="QLA4095" s="908"/>
      <c r="QLB4095" s="909"/>
      <c r="QLC4095" s="34">
        <v>-5</v>
      </c>
      <c r="QLD4095" s="34">
        <v>-4.5</v>
      </c>
      <c r="QLE4095" s="34">
        <v>-4</v>
      </c>
      <c r="QLF4095" s="34">
        <v>-3.5</v>
      </c>
      <c r="QLG4095" s="34">
        <v>-3</v>
      </c>
      <c r="QLH4095" s="34">
        <v>-2.5</v>
      </c>
      <c r="QLI4095" s="34">
        <v>-2</v>
      </c>
      <c r="QLJ4095" s="34">
        <v>-1.5</v>
      </c>
      <c r="QLK4095" s="34">
        <v>-1</v>
      </c>
      <c r="QLL4095" s="34">
        <v>-0.5</v>
      </c>
      <c r="QLM4095" s="34">
        <v>0</v>
      </c>
      <c r="QLN4095" s="34">
        <v>0.5</v>
      </c>
      <c r="QLO4095" s="34">
        <v>1</v>
      </c>
      <c r="QLP4095" s="34">
        <v>1.5</v>
      </c>
      <c r="QLQ4095" s="34">
        <v>2</v>
      </c>
      <c r="QLR4095" s="34">
        <v>2.5</v>
      </c>
      <c r="QLS4095" s="34">
        <v>3</v>
      </c>
      <c r="QLT4095" s="34">
        <v>3.5</v>
      </c>
      <c r="QLU4095" s="34">
        <v>4</v>
      </c>
      <c r="QLV4095" s="34">
        <v>4.5</v>
      </c>
      <c r="QLW4095" s="34">
        <v>5</v>
      </c>
      <c r="QLY4095" s="913"/>
      <c r="QLZ4095" s="31">
        <v>1</v>
      </c>
      <c r="QMA4095" s="34">
        <v>0</v>
      </c>
      <c r="QMB4095" s="34">
        <v>-1</v>
      </c>
      <c r="QMC4095" s="34">
        <v>-2</v>
      </c>
      <c r="QMD4095" s="34">
        <v>-3</v>
      </c>
      <c r="QME4095" s="34">
        <v>-4</v>
      </c>
      <c r="QMF4095" s="34">
        <v>-5</v>
      </c>
      <c r="QMG4095" s="908"/>
      <c r="QMH4095" s="909"/>
      <c r="QMI4095" s="34">
        <v>-5</v>
      </c>
      <c r="QMJ4095" s="34">
        <v>-4.5</v>
      </c>
      <c r="QMK4095" s="34">
        <v>-4</v>
      </c>
      <c r="QML4095" s="34">
        <v>-3.5</v>
      </c>
      <c r="QMM4095" s="34">
        <v>-3</v>
      </c>
      <c r="QMN4095" s="34">
        <v>-2.5</v>
      </c>
      <c r="QMO4095" s="34">
        <v>-2</v>
      </c>
      <c r="QMP4095" s="34">
        <v>-1.5</v>
      </c>
      <c r="QMQ4095" s="34">
        <v>-1</v>
      </c>
      <c r="QMR4095" s="34">
        <v>-0.5</v>
      </c>
      <c r="QMS4095" s="34">
        <v>0</v>
      </c>
      <c r="QMT4095" s="34">
        <v>0.5</v>
      </c>
      <c r="QMU4095" s="34">
        <v>1</v>
      </c>
      <c r="QMV4095" s="34">
        <v>1.5</v>
      </c>
      <c r="QMW4095" s="34">
        <v>2</v>
      </c>
      <c r="QMX4095" s="34">
        <v>2.5</v>
      </c>
      <c r="QMY4095" s="34">
        <v>3</v>
      </c>
      <c r="QMZ4095" s="34">
        <v>3.5</v>
      </c>
      <c r="QNA4095" s="34">
        <v>4</v>
      </c>
      <c r="QNB4095" s="34">
        <v>4.5</v>
      </c>
      <c r="QNC4095" s="34">
        <v>5</v>
      </c>
      <c r="QNE4095" s="913"/>
      <c r="QNF4095" s="31">
        <v>1</v>
      </c>
      <c r="QNG4095" s="34">
        <v>0</v>
      </c>
      <c r="QNH4095" s="34">
        <v>-1</v>
      </c>
      <c r="QNI4095" s="34">
        <v>-2</v>
      </c>
      <c r="QNJ4095" s="34">
        <v>-3</v>
      </c>
      <c r="QNK4095" s="34">
        <v>-4</v>
      </c>
      <c r="QNL4095" s="34">
        <v>-5</v>
      </c>
      <c r="QNM4095" s="908"/>
      <c r="QNN4095" s="909"/>
      <c r="QNO4095" s="34">
        <v>-5</v>
      </c>
      <c r="QNP4095" s="34">
        <v>-4.5</v>
      </c>
      <c r="QNQ4095" s="34">
        <v>-4</v>
      </c>
      <c r="QNR4095" s="34">
        <v>-3.5</v>
      </c>
      <c r="QNS4095" s="34">
        <v>-3</v>
      </c>
      <c r="QNT4095" s="34">
        <v>-2.5</v>
      </c>
      <c r="QNU4095" s="34">
        <v>-2</v>
      </c>
      <c r="QNV4095" s="34">
        <v>-1.5</v>
      </c>
      <c r="QNW4095" s="34">
        <v>-1</v>
      </c>
      <c r="QNX4095" s="34">
        <v>-0.5</v>
      </c>
      <c r="QNY4095" s="34">
        <v>0</v>
      </c>
      <c r="QNZ4095" s="34">
        <v>0.5</v>
      </c>
      <c r="QOA4095" s="34">
        <v>1</v>
      </c>
      <c r="QOB4095" s="34">
        <v>1.5</v>
      </c>
      <c r="QOC4095" s="34">
        <v>2</v>
      </c>
      <c r="QOD4095" s="34">
        <v>2.5</v>
      </c>
      <c r="QOE4095" s="34">
        <v>3</v>
      </c>
      <c r="QOF4095" s="34">
        <v>3.5</v>
      </c>
      <c r="QOG4095" s="34">
        <v>4</v>
      </c>
      <c r="QOH4095" s="34">
        <v>4.5</v>
      </c>
      <c r="QOI4095" s="34">
        <v>5</v>
      </c>
      <c r="QOK4095" s="913"/>
      <c r="QOL4095" s="31">
        <v>1</v>
      </c>
      <c r="QOM4095" s="34">
        <v>0</v>
      </c>
      <c r="QON4095" s="34">
        <v>-1</v>
      </c>
      <c r="QOO4095" s="34">
        <v>-2</v>
      </c>
      <c r="QOP4095" s="34">
        <v>-3</v>
      </c>
      <c r="QOQ4095" s="34">
        <v>-4</v>
      </c>
      <c r="QOR4095" s="34">
        <v>-5</v>
      </c>
      <c r="QOS4095" s="908"/>
      <c r="QOT4095" s="909"/>
      <c r="QOU4095" s="34">
        <v>-5</v>
      </c>
      <c r="QOV4095" s="34">
        <v>-4.5</v>
      </c>
      <c r="QOW4095" s="34">
        <v>-4</v>
      </c>
      <c r="QOX4095" s="34">
        <v>-3.5</v>
      </c>
      <c r="QOY4095" s="34">
        <v>-3</v>
      </c>
      <c r="QOZ4095" s="34">
        <v>-2.5</v>
      </c>
      <c r="QPA4095" s="34">
        <v>-2</v>
      </c>
      <c r="QPB4095" s="34">
        <v>-1.5</v>
      </c>
      <c r="QPC4095" s="34">
        <v>-1</v>
      </c>
      <c r="QPD4095" s="34">
        <v>-0.5</v>
      </c>
      <c r="QPE4095" s="34">
        <v>0</v>
      </c>
      <c r="QPF4095" s="34">
        <v>0.5</v>
      </c>
      <c r="QPG4095" s="34">
        <v>1</v>
      </c>
      <c r="QPH4095" s="34">
        <v>1.5</v>
      </c>
      <c r="QPI4095" s="34">
        <v>2</v>
      </c>
      <c r="QPJ4095" s="34">
        <v>2.5</v>
      </c>
      <c r="QPK4095" s="34">
        <v>3</v>
      </c>
      <c r="QPL4095" s="34">
        <v>3.5</v>
      </c>
      <c r="QPM4095" s="34">
        <v>4</v>
      </c>
      <c r="QPN4095" s="34">
        <v>4.5</v>
      </c>
      <c r="QPO4095" s="34">
        <v>5</v>
      </c>
      <c r="QPQ4095" s="913"/>
      <c r="QPR4095" s="31">
        <v>1</v>
      </c>
      <c r="QPS4095" s="34">
        <v>0</v>
      </c>
      <c r="QPT4095" s="34">
        <v>-1</v>
      </c>
      <c r="QPU4095" s="34">
        <v>-2</v>
      </c>
      <c r="QPV4095" s="34">
        <v>-3</v>
      </c>
      <c r="QPW4095" s="34">
        <v>-4</v>
      </c>
      <c r="QPX4095" s="34">
        <v>-5</v>
      </c>
      <c r="QPY4095" s="908"/>
      <c r="QPZ4095" s="909"/>
      <c r="QQA4095" s="34">
        <v>-5</v>
      </c>
      <c r="QQB4095" s="34">
        <v>-4.5</v>
      </c>
      <c r="QQC4095" s="34">
        <v>-4</v>
      </c>
      <c r="QQD4095" s="34">
        <v>-3.5</v>
      </c>
      <c r="QQE4095" s="34">
        <v>-3</v>
      </c>
      <c r="QQF4095" s="34">
        <v>-2.5</v>
      </c>
      <c r="QQG4095" s="34">
        <v>-2</v>
      </c>
      <c r="QQH4095" s="34">
        <v>-1.5</v>
      </c>
      <c r="QQI4095" s="34">
        <v>-1</v>
      </c>
      <c r="QQJ4095" s="34">
        <v>-0.5</v>
      </c>
      <c r="QQK4095" s="34">
        <v>0</v>
      </c>
      <c r="QQL4095" s="34">
        <v>0.5</v>
      </c>
      <c r="QQM4095" s="34">
        <v>1</v>
      </c>
      <c r="QQN4095" s="34">
        <v>1.5</v>
      </c>
      <c r="QQO4095" s="34">
        <v>2</v>
      </c>
      <c r="QQP4095" s="34">
        <v>2.5</v>
      </c>
      <c r="QQQ4095" s="34">
        <v>3</v>
      </c>
      <c r="QQR4095" s="34">
        <v>3.5</v>
      </c>
      <c r="QQS4095" s="34">
        <v>4</v>
      </c>
      <c r="QQT4095" s="34">
        <v>4.5</v>
      </c>
      <c r="QQU4095" s="34">
        <v>5</v>
      </c>
      <c r="QQW4095" s="913"/>
      <c r="QQX4095" s="31">
        <v>1</v>
      </c>
      <c r="QQY4095" s="34">
        <v>0</v>
      </c>
      <c r="QQZ4095" s="34">
        <v>-1</v>
      </c>
      <c r="QRA4095" s="34">
        <v>-2</v>
      </c>
      <c r="QRB4095" s="34">
        <v>-3</v>
      </c>
      <c r="QRC4095" s="34">
        <v>-4</v>
      </c>
      <c r="QRD4095" s="34">
        <v>-5</v>
      </c>
      <c r="QRE4095" s="908"/>
      <c r="QRF4095" s="909"/>
      <c r="QRG4095" s="34">
        <v>-5</v>
      </c>
      <c r="QRH4095" s="34">
        <v>-4.5</v>
      </c>
      <c r="QRI4095" s="34">
        <v>-4</v>
      </c>
      <c r="QRJ4095" s="34">
        <v>-3.5</v>
      </c>
      <c r="QRK4095" s="34">
        <v>-3</v>
      </c>
      <c r="QRL4095" s="34">
        <v>-2.5</v>
      </c>
      <c r="QRM4095" s="34">
        <v>-2</v>
      </c>
      <c r="QRN4095" s="34">
        <v>-1.5</v>
      </c>
      <c r="QRO4095" s="34">
        <v>-1</v>
      </c>
      <c r="QRP4095" s="34">
        <v>-0.5</v>
      </c>
      <c r="QRQ4095" s="34">
        <v>0</v>
      </c>
      <c r="QRR4095" s="34">
        <v>0.5</v>
      </c>
      <c r="QRS4095" s="34">
        <v>1</v>
      </c>
      <c r="QRT4095" s="34">
        <v>1.5</v>
      </c>
      <c r="QRU4095" s="34">
        <v>2</v>
      </c>
      <c r="QRV4095" s="34">
        <v>2.5</v>
      </c>
      <c r="QRW4095" s="34">
        <v>3</v>
      </c>
      <c r="QRX4095" s="34">
        <v>3.5</v>
      </c>
      <c r="QRY4095" s="34">
        <v>4</v>
      </c>
      <c r="QRZ4095" s="34">
        <v>4.5</v>
      </c>
      <c r="QSA4095" s="34">
        <v>5</v>
      </c>
      <c r="QSC4095" s="913"/>
      <c r="QSD4095" s="31">
        <v>1</v>
      </c>
      <c r="QSE4095" s="34">
        <v>0</v>
      </c>
      <c r="QSF4095" s="34">
        <v>-1</v>
      </c>
      <c r="QSG4095" s="34">
        <v>-2</v>
      </c>
      <c r="QSH4095" s="34">
        <v>-3</v>
      </c>
      <c r="QSI4095" s="34">
        <v>-4</v>
      </c>
      <c r="QSJ4095" s="34">
        <v>-5</v>
      </c>
      <c r="QSK4095" s="908"/>
      <c r="QSL4095" s="909"/>
      <c r="QSM4095" s="34">
        <v>-5</v>
      </c>
      <c r="QSN4095" s="34">
        <v>-4.5</v>
      </c>
      <c r="QSO4095" s="34">
        <v>-4</v>
      </c>
      <c r="QSP4095" s="34">
        <v>-3.5</v>
      </c>
      <c r="QSQ4095" s="34">
        <v>-3</v>
      </c>
      <c r="QSR4095" s="34">
        <v>-2.5</v>
      </c>
      <c r="QSS4095" s="34">
        <v>-2</v>
      </c>
      <c r="QST4095" s="34">
        <v>-1.5</v>
      </c>
      <c r="QSU4095" s="34">
        <v>-1</v>
      </c>
      <c r="QSV4095" s="34">
        <v>-0.5</v>
      </c>
      <c r="QSW4095" s="34">
        <v>0</v>
      </c>
      <c r="QSX4095" s="34">
        <v>0.5</v>
      </c>
      <c r="QSY4095" s="34">
        <v>1</v>
      </c>
      <c r="QSZ4095" s="34">
        <v>1.5</v>
      </c>
      <c r="QTA4095" s="34">
        <v>2</v>
      </c>
      <c r="QTB4095" s="34">
        <v>2.5</v>
      </c>
      <c r="QTC4095" s="34">
        <v>3</v>
      </c>
      <c r="QTD4095" s="34">
        <v>3.5</v>
      </c>
      <c r="QTE4095" s="34">
        <v>4</v>
      </c>
      <c r="QTF4095" s="34">
        <v>4.5</v>
      </c>
      <c r="QTG4095" s="34">
        <v>5</v>
      </c>
      <c r="QTI4095" s="913"/>
      <c r="QTJ4095" s="31">
        <v>1</v>
      </c>
      <c r="QTK4095" s="34">
        <v>0</v>
      </c>
      <c r="QTL4095" s="34">
        <v>-1</v>
      </c>
      <c r="QTM4095" s="34">
        <v>-2</v>
      </c>
      <c r="QTN4095" s="34">
        <v>-3</v>
      </c>
      <c r="QTO4095" s="34">
        <v>-4</v>
      </c>
      <c r="QTP4095" s="34">
        <v>-5</v>
      </c>
      <c r="QTQ4095" s="908"/>
      <c r="QTR4095" s="909"/>
      <c r="QTS4095" s="34">
        <v>-5</v>
      </c>
      <c r="QTT4095" s="34">
        <v>-4.5</v>
      </c>
      <c r="QTU4095" s="34">
        <v>-4</v>
      </c>
      <c r="QTV4095" s="34">
        <v>-3.5</v>
      </c>
      <c r="QTW4095" s="34">
        <v>-3</v>
      </c>
      <c r="QTX4095" s="34">
        <v>-2.5</v>
      </c>
      <c r="QTY4095" s="34">
        <v>-2</v>
      </c>
      <c r="QTZ4095" s="34">
        <v>-1.5</v>
      </c>
      <c r="QUA4095" s="34">
        <v>-1</v>
      </c>
      <c r="QUB4095" s="34">
        <v>-0.5</v>
      </c>
      <c r="QUC4095" s="34">
        <v>0</v>
      </c>
      <c r="QUD4095" s="34">
        <v>0.5</v>
      </c>
      <c r="QUE4095" s="34">
        <v>1</v>
      </c>
      <c r="QUF4095" s="34">
        <v>1.5</v>
      </c>
      <c r="QUG4095" s="34">
        <v>2</v>
      </c>
      <c r="QUH4095" s="34">
        <v>2.5</v>
      </c>
      <c r="QUI4095" s="34">
        <v>3</v>
      </c>
      <c r="QUJ4095" s="34">
        <v>3.5</v>
      </c>
      <c r="QUK4095" s="34">
        <v>4</v>
      </c>
      <c r="QUL4095" s="34">
        <v>4.5</v>
      </c>
      <c r="QUM4095" s="34">
        <v>5</v>
      </c>
      <c r="QUO4095" s="913"/>
      <c r="QUP4095" s="31">
        <v>1</v>
      </c>
      <c r="QUQ4095" s="34">
        <v>0</v>
      </c>
      <c r="QUR4095" s="34">
        <v>-1</v>
      </c>
      <c r="QUS4095" s="34">
        <v>-2</v>
      </c>
      <c r="QUT4095" s="34">
        <v>-3</v>
      </c>
      <c r="QUU4095" s="34">
        <v>-4</v>
      </c>
      <c r="QUV4095" s="34">
        <v>-5</v>
      </c>
      <c r="QUW4095" s="908"/>
      <c r="QUX4095" s="909"/>
      <c r="QUY4095" s="34">
        <v>-5</v>
      </c>
      <c r="QUZ4095" s="34">
        <v>-4.5</v>
      </c>
      <c r="QVA4095" s="34">
        <v>-4</v>
      </c>
      <c r="QVB4095" s="34">
        <v>-3.5</v>
      </c>
      <c r="QVC4095" s="34">
        <v>-3</v>
      </c>
      <c r="QVD4095" s="34">
        <v>-2.5</v>
      </c>
      <c r="QVE4095" s="34">
        <v>-2</v>
      </c>
      <c r="QVF4095" s="34">
        <v>-1.5</v>
      </c>
      <c r="QVG4095" s="34">
        <v>-1</v>
      </c>
      <c r="QVH4095" s="34">
        <v>-0.5</v>
      </c>
      <c r="QVI4095" s="34">
        <v>0</v>
      </c>
      <c r="QVJ4095" s="34">
        <v>0.5</v>
      </c>
      <c r="QVK4095" s="34">
        <v>1</v>
      </c>
      <c r="QVL4095" s="34">
        <v>1.5</v>
      </c>
      <c r="QVM4095" s="34">
        <v>2</v>
      </c>
      <c r="QVN4095" s="34">
        <v>2.5</v>
      </c>
      <c r="QVO4095" s="34">
        <v>3</v>
      </c>
      <c r="QVP4095" s="34">
        <v>3.5</v>
      </c>
      <c r="QVQ4095" s="34">
        <v>4</v>
      </c>
      <c r="QVR4095" s="34">
        <v>4.5</v>
      </c>
      <c r="QVS4095" s="34">
        <v>5</v>
      </c>
      <c r="QVU4095" s="913"/>
      <c r="QVV4095" s="31">
        <v>1</v>
      </c>
      <c r="QVW4095" s="34">
        <v>0</v>
      </c>
      <c r="QVX4095" s="34">
        <v>-1</v>
      </c>
      <c r="QVY4095" s="34">
        <v>-2</v>
      </c>
      <c r="QVZ4095" s="34">
        <v>-3</v>
      </c>
      <c r="QWA4095" s="34">
        <v>-4</v>
      </c>
      <c r="QWB4095" s="34">
        <v>-5</v>
      </c>
      <c r="QWC4095" s="908"/>
      <c r="QWD4095" s="909"/>
      <c r="QWE4095" s="34">
        <v>-5</v>
      </c>
      <c r="QWF4095" s="34">
        <v>-4.5</v>
      </c>
      <c r="QWG4095" s="34">
        <v>-4</v>
      </c>
      <c r="QWH4095" s="34">
        <v>-3.5</v>
      </c>
      <c r="QWI4095" s="34">
        <v>-3</v>
      </c>
      <c r="QWJ4095" s="34">
        <v>-2.5</v>
      </c>
      <c r="QWK4095" s="34">
        <v>-2</v>
      </c>
      <c r="QWL4095" s="34">
        <v>-1.5</v>
      </c>
      <c r="QWM4095" s="34">
        <v>-1</v>
      </c>
      <c r="QWN4095" s="34">
        <v>-0.5</v>
      </c>
      <c r="QWO4095" s="34">
        <v>0</v>
      </c>
      <c r="QWP4095" s="34">
        <v>0.5</v>
      </c>
      <c r="QWQ4095" s="34">
        <v>1</v>
      </c>
      <c r="QWR4095" s="34">
        <v>1.5</v>
      </c>
      <c r="QWS4095" s="34">
        <v>2</v>
      </c>
      <c r="QWT4095" s="34">
        <v>2.5</v>
      </c>
      <c r="QWU4095" s="34">
        <v>3</v>
      </c>
      <c r="QWV4095" s="34">
        <v>3.5</v>
      </c>
      <c r="QWW4095" s="34">
        <v>4</v>
      </c>
      <c r="QWX4095" s="34">
        <v>4.5</v>
      </c>
      <c r="QWY4095" s="34">
        <v>5</v>
      </c>
      <c r="QXA4095" s="913"/>
      <c r="QXB4095" s="31">
        <v>1</v>
      </c>
      <c r="QXC4095" s="34">
        <v>0</v>
      </c>
      <c r="QXD4095" s="34">
        <v>-1</v>
      </c>
      <c r="QXE4095" s="34">
        <v>-2</v>
      </c>
      <c r="QXF4095" s="34">
        <v>-3</v>
      </c>
      <c r="QXG4095" s="34">
        <v>-4</v>
      </c>
      <c r="QXH4095" s="34">
        <v>-5</v>
      </c>
      <c r="QXI4095" s="908"/>
      <c r="QXJ4095" s="909"/>
      <c r="QXK4095" s="34">
        <v>-5</v>
      </c>
      <c r="QXL4095" s="34">
        <v>-4.5</v>
      </c>
      <c r="QXM4095" s="34">
        <v>-4</v>
      </c>
      <c r="QXN4095" s="34">
        <v>-3.5</v>
      </c>
      <c r="QXO4095" s="34">
        <v>-3</v>
      </c>
      <c r="QXP4095" s="34">
        <v>-2.5</v>
      </c>
      <c r="QXQ4095" s="34">
        <v>-2</v>
      </c>
      <c r="QXR4095" s="34">
        <v>-1.5</v>
      </c>
      <c r="QXS4095" s="34">
        <v>-1</v>
      </c>
      <c r="QXT4095" s="34">
        <v>-0.5</v>
      </c>
      <c r="QXU4095" s="34">
        <v>0</v>
      </c>
      <c r="QXV4095" s="34">
        <v>0.5</v>
      </c>
      <c r="QXW4095" s="34">
        <v>1</v>
      </c>
      <c r="QXX4095" s="34">
        <v>1.5</v>
      </c>
      <c r="QXY4095" s="34">
        <v>2</v>
      </c>
      <c r="QXZ4095" s="34">
        <v>2.5</v>
      </c>
      <c r="QYA4095" s="34">
        <v>3</v>
      </c>
      <c r="QYB4095" s="34">
        <v>3.5</v>
      </c>
      <c r="QYC4095" s="34">
        <v>4</v>
      </c>
      <c r="QYD4095" s="34">
        <v>4.5</v>
      </c>
      <c r="QYE4095" s="34">
        <v>5</v>
      </c>
      <c r="QYG4095" s="913"/>
      <c r="QYH4095" s="31">
        <v>1</v>
      </c>
      <c r="QYI4095" s="34">
        <v>0</v>
      </c>
      <c r="QYJ4095" s="34">
        <v>-1</v>
      </c>
      <c r="QYK4095" s="34">
        <v>-2</v>
      </c>
      <c r="QYL4095" s="34">
        <v>-3</v>
      </c>
      <c r="QYM4095" s="34">
        <v>-4</v>
      </c>
      <c r="QYN4095" s="34">
        <v>-5</v>
      </c>
      <c r="QYO4095" s="908"/>
      <c r="QYP4095" s="909"/>
      <c r="QYQ4095" s="34">
        <v>-5</v>
      </c>
      <c r="QYR4095" s="34">
        <v>-4.5</v>
      </c>
      <c r="QYS4095" s="34">
        <v>-4</v>
      </c>
      <c r="QYT4095" s="34">
        <v>-3.5</v>
      </c>
      <c r="QYU4095" s="34">
        <v>-3</v>
      </c>
      <c r="QYV4095" s="34">
        <v>-2.5</v>
      </c>
      <c r="QYW4095" s="34">
        <v>-2</v>
      </c>
      <c r="QYX4095" s="34">
        <v>-1.5</v>
      </c>
      <c r="QYY4095" s="34">
        <v>-1</v>
      </c>
      <c r="QYZ4095" s="34">
        <v>-0.5</v>
      </c>
      <c r="QZA4095" s="34">
        <v>0</v>
      </c>
      <c r="QZB4095" s="34">
        <v>0.5</v>
      </c>
      <c r="QZC4095" s="34">
        <v>1</v>
      </c>
      <c r="QZD4095" s="34">
        <v>1.5</v>
      </c>
      <c r="QZE4095" s="34">
        <v>2</v>
      </c>
      <c r="QZF4095" s="34">
        <v>2.5</v>
      </c>
      <c r="QZG4095" s="34">
        <v>3</v>
      </c>
      <c r="QZH4095" s="34">
        <v>3.5</v>
      </c>
      <c r="QZI4095" s="34">
        <v>4</v>
      </c>
      <c r="QZJ4095" s="34">
        <v>4.5</v>
      </c>
      <c r="QZK4095" s="34">
        <v>5</v>
      </c>
      <c r="QZM4095" s="913"/>
      <c r="QZN4095" s="31">
        <v>1</v>
      </c>
      <c r="QZO4095" s="34">
        <v>0</v>
      </c>
      <c r="QZP4095" s="34">
        <v>-1</v>
      </c>
      <c r="QZQ4095" s="34">
        <v>-2</v>
      </c>
      <c r="QZR4095" s="34">
        <v>-3</v>
      </c>
      <c r="QZS4095" s="34">
        <v>-4</v>
      </c>
      <c r="QZT4095" s="34">
        <v>-5</v>
      </c>
      <c r="QZU4095" s="908"/>
      <c r="QZV4095" s="909"/>
      <c r="QZW4095" s="34">
        <v>-5</v>
      </c>
      <c r="QZX4095" s="34">
        <v>-4.5</v>
      </c>
      <c r="QZY4095" s="34">
        <v>-4</v>
      </c>
      <c r="QZZ4095" s="34">
        <v>-3.5</v>
      </c>
      <c r="RAA4095" s="34">
        <v>-3</v>
      </c>
      <c r="RAB4095" s="34">
        <v>-2.5</v>
      </c>
      <c r="RAC4095" s="34">
        <v>-2</v>
      </c>
      <c r="RAD4095" s="34">
        <v>-1.5</v>
      </c>
      <c r="RAE4095" s="34">
        <v>-1</v>
      </c>
      <c r="RAF4095" s="34">
        <v>-0.5</v>
      </c>
      <c r="RAG4095" s="34">
        <v>0</v>
      </c>
      <c r="RAH4095" s="34">
        <v>0.5</v>
      </c>
      <c r="RAI4095" s="34">
        <v>1</v>
      </c>
      <c r="RAJ4095" s="34">
        <v>1.5</v>
      </c>
      <c r="RAK4095" s="34">
        <v>2</v>
      </c>
      <c r="RAL4095" s="34">
        <v>2.5</v>
      </c>
      <c r="RAM4095" s="34">
        <v>3</v>
      </c>
      <c r="RAN4095" s="34">
        <v>3.5</v>
      </c>
      <c r="RAO4095" s="34">
        <v>4</v>
      </c>
      <c r="RAP4095" s="34">
        <v>4.5</v>
      </c>
      <c r="RAQ4095" s="34">
        <v>5</v>
      </c>
      <c r="RAS4095" s="913"/>
      <c r="RAT4095" s="31">
        <v>1</v>
      </c>
      <c r="RAU4095" s="34">
        <v>0</v>
      </c>
      <c r="RAV4095" s="34">
        <v>-1</v>
      </c>
      <c r="RAW4095" s="34">
        <v>-2</v>
      </c>
      <c r="RAX4095" s="34">
        <v>-3</v>
      </c>
      <c r="RAY4095" s="34">
        <v>-4</v>
      </c>
      <c r="RAZ4095" s="34">
        <v>-5</v>
      </c>
      <c r="RBA4095" s="908"/>
      <c r="RBB4095" s="909"/>
      <c r="RBC4095" s="34">
        <v>-5</v>
      </c>
      <c r="RBD4095" s="34">
        <v>-4.5</v>
      </c>
      <c r="RBE4095" s="34">
        <v>-4</v>
      </c>
      <c r="RBF4095" s="34">
        <v>-3.5</v>
      </c>
      <c r="RBG4095" s="34">
        <v>-3</v>
      </c>
      <c r="RBH4095" s="34">
        <v>-2.5</v>
      </c>
      <c r="RBI4095" s="34">
        <v>-2</v>
      </c>
      <c r="RBJ4095" s="34">
        <v>-1.5</v>
      </c>
      <c r="RBK4095" s="34">
        <v>-1</v>
      </c>
      <c r="RBL4095" s="34">
        <v>-0.5</v>
      </c>
      <c r="RBM4095" s="34">
        <v>0</v>
      </c>
      <c r="RBN4095" s="34">
        <v>0.5</v>
      </c>
      <c r="RBO4095" s="34">
        <v>1</v>
      </c>
      <c r="RBP4095" s="34">
        <v>1.5</v>
      </c>
      <c r="RBQ4095" s="34">
        <v>2</v>
      </c>
      <c r="RBR4095" s="34">
        <v>2.5</v>
      </c>
      <c r="RBS4095" s="34">
        <v>3</v>
      </c>
      <c r="RBT4095" s="34">
        <v>3.5</v>
      </c>
      <c r="RBU4095" s="34">
        <v>4</v>
      </c>
      <c r="RBV4095" s="34">
        <v>4.5</v>
      </c>
      <c r="RBW4095" s="34">
        <v>5</v>
      </c>
      <c r="RBY4095" s="913"/>
      <c r="RBZ4095" s="31">
        <v>1</v>
      </c>
      <c r="RCA4095" s="34">
        <v>0</v>
      </c>
      <c r="RCB4095" s="34">
        <v>-1</v>
      </c>
      <c r="RCC4095" s="34">
        <v>-2</v>
      </c>
      <c r="RCD4095" s="34">
        <v>-3</v>
      </c>
      <c r="RCE4095" s="34">
        <v>-4</v>
      </c>
      <c r="RCF4095" s="34">
        <v>-5</v>
      </c>
      <c r="RCG4095" s="908"/>
      <c r="RCH4095" s="909"/>
      <c r="RCI4095" s="34">
        <v>-5</v>
      </c>
      <c r="RCJ4095" s="34">
        <v>-4.5</v>
      </c>
      <c r="RCK4095" s="34">
        <v>-4</v>
      </c>
      <c r="RCL4095" s="34">
        <v>-3.5</v>
      </c>
      <c r="RCM4095" s="34">
        <v>-3</v>
      </c>
      <c r="RCN4095" s="34">
        <v>-2.5</v>
      </c>
      <c r="RCO4095" s="34">
        <v>-2</v>
      </c>
      <c r="RCP4095" s="34">
        <v>-1.5</v>
      </c>
      <c r="RCQ4095" s="34">
        <v>-1</v>
      </c>
      <c r="RCR4095" s="34">
        <v>-0.5</v>
      </c>
      <c r="RCS4095" s="34">
        <v>0</v>
      </c>
      <c r="RCT4095" s="34">
        <v>0.5</v>
      </c>
      <c r="RCU4095" s="34">
        <v>1</v>
      </c>
      <c r="RCV4095" s="34">
        <v>1.5</v>
      </c>
      <c r="RCW4095" s="34">
        <v>2</v>
      </c>
      <c r="RCX4095" s="34">
        <v>2.5</v>
      </c>
      <c r="RCY4095" s="34">
        <v>3</v>
      </c>
      <c r="RCZ4095" s="34">
        <v>3.5</v>
      </c>
      <c r="RDA4095" s="34">
        <v>4</v>
      </c>
      <c r="RDB4095" s="34">
        <v>4.5</v>
      </c>
      <c r="RDC4095" s="34">
        <v>5</v>
      </c>
      <c r="RDE4095" s="913"/>
      <c r="RDF4095" s="31">
        <v>1</v>
      </c>
      <c r="RDG4095" s="34">
        <v>0</v>
      </c>
      <c r="RDH4095" s="34">
        <v>-1</v>
      </c>
      <c r="RDI4095" s="34">
        <v>-2</v>
      </c>
      <c r="RDJ4095" s="34">
        <v>-3</v>
      </c>
      <c r="RDK4095" s="34">
        <v>-4</v>
      </c>
      <c r="RDL4095" s="34">
        <v>-5</v>
      </c>
      <c r="RDM4095" s="908"/>
      <c r="RDN4095" s="909"/>
      <c r="RDO4095" s="34">
        <v>-5</v>
      </c>
      <c r="RDP4095" s="34">
        <v>-4.5</v>
      </c>
      <c r="RDQ4095" s="34">
        <v>-4</v>
      </c>
      <c r="RDR4095" s="34">
        <v>-3.5</v>
      </c>
      <c r="RDS4095" s="34">
        <v>-3</v>
      </c>
      <c r="RDT4095" s="34">
        <v>-2.5</v>
      </c>
      <c r="RDU4095" s="34">
        <v>-2</v>
      </c>
      <c r="RDV4095" s="34">
        <v>-1.5</v>
      </c>
      <c r="RDW4095" s="34">
        <v>-1</v>
      </c>
      <c r="RDX4095" s="34">
        <v>-0.5</v>
      </c>
      <c r="RDY4095" s="34">
        <v>0</v>
      </c>
      <c r="RDZ4095" s="34">
        <v>0.5</v>
      </c>
      <c r="REA4095" s="34">
        <v>1</v>
      </c>
      <c r="REB4095" s="34">
        <v>1.5</v>
      </c>
      <c r="REC4095" s="34">
        <v>2</v>
      </c>
      <c r="RED4095" s="34">
        <v>2.5</v>
      </c>
      <c r="REE4095" s="34">
        <v>3</v>
      </c>
      <c r="REF4095" s="34">
        <v>3.5</v>
      </c>
      <c r="REG4095" s="34">
        <v>4</v>
      </c>
      <c r="REH4095" s="34">
        <v>4.5</v>
      </c>
      <c r="REI4095" s="34">
        <v>5</v>
      </c>
      <c r="REK4095" s="913"/>
      <c r="REL4095" s="31">
        <v>1</v>
      </c>
      <c r="REM4095" s="34">
        <v>0</v>
      </c>
      <c r="REN4095" s="34">
        <v>-1</v>
      </c>
      <c r="REO4095" s="34">
        <v>-2</v>
      </c>
      <c r="REP4095" s="34">
        <v>-3</v>
      </c>
      <c r="REQ4095" s="34">
        <v>-4</v>
      </c>
      <c r="RER4095" s="34">
        <v>-5</v>
      </c>
      <c r="RES4095" s="908"/>
      <c r="RET4095" s="909"/>
      <c r="REU4095" s="34">
        <v>-5</v>
      </c>
      <c r="REV4095" s="34">
        <v>-4.5</v>
      </c>
      <c r="REW4095" s="34">
        <v>-4</v>
      </c>
      <c r="REX4095" s="34">
        <v>-3.5</v>
      </c>
      <c r="REY4095" s="34">
        <v>-3</v>
      </c>
      <c r="REZ4095" s="34">
        <v>-2.5</v>
      </c>
      <c r="RFA4095" s="34">
        <v>-2</v>
      </c>
      <c r="RFB4095" s="34">
        <v>-1.5</v>
      </c>
      <c r="RFC4095" s="34">
        <v>-1</v>
      </c>
      <c r="RFD4095" s="34">
        <v>-0.5</v>
      </c>
      <c r="RFE4095" s="34">
        <v>0</v>
      </c>
      <c r="RFF4095" s="34">
        <v>0.5</v>
      </c>
      <c r="RFG4095" s="34">
        <v>1</v>
      </c>
      <c r="RFH4095" s="34">
        <v>1.5</v>
      </c>
      <c r="RFI4095" s="34">
        <v>2</v>
      </c>
      <c r="RFJ4095" s="34">
        <v>2.5</v>
      </c>
      <c r="RFK4095" s="34">
        <v>3</v>
      </c>
      <c r="RFL4095" s="34">
        <v>3.5</v>
      </c>
      <c r="RFM4095" s="34">
        <v>4</v>
      </c>
      <c r="RFN4095" s="34">
        <v>4.5</v>
      </c>
      <c r="RFO4095" s="34">
        <v>5</v>
      </c>
      <c r="RFQ4095" s="913"/>
      <c r="RFR4095" s="31">
        <v>1</v>
      </c>
      <c r="RFS4095" s="34">
        <v>0</v>
      </c>
      <c r="RFT4095" s="34">
        <v>-1</v>
      </c>
      <c r="RFU4095" s="34">
        <v>-2</v>
      </c>
      <c r="RFV4095" s="34">
        <v>-3</v>
      </c>
      <c r="RFW4095" s="34">
        <v>-4</v>
      </c>
      <c r="RFX4095" s="34">
        <v>-5</v>
      </c>
      <c r="RFY4095" s="908"/>
      <c r="RFZ4095" s="909"/>
      <c r="RGA4095" s="34">
        <v>-5</v>
      </c>
      <c r="RGB4095" s="34">
        <v>-4.5</v>
      </c>
      <c r="RGC4095" s="34">
        <v>-4</v>
      </c>
      <c r="RGD4095" s="34">
        <v>-3.5</v>
      </c>
      <c r="RGE4095" s="34">
        <v>-3</v>
      </c>
      <c r="RGF4095" s="34">
        <v>-2.5</v>
      </c>
      <c r="RGG4095" s="34">
        <v>-2</v>
      </c>
      <c r="RGH4095" s="34">
        <v>-1.5</v>
      </c>
      <c r="RGI4095" s="34">
        <v>-1</v>
      </c>
      <c r="RGJ4095" s="34">
        <v>-0.5</v>
      </c>
      <c r="RGK4095" s="34">
        <v>0</v>
      </c>
      <c r="RGL4095" s="34">
        <v>0.5</v>
      </c>
      <c r="RGM4095" s="34">
        <v>1</v>
      </c>
      <c r="RGN4095" s="34">
        <v>1.5</v>
      </c>
      <c r="RGO4095" s="34">
        <v>2</v>
      </c>
      <c r="RGP4095" s="34">
        <v>2.5</v>
      </c>
      <c r="RGQ4095" s="34">
        <v>3</v>
      </c>
      <c r="RGR4095" s="34">
        <v>3.5</v>
      </c>
      <c r="RGS4095" s="34">
        <v>4</v>
      </c>
      <c r="RGT4095" s="34">
        <v>4.5</v>
      </c>
      <c r="RGU4095" s="34">
        <v>5</v>
      </c>
      <c r="RGW4095" s="913"/>
      <c r="RGX4095" s="31">
        <v>1</v>
      </c>
      <c r="RGY4095" s="34">
        <v>0</v>
      </c>
      <c r="RGZ4095" s="34">
        <v>-1</v>
      </c>
      <c r="RHA4095" s="34">
        <v>-2</v>
      </c>
      <c r="RHB4095" s="34">
        <v>-3</v>
      </c>
      <c r="RHC4095" s="34">
        <v>-4</v>
      </c>
      <c r="RHD4095" s="34">
        <v>-5</v>
      </c>
      <c r="RHE4095" s="908"/>
      <c r="RHF4095" s="909"/>
      <c r="RHG4095" s="34">
        <v>-5</v>
      </c>
      <c r="RHH4095" s="34">
        <v>-4.5</v>
      </c>
      <c r="RHI4095" s="34">
        <v>-4</v>
      </c>
      <c r="RHJ4095" s="34">
        <v>-3.5</v>
      </c>
      <c r="RHK4095" s="34">
        <v>-3</v>
      </c>
      <c r="RHL4095" s="34">
        <v>-2.5</v>
      </c>
      <c r="RHM4095" s="34">
        <v>-2</v>
      </c>
      <c r="RHN4095" s="34">
        <v>-1.5</v>
      </c>
      <c r="RHO4095" s="34">
        <v>-1</v>
      </c>
      <c r="RHP4095" s="34">
        <v>-0.5</v>
      </c>
      <c r="RHQ4095" s="34">
        <v>0</v>
      </c>
      <c r="RHR4095" s="34">
        <v>0.5</v>
      </c>
      <c r="RHS4095" s="34">
        <v>1</v>
      </c>
      <c r="RHT4095" s="34">
        <v>1.5</v>
      </c>
      <c r="RHU4095" s="34">
        <v>2</v>
      </c>
      <c r="RHV4095" s="34">
        <v>2.5</v>
      </c>
      <c r="RHW4095" s="34">
        <v>3</v>
      </c>
      <c r="RHX4095" s="34">
        <v>3.5</v>
      </c>
      <c r="RHY4095" s="34">
        <v>4</v>
      </c>
      <c r="RHZ4095" s="34">
        <v>4.5</v>
      </c>
      <c r="RIA4095" s="34">
        <v>5</v>
      </c>
      <c r="RIC4095" s="913"/>
      <c r="RID4095" s="31">
        <v>1</v>
      </c>
      <c r="RIE4095" s="34">
        <v>0</v>
      </c>
      <c r="RIF4095" s="34">
        <v>-1</v>
      </c>
      <c r="RIG4095" s="34">
        <v>-2</v>
      </c>
      <c r="RIH4095" s="34">
        <v>-3</v>
      </c>
      <c r="RII4095" s="34">
        <v>-4</v>
      </c>
      <c r="RIJ4095" s="34">
        <v>-5</v>
      </c>
      <c r="RIK4095" s="908"/>
      <c r="RIL4095" s="909"/>
      <c r="RIM4095" s="34">
        <v>-5</v>
      </c>
      <c r="RIN4095" s="34">
        <v>-4.5</v>
      </c>
      <c r="RIO4095" s="34">
        <v>-4</v>
      </c>
      <c r="RIP4095" s="34">
        <v>-3.5</v>
      </c>
      <c r="RIQ4095" s="34">
        <v>-3</v>
      </c>
      <c r="RIR4095" s="34">
        <v>-2.5</v>
      </c>
      <c r="RIS4095" s="34">
        <v>-2</v>
      </c>
      <c r="RIT4095" s="34">
        <v>-1.5</v>
      </c>
      <c r="RIU4095" s="34">
        <v>-1</v>
      </c>
      <c r="RIV4095" s="34">
        <v>-0.5</v>
      </c>
      <c r="RIW4095" s="34">
        <v>0</v>
      </c>
      <c r="RIX4095" s="34">
        <v>0.5</v>
      </c>
      <c r="RIY4095" s="34">
        <v>1</v>
      </c>
      <c r="RIZ4095" s="34">
        <v>1.5</v>
      </c>
      <c r="RJA4095" s="34">
        <v>2</v>
      </c>
      <c r="RJB4095" s="34">
        <v>2.5</v>
      </c>
      <c r="RJC4095" s="34">
        <v>3</v>
      </c>
      <c r="RJD4095" s="34">
        <v>3.5</v>
      </c>
      <c r="RJE4095" s="34">
        <v>4</v>
      </c>
      <c r="RJF4095" s="34">
        <v>4.5</v>
      </c>
      <c r="RJG4095" s="34">
        <v>5</v>
      </c>
      <c r="RJI4095" s="913"/>
      <c r="RJJ4095" s="31">
        <v>1</v>
      </c>
      <c r="RJK4095" s="34">
        <v>0</v>
      </c>
      <c r="RJL4095" s="34">
        <v>-1</v>
      </c>
      <c r="RJM4095" s="34">
        <v>-2</v>
      </c>
      <c r="RJN4095" s="34">
        <v>-3</v>
      </c>
      <c r="RJO4095" s="34">
        <v>-4</v>
      </c>
      <c r="RJP4095" s="34">
        <v>-5</v>
      </c>
      <c r="RJQ4095" s="908"/>
      <c r="RJR4095" s="909"/>
      <c r="RJS4095" s="34">
        <v>-5</v>
      </c>
      <c r="RJT4095" s="34">
        <v>-4.5</v>
      </c>
      <c r="RJU4095" s="34">
        <v>-4</v>
      </c>
      <c r="RJV4095" s="34">
        <v>-3.5</v>
      </c>
      <c r="RJW4095" s="34">
        <v>-3</v>
      </c>
      <c r="RJX4095" s="34">
        <v>-2.5</v>
      </c>
      <c r="RJY4095" s="34">
        <v>-2</v>
      </c>
      <c r="RJZ4095" s="34">
        <v>-1.5</v>
      </c>
      <c r="RKA4095" s="34">
        <v>-1</v>
      </c>
      <c r="RKB4095" s="34">
        <v>-0.5</v>
      </c>
      <c r="RKC4095" s="34">
        <v>0</v>
      </c>
      <c r="RKD4095" s="34">
        <v>0.5</v>
      </c>
      <c r="RKE4095" s="34">
        <v>1</v>
      </c>
      <c r="RKF4095" s="34">
        <v>1.5</v>
      </c>
      <c r="RKG4095" s="34">
        <v>2</v>
      </c>
      <c r="RKH4095" s="34">
        <v>2.5</v>
      </c>
      <c r="RKI4095" s="34">
        <v>3</v>
      </c>
      <c r="RKJ4095" s="34">
        <v>3.5</v>
      </c>
      <c r="RKK4095" s="34">
        <v>4</v>
      </c>
      <c r="RKL4095" s="34">
        <v>4.5</v>
      </c>
      <c r="RKM4095" s="34">
        <v>5</v>
      </c>
      <c r="RKO4095" s="913"/>
      <c r="RKP4095" s="31">
        <v>1</v>
      </c>
      <c r="RKQ4095" s="34">
        <v>0</v>
      </c>
      <c r="RKR4095" s="34">
        <v>-1</v>
      </c>
      <c r="RKS4095" s="34">
        <v>-2</v>
      </c>
      <c r="RKT4095" s="34">
        <v>-3</v>
      </c>
      <c r="RKU4095" s="34">
        <v>-4</v>
      </c>
      <c r="RKV4095" s="34">
        <v>-5</v>
      </c>
      <c r="RKW4095" s="908"/>
      <c r="RKX4095" s="909"/>
      <c r="RKY4095" s="34">
        <v>-5</v>
      </c>
      <c r="RKZ4095" s="34">
        <v>-4.5</v>
      </c>
      <c r="RLA4095" s="34">
        <v>-4</v>
      </c>
      <c r="RLB4095" s="34">
        <v>-3.5</v>
      </c>
      <c r="RLC4095" s="34">
        <v>-3</v>
      </c>
      <c r="RLD4095" s="34">
        <v>-2.5</v>
      </c>
      <c r="RLE4095" s="34">
        <v>-2</v>
      </c>
      <c r="RLF4095" s="34">
        <v>-1.5</v>
      </c>
      <c r="RLG4095" s="34">
        <v>-1</v>
      </c>
      <c r="RLH4095" s="34">
        <v>-0.5</v>
      </c>
      <c r="RLI4095" s="34">
        <v>0</v>
      </c>
      <c r="RLJ4095" s="34">
        <v>0.5</v>
      </c>
      <c r="RLK4095" s="34">
        <v>1</v>
      </c>
      <c r="RLL4095" s="34">
        <v>1.5</v>
      </c>
      <c r="RLM4095" s="34">
        <v>2</v>
      </c>
      <c r="RLN4095" s="34">
        <v>2.5</v>
      </c>
      <c r="RLO4095" s="34">
        <v>3</v>
      </c>
      <c r="RLP4095" s="34">
        <v>3.5</v>
      </c>
      <c r="RLQ4095" s="34">
        <v>4</v>
      </c>
      <c r="RLR4095" s="34">
        <v>4.5</v>
      </c>
      <c r="RLS4095" s="34">
        <v>5</v>
      </c>
      <c r="RLU4095" s="913"/>
      <c r="RLV4095" s="31">
        <v>1</v>
      </c>
      <c r="RLW4095" s="34">
        <v>0</v>
      </c>
      <c r="RLX4095" s="34">
        <v>-1</v>
      </c>
      <c r="RLY4095" s="34">
        <v>-2</v>
      </c>
      <c r="RLZ4095" s="34">
        <v>-3</v>
      </c>
      <c r="RMA4095" s="34">
        <v>-4</v>
      </c>
      <c r="RMB4095" s="34">
        <v>-5</v>
      </c>
      <c r="RMC4095" s="908"/>
      <c r="RMD4095" s="909"/>
      <c r="RME4095" s="34">
        <v>-5</v>
      </c>
      <c r="RMF4095" s="34">
        <v>-4.5</v>
      </c>
      <c r="RMG4095" s="34">
        <v>-4</v>
      </c>
      <c r="RMH4095" s="34">
        <v>-3.5</v>
      </c>
      <c r="RMI4095" s="34">
        <v>-3</v>
      </c>
      <c r="RMJ4095" s="34">
        <v>-2.5</v>
      </c>
      <c r="RMK4095" s="34">
        <v>-2</v>
      </c>
      <c r="RML4095" s="34">
        <v>-1.5</v>
      </c>
      <c r="RMM4095" s="34">
        <v>-1</v>
      </c>
      <c r="RMN4095" s="34">
        <v>-0.5</v>
      </c>
      <c r="RMO4095" s="34">
        <v>0</v>
      </c>
      <c r="RMP4095" s="34">
        <v>0.5</v>
      </c>
      <c r="RMQ4095" s="34">
        <v>1</v>
      </c>
      <c r="RMR4095" s="34">
        <v>1.5</v>
      </c>
      <c r="RMS4095" s="34">
        <v>2</v>
      </c>
      <c r="RMT4095" s="34">
        <v>2.5</v>
      </c>
      <c r="RMU4095" s="34">
        <v>3</v>
      </c>
      <c r="RMV4095" s="34">
        <v>3.5</v>
      </c>
      <c r="RMW4095" s="34">
        <v>4</v>
      </c>
      <c r="RMX4095" s="34">
        <v>4.5</v>
      </c>
      <c r="RMY4095" s="34">
        <v>5</v>
      </c>
      <c r="RNA4095" s="913"/>
      <c r="RNB4095" s="31">
        <v>1</v>
      </c>
      <c r="RNC4095" s="34">
        <v>0</v>
      </c>
      <c r="RND4095" s="34">
        <v>-1</v>
      </c>
      <c r="RNE4095" s="34">
        <v>-2</v>
      </c>
      <c r="RNF4095" s="34">
        <v>-3</v>
      </c>
      <c r="RNG4095" s="34">
        <v>-4</v>
      </c>
      <c r="RNH4095" s="34">
        <v>-5</v>
      </c>
      <c r="RNI4095" s="908"/>
      <c r="RNJ4095" s="909"/>
      <c r="RNK4095" s="34">
        <v>-5</v>
      </c>
      <c r="RNL4095" s="34">
        <v>-4.5</v>
      </c>
      <c r="RNM4095" s="34">
        <v>-4</v>
      </c>
      <c r="RNN4095" s="34">
        <v>-3.5</v>
      </c>
      <c r="RNO4095" s="34">
        <v>-3</v>
      </c>
      <c r="RNP4095" s="34">
        <v>-2.5</v>
      </c>
      <c r="RNQ4095" s="34">
        <v>-2</v>
      </c>
      <c r="RNR4095" s="34">
        <v>-1.5</v>
      </c>
      <c r="RNS4095" s="34">
        <v>-1</v>
      </c>
      <c r="RNT4095" s="34">
        <v>-0.5</v>
      </c>
      <c r="RNU4095" s="34">
        <v>0</v>
      </c>
      <c r="RNV4095" s="34">
        <v>0.5</v>
      </c>
      <c r="RNW4095" s="34">
        <v>1</v>
      </c>
      <c r="RNX4095" s="34">
        <v>1.5</v>
      </c>
      <c r="RNY4095" s="34">
        <v>2</v>
      </c>
      <c r="RNZ4095" s="34">
        <v>2.5</v>
      </c>
      <c r="ROA4095" s="34">
        <v>3</v>
      </c>
      <c r="ROB4095" s="34">
        <v>3.5</v>
      </c>
      <c r="ROC4095" s="34">
        <v>4</v>
      </c>
      <c r="ROD4095" s="34">
        <v>4.5</v>
      </c>
      <c r="ROE4095" s="34">
        <v>5</v>
      </c>
      <c r="ROG4095" s="913"/>
      <c r="ROH4095" s="31">
        <v>1</v>
      </c>
      <c r="ROI4095" s="34">
        <v>0</v>
      </c>
      <c r="ROJ4095" s="34">
        <v>-1</v>
      </c>
      <c r="ROK4095" s="34">
        <v>-2</v>
      </c>
      <c r="ROL4095" s="34">
        <v>-3</v>
      </c>
      <c r="ROM4095" s="34">
        <v>-4</v>
      </c>
      <c r="RON4095" s="34">
        <v>-5</v>
      </c>
      <c r="ROO4095" s="908"/>
      <c r="ROP4095" s="909"/>
      <c r="ROQ4095" s="34">
        <v>-5</v>
      </c>
      <c r="ROR4095" s="34">
        <v>-4.5</v>
      </c>
      <c r="ROS4095" s="34">
        <v>-4</v>
      </c>
      <c r="ROT4095" s="34">
        <v>-3.5</v>
      </c>
      <c r="ROU4095" s="34">
        <v>-3</v>
      </c>
      <c r="ROV4095" s="34">
        <v>-2.5</v>
      </c>
      <c r="ROW4095" s="34">
        <v>-2</v>
      </c>
      <c r="ROX4095" s="34">
        <v>-1.5</v>
      </c>
      <c r="ROY4095" s="34">
        <v>-1</v>
      </c>
      <c r="ROZ4095" s="34">
        <v>-0.5</v>
      </c>
      <c r="RPA4095" s="34">
        <v>0</v>
      </c>
      <c r="RPB4095" s="34">
        <v>0.5</v>
      </c>
      <c r="RPC4095" s="34">
        <v>1</v>
      </c>
      <c r="RPD4095" s="34">
        <v>1.5</v>
      </c>
      <c r="RPE4095" s="34">
        <v>2</v>
      </c>
      <c r="RPF4095" s="34">
        <v>2.5</v>
      </c>
      <c r="RPG4095" s="34">
        <v>3</v>
      </c>
      <c r="RPH4095" s="34">
        <v>3.5</v>
      </c>
      <c r="RPI4095" s="34">
        <v>4</v>
      </c>
      <c r="RPJ4095" s="34">
        <v>4.5</v>
      </c>
      <c r="RPK4095" s="34">
        <v>5</v>
      </c>
      <c r="RPM4095" s="913"/>
      <c r="RPN4095" s="31">
        <v>1</v>
      </c>
      <c r="RPO4095" s="34">
        <v>0</v>
      </c>
      <c r="RPP4095" s="34">
        <v>-1</v>
      </c>
      <c r="RPQ4095" s="34">
        <v>-2</v>
      </c>
      <c r="RPR4095" s="34">
        <v>-3</v>
      </c>
      <c r="RPS4095" s="34">
        <v>-4</v>
      </c>
      <c r="RPT4095" s="34">
        <v>-5</v>
      </c>
      <c r="RPU4095" s="908"/>
      <c r="RPV4095" s="909"/>
      <c r="RPW4095" s="34">
        <v>-5</v>
      </c>
      <c r="RPX4095" s="34">
        <v>-4.5</v>
      </c>
      <c r="RPY4095" s="34">
        <v>-4</v>
      </c>
      <c r="RPZ4095" s="34">
        <v>-3.5</v>
      </c>
      <c r="RQA4095" s="34">
        <v>-3</v>
      </c>
      <c r="RQB4095" s="34">
        <v>-2.5</v>
      </c>
      <c r="RQC4095" s="34">
        <v>-2</v>
      </c>
      <c r="RQD4095" s="34">
        <v>-1.5</v>
      </c>
      <c r="RQE4095" s="34">
        <v>-1</v>
      </c>
      <c r="RQF4095" s="34">
        <v>-0.5</v>
      </c>
      <c r="RQG4095" s="34">
        <v>0</v>
      </c>
      <c r="RQH4095" s="34">
        <v>0.5</v>
      </c>
      <c r="RQI4095" s="34">
        <v>1</v>
      </c>
      <c r="RQJ4095" s="34">
        <v>1.5</v>
      </c>
      <c r="RQK4095" s="34">
        <v>2</v>
      </c>
      <c r="RQL4095" s="34">
        <v>2.5</v>
      </c>
      <c r="RQM4095" s="34">
        <v>3</v>
      </c>
      <c r="RQN4095" s="34">
        <v>3.5</v>
      </c>
      <c r="RQO4095" s="34">
        <v>4</v>
      </c>
      <c r="RQP4095" s="34">
        <v>4.5</v>
      </c>
      <c r="RQQ4095" s="34">
        <v>5</v>
      </c>
      <c r="RQS4095" s="913"/>
      <c r="RQT4095" s="31">
        <v>1</v>
      </c>
      <c r="RQU4095" s="34">
        <v>0</v>
      </c>
      <c r="RQV4095" s="34">
        <v>-1</v>
      </c>
      <c r="RQW4095" s="34">
        <v>-2</v>
      </c>
      <c r="RQX4095" s="34">
        <v>-3</v>
      </c>
      <c r="RQY4095" s="34">
        <v>-4</v>
      </c>
      <c r="RQZ4095" s="34">
        <v>-5</v>
      </c>
      <c r="RRA4095" s="908"/>
      <c r="RRB4095" s="909"/>
      <c r="RRC4095" s="34">
        <v>-5</v>
      </c>
      <c r="RRD4095" s="34">
        <v>-4.5</v>
      </c>
      <c r="RRE4095" s="34">
        <v>-4</v>
      </c>
      <c r="RRF4095" s="34">
        <v>-3.5</v>
      </c>
      <c r="RRG4095" s="34">
        <v>-3</v>
      </c>
      <c r="RRH4095" s="34">
        <v>-2.5</v>
      </c>
      <c r="RRI4095" s="34">
        <v>-2</v>
      </c>
      <c r="RRJ4095" s="34">
        <v>-1.5</v>
      </c>
      <c r="RRK4095" s="34">
        <v>-1</v>
      </c>
      <c r="RRL4095" s="34">
        <v>-0.5</v>
      </c>
      <c r="RRM4095" s="34">
        <v>0</v>
      </c>
      <c r="RRN4095" s="34">
        <v>0.5</v>
      </c>
      <c r="RRO4095" s="34">
        <v>1</v>
      </c>
      <c r="RRP4095" s="34">
        <v>1.5</v>
      </c>
      <c r="RRQ4095" s="34">
        <v>2</v>
      </c>
      <c r="RRR4095" s="34">
        <v>2.5</v>
      </c>
      <c r="RRS4095" s="34">
        <v>3</v>
      </c>
      <c r="RRT4095" s="34">
        <v>3.5</v>
      </c>
      <c r="RRU4095" s="34">
        <v>4</v>
      </c>
      <c r="RRV4095" s="34">
        <v>4.5</v>
      </c>
      <c r="RRW4095" s="34">
        <v>5</v>
      </c>
      <c r="RRY4095" s="913"/>
      <c r="RRZ4095" s="31">
        <v>1</v>
      </c>
      <c r="RSA4095" s="34">
        <v>0</v>
      </c>
      <c r="RSB4095" s="34">
        <v>-1</v>
      </c>
      <c r="RSC4095" s="34">
        <v>-2</v>
      </c>
      <c r="RSD4095" s="34">
        <v>-3</v>
      </c>
      <c r="RSE4095" s="34">
        <v>-4</v>
      </c>
      <c r="RSF4095" s="34">
        <v>-5</v>
      </c>
      <c r="RSG4095" s="908"/>
      <c r="RSH4095" s="909"/>
      <c r="RSI4095" s="34">
        <v>-5</v>
      </c>
      <c r="RSJ4095" s="34">
        <v>-4.5</v>
      </c>
      <c r="RSK4095" s="34">
        <v>-4</v>
      </c>
      <c r="RSL4095" s="34">
        <v>-3.5</v>
      </c>
      <c r="RSM4095" s="34">
        <v>-3</v>
      </c>
      <c r="RSN4095" s="34">
        <v>-2.5</v>
      </c>
      <c r="RSO4095" s="34">
        <v>-2</v>
      </c>
      <c r="RSP4095" s="34">
        <v>-1.5</v>
      </c>
      <c r="RSQ4095" s="34">
        <v>-1</v>
      </c>
      <c r="RSR4095" s="34">
        <v>-0.5</v>
      </c>
      <c r="RSS4095" s="34">
        <v>0</v>
      </c>
      <c r="RST4095" s="34">
        <v>0.5</v>
      </c>
      <c r="RSU4095" s="34">
        <v>1</v>
      </c>
      <c r="RSV4095" s="34">
        <v>1.5</v>
      </c>
      <c r="RSW4095" s="34">
        <v>2</v>
      </c>
      <c r="RSX4095" s="34">
        <v>2.5</v>
      </c>
      <c r="RSY4095" s="34">
        <v>3</v>
      </c>
      <c r="RSZ4095" s="34">
        <v>3.5</v>
      </c>
      <c r="RTA4095" s="34">
        <v>4</v>
      </c>
      <c r="RTB4095" s="34">
        <v>4.5</v>
      </c>
      <c r="RTC4095" s="34">
        <v>5</v>
      </c>
      <c r="RTE4095" s="913"/>
      <c r="RTF4095" s="31">
        <v>1</v>
      </c>
      <c r="RTG4095" s="34">
        <v>0</v>
      </c>
      <c r="RTH4095" s="34">
        <v>-1</v>
      </c>
      <c r="RTI4095" s="34">
        <v>-2</v>
      </c>
      <c r="RTJ4095" s="34">
        <v>-3</v>
      </c>
      <c r="RTK4095" s="34">
        <v>-4</v>
      </c>
      <c r="RTL4095" s="34">
        <v>-5</v>
      </c>
      <c r="RTM4095" s="908"/>
      <c r="RTN4095" s="909"/>
      <c r="RTO4095" s="34">
        <v>-5</v>
      </c>
      <c r="RTP4095" s="34">
        <v>-4.5</v>
      </c>
      <c r="RTQ4095" s="34">
        <v>-4</v>
      </c>
      <c r="RTR4095" s="34">
        <v>-3.5</v>
      </c>
      <c r="RTS4095" s="34">
        <v>-3</v>
      </c>
      <c r="RTT4095" s="34">
        <v>-2.5</v>
      </c>
      <c r="RTU4095" s="34">
        <v>-2</v>
      </c>
      <c r="RTV4095" s="34">
        <v>-1.5</v>
      </c>
      <c r="RTW4095" s="34">
        <v>-1</v>
      </c>
      <c r="RTX4095" s="34">
        <v>-0.5</v>
      </c>
      <c r="RTY4095" s="34">
        <v>0</v>
      </c>
      <c r="RTZ4095" s="34">
        <v>0.5</v>
      </c>
      <c r="RUA4095" s="34">
        <v>1</v>
      </c>
      <c r="RUB4095" s="34">
        <v>1.5</v>
      </c>
      <c r="RUC4095" s="34">
        <v>2</v>
      </c>
      <c r="RUD4095" s="34">
        <v>2.5</v>
      </c>
      <c r="RUE4095" s="34">
        <v>3</v>
      </c>
      <c r="RUF4095" s="34">
        <v>3.5</v>
      </c>
      <c r="RUG4095" s="34">
        <v>4</v>
      </c>
      <c r="RUH4095" s="34">
        <v>4.5</v>
      </c>
      <c r="RUI4095" s="34">
        <v>5</v>
      </c>
      <c r="RUK4095" s="913"/>
      <c r="RUL4095" s="31">
        <v>1</v>
      </c>
      <c r="RUM4095" s="34">
        <v>0</v>
      </c>
      <c r="RUN4095" s="34">
        <v>-1</v>
      </c>
      <c r="RUO4095" s="34">
        <v>-2</v>
      </c>
      <c r="RUP4095" s="34">
        <v>-3</v>
      </c>
      <c r="RUQ4095" s="34">
        <v>-4</v>
      </c>
      <c r="RUR4095" s="34">
        <v>-5</v>
      </c>
      <c r="RUS4095" s="908"/>
      <c r="RUT4095" s="909"/>
      <c r="RUU4095" s="34">
        <v>-5</v>
      </c>
      <c r="RUV4095" s="34">
        <v>-4.5</v>
      </c>
      <c r="RUW4095" s="34">
        <v>-4</v>
      </c>
      <c r="RUX4095" s="34">
        <v>-3.5</v>
      </c>
      <c r="RUY4095" s="34">
        <v>-3</v>
      </c>
      <c r="RUZ4095" s="34">
        <v>-2.5</v>
      </c>
      <c r="RVA4095" s="34">
        <v>-2</v>
      </c>
      <c r="RVB4095" s="34">
        <v>-1.5</v>
      </c>
      <c r="RVC4095" s="34">
        <v>-1</v>
      </c>
      <c r="RVD4095" s="34">
        <v>-0.5</v>
      </c>
      <c r="RVE4095" s="34">
        <v>0</v>
      </c>
      <c r="RVF4095" s="34">
        <v>0.5</v>
      </c>
      <c r="RVG4095" s="34">
        <v>1</v>
      </c>
      <c r="RVH4095" s="34">
        <v>1.5</v>
      </c>
      <c r="RVI4095" s="34">
        <v>2</v>
      </c>
      <c r="RVJ4095" s="34">
        <v>2.5</v>
      </c>
      <c r="RVK4095" s="34">
        <v>3</v>
      </c>
      <c r="RVL4095" s="34">
        <v>3.5</v>
      </c>
      <c r="RVM4095" s="34">
        <v>4</v>
      </c>
      <c r="RVN4095" s="34">
        <v>4.5</v>
      </c>
      <c r="RVO4095" s="34">
        <v>5</v>
      </c>
      <c r="RVQ4095" s="913"/>
      <c r="RVR4095" s="31">
        <v>1</v>
      </c>
      <c r="RVS4095" s="34">
        <v>0</v>
      </c>
      <c r="RVT4095" s="34">
        <v>-1</v>
      </c>
      <c r="RVU4095" s="34">
        <v>-2</v>
      </c>
      <c r="RVV4095" s="34">
        <v>-3</v>
      </c>
      <c r="RVW4095" s="34">
        <v>-4</v>
      </c>
      <c r="RVX4095" s="34">
        <v>-5</v>
      </c>
      <c r="RVY4095" s="908"/>
      <c r="RVZ4095" s="909"/>
      <c r="RWA4095" s="34">
        <v>-5</v>
      </c>
      <c r="RWB4095" s="34">
        <v>-4.5</v>
      </c>
      <c r="RWC4095" s="34">
        <v>-4</v>
      </c>
      <c r="RWD4095" s="34">
        <v>-3.5</v>
      </c>
      <c r="RWE4095" s="34">
        <v>-3</v>
      </c>
      <c r="RWF4095" s="34">
        <v>-2.5</v>
      </c>
      <c r="RWG4095" s="34">
        <v>-2</v>
      </c>
      <c r="RWH4095" s="34">
        <v>-1.5</v>
      </c>
      <c r="RWI4095" s="34">
        <v>-1</v>
      </c>
      <c r="RWJ4095" s="34">
        <v>-0.5</v>
      </c>
      <c r="RWK4095" s="34">
        <v>0</v>
      </c>
      <c r="RWL4095" s="34">
        <v>0.5</v>
      </c>
      <c r="RWM4095" s="34">
        <v>1</v>
      </c>
      <c r="RWN4095" s="34">
        <v>1.5</v>
      </c>
      <c r="RWO4095" s="34">
        <v>2</v>
      </c>
      <c r="RWP4095" s="34">
        <v>2.5</v>
      </c>
      <c r="RWQ4095" s="34">
        <v>3</v>
      </c>
      <c r="RWR4095" s="34">
        <v>3.5</v>
      </c>
      <c r="RWS4095" s="34">
        <v>4</v>
      </c>
      <c r="RWT4095" s="34">
        <v>4.5</v>
      </c>
      <c r="RWU4095" s="34">
        <v>5</v>
      </c>
      <c r="RWW4095" s="913"/>
      <c r="RWX4095" s="31">
        <v>1</v>
      </c>
      <c r="RWY4095" s="34">
        <v>0</v>
      </c>
      <c r="RWZ4095" s="34">
        <v>-1</v>
      </c>
      <c r="RXA4095" s="34">
        <v>-2</v>
      </c>
      <c r="RXB4095" s="34">
        <v>-3</v>
      </c>
      <c r="RXC4095" s="34">
        <v>-4</v>
      </c>
      <c r="RXD4095" s="34">
        <v>-5</v>
      </c>
      <c r="RXE4095" s="908"/>
      <c r="RXF4095" s="909"/>
      <c r="RXG4095" s="34">
        <v>-5</v>
      </c>
      <c r="RXH4095" s="34">
        <v>-4.5</v>
      </c>
      <c r="RXI4095" s="34">
        <v>-4</v>
      </c>
      <c r="RXJ4095" s="34">
        <v>-3.5</v>
      </c>
      <c r="RXK4095" s="34">
        <v>-3</v>
      </c>
      <c r="RXL4095" s="34">
        <v>-2.5</v>
      </c>
      <c r="RXM4095" s="34">
        <v>-2</v>
      </c>
      <c r="RXN4095" s="34">
        <v>-1.5</v>
      </c>
      <c r="RXO4095" s="34">
        <v>-1</v>
      </c>
      <c r="RXP4095" s="34">
        <v>-0.5</v>
      </c>
      <c r="RXQ4095" s="34">
        <v>0</v>
      </c>
      <c r="RXR4095" s="34">
        <v>0.5</v>
      </c>
      <c r="RXS4095" s="34">
        <v>1</v>
      </c>
      <c r="RXT4095" s="34">
        <v>1.5</v>
      </c>
      <c r="RXU4095" s="34">
        <v>2</v>
      </c>
      <c r="RXV4095" s="34">
        <v>2.5</v>
      </c>
      <c r="RXW4095" s="34">
        <v>3</v>
      </c>
      <c r="RXX4095" s="34">
        <v>3.5</v>
      </c>
      <c r="RXY4095" s="34">
        <v>4</v>
      </c>
      <c r="RXZ4095" s="34">
        <v>4.5</v>
      </c>
      <c r="RYA4095" s="34">
        <v>5</v>
      </c>
      <c r="RYC4095" s="913"/>
      <c r="RYD4095" s="31">
        <v>1</v>
      </c>
      <c r="RYE4095" s="34">
        <v>0</v>
      </c>
      <c r="RYF4095" s="34">
        <v>-1</v>
      </c>
      <c r="RYG4095" s="34">
        <v>-2</v>
      </c>
      <c r="RYH4095" s="34">
        <v>-3</v>
      </c>
      <c r="RYI4095" s="34">
        <v>-4</v>
      </c>
      <c r="RYJ4095" s="34">
        <v>-5</v>
      </c>
      <c r="RYK4095" s="908"/>
      <c r="RYL4095" s="909"/>
      <c r="RYM4095" s="34">
        <v>-5</v>
      </c>
      <c r="RYN4095" s="34">
        <v>-4.5</v>
      </c>
      <c r="RYO4095" s="34">
        <v>-4</v>
      </c>
      <c r="RYP4095" s="34">
        <v>-3.5</v>
      </c>
      <c r="RYQ4095" s="34">
        <v>-3</v>
      </c>
      <c r="RYR4095" s="34">
        <v>-2.5</v>
      </c>
      <c r="RYS4095" s="34">
        <v>-2</v>
      </c>
      <c r="RYT4095" s="34">
        <v>-1.5</v>
      </c>
      <c r="RYU4095" s="34">
        <v>-1</v>
      </c>
      <c r="RYV4095" s="34">
        <v>-0.5</v>
      </c>
      <c r="RYW4095" s="34">
        <v>0</v>
      </c>
      <c r="RYX4095" s="34">
        <v>0.5</v>
      </c>
      <c r="RYY4095" s="34">
        <v>1</v>
      </c>
      <c r="RYZ4095" s="34">
        <v>1.5</v>
      </c>
      <c r="RZA4095" s="34">
        <v>2</v>
      </c>
      <c r="RZB4095" s="34">
        <v>2.5</v>
      </c>
      <c r="RZC4095" s="34">
        <v>3</v>
      </c>
      <c r="RZD4095" s="34">
        <v>3.5</v>
      </c>
      <c r="RZE4095" s="34">
        <v>4</v>
      </c>
      <c r="RZF4095" s="34">
        <v>4.5</v>
      </c>
      <c r="RZG4095" s="34">
        <v>5</v>
      </c>
      <c r="RZI4095" s="913"/>
      <c r="RZJ4095" s="31">
        <v>1</v>
      </c>
      <c r="RZK4095" s="34">
        <v>0</v>
      </c>
      <c r="RZL4095" s="34">
        <v>-1</v>
      </c>
      <c r="RZM4095" s="34">
        <v>-2</v>
      </c>
      <c r="RZN4095" s="34">
        <v>-3</v>
      </c>
      <c r="RZO4095" s="34">
        <v>-4</v>
      </c>
      <c r="RZP4095" s="34">
        <v>-5</v>
      </c>
      <c r="RZQ4095" s="908"/>
      <c r="RZR4095" s="909"/>
      <c r="RZS4095" s="34">
        <v>-5</v>
      </c>
      <c r="RZT4095" s="34">
        <v>-4.5</v>
      </c>
      <c r="RZU4095" s="34">
        <v>-4</v>
      </c>
      <c r="RZV4095" s="34">
        <v>-3.5</v>
      </c>
      <c r="RZW4095" s="34">
        <v>-3</v>
      </c>
      <c r="RZX4095" s="34">
        <v>-2.5</v>
      </c>
      <c r="RZY4095" s="34">
        <v>-2</v>
      </c>
      <c r="RZZ4095" s="34">
        <v>-1.5</v>
      </c>
      <c r="SAA4095" s="34">
        <v>-1</v>
      </c>
      <c r="SAB4095" s="34">
        <v>-0.5</v>
      </c>
      <c r="SAC4095" s="34">
        <v>0</v>
      </c>
      <c r="SAD4095" s="34">
        <v>0.5</v>
      </c>
      <c r="SAE4095" s="34">
        <v>1</v>
      </c>
      <c r="SAF4095" s="34">
        <v>1.5</v>
      </c>
      <c r="SAG4095" s="34">
        <v>2</v>
      </c>
      <c r="SAH4095" s="34">
        <v>2.5</v>
      </c>
      <c r="SAI4095" s="34">
        <v>3</v>
      </c>
      <c r="SAJ4095" s="34">
        <v>3.5</v>
      </c>
      <c r="SAK4095" s="34">
        <v>4</v>
      </c>
      <c r="SAL4095" s="34">
        <v>4.5</v>
      </c>
      <c r="SAM4095" s="34">
        <v>5</v>
      </c>
      <c r="SAO4095" s="913"/>
      <c r="SAP4095" s="31">
        <v>1</v>
      </c>
      <c r="SAQ4095" s="34">
        <v>0</v>
      </c>
      <c r="SAR4095" s="34">
        <v>-1</v>
      </c>
      <c r="SAS4095" s="34">
        <v>-2</v>
      </c>
      <c r="SAT4095" s="34">
        <v>-3</v>
      </c>
      <c r="SAU4095" s="34">
        <v>-4</v>
      </c>
      <c r="SAV4095" s="34">
        <v>-5</v>
      </c>
      <c r="SAW4095" s="908"/>
      <c r="SAX4095" s="909"/>
      <c r="SAY4095" s="34">
        <v>-5</v>
      </c>
      <c r="SAZ4095" s="34">
        <v>-4.5</v>
      </c>
      <c r="SBA4095" s="34">
        <v>-4</v>
      </c>
      <c r="SBB4095" s="34">
        <v>-3.5</v>
      </c>
      <c r="SBC4095" s="34">
        <v>-3</v>
      </c>
      <c r="SBD4095" s="34">
        <v>-2.5</v>
      </c>
      <c r="SBE4095" s="34">
        <v>-2</v>
      </c>
      <c r="SBF4095" s="34">
        <v>-1.5</v>
      </c>
      <c r="SBG4095" s="34">
        <v>-1</v>
      </c>
      <c r="SBH4095" s="34">
        <v>-0.5</v>
      </c>
      <c r="SBI4095" s="34">
        <v>0</v>
      </c>
      <c r="SBJ4095" s="34">
        <v>0.5</v>
      </c>
      <c r="SBK4095" s="34">
        <v>1</v>
      </c>
      <c r="SBL4095" s="34">
        <v>1.5</v>
      </c>
      <c r="SBM4095" s="34">
        <v>2</v>
      </c>
      <c r="SBN4095" s="34">
        <v>2.5</v>
      </c>
      <c r="SBO4095" s="34">
        <v>3</v>
      </c>
      <c r="SBP4095" s="34">
        <v>3.5</v>
      </c>
      <c r="SBQ4095" s="34">
        <v>4</v>
      </c>
      <c r="SBR4095" s="34">
        <v>4.5</v>
      </c>
      <c r="SBS4095" s="34">
        <v>5</v>
      </c>
      <c r="SBU4095" s="913"/>
      <c r="SBV4095" s="31">
        <v>1</v>
      </c>
      <c r="SBW4095" s="34">
        <v>0</v>
      </c>
      <c r="SBX4095" s="34">
        <v>-1</v>
      </c>
      <c r="SBY4095" s="34">
        <v>-2</v>
      </c>
      <c r="SBZ4095" s="34">
        <v>-3</v>
      </c>
      <c r="SCA4095" s="34">
        <v>-4</v>
      </c>
      <c r="SCB4095" s="34">
        <v>-5</v>
      </c>
      <c r="SCC4095" s="908"/>
      <c r="SCD4095" s="909"/>
      <c r="SCE4095" s="34">
        <v>-5</v>
      </c>
      <c r="SCF4095" s="34">
        <v>-4.5</v>
      </c>
      <c r="SCG4095" s="34">
        <v>-4</v>
      </c>
      <c r="SCH4095" s="34">
        <v>-3.5</v>
      </c>
      <c r="SCI4095" s="34">
        <v>-3</v>
      </c>
      <c r="SCJ4095" s="34">
        <v>-2.5</v>
      </c>
      <c r="SCK4095" s="34">
        <v>-2</v>
      </c>
      <c r="SCL4095" s="34">
        <v>-1.5</v>
      </c>
      <c r="SCM4095" s="34">
        <v>-1</v>
      </c>
      <c r="SCN4095" s="34">
        <v>-0.5</v>
      </c>
      <c r="SCO4095" s="34">
        <v>0</v>
      </c>
      <c r="SCP4095" s="34">
        <v>0.5</v>
      </c>
      <c r="SCQ4095" s="34">
        <v>1</v>
      </c>
      <c r="SCR4095" s="34">
        <v>1.5</v>
      </c>
      <c r="SCS4095" s="34">
        <v>2</v>
      </c>
      <c r="SCT4095" s="34">
        <v>2.5</v>
      </c>
      <c r="SCU4095" s="34">
        <v>3</v>
      </c>
      <c r="SCV4095" s="34">
        <v>3.5</v>
      </c>
      <c r="SCW4095" s="34">
        <v>4</v>
      </c>
      <c r="SCX4095" s="34">
        <v>4.5</v>
      </c>
      <c r="SCY4095" s="34">
        <v>5</v>
      </c>
      <c r="SDA4095" s="913"/>
      <c r="SDB4095" s="31">
        <v>1</v>
      </c>
      <c r="SDC4095" s="34">
        <v>0</v>
      </c>
      <c r="SDD4095" s="34">
        <v>-1</v>
      </c>
      <c r="SDE4095" s="34">
        <v>-2</v>
      </c>
      <c r="SDF4095" s="34">
        <v>-3</v>
      </c>
      <c r="SDG4095" s="34">
        <v>-4</v>
      </c>
      <c r="SDH4095" s="34">
        <v>-5</v>
      </c>
      <c r="SDI4095" s="908"/>
      <c r="SDJ4095" s="909"/>
      <c r="SDK4095" s="34">
        <v>-5</v>
      </c>
      <c r="SDL4095" s="34">
        <v>-4.5</v>
      </c>
      <c r="SDM4095" s="34">
        <v>-4</v>
      </c>
      <c r="SDN4095" s="34">
        <v>-3.5</v>
      </c>
      <c r="SDO4095" s="34">
        <v>-3</v>
      </c>
      <c r="SDP4095" s="34">
        <v>-2.5</v>
      </c>
      <c r="SDQ4095" s="34">
        <v>-2</v>
      </c>
      <c r="SDR4095" s="34">
        <v>-1.5</v>
      </c>
      <c r="SDS4095" s="34">
        <v>-1</v>
      </c>
      <c r="SDT4095" s="34">
        <v>-0.5</v>
      </c>
      <c r="SDU4095" s="34">
        <v>0</v>
      </c>
      <c r="SDV4095" s="34">
        <v>0.5</v>
      </c>
      <c r="SDW4095" s="34">
        <v>1</v>
      </c>
      <c r="SDX4095" s="34">
        <v>1.5</v>
      </c>
      <c r="SDY4095" s="34">
        <v>2</v>
      </c>
      <c r="SDZ4095" s="34">
        <v>2.5</v>
      </c>
      <c r="SEA4095" s="34">
        <v>3</v>
      </c>
      <c r="SEB4095" s="34">
        <v>3.5</v>
      </c>
      <c r="SEC4095" s="34">
        <v>4</v>
      </c>
      <c r="SED4095" s="34">
        <v>4.5</v>
      </c>
      <c r="SEE4095" s="34">
        <v>5</v>
      </c>
      <c r="SEG4095" s="913"/>
      <c r="SEH4095" s="31">
        <v>1</v>
      </c>
      <c r="SEI4095" s="34">
        <v>0</v>
      </c>
      <c r="SEJ4095" s="34">
        <v>-1</v>
      </c>
      <c r="SEK4095" s="34">
        <v>-2</v>
      </c>
      <c r="SEL4095" s="34">
        <v>-3</v>
      </c>
      <c r="SEM4095" s="34">
        <v>-4</v>
      </c>
      <c r="SEN4095" s="34">
        <v>-5</v>
      </c>
      <c r="SEO4095" s="908"/>
      <c r="SEP4095" s="909"/>
      <c r="SEQ4095" s="34">
        <v>-5</v>
      </c>
      <c r="SER4095" s="34">
        <v>-4.5</v>
      </c>
      <c r="SES4095" s="34">
        <v>-4</v>
      </c>
      <c r="SET4095" s="34">
        <v>-3.5</v>
      </c>
      <c r="SEU4095" s="34">
        <v>-3</v>
      </c>
      <c r="SEV4095" s="34">
        <v>-2.5</v>
      </c>
      <c r="SEW4095" s="34">
        <v>-2</v>
      </c>
      <c r="SEX4095" s="34">
        <v>-1.5</v>
      </c>
      <c r="SEY4095" s="34">
        <v>-1</v>
      </c>
      <c r="SEZ4095" s="34">
        <v>-0.5</v>
      </c>
      <c r="SFA4095" s="34">
        <v>0</v>
      </c>
      <c r="SFB4095" s="34">
        <v>0.5</v>
      </c>
      <c r="SFC4095" s="34">
        <v>1</v>
      </c>
      <c r="SFD4095" s="34">
        <v>1.5</v>
      </c>
      <c r="SFE4095" s="34">
        <v>2</v>
      </c>
      <c r="SFF4095" s="34">
        <v>2.5</v>
      </c>
      <c r="SFG4095" s="34">
        <v>3</v>
      </c>
      <c r="SFH4095" s="34">
        <v>3.5</v>
      </c>
      <c r="SFI4095" s="34">
        <v>4</v>
      </c>
      <c r="SFJ4095" s="34">
        <v>4.5</v>
      </c>
      <c r="SFK4095" s="34">
        <v>5</v>
      </c>
      <c r="SFM4095" s="913"/>
      <c r="SFN4095" s="31">
        <v>1</v>
      </c>
      <c r="SFO4095" s="34">
        <v>0</v>
      </c>
      <c r="SFP4095" s="34">
        <v>-1</v>
      </c>
      <c r="SFQ4095" s="34">
        <v>-2</v>
      </c>
      <c r="SFR4095" s="34">
        <v>-3</v>
      </c>
      <c r="SFS4095" s="34">
        <v>-4</v>
      </c>
      <c r="SFT4095" s="34">
        <v>-5</v>
      </c>
      <c r="SFU4095" s="908"/>
      <c r="SFV4095" s="909"/>
      <c r="SFW4095" s="34">
        <v>-5</v>
      </c>
      <c r="SFX4095" s="34">
        <v>-4.5</v>
      </c>
      <c r="SFY4095" s="34">
        <v>-4</v>
      </c>
      <c r="SFZ4095" s="34">
        <v>-3.5</v>
      </c>
      <c r="SGA4095" s="34">
        <v>-3</v>
      </c>
      <c r="SGB4095" s="34">
        <v>-2.5</v>
      </c>
      <c r="SGC4095" s="34">
        <v>-2</v>
      </c>
      <c r="SGD4095" s="34">
        <v>-1.5</v>
      </c>
      <c r="SGE4095" s="34">
        <v>-1</v>
      </c>
      <c r="SGF4095" s="34">
        <v>-0.5</v>
      </c>
      <c r="SGG4095" s="34">
        <v>0</v>
      </c>
      <c r="SGH4095" s="34">
        <v>0.5</v>
      </c>
      <c r="SGI4095" s="34">
        <v>1</v>
      </c>
      <c r="SGJ4095" s="34">
        <v>1.5</v>
      </c>
      <c r="SGK4095" s="34">
        <v>2</v>
      </c>
      <c r="SGL4095" s="34">
        <v>2.5</v>
      </c>
      <c r="SGM4095" s="34">
        <v>3</v>
      </c>
      <c r="SGN4095" s="34">
        <v>3.5</v>
      </c>
      <c r="SGO4095" s="34">
        <v>4</v>
      </c>
      <c r="SGP4095" s="34">
        <v>4.5</v>
      </c>
      <c r="SGQ4095" s="34">
        <v>5</v>
      </c>
      <c r="SGS4095" s="913"/>
      <c r="SGT4095" s="31">
        <v>1</v>
      </c>
      <c r="SGU4095" s="34">
        <v>0</v>
      </c>
      <c r="SGV4095" s="34">
        <v>-1</v>
      </c>
      <c r="SGW4095" s="34">
        <v>-2</v>
      </c>
      <c r="SGX4095" s="34">
        <v>-3</v>
      </c>
      <c r="SGY4095" s="34">
        <v>-4</v>
      </c>
      <c r="SGZ4095" s="34">
        <v>-5</v>
      </c>
      <c r="SHA4095" s="908"/>
      <c r="SHB4095" s="909"/>
      <c r="SHC4095" s="34">
        <v>-5</v>
      </c>
      <c r="SHD4095" s="34">
        <v>-4.5</v>
      </c>
      <c r="SHE4095" s="34">
        <v>-4</v>
      </c>
      <c r="SHF4095" s="34">
        <v>-3.5</v>
      </c>
      <c r="SHG4095" s="34">
        <v>-3</v>
      </c>
      <c r="SHH4095" s="34">
        <v>-2.5</v>
      </c>
      <c r="SHI4095" s="34">
        <v>-2</v>
      </c>
      <c r="SHJ4095" s="34">
        <v>-1.5</v>
      </c>
      <c r="SHK4095" s="34">
        <v>-1</v>
      </c>
      <c r="SHL4095" s="34">
        <v>-0.5</v>
      </c>
      <c r="SHM4095" s="34">
        <v>0</v>
      </c>
      <c r="SHN4095" s="34">
        <v>0.5</v>
      </c>
      <c r="SHO4095" s="34">
        <v>1</v>
      </c>
      <c r="SHP4095" s="34">
        <v>1.5</v>
      </c>
      <c r="SHQ4095" s="34">
        <v>2</v>
      </c>
      <c r="SHR4095" s="34">
        <v>2.5</v>
      </c>
      <c r="SHS4095" s="34">
        <v>3</v>
      </c>
      <c r="SHT4095" s="34">
        <v>3.5</v>
      </c>
      <c r="SHU4095" s="34">
        <v>4</v>
      </c>
      <c r="SHV4095" s="34">
        <v>4.5</v>
      </c>
      <c r="SHW4095" s="34">
        <v>5</v>
      </c>
      <c r="SHY4095" s="913"/>
      <c r="SHZ4095" s="31">
        <v>1</v>
      </c>
      <c r="SIA4095" s="34">
        <v>0</v>
      </c>
      <c r="SIB4095" s="34">
        <v>-1</v>
      </c>
      <c r="SIC4095" s="34">
        <v>-2</v>
      </c>
      <c r="SID4095" s="34">
        <v>-3</v>
      </c>
      <c r="SIE4095" s="34">
        <v>-4</v>
      </c>
      <c r="SIF4095" s="34">
        <v>-5</v>
      </c>
      <c r="SIG4095" s="908"/>
      <c r="SIH4095" s="909"/>
      <c r="SII4095" s="34">
        <v>-5</v>
      </c>
      <c r="SIJ4095" s="34">
        <v>-4.5</v>
      </c>
      <c r="SIK4095" s="34">
        <v>-4</v>
      </c>
      <c r="SIL4095" s="34">
        <v>-3.5</v>
      </c>
      <c r="SIM4095" s="34">
        <v>-3</v>
      </c>
      <c r="SIN4095" s="34">
        <v>-2.5</v>
      </c>
      <c r="SIO4095" s="34">
        <v>-2</v>
      </c>
      <c r="SIP4095" s="34">
        <v>-1.5</v>
      </c>
      <c r="SIQ4095" s="34">
        <v>-1</v>
      </c>
      <c r="SIR4095" s="34">
        <v>-0.5</v>
      </c>
      <c r="SIS4095" s="34">
        <v>0</v>
      </c>
      <c r="SIT4095" s="34">
        <v>0.5</v>
      </c>
      <c r="SIU4095" s="34">
        <v>1</v>
      </c>
      <c r="SIV4095" s="34">
        <v>1.5</v>
      </c>
      <c r="SIW4095" s="34">
        <v>2</v>
      </c>
      <c r="SIX4095" s="34">
        <v>2.5</v>
      </c>
      <c r="SIY4095" s="34">
        <v>3</v>
      </c>
      <c r="SIZ4095" s="34">
        <v>3.5</v>
      </c>
      <c r="SJA4095" s="34">
        <v>4</v>
      </c>
      <c r="SJB4095" s="34">
        <v>4.5</v>
      </c>
      <c r="SJC4095" s="34">
        <v>5</v>
      </c>
      <c r="SJE4095" s="913"/>
      <c r="SJF4095" s="31">
        <v>1</v>
      </c>
      <c r="SJG4095" s="34">
        <v>0</v>
      </c>
      <c r="SJH4095" s="34">
        <v>-1</v>
      </c>
      <c r="SJI4095" s="34">
        <v>-2</v>
      </c>
      <c r="SJJ4095" s="34">
        <v>-3</v>
      </c>
      <c r="SJK4095" s="34">
        <v>-4</v>
      </c>
      <c r="SJL4095" s="34">
        <v>-5</v>
      </c>
      <c r="SJM4095" s="908"/>
      <c r="SJN4095" s="909"/>
      <c r="SJO4095" s="34">
        <v>-5</v>
      </c>
      <c r="SJP4095" s="34">
        <v>-4.5</v>
      </c>
      <c r="SJQ4095" s="34">
        <v>-4</v>
      </c>
      <c r="SJR4095" s="34">
        <v>-3.5</v>
      </c>
      <c r="SJS4095" s="34">
        <v>-3</v>
      </c>
      <c r="SJT4095" s="34">
        <v>-2.5</v>
      </c>
      <c r="SJU4095" s="34">
        <v>-2</v>
      </c>
      <c r="SJV4095" s="34">
        <v>-1.5</v>
      </c>
      <c r="SJW4095" s="34">
        <v>-1</v>
      </c>
      <c r="SJX4095" s="34">
        <v>-0.5</v>
      </c>
      <c r="SJY4095" s="34">
        <v>0</v>
      </c>
      <c r="SJZ4095" s="34">
        <v>0.5</v>
      </c>
      <c r="SKA4095" s="34">
        <v>1</v>
      </c>
      <c r="SKB4095" s="34">
        <v>1.5</v>
      </c>
      <c r="SKC4095" s="34">
        <v>2</v>
      </c>
      <c r="SKD4095" s="34">
        <v>2.5</v>
      </c>
      <c r="SKE4095" s="34">
        <v>3</v>
      </c>
      <c r="SKF4095" s="34">
        <v>3.5</v>
      </c>
      <c r="SKG4095" s="34">
        <v>4</v>
      </c>
      <c r="SKH4095" s="34">
        <v>4.5</v>
      </c>
      <c r="SKI4095" s="34">
        <v>5</v>
      </c>
      <c r="SKK4095" s="913"/>
      <c r="SKL4095" s="31">
        <v>1</v>
      </c>
      <c r="SKM4095" s="34">
        <v>0</v>
      </c>
      <c r="SKN4095" s="34">
        <v>-1</v>
      </c>
      <c r="SKO4095" s="34">
        <v>-2</v>
      </c>
      <c r="SKP4095" s="34">
        <v>-3</v>
      </c>
      <c r="SKQ4095" s="34">
        <v>-4</v>
      </c>
      <c r="SKR4095" s="34">
        <v>-5</v>
      </c>
      <c r="SKS4095" s="908"/>
      <c r="SKT4095" s="909"/>
      <c r="SKU4095" s="34">
        <v>-5</v>
      </c>
      <c r="SKV4095" s="34">
        <v>-4.5</v>
      </c>
      <c r="SKW4095" s="34">
        <v>-4</v>
      </c>
      <c r="SKX4095" s="34">
        <v>-3.5</v>
      </c>
      <c r="SKY4095" s="34">
        <v>-3</v>
      </c>
      <c r="SKZ4095" s="34">
        <v>-2.5</v>
      </c>
      <c r="SLA4095" s="34">
        <v>-2</v>
      </c>
      <c r="SLB4095" s="34">
        <v>-1.5</v>
      </c>
      <c r="SLC4095" s="34">
        <v>-1</v>
      </c>
      <c r="SLD4095" s="34">
        <v>-0.5</v>
      </c>
      <c r="SLE4095" s="34">
        <v>0</v>
      </c>
      <c r="SLF4095" s="34">
        <v>0.5</v>
      </c>
      <c r="SLG4095" s="34">
        <v>1</v>
      </c>
      <c r="SLH4095" s="34">
        <v>1.5</v>
      </c>
      <c r="SLI4095" s="34">
        <v>2</v>
      </c>
      <c r="SLJ4095" s="34">
        <v>2.5</v>
      </c>
      <c r="SLK4095" s="34">
        <v>3</v>
      </c>
      <c r="SLL4095" s="34">
        <v>3.5</v>
      </c>
      <c r="SLM4095" s="34">
        <v>4</v>
      </c>
      <c r="SLN4095" s="34">
        <v>4.5</v>
      </c>
      <c r="SLO4095" s="34">
        <v>5</v>
      </c>
      <c r="SLQ4095" s="913"/>
      <c r="SLR4095" s="31">
        <v>1</v>
      </c>
      <c r="SLS4095" s="34">
        <v>0</v>
      </c>
      <c r="SLT4095" s="34">
        <v>-1</v>
      </c>
      <c r="SLU4095" s="34">
        <v>-2</v>
      </c>
      <c r="SLV4095" s="34">
        <v>-3</v>
      </c>
      <c r="SLW4095" s="34">
        <v>-4</v>
      </c>
      <c r="SLX4095" s="34">
        <v>-5</v>
      </c>
      <c r="SLY4095" s="908"/>
      <c r="SLZ4095" s="909"/>
      <c r="SMA4095" s="34">
        <v>-5</v>
      </c>
      <c r="SMB4095" s="34">
        <v>-4.5</v>
      </c>
      <c r="SMC4095" s="34">
        <v>-4</v>
      </c>
      <c r="SMD4095" s="34">
        <v>-3.5</v>
      </c>
      <c r="SME4095" s="34">
        <v>-3</v>
      </c>
      <c r="SMF4095" s="34">
        <v>-2.5</v>
      </c>
      <c r="SMG4095" s="34">
        <v>-2</v>
      </c>
      <c r="SMH4095" s="34">
        <v>-1.5</v>
      </c>
      <c r="SMI4095" s="34">
        <v>-1</v>
      </c>
      <c r="SMJ4095" s="34">
        <v>-0.5</v>
      </c>
      <c r="SMK4095" s="34">
        <v>0</v>
      </c>
      <c r="SML4095" s="34">
        <v>0.5</v>
      </c>
      <c r="SMM4095" s="34">
        <v>1</v>
      </c>
      <c r="SMN4095" s="34">
        <v>1.5</v>
      </c>
      <c r="SMO4095" s="34">
        <v>2</v>
      </c>
      <c r="SMP4095" s="34">
        <v>2.5</v>
      </c>
      <c r="SMQ4095" s="34">
        <v>3</v>
      </c>
      <c r="SMR4095" s="34">
        <v>3.5</v>
      </c>
      <c r="SMS4095" s="34">
        <v>4</v>
      </c>
      <c r="SMT4095" s="34">
        <v>4.5</v>
      </c>
      <c r="SMU4095" s="34">
        <v>5</v>
      </c>
      <c r="SMW4095" s="913"/>
      <c r="SMX4095" s="31">
        <v>1</v>
      </c>
      <c r="SMY4095" s="34">
        <v>0</v>
      </c>
      <c r="SMZ4095" s="34">
        <v>-1</v>
      </c>
      <c r="SNA4095" s="34">
        <v>-2</v>
      </c>
      <c r="SNB4095" s="34">
        <v>-3</v>
      </c>
      <c r="SNC4095" s="34">
        <v>-4</v>
      </c>
      <c r="SND4095" s="34">
        <v>-5</v>
      </c>
      <c r="SNE4095" s="908"/>
      <c r="SNF4095" s="909"/>
      <c r="SNG4095" s="34">
        <v>-5</v>
      </c>
      <c r="SNH4095" s="34">
        <v>-4.5</v>
      </c>
      <c r="SNI4095" s="34">
        <v>-4</v>
      </c>
      <c r="SNJ4095" s="34">
        <v>-3.5</v>
      </c>
      <c r="SNK4095" s="34">
        <v>-3</v>
      </c>
      <c r="SNL4095" s="34">
        <v>-2.5</v>
      </c>
      <c r="SNM4095" s="34">
        <v>-2</v>
      </c>
      <c r="SNN4095" s="34">
        <v>-1.5</v>
      </c>
      <c r="SNO4095" s="34">
        <v>-1</v>
      </c>
      <c r="SNP4095" s="34">
        <v>-0.5</v>
      </c>
      <c r="SNQ4095" s="34">
        <v>0</v>
      </c>
      <c r="SNR4095" s="34">
        <v>0.5</v>
      </c>
      <c r="SNS4095" s="34">
        <v>1</v>
      </c>
      <c r="SNT4095" s="34">
        <v>1.5</v>
      </c>
      <c r="SNU4095" s="34">
        <v>2</v>
      </c>
      <c r="SNV4095" s="34">
        <v>2.5</v>
      </c>
      <c r="SNW4095" s="34">
        <v>3</v>
      </c>
      <c r="SNX4095" s="34">
        <v>3.5</v>
      </c>
      <c r="SNY4095" s="34">
        <v>4</v>
      </c>
      <c r="SNZ4095" s="34">
        <v>4.5</v>
      </c>
      <c r="SOA4095" s="34">
        <v>5</v>
      </c>
      <c r="SOC4095" s="913"/>
      <c r="SOD4095" s="31">
        <v>1</v>
      </c>
      <c r="SOE4095" s="34">
        <v>0</v>
      </c>
      <c r="SOF4095" s="34">
        <v>-1</v>
      </c>
      <c r="SOG4095" s="34">
        <v>-2</v>
      </c>
      <c r="SOH4095" s="34">
        <v>-3</v>
      </c>
      <c r="SOI4095" s="34">
        <v>-4</v>
      </c>
      <c r="SOJ4095" s="34">
        <v>-5</v>
      </c>
      <c r="SOK4095" s="908"/>
      <c r="SOL4095" s="909"/>
      <c r="SOM4095" s="34">
        <v>-5</v>
      </c>
      <c r="SON4095" s="34">
        <v>-4.5</v>
      </c>
      <c r="SOO4095" s="34">
        <v>-4</v>
      </c>
      <c r="SOP4095" s="34">
        <v>-3.5</v>
      </c>
      <c r="SOQ4095" s="34">
        <v>-3</v>
      </c>
      <c r="SOR4095" s="34">
        <v>-2.5</v>
      </c>
      <c r="SOS4095" s="34">
        <v>-2</v>
      </c>
      <c r="SOT4095" s="34">
        <v>-1.5</v>
      </c>
      <c r="SOU4095" s="34">
        <v>-1</v>
      </c>
      <c r="SOV4095" s="34">
        <v>-0.5</v>
      </c>
      <c r="SOW4095" s="34">
        <v>0</v>
      </c>
      <c r="SOX4095" s="34">
        <v>0.5</v>
      </c>
      <c r="SOY4095" s="34">
        <v>1</v>
      </c>
      <c r="SOZ4095" s="34">
        <v>1.5</v>
      </c>
      <c r="SPA4095" s="34">
        <v>2</v>
      </c>
      <c r="SPB4095" s="34">
        <v>2.5</v>
      </c>
      <c r="SPC4095" s="34">
        <v>3</v>
      </c>
      <c r="SPD4095" s="34">
        <v>3.5</v>
      </c>
      <c r="SPE4095" s="34">
        <v>4</v>
      </c>
      <c r="SPF4095" s="34">
        <v>4.5</v>
      </c>
      <c r="SPG4095" s="34">
        <v>5</v>
      </c>
      <c r="SPI4095" s="913"/>
      <c r="SPJ4095" s="31">
        <v>1</v>
      </c>
      <c r="SPK4095" s="34">
        <v>0</v>
      </c>
      <c r="SPL4095" s="34">
        <v>-1</v>
      </c>
      <c r="SPM4095" s="34">
        <v>-2</v>
      </c>
      <c r="SPN4095" s="34">
        <v>-3</v>
      </c>
      <c r="SPO4095" s="34">
        <v>-4</v>
      </c>
      <c r="SPP4095" s="34">
        <v>-5</v>
      </c>
      <c r="SPQ4095" s="908"/>
      <c r="SPR4095" s="909"/>
      <c r="SPS4095" s="34">
        <v>-5</v>
      </c>
      <c r="SPT4095" s="34">
        <v>-4.5</v>
      </c>
      <c r="SPU4095" s="34">
        <v>-4</v>
      </c>
      <c r="SPV4095" s="34">
        <v>-3.5</v>
      </c>
      <c r="SPW4095" s="34">
        <v>-3</v>
      </c>
      <c r="SPX4095" s="34">
        <v>-2.5</v>
      </c>
      <c r="SPY4095" s="34">
        <v>-2</v>
      </c>
      <c r="SPZ4095" s="34">
        <v>-1.5</v>
      </c>
      <c r="SQA4095" s="34">
        <v>-1</v>
      </c>
      <c r="SQB4095" s="34">
        <v>-0.5</v>
      </c>
      <c r="SQC4095" s="34">
        <v>0</v>
      </c>
      <c r="SQD4095" s="34">
        <v>0.5</v>
      </c>
      <c r="SQE4095" s="34">
        <v>1</v>
      </c>
      <c r="SQF4095" s="34">
        <v>1.5</v>
      </c>
      <c r="SQG4095" s="34">
        <v>2</v>
      </c>
      <c r="SQH4095" s="34">
        <v>2.5</v>
      </c>
      <c r="SQI4095" s="34">
        <v>3</v>
      </c>
      <c r="SQJ4095" s="34">
        <v>3.5</v>
      </c>
      <c r="SQK4095" s="34">
        <v>4</v>
      </c>
      <c r="SQL4095" s="34">
        <v>4.5</v>
      </c>
      <c r="SQM4095" s="34">
        <v>5</v>
      </c>
      <c r="SQO4095" s="913"/>
      <c r="SQP4095" s="31">
        <v>1</v>
      </c>
      <c r="SQQ4095" s="34">
        <v>0</v>
      </c>
      <c r="SQR4095" s="34">
        <v>-1</v>
      </c>
      <c r="SQS4095" s="34">
        <v>-2</v>
      </c>
      <c r="SQT4095" s="34">
        <v>-3</v>
      </c>
      <c r="SQU4095" s="34">
        <v>-4</v>
      </c>
      <c r="SQV4095" s="34">
        <v>-5</v>
      </c>
      <c r="SQW4095" s="908"/>
      <c r="SQX4095" s="909"/>
      <c r="SQY4095" s="34">
        <v>-5</v>
      </c>
      <c r="SQZ4095" s="34">
        <v>-4.5</v>
      </c>
      <c r="SRA4095" s="34">
        <v>-4</v>
      </c>
      <c r="SRB4095" s="34">
        <v>-3.5</v>
      </c>
      <c r="SRC4095" s="34">
        <v>-3</v>
      </c>
      <c r="SRD4095" s="34">
        <v>-2.5</v>
      </c>
      <c r="SRE4095" s="34">
        <v>-2</v>
      </c>
      <c r="SRF4095" s="34">
        <v>-1.5</v>
      </c>
      <c r="SRG4095" s="34">
        <v>-1</v>
      </c>
      <c r="SRH4095" s="34">
        <v>-0.5</v>
      </c>
      <c r="SRI4095" s="34">
        <v>0</v>
      </c>
      <c r="SRJ4095" s="34">
        <v>0.5</v>
      </c>
      <c r="SRK4095" s="34">
        <v>1</v>
      </c>
      <c r="SRL4095" s="34">
        <v>1.5</v>
      </c>
      <c r="SRM4095" s="34">
        <v>2</v>
      </c>
      <c r="SRN4095" s="34">
        <v>2.5</v>
      </c>
      <c r="SRO4095" s="34">
        <v>3</v>
      </c>
      <c r="SRP4095" s="34">
        <v>3.5</v>
      </c>
      <c r="SRQ4095" s="34">
        <v>4</v>
      </c>
      <c r="SRR4095" s="34">
        <v>4.5</v>
      </c>
      <c r="SRS4095" s="34">
        <v>5</v>
      </c>
      <c r="SRU4095" s="913"/>
      <c r="SRV4095" s="31">
        <v>1</v>
      </c>
      <c r="SRW4095" s="34">
        <v>0</v>
      </c>
      <c r="SRX4095" s="34">
        <v>-1</v>
      </c>
      <c r="SRY4095" s="34">
        <v>-2</v>
      </c>
      <c r="SRZ4095" s="34">
        <v>-3</v>
      </c>
      <c r="SSA4095" s="34">
        <v>-4</v>
      </c>
      <c r="SSB4095" s="34">
        <v>-5</v>
      </c>
      <c r="SSC4095" s="908"/>
      <c r="SSD4095" s="909"/>
      <c r="SSE4095" s="34">
        <v>-5</v>
      </c>
      <c r="SSF4095" s="34">
        <v>-4.5</v>
      </c>
      <c r="SSG4095" s="34">
        <v>-4</v>
      </c>
      <c r="SSH4095" s="34">
        <v>-3.5</v>
      </c>
      <c r="SSI4095" s="34">
        <v>-3</v>
      </c>
      <c r="SSJ4095" s="34">
        <v>-2.5</v>
      </c>
      <c r="SSK4095" s="34">
        <v>-2</v>
      </c>
      <c r="SSL4095" s="34">
        <v>-1.5</v>
      </c>
      <c r="SSM4095" s="34">
        <v>-1</v>
      </c>
      <c r="SSN4095" s="34">
        <v>-0.5</v>
      </c>
      <c r="SSO4095" s="34">
        <v>0</v>
      </c>
      <c r="SSP4095" s="34">
        <v>0.5</v>
      </c>
      <c r="SSQ4095" s="34">
        <v>1</v>
      </c>
      <c r="SSR4095" s="34">
        <v>1.5</v>
      </c>
      <c r="SSS4095" s="34">
        <v>2</v>
      </c>
      <c r="SST4095" s="34">
        <v>2.5</v>
      </c>
      <c r="SSU4095" s="34">
        <v>3</v>
      </c>
      <c r="SSV4095" s="34">
        <v>3.5</v>
      </c>
      <c r="SSW4095" s="34">
        <v>4</v>
      </c>
      <c r="SSX4095" s="34">
        <v>4.5</v>
      </c>
      <c r="SSY4095" s="34">
        <v>5</v>
      </c>
      <c r="STA4095" s="913"/>
      <c r="STB4095" s="31">
        <v>1</v>
      </c>
      <c r="STC4095" s="34">
        <v>0</v>
      </c>
      <c r="STD4095" s="34">
        <v>-1</v>
      </c>
      <c r="STE4095" s="34">
        <v>-2</v>
      </c>
      <c r="STF4095" s="34">
        <v>-3</v>
      </c>
      <c r="STG4095" s="34">
        <v>-4</v>
      </c>
      <c r="STH4095" s="34">
        <v>-5</v>
      </c>
      <c r="STI4095" s="908"/>
      <c r="STJ4095" s="909"/>
      <c r="STK4095" s="34">
        <v>-5</v>
      </c>
      <c r="STL4095" s="34">
        <v>-4.5</v>
      </c>
      <c r="STM4095" s="34">
        <v>-4</v>
      </c>
      <c r="STN4095" s="34">
        <v>-3.5</v>
      </c>
      <c r="STO4095" s="34">
        <v>-3</v>
      </c>
      <c r="STP4095" s="34">
        <v>-2.5</v>
      </c>
      <c r="STQ4095" s="34">
        <v>-2</v>
      </c>
      <c r="STR4095" s="34">
        <v>-1.5</v>
      </c>
      <c r="STS4095" s="34">
        <v>-1</v>
      </c>
      <c r="STT4095" s="34">
        <v>-0.5</v>
      </c>
      <c r="STU4095" s="34">
        <v>0</v>
      </c>
      <c r="STV4095" s="34">
        <v>0.5</v>
      </c>
      <c r="STW4095" s="34">
        <v>1</v>
      </c>
      <c r="STX4095" s="34">
        <v>1.5</v>
      </c>
      <c r="STY4095" s="34">
        <v>2</v>
      </c>
      <c r="STZ4095" s="34">
        <v>2.5</v>
      </c>
      <c r="SUA4095" s="34">
        <v>3</v>
      </c>
      <c r="SUB4095" s="34">
        <v>3.5</v>
      </c>
      <c r="SUC4095" s="34">
        <v>4</v>
      </c>
      <c r="SUD4095" s="34">
        <v>4.5</v>
      </c>
      <c r="SUE4095" s="34">
        <v>5</v>
      </c>
      <c r="SUG4095" s="913"/>
      <c r="SUH4095" s="31">
        <v>1</v>
      </c>
      <c r="SUI4095" s="34">
        <v>0</v>
      </c>
      <c r="SUJ4095" s="34">
        <v>-1</v>
      </c>
      <c r="SUK4095" s="34">
        <v>-2</v>
      </c>
      <c r="SUL4095" s="34">
        <v>-3</v>
      </c>
      <c r="SUM4095" s="34">
        <v>-4</v>
      </c>
      <c r="SUN4095" s="34">
        <v>-5</v>
      </c>
      <c r="SUO4095" s="908"/>
      <c r="SUP4095" s="909"/>
      <c r="SUQ4095" s="34">
        <v>-5</v>
      </c>
      <c r="SUR4095" s="34">
        <v>-4.5</v>
      </c>
      <c r="SUS4095" s="34">
        <v>-4</v>
      </c>
      <c r="SUT4095" s="34">
        <v>-3.5</v>
      </c>
      <c r="SUU4095" s="34">
        <v>-3</v>
      </c>
      <c r="SUV4095" s="34">
        <v>-2.5</v>
      </c>
      <c r="SUW4095" s="34">
        <v>-2</v>
      </c>
      <c r="SUX4095" s="34">
        <v>-1.5</v>
      </c>
      <c r="SUY4095" s="34">
        <v>-1</v>
      </c>
      <c r="SUZ4095" s="34">
        <v>-0.5</v>
      </c>
      <c r="SVA4095" s="34">
        <v>0</v>
      </c>
      <c r="SVB4095" s="34">
        <v>0.5</v>
      </c>
      <c r="SVC4095" s="34">
        <v>1</v>
      </c>
      <c r="SVD4095" s="34">
        <v>1.5</v>
      </c>
      <c r="SVE4095" s="34">
        <v>2</v>
      </c>
      <c r="SVF4095" s="34">
        <v>2.5</v>
      </c>
      <c r="SVG4095" s="34">
        <v>3</v>
      </c>
      <c r="SVH4095" s="34">
        <v>3.5</v>
      </c>
      <c r="SVI4095" s="34">
        <v>4</v>
      </c>
      <c r="SVJ4095" s="34">
        <v>4.5</v>
      </c>
      <c r="SVK4095" s="34">
        <v>5</v>
      </c>
      <c r="SVM4095" s="913"/>
      <c r="SVN4095" s="31">
        <v>1</v>
      </c>
      <c r="SVO4095" s="34">
        <v>0</v>
      </c>
      <c r="SVP4095" s="34">
        <v>-1</v>
      </c>
      <c r="SVQ4095" s="34">
        <v>-2</v>
      </c>
      <c r="SVR4095" s="34">
        <v>-3</v>
      </c>
      <c r="SVS4095" s="34">
        <v>-4</v>
      </c>
      <c r="SVT4095" s="34">
        <v>-5</v>
      </c>
      <c r="SVU4095" s="908"/>
      <c r="SVV4095" s="909"/>
      <c r="SVW4095" s="34">
        <v>-5</v>
      </c>
      <c r="SVX4095" s="34">
        <v>-4.5</v>
      </c>
      <c r="SVY4095" s="34">
        <v>-4</v>
      </c>
      <c r="SVZ4095" s="34">
        <v>-3.5</v>
      </c>
      <c r="SWA4095" s="34">
        <v>-3</v>
      </c>
      <c r="SWB4095" s="34">
        <v>-2.5</v>
      </c>
      <c r="SWC4095" s="34">
        <v>-2</v>
      </c>
      <c r="SWD4095" s="34">
        <v>-1.5</v>
      </c>
      <c r="SWE4095" s="34">
        <v>-1</v>
      </c>
      <c r="SWF4095" s="34">
        <v>-0.5</v>
      </c>
      <c r="SWG4095" s="34">
        <v>0</v>
      </c>
      <c r="SWH4095" s="34">
        <v>0.5</v>
      </c>
      <c r="SWI4095" s="34">
        <v>1</v>
      </c>
      <c r="SWJ4095" s="34">
        <v>1.5</v>
      </c>
      <c r="SWK4095" s="34">
        <v>2</v>
      </c>
      <c r="SWL4095" s="34">
        <v>2.5</v>
      </c>
      <c r="SWM4095" s="34">
        <v>3</v>
      </c>
      <c r="SWN4095" s="34">
        <v>3.5</v>
      </c>
      <c r="SWO4095" s="34">
        <v>4</v>
      </c>
      <c r="SWP4095" s="34">
        <v>4.5</v>
      </c>
      <c r="SWQ4095" s="34">
        <v>5</v>
      </c>
      <c r="SWS4095" s="913"/>
      <c r="SWT4095" s="31">
        <v>1</v>
      </c>
      <c r="SWU4095" s="34">
        <v>0</v>
      </c>
      <c r="SWV4095" s="34">
        <v>-1</v>
      </c>
      <c r="SWW4095" s="34">
        <v>-2</v>
      </c>
      <c r="SWX4095" s="34">
        <v>-3</v>
      </c>
      <c r="SWY4095" s="34">
        <v>-4</v>
      </c>
      <c r="SWZ4095" s="34">
        <v>-5</v>
      </c>
      <c r="SXA4095" s="908"/>
      <c r="SXB4095" s="909"/>
      <c r="SXC4095" s="34">
        <v>-5</v>
      </c>
      <c r="SXD4095" s="34">
        <v>-4.5</v>
      </c>
      <c r="SXE4095" s="34">
        <v>-4</v>
      </c>
      <c r="SXF4095" s="34">
        <v>-3.5</v>
      </c>
      <c r="SXG4095" s="34">
        <v>-3</v>
      </c>
      <c r="SXH4095" s="34">
        <v>-2.5</v>
      </c>
      <c r="SXI4095" s="34">
        <v>-2</v>
      </c>
      <c r="SXJ4095" s="34">
        <v>-1.5</v>
      </c>
      <c r="SXK4095" s="34">
        <v>-1</v>
      </c>
      <c r="SXL4095" s="34">
        <v>-0.5</v>
      </c>
      <c r="SXM4095" s="34">
        <v>0</v>
      </c>
      <c r="SXN4095" s="34">
        <v>0.5</v>
      </c>
      <c r="SXO4095" s="34">
        <v>1</v>
      </c>
      <c r="SXP4095" s="34">
        <v>1.5</v>
      </c>
      <c r="SXQ4095" s="34">
        <v>2</v>
      </c>
      <c r="SXR4095" s="34">
        <v>2.5</v>
      </c>
      <c r="SXS4095" s="34">
        <v>3</v>
      </c>
      <c r="SXT4095" s="34">
        <v>3.5</v>
      </c>
      <c r="SXU4095" s="34">
        <v>4</v>
      </c>
      <c r="SXV4095" s="34">
        <v>4.5</v>
      </c>
      <c r="SXW4095" s="34">
        <v>5</v>
      </c>
      <c r="SXY4095" s="913"/>
      <c r="SXZ4095" s="31">
        <v>1</v>
      </c>
      <c r="SYA4095" s="34">
        <v>0</v>
      </c>
      <c r="SYB4095" s="34">
        <v>-1</v>
      </c>
      <c r="SYC4095" s="34">
        <v>-2</v>
      </c>
      <c r="SYD4095" s="34">
        <v>-3</v>
      </c>
      <c r="SYE4095" s="34">
        <v>-4</v>
      </c>
      <c r="SYF4095" s="34">
        <v>-5</v>
      </c>
      <c r="SYG4095" s="908"/>
      <c r="SYH4095" s="909"/>
      <c r="SYI4095" s="34">
        <v>-5</v>
      </c>
      <c r="SYJ4095" s="34">
        <v>-4.5</v>
      </c>
      <c r="SYK4095" s="34">
        <v>-4</v>
      </c>
      <c r="SYL4095" s="34">
        <v>-3.5</v>
      </c>
      <c r="SYM4095" s="34">
        <v>-3</v>
      </c>
      <c r="SYN4095" s="34">
        <v>-2.5</v>
      </c>
      <c r="SYO4095" s="34">
        <v>-2</v>
      </c>
      <c r="SYP4095" s="34">
        <v>-1.5</v>
      </c>
      <c r="SYQ4095" s="34">
        <v>-1</v>
      </c>
      <c r="SYR4095" s="34">
        <v>-0.5</v>
      </c>
      <c r="SYS4095" s="34">
        <v>0</v>
      </c>
      <c r="SYT4095" s="34">
        <v>0.5</v>
      </c>
      <c r="SYU4095" s="34">
        <v>1</v>
      </c>
      <c r="SYV4095" s="34">
        <v>1.5</v>
      </c>
      <c r="SYW4095" s="34">
        <v>2</v>
      </c>
      <c r="SYX4095" s="34">
        <v>2.5</v>
      </c>
      <c r="SYY4095" s="34">
        <v>3</v>
      </c>
      <c r="SYZ4095" s="34">
        <v>3.5</v>
      </c>
      <c r="SZA4095" s="34">
        <v>4</v>
      </c>
      <c r="SZB4095" s="34">
        <v>4.5</v>
      </c>
      <c r="SZC4095" s="34">
        <v>5</v>
      </c>
      <c r="SZE4095" s="913"/>
      <c r="SZF4095" s="31">
        <v>1</v>
      </c>
      <c r="SZG4095" s="34">
        <v>0</v>
      </c>
      <c r="SZH4095" s="34">
        <v>-1</v>
      </c>
      <c r="SZI4095" s="34">
        <v>-2</v>
      </c>
      <c r="SZJ4095" s="34">
        <v>-3</v>
      </c>
      <c r="SZK4095" s="34">
        <v>-4</v>
      </c>
      <c r="SZL4095" s="34">
        <v>-5</v>
      </c>
      <c r="SZM4095" s="908"/>
      <c r="SZN4095" s="909"/>
      <c r="SZO4095" s="34">
        <v>-5</v>
      </c>
      <c r="SZP4095" s="34">
        <v>-4.5</v>
      </c>
      <c r="SZQ4095" s="34">
        <v>-4</v>
      </c>
      <c r="SZR4095" s="34">
        <v>-3.5</v>
      </c>
      <c r="SZS4095" s="34">
        <v>-3</v>
      </c>
      <c r="SZT4095" s="34">
        <v>-2.5</v>
      </c>
      <c r="SZU4095" s="34">
        <v>-2</v>
      </c>
      <c r="SZV4095" s="34">
        <v>-1.5</v>
      </c>
      <c r="SZW4095" s="34">
        <v>-1</v>
      </c>
      <c r="SZX4095" s="34">
        <v>-0.5</v>
      </c>
      <c r="SZY4095" s="34">
        <v>0</v>
      </c>
      <c r="SZZ4095" s="34">
        <v>0.5</v>
      </c>
      <c r="TAA4095" s="34">
        <v>1</v>
      </c>
      <c r="TAB4095" s="34">
        <v>1.5</v>
      </c>
      <c r="TAC4095" s="34">
        <v>2</v>
      </c>
      <c r="TAD4095" s="34">
        <v>2.5</v>
      </c>
      <c r="TAE4095" s="34">
        <v>3</v>
      </c>
      <c r="TAF4095" s="34">
        <v>3.5</v>
      </c>
      <c r="TAG4095" s="34">
        <v>4</v>
      </c>
      <c r="TAH4095" s="34">
        <v>4.5</v>
      </c>
      <c r="TAI4095" s="34">
        <v>5</v>
      </c>
      <c r="TAK4095" s="913"/>
      <c r="TAL4095" s="31">
        <v>1</v>
      </c>
      <c r="TAM4095" s="34">
        <v>0</v>
      </c>
      <c r="TAN4095" s="34">
        <v>-1</v>
      </c>
      <c r="TAO4095" s="34">
        <v>-2</v>
      </c>
      <c r="TAP4095" s="34">
        <v>-3</v>
      </c>
      <c r="TAQ4095" s="34">
        <v>-4</v>
      </c>
      <c r="TAR4095" s="34">
        <v>-5</v>
      </c>
      <c r="TAS4095" s="908"/>
      <c r="TAT4095" s="909"/>
      <c r="TAU4095" s="34">
        <v>-5</v>
      </c>
      <c r="TAV4095" s="34">
        <v>-4.5</v>
      </c>
      <c r="TAW4095" s="34">
        <v>-4</v>
      </c>
      <c r="TAX4095" s="34">
        <v>-3.5</v>
      </c>
      <c r="TAY4095" s="34">
        <v>-3</v>
      </c>
      <c r="TAZ4095" s="34">
        <v>-2.5</v>
      </c>
      <c r="TBA4095" s="34">
        <v>-2</v>
      </c>
      <c r="TBB4095" s="34">
        <v>-1.5</v>
      </c>
      <c r="TBC4095" s="34">
        <v>-1</v>
      </c>
      <c r="TBD4095" s="34">
        <v>-0.5</v>
      </c>
      <c r="TBE4095" s="34">
        <v>0</v>
      </c>
      <c r="TBF4095" s="34">
        <v>0.5</v>
      </c>
      <c r="TBG4095" s="34">
        <v>1</v>
      </c>
      <c r="TBH4095" s="34">
        <v>1.5</v>
      </c>
      <c r="TBI4095" s="34">
        <v>2</v>
      </c>
      <c r="TBJ4095" s="34">
        <v>2.5</v>
      </c>
      <c r="TBK4095" s="34">
        <v>3</v>
      </c>
      <c r="TBL4095" s="34">
        <v>3.5</v>
      </c>
      <c r="TBM4095" s="34">
        <v>4</v>
      </c>
      <c r="TBN4095" s="34">
        <v>4.5</v>
      </c>
      <c r="TBO4095" s="34">
        <v>5</v>
      </c>
      <c r="TBQ4095" s="913"/>
      <c r="TBR4095" s="31">
        <v>1</v>
      </c>
      <c r="TBS4095" s="34">
        <v>0</v>
      </c>
      <c r="TBT4095" s="34">
        <v>-1</v>
      </c>
      <c r="TBU4095" s="34">
        <v>-2</v>
      </c>
      <c r="TBV4095" s="34">
        <v>-3</v>
      </c>
      <c r="TBW4095" s="34">
        <v>-4</v>
      </c>
      <c r="TBX4095" s="34">
        <v>-5</v>
      </c>
      <c r="TBY4095" s="908"/>
      <c r="TBZ4095" s="909"/>
      <c r="TCA4095" s="34">
        <v>-5</v>
      </c>
      <c r="TCB4095" s="34">
        <v>-4.5</v>
      </c>
      <c r="TCC4095" s="34">
        <v>-4</v>
      </c>
      <c r="TCD4095" s="34">
        <v>-3.5</v>
      </c>
      <c r="TCE4095" s="34">
        <v>-3</v>
      </c>
      <c r="TCF4095" s="34">
        <v>-2.5</v>
      </c>
      <c r="TCG4095" s="34">
        <v>-2</v>
      </c>
      <c r="TCH4095" s="34">
        <v>-1.5</v>
      </c>
      <c r="TCI4095" s="34">
        <v>-1</v>
      </c>
      <c r="TCJ4095" s="34">
        <v>-0.5</v>
      </c>
      <c r="TCK4095" s="34">
        <v>0</v>
      </c>
      <c r="TCL4095" s="34">
        <v>0.5</v>
      </c>
      <c r="TCM4095" s="34">
        <v>1</v>
      </c>
      <c r="TCN4095" s="34">
        <v>1.5</v>
      </c>
      <c r="TCO4095" s="34">
        <v>2</v>
      </c>
      <c r="TCP4095" s="34">
        <v>2.5</v>
      </c>
      <c r="TCQ4095" s="34">
        <v>3</v>
      </c>
      <c r="TCR4095" s="34">
        <v>3.5</v>
      </c>
      <c r="TCS4095" s="34">
        <v>4</v>
      </c>
      <c r="TCT4095" s="34">
        <v>4.5</v>
      </c>
      <c r="TCU4095" s="34">
        <v>5</v>
      </c>
      <c r="TCW4095" s="913"/>
      <c r="TCX4095" s="31">
        <v>1</v>
      </c>
      <c r="TCY4095" s="34">
        <v>0</v>
      </c>
      <c r="TCZ4095" s="34">
        <v>-1</v>
      </c>
      <c r="TDA4095" s="34">
        <v>-2</v>
      </c>
      <c r="TDB4095" s="34">
        <v>-3</v>
      </c>
      <c r="TDC4095" s="34">
        <v>-4</v>
      </c>
      <c r="TDD4095" s="34">
        <v>-5</v>
      </c>
      <c r="TDE4095" s="908"/>
      <c r="TDF4095" s="909"/>
      <c r="TDG4095" s="34">
        <v>-5</v>
      </c>
      <c r="TDH4095" s="34">
        <v>-4.5</v>
      </c>
      <c r="TDI4095" s="34">
        <v>-4</v>
      </c>
      <c r="TDJ4095" s="34">
        <v>-3.5</v>
      </c>
      <c r="TDK4095" s="34">
        <v>-3</v>
      </c>
      <c r="TDL4095" s="34">
        <v>-2.5</v>
      </c>
      <c r="TDM4095" s="34">
        <v>-2</v>
      </c>
      <c r="TDN4095" s="34">
        <v>-1.5</v>
      </c>
      <c r="TDO4095" s="34">
        <v>-1</v>
      </c>
      <c r="TDP4095" s="34">
        <v>-0.5</v>
      </c>
      <c r="TDQ4095" s="34">
        <v>0</v>
      </c>
      <c r="TDR4095" s="34">
        <v>0.5</v>
      </c>
      <c r="TDS4095" s="34">
        <v>1</v>
      </c>
      <c r="TDT4095" s="34">
        <v>1.5</v>
      </c>
      <c r="TDU4095" s="34">
        <v>2</v>
      </c>
      <c r="TDV4095" s="34">
        <v>2.5</v>
      </c>
      <c r="TDW4095" s="34">
        <v>3</v>
      </c>
      <c r="TDX4095" s="34">
        <v>3.5</v>
      </c>
      <c r="TDY4095" s="34">
        <v>4</v>
      </c>
      <c r="TDZ4095" s="34">
        <v>4.5</v>
      </c>
      <c r="TEA4095" s="34">
        <v>5</v>
      </c>
      <c r="TEC4095" s="913"/>
      <c r="TED4095" s="31">
        <v>1</v>
      </c>
      <c r="TEE4095" s="34">
        <v>0</v>
      </c>
      <c r="TEF4095" s="34">
        <v>-1</v>
      </c>
      <c r="TEG4095" s="34">
        <v>-2</v>
      </c>
      <c r="TEH4095" s="34">
        <v>-3</v>
      </c>
      <c r="TEI4095" s="34">
        <v>-4</v>
      </c>
      <c r="TEJ4095" s="34">
        <v>-5</v>
      </c>
      <c r="TEK4095" s="908"/>
      <c r="TEL4095" s="909"/>
      <c r="TEM4095" s="34">
        <v>-5</v>
      </c>
      <c r="TEN4095" s="34">
        <v>-4.5</v>
      </c>
      <c r="TEO4095" s="34">
        <v>-4</v>
      </c>
      <c r="TEP4095" s="34">
        <v>-3.5</v>
      </c>
      <c r="TEQ4095" s="34">
        <v>-3</v>
      </c>
      <c r="TER4095" s="34">
        <v>-2.5</v>
      </c>
      <c r="TES4095" s="34">
        <v>-2</v>
      </c>
      <c r="TET4095" s="34">
        <v>-1.5</v>
      </c>
      <c r="TEU4095" s="34">
        <v>-1</v>
      </c>
      <c r="TEV4095" s="34">
        <v>-0.5</v>
      </c>
      <c r="TEW4095" s="34">
        <v>0</v>
      </c>
      <c r="TEX4095" s="34">
        <v>0.5</v>
      </c>
      <c r="TEY4095" s="34">
        <v>1</v>
      </c>
      <c r="TEZ4095" s="34">
        <v>1.5</v>
      </c>
      <c r="TFA4095" s="34">
        <v>2</v>
      </c>
      <c r="TFB4095" s="34">
        <v>2.5</v>
      </c>
      <c r="TFC4095" s="34">
        <v>3</v>
      </c>
      <c r="TFD4095" s="34">
        <v>3.5</v>
      </c>
      <c r="TFE4095" s="34">
        <v>4</v>
      </c>
      <c r="TFF4095" s="34">
        <v>4.5</v>
      </c>
      <c r="TFG4095" s="34">
        <v>5</v>
      </c>
      <c r="TFI4095" s="913"/>
      <c r="TFJ4095" s="31">
        <v>1</v>
      </c>
      <c r="TFK4095" s="34">
        <v>0</v>
      </c>
      <c r="TFL4095" s="34">
        <v>-1</v>
      </c>
      <c r="TFM4095" s="34">
        <v>-2</v>
      </c>
      <c r="TFN4095" s="34">
        <v>-3</v>
      </c>
      <c r="TFO4095" s="34">
        <v>-4</v>
      </c>
      <c r="TFP4095" s="34">
        <v>-5</v>
      </c>
      <c r="TFQ4095" s="908"/>
      <c r="TFR4095" s="909"/>
      <c r="TFS4095" s="34">
        <v>-5</v>
      </c>
      <c r="TFT4095" s="34">
        <v>-4.5</v>
      </c>
      <c r="TFU4095" s="34">
        <v>-4</v>
      </c>
      <c r="TFV4095" s="34">
        <v>-3.5</v>
      </c>
      <c r="TFW4095" s="34">
        <v>-3</v>
      </c>
      <c r="TFX4095" s="34">
        <v>-2.5</v>
      </c>
      <c r="TFY4095" s="34">
        <v>-2</v>
      </c>
      <c r="TFZ4095" s="34">
        <v>-1.5</v>
      </c>
      <c r="TGA4095" s="34">
        <v>-1</v>
      </c>
      <c r="TGB4095" s="34">
        <v>-0.5</v>
      </c>
      <c r="TGC4095" s="34">
        <v>0</v>
      </c>
      <c r="TGD4095" s="34">
        <v>0.5</v>
      </c>
      <c r="TGE4095" s="34">
        <v>1</v>
      </c>
      <c r="TGF4095" s="34">
        <v>1.5</v>
      </c>
      <c r="TGG4095" s="34">
        <v>2</v>
      </c>
      <c r="TGH4095" s="34">
        <v>2.5</v>
      </c>
      <c r="TGI4095" s="34">
        <v>3</v>
      </c>
      <c r="TGJ4095" s="34">
        <v>3.5</v>
      </c>
      <c r="TGK4095" s="34">
        <v>4</v>
      </c>
      <c r="TGL4095" s="34">
        <v>4.5</v>
      </c>
      <c r="TGM4095" s="34">
        <v>5</v>
      </c>
      <c r="TGO4095" s="913"/>
      <c r="TGP4095" s="31">
        <v>1</v>
      </c>
      <c r="TGQ4095" s="34">
        <v>0</v>
      </c>
      <c r="TGR4095" s="34">
        <v>-1</v>
      </c>
      <c r="TGS4095" s="34">
        <v>-2</v>
      </c>
      <c r="TGT4095" s="34">
        <v>-3</v>
      </c>
      <c r="TGU4095" s="34">
        <v>-4</v>
      </c>
      <c r="TGV4095" s="34">
        <v>-5</v>
      </c>
      <c r="TGW4095" s="908"/>
      <c r="TGX4095" s="909"/>
      <c r="TGY4095" s="34">
        <v>-5</v>
      </c>
      <c r="TGZ4095" s="34">
        <v>-4.5</v>
      </c>
      <c r="THA4095" s="34">
        <v>-4</v>
      </c>
      <c r="THB4095" s="34">
        <v>-3.5</v>
      </c>
      <c r="THC4095" s="34">
        <v>-3</v>
      </c>
      <c r="THD4095" s="34">
        <v>-2.5</v>
      </c>
      <c r="THE4095" s="34">
        <v>-2</v>
      </c>
      <c r="THF4095" s="34">
        <v>-1.5</v>
      </c>
      <c r="THG4095" s="34">
        <v>-1</v>
      </c>
      <c r="THH4095" s="34">
        <v>-0.5</v>
      </c>
      <c r="THI4095" s="34">
        <v>0</v>
      </c>
      <c r="THJ4095" s="34">
        <v>0.5</v>
      </c>
      <c r="THK4095" s="34">
        <v>1</v>
      </c>
      <c r="THL4095" s="34">
        <v>1.5</v>
      </c>
      <c r="THM4095" s="34">
        <v>2</v>
      </c>
      <c r="THN4095" s="34">
        <v>2.5</v>
      </c>
      <c r="THO4095" s="34">
        <v>3</v>
      </c>
      <c r="THP4095" s="34">
        <v>3.5</v>
      </c>
      <c r="THQ4095" s="34">
        <v>4</v>
      </c>
      <c r="THR4095" s="34">
        <v>4.5</v>
      </c>
      <c r="THS4095" s="34">
        <v>5</v>
      </c>
      <c r="THU4095" s="913"/>
      <c r="THV4095" s="31">
        <v>1</v>
      </c>
      <c r="THW4095" s="34">
        <v>0</v>
      </c>
      <c r="THX4095" s="34">
        <v>-1</v>
      </c>
      <c r="THY4095" s="34">
        <v>-2</v>
      </c>
      <c r="THZ4095" s="34">
        <v>-3</v>
      </c>
      <c r="TIA4095" s="34">
        <v>-4</v>
      </c>
      <c r="TIB4095" s="34">
        <v>-5</v>
      </c>
      <c r="TIC4095" s="908"/>
      <c r="TID4095" s="909"/>
      <c r="TIE4095" s="34">
        <v>-5</v>
      </c>
      <c r="TIF4095" s="34">
        <v>-4.5</v>
      </c>
      <c r="TIG4095" s="34">
        <v>-4</v>
      </c>
      <c r="TIH4095" s="34">
        <v>-3.5</v>
      </c>
      <c r="TII4095" s="34">
        <v>-3</v>
      </c>
      <c r="TIJ4095" s="34">
        <v>-2.5</v>
      </c>
      <c r="TIK4095" s="34">
        <v>-2</v>
      </c>
      <c r="TIL4095" s="34">
        <v>-1.5</v>
      </c>
      <c r="TIM4095" s="34">
        <v>-1</v>
      </c>
      <c r="TIN4095" s="34">
        <v>-0.5</v>
      </c>
      <c r="TIO4095" s="34">
        <v>0</v>
      </c>
      <c r="TIP4095" s="34">
        <v>0.5</v>
      </c>
      <c r="TIQ4095" s="34">
        <v>1</v>
      </c>
      <c r="TIR4095" s="34">
        <v>1.5</v>
      </c>
      <c r="TIS4095" s="34">
        <v>2</v>
      </c>
      <c r="TIT4095" s="34">
        <v>2.5</v>
      </c>
      <c r="TIU4095" s="34">
        <v>3</v>
      </c>
      <c r="TIV4095" s="34">
        <v>3.5</v>
      </c>
      <c r="TIW4095" s="34">
        <v>4</v>
      </c>
      <c r="TIX4095" s="34">
        <v>4.5</v>
      </c>
      <c r="TIY4095" s="34">
        <v>5</v>
      </c>
      <c r="TJA4095" s="913"/>
      <c r="TJB4095" s="31">
        <v>1</v>
      </c>
      <c r="TJC4095" s="34">
        <v>0</v>
      </c>
      <c r="TJD4095" s="34">
        <v>-1</v>
      </c>
      <c r="TJE4095" s="34">
        <v>-2</v>
      </c>
      <c r="TJF4095" s="34">
        <v>-3</v>
      </c>
      <c r="TJG4095" s="34">
        <v>-4</v>
      </c>
      <c r="TJH4095" s="34">
        <v>-5</v>
      </c>
      <c r="TJI4095" s="908"/>
      <c r="TJJ4095" s="909"/>
      <c r="TJK4095" s="34">
        <v>-5</v>
      </c>
      <c r="TJL4095" s="34">
        <v>-4.5</v>
      </c>
      <c r="TJM4095" s="34">
        <v>-4</v>
      </c>
      <c r="TJN4095" s="34">
        <v>-3.5</v>
      </c>
      <c r="TJO4095" s="34">
        <v>-3</v>
      </c>
      <c r="TJP4095" s="34">
        <v>-2.5</v>
      </c>
      <c r="TJQ4095" s="34">
        <v>-2</v>
      </c>
      <c r="TJR4095" s="34">
        <v>-1.5</v>
      </c>
      <c r="TJS4095" s="34">
        <v>-1</v>
      </c>
      <c r="TJT4095" s="34">
        <v>-0.5</v>
      </c>
      <c r="TJU4095" s="34">
        <v>0</v>
      </c>
      <c r="TJV4095" s="34">
        <v>0.5</v>
      </c>
      <c r="TJW4095" s="34">
        <v>1</v>
      </c>
      <c r="TJX4095" s="34">
        <v>1.5</v>
      </c>
      <c r="TJY4095" s="34">
        <v>2</v>
      </c>
      <c r="TJZ4095" s="34">
        <v>2.5</v>
      </c>
      <c r="TKA4095" s="34">
        <v>3</v>
      </c>
      <c r="TKB4095" s="34">
        <v>3.5</v>
      </c>
      <c r="TKC4095" s="34">
        <v>4</v>
      </c>
      <c r="TKD4095" s="34">
        <v>4.5</v>
      </c>
      <c r="TKE4095" s="34">
        <v>5</v>
      </c>
      <c r="TKG4095" s="913"/>
      <c r="TKH4095" s="31">
        <v>1</v>
      </c>
      <c r="TKI4095" s="34">
        <v>0</v>
      </c>
      <c r="TKJ4095" s="34">
        <v>-1</v>
      </c>
      <c r="TKK4095" s="34">
        <v>-2</v>
      </c>
      <c r="TKL4095" s="34">
        <v>-3</v>
      </c>
      <c r="TKM4095" s="34">
        <v>-4</v>
      </c>
      <c r="TKN4095" s="34">
        <v>-5</v>
      </c>
      <c r="TKO4095" s="908"/>
      <c r="TKP4095" s="909"/>
      <c r="TKQ4095" s="34">
        <v>-5</v>
      </c>
      <c r="TKR4095" s="34">
        <v>-4.5</v>
      </c>
      <c r="TKS4095" s="34">
        <v>-4</v>
      </c>
      <c r="TKT4095" s="34">
        <v>-3.5</v>
      </c>
      <c r="TKU4095" s="34">
        <v>-3</v>
      </c>
      <c r="TKV4095" s="34">
        <v>-2.5</v>
      </c>
      <c r="TKW4095" s="34">
        <v>-2</v>
      </c>
      <c r="TKX4095" s="34">
        <v>-1.5</v>
      </c>
      <c r="TKY4095" s="34">
        <v>-1</v>
      </c>
      <c r="TKZ4095" s="34">
        <v>-0.5</v>
      </c>
      <c r="TLA4095" s="34">
        <v>0</v>
      </c>
      <c r="TLB4095" s="34">
        <v>0.5</v>
      </c>
      <c r="TLC4095" s="34">
        <v>1</v>
      </c>
      <c r="TLD4095" s="34">
        <v>1.5</v>
      </c>
      <c r="TLE4095" s="34">
        <v>2</v>
      </c>
      <c r="TLF4095" s="34">
        <v>2.5</v>
      </c>
      <c r="TLG4095" s="34">
        <v>3</v>
      </c>
      <c r="TLH4095" s="34">
        <v>3.5</v>
      </c>
      <c r="TLI4095" s="34">
        <v>4</v>
      </c>
      <c r="TLJ4095" s="34">
        <v>4.5</v>
      </c>
      <c r="TLK4095" s="34">
        <v>5</v>
      </c>
      <c r="TLM4095" s="913"/>
      <c r="TLN4095" s="31">
        <v>1</v>
      </c>
      <c r="TLO4095" s="34">
        <v>0</v>
      </c>
      <c r="TLP4095" s="34">
        <v>-1</v>
      </c>
      <c r="TLQ4095" s="34">
        <v>-2</v>
      </c>
      <c r="TLR4095" s="34">
        <v>-3</v>
      </c>
      <c r="TLS4095" s="34">
        <v>-4</v>
      </c>
      <c r="TLT4095" s="34">
        <v>-5</v>
      </c>
      <c r="TLU4095" s="908"/>
      <c r="TLV4095" s="909"/>
      <c r="TLW4095" s="34">
        <v>-5</v>
      </c>
      <c r="TLX4095" s="34">
        <v>-4.5</v>
      </c>
      <c r="TLY4095" s="34">
        <v>-4</v>
      </c>
      <c r="TLZ4095" s="34">
        <v>-3.5</v>
      </c>
      <c r="TMA4095" s="34">
        <v>-3</v>
      </c>
      <c r="TMB4095" s="34">
        <v>-2.5</v>
      </c>
      <c r="TMC4095" s="34">
        <v>-2</v>
      </c>
      <c r="TMD4095" s="34">
        <v>-1.5</v>
      </c>
      <c r="TME4095" s="34">
        <v>-1</v>
      </c>
      <c r="TMF4095" s="34">
        <v>-0.5</v>
      </c>
      <c r="TMG4095" s="34">
        <v>0</v>
      </c>
      <c r="TMH4095" s="34">
        <v>0.5</v>
      </c>
      <c r="TMI4095" s="34">
        <v>1</v>
      </c>
      <c r="TMJ4095" s="34">
        <v>1.5</v>
      </c>
      <c r="TMK4095" s="34">
        <v>2</v>
      </c>
      <c r="TML4095" s="34">
        <v>2.5</v>
      </c>
      <c r="TMM4095" s="34">
        <v>3</v>
      </c>
      <c r="TMN4095" s="34">
        <v>3.5</v>
      </c>
      <c r="TMO4095" s="34">
        <v>4</v>
      </c>
      <c r="TMP4095" s="34">
        <v>4.5</v>
      </c>
      <c r="TMQ4095" s="34">
        <v>5</v>
      </c>
      <c r="TMS4095" s="913"/>
      <c r="TMT4095" s="31">
        <v>1</v>
      </c>
      <c r="TMU4095" s="34">
        <v>0</v>
      </c>
      <c r="TMV4095" s="34">
        <v>-1</v>
      </c>
      <c r="TMW4095" s="34">
        <v>-2</v>
      </c>
      <c r="TMX4095" s="34">
        <v>-3</v>
      </c>
      <c r="TMY4095" s="34">
        <v>-4</v>
      </c>
      <c r="TMZ4095" s="34">
        <v>-5</v>
      </c>
      <c r="TNA4095" s="908"/>
      <c r="TNB4095" s="909"/>
      <c r="TNC4095" s="34">
        <v>-5</v>
      </c>
      <c r="TND4095" s="34">
        <v>-4.5</v>
      </c>
      <c r="TNE4095" s="34">
        <v>-4</v>
      </c>
      <c r="TNF4095" s="34">
        <v>-3.5</v>
      </c>
      <c r="TNG4095" s="34">
        <v>-3</v>
      </c>
      <c r="TNH4095" s="34">
        <v>-2.5</v>
      </c>
      <c r="TNI4095" s="34">
        <v>-2</v>
      </c>
      <c r="TNJ4095" s="34">
        <v>-1.5</v>
      </c>
      <c r="TNK4095" s="34">
        <v>-1</v>
      </c>
      <c r="TNL4095" s="34">
        <v>-0.5</v>
      </c>
      <c r="TNM4095" s="34">
        <v>0</v>
      </c>
      <c r="TNN4095" s="34">
        <v>0.5</v>
      </c>
      <c r="TNO4095" s="34">
        <v>1</v>
      </c>
      <c r="TNP4095" s="34">
        <v>1.5</v>
      </c>
      <c r="TNQ4095" s="34">
        <v>2</v>
      </c>
      <c r="TNR4095" s="34">
        <v>2.5</v>
      </c>
      <c r="TNS4095" s="34">
        <v>3</v>
      </c>
      <c r="TNT4095" s="34">
        <v>3.5</v>
      </c>
      <c r="TNU4095" s="34">
        <v>4</v>
      </c>
      <c r="TNV4095" s="34">
        <v>4.5</v>
      </c>
      <c r="TNW4095" s="34">
        <v>5</v>
      </c>
      <c r="TNY4095" s="913"/>
      <c r="TNZ4095" s="31">
        <v>1</v>
      </c>
      <c r="TOA4095" s="34">
        <v>0</v>
      </c>
      <c r="TOB4095" s="34">
        <v>-1</v>
      </c>
      <c r="TOC4095" s="34">
        <v>-2</v>
      </c>
      <c r="TOD4095" s="34">
        <v>-3</v>
      </c>
      <c r="TOE4095" s="34">
        <v>-4</v>
      </c>
      <c r="TOF4095" s="34">
        <v>-5</v>
      </c>
      <c r="TOG4095" s="908"/>
      <c r="TOH4095" s="909"/>
      <c r="TOI4095" s="34">
        <v>-5</v>
      </c>
      <c r="TOJ4095" s="34">
        <v>-4.5</v>
      </c>
      <c r="TOK4095" s="34">
        <v>-4</v>
      </c>
      <c r="TOL4095" s="34">
        <v>-3.5</v>
      </c>
      <c r="TOM4095" s="34">
        <v>-3</v>
      </c>
      <c r="TON4095" s="34">
        <v>-2.5</v>
      </c>
      <c r="TOO4095" s="34">
        <v>-2</v>
      </c>
      <c r="TOP4095" s="34">
        <v>-1.5</v>
      </c>
      <c r="TOQ4095" s="34">
        <v>-1</v>
      </c>
      <c r="TOR4095" s="34">
        <v>-0.5</v>
      </c>
      <c r="TOS4095" s="34">
        <v>0</v>
      </c>
      <c r="TOT4095" s="34">
        <v>0.5</v>
      </c>
      <c r="TOU4095" s="34">
        <v>1</v>
      </c>
      <c r="TOV4095" s="34">
        <v>1.5</v>
      </c>
      <c r="TOW4095" s="34">
        <v>2</v>
      </c>
      <c r="TOX4095" s="34">
        <v>2.5</v>
      </c>
      <c r="TOY4095" s="34">
        <v>3</v>
      </c>
      <c r="TOZ4095" s="34">
        <v>3.5</v>
      </c>
      <c r="TPA4095" s="34">
        <v>4</v>
      </c>
      <c r="TPB4095" s="34">
        <v>4.5</v>
      </c>
      <c r="TPC4095" s="34">
        <v>5</v>
      </c>
      <c r="TPE4095" s="913"/>
      <c r="TPF4095" s="31">
        <v>1</v>
      </c>
      <c r="TPG4095" s="34">
        <v>0</v>
      </c>
      <c r="TPH4095" s="34">
        <v>-1</v>
      </c>
      <c r="TPI4095" s="34">
        <v>-2</v>
      </c>
      <c r="TPJ4095" s="34">
        <v>-3</v>
      </c>
      <c r="TPK4095" s="34">
        <v>-4</v>
      </c>
      <c r="TPL4095" s="34">
        <v>-5</v>
      </c>
      <c r="TPM4095" s="908"/>
      <c r="TPN4095" s="909"/>
      <c r="TPO4095" s="34">
        <v>-5</v>
      </c>
      <c r="TPP4095" s="34">
        <v>-4.5</v>
      </c>
      <c r="TPQ4095" s="34">
        <v>-4</v>
      </c>
      <c r="TPR4095" s="34">
        <v>-3.5</v>
      </c>
      <c r="TPS4095" s="34">
        <v>-3</v>
      </c>
      <c r="TPT4095" s="34">
        <v>-2.5</v>
      </c>
      <c r="TPU4095" s="34">
        <v>-2</v>
      </c>
      <c r="TPV4095" s="34">
        <v>-1.5</v>
      </c>
      <c r="TPW4095" s="34">
        <v>-1</v>
      </c>
      <c r="TPX4095" s="34">
        <v>-0.5</v>
      </c>
      <c r="TPY4095" s="34">
        <v>0</v>
      </c>
      <c r="TPZ4095" s="34">
        <v>0.5</v>
      </c>
      <c r="TQA4095" s="34">
        <v>1</v>
      </c>
      <c r="TQB4095" s="34">
        <v>1.5</v>
      </c>
      <c r="TQC4095" s="34">
        <v>2</v>
      </c>
      <c r="TQD4095" s="34">
        <v>2.5</v>
      </c>
      <c r="TQE4095" s="34">
        <v>3</v>
      </c>
      <c r="TQF4095" s="34">
        <v>3.5</v>
      </c>
      <c r="TQG4095" s="34">
        <v>4</v>
      </c>
      <c r="TQH4095" s="34">
        <v>4.5</v>
      </c>
      <c r="TQI4095" s="34">
        <v>5</v>
      </c>
      <c r="TQK4095" s="913"/>
      <c r="TQL4095" s="31">
        <v>1</v>
      </c>
      <c r="TQM4095" s="34">
        <v>0</v>
      </c>
      <c r="TQN4095" s="34">
        <v>-1</v>
      </c>
      <c r="TQO4095" s="34">
        <v>-2</v>
      </c>
      <c r="TQP4095" s="34">
        <v>-3</v>
      </c>
      <c r="TQQ4095" s="34">
        <v>-4</v>
      </c>
      <c r="TQR4095" s="34">
        <v>-5</v>
      </c>
      <c r="TQS4095" s="908"/>
      <c r="TQT4095" s="909"/>
      <c r="TQU4095" s="34">
        <v>-5</v>
      </c>
      <c r="TQV4095" s="34">
        <v>-4.5</v>
      </c>
      <c r="TQW4095" s="34">
        <v>-4</v>
      </c>
      <c r="TQX4095" s="34">
        <v>-3.5</v>
      </c>
      <c r="TQY4095" s="34">
        <v>-3</v>
      </c>
      <c r="TQZ4095" s="34">
        <v>-2.5</v>
      </c>
      <c r="TRA4095" s="34">
        <v>-2</v>
      </c>
      <c r="TRB4095" s="34">
        <v>-1.5</v>
      </c>
      <c r="TRC4095" s="34">
        <v>-1</v>
      </c>
      <c r="TRD4095" s="34">
        <v>-0.5</v>
      </c>
      <c r="TRE4095" s="34">
        <v>0</v>
      </c>
      <c r="TRF4095" s="34">
        <v>0.5</v>
      </c>
      <c r="TRG4095" s="34">
        <v>1</v>
      </c>
      <c r="TRH4095" s="34">
        <v>1.5</v>
      </c>
      <c r="TRI4095" s="34">
        <v>2</v>
      </c>
      <c r="TRJ4095" s="34">
        <v>2.5</v>
      </c>
      <c r="TRK4095" s="34">
        <v>3</v>
      </c>
      <c r="TRL4095" s="34">
        <v>3.5</v>
      </c>
      <c r="TRM4095" s="34">
        <v>4</v>
      </c>
      <c r="TRN4095" s="34">
        <v>4.5</v>
      </c>
      <c r="TRO4095" s="34">
        <v>5</v>
      </c>
      <c r="TRQ4095" s="913"/>
      <c r="TRR4095" s="31">
        <v>1</v>
      </c>
      <c r="TRS4095" s="34">
        <v>0</v>
      </c>
      <c r="TRT4095" s="34">
        <v>-1</v>
      </c>
      <c r="TRU4095" s="34">
        <v>-2</v>
      </c>
      <c r="TRV4095" s="34">
        <v>-3</v>
      </c>
      <c r="TRW4095" s="34">
        <v>-4</v>
      </c>
      <c r="TRX4095" s="34">
        <v>-5</v>
      </c>
      <c r="TRY4095" s="908"/>
      <c r="TRZ4095" s="909"/>
      <c r="TSA4095" s="34">
        <v>-5</v>
      </c>
      <c r="TSB4095" s="34">
        <v>-4.5</v>
      </c>
      <c r="TSC4095" s="34">
        <v>-4</v>
      </c>
      <c r="TSD4095" s="34">
        <v>-3.5</v>
      </c>
      <c r="TSE4095" s="34">
        <v>-3</v>
      </c>
      <c r="TSF4095" s="34">
        <v>-2.5</v>
      </c>
      <c r="TSG4095" s="34">
        <v>-2</v>
      </c>
      <c r="TSH4095" s="34">
        <v>-1.5</v>
      </c>
      <c r="TSI4095" s="34">
        <v>-1</v>
      </c>
      <c r="TSJ4095" s="34">
        <v>-0.5</v>
      </c>
      <c r="TSK4095" s="34">
        <v>0</v>
      </c>
      <c r="TSL4095" s="34">
        <v>0.5</v>
      </c>
      <c r="TSM4095" s="34">
        <v>1</v>
      </c>
      <c r="TSN4095" s="34">
        <v>1.5</v>
      </c>
      <c r="TSO4095" s="34">
        <v>2</v>
      </c>
      <c r="TSP4095" s="34">
        <v>2.5</v>
      </c>
      <c r="TSQ4095" s="34">
        <v>3</v>
      </c>
      <c r="TSR4095" s="34">
        <v>3.5</v>
      </c>
      <c r="TSS4095" s="34">
        <v>4</v>
      </c>
      <c r="TST4095" s="34">
        <v>4.5</v>
      </c>
      <c r="TSU4095" s="34">
        <v>5</v>
      </c>
      <c r="TSW4095" s="913"/>
      <c r="TSX4095" s="31">
        <v>1</v>
      </c>
      <c r="TSY4095" s="34">
        <v>0</v>
      </c>
      <c r="TSZ4095" s="34">
        <v>-1</v>
      </c>
      <c r="TTA4095" s="34">
        <v>-2</v>
      </c>
      <c r="TTB4095" s="34">
        <v>-3</v>
      </c>
      <c r="TTC4095" s="34">
        <v>-4</v>
      </c>
      <c r="TTD4095" s="34">
        <v>-5</v>
      </c>
      <c r="TTE4095" s="908"/>
      <c r="TTF4095" s="909"/>
      <c r="TTG4095" s="34">
        <v>-5</v>
      </c>
      <c r="TTH4095" s="34">
        <v>-4.5</v>
      </c>
      <c r="TTI4095" s="34">
        <v>-4</v>
      </c>
      <c r="TTJ4095" s="34">
        <v>-3.5</v>
      </c>
      <c r="TTK4095" s="34">
        <v>-3</v>
      </c>
      <c r="TTL4095" s="34">
        <v>-2.5</v>
      </c>
      <c r="TTM4095" s="34">
        <v>-2</v>
      </c>
      <c r="TTN4095" s="34">
        <v>-1.5</v>
      </c>
      <c r="TTO4095" s="34">
        <v>-1</v>
      </c>
      <c r="TTP4095" s="34">
        <v>-0.5</v>
      </c>
      <c r="TTQ4095" s="34">
        <v>0</v>
      </c>
      <c r="TTR4095" s="34">
        <v>0.5</v>
      </c>
      <c r="TTS4095" s="34">
        <v>1</v>
      </c>
      <c r="TTT4095" s="34">
        <v>1.5</v>
      </c>
      <c r="TTU4095" s="34">
        <v>2</v>
      </c>
      <c r="TTV4095" s="34">
        <v>2.5</v>
      </c>
      <c r="TTW4095" s="34">
        <v>3</v>
      </c>
      <c r="TTX4095" s="34">
        <v>3.5</v>
      </c>
      <c r="TTY4095" s="34">
        <v>4</v>
      </c>
      <c r="TTZ4095" s="34">
        <v>4.5</v>
      </c>
      <c r="TUA4095" s="34">
        <v>5</v>
      </c>
      <c r="TUC4095" s="913"/>
      <c r="TUD4095" s="31">
        <v>1</v>
      </c>
      <c r="TUE4095" s="34">
        <v>0</v>
      </c>
      <c r="TUF4095" s="34">
        <v>-1</v>
      </c>
      <c r="TUG4095" s="34">
        <v>-2</v>
      </c>
      <c r="TUH4095" s="34">
        <v>-3</v>
      </c>
      <c r="TUI4095" s="34">
        <v>-4</v>
      </c>
      <c r="TUJ4095" s="34">
        <v>-5</v>
      </c>
      <c r="TUK4095" s="908"/>
      <c r="TUL4095" s="909"/>
      <c r="TUM4095" s="34">
        <v>-5</v>
      </c>
      <c r="TUN4095" s="34">
        <v>-4.5</v>
      </c>
      <c r="TUO4095" s="34">
        <v>-4</v>
      </c>
      <c r="TUP4095" s="34">
        <v>-3.5</v>
      </c>
      <c r="TUQ4095" s="34">
        <v>-3</v>
      </c>
      <c r="TUR4095" s="34">
        <v>-2.5</v>
      </c>
      <c r="TUS4095" s="34">
        <v>-2</v>
      </c>
      <c r="TUT4095" s="34">
        <v>-1.5</v>
      </c>
      <c r="TUU4095" s="34">
        <v>-1</v>
      </c>
      <c r="TUV4095" s="34">
        <v>-0.5</v>
      </c>
      <c r="TUW4095" s="34">
        <v>0</v>
      </c>
      <c r="TUX4095" s="34">
        <v>0.5</v>
      </c>
      <c r="TUY4095" s="34">
        <v>1</v>
      </c>
      <c r="TUZ4095" s="34">
        <v>1.5</v>
      </c>
      <c r="TVA4095" s="34">
        <v>2</v>
      </c>
      <c r="TVB4095" s="34">
        <v>2.5</v>
      </c>
      <c r="TVC4095" s="34">
        <v>3</v>
      </c>
      <c r="TVD4095" s="34">
        <v>3.5</v>
      </c>
      <c r="TVE4095" s="34">
        <v>4</v>
      </c>
      <c r="TVF4095" s="34">
        <v>4.5</v>
      </c>
      <c r="TVG4095" s="34">
        <v>5</v>
      </c>
      <c r="TVI4095" s="913"/>
      <c r="TVJ4095" s="31">
        <v>1</v>
      </c>
      <c r="TVK4095" s="34">
        <v>0</v>
      </c>
      <c r="TVL4095" s="34">
        <v>-1</v>
      </c>
      <c r="TVM4095" s="34">
        <v>-2</v>
      </c>
      <c r="TVN4095" s="34">
        <v>-3</v>
      </c>
      <c r="TVO4095" s="34">
        <v>-4</v>
      </c>
      <c r="TVP4095" s="34">
        <v>-5</v>
      </c>
      <c r="TVQ4095" s="908"/>
      <c r="TVR4095" s="909"/>
      <c r="TVS4095" s="34">
        <v>-5</v>
      </c>
      <c r="TVT4095" s="34">
        <v>-4.5</v>
      </c>
      <c r="TVU4095" s="34">
        <v>-4</v>
      </c>
      <c r="TVV4095" s="34">
        <v>-3.5</v>
      </c>
      <c r="TVW4095" s="34">
        <v>-3</v>
      </c>
      <c r="TVX4095" s="34">
        <v>-2.5</v>
      </c>
      <c r="TVY4095" s="34">
        <v>-2</v>
      </c>
      <c r="TVZ4095" s="34">
        <v>-1.5</v>
      </c>
      <c r="TWA4095" s="34">
        <v>-1</v>
      </c>
      <c r="TWB4095" s="34">
        <v>-0.5</v>
      </c>
      <c r="TWC4095" s="34">
        <v>0</v>
      </c>
      <c r="TWD4095" s="34">
        <v>0.5</v>
      </c>
      <c r="TWE4095" s="34">
        <v>1</v>
      </c>
      <c r="TWF4095" s="34">
        <v>1.5</v>
      </c>
      <c r="TWG4095" s="34">
        <v>2</v>
      </c>
      <c r="TWH4095" s="34">
        <v>2.5</v>
      </c>
      <c r="TWI4095" s="34">
        <v>3</v>
      </c>
      <c r="TWJ4095" s="34">
        <v>3.5</v>
      </c>
      <c r="TWK4095" s="34">
        <v>4</v>
      </c>
      <c r="TWL4095" s="34">
        <v>4.5</v>
      </c>
      <c r="TWM4095" s="34">
        <v>5</v>
      </c>
      <c r="TWO4095" s="913"/>
      <c r="TWP4095" s="31">
        <v>1</v>
      </c>
      <c r="TWQ4095" s="34">
        <v>0</v>
      </c>
      <c r="TWR4095" s="34">
        <v>-1</v>
      </c>
      <c r="TWS4095" s="34">
        <v>-2</v>
      </c>
      <c r="TWT4095" s="34">
        <v>-3</v>
      </c>
      <c r="TWU4095" s="34">
        <v>-4</v>
      </c>
      <c r="TWV4095" s="34">
        <v>-5</v>
      </c>
      <c r="TWW4095" s="908"/>
      <c r="TWX4095" s="909"/>
      <c r="TWY4095" s="34">
        <v>-5</v>
      </c>
      <c r="TWZ4095" s="34">
        <v>-4.5</v>
      </c>
      <c r="TXA4095" s="34">
        <v>-4</v>
      </c>
      <c r="TXB4095" s="34">
        <v>-3.5</v>
      </c>
      <c r="TXC4095" s="34">
        <v>-3</v>
      </c>
      <c r="TXD4095" s="34">
        <v>-2.5</v>
      </c>
      <c r="TXE4095" s="34">
        <v>-2</v>
      </c>
      <c r="TXF4095" s="34">
        <v>-1.5</v>
      </c>
      <c r="TXG4095" s="34">
        <v>-1</v>
      </c>
      <c r="TXH4095" s="34">
        <v>-0.5</v>
      </c>
      <c r="TXI4095" s="34">
        <v>0</v>
      </c>
      <c r="TXJ4095" s="34">
        <v>0.5</v>
      </c>
      <c r="TXK4095" s="34">
        <v>1</v>
      </c>
      <c r="TXL4095" s="34">
        <v>1.5</v>
      </c>
      <c r="TXM4095" s="34">
        <v>2</v>
      </c>
      <c r="TXN4095" s="34">
        <v>2.5</v>
      </c>
      <c r="TXO4095" s="34">
        <v>3</v>
      </c>
      <c r="TXP4095" s="34">
        <v>3.5</v>
      </c>
      <c r="TXQ4095" s="34">
        <v>4</v>
      </c>
      <c r="TXR4095" s="34">
        <v>4.5</v>
      </c>
      <c r="TXS4095" s="34">
        <v>5</v>
      </c>
      <c r="TXU4095" s="913"/>
      <c r="TXV4095" s="31">
        <v>1</v>
      </c>
      <c r="TXW4095" s="34">
        <v>0</v>
      </c>
      <c r="TXX4095" s="34">
        <v>-1</v>
      </c>
      <c r="TXY4095" s="34">
        <v>-2</v>
      </c>
      <c r="TXZ4095" s="34">
        <v>-3</v>
      </c>
      <c r="TYA4095" s="34">
        <v>-4</v>
      </c>
      <c r="TYB4095" s="34">
        <v>-5</v>
      </c>
      <c r="TYC4095" s="908"/>
      <c r="TYD4095" s="909"/>
      <c r="TYE4095" s="34">
        <v>-5</v>
      </c>
      <c r="TYF4095" s="34">
        <v>-4.5</v>
      </c>
      <c r="TYG4095" s="34">
        <v>-4</v>
      </c>
      <c r="TYH4095" s="34">
        <v>-3.5</v>
      </c>
      <c r="TYI4095" s="34">
        <v>-3</v>
      </c>
      <c r="TYJ4095" s="34">
        <v>-2.5</v>
      </c>
      <c r="TYK4095" s="34">
        <v>-2</v>
      </c>
      <c r="TYL4095" s="34">
        <v>-1.5</v>
      </c>
      <c r="TYM4095" s="34">
        <v>-1</v>
      </c>
      <c r="TYN4095" s="34">
        <v>-0.5</v>
      </c>
      <c r="TYO4095" s="34">
        <v>0</v>
      </c>
      <c r="TYP4095" s="34">
        <v>0.5</v>
      </c>
      <c r="TYQ4095" s="34">
        <v>1</v>
      </c>
      <c r="TYR4095" s="34">
        <v>1.5</v>
      </c>
      <c r="TYS4095" s="34">
        <v>2</v>
      </c>
      <c r="TYT4095" s="34">
        <v>2.5</v>
      </c>
      <c r="TYU4095" s="34">
        <v>3</v>
      </c>
      <c r="TYV4095" s="34">
        <v>3.5</v>
      </c>
      <c r="TYW4095" s="34">
        <v>4</v>
      </c>
      <c r="TYX4095" s="34">
        <v>4.5</v>
      </c>
      <c r="TYY4095" s="34">
        <v>5</v>
      </c>
      <c r="TZA4095" s="913"/>
      <c r="TZB4095" s="31">
        <v>1</v>
      </c>
      <c r="TZC4095" s="34">
        <v>0</v>
      </c>
      <c r="TZD4095" s="34">
        <v>-1</v>
      </c>
      <c r="TZE4095" s="34">
        <v>-2</v>
      </c>
      <c r="TZF4095" s="34">
        <v>-3</v>
      </c>
      <c r="TZG4095" s="34">
        <v>-4</v>
      </c>
      <c r="TZH4095" s="34">
        <v>-5</v>
      </c>
      <c r="TZI4095" s="908"/>
      <c r="TZJ4095" s="909"/>
      <c r="TZK4095" s="34">
        <v>-5</v>
      </c>
      <c r="TZL4095" s="34">
        <v>-4.5</v>
      </c>
      <c r="TZM4095" s="34">
        <v>-4</v>
      </c>
      <c r="TZN4095" s="34">
        <v>-3.5</v>
      </c>
      <c r="TZO4095" s="34">
        <v>-3</v>
      </c>
      <c r="TZP4095" s="34">
        <v>-2.5</v>
      </c>
      <c r="TZQ4095" s="34">
        <v>-2</v>
      </c>
      <c r="TZR4095" s="34">
        <v>-1.5</v>
      </c>
      <c r="TZS4095" s="34">
        <v>-1</v>
      </c>
      <c r="TZT4095" s="34">
        <v>-0.5</v>
      </c>
      <c r="TZU4095" s="34">
        <v>0</v>
      </c>
      <c r="TZV4095" s="34">
        <v>0.5</v>
      </c>
      <c r="TZW4095" s="34">
        <v>1</v>
      </c>
      <c r="TZX4095" s="34">
        <v>1.5</v>
      </c>
      <c r="TZY4095" s="34">
        <v>2</v>
      </c>
      <c r="TZZ4095" s="34">
        <v>2.5</v>
      </c>
      <c r="UAA4095" s="34">
        <v>3</v>
      </c>
      <c r="UAB4095" s="34">
        <v>3.5</v>
      </c>
      <c r="UAC4095" s="34">
        <v>4</v>
      </c>
      <c r="UAD4095" s="34">
        <v>4.5</v>
      </c>
      <c r="UAE4095" s="34">
        <v>5</v>
      </c>
      <c r="UAG4095" s="913"/>
      <c r="UAH4095" s="31">
        <v>1</v>
      </c>
      <c r="UAI4095" s="34">
        <v>0</v>
      </c>
      <c r="UAJ4095" s="34">
        <v>-1</v>
      </c>
      <c r="UAK4095" s="34">
        <v>-2</v>
      </c>
      <c r="UAL4095" s="34">
        <v>-3</v>
      </c>
      <c r="UAM4095" s="34">
        <v>-4</v>
      </c>
      <c r="UAN4095" s="34">
        <v>-5</v>
      </c>
      <c r="UAO4095" s="908"/>
      <c r="UAP4095" s="909"/>
      <c r="UAQ4095" s="34">
        <v>-5</v>
      </c>
      <c r="UAR4095" s="34">
        <v>-4.5</v>
      </c>
      <c r="UAS4095" s="34">
        <v>-4</v>
      </c>
      <c r="UAT4095" s="34">
        <v>-3.5</v>
      </c>
      <c r="UAU4095" s="34">
        <v>-3</v>
      </c>
      <c r="UAV4095" s="34">
        <v>-2.5</v>
      </c>
      <c r="UAW4095" s="34">
        <v>-2</v>
      </c>
      <c r="UAX4095" s="34">
        <v>-1.5</v>
      </c>
      <c r="UAY4095" s="34">
        <v>-1</v>
      </c>
      <c r="UAZ4095" s="34">
        <v>-0.5</v>
      </c>
      <c r="UBA4095" s="34">
        <v>0</v>
      </c>
      <c r="UBB4095" s="34">
        <v>0.5</v>
      </c>
      <c r="UBC4095" s="34">
        <v>1</v>
      </c>
      <c r="UBD4095" s="34">
        <v>1.5</v>
      </c>
      <c r="UBE4095" s="34">
        <v>2</v>
      </c>
      <c r="UBF4095" s="34">
        <v>2.5</v>
      </c>
      <c r="UBG4095" s="34">
        <v>3</v>
      </c>
      <c r="UBH4095" s="34">
        <v>3.5</v>
      </c>
      <c r="UBI4095" s="34">
        <v>4</v>
      </c>
      <c r="UBJ4095" s="34">
        <v>4.5</v>
      </c>
      <c r="UBK4095" s="34">
        <v>5</v>
      </c>
      <c r="UBM4095" s="913"/>
      <c r="UBN4095" s="31">
        <v>1</v>
      </c>
      <c r="UBO4095" s="34">
        <v>0</v>
      </c>
      <c r="UBP4095" s="34">
        <v>-1</v>
      </c>
      <c r="UBQ4095" s="34">
        <v>-2</v>
      </c>
      <c r="UBR4095" s="34">
        <v>-3</v>
      </c>
      <c r="UBS4095" s="34">
        <v>-4</v>
      </c>
      <c r="UBT4095" s="34">
        <v>-5</v>
      </c>
      <c r="UBU4095" s="908"/>
      <c r="UBV4095" s="909"/>
      <c r="UBW4095" s="34">
        <v>-5</v>
      </c>
      <c r="UBX4095" s="34">
        <v>-4.5</v>
      </c>
      <c r="UBY4095" s="34">
        <v>-4</v>
      </c>
      <c r="UBZ4095" s="34">
        <v>-3.5</v>
      </c>
      <c r="UCA4095" s="34">
        <v>-3</v>
      </c>
      <c r="UCB4095" s="34">
        <v>-2.5</v>
      </c>
      <c r="UCC4095" s="34">
        <v>-2</v>
      </c>
      <c r="UCD4095" s="34">
        <v>-1.5</v>
      </c>
      <c r="UCE4095" s="34">
        <v>-1</v>
      </c>
      <c r="UCF4095" s="34">
        <v>-0.5</v>
      </c>
      <c r="UCG4095" s="34">
        <v>0</v>
      </c>
      <c r="UCH4095" s="34">
        <v>0.5</v>
      </c>
      <c r="UCI4095" s="34">
        <v>1</v>
      </c>
      <c r="UCJ4095" s="34">
        <v>1.5</v>
      </c>
      <c r="UCK4095" s="34">
        <v>2</v>
      </c>
      <c r="UCL4095" s="34">
        <v>2.5</v>
      </c>
      <c r="UCM4095" s="34">
        <v>3</v>
      </c>
      <c r="UCN4095" s="34">
        <v>3.5</v>
      </c>
      <c r="UCO4095" s="34">
        <v>4</v>
      </c>
      <c r="UCP4095" s="34">
        <v>4.5</v>
      </c>
      <c r="UCQ4095" s="34">
        <v>5</v>
      </c>
      <c r="UCS4095" s="913"/>
      <c r="UCT4095" s="31">
        <v>1</v>
      </c>
      <c r="UCU4095" s="34">
        <v>0</v>
      </c>
      <c r="UCV4095" s="34">
        <v>-1</v>
      </c>
      <c r="UCW4095" s="34">
        <v>-2</v>
      </c>
      <c r="UCX4095" s="34">
        <v>-3</v>
      </c>
      <c r="UCY4095" s="34">
        <v>-4</v>
      </c>
      <c r="UCZ4095" s="34">
        <v>-5</v>
      </c>
      <c r="UDA4095" s="908"/>
      <c r="UDB4095" s="909"/>
      <c r="UDC4095" s="34">
        <v>-5</v>
      </c>
      <c r="UDD4095" s="34">
        <v>-4.5</v>
      </c>
      <c r="UDE4095" s="34">
        <v>-4</v>
      </c>
      <c r="UDF4095" s="34">
        <v>-3.5</v>
      </c>
      <c r="UDG4095" s="34">
        <v>-3</v>
      </c>
      <c r="UDH4095" s="34">
        <v>-2.5</v>
      </c>
      <c r="UDI4095" s="34">
        <v>-2</v>
      </c>
      <c r="UDJ4095" s="34">
        <v>-1.5</v>
      </c>
      <c r="UDK4095" s="34">
        <v>-1</v>
      </c>
      <c r="UDL4095" s="34">
        <v>-0.5</v>
      </c>
      <c r="UDM4095" s="34">
        <v>0</v>
      </c>
      <c r="UDN4095" s="34">
        <v>0.5</v>
      </c>
      <c r="UDO4095" s="34">
        <v>1</v>
      </c>
      <c r="UDP4095" s="34">
        <v>1.5</v>
      </c>
      <c r="UDQ4095" s="34">
        <v>2</v>
      </c>
      <c r="UDR4095" s="34">
        <v>2.5</v>
      </c>
      <c r="UDS4095" s="34">
        <v>3</v>
      </c>
      <c r="UDT4095" s="34">
        <v>3.5</v>
      </c>
      <c r="UDU4095" s="34">
        <v>4</v>
      </c>
      <c r="UDV4095" s="34">
        <v>4.5</v>
      </c>
      <c r="UDW4095" s="34">
        <v>5</v>
      </c>
      <c r="UDY4095" s="913"/>
      <c r="UDZ4095" s="31">
        <v>1</v>
      </c>
      <c r="UEA4095" s="34">
        <v>0</v>
      </c>
      <c r="UEB4095" s="34">
        <v>-1</v>
      </c>
      <c r="UEC4095" s="34">
        <v>-2</v>
      </c>
      <c r="UED4095" s="34">
        <v>-3</v>
      </c>
      <c r="UEE4095" s="34">
        <v>-4</v>
      </c>
      <c r="UEF4095" s="34">
        <v>-5</v>
      </c>
      <c r="UEG4095" s="908"/>
      <c r="UEH4095" s="909"/>
      <c r="UEI4095" s="34">
        <v>-5</v>
      </c>
      <c r="UEJ4095" s="34">
        <v>-4.5</v>
      </c>
      <c r="UEK4095" s="34">
        <v>-4</v>
      </c>
      <c r="UEL4095" s="34">
        <v>-3.5</v>
      </c>
      <c r="UEM4095" s="34">
        <v>-3</v>
      </c>
      <c r="UEN4095" s="34">
        <v>-2.5</v>
      </c>
      <c r="UEO4095" s="34">
        <v>-2</v>
      </c>
      <c r="UEP4095" s="34">
        <v>-1.5</v>
      </c>
      <c r="UEQ4095" s="34">
        <v>-1</v>
      </c>
      <c r="UER4095" s="34">
        <v>-0.5</v>
      </c>
      <c r="UES4095" s="34">
        <v>0</v>
      </c>
      <c r="UET4095" s="34">
        <v>0.5</v>
      </c>
      <c r="UEU4095" s="34">
        <v>1</v>
      </c>
      <c r="UEV4095" s="34">
        <v>1.5</v>
      </c>
      <c r="UEW4095" s="34">
        <v>2</v>
      </c>
      <c r="UEX4095" s="34">
        <v>2.5</v>
      </c>
      <c r="UEY4095" s="34">
        <v>3</v>
      </c>
      <c r="UEZ4095" s="34">
        <v>3.5</v>
      </c>
      <c r="UFA4095" s="34">
        <v>4</v>
      </c>
      <c r="UFB4095" s="34">
        <v>4.5</v>
      </c>
      <c r="UFC4095" s="34">
        <v>5</v>
      </c>
      <c r="UFE4095" s="913"/>
      <c r="UFF4095" s="31">
        <v>1</v>
      </c>
      <c r="UFG4095" s="34">
        <v>0</v>
      </c>
      <c r="UFH4095" s="34">
        <v>-1</v>
      </c>
      <c r="UFI4095" s="34">
        <v>-2</v>
      </c>
      <c r="UFJ4095" s="34">
        <v>-3</v>
      </c>
      <c r="UFK4095" s="34">
        <v>-4</v>
      </c>
      <c r="UFL4095" s="34">
        <v>-5</v>
      </c>
      <c r="UFM4095" s="908"/>
      <c r="UFN4095" s="909"/>
      <c r="UFO4095" s="34">
        <v>-5</v>
      </c>
      <c r="UFP4095" s="34">
        <v>-4.5</v>
      </c>
      <c r="UFQ4095" s="34">
        <v>-4</v>
      </c>
      <c r="UFR4095" s="34">
        <v>-3.5</v>
      </c>
      <c r="UFS4095" s="34">
        <v>-3</v>
      </c>
      <c r="UFT4095" s="34">
        <v>-2.5</v>
      </c>
      <c r="UFU4095" s="34">
        <v>-2</v>
      </c>
      <c r="UFV4095" s="34">
        <v>-1.5</v>
      </c>
      <c r="UFW4095" s="34">
        <v>-1</v>
      </c>
      <c r="UFX4095" s="34">
        <v>-0.5</v>
      </c>
      <c r="UFY4095" s="34">
        <v>0</v>
      </c>
      <c r="UFZ4095" s="34">
        <v>0.5</v>
      </c>
      <c r="UGA4095" s="34">
        <v>1</v>
      </c>
      <c r="UGB4095" s="34">
        <v>1.5</v>
      </c>
      <c r="UGC4095" s="34">
        <v>2</v>
      </c>
      <c r="UGD4095" s="34">
        <v>2.5</v>
      </c>
      <c r="UGE4095" s="34">
        <v>3</v>
      </c>
      <c r="UGF4095" s="34">
        <v>3.5</v>
      </c>
      <c r="UGG4095" s="34">
        <v>4</v>
      </c>
      <c r="UGH4095" s="34">
        <v>4.5</v>
      </c>
      <c r="UGI4095" s="34">
        <v>5</v>
      </c>
      <c r="UGK4095" s="913"/>
      <c r="UGL4095" s="31">
        <v>1</v>
      </c>
      <c r="UGM4095" s="34">
        <v>0</v>
      </c>
      <c r="UGN4095" s="34">
        <v>-1</v>
      </c>
      <c r="UGO4095" s="34">
        <v>-2</v>
      </c>
      <c r="UGP4095" s="34">
        <v>-3</v>
      </c>
      <c r="UGQ4095" s="34">
        <v>-4</v>
      </c>
      <c r="UGR4095" s="34">
        <v>-5</v>
      </c>
      <c r="UGS4095" s="908"/>
      <c r="UGT4095" s="909"/>
      <c r="UGU4095" s="34">
        <v>-5</v>
      </c>
      <c r="UGV4095" s="34">
        <v>-4.5</v>
      </c>
      <c r="UGW4095" s="34">
        <v>-4</v>
      </c>
      <c r="UGX4095" s="34">
        <v>-3.5</v>
      </c>
      <c r="UGY4095" s="34">
        <v>-3</v>
      </c>
      <c r="UGZ4095" s="34">
        <v>-2.5</v>
      </c>
      <c r="UHA4095" s="34">
        <v>-2</v>
      </c>
      <c r="UHB4095" s="34">
        <v>-1.5</v>
      </c>
      <c r="UHC4095" s="34">
        <v>-1</v>
      </c>
      <c r="UHD4095" s="34">
        <v>-0.5</v>
      </c>
      <c r="UHE4095" s="34">
        <v>0</v>
      </c>
      <c r="UHF4095" s="34">
        <v>0.5</v>
      </c>
      <c r="UHG4095" s="34">
        <v>1</v>
      </c>
      <c r="UHH4095" s="34">
        <v>1.5</v>
      </c>
      <c r="UHI4095" s="34">
        <v>2</v>
      </c>
      <c r="UHJ4095" s="34">
        <v>2.5</v>
      </c>
      <c r="UHK4095" s="34">
        <v>3</v>
      </c>
      <c r="UHL4095" s="34">
        <v>3.5</v>
      </c>
      <c r="UHM4095" s="34">
        <v>4</v>
      </c>
      <c r="UHN4095" s="34">
        <v>4.5</v>
      </c>
      <c r="UHO4095" s="34">
        <v>5</v>
      </c>
      <c r="UHQ4095" s="913"/>
      <c r="UHR4095" s="31">
        <v>1</v>
      </c>
      <c r="UHS4095" s="34">
        <v>0</v>
      </c>
      <c r="UHT4095" s="34">
        <v>-1</v>
      </c>
      <c r="UHU4095" s="34">
        <v>-2</v>
      </c>
      <c r="UHV4095" s="34">
        <v>-3</v>
      </c>
      <c r="UHW4095" s="34">
        <v>-4</v>
      </c>
      <c r="UHX4095" s="34">
        <v>-5</v>
      </c>
      <c r="UHY4095" s="908"/>
      <c r="UHZ4095" s="909"/>
      <c r="UIA4095" s="34">
        <v>-5</v>
      </c>
      <c r="UIB4095" s="34">
        <v>-4.5</v>
      </c>
      <c r="UIC4095" s="34">
        <v>-4</v>
      </c>
      <c r="UID4095" s="34">
        <v>-3.5</v>
      </c>
      <c r="UIE4095" s="34">
        <v>-3</v>
      </c>
      <c r="UIF4095" s="34">
        <v>-2.5</v>
      </c>
      <c r="UIG4095" s="34">
        <v>-2</v>
      </c>
      <c r="UIH4095" s="34">
        <v>-1.5</v>
      </c>
      <c r="UII4095" s="34">
        <v>-1</v>
      </c>
      <c r="UIJ4095" s="34">
        <v>-0.5</v>
      </c>
      <c r="UIK4095" s="34">
        <v>0</v>
      </c>
      <c r="UIL4095" s="34">
        <v>0.5</v>
      </c>
      <c r="UIM4095" s="34">
        <v>1</v>
      </c>
      <c r="UIN4095" s="34">
        <v>1.5</v>
      </c>
      <c r="UIO4095" s="34">
        <v>2</v>
      </c>
      <c r="UIP4095" s="34">
        <v>2.5</v>
      </c>
      <c r="UIQ4095" s="34">
        <v>3</v>
      </c>
      <c r="UIR4095" s="34">
        <v>3.5</v>
      </c>
      <c r="UIS4095" s="34">
        <v>4</v>
      </c>
      <c r="UIT4095" s="34">
        <v>4.5</v>
      </c>
      <c r="UIU4095" s="34">
        <v>5</v>
      </c>
      <c r="UIW4095" s="913"/>
      <c r="UIX4095" s="31">
        <v>1</v>
      </c>
      <c r="UIY4095" s="34">
        <v>0</v>
      </c>
      <c r="UIZ4095" s="34">
        <v>-1</v>
      </c>
      <c r="UJA4095" s="34">
        <v>-2</v>
      </c>
      <c r="UJB4095" s="34">
        <v>-3</v>
      </c>
      <c r="UJC4095" s="34">
        <v>-4</v>
      </c>
      <c r="UJD4095" s="34">
        <v>-5</v>
      </c>
      <c r="UJE4095" s="908"/>
      <c r="UJF4095" s="909"/>
      <c r="UJG4095" s="34">
        <v>-5</v>
      </c>
      <c r="UJH4095" s="34">
        <v>-4.5</v>
      </c>
      <c r="UJI4095" s="34">
        <v>-4</v>
      </c>
      <c r="UJJ4095" s="34">
        <v>-3.5</v>
      </c>
      <c r="UJK4095" s="34">
        <v>-3</v>
      </c>
      <c r="UJL4095" s="34">
        <v>-2.5</v>
      </c>
      <c r="UJM4095" s="34">
        <v>-2</v>
      </c>
      <c r="UJN4095" s="34">
        <v>-1.5</v>
      </c>
      <c r="UJO4095" s="34">
        <v>-1</v>
      </c>
      <c r="UJP4095" s="34">
        <v>-0.5</v>
      </c>
      <c r="UJQ4095" s="34">
        <v>0</v>
      </c>
      <c r="UJR4095" s="34">
        <v>0.5</v>
      </c>
      <c r="UJS4095" s="34">
        <v>1</v>
      </c>
      <c r="UJT4095" s="34">
        <v>1.5</v>
      </c>
      <c r="UJU4095" s="34">
        <v>2</v>
      </c>
      <c r="UJV4095" s="34">
        <v>2.5</v>
      </c>
      <c r="UJW4095" s="34">
        <v>3</v>
      </c>
      <c r="UJX4095" s="34">
        <v>3.5</v>
      </c>
      <c r="UJY4095" s="34">
        <v>4</v>
      </c>
      <c r="UJZ4095" s="34">
        <v>4.5</v>
      </c>
      <c r="UKA4095" s="34">
        <v>5</v>
      </c>
      <c r="UKC4095" s="913"/>
      <c r="UKD4095" s="31">
        <v>1</v>
      </c>
      <c r="UKE4095" s="34">
        <v>0</v>
      </c>
      <c r="UKF4095" s="34">
        <v>-1</v>
      </c>
      <c r="UKG4095" s="34">
        <v>-2</v>
      </c>
      <c r="UKH4095" s="34">
        <v>-3</v>
      </c>
      <c r="UKI4095" s="34">
        <v>-4</v>
      </c>
      <c r="UKJ4095" s="34">
        <v>-5</v>
      </c>
      <c r="UKK4095" s="908"/>
      <c r="UKL4095" s="909"/>
      <c r="UKM4095" s="34">
        <v>-5</v>
      </c>
      <c r="UKN4095" s="34">
        <v>-4.5</v>
      </c>
      <c r="UKO4095" s="34">
        <v>-4</v>
      </c>
      <c r="UKP4095" s="34">
        <v>-3.5</v>
      </c>
      <c r="UKQ4095" s="34">
        <v>-3</v>
      </c>
      <c r="UKR4095" s="34">
        <v>-2.5</v>
      </c>
      <c r="UKS4095" s="34">
        <v>-2</v>
      </c>
      <c r="UKT4095" s="34">
        <v>-1.5</v>
      </c>
      <c r="UKU4095" s="34">
        <v>-1</v>
      </c>
      <c r="UKV4095" s="34">
        <v>-0.5</v>
      </c>
      <c r="UKW4095" s="34">
        <v>0</v>
      </c>
      <c r="UKX4095" s="34">
        <v>0.5</v>
      </c>
      <c r="UKY4095" s="34">
        <v>1</v>
      </c>
      <c r="UKZ4095" s="34">
        <v>1.5</v>
      </c>
      <c r="ULA4095" s="34">
        <v>2</v>
      </c>
      <c r="ULB4095" s="34">
        <v>2.5</v>
      </c>
      <c r="ULC4095" s="34">
        <v>3</v>
      </c>
      <c r="ULD4095" s="34">
        <v>3.5</v>
      </c>
      <c r="ULE4095" s="34">
        <v>4</v>
      </c>
      <c r="ULF4095" s="34">
        <v>4.5</v>
      </c>
      <c r="ULG4095" s="34">
        <v>5</v>
      </c>
      <c r="ULI4095" s="913"/>
      <c r="ULJ4095" s="31">
        <v>1</v>
      </c>
      <c r="ULK4095" s="34">
        <v>0</v>
      </c>
      <c r="ULL4095" s="34">
        <v>-1</v>
      </c>
      <c r="ULM4095" s="34">
        <v>-2</v>
      </c>
      <c r="ULN4095" s="34">
        <v>-3</v>
      </c>
      <c r="ULO4095" s="34">
        <v>-4</v>
      </c>
      <c r="ULP4095" s="34">
        <v>-5</v>
      </c>
      <c r="ULQ4095" s="908"/>
      <c r="ULR4095" s="909"/>
      <c r="ULS4095" s="34">
        <v>-5</v>
      </c>
      <c r="ULT4095" s="34">
        <v>-4.5</v>
      </c>
      <c r="ULU4095" s="34">
        <v>-4</v>
      </c>
      <c r="ULV4095" s="34">
        <v>-3.5</v>
      </c>
      <c r="ULW4095" s="34">
        <v>-3</v>
      </c>
      <c r="ULX4095" s="34">
        <v>-2.5</v>
      </c>
      <c r="ULY4095" s="34">
        <v>-2</v>
      </c>
      <c r="ULZ4095" s="34">
        <v>-1.5</v>
      </c>
      <c r="UMA4095" s="34">
        <v>-1</v>
      </c>
      <c r="UMB4095" s="34">
        <v>-0.5</v>
      </c>
      <c r="UMC4095" s="34">
        <v>0</v>
      </c>
      <c r="UMD4095" s="34">
        <v>0.5</v>
      </c>
      <c r="UME4095" s="34">
        <v>1</v>
      </c>
      <c r="UMF4095" s="34">
        <v>1.5</v>
      </c>
      <c r="UMG4095" s="34">
        <v>2</v>
      </c>
      <c r="UMH4095" s="34">
        <v>2.5</v>
      </c>
      <c r="UMI4095" s="34">
        <v>3</v>
      </c>
      <c r="UMJ4095" s="34">
        <v>3.5</v>
      </c>
      <c r="UMK4095" s="34">
        <v>4</v>
      </c>
      <c r="UML4095" s="34">
        <v>4.5</v>
      </c>
      <c r="UMM4095" s="34">
        <v>5</v>
      </c>
      <c r="UMO4095" s="913"/>
      <c r="UMP4095" s="31">
        <v>1</v>
      </c>
      <c r="UMQ4095" s="34">
        <v>0</v>
      </c>
      <c r="UMR4095" s="34">
        <v>-1</v>
      </c>
      <c r="UMS4095" s="34">
        <v>-2</v>
      </c>
      <c r="UMT4095" s="34">
        <v>-3</v>
      </c>
      <c r="UMU4095" s="34">
        <v>-4</v>
      </c>
      <c r="UMV4095" s="34">
        <v>-5</v>
      </c>
      <c r="UMW4095" s="908"/>
      <c r="UMX4095" s="909"/>
      <c r="UMY4095" s="34">
        <v>-5</v>
      </c>
      <c r="UMZ4095" s="34">
        <v>-4.5</v>
      </c>
      <c r="UNA4095" s="34">
        <v>-4</v>
      </c>
      <c r="UNB4095" s="34">
        <v>-3.5</v>
      </c>
      <c r="UNC4095" s="34">
        <v>-3</v>
      </c>
      <c r="UND4095" s="34">
        <v>-2.5</v>
      </c>
      <c r="UNE4095" s="34">
        <v>-2</v>
      </c>
      <c r="UNF4095" s="34">
        <v>-1.5</v>
      </c>
      <c r="UNG4095" s="34">
        <v>-1</v>
      </c>
      <c r="UNH4095" s="34">
        <v>-0.5</v>
      </c>
      <c r="UNI4095" s="34">
        <v>0</v>
      </c>
      <c r="UNJ4095" s="34">
        <v>0.5</v>
      </c>
      <c r="UNK4095" s="34">
        <v>1</v>
      </c>
      <c r="UNL4095" s="34">
        <v>1.5</v>
      </c>
      <c r="UNM4095" s="34">
        <v>2</v>
      </c>
      <c r="UNN4095" s="34">
        <v>2.5</v>
      </c>
      <c r="UNO4095" s="34">
        <v>3</v>
      </c>
      <c r="UNP4095" s="34">
        <v>3.5</v>
      </c>
      <c r="UNQ4095" s="34">
        <v>4</v>
      </c>
      <c r="UNR4095" s="34">
        <v>4.5</v>
      </c>
      <c r="UNS4095" s="34">
        <v>5</v>
      </c>
      <c r="UNU4095" s="913"/>
      <c r="UNV4095" s="31">
        <v>1</v>
      </c>
      <c r="UNW4095" s="34">
        <v>0</v>
      </c>
      <c r="UNX4095" s="34">
        <v>-1</v>
      </c>
      <c r="UNY4095" s="34">
        <v>-2</v>
      </c>
      <c r="UNZ4095" s="34">
        <v>-3</v>
      </c>
      <c r="UOA4095" s="34">
        <v>-4</v>
      </c>
      <c r="UOB4095" s="34">
        <v>-5</v>
      </c>
      <c r="UOC4095" s="908"/>
      <c r="UOD4095" s="909"/>
      <c r="UOE4095" s="34">
        <v>-5</v>
      </c>
      <c r="UOF4095" s="34">
        <v>-4.5</v>
      </c>
      <c r="UOG4095" s="34">
        <v>-4</v>
      </c>
      <c r="UOH4095" s="34">
        <v>-3.5</v>
      </c>
      <c r="UOI4095" s="34">
        <v>-3</v>
      </c>
      <c r="UOJ4095" s="34">
        <v>-2.5</v>
      </c>
      <c r="UOK4095" s="34">
        <v>-2</v>
      </c>
      <c r="UOL4095" s="34">
        <v>-1.5</v>
      </c>
      <c r="UOM4095" s="34">
        <v>-1</v>
      </c>
      <c r="UON4095" s="34">
        <v>-0.5</v>
      </c>
      <c r="UOO4095" s="34">
        <v>0</v>
      </c>
      <c r="UOP4095" s="34">
        <v>0.5</v>
      </c>
      <c r="UOQ4095" s="34">
        <v>1</v>
      </c>
      <c r="UOR4095" s="34">
        <v>1.5</v>
      </c>
      <c r="UOS4095" s="34">
        <v>2</v>
      </c>
      <c r="UOT4095" s="34">
        <v>2.5</v>
      </c>
      <c r="UOU4095" s="34">
        <v>3</v>
      </c>
      <c r="UOV4095" s="34">
        <v>3.5</v>
      </c>
      <c r="UOW4095" s="34">
        <v>4</v>
      </c>
      <c r="UOX4095" s="34">
        <v>4.5</v>
      </c>
      <c r="UOY4095" s="34">
        <v>5</v>
      </c>
      <c r="UPA4095" s="913"/>
      <c r="UPB4095" s="31">
        <v>1</v>
      </c>
      <c r="UPC4095" s="34">
        <v>0</v>
      </c>
      <c r="UPD4095" s="34">
        <v>-1</v>
      </c>
      <c r="UPE4095" s="34">
        <v>-2</v>
      </c>
      <c r="UPF4095" s="34">
        <v>-3</v>
      </c>
      <c r="UPG4095" s="34">
        <v>-4</v>
      </c>
      <c r="UPH4095" s="34">
        <v>-5</v>
      </c>
      <c r="UPI4095" s="908"/>
      <c r="UPJ4095" s="909"/>
      <c r="UPK4095" s="34">
        <v>-5</v>
      </c>
      <c r="UPL4095" s="34">
        <v>-4.5</v>
      </c>
      <c r="UPM4095" s="34">
        <v>-4</v>
      </c>
      <c r="UPN4095" s="34">
        <v>-3.5</v>
      </c>
      <c r="UPO4095" s="34">
        <v>-3</v>
      </c>
      <c r="UPP4095" s="34">
        <v>-2.5</v>
      </c>
      <c r="UPQ4095" s="34">
        <v>-2</v>
      </c>
      <c r="UPR4095" s="34">
        <v>-1.5</v>
      </c>
      <c r="UPS4095" s="34">
        <v>-1</v>
      </c>
      <c r="UPT4095" s="34">
        <v>-0.5</v>
      </c>
      <c r="UPU4095" s="34">
        <v>0</v>
      </c>
      <c r="UPV4095" s="34">
        <v>0.5</v>
      </c>
      <c r="UPW4095" s="34">
        <v>1</v>
      </c>
      <c r="UPX4095" s="34">
        <v>1.5</v>
      </c>
      <c r="UPY4095" s="34">
        <v>2</v>
      </c>
      <c r="UPZ4095" s="34">
        <v>2.5</v>
      </c>
      <c r="UQA4095" s="34">
        <v>3</v>
      </c>
      <c r="UQB4095" s="34">
        <v>3.5</v>
      </c>
      <c r="UQC4095" s="34">
        <v>4</v>
      </c>
      <c r="UQD4095" s="34">
        <v>4.5</v>
      </c>
      <c r="UQE4095" s="34">
        <v>5</v>
      </c>
      <c r="UQG4095" s="913"/>
      <c r="UQH4095" s="31">
        <v>1</v>
      </c>
      <c r="UQI4095" s="34">
        <v>0</v>
      </c>
      <c r="UQJ4095" s="34">
        <v>-1</v>
      </c>
      <c r="UQK4095" s="34">
        <v>-2</v>
      </c>
      <c r="UQL4095" s="34">
        <v>-3</v>
      </c>
      <c r="UQM4095" s="34">
        <v>-4</v>
      </c>
      <c r="UQN4095" s="34">
        <v>-5</v>
      </c>
      <c r="UQO4095" s="908"/>
      <c r="UQP4095" s="909"/>
      <c r="UQQ4095" s="34">
        <v>-5</v>
      </c>
      <c r="UQR4095" s="34">
        <v>-4.5</v>
      </c>
      <c r="UQS4095" s="34">
        <v>-4</v>
      </c>
      <c r="UQT4095" s="34">
        <v>-3.5</v>
      </c>
      <c r="UQU4095" s="34">
        <v>-3</v>
      </c>
      <c r="UQV4095" s="34">
        <v>-2.5</v>
      </c>
      <c r="UQW4095" s="34">
        <v>-2</v>
      </c>
      <c r="UQX4095" s="34">
        <v>-1.5</v>
      </c>
      <c r="UQY4095" s="34">
        <v>-1</v>
      </c>
      <c r="UQZ4095" s="34">
        <v>-0.5</v>
      </c>
      <c r="URA4095" s="34">
        <v>0</v>
      </c>
      <c r="URB4095" s="34">
        <v>0.5</v>
      </c>
      <c r="URC4095" s="34">
        <v>1</v>
      </c>
      <c r="URD4095" s="34">
        <v>1.5</v>
      </c>
      <c r="URE4095" s="34">
        <v>2</v>
      </c>
      <c r="URF4095" s="34">
        <v>2.5</v>
      </c>
      <c r="URG4095" s="34">
        <v>3</v>
      </c>
      <c r="URH4095" s="34">
        <v>3.5</v>
      </c>
      <c r="URI4095" s="34">
        <v>4</v>
      </c>
      <c r="URJ4095" s="34">
        <v>4.5</v>
      </c>
      <c r="URK4095" s="34">
        <v>5</v>
      </c>
      <c r="URM4095" s="913"/>
      <c r="URN4095" s="31">
        <v>1</v>
      </c>
      <c r="URO4095" s="34">
        <v>0</v>
      </c>
      <c r="URP4095" s="34">
        <v>-1</v>
      </c>
      <c r="URQ4095" s="34">
        <v>-2</v>
      </c>
      <c r="URR4095" s="34">
        <v>-3</v>
      </c>
      <c r="URS4095" s="34">
        <v>-4</v>
      </c>
      <c r="URT4095" s="34">
        <v>-5</v>
      </c>
      <c r="URU4095" s="908"/>
      <c r="URV4095" s="909"/>
      <c r="URW4095" s="34">
        <v>-5</v>
      </c>
      <c r="URX4095" s="34">
        <v>-4.5</v>
      </c>
      <c r="URY4095" s="34">
        <v>-4</v>
      </c>
      <c r="URZ4095" s="34">
        <v>-3.5</v>
      </c>
      <c r="USA4095" s="34">
        <v>-3</v>
      </c>
      <c r="USB4095" s="34">
        <v>-2.5</v>
      </c>
      <c r="USC4095" s="34">
        <v>-2</v>
      </c>
      <c r="USD4095" s="34">
        <v>-1.5</v>
      </c>
      <c r="USE4095" s="34">
        <v>-1</v>
      </c>
      <c r="USF4095" s="34">
        <v>-0.5</v>
      </c>
      <c r="USG4095" s="34">
        <v>0</v>
      </c>
      <c r="USH4095" s="34">
        <v>0.5</v>
      </c>
      <c r="USI4095" s="34">
        <v>1</v>
      </c>
      <c r="USJ4095" s="34">
        <v>1.5</v>
      </c>
      <c r="USK4095" s="34">
        <v>2</v>
      </c>
      <c r="USL4095" s="34">
        <v>2.5</v>
      </c>
      <c r="USM4095" s="34">
        <v>3</v>
      </c>
      <c r="USN4095" s="34">
        <v>3.5</v>
      </c>
      <c r="USO4095" s="34">
        <v>4</v>
      </c>
      <c r="USP4095" s="34">
        <v>4.5</v>
      </c>
      <c r="USQ4095" s="34">
        <v>5</v>
      </c>
      <c r="USS4095" s="913"/>
      <c r="UST4095" s="31">
        <v>1</v>
      </c>
      <c r="USU4095" s="34">
        <v>0</v>
      </c>
      <c r="USV4095" s="34">
        <v>-1</v>
      </c>
      <c r="USW4095" s="34">
        <v>-2</v>
      </c>
      <c r="USX4095" s="34">
        <v>-3</v>
      </c>
      <c r="USY4095" s="34">
        <v>-4</v>
      </c>
      <c r="USZ4095" s="34">
        <v>-5</v>
      </c>
      <c r="UTA4095" s="908"/>
      <c r="UTB4095" s="909"/>
      <c r="UTC4095" s="34">
        <v>-5</v>
      </c>
      <c r="UTD4095" s="34">
        <v>-4.5</v>
      </c>
      <c r="UTE4095" s="34">
        <v>-4</v>
      </c>
      <c r="UTF4095" s="34">
        <v>-3.5</v>
      </c>
      <c r="UTG4095" s="34">
        <v>-3</v>
      </c>
      <c r="UTH4095" s="34">
        <v>-2.5</v>
      </c>
      <c r="UTI4095" s="34">
        <v>-2</v>
      </c>
      <c r="UTJ4095" s="34">
        <v>-1.5</v>
      </c>
      <c r="UTK4095" s="34">
        <v>-1</v>
      </c>
      <c r="UTL4095" s="34">
        <v>-0.5</v>
      </c>
      <c r="UTM4095" s="34">
        <v>0</v>
      </c>
      <c r="UTN4095" s="34">
        <v>0.5</v>
      </c>
      <c r="UTO4095" s="34">
        <v>1</v>
      </c>
      <c r="UTP4095" s="34">
        <v>1.5</v>
      </c>
      <c r="UTQ4095" s="34">
        <v>2</v>
      </c>
      <c r="UTR4095" s="34">
        <v>2.5</v>
      </c>
      <c r="UTS4095" s="34">
        <v>3</v>
      </c>
      <c r="UTT4095" s="34">
        <v>3.5</v>
      </c>
      <c r="UTU4095" s="34">
        <v>4</v>
      </c>
      <c r="UTV4095" s="34">
        <v>4.5</v>
      </c>
      <c r="UTW4095" s="34">
        <v>5</v>
      </c>
      <c r="UTY4095" s="913"/>
      <c r="UTZ4095" s="31">
        <v>1</v>
      </c>
      <c r="UUA4095" s="34">
        <v>0</v>
      </c>
      <c r="UUB4095" s="34">
        <v>-1</v>
      </c>
      <c r="UUC4095" s="34">
        <v>-2</v>
      </c>
      <c r="UUD4095" s="34">
        <v>-3</v>
      </c>
      <c r="UUE4095" s="34">
        <v>-4</v>
      </c>
      <c r="UUF4095" s="34">
        <v>-5</v>
      </c>
      <c r="UUG4095" s="908"/>
      <c r="UUH4095" s="909"/>
      <c r="UUI4095" s="34">
        <v>-5</v>
      </c>
      <c r="UUJ4095" s="34">
        <v>-4.5</v>
      </c>
      <c r="UUK4095" s="34">
        <v>-4</v>
      </c>
      <c r="UUL4095" s="34">
        <v>-3.5</v>
      </c>
      <c r="UUM4095" s="34">
        <v>-3</v>
      </c>
      <c r="UUN4095" s="34">
        <v>-2.5</v>
      </c>
      <c r="UUO4095" s="34">
        <v>-2</v>
      </c>
      <c r="UUP4095" s="34">
        <v>-1.5</v>
      </c>
      <c r="UUQ4095" s="34">
        <v>-1</v>
      </c>
      <c r="UUR4095" s="34">
        <v>-0.5</v>
      </c>
      <c r="UUS4095" s="34">
        <v>0</v>
      </c>
      <c r="UUT4095" s="34">
        <v>0.5</v>
      </c>
      <c r="UUU4095" s="34">
        <v>1</v>
      </c>
      <c r="UUV4095" s="34">
        <v>1.5</v>
      </c>
      <c r="UUW4095" s="34">
        <v>2</v>
      </c>
      <c r="UUX4095" s="34">
        <v>2.5</v>
      </c>
      <c r="UUY4095" s="34">
        <v>3</v>
      </c>
      <c r="UUZ4095" s="34">
        <v>3.5</v>
      </c>
      <c r="UVA4095" s="34">
        <v>4</v>
      </c>
      <c r="UVB4095" s="34">
        <v>4.5</v>
      </c>
      <c r="UVC4095" s="34">
        <v>5</v>
      </c>
      <c r="UVE4095" s="913"/>
      <c r="UVF4095" s="31">
        <v>1</v>
      </c>
      <c r="UVG4095" s="34">
        <v>0</v>
      </c>
      <c r="UVH4095" s="34">
        <v>-1</v>
      </c>
      <c r="UVI4095" s="34">
        <v>-2</v>
      </c>
      <c r="UVJ4095" s="34">
        <v>-3</v>
      </c>
      <c r="UVK4095" s="34">
        <v>-4</v>
      </c>
      <c r="UVL4095" s="34">
        <v>-5</v>
      </c>
      <c r="UVM4095" s="908"/>
      <c r="UVN4095" s="909"/>
      <c r="UVO4095" s="34">
        <v>-5</v>
      </c>
      <c r="UVP4095" s="34">
        <v>-4.5</v>
      </c>
      <c r="UVQ4095" s="34">
        <v>-4</v>
      </c>
      <c r="UVR4095" s="34">
        <v>-3.5</v>
      </c>
      <c r="UVS4095" s="34">
        <v>-3</v>
      </c>
      <c r="UVT4095" s="34">
        <v>-2.5</v>
      </c>
      <c r="UVU4095" s="34">
        <v>-2</v>
      </c>
      <c r="UVV4095" s="34">
        <v>-1.5</v>
      </c>
      <c r="UVW4095" s="34">
        <v>-1</v>
      </c>
      <c r="UVX4095" s="34">
        <v>-0.5</v>
      </c>
      <c r="UVY4095" s="34">
        <v>0</v>
      </c>
      <c r="UVZ4095" s="34">
        <v>0.5</v>
      </c>
      <c r="UWA4095" s="34">
        <v>1</v>
      </c>
      <c r="UWB4095" s="34">
        <v>1.5</v>
      </c>
      <c r="UWC4095" s="34">
        <v>2</v>
      </c>
      <c r="UWD4095" s="34">
        <v>2.5</v>
      </c>
      <c r="UWE4095" s="34">
        <v>3</v>
      </c>
      <c r="UWF4095" s="34">
        <v>3.5</v>
      </c>
      <c r="UWG4095" s="34">
        <v>4</v>
      </c>
      <c r="UWH4095" s="34">
        <v>4.5</v>
      </c>
      <c r="UWI4095" s="34">
        <v>5</v>
      </c>
      <c r="UWK4095" s="913"/>
      <c r="UWL4095" s="31">
        <v>1</v>
      </c>
      <c r="UWM4095" s="34">
        <v>0</v>
      </c>
      <c r="UWN4095" s="34">
        <v>-1</v>
      </c>
      <c r="UWO4095" s="34">
        <v>-2</v>
      </c>
      <c r="UWP4095" s="34">
        <v>-3</v>
      </c>
      <c r="UWQ4095" s="34">
        <v>-4</v>
      </c>
      <c r="UWR4095" s="34">
        <v>-5</v>
      </c>
      <c r="UWS4095" s="908"/>
      <c r="UWT4095" s="909"/>
      <c r="UWU4095" s="34">
        <v>-5</v>
      </c>
      <c r="UWV4095" s="34">
        <v>-4.5</v>
      </c>
      <c r="UWW4095" s="34">
        <v>-4</v>
      </c>
      <c r="UWX4095" s="34">
        <v>-3.5</v>
      </c>
      <c r="UWY4095" s="34">
        <v>-3</v>
      </c>
      <c r="UWZ4095" s="34">
        <v>-2.5</v>
      </c>
      <c r="UXA4095" s="34">
        <v>-2</v>
      </c>
      <c r="UXB4095" s="34">
        <v>-1.5</v>
      </c>
      <c r="UXC4095" s="34">
        <v>-1</v>
      </c>
      <c r="UXD4095" s="34">
        <v>-0.5</v>
      </c>
      <c r="UXE4095" s="34">
        <v>0</v>
      </c>
      <c r="UXF4095" s="34">
        <v>0.5</v>
      </c>
      <c r="UXG4095" s="34">
        <v>1</v>
      </c>
      <c r="UXH4095" s="34">
        <v>1.5</v>
      </c>
      <c r="UXI4095" s="34">
        <v>2</v>
      </c>
      <c r="UXJ4095" s="34">
        <v>2.5</v>
      </c>
      <c r="UXK4095" s="34">
        <v>3</v>
      </c>
      <c r="UXL4095" s="34">
        <v>3.5</v>
      </c>
      <c r="UXM4095" s="34">
        <v>4</v>
      </c>
      <c r="UXN4095" s="34">
        <v>4.5</v>
      </c>
      <c r="UXO4095" s="34">
        <v>5</v>
      </c>
      <c r="UXQ4095" s="913"/>
      <c r="UXR4095" s="31">
        <v>1</v>
      </c>
      <c r="UXS4095" s="34">
        <v>0</v>
      </c>
      <c r="UXT4095" s="34">
        <v>-1</v>
      </c>
      <c r="UXU4095" s="34">
        <v>-2</v>
      </c>
      <c r="UXV4095" s="34">
        <v>-3</v>
      </c>
      <c r="UXW4095" s="34">
        <v>-4</v>
      </c>
      <c r="UXX4095" s="34">
        <v>-5</v>
      </c>
      <c r="UXY4095" s="908"/>
      <c r="UXZ4095" s="909"/>
      <c r="UYA4095" s="34">
        <v>-5</v>
      </c>
      <c r="UYB4095" s="34">
        <v>-4.5</v>
      </c>
      <c r="UYC4095" s="34">
        <v>-4</v>
      </c>
      <c r="UYD4095" s="34">
        <v>-3.5</v>
      </c>
      <c r="UYE4095" s="34">
        <v>-3</v>
      </c>
      <c r="UYF4095" s="34">
        <v>-2.5</v>
      </c>
      <c r="UYG4095" s="34">
        <v>-2</v>
      </c>
      <c r="UYH4095" s="34">
        <v>-1.5</v>
      </c>
      <c r="UYI4095" s="34">
        <v>-1</v>
      </c>
      <c r="UYJ4095" s="34">
        <v>-0.5</v>
      </c>
      <c r="UYK4095" s="34">
        <v>0</v>
      </c>
      <c r="UYL4095" s="34">
        <v>0.5</v>
      </c>
      <c r="UYM4095" s="34">
        <v>1</v>
      </c>
      <c r="UYN4095" s="34">
        <v>1.5</v>
      </c>
      <c r="UYO4095" s="34">
        <v>2</v>
      </c>
      <c r="UYP4095" s="34">
        <v>2.5</v>
      </c>
      <c r="UYQ4095" s="34">
        <v>3</v>
      </c>
      <c r="UYR4095" s="34">
        <v>3.5</v>
      </c>
      <c r="UYS4095" s="34">
        <v>4</v>
      </c>
      <c r="UYT4095" s="34">
        <v>4.5</v>
      </c>
      <c r="UYU4095" s="34">
        <v>5</v>
      </c>
      <c r="UYW4095" s="913"/>
      <c r="UYX4095" s="31">
        <v>1</v>
      </c>
      <c r="UYY4095" s="34">
        <v>0</v>
      </c>
      <c r="UYZ4095" s="34">
        <v>-1</v>
      </c>
      <c r="UZA4095" s="34">
        <v>-2</v>
      </c>
      <c r="UZB4095" s="34">
        <v>-3</v>
      </c>
      <c r="UZC4095" s="34">
        <v>-4</v>
      </c>
      <c r="UZD4095" s="34">
        <v>-5</v>
      </c>
      <c r="UZE4095" s="908"/>
      <c r="UZF4095" s="909"/>
      <c r="UZG4095" s="34">
        <v>-5</v>
      </c>
      <c r="UZH4095" s="34">
        <v>-4.5</v>
      </c>
      <c r="UZI4095" s="34">
        <v>-4</v>
      </c>
      <c r="UZJ4095" s="34">
        <v>-3.5</v>
      </c>
      <c r="UZK4095" s="34">
        <v>-3</v>
      </c>
      <c r="UZL4095" s="34">
        <v>-2.5</v>
      </c>
      <c r="UZM4095" s="34">
        <v>-2</v>
      </c>
      <c r="UZN4095" s="34">
        <v>-1.5</v>
      </c>
      <c r="UZO4095" s="34">
        <v>-1</v>
      </c>
      <c r="UZP4095" s="34">
        <v>-0.5</v>
      </c>
      <c r="UZQ4095" s="34">
        <v>0</v>
      </c>
      <c r="UZR4095" s="34">
        <v>0.5</v>
      </c>
      <c r="UZS4095" s="34">
        <v>1</v>
      </c>
      <c r="UZT4095" s="34">
        <v>1.5</v>
      </c>
      <c r="UZU4095" s="34">
        <v>2</v>
      </c>
      <c r="UZV4095" s="34">
        <v>2.5</v>
      </c>
      <c r="UZW4095" s="34">
        <v>3</v>
      </c>
      <c r="UZX4095" s="34">
        <v>3.5</v>
      </c>
      <c r="UZY4095" s="34">
        <v>4</v>
      </c>
      <c r="UZZ4095" s="34">
        <v>4.5</v>
      </c>
      <c r="VAA4095" s="34">
        <v>5</v>
      </c>
      <c r="VAC4095" s="913"/>
      <c r="VAD4095" s="31">
        <v>1</v>
      </c>
      <c r="VAE4095" s="34">
        <v>0</v>
      </c>
      <c r="VAF4095" s="34">
        <v>-1</v>
      </c>
      <c r="VAG4095" s="34">
        <v>-2</v>
      </c>
      <c r="VAH4095" s="34">
        <v>-3</v>
      </c>
      <c r="VAI4095" s="34">
        <v>-4</v>
      </c>
      <c r="VAJ4095" s="34">
        <v>-5</v>
      </c>
      <c r="VAK4095" s="908"/>
      <c r="VAL4095" s="909"/>
      <c r="VAM4095" s="34">
        <v>-5</v>
      </c>
      <c r="VAN4095" s="34">
        <v>-4.5</v>
      </c>
      <c r="VAO4095" s="34">
        <v>-4</v>
      </c>
      <c r="VAP4095" s="34">
        <v>-3.5</v>
      </c>
      <c r="VAQ4095" s="34">
        <v>-3</v>
      </c>
      <c r="VAR4095" s="34">
        <v>-2.5</v>
      </c>
      <c r="VAS4095" s="34">
        <v>-2</v>
      </c>
      <c r="VAT4095" s="34">
        <v>-1.5</v>
      </c>
      <c r="VAU4095" s="34">
        <v>-1</v>
      </c>
      <c r="VAV4095" s="34">
        <v>-0.5</v>
      </c>
      <c r="VAW4095" s="34">
        <v>0</v>
      </c>
      <c r="VAX4095" s="34">
        <v>0.5</v>
      </c>
      <c r="VAY4095" s="34">
        <v>1</v>
      </c>
      <c r="VAZ4095" s="34">
        <v>1.5</v>
      </c>
      <c r="VBA4095" s="34">
        <v>2</v>
      </c>
      <c r="VBB4095" s="34">
        <v>2.5</v>
      </c>
      <c r="VBC4095" s="34">
        <v>3</v>
      </c>
      <c r="VBD4095" s="34">
        <v>3.5</v>
      </c>
      <c r="VBE4095" s="34">
        <v>4</v>
      </c>
      <c r="VBF4095" s="34">
        <v>4.5</v>
      </c>
      <c r="VBG4095" s="34">
        <v>5</v>
      </c>
      <c r="VBI4095" s="913"/>
      <c r="VBJ4095" s="31">
        <v>1</v>
      </c>
      <c r="VBK4095" s="34">
        <v>0</v>
      </c>
      <c r="VBL4095" s="34">
        <v>-1</v>
      </c>
      <c r="VBM4095" s="34">
        <v>-2</v>
      </c>
      <c r="VBN4095" s="34">
        <v>-3</v>
      </c>
      <c r="VBO4095" s="34">
        <v>-4</v>
      </c>
      <c r="VBP4095" s="34">
        <v>-5</v>
      </c>
      <c r="VBQ4095" s="908"/>
      <c r="VBR4095" s="909"/>
      <c r="VBS4095" s="34">
        <v>-5</v>
      </c>
      <c r="VBT4095" s="34">
        <v>-4.5</v>
      </c>
      <c r="VBU4095" s="34">
        <v>-4</v>
      </c>
      <c r="VBV4095" s="34">
        <v>-3.5</v>
      </c>
      <c r="VBW4095" s="34">
        <v>-3</v>
      </c>
      <c r="VBX4095" s="34">
        <v>-2.5</v>
      </c>
      <c r="VBY4095" s="34">
        <v>-2</v>
      </c>
      <c r="VBZ4095" s="34">
        <v>-1.5</v>
      </c>
      <c r="VCA4095" s="34">
        <v>-1</v>
      </c>
      <c r="VCB4095" s="34">
        <v>-0.5</v>
      </c>
      <c r="VCC4095" s="34">
        <v>0</v>
      </c>
      <c r="VCD4095" s="34">
        <v>0.5</v>
      </c>
      <c r="VCE4095" s="34">
        <v>1</v>
      </c>
      <c r="VCF4095" s="34">
        <v>1.5</v>
      </c>
      <c r="VCG4095" s="34">
        <v>2</v>
      </c>
      <c r="VCH4095" s="34">
        <v>2.5</v>
      </c>
      <c r="VCI4095" s="34">
        <v>3</v>
      </c>
      <c r="VCJ4095" s="34">
        <v>3.5</v>
      </c>
      <c r="VCK4095" s="34">
        <v>4</v>
      </c>
      <c r="VCL4095" s="34">
        <v>4.5</v>
      </c>
      <c r="VCM4095" s="34">
        <v>5</v>
      </c>
      <c r="VCO4095" s="913"/>
      <c r="VCP4095" s="31">
        <v>1</v>
      </c>
      <c r="VCQ4095" s="34">
        <v>0</v>
      </c>
      <c r="VCR4095" s="34">
        <v>-1</v>
      </c>
      <c r="VCS4095" s="34">
        <v>-2</v>
      </c>
      <c r="VCT4095" s="34">
        <v>-3</v>
      </c>
      <c r="VCU4095" s="34">
        <v>-4</v>
      </c>
      <c r="VCV4095" s="34">
        <v>-5</v>
      </c>
      <c r="VCW4095" s="908"/>
      <c r="VCX4095" s="909"/>
      <c r="VCY4095" s="34">
        <v>-5</v>
      </c>
      <c r="VCZ4095" s="34">
        <v>-4.5</v>
      </c>
      <c r="VDA4095" s="34">
        <v>-4</v>
      </c>
      <c r="VDB4095" s="34">
        <v>-3.5</v>
      </c>
      <c r="VDC4095" s="34">
        <v>-3</v>
      </c>
      <c r="VDD4095" s="34">
        <v>-2.5</v>
      </c>
      <c r="VDE4095" s="34">
        <v>-2</v>
      </c>
      <c r="VDF4095" s="34">
        <v>-1.5</v>
      </c>
      <c r="VDG4095" s="34">
        <v>-1</v>
      </c>
      <c r="VDH4095" s="34">
        <v>-0.5</v>
      </c>
      <c r="VDI4095" s="34">
        <v>0</v>
      </c>
      <c r="VDJ4095" s="34">
        <v>0.5</v>
      </c>
      <c r="VDK4095" s="34">
        <v>1</v>
      </c>
      <c r="VDL4095" s="34">
        <v>1.5</v>
      </c>
      <c r="VDM4095" s="34">
        <v>2</v>
      </c>
      <c r="VDN4095" s="34">
        <v>2.5</v>
      </c>
      <c r="VDO4095" s="34">
        <v>3</v>
      </c>
      <c r="VDP4095" s="34">
        <v>3.5</v>
      </c>
      <c r="VDQ4095" s="34">
        <v>4</v>
      </c>
      <c r="VDR4095" s="34">
        <v>4.5</v>
      </c>
      <c r="VDS4095" s="34">
        <v>5</v>
      </c>
      <c r="VDU4095" s="913"/>
      <c r="VDV4095" s="31">
        <v>1</v>
      </c>
      <c r="VDW4095" s="34">
        <v>0</v>
      </c>
      <c r="VDX4095" s="34">
        <v>-1</v>
      </c>
      <c r="VDY4095" s="34">
        <v>-2</v>
      </c>
      <c r="VDZ4095" s="34">
        <v>-3</v>
      </c>
      <c r="VEA4095" s="34">
        <v>-4</v>
      </c>
      <c r="VEB4095" s="34">
        <v>-5</v>
      </c>
      <c r="VEC4095" s="908"/>
      <c r="VED4095" s="909"/>
      <c r="VEE4095" s="34">
        <v>-5</v>
      </c>
      <c r="VEF4095" s="34">
        <v>-4.5</v>
      </c>
      <c r="VEG4095" s="34">
        <v>-4</v>
      </c>
      <c r="VEH4095" s="34">
        <v>-3.5</v>
      </c>
      <c r="VEI4095" s="34">
        <v>-3</v>
      </c>
      <c r="VEJ4095" s="34">
        <v>-2.5</v>
      </c>
      <c r="VEK4095" s="34">
        <v>-2</v>
      </c>
      <c r="VEL4095" s="34">
        <v>-1.5</v>
      </c>
      <c r="VEM4095" s="34">
        <v>-1</v>
      </c>
      <c r="VEN4095" s="34">
        <v>-0.5</v>
      </c>
      <c r="VEO4095" s="34">
        <v>0</v>
      </c>
      <c r="VEP4095" s="34">
        <v>0.5</v>
      </c>
      <c r="VEQ4095" s="34">
        <v>1</v>
      </c>
      <c r="VER4095" s="34">
        <v>1.5</v>
      </c>
      <c r="VES4095" s="34">
        <v>2</v>
      </c>
      <c r="VET4095" s="34">
        <v>2.5</v>
      </c>
      <c r="VEU4095" s="34">
        <v>3</v>
      </c>
      <c r="VEV4095" s="34">
        <v>3.5</v>
      </c>
      <c r="VEW4095" s="34">
        <v>4</v>
      </c>
      <c r="VEX4095" s="34">
        <v>4.5</v>
      </c>
      <c r="VEY4095" s="34">
        <v>5</v>
      </c>
      <c r="VFA4095" s="913"/>
      <c r="VFB4095" s="31">
        <v>1</v>
      </c>
      <c r="VFC4095" s="34">
        <v>0</v>
      </c>
      <c r="VFD4095" s="34">
        <v>-1</v>
      </c>
      <c r="VFE4095" s="34">
        <v>-2</v>
      </c>
      <c r="VFF4095" s="34">
        <v>-3</v>
      </c>
      <c r="VFG4095" s="34">
        <v>-4</v>
      </c>
      <c r="VFH4095" s="34">
        <v>-5</v>
      </c>
      <c r="VFI4095" s="908"/>
      <c r="VFJ4095" s="909"/>
      <c r="VFK4095" s="34">
        <v>-5</v>
      </c>
      <c r="VFL4095" s="34">
        <v>-4.5</v>
      </c>
      <c r="VFM4095" s="34">
        <v>-4</v>
      </c>
      <c r="VFN4095" s="34">
        <v>-3.5</v>
      </c>
      <c r="VFO4095" s="34">
        <v>-3</v>
      </c>
      <c r="VFP4095" s="34">
        <v>-2.5</v>
      </c>
      <c r="VFQ4095" s="34">
        <v>-2</v>
      </c>
      <c r="VFR4095" s="34">
        <v>-1.5</v>
      </c>
      <c r="VFS4095" s="34">
        <v>-1</v>
      </c>
      <c r="VFT4095" s="34">
        <v>-0.5</v>
      </c>
      <c r="VFU4095" s="34">
        <v>0</v>
      </c>
      <c r="VFV4095" s="34">
        <v>0.5</v>
      </c>
      <c r="VFW4095" s="34">
        <v>1</v>
      </c>
      <c r="VFX4095" s="34">
        <v>1.5</v>
      </c>
      <c r="VFY4095" s="34">
        <v>2</v>
      </c>
      <c r="VFZ4095" s="34">
        <v>2.5</v>
      </c>
      <c r="VGA4095" s="34">
        <v>3</v>
      </c>
      <c r="VGB4095" s="34">
        <v>3.5</v>
      </c>
      <c r="VGC4095" s="34">
        <v>4</v>
      </c>
      <c r="VGD4095" s="34">
        <v>4.5</v>
      </c>
      <c r="VGE4095" s="34">
        <v>5</v>
      </c>
      <c r="VGG4095" s="913"/>
      <c r="VGH4095" s="31">
        <v>1</v>
      </c>
      <c r="VGI4095" s="34">
        <v>0</v>
      </c>
      <c r="VGJ4095" s="34">
        <v>-1</v>
      </c>
      <c r="VGK4095" s="34">
        <v>-2</v>
      </c>
      <c r="VGL4095" s="34">
        <v>-3</v>
      </c>
      <c r="VGM4095" s="34">
        <v>-4</v>
      </c>
      <c r="VGN4095" s="34">
        <v>-5</v>
      </c>
      <c r="VGO4095" s="908"/>
      <c r="VGP4095" s="909"/>
      <c r="VGQ4095" s="34">
        <v>-5</v>
      </c>
      <c r="VGR4095" s="34">
        <v>-4.5</v>
      </c>
      <c r="VGS4095" s="34">
        <v>-4</v>
      </c>
      <c r="VGT4095" s="34">
        <v>-3.5</v>
      </c>
      <c r="VGU4095" s="34">
        <v>-3</v>
      </c>
      <c r="VGV4095" s="34">
        <v>-2.5</v>
      </c>
      <c r="VGW4095" s="34">
        <v>-2</v>
      </c>
      <c r="VGX4095" s="34">
        <v>-1.5</v>
      </c>
      <c r="VGY4095" s="34">
        <v>-1</v>
      </c>
      <c r="VGZ4095" s="34">
        <v>-0.5</v>
      </c>
      <c r="VHA4095" s="34">
        <v>0</v>
      </c>
      <c r="VHB4095" s="34">
        <v>0.5</v>
      </c>
      <c r="VHC4095" s="34">
        <v>1</v>
      </c>
      <c r="VHD4095" s="34">
        <v>1.5</v>
      </c>
      <c r="VHE4095" s="34">
        <v>2</v>
      </c>
      <c r="VHF4095" s="34">
        <v>2.5</v>
      </c>
      <c r="VHG4095" s="34">
        <v>3</v>
      </c>
      <c r="VHH4095" s="34">
        <v>3.5</v>
      </c>
      <c r="VHI4095" s="34">
        <v>4</v>
      </c>
      <c r="VHJ4095" s="34">
        <v>4.5</v>
      </c>
      <c r="VHK4095" s="34">
        <v>5</v>
      </c>
      <c r="VHM4095" s="913"/>
      <c r="VHN4095" s="31">
        <v>1</v>
      </c>
      <c r="VHO4095" s="34">
        <v>0</v>
      </c>
      <c r="VHP4095" s="34">
        <v>-1</v>
      </c>
      <c r="VHQ4095" s="34">
        <v>-2</v>
      </c>
      <c r="VHR4095" s="34">
        <v>-3</v>
      </c>
      <c r="VHS4095" s="34">
        <v>-4</v>
      </c>
      <c r="VHT4095" s="34">
        <v>-5</v>
      </c>
      <c r="VHU4095" s="908"/>
      <c r="VHV4095" s="909"/>
      <c r="VHW4095" s="34">
        <v>-5</v>
      </c>
      <c r="VHX4095" s="34">
        <v>-4.5</v>
      </c>
      <c r="VHY4095" s="34">
        <v>-4</v>
      </c>
      <c r="VHZ4095" s="34">
        <v>-3.5</v>
      </c>
      <c r="VIA4095" s="34">
        <v>-3</v>
      </c>
      <c r="VIB4095" s="34">
        <v>-2.5</v>
      </c>
      <c r="VIC4095" s="34">
        <v>-2</v>
      </c>
      <c r="VID4095" s="34">
        <v>-1.5</v>
      </c>
      <c r="VIE4095" s="34">
        <v>-1</v>
      </c>
      <c r="VIF4095" s="34">
        <v>-0.5</v>
      </c>
      <c r="VIG4095" s="34">
        <v>0</v>
      </c>
      <c r="VIH4095" s="34">
        <v>0.5</v>
      </c>
      <c r="VII4095" s="34">
        <v>1</v>
      </c>
      <c r="VIJ4095" s="34">
        <v>1.5</v>
      </c>
      <c r="VIK4095" s="34">
        <v>2</v>
      </c>
      <c r="VIL4095" s="34">
        <v>2.5</v>
      </c>
      <c r="VIM4095" s="34">
        <v>3</v>
      </c>
      <c r="VIN4095" s="34">
        <v>3.5</v>
      </c>
      <c r="VIO4095" s="34">
        <v>4</v>
      </c>
      <c r="VIP4095" s="34">
        <v>4.5</v>
      </c>
      <c r="VIQ4095" s="34">
        <v>5</v>
      </c>
      <c r="VIS4095" s="913"/>
      <c r="VIT4095" s="31">
        <v>1</v>
      </c>
      <c r="VIU4095" s="34">
        <v>0</v>
      </c>
      <c r="VIV4095" s="34">
        <v>-1</v>
      </c>
      <c r="VIW4095" s="34">
        <v>-2</v>
      </c>
      <c r="VIX4095" s="34">
        <v>-3</v>
      </c>
      <c r="VIY4095" s="34">
        <v>-4</v>
      </c>
      <c r="VIZ4095" s="34">
        <v>-5</v>
      </c>
      <c r="VJA4095" s="908"/>
      <c r="VJB4095" s="909"/>
      <c r="VJC4095" s="34">
        <v>-5</v>
      </c>
      <c r="VJD4095" s="34">
        <v>-4.5</v>
      </c>
      <c r="VJE4095" s="34">
        <v>-4</v>
      </c>
      <c r="VJF4095" s="34">
        <v>-3.5</v>
      </c>
      <c r="VJG4095" s="34">
        <v>-3</v>
      </c>
      <c r="VJH4095" s="34">
        <v>-2.5</v>
      </c>
      <c r="VJI4095" s="34">
        <v>-2</v>
      </c>
      <c r="VJJ4095" s="34">
        <v>-1.5</v>
      </c>
      <c r="VJK4095" s="34">
        <v>-1</v>
      </c>
      <c r="VJL4095" s="34">
        <v>-0.5</v>
      </c>
      <c r="VJM4095" s="34">
        <v>0</v>
      </c>
      <c r="VJN4095" s="34">
        <v>0.5</v>
      </c>
      <c r="VJO4095" s="34">
        <v>1</v>
      </c>
      <c r="VJP4095" s="34">
        <v>1.5</v>
      </c>
      <c r="VJQ4095" s="34">
        <v>2</v>
      </c>
      <c r="VJR4095" s="34">
        <v>2.5</v>
      </c>
      <c r="VJS4095" s="34">
        <v>3</v>
      </c>
      <c r="VJT4095" s="34">
        <v>3.5</v>
      </c>
      <c r="VJU4095" s="34">
        <v>4</v>
      </c>
      <c r="VJV4095" s="34">
        <v>4.5</v>
      </c>
      <c r="VJW4095" s="34">
        <v>5</v>
      </c>
      <c r="VJY4095" s="913"/>
      <c r="VJZ4095" s="31">
        <v>1</v>
      </c>
      <c r="VKA4095" s="34">
        <v>0</v>
      </c>
      <c r="VKB4095" s="34">
        <v>-1</v>
      </c>
      <c r="VKC4095" s="34">
        <v>-2</v>
      </c>
      <c r="VKD4095" s="34">
        <v>-3</v>
      </c>
      <c r="VKE4095" s="34">
        <v>-4</v>
      </c>
      <c r="VKF4095" s="34">
        <v>-5</v>
      </c>
      <c r="VKG4095" s="908"/>
      <c r="VKH4095" s="909"/>
      <c r="VKI4095" s="34">
        <v>-5</v>
      </c>
      <c r="VKJ4095" s="34">
        <v>-4.5</v>
      </c>
      <c r="VKK4095" s="34">
        <v>-4</v>
      </c>
      <c r="VKL4095" s="34">
        <v>-3.5</v>
      </c>
      <c r="VKM4095" s="34">
        <v>-3</v>
      </c>
      <c r="VKN4095" s="34">
        <v>-2.5</v>
      </c>
      <c r="VKO4095" s="34">
        <v>-2</v>
      </c>
      <c r="VKP4095" s="34">
        <v>-1.5</v>
      </c>
      <c r="VKQ4095" s="34">
        <v>-1</v>
      </c>
      <c r="VKR4095" s="34">
        <v>-0.5</v>
      </c>
      <c r="VKS4095" s="34">
        <v>0</v>
      </c>
      <c r="VKT4095" s="34">
        <v>0.5</v>
      </c>
      <c r="VKU4095" s="34">
        <v>1</v>
      </c>
      <c r="VKV4095" s="34">
        <v>1.5</v>
      </c>
      <c r="VKW4095" s="34">
        <v>2</v>
      </c>
      <c r="VKX4095" s="34">
        <v>2.5</v>
      </c>
      <c r="VKY4095" s="34">
        <v>3</v>
      </c>
      <c r="VKZ4095" s="34">
        <v>3.5</v>
      </c>
      <c r="VLA4095" s="34">
        <v>4</v>
      </c>
      <c r="VLB4095" s="34">
        <v>4.5</v>
      </c>
      <c r="VLC4095" s="34">
        <v>5</v>
      </c>
      <c r="VLE4095" s="913"/>
      <c r="VLF4095" s="31">
        <v>1</v>
      </c>
      <c r="VLG4095" s="34">
        <v>0</v>
      </c>
      <c r="VLH4095" s="34">
        <v>-1</v>
      </c>
      <c r="VLI4095" s="34">
        <v>-2</v>
      </c>
      <c r="VLJ4095" s="34">
        <v>-3</v>
      </c>
      <c r="VLK4095" s="34">
        <v>-4</v>
      </c>
      <c r="VLL4095" s="34">
        <v>-5</v>
      </c>
      <c r="VLM4095" s="908"/>
      <c r="VLN4095" s="909"/>
      <c r="VLO4095" s="34">
        <v>-5</v>
      </c>
      <c r="VLP4095" s="34">
        <v>-4.5</v>
      </c>
      <c r="VLQ4095" s="34">
        <v>-4</v>
      </c>
      <c r="VLR4095" s="34">
        <v>-3.5</v>
      </c>
      <c r="VLS4095" s="34">
        <v>-3</v>
      </c>
      <c r="VLT4095" s="34">
        <v>-2.5</v>
      </c>
      <c r="VLU4095" s="34">
        <v>-2</v>
      </c>
      <c r="VLV4095" s="34">
        <v>-1.5</v>
      </c>
      <c r="VLW4095" s="34">
        <v>-1</v>
      </c>
      <c r="VLX4095" s="34">
        <v>-0.5</v>
      </c>
      <c r="VLY4095" s="34">
        <v>0</v>
      </c>
      <c r="VLZ4095" s="34">
        <v>0.5</v>
      </c>
      <c r="VMA4095" s="34">
        <v>1</v>
      </c>
      <c r="VMB4095" s="34">
        <v>1.5</v>
      </c>
      <c r="VMC4095" s="34">
        <v>2</v>
      </c>
      <c r="VMD4095" s="34">
        <v>2.5</v>
      </c>
      <c r="VME4095" s="34">
        <v>3</v>
      </c>
      <c r="VMF4095" s="34">
        <v>3.5</v>
      </c>
      <c r="VMG4095" s="34">
        <v>4</v>
      </c>
      <c r="VMH4095" s="34">
        <v>4.5</v>
      </c>
      <c r="VMI4095" s="34">
        <v>5</v>
      </c>
      <c r="VMK4095" s="913"/>
      <c r="VML4095" s="31">
        <v>1</v>
      </c>
      <c r="VMM4095" s="34">
        <v>0</v>
      </c>
      <c r="VMN4095" s="34">
        <v>-1</v>
      </c>
      <c r="VMO4095" s="34">
        <v>-2</v>
      </c>
      <c r="VMP4095" s="34">
        <v>-3</v>
      </c>
      <c r="VMQ4095" s="34">
        <v>-4</v>
      </c>
      <c r="VMR4095" s="34">
        <v>-5</v>
      </c>
      <c r="VMS4095" s="908"/>
      <c r="VMT4095" s="909"/>
      <c r="VMU4095" s="34">
        <v>-5</v>
      </c>
      <c r="VMV4095" s="34">
        <v>-4.5</v>
      </c>
      <c r="VMW4095" s="34">
        <v>-4</v>
      </c>
      <c r="VMX4095" s="34">
        <v>-3.5</v>
      </c>
      <c r="VMY4095" s="34">
        <v>-3</v>
      </c>
      <c r="VMZ4095" s="34">
        <v>-2.5</v>
      </c>
      <c r="VNA4095" s="34">
        <v>-2</v>
      </c>
      <c r="VNB4095" s="34">
        <v>-1.5</v>
      </c>
      <c r="VNC4095" s="34">
        <v>-1</v>
      </c>
      <c r="VND4095" s="34">
        <v>-0.5</v>
      </c>
      <c r="VNE4095" s="34">
        <v>0</v>
      </c>
      <c r="VNF4095" s="34">
        <v>0.5</v>
      </c>
      <c r="VNG4095" s="34">
        <v>1</v>
      </c>
      <c r="VNH4095" s="34">
        <v>1.5</v>
      </c>
      <c r="VNI4095" s="34">
        <v>2</v>
      </c>
      <c r="VNJ4095" s="34">
        <v>2.5</v>
      </c>
      <c r="VNK4095" s="34">
        <v>3</v>
      </c>
      <c r="VNL4095" s="34">
        <v>3.5</v>
      </c>
      <c r="VNM4095" s="34">
        <v>4</v>
      </c>
      <c r="VNN4095" s="34">
        <v>4.5</v>
      </c>
      <c r="VNO4095" s="34">
        <v>5</v>
      </c>
      <c r="VNQ4095" s="913"/>
      <c r="VNR4095" s="31">
        <v>1</v>
      </c>
      <c r="VNS4095" s="34">
        <v>0</v>
      </c>
      <c r="VNT4095" s="34">
        <v>-1</v>
      </c>
      <c r="VNU4095" s="34">
        <v>-2</v>
      </c>
      <c r="VNV4095" s="34">
        <v>-3</v>
      </c>
      <c r="VNW4095" s="34">
        <v>-4</v>
      </c>
      <c r="VNX4095" s="34">
        <v>-5</v>
      </c>
      <c r="VNY4095" s="908"/>
      <c r="VNZ4095" s="909"/>
      <c r="VOA4095" s="34">
        <v>-5</v>
      </c>
      <c r="VOB4095" s="34">
        <v>-4.5</v>
      </c>
      <c r="VOC4095" s="34">
        <v>-4</v>
      </c>
      <c r="VOD4095" s="34">
        <v>-3.5</v>
      </c>
      <c r="VOE4095" s="34">
        <v>-3</v>
      </c>
      <c r="VOF4095" s="34">
        <v>-2.5</v>
      </c>
      <c r="VOG4095" s="34">
        <v>-2</v>
      </c>
      <c r="VOH4095" s="34">
        <v>-1.5</v>
      </c>
      <c r="VOI4095" s="34">
        <v>-1</v>
      </c>
      <c r="VOJ4095" s="34">
        <v>-0.5</v>
      </c>
      <c r="VOK4095" s="34">
        <v>0</v>
      </c>
      <c r="VOL4095" s="34">
        <v>0.5</v>
      </c>
      <c r="VOM4095" s="34">
        <v>1</v>
      </c>
      <c r="VON4095" s="34">
        <v>1.5</v>
      </c>
      <c r="VOO4095" s="34">
        <v>2</v>
      </c>
      <c r="VOP4095" s="34">
        <v>2.5</v>
      </c>
      <c r="VOQ4095" s="34">
        <v>3</v>
      </c>
      <c r="VOR4095" s="34">
        <v>3.5</v>
      </c>
      <c r="VOS4095" s="34">
        <v>4</v>
      </c>
      <c r="VOT4095" s="34">
        <v>4.5</v>
      </c>
      <c r="VOU4095" s="34">
        <v>5</v>
      </c>
      <c r="VOW4095" s="913"/>
      <c r="VOX4095" s="31">
        <v>1</v>
      </c>
      <c r="VOY4095" s="34">
        <v>0</v>
      </c>
      <c r="VOZ4095" s="34">
        <v>-1</v>
      </c>
      <c r="VPA4095" s="34">
        <v>-2</v>
      </c>
      <c r="VPB4095" s="34">
        <v>-3</v>
      </c>
      <c r="VPC4095" s="34">
        <v>-4</v>
      </c>
      <c r="VPD4095" s="34">
        <v>-5</v>
      </c>
      <c r="VPE4095" s="908"/>
      <c r="VPF4095" s="909"/>
      <c r="VPG4095" s="34">
        <v>-5</v>
      </c>
      <c r="VPH4095" s="34">
        <v>-4.5</v>
      </c>
      <c r="VPI4095" s="34">
        <v>-4</v>
      </c>
      <c r="VPJ4095" s="34">
        <v>-3.5</v>
      </c>
      <c r="VPK4095" s="34">
        <v>-3</v>
      </c>
      <c r="VPL4095" s="34">
        <v>-2.5</v>
      </c>
      <c r="VPM4095" s="34">
        <v>-2</v>
      </c>
      <c r="VPN4095" s="34">
        <v>-1.5</v>
      </c>
      <c r="VPO4095" s="34">
        <v>-1</v>
      </c>
      <c r="VPP4095" s="34">
        <v>-0.5</v>
      </c>
      <c r="VPQ4095" s="34">
        <v>0</v>
      </c>
      <c r="VPR4095" s="34">
        <v>0.5</v>
      </c>
      <c r="VPS4095" s="34">
        <v>1</v>
      </c>
      <c r="VPT4095" s="34">
        <v>1.5</v>
      </c>
      <c r="VPU4095" s="34">
        <v>2</v>
      </c>
      <c r="VPV4095" s="34">
        <v>2.5</v>
      </c>
      <c r="VPW4095" s="34">
        <v>3</v>
      </c>
      <c r="VPX4095" s="34">
        <v>3.5</v>
      </c>
      <c r="VPY4095" s="34">
        <v>4</v>
      </c>
      <c r="VPZ4095" s="34">
        <v>4.5</v>
      </c>
      <c r="VQA4095" s="34">
        <v>5</v>
      </c>
      <c r="VQC4095" s="913"/>
      <c r="VQD4095" s="31">
        <v>1</v>
      </c>
      <c r="VQE4095" s="34">
        <v>0</v>
      </c>
      <c r="VQF4095" s="34">
        <v>-1</v>
      </c>
      <c r="VQG4095" s="34">
        <v>-2</v>
      </c>
      <c r="VQH4095" s="34">
        <v>-3</v>
      </c>
      <c r="VQI4095" s="34">
        <v>-4</v>
      </c>
      <c r="VQJ4095" s="34">
        <v>-5</v>
      </c>
      <c r="VQK4095" s="908"/>
      <c r="VQL4095" s="909"/>
      <c r="VQM4095" s="34">
        <v>-5</v>
      </c>
      <c r="VQN4095" s="34">
        <v>-4.5</v>
      </c>
      <c r="VQO4095" s="34">
        <v>-4</v>
      </c>
      <c r="VQP4095" s="34">
        <v>-3.5</v>
      </c>
      <c r="VQQ4095" s="34">
        <v>-3</v>
      </c>
      <c r="VQR4095" s="34">
        <v>-2.5</v>
      </c>
      <c r="VQS4095" s="34">
        <v>-2</v>
      </c>
      <c r="VQT4095" s="34">
        <v>-1.5</v>
      </c>
      <c r="VQU4095" s="34">
        <v>-1</v>
      </c>
      <c r="VQV4095" s="34">
        <v>-0.5</v>
      </c>
      <c r="VQW4095" s="34">
        <v>0</v>
      </c>
      <c r="VQX4095" s="34">
        <v>0.5</v>
      </c>
      <c r="VQY4095" s="34">
        <v>1</v>
      </c>
      <c r="VQZ4095" s="34">
        <v>1.5</v>
      </c>
      <c r="VRA4095" s="34">
        <v>2</v>
      </c>
      <c r="VRB4095" s="34">
        <v>2.5</v>
      </c>
      <c r="VRC4095" s="34">
        <v>3</v>
      </c>
      <c r="VRD4095" s="34">
        <v>3.5</v>
      </c>
      <c r="VRE4095" s="34">
        <v>4</v>
      </c>
      <c r="VRF4095" s="34">
        <v>4.5</v>
      </c>
      <c r="VRG4095" s="34">
        <v>5</v>
      </c>
      <c r="VRI4095" s="913"/>
      <c r="VRJ4095" s="31">
        <v>1</v>
      </c>
      <c r="VRK4095" s="34">
        <v>0</v>
      </c>
      <c r="VRL4095" s="34">
        <v>-1</v>
      </c>
      <c r="VRM4095" s="34">
        <v>-2</v>
      </c>
      <c r="VRN4095" s="34">
        <v>-3</v>
      </c>
      <c r="VRO4095" s="34">
        <v>-4</v>
      </c>
      <c r="VRP4095" s="34">
        <v>-5</v>
      </c>
      <c r="VRQ4095" s="908"/>
      <c r="VRR4095" s="909"/>
      <c r="VRS4095" s="34">
        <v>-5</v>
      </c>
      <c r="VRT4095" s="34">
        <v>-4.5</v>
      </c>
      <c r="VRU4095" s="34">
        <v>-4</v>
      </c>
      <c r="VRV4095" s="34">
        <v>-3.5</v>
      </c>
      <c r="VRW4095" s="34">
        <v>-3</v>
      </c>
      <c r="VRX4095" s="34">
        <v>-2.5</v>
      </c>
      <c r="VRY4095" s="34">
        <v>-2</v>
      </c>
      <c r="VRZ4095" s="34">
        <v>-1.5</v>
      </c>
      <c r="VSA4095" s="34">
        <v>-1</v>
      </c>
      <c r="VSB4095" s="34">
        <v>-0.5</v>
      </c>
      <c r="VSC4095" s="34">
        <v>0</v>
      </c>
      <c r="VSD4095" s="34">
        <v>0.5</v>
      </c>
      <c r="VSE4095" s="34">
        <v>1</v>
      </c>
      <c r="VSF4095" s="34">
        <v>1.5</v>
      </c>
      <c r="VSG4095" s="34">
        <v>2</v>
      </c>
      <c r="VSH4095" s="34">
        <v>2.5</v>
      </c>
      <c r="VSI4095" s="34">
        <v>3</v>
      </c>
      <c r="VSJ4095" s="34">
        <v>3.5</v>
      </c>
      <c r="VSK4095" s="34">
        <v>4</v>
      </c>
      <c r="VSL4095" s="34">
        <v>4.5</v>
      </c>
      <c r="VSM4095" s="34">
        <v>5</v>
      </c>
      <c r="VSO4095" s="913"/>
      <c r="VSP4095" s="31">
        <v>1</v>
      </c>
      <c r="VSQ4095" s="34">
        <v>0</v>
      </c>
      <c r="VSR4095" s="34">
        <v>-1</v>
      </c>
      <c r="VSS4095" s="34">
        <v>-2</v>
      </c>
      <c r="VST4095" s="34">
        <v>-3</v>
      </c>
      <c r="VSU4095" s="34">
        <v>-4</v>
      </c>
      <c r="VSV4095" s="34">
        <v>-5</v>
      </c>
      <c r="VSW4095" s="908"/>
      <c r="VSX4095" s="909"/>
      <c r="VSY4095" s="34">
        <v>-5</v>
      </c>
      <c r="VSZ4095" s="34">
        <v>-4.5</v>
      </c>
      <c r="VTA4095" s="34">
        <v>-4</v>
      </c>
      <c r="VTB4095" s="34">
        <v>-3.5</v>
      </c>
      <c r="VTC4095" s="34">
        <v>-3</v>
      </c>
      <c r="VTD4095" s="34">
        <v>-2.5</v>
      </c>
      <c r="VTE4095" s="34">
        <v>-2</v>
      </c>
      <c r="VTF4095" s="34">
        <v>-1.5</v>
      </c>
      <c r="VTG4095" s="34">
        <v>-1</v>
      </c>
      <c r="VTH4095" s="34">
        <v>-0.5</v>
      </c>
      <c r="VTI4095" s="34">
        <v>0</v>
      </c>
      <c r="VTJ4095" s="34">
        <v>0.5</v>
      </c>
      <c r="VTK4095" s="34">
        <v>1</v>
      </c>
      <c r="VTL4095" s="34">
        <v>1.5</v>
      </c>
      <c r="VTM4095" s="34">
        <v>2</v>
      </c>
      <c r="VTN4095" s="34">
        <v>2.5</v>
      </c>
      <c r="VTO4095" s="34">
        <v>3</v>
      </c>
      <c r="VTP4095" s="34">
        <v>3.5</v>
      </c>
      <c r="VTQ4095" s="34">
        <v>4</v>
      </c>
      <c r="VTR4095" s="34">
        <v>4.5</v>
      </c>
      <c r="VTS4095" s="34">
        <v>5</v>
      </c>
      <c r="VTU4095" s="913"/>
      <c r="VTV4095" s="31">
        <v>1</v>
      </c>
      <c r="VTW4095" s="34">
        <v>0</v>
      </c>
      <c r="VTX4095" s="34">
        <v>-1</v>
      </c>
      <c r="VTY4095" s="34">
        <v>-2</v>
      </c>
      <c r="VTZ4095" s="34">
        <v>-3</v>
      </c>
      <c r="VUA4095" s="34">
        <v>-4</v>
      </c>
      <c r="VUB4095" s="34">
        <v>-5</v>
      </c>
      <c r="VUC4095" s="908"/>
      <c r="VUD4095" s="909"/>
      <c r="VUE4095" s="34">
        <v>-5</v>
      </c>
      <c r="VUF4095" s="34">
        <v>-4.5</v>
      </c>
      <c r="VUG4095" s="34">
        <v>-4</v>
      </c>
      <c r="VUH4095" s="34">
        <v>-3.5</v>
      </c>
      <c r="VUI4095" s="34">
        <v>-3</v>
      </c>
      <c r="VUJ4095" s="34">
        <v>-2.5</v>
      </c>
      <c r="VUK4095" s="34">
        <v>-2</v>
      </c>
      <c r="VUL4095" s="34">
        <v>-1.5</v>
      </c>
      <c r="VUM4095" s="34">
        <v>-1</v>
      </c>
      <c r="VUN4095" s="34">
        <v>-0.5</v>
      </c>
      <c r="VUO4095" s="34">
        <v>0</v>
      </c>
      <c r="VUP4095" s="34">
        <v>0.5</v>
      </c>
      <c r="VUQ4095" s="34">
        <v>1</v>
      </c>
      <c r="VUR4095" s="34">
        <v>1.5</v>
      </c>
      <c r="VUS4095" s="34">
        <v>2</v>
      </c>
      <c r="VUT4095" s="34">
        <v>2.5</v>
      </c>
      <c r="VUU4095" s="34">
        <v>3</v>
      </c>
      <c r="VUV4095" s="34">
        <v>3.5</v>
      </c>
      <c r="VUW4095" s="34">
        <v>4</v>
      </c>
      <c r="VUX4095" s="34">
        <v>4.5</v>
      </c>
      <c r="VUY4095" s="34">
        <v>5</v>
      </c>
      <c r="VVA4095" s="913"/>
      <c r="VVB4095" s="31">
        <v>1</v>
      </c>
      <c r="VVC4095" s="34">
        <v>0</v>
      </c>
      <c r="VVD4095" s="34">
        <v>-1</v>
      </c>
      <c r="VVE4095" s="34">
        <v>-2</v>
      </c>
      <c r="VVF4095" s="34">
        <v>-3</v>
      </c>
      <c r="VVG4095" s="34">
        <v>-4</v>
      </c>
      <c r="VVH4095" s="34">
        <v>-5</v>
      </c>
      <c r="VVI4095" s="908"/>
      <c r="VVJ4095" s="909"/>
      <c r="VVK4095" s="34">
        <v>-5</v>
      </c>
      <c r="VVL4095" s="34">
        <v>-4.5</v>
      </c>
      <c r="VVM4095" s="34">
        <v>-4</v>
      </c>
      <c r="VVN4095" s="34">
        <v>-3.5</v>
      </c>
      <c r="VVO4095" s="34">
        <v>-3</v>
      </c>
      <c r="VVP4095" s="34">
        <v>-2.5</v>
      </c>
      <c r="VVQ4095" s="34">
        <v>-2</v>
      </c>
      <c r="VVR4095" s="34">
        <v>-1.5</v>
      </c>
      <c r="VVS4095" s="34">
        <v>-1</v>
      </c>
      <c r="VVT4095" s="34">
        <v>-0.5</v>
      </c>
      <c r="VVU4095" s="34">
        <v>0</v>
      </c>
      <c r="VVV4095" s="34">
        <v>0.5</v>
      </c>
      <c r="VVW4095" s="34">
        <v>1</v>
      </c>
      <c r="VVX4095" s="34">
        <v>1.5</v>
      </c>
      <c r="VVY4095" s="34">
        <v>2</v>
      </c>
      <c r="VVZ4095" s="34">
        <v>2.5</v>
      </c>
      <c r="VWA4095" s="34">
        <v>3</v>
      </c>
      <c r="VWB4095" s="34">
        <v>3.5</v>
      </c>
      <c r="VWC4095" s="34">
        <v>4</v>
      </c>
      <c r="VWD4095" s="34">
        <v>4.5</v>
      </c>
      <c r="VWE4095" s="34">
        <v>5</v>
      </c>
      <c r="VWG4095" s="913"/>
      <c r="VWH4095" s="31">
        <v>1</v>
      </c>
      <c r="VWI4095" s="34">
        <v>0</v>
      </c>
      <c r="VWJ4095" s="34">
        <v>-1</v>
      </c>
      <c r="VWK4095" s="34">
        <v>-2</v>
      </c>
      <c r="VWL4095" s="34">
        <v>-3</v>
      </c>
      <c r="VWM4095" s="34">
        <v>-4</v>
      </c>
      <c r="VWN4095" s="34">
        <v>-5</v>
      </c>
      <c r="VWO4095" s="908"/>
      <c r="VWP4095" s="909"/>
      <c r="VWQ4095" s="34">
        <v>-5</v>
      </c>
      <c r="VWR4095" s="34">
        <v>-4.5</v>
      </c>
      <c r="VWS4095" s="34">
        <v>-4</v>
      </c>
      <c r="VWT4095" s="34">
        <v>-3.5</v>
      </c>
      <c r="VWU4095" s="34">
        <v>-3</v>
      </c>
      <c r="VWV4095" s="34">
        <v>-2.5</v>
      </c>
      <c r="VWW4095" s="34">
        <v>-2</v>
      </c>
      <c r="VWX4095" s="34">
        <v>-1.5</v>
      </c>
      <c r="VWY4095" s="34">
        <v>-1</v>
      </c>
      <c r="VWZ4095" s="34">
        <v>-0.5</v>
      </c>
      <c r="VXA4095" s="34">
        <v>0</v>
      </c>
      <c r="VXB4095" s="34">
        <v>0.5</v>
      </c>
      <c r="VXC4095" s="34">
        <v>1</v>
      </c>
      <c r="VXD4095" s="34">
        <v>1.5</v>
      </c>
      <c r="VXE4095" s="34">
        <v>2</v>
      </c>
      <c r="VXF4095" s="34">
        <v>2.5</v>
      </c>
      <c r="VXG4095" s="34">
        <v>3</v>
      </c>
      <c r="VXH4095" s="34">
        <v>3.5</v>
      </c>
      <c r="VXI4095" s="34">
        <v>4</v>
      </c>
      <c r="VXJ4095" s="34">
        <v>4.5</v>
      </c>
      <c r="VXK4095" s="34">
        <v>5</v>
      </c>
      <c r="VXM4095" s="913"/>
      <c r="VXN4095" s="31">
        <v>1</v>
      </c>
      <c r="VXO4095" s="34">
        <v>0</v>
      </c>
      <c r="VXP4095" s="34">
        <v>-1</v>
      </c>
      <c r="VXQ4095" s="34">
        <v>-2</v>
      </c>
      <c r="VXR4095" s="34">
        <v>-3</v>
      </c>
      <c r="VXS4095" s="34">
        <v>-4</v>
      </c>
      <c r="VXT4095" s="34">
        <v>-5</v>
      </c>
      <c r="VXU4095" s="908"/>
      <c r="VXV4095" s="909"/>
      <c r="VXW4095" s="34">
        <v>-5</v>
      </c>
      <c r="VXX4095" s="34">
        <v>-4.5</v>
      </c>
      <c r="VXY4095" s="34">
        <v>-4</v>
      </c>
      <c r="VXZ4095" s="34">
        <v>-3.5</v>
      </c>
      <c r="VYA4095" s="34">
        <v>-3</v>
      </c>
      <c r="VYB4095" s="34">
        <v>-2.5</v>
      </c>
      <c r="VYC4095" s="34">
        <v>-2</v>
      </c>
      <c r="VYD4095" s="34">
        <v>-1.5</v>
      </c>
      <c r="VYE4095" s="34">
        <v>-1</v>
      </c>
      <c r="VYF4095" s="34">
        <v>-0.5</v>
      </c>
      <c r="VYG4095" s="34">
        <v>0</v>
      </c>
      <c r="VYH4095" s="34">
        <v>0.5</v>
      </c>
      <c r="VYI4095" s="34">
        <v>1</v>
      </c>
      <c r="VYJ4095" s="34">
        <v>1.5</v>
      </c>
      <c r="VYK4095" s="34">
        <v>2</v>
      </c>
      <c r="VYL4095" s="34">
        <v>2.5</v>
      </c>
      <c r="VYM4095" s="34">
        <v>3</v>
      </c>
      <c r="VYN4095" s="34">
        <v>3.5</v>
      </c>
      <c r="VYO4095" s="34">
        <v>4</v>
      </c>
      <c r="VYP4095" s="34">
        <v>4.5</v>
      </c>
      <c r="VYQ4095" s="34">
        <v>5</v>
      </c>
      <c r="VYS4095" s="913"/>
      <c r="VYT4095" s="31">
        <v>1</v>
      </c>
      <c r="VYU4095" s="34">
        <v>0</v>
      </c>
      <c r="VYV4095" s="34">
        <v>-1</v>
      </c>
      <c r="VYW4095" s="34">
        <v>-2</v>
      </c>
      <c r="VYX4095" s="34">
        <v>-3</v>
      </c>
      <c r="VYY4095" s="34">
        <v>-4</v>
      </c>
      <c r="VYZ4095" s="34">
        <v>-5</v>
      </c>
      <c r="VZA4095" s="908"/>
      <c r="VZB4095" s="909"/>
      <c r="VZC4095" s="34">
        <v>-5</v>
      </c>
      <c r="VZD4095" s="34">
        <v>-4.5</v>
      </c>
      <c r="VZE4095" s="34">
        <v>-4</v>
      </c>
      <c r="VZF4095" s="34">
        <v>-3.5</v>
      </c>
      <c r="VZG4095" s="34">
        <v>-3</v>
      </c>
      <c r="VZH4095" s="34">
        <v>-2.5</v>
      </c>
      <c r="VZI4095" s="34">
        <v>-2</v>
      </c>
      <c r="VZJ4095" s="34">
        <v>-1.5</v>
      </c>
      <c r="VZK4095" s="34">
        <v>-1</v>
      </c>
      <c r="VZL4095" s="34">
        <v>-0.5</v>
      </c>
      <c r="VZM4095" s="34">
        <v>0</v>
      </c>
      <c r="VZN4095" s="34">
        <v>0.5</v>
      </c>
      <c r="VZO4095" s="34">
        <v>1</v>
      </c>
      <c r="VZP4095" s="34">
        <v>1.5</v>
      </c>
      <c r="VZQ4095" s="34">
        <v>2</v>
      </c>
      <c r="VZR4095" s="34">
        <v>2.5</v>
      </c>
      <c r="VZS4095" s="34">
        <v>3</v>
      </c>
      <c r="VZT4095" s="34">
        <v>3.5</v>
      </c>
      <c r="VZU4095" s="34">
        <v>4</v>
      </c>
      <c r="VZV4095" s="34">
        <v>4.5</v>
      </c>
      <c r="VZW4095" s="34">
        <v>5</v>
      </c>
      <c r="VZY4095" s="913"/>
      <c r="VZZ4095" s="31">
        <v>1</v>
      </c>
      <c r="WAA4095" s="34">
        <v>0</v>
      </c>
      <c r="WAB4095" s="34">
        <v>-1</v>
      </c>
      <c r="WAC4095" s="34">
        <v>-2</v>
      </c>
      <c r="WAD4095" s="34">
        <v>-3</v>
      </c>
      <c r="WAE4095" s="34">
        <v>-4</v>
      </c>
      <c r="WAF4095" s="34">
        <v>-5</v>
      </c>
      <c r="WAG4095" s="908"/>
      <c r="WAH4095" s="909"/>
      <c r="WAI4095" s="34">
        <v>-5</v>
      </c>
      <c r="WAJ4095" s="34">
        <v>-4.5</v>
      </c>
      <c r="WAK4095" s="34">
        <v>-4</v>
      </c>
      <c r="WAL4095" s="34">
        <v>-3.5</v>
      </c>
      <c r="WAM4095" s="34">
        <v>-3</v>
      </c>
      <c r="WAN4095" s="34">
        <v>-2.5</v>
      </c>
      <c r="WAO4095" s="34">
        <v>-2</v>
      </c>
      <c r="WAP4095" s="34">
        <v>-1.5</v>
      </c>
      <c r="WAQ4095" s="34">
        <v>-1</v>
      </c>
      <c r="WAR4095" s="34">
        <v>-0.5</v>
      </c>
      <c r="WAS4095" s="34">
        <v>0</v>
      </c>
      <c r="WAT4095" s="34">
        <v>0.5</v>
      </c>
      <c r="WAU4095" s="34">
        <v>1</v>
      </c>
      <c r="WAV4095" s="34">
        <v>1.5</v>
      </c>
      <c r="WAW4095" s="34">
        <v>2</v>
      </c>
      <c r="WAX4095" s="34">
        <v>2.5</v>
      </c>
      <c r="WAY4095" s="34">
        <v>3</v>
      </c>
      <c r="WAZ4095" s="34">
        <v>3.5</v>
      </c>
      <c r="WBA4095" s="34">
        <v>4</v>
      </c>
      <c r="WBB4095" s="34">
        <v>4.5</v>
      </c>
      <c r="WBC4095" s="34">
        <v>5</v>
      </c>
      <c r="WBE4095" s="913"/>
      <c r="WBF4095" s="31">
        <v>1</v>
      </c>
      <c r="WBG4095" s="34">
        <v>0</v>
      </c>
      <c r="WBH4095" s="34">
        <v>-1</v>
      </c>
      <c r="WBI4095" s="34">
        <v>-2</v>
      </c>
      <c r="WBJ4095" s="34">
        <v>-3</v>
      </c>
      <c r="WBK4095" s="34">
        <v>-4</v>
      </c>
      <c r="WBL4095" s="34">
        <v>-5</v>
      </c>
      <c r="WBM4095" s="908"/>
      <c r="WBN4095" s="909"/>
      <c r="WBO4095" s="34">
        <v>-5</v>
      </c>
      <c r="WBP4095" s="34">
        <v>-4.5</v>
      </c>
      <c r="WBQ4095" s="34">
        <v>-4</v>
      </c>
      <c r="WBR4095" s="34">
        <v>-3.5</v>
      </c>
      <c r="WBS4095" s="34">
        <v>-3</v>
      </c>
      <c r="WBT4095" s="34">
        <v>-2.5</v>
      </c>
      <c r="WBU4095" s="34">
        <v>-2</v>
      </c>
      <c r="WBV4095" s="34">
        <v>-1.5</v>
      </c>
      <c r="WBW4095" s="34">
        <v>-1</v>
      </c>
      <c r="WBX4095" s="34">
        <v>-0.5</v>
      </c>
      <c r="WBY4095" s="34">
        <v>0</v>
      </c>
      <c r="WBZ4095" s="34">
        <v>0.5</v>
      </c>
      <c r="WCA4095" s="34">
        <v>1</v>
      </c>
      <c r="WCB4095" s="34">
        <v>1.5</v>
      </c>
      <c r="WCC4095" s="34">
        <v>2</v>
      </c>
      <c r="WCD4095" s="34">
        <v>2.5</v>
      </c>
      <c r="WCE4095" s="34">
        <v>3</v>
      </c>
      <c r="WCF4095" s="34">
        <v>3.5</v>
      </c>
      <c r="WCG4095" s="34">
        <v>4</v>
      </c>
      <c r="WCH4095" s="34">
        <v>4.5</v>
      </c>
      <c r="WCI4095" s="34">
        <v>5</v>
      </c>
      <c r="WCK4095" s="913"/>
      <c r="WCL4095" s="31">
        <v>1</v>
      </c>
      <c r="WCM4095" s="34">
        <v>0</v>
      </c>
      <c r="WCN4095" s="34">
        <v>-1</v>
      </c>
      <c r="WCO4095" s="34">
        <v>-2</v>
      </c>
      <c r="WCP4095" s="34">
        <v>-3</v>
      </c>
      <c r="WCQ4095" s="34">
        <v>-4</v>
      </c>
      <c r="WCR4095" s="34">
        <v>-5</v>
      </c>
      <c r="WCS4095" s="908"/>
      <c r="WCT4095" s="909"/>
      <c r="WCU4095" s="34">
        <v>-5</v>
      </c>
      <c r="WCV4095" s="34">
        <v>-4.5</v>
      </c>
      <c r="WCW4095" s="34">
        <v>-4</v>
      </c>
      <c r="WCX4095" s="34">
        <v>-3.5</v>
      </c>
      <c r="WCY4095" s="34">
        <v>-3</v>
      </c>
      <c r="WCZ4095" s="34">
        <v>-2.5</v>
      </c>
      <c r="WDA4095" s="34">
        <v>-2</v>
      </c>
      <c r="WDB4095" s="34">
        <v>-1.5</v>
      </c>
      <c r="WDC4095" s="34">
        <v>-1</v>
      </c>
      <c r="WDD4095" s="34">
        <v>-0.5</v>
      </c>
      <c r="WDE4095" s="34">
        <v>0</v>
      </c>
      <c r="WDF4095" s="34">
        <v>0.5</v>
      </c>
      <c r="WDG4095" s="34">
        <v>1</v>
      </c>
      <c r="WDH4095" s="34">
        <v>1.5</v>
      </c>
      <c r="WDI4095" s="34">
        <v>2</v>
      </c>
      <c r="WDJ4095" s="34">
        <v>2.5</v>
      </c>
      <c r="WDK4095" s="34">
        <v>3</v>
      </c>
      <c r="WDL4095" s="34">
        <v>3.5</v>
      </c>
      <c r="WDM4095" s="34">
        <v>4</v>
      </c>
      <c r="WDN4095" s="34">
        <v>4.5</v>
      </c>
      <c r="WDO4095" s="34">
        <v>5</v>
      </c>
      <c r="WDQ4095" s="913"/>
      <c r="WDR4095" s="31">
        <v>1</v>
      </c>
      <c r="WDS4095" s="34">
        <v>0</v>
      </c>
      <c r="WDT4095" s="34">
        <v>-1</v>
      </c>
      <c r="WDU4095" s="34">
        <v>-2</v>
      </c>
      <c r="WDV4095" s="34">
        <v>-3</v>
      </c>
      <c r="WDW4095" s="34">
        <v>-4</v>
      </c>
      <c r="WDX4095" s="34">
        <v>-5</v>
      </c>
      <c r="WDY4095" s="908"/>
      <c r="WDZ4095" s="909"/>
      <c r="WEA4095" s="34">
        <v>-5</v>
      </c>
      <c r="WEB4095" s="34">
        <v>-4.5</v>
      </c>
      <c r="WEC4095" s="34">
        <v>-4</v>
      </c>
      <c r="WED4095" s="34">
        <v>-3.5</v>
      </c>
      <c r="WEE4095" s="34">
        <v>-3</v>
      </c>
      <c r="WEF4095" s="34">
        <v>-2.5</v>
      </c>
      <c r="WEG4095" s="34">
        <v>-2</v>
      </c>
      <c r="WEH4095" s="34">
        <v>-1.5</v>
      </c>
      <c r="WEI4095" s="34">
        <v>-1</v>
      </c>
      <c r="WEJ4095" s="34">
        <v>-0.5</v>
      </c>
      <c r="WEK4095" s="34">
        <v>0</v>
      </c>
      <c r="WEL4095" s="34">
        <v>0.5</v>
      </c>
      <c r="WEM4095" s="34">
        <v>1</v>
      </c>
      <c r="WEN4095" s="34">
        <v>1.5</v>
      </c>
      <c r="WEO4095" s="34">
        <v>2</v>
      </c>
      <c r="WEP4095" s="34">
        <v>2.5</v>
      </c>
      <c r="WEQ4095" s="34">
        <v>3</v>
      </c>
      <c r="WER4095" s="34">
        <v>3.5</v>
      </c>
      <c r="WES4095" s="34">
        <v>4</v>
      </c>
      <c r="WET4095" s="34">
        <v>4.5</v>
      </c>
      <c r="WEU4095" s="34">
        <v>5</v>
      </c>
      <c r="WEW4095" s="913"/>
      <c r="WEX4095" s="31">
        <v>1</v>
      </c>
      <c r="WEY4095" s="34">
        <v>0</v>
      </c>
      <c r="WEZ4095" s="34">
        <v>-1</v>
      </c>
      <c r="WFA4095" s="34">
        <v>-2</v>
      </c>
      <c r="WFB4095" s="34">
        <v>-3</v>
      </c>
      <c r="WFC4095" s="34">
        <v>-4</v>
      </c>
      <c r="WFD4095" s="34">
        <v>-5</v>
      </c>
      <c r="WFE4095" s="908"/>
      <c r="WFF4095" s="909"/>
      <c r="WFG4095" s="34">
        <v>-5</v>
      </c>
      <c r="WFH4095" s="34">
        <v>-4.5</v>
      </c>
      <c r="WFI4095" s="34">
        <v>-4</v>
      </c>
      <c r="WFJ4095" s="34">
        <v>-3.5</v>
      </c>
      <c r="WFK4095" s="34">
        <v>-3</v>
      </c>
      <c r="WFL4095" s="34">
        <v>-2.5</v>
      </c>
      <c r="WFM4095" s="34">
        <v>-2</v>
      </c>
      <c r="WFN4095" s="34">
        <v>-1.5</v>
      </c>
      <c r="WFO4095" s="34">
        <v>-1</v>
      </c>
      <c r="WFP4095" s="34">
        <v>-0.5</v>
      </c>
      <c r="WFQ4095" s="34">
        <v>0</v>
      </c>
      <c r="WFR4095" s="34">
        <v>0.5</v>
      </c>
      <c r="WFS4095" s="34">
        <v>1</v>
      </c>
      <c r="WFT4095" s="34">
        <v>1.5</v>
      </c>
      <c r="WFU4095" s="34">
        <v>2</v>
      </c>
      <c r="WFV4095" s="34">
        <v>2.5</v>
      </c>
      <c r="WFW4095" s="34">
        <v>3</v>
      </c>
      <c r="WFX4095" s="34">
        <v>3.5</v>
      </c>
      <c r="WFY4095" s="34">
        <v>4</v>
      </c>
      <c r="WFZ4095" s="34">
        <v>4.5</v>
      </c>
      <c r="WGA4095" s="34">
        <v>5</v>
      </c>
      <c r="WGC4095" s="913"/>
      <c r="WGD4095" s="31">
        <v>1</v>
      </c>
      <c r="WGE4095" s="34">
        <v>0</v>
      </c>
      <c r="WGF4095" s="34">
        <v>-1</v>
      </c>
      <c r="WGG4095" s="34">
        <v>-2</v>
      </c>
      <c r="WGH4095" s="34">
        <v>-3</v>
      </c>
      <c r="WGI4095" s="34">
        <v>-4</v>
      </c>
      <c r="WGJ4095" s="34">
        <v>-5</v>
      </c>
      <c r="WGK4095" s="908"/>
      <c r="WGL4095" s="909"/>
      <c r="WGM4095" s="34">
        <v>-5</v>
      </c>
      <c r="WGN4095" s="34">
        <v>-4.5</v>
      </c>
      <c r="WGO4095" s="34">
        <v>-4</v>
      </c>
      <c r="WGP4095" s="34">
        <v>-3.5</v>
      </c>
      <c r="WGQ4095" s="34">
        <v>-3</v>
      </c>
      <c r="WGR4095" s="34">
        <v>-2.5</v>
      </c>
      <c r="WGS4095" s="34">
        <v>-2</v>
      </c>
      <c r="WGT4095" s="34">
        <v>-1.5</v>
      </c>
      <c r="WGU4095" s="34">
        <v>-1</v>
      </c>
      <c r="WGV4095" s="34">
        <v>-0.5</v>
      </c>
      <c r="WGW4095" s="34">
        <v>0</v>
      </c>
      <c r="WGX4095" s="34">
        <v>0.5</v>
      </c>
      <c r="WGY4095" s="34">
        <v>1</v>
      </c>
      <c r="WGZ4095" s="34">
        <v>1.5</v>
      </c>
      <c r="WHA4095" s="34">
        <v>2</v>
      </c>
      <c r="WHB4095" s="34">
        <v>2.5</v>
      </c>
      <c r="WHC4095" s="34">
        <v>3</v>
      </c>
      <c r="WHD4095" s="34">
        <v>3.5</v>
      </c>
      <c r="WHE4095" s="34">
        <v>4</v>
      </c>
      <c r="WHF4095" s="34">
        <v>4.5</v>
      </c>
      <c r="WHG4095" s="34">
        <v>5</v>
      </c>
      <c r="WHI4095" s="913"/>
      <c r="WHJ4095" s="31">
        <v>1</v>
      </c>
      <c r="WHK4095" s="34">
        <v>0</v>
      </c>
      <c r="WHL4095" s="34">
        <v>-1</v>
      </c>
      <c r="WHM4095" s="34">
        <v>-2</v>
      </c>
      <c r="WHN4095" s="34">
        <v>-3</v>
      </c>
      <c r="WHO4095" s="34">
        <v>-4</v>
      </c>
      <c r="WHP4095" s="34">
        <v>-5</v>
      </c>
      <c r="WHQ4095" s="908"/>
      <c r="WHR4095" s="909"/>
      <c r="WHS4095" s="34">
        <v>-5</v>
      </c>
      <c r="WHT4095" s="34">
        <v>-4.5</v>
      </c>
      <c r="WHU4095" s="34">
        <v>-4</v>
      </c>
      <c r="WHV4095" s="34">
        <v>-3.5</v>
      </c>
      <c r="WHW4095" s="34">
        <v>-3</v>
      </c>
      <c r="WHX4095" s="34">
        <v>-2.5</v>
      </c>
      <c r="WHY4095" s="34">
        <v>-2</v>
      </c>
      <c r="WHZ4095" s="34">
        <v>-1.5</v>
      </c>
      <c r="WIA4095" s="34">
        <v>-1</v>
      </c>
      <c r="WIB4095" s="34">
        <v>-0.5</v>
      </c>
      <c r="WIC4095" s="34">
        <v>0</v>
      </c>
      <c r="WID4095" s="34">
        <v>0.5</v>
      </c>
      <c r="WIE4095" s="34">
        <v>1</v>
      </c>
      <c r="WIF4095" s="34">
        <v>1.5</v>
      </c>
      <c r="WIG4095" s="34">
        <v>2</v>
      </c>
      <c r="WIH4095" s="34">
        <v>2.5</v>
      </c>
      <c r="WII4095" s="34">
        <v>3</v>
      </c>
      <c r="WIJ4095" s="34">
        <v>3.5</v>
      </c>
      <c r="WIK4095" s="34">
        <v>4</v>
      </c>
      <c r="WIL4095" s="34">
        <v>4.5</v>
      </c>
      <c r="WIM4095" s="34">
        <v>5</v>
      </c>
      <c r="WIO4095" s="913"/>
      <c r="WIP4095" s="31">
        <v>1</v>
      </c>
      <c r="WIQ4095" s="34">
        <v>0</v>
      </c>
      <c r="WIR4095" s="34">
        <v>-1</v>
      </c>
      <c r="WIS4095" s="34">
        <v>-2</v>
      </c>
      <c r="WIT4095" s="34">
        <v>-3</v>
      </c>
      <c r="WIU4095" s="34">
        <v>-4</v>
      </c>
      <c r="WIV4095" s="34">
        <v>-5</v>
      </c>
      <c r="WIW4095" s="908"/>
      <c r="WIX4095" s="909"/>
      <c r="WIY4095" s="34">
        <v>-5</v>
      </c>
      <c r="WIZ4095" s="34">
        <v>-4.5</v>
      </c>
      <c r="WJA4095" s="34">
        <v>-4</v>
      </c>
      <c r="WJB4095" s="34">
        <v>-3.5</v>
      </c>
      <c r="WJC4095" s="34">
        <v>-3</v>
      </c>
      <c r="WJD4095" s="34">
        <v>-2.5</v>
      </c>
      <c r="WJE4095" s="34">
        <v>-2</v>
      </c>
      <c r="WJF4095" s="34">
        <v>-1.5</v>
      </c>
      <c r="WJG4095" s="34">
        <v>-1</v>
      </c>
      <c r="WJH4095" s="34">
        <v>-0.5</v>
      </c>
      <c r="WJI4095" s="34">
        <v>0</v>
      </c>
      <c r="WJJ4095" s="34">
        <v>0.5</v>
      </c>
      <c r="WJK4095" s="34">
        <v>1</v>
      </c>
      <c r="WJL4095" s="34">
        <v>1.5</v>
      </c>
      <c r="WJM4095" s="34">
        <v>2</v>
      </c>
      <c r="WJN4095" s="34">
        <v>2.5</v>
      </c>
      <c r="WJO4095" s="34">
        <v>3</v>
      </c>
      <c r="WJP4095" s="34">
        <v>3.5</v>
      </c>
      <c r="WJQ4095" s="34">
        <v>4</v>
      </c>
      <c r="WJR4095" s="34">
        <v>4.5</v>
      </c>
      <c r="WJS4095" s="34">
        <v>5</v>
      </c>
      <c r="WJU4095" s="913"/>
      <c r="WJV4095" s="31">
        <v>1</v>
      </c>
      <c r="WJW4095" s="34">
        <v>0</v>
      </c>
      <c r="WJX4095" s="34">
        <v>-1</v>
      </c>
      <c r="WJY4095" s="34">
        <v>-2</v>
      </c>
      <c r="WJZ4095" s="34">
        <v>-3</v>
      </c>
      <c r="WKA4095" s="34">
        <v>-4</v>
      </c>
      <c r="WKB4095" s="34">
        <v>-5</v>
      </c>
      <c r="WKC4095" s="908"/>
      <c r="WKD4095" s="909"/>
      <c r="WKE4095" s="34">
        <v>-5</v>
      </c>
      <c r="WKF4095" s="34">
        <v>-4.5</v>
      </c>
      <c r="WKG4095" s="34">
        <v>-4</v>
      </c>
      <c r="WKH4095" s="34">
        <v>-3.5</v>
      </c>
      <c r="WKI4095" s="34">
        <v>-3</v>
      </c>
      <c r="WKJ4095" s="34">
        <v>-2.5</v>
      </c>
      <c r="WKK4095" s="34">
        <v>-2</v>
      </c>
      <c r="WKL4095" s="34">
        <v>-1.5</v>
      </c>
      <c r="WKM4095" s="34">
        <v>-1</v>
      </c>
      <c r="WKN4095" s="34">
        <v>-0.5</v>
      </c>
      <c r="WKO4095" s="34">
        <v>0</v>
      </c>
      <c r="WKP4095" s="34">
        <v>0.5</v>
      </c>
      <c r="WKQ4095" s="34">
        <v>1</v>
      </c>
      <c r="WKR4095" s="34">
        <v>1.5</v>
      </c>
      <c r="WKS4095" s="34">
        <v>2</v>
      </c>
      <c r="WKT4095" s="34">
        <v>2.5</v>
      </c>
      <c r="WKU4095" s="34">
        <v>3</v>
      </c>
      <c r="WKV4095" s="34">
        <v>3.5</v>
      </c>
      <c r="WKW4095" s="34">
        <v>4</v>
      </c>
      <c r="WKX4095" s="34">
        <v>4.5</v>
      </c>
      <c r="WKY4095" s="34">
        <v>5</v>
      </c>
      <c r="WLA4095" s="913"/>
      <c r="WLB4095" s="31">
        <v>1</v>
      </c>
      <c r="WLC4095" s="34">
        <v>0</v>
      </c>
      <c r="WLD4095" s="34">
        <v>-1</v>
      </c>
      <c r="WLE4095" s="34">
        <v>-2</v>
      </c>
      <c r="WLF4095" s="34">
        <v>-3</v>
      </c>
      <c r="WLG4095" s="34">
        <v>-4</v>
      </c>
      <c r="WLH4095" s="34">
        <v>-5</v>
      </c>
      <c r="WLI4095" s="908"/>
      <c r="WLJ4095" s="909"/>
      <c r="WLK4095" s="34">
        <v>-5</v>
      </c>
      <c r="WLL4095" s="34">
        <v>-4.5</v>
      </c>
      <c r="WLM4095" s="34">
        <v>-4</v>
      </c>
      <c r="WLN4095" s="34">
        <v>-3.5</v>
      </c>
      <c r="WLO4095" s="34">
        <v>-3</v>
      </c>
      <c r="WLP4095" s="34">
        <v>-2.5</v>
      </c>
      <c r="WLQ4095" s="34">
        <v>-2</v>
      </c>
      <c r="WLR4095" s="34">
        <v>-1.5</v>
      </c>
      <c r="WLS4095" s="34">
        <v>-1</v>
      </c>
      <c r="WLT4095" s="34">
        <v>-0.5</v>
      </c>
      <c r="WLU4095" s="34">
        <v>0</v>
      </c>
      <c r="WLV4095" s="34">
        <v>0.5</v>
      </c>
      <c r="WLW4095" s="34">
        <v>1</v>
      </c>
      <c r="WLX4095" s="34">
        <v>1.5</v>
      </c>
      <c r="WLY4095" s="34">
        <v>2</v>
      </c>
      <c r="WLZ4095" s="34">
        <v>2.5</v>
      </c>
      <c r="WMA4095" s="34">
        <v>3</v>
      </c>
      <c r="WMB4095" s="34">
        <v>3.5</v>
      </c>
      <c r="WMC4095" s="34">
        <v>4</v>
      </c>
      <c r="WMD4095" s="34">
        <v>4.5</v>
      </c>
      <c r="WME4095" s="34">
        <v>5</v>
      </c>
      <c r="WMG4095" s="913"/>
      <c r="WMH4095" s="31">
        <v>1</v>
      </c>
      <c r="WMI4095" s="34">
        <v>0</v>
      </c>
      <c r="WMJ4095" s="34">
        <v>-1</v>
      </c>
      <c r="WMK4095" s="34">
        <v>-2</v>
      </c>
      <c r="WML4095" s="34">
        <v>-3</v>
      </c>
      <c r="WMM4095" s="34">
        <v>-4</v>
      </c>
      <c r="WMN4095" s="34">
        <v>-5</v>
      </c>
      <c r="WMO4095" s="908"/>
      <c r="WMP4095" s="909"/>
      <c r="WMQ4095" s="34">
        <v>-5</v>
      </c>
      <c r="WMR4095" s="34">
        <v>-4.5</v>
      </c>
      <c r="WMS4095" s="34">
        <v>-4</v>
      </c>
      <c r="WMT4095" s="34">
        <v>-3.5</v>
      </c>
      <c r="WMU4095" s="34">
        <v>-3</v>
      </c>
      <c r="WMV4095" s="34">
        <v>-2.5</v>
      </c>
      <c r="WMW4095" s="34">
        <v>-2</v>
      </c>
      <c r="WMX4095" s="34">
        <v>-1.5</v>
      </c>
      <c r="WMY4095" s="34">
        <v>-1</v>
      </c>
      <c r="WMZ4095" s="34">
        <v>-0.5</v>
      </c>
      <c r="WNA4095" s="34">
        <v>0</v>
      </c>
      <c r="WNB4095" s="34">
        <v>0.5</v>
      </c>
      <c r="WNC4095" s="34">
        <v>1</v>
      </c>
      <c r="WND4095" s="34">
        <v>1.5</v>
      </c>
      <c r="WNE4095" s="34">
        <v>2</v>
      </c>
      <c r="WNF4095" s="34">
        <v>2.5</v>
      </c>
      <c r="WNG4095" s="34">
        <v>3</v>
      </c>
      <c r="WNH4095" s="34">
        <v>3.5</v>
      </c>
      <c r="WNI4095" s="34">
        <v>4</v>
      </c>
      <c r="WNJ4095" s="34">
        <v>4.5</v>
      </c>
      <c r="WNK4095" s="34">
        <v>5</v>
      </c>
      <c r="WNM4095" s="913"/>
      <c r="WNN4095" s="31">
        <v>1</v>
      </c>
      <c r="WNO4095" s="34">
        <v>0</v>
      </c>
      <c r="WNP4095" s="34">
        <v>-1</v>
      </c>
      <c r="WNQ4095" s="34">
        <v>-2</v>
      </c>
      <c r="WNR4095" s="34">
        <v>-3</v>
      </c>
      <c r="WNS4095" s="34">
        <v>-4</v>
      </c>
      <c r="WNT4095" s="34">
        <v>-5</v>
      </c>
      <c r="WNU4095" s="908"/>
      <c r="WNV4095" s="909"/>
      <c r="WNW4095" s="34">
        <v>-5</v>
      </c>
      <c r="WNX4095" s="34">
        <v>-4.5</v>
      </c>
      <c r="WNY4095" s="34">
        <v>-4</v>
      </c>
      <c r="WNZ4095" s="34">
        <v>-3.5</v>
      </c>
      <c r="WOA4095" s="34">
        <v>-3</v>
      </c>
      <c r="WOB4095" s="34">
        <v>-2.5</v>
      </c>
      <c r="WOC4095" s="34">
        <v>-2</v>
      </c>
      <c r="WOD4095" s="34">
        <v>-1.5</v>
      </c>
      <c r="WOE4095" s="34">
        <v>-1</v>
      </c>
      <c r="WOF4095" s="34">
        <v>-0.5</v>
      </c>
      <c r="WOG4095" s="34">
        <v>0</v>
      </c>
      <c r="WOH4095" s="34">
        <v>0.5</v>
      </c>
      <c r="WOI4095" s="34">
        <v>1</v>
      </c>
      <c r="WOJ4095" s="34">
        <v>1.5</v>
      </c>
      <c r="WOK4095" s="34">
        <v>2</v>
      </c>
      <c r="WOL4095" s="34">
        <v>2.5</v>
      </c>
      <c r="WOM4095" s="34">
        <v>3</v>
      </c>
      <c r="WON4095" s="34">
        <v>3.5</v>
      </c>
      <c r="WOO4095" s="34">
        <v>4</v>
      </c>
      <c r="WOP4095" s="34">
        <v>4.5</v>
      </c>
      <c r="WOQ4095" s="34">
        <v>5</v>
      </c>
      <c r="WOS4095" s="913"/>
      <c r="WOT4095" s="31">
        <v>1</v>
      </c>
      <c r="WOU4095" s="34">
        <v>0</v>
      </c>
      <c r="WOV4095" s="34">
        <v>-1</v>
      </c>
      <c r="WOW4095" s="34">
        <v>-2</v>
      </c>
      <c r="WOX4095" s="34">
        <v>-3</v>
      </c>
      <c r="WOY4095" s="34">
        <v>-4</v>
      </c>
      <c r="WOZ4095" s="34">
        <v>-5</v>
      </c>
      <c r="WPA4095" s="908"/>
      <c r="WPB4095" s="909"/>
      <c r="WPC4095" s="34">
        <v>-5</v>
      </c>
      <c r="WPD4095" s="34">
        <v>-4.5</v>
      </c>
      <c r="WPE4095" s="34">
        <v>-4</v>
      </c>
      <c r="WPF4095" s="34">
        <v>-3.5</v>
      </c>
      <c r="WPG4095" s="34">
        <v>-3</v>
      </c>
      <c r="WPH4095" s="34">
        <v>-2.5</v>
      </c>
      <c r="WPI4095" s="34">
        <v>-2</v>
      </c>
      <c r="WPJ4095" s="34">
        <v>-1.5</v>
      </c>
      <c r="WPK4095" s="34">
        <v>-1</v>
      </c>
      <c r="WPL4095" s="34">
        <v>-0.5</v>
      </c>
      <c r="WPM4095" s="34">
        <v>0</v>
      </c>
      <c r="WPN4095" s="34">
        <v>0.5</v>
      </c>
      <c r="WPO4095" s="34">
        <v>1</v>
      </c>
      <c r="WPP4095" s="34">
        <v>1.5</v>
      </c>
      <c r="WPQ4095" s="34">
        <v>2</v>
      </c>
      <c r="WPR4095" s="34">
        <v>2.5</v>
      </c>
      <c r="WPS4095" s="34">
        <v>3</v>
      </c>
      <c r="WPT4095" s="34">
        <v>3.5</v>
      </c>
      <c r="WPU4095" s="34">
        <v>4</v>
      </c>
      <c r="WPV4095" s="34">
        <v>4.5</v>
      </c>
      <c r="WPW4095" s="34">
        <v>5</v>
      </c>
      <c r="WPY4095" s="913"/>
      <c r="WPZ4095" s="31">
        <v>1</v>
      </c>
      <c r="WQA4095" s="34">
        <v>0</v>
      </c>
      <c r="WQB4095" s="34">
        <v>-1</v>
      </c>
      <c r="WQC4095" s="34">
        <v>-2</v>
      </c>
      <c r="WQD4095" s="34">
        <v>-3</v>
      </c>
      <c r="WQE4095" s="34">
        <v>-4</v>
      </c>
      <c r="WQF4095" s="34">
        <v>-5</v>
      </c>
      <c r="WQG4095" s="908"/>
      <c r="WQH4095" s="909"/>
      <c r="WQI4095" s="34">
        <v>-5</v>
      </c>
      <c r="WQJ4095" s="34">
        <v>-4.5</v>
      </c>
      <c r="WQK4095" s="34">
        <v>-4</v>
      </c>
      <c r="WQL4095" s="34">
        <v>-3.5</v>
      </c>
      <c r="WQM4095" s="34">
        <v>-3</v>
      </c>
      <c r="WQN4095" s="34">
        <v>-2.5</v>
      </c>
      <c r="WQO4095" s="34">
        <v>-2</v>
      </c>
      <c r="WQP4095" s="34">
        <v>-1.5</v>
      </c>
      <c r="WQQ4095" s="34">
        <v>-1</v>
      </c>
      <c r="WQR4095" s="34">
        <v>-0.5</v>
      </c>
      <c r="WQS4095" s="34">
        <v>0</v>
      </c>
      <c r="WQT4095" s="34">
        <v>0.5</v>
      </c>
      <c r="WQU4095" s="34">
        <v>1</v>
      </c>
      <c r="WQV4095" s="34">
        <v>1.5</v>
      </c>
      <c r="WQW4095" s="34">
        <v>2</v>
      </c>
      <c r="WQX4095" s="34">
        <v>2.5</v>
      </c>
      <c r="WQY4095" s="34">
        <v>3</v>
      </c>
      <c r="WQZ4095" s="34">
        <v>3.5</v>
      </c>
      <c r="WRA4095" s="34">
        <v>4</v>
      </c>
      <c r="WRB4095" s="34">
        <v>4.5</v>
      </c>
      <c r="WRC4095" s="34">
        <v>5</v>
      </c>
      <c r="WRE4095" s="913"/>
      <c r="WRF4095" s="31">
        <v>1</v>
      </c>
      <c r="WRG4095" s="34">
        <v>0</v>
      </c>
      <c r="WRH4095" s="34">
        <v>-1</v>
      </c>
      <c r="WRI4095" s="34">
        <v>-2</v>
      </c>
      <c r="WRJ4095" s="34">
        <v>-3</v>
      </c>
      <c r="WRK4095" s="34">
        <v>-4</v>
      </c>
      <c r="WRL4095" s="34">
        <v>-5</v>
      </c>
      <c r="WRM4095" s="908"/>
      <c r="WRN4095" s="909"/>
      <c r="WRO4095" s="34">
        <v>-5</v>
      </c>
      <c r="WRP4095" s="34">
        <v>-4.5</v>
      </c>
      <c r="WRQ4095" s="34">
        <v>-4</v>
      </c>
      <c r="WRR4095" s="34">
        <v>-3.5</v>
      </c>
      <c r="WRS4095" s="34">
        <v>-3</v>
      </c>
      <c r="WRT4095" s="34">
        <v>-2.5</v>
      </c>
      <c r="WRU4095" s="34">
        <v>-2</v>
      </c>
      <c r="WRV4095" s="34">
        <v>-1.5</v>
      </c>
      <c r="WRW4095" s="34">
        <v>-1</v>
      </c>
      <c r="WRX4095" s="34">
        <v>-0.5</v>
      </c>
      <c r="WRY4095" s="34">
        <v>0</v>
      </c>
      <c r="WRZ4095" s="34">
        <v>0.5</v>
      </c>
      <c r="WSA4095" s="34">
        <v>1</v>
      </c>
      <c r="WSB4095" s="34">
        <v>1.5</v>
      </c>
      <c r="WSC4095" s="34">
        <v>2</v>
      </c>
      <c r="WSD4095" s="34">
        <v>2.5</v>
      </c>
      <c r="WSE4095" s="34">
        <v>3</v>
      </c>
      <c r="WSF4095" s="34">
        <v>3.5</v>
      </c>
      <c r="WSG4095" s="34">
        <v>4</v>
      </c>
      <c r="WSH4095" s="34">
        <v>4.5</v>
      </c>
      <c r="WSI4095" s="34">
        <v>5</v>
      </c>
      <c r="WSK4095" s="913"/>
      <c r="WSL4095" s="31">
        <v>1</v>
      </c>
      <c r="WSM4095" s="34">
        <v>0</v>
      </c>
      <c r="WSN4095" s="34">
        <v>-1</v>
      </c>
      <c r="WSO4095" s="34">
        <v>-2</v>
      </c>
      <c r="WSP4095" s="34">
        <v>-3</v>
      </c>
      <c r="WSQ4095" s="34">
        <v>-4</v>
      </c>
      <c r="WSR4095" s="34">
        <v>-5</v>
      </c>
      <c r="WSS4095" s="908"/>
      <c r="WST4095" s="909"/>
      <c r="WSU4095" s="34">
        <v>-5</v>
      </c>
      <c r="WSV4095" s="34">
        <v>-4.5</v>
      </c>
      <c r="WSW4095" s="34">
        <v>-4</v>
      </c>
      <c r="WSX4095" s="34">
        <v>-3.5</v>
      </c>
      <c r="WSY4095" s="34">
        <v>-3</v>
      </c>
      <c r="WSZ4095" s="34">
        <v>-2.5</v>
      </c>
      <c r="WTA4095" s="34">
        <v>-2</v>
      </c>
      <c r="WTB4095" s="34">
        <v>-1.5</v>
      </c>
      <c r="WTC4095" s="34">
        <v>-1</v>
      </c>
      <c r="WTD4095" s="34">
        <v>-0.5</v>
      </c>
      <c r="WTE4095" s="34">
        <v>0</v>
      </c>
      <c r="WTF4095" s="34">
        <v>0.5</v>
      </c>
      <c r="WTG4095" s="34">
        <v>1</v>
      </c>
      <c r="WTH4095" s="34">
        <v>1.5</v>
      </c>
      <c r="WTI4095" s="34">
        <v>2</v>
      </c>
      <c r="WTJ4095" s="34">
        <v>2.5</v>
      </c>
      <c r="WTK4095" s="34">
        <v>3</v>
      </c>
      <c r="WTL4095" s="34">
        <v>3.5</v>
      </c>
      <c r="WTM4095" s="34">
        <v>4</v>
      </c>
      <c r="WTN4095" s="34">
        <v>4.5</v>
      </c>
      <c r="WTO4095" s="34">
        <v>5</v>
      </c>
      <c r="WTQ4095" s="913"/>
      <c r="WTR4095" s="31">
        <v>1</v>
      </c>
      <c r="WTS4095" s="34">
        <v>0</v>
      </c>
      <c r="WTT4095" s="34">
        <v>-1</v>
      </c>
      <c r="WTU4095" s="34">
        <v>-2</v>
      </c>
      <c r="WTV4095" s="34">
        <v>-3</v>
      </c>
      <c r="WTW4095" s="34">
        <v>-4</v>
      </c>
      <c r="WTX4095" s="34">
        <v>-5</v>
      </c>
      <c r="WTY4095" s="908"/>
      <c r="WTZ4095" s="909"/>
      <c r="WUA4095" s="34">
        <v>-5</v>
      </c>
      <c r="WUB4095" s="34">
        <v>-4.5</v>
      </c>
      <c r="WUC4095" s="34">
        <v>-4</v>
      </c>
      <c r="WUD4095" s="34">
        <v>-3.5</v>
      </c>
      <c r="WUE4095" s="34">
        <v>-3</v>
      </c>
      <c r="WUF4095" s="34">
        <v>-2.5</v>
      </c>
      <c r="WUG4095" s="34">
        <v>-2</v>
      </c>
      <c r="WUH4095" s="34">
        <v>-1.5</v>
      </c>
      <c r="WUI4095" s="34">
        <v>-1</v>
      </c>
      <c r="WUJ4095" s="34">
        <v>-0.5</v>
      </c>
      <c r="WUK4095" s="34">
        <v>0</v>
      </c>
      <c r="WUL4095" s="34">
        <v>0.5</v>
      </c>
      <c r="WUM4095" s="34">
        <v>1</v>
      </c>
      <c r="WUN4095" s="34">
        <v>1.5</v>
      </c>
      <c r="WUO4095" s="34">
        <v>2</v>
      </c>
      <c r="WUP4095" s="34">
        <v>2.5</v>
      </c>
      <c r="WUQ4095" s="34">
        <v>3</v>
      </c>
      <c r="WUR4095" s="34">
        <v>3.5</v>
      </c>
      <c r="WUS4095" s="34">
        <v>4</v>
      </c>
      <c r="WUT4095" s="34">
        <v>4.5</v>
      </c>
      <c r="WUU4095" s="34">
        <v>5</v>
      </c>
      <c r="WUW4095" s="913"/>
      <c r="WUX4095" s="31">
        <v>1</v>
      </c>
      <c r="WUY4095" s="34">
        <v>0</v>
      </c>
      <c r="WUZ4095" s="34">
        <v>-1</v>
      </c>
      <c r="WVA4095" s="34">
        <v>-2</v>
      </c>
      <c r="WVB4095" s="34">
        <v>-3</v>
      </c>
      <c r="WVC4095" s="34">
        <v>-4</v>
      </c>
      <c r="WVD4095" s="34">
        <v>-5</v>
      </c>
      <c r="WVE4095" s="908"/>
      <c r="WVF4095" s="909"/>
      <c r="WVG4095" s="34">
        <v>-5</v>
      </c>
      <c r="WVH4095" s="34">
        <v>-4.5</v>
      </c>
      <c r="WVI4095" s="34">
        <v>-4</v>
      </c>
      <c r="WVJ4095" s="34">
        <v>-3.5</v>
      </c>
      <c r="WVK4095" s="34">
        <v>-3</v>
      </c>
      <c r="WVL4095" s="34">
        <v>-2.5</v>
      </c>
      <c r="WVM4095" s="34">
        <v>-2</v>
      </c>
      <c r="WVN4095" s="34">
        <v>-1.5</v>
      </c>
      <c r="WVO4095" s="34">
        <v>-1</v>
      </c>
      <c r="WVP4095" s="34">
        <v>-0.5</v>
      </c>
      <c r="WVQ4095" s="34">
        <v>0</v>
      </c>
      <c r="WVR4095" s="34">
        <v>0.5</v>
      </c>
      <c r="WVS4095" s="34">
        <v>1</v>
      </c>
      <c r="WVT4095" s="34">
        <v>1.5</v>
      </c>
      <c r="WVU4095" s="34">
        <v>2</v>
      </c>
      <c r="WVV4095" s="34">
        <v>2.5</v>
      </c>
      <c r="WVW4095" s="34">
        <v>3</v>
      </c>
      <c r="WVX4095" s="34">
        <v>3.5</v>
      </c>
      <c r="WVY4095" s="34">
        <v>4</v>
      </c>
      <c r="WVZ4095" s="34">
        <v>4.5</v>
      </c>
      <c r="WWA4095" s="34">
        <v>5</v>
      </c>
      <c r="WWC4095" s="913"/>
      <c r="WWD4095" s="31">
        <v>1</v>
      </c>
      <c r="WWE4095" s="34">
        <v>0</v>
      </c>
      <c r="WWF4095" s="34">
        <v>-1</v>
      </c>
      <c r="WWG4095" s="34">
        <v>-2</v>
      </c>
      <c r="WWH4095" s="34">
        <v>-3</v>
      </c>
      <c r="WWI4095" s="34">
        <v>-4</v>
      </c>
      <c r="WWJ4095" s="34">
        <v>-5</v>
      </c>
      <c r="WWK4095" s="908"/>
      <c r="WWL4095" s="909"/>
      <c r="WWM4095" s="34">
        <v>-5</v>
      </c>
      <c r="WWN4095" s="34">
        <v>-4.5</v>
      </c>
      <c r="WWO4095" s="34">
        <v>-4</v>
      </c>
      <c r="WWP4095" s="34">
        <v>-3.5</v>
      </c>
      <c r="WWQ4095" s="34">
        <v>-3</v>
      </c>
      <c r="WWR4095" s="34">
        <v>-2.5</v>
      </c>
      <c r="WWS4095" s="34">
        <v>-2</v>
      </c>
      <c r="WWT4095" s="34">
        <v>-1.5</v>
      </c>
      <c r="WWU4095" s="34">
        <v>-1</v>
      </c>
      <c r="WWV4095" s="34">
        <v>-0.5</v>
      </c>
      <c r="WWW4095" s="34">
        <v>0</v>
      </c>
      <c r="WWX4095" s="34">
        <v>0.5</v>
      </c>
      <c r="WWY4095" s="34">
        <v>1</v>
      </c>
      <c r="WWZ4095" s="34">
        <v>1.5</v>
      </c>
      <c r="WXA4095" s="34">
        <v>2</v>
      </c>
      <c r="WXB4095" s="34">
        <v>2.5</v>
      </c>
      <c r="WXC4095" s="34">
        <v>3</v>
      </c>
      <c r="WXD4095" s="34">
        <v>3.5</v>
      </c>
      <c r="WXE4095" s="34">
        <v>4</v>
      </c>
      <c r="WXF4095" s="34">
        <v>4.5</v>
      </c>
      <c r="WXG4095" s="34">
        <v>5</v>
      </c>
      <c r="WXI4095" s="913"/>
      <c r="WXJ4095" s="31">
        <v>1</v>
      </c>
      <c r="WXK4095" s="34">
        <v>0</v>
      </c>
      <c r="WXL4095" s="34">
        <v>-1</v>
      </c>
      <c r="WXM4095" s="34">
        <v>-2</v>
      </c>
      <c r="WXN4095" s="34">
        <v>-3</v>
      </c>
      <c r="WXO4095" s="34">
        <v>-4</v>
      </c>
      <c r="WXP4095" s="34">
        <v>-5</v>
      </c>
      <c r="WXQ4095" s="908"/>
      <c r="WXR4095" s="909"/>
      <c r="WXS4095" s="34">
        <v>-5</v>
      </c>
      <c r="WXT4095" s="34">
        <v>-4.5</v>
      </c>
      <c r="WXU4095" s="34">
        <v>-4</v>
      </c>
      <c r="WXV4095" s="34">
        <v>-3.5</v>
      </c>
      <c r="WXW4095" s="34">
        <v>-3</v>
      </c>
      <c r="WXX4095" s="34">
        <v>-2.5</v>
      </c>
      <c r="WXY4095" s="34">
        <v>-2</v>
      </c>
      <c r="WXZ4095" s="34">
        <v>-1.5</v>
      </c>
      <c r="WYA4095" s="34">
        <v>-1</v>
      </c>
      <c r="WYB4095" s="34">
        <v>-0.5</v>
      </c>
      <c r="WYC4095" s="34">
        <v>0</v>
      </c>
      <c r="WYD4095" s="34">
        <v>0.5</v>
      </c>
      <c r="WYE4095" s="34">
        <v>1</v>
      </c>
      <c r="WYF4095" s="34">
        <v>1.5</v>
      </c>
      <c r="WYG4095" s="34">
        <v>2</v>
      </c>
      <c r="WYH4095" s="34">
        <v>2.5</v>
      </c>
      <c r="WYI4095" s="34">
        <v>3</v>
      </c>
      <c r="WYJ4095" s="34">
        <v>3.5</v>
      </c>
      <c r="WYK4095" s="34">
        <v>4</v>
      </c>
      <c r="WYL4095" s="34">
        <v>4.5</v>
      </c>
      <c r="WYM4095" s="34">
        <v>5</v>
      </c>
      <c r="WYO4095" s="913"/>
      <c r="WYP4095" s="31">
        <v>1</v>
      </c>
      <c r="WYQ4095" s="34">
        <v>0</v>
      </c>
      <c r="WYR4095" s="34">
        <v>-1</v>
      </c>
      <c r="WYS4095" s="34">
        <v>-2</v>
      </c>
      <c r="WYT4095" s="34">
        <v>-3</v>
      </c>
      <c r="WYU4095" s="34">
        <v>-4</v>
      </c>
      <c r="WYV4095" s="34">
        <v>-5</v>
      </c>
      <c r="WYW4095" s="908"/>
      <c r="WYX4095" s="909"/>
      <c r="WYY4095" s="34">
        <v>-5</v>
      </c>
      <c r="WYZ4095" s="34">
        <v>-4.5</v>
      </c>
      <c r="WZA4095" s="34">
        <v>-4</v>
      </c>
      <c r="WZB4095" s="34">
        <v>-3.5</v>
      </c>
      <c r="WZC4095" s="34">
        <v>-3</v>
      </c>
      <c r="WZD4095" s="34">
        <v>-2.5</v>
      </c>
      <c r="WZE4095" s="34">
        <v>-2</v>
      </c>
      <c r="WZF4095" s="34">
        <v>-1.5</v>
      </c>
      <c r="WZG4095" s="34">
        <v>-1</v>
      </c>
      <c r="WZH4095" s="34">
        <v>-0.5</v>
      </c>
      <c r="WZI4095" s="34">
        <v>0</v>
      </c>
      <c r="WZJ4095" s="34">
        <v>0.5</v>
      </c>
      <c r="WZK4095" s="34">
        <v>1</v>
      </c>
      <c r="WZL4095" s="34">
        <v>1.5</v>
      </c>
      <c r="WZM4095" s="34">
        <v>2</v>
      </c>
      <c r="WZN4095" s="34">
        <v>2.5</v>
      </c>
      <c r="WZO4095" s="34">
        <v>3</v>
      </c>
      <c r="WZP4095" s="34">
        <v>3.5</v>
      </c>
      <c r="WZQ4095" s="34">
        <v>4</v>
      </c>
      <c r="WZR4095" s="34">
        <v>4.5</v>
      </c>
      <c r="WZS4095" s="34">
        <v>5</v>
      </c>
      <c r="WZU4095" s="913"/>
      <c r="WZV4095" s="31">
        <v>1</v>
      </c>
      <c r="WZW4095" s="34">
        <v>0</v>
      </c>
      <c r="WZX4095" s="34">
        <v>-1</v>
      </c>
      <c r="WZY4095" s="34">
        <v>-2</v>
      </c>
      <c r="WZZ4095" s="34">
        <v>-3</v>
      </c>
      <c r="XAA4095" s="34">
        <v>-4</v>
      </c>
      <c r="XAB4095" s="34">
        <v>-5</v>
      </c>
      <c r="XAC4095" s="908"/>
      <c r="XAD4095" s="909"/>
      <c r="XAE4095" s="34">
        <v>-5</v>
      </c>
      <c r="XAF4095" s="34">
        <v>-4.5</v>
      </c>
      <c r="XAG4095" s="34">
        <v>-4</v>
      </c>
      <c r="XAH4095" s="34">
        <v>-3.5</v>
      </c>
      <c r="XAI4095" s="34">
        <v>-3</v>
      </c>
      <c r="XAJ4095" s="34">
        <v>-2.5</v>
      </c>
      <c r="XAK4095" s="34">
        <v>-2</v>
      </c>
      <c r="XAL4095" s="34">
        <v>-1.5</v>
      </c>
      <c r="XAM4095" s="34">
        <v>-1</v>
      </c>
      <c r="XAN4095" s="34">
        <v>-0.5</v>
      </c>
      <c r="XAO4095" s="34">
        <v>0</v>
      </c>
      <c r="XAP4095" s="34">
        <v>0.5</v>
      </c>
      <c r="XAQ4095" s="34">
        <v>1</v>
      </c>
      <c r="XAR4095" s="34">
        <v>1.5</v>
      </c>
      <c r="XAS4095" s="34">
        <v>2</v>
      </c>
      <c r="XAT4095" s="34">
        <v>2.5</v>
      </c>
      <c r="XAU4095" s="34">
        <v>3</v>
      </c>
      <c r="XAV4095" s="34">
        <v>3.5</v>
      </c>
      <c r="XAW4095" s="34">
        <v>4</v>
      </c>
      <c r="XAX4095" s="34">
        <v>4.5</v>
      </c>
      <c r="XAY4095" s="34">
        <v>5</v>
      </c>
      <c r="XBA4095" s="913"/>
      <c r="XBB4095" s="31">
        <v>1</v>
      </c>
      <c r="XBC4095" s="34">
        <v>0</v>
      </c>
      <c r="XBD4095" s="34">
        <v>-1</v>
      </c>
      <c r="XBE4095" s="34">
        <v>-2</v>
      </c>
      <c r="XBF4095" s="34">
        <v>-3</v>
      </c>
      <c r="XBG4095" s="34">
        <v>-4</v>
      </c>
      <c r="XBH4095" s="34">
        <v>-5</v>
      </c>
      <c r="XBI4095" s="908"/>
      <c r="XBJ4095" s="909"/>
      <c r="XBK4095" s="34">
        <v>-5</v>
      </c>
      <c r="XBL4095" s="34">
        <v>-4.5</v>
      </c>
      <c r="XBM4095" s="34">
        <v>-4</v>
      </c>
      <c r="XBN4095" s="34">
        <v>-3.5</v>
      </c>
      <c r="XBO4095" s="34">
        <v>-3</v>
      </c>
      <c r="XBP4095" s="34">
        <v>-2.5</v>
      </c>
      <c r="XBQ4095" s="34">
        <v>-2</v>
      </c>
      <c r="XBR4095" s="34">
        <v>-1.5</v>
      </c>
      <c r="XBS4095" s="34">
        <v>-1</v>
      </c>
      <c r="XBT4095" s="34">
        <v>-0.5</v>
      </c>
      <c r="XBU4095" s="34">
        <v>0</v>
      </c>
      <c r="XBV4095" s="34">
        <v>0.5</v>
      </c>
      <c r="XBW4095" s="34">
        <v>1</v>
      </c>
      <c r="XBX4095" s="34">
        <v>1.5</v>
      </c>
      <c r="XBY4095" s="34">
        <v>2</v>
      </c>
      <c r="XBZ4095" s="34">
        <v>2.5</v>
      </c>
      <c r="XCA4095" s="34">
        <v>3</v>
      </c>
      <c r="XCB4095" s="34">
        <v>3.5</v>
      </c>
      <c r="XCC4095" s="34">
        <v>4</v>
      </c>
      <c r="XCD4095" s="34">
        <v>4.5</v>
      </c>
      <c r="XCE4095" s="34">
        <v>5</v>
      </c>
      <c r="XCG4095" s="913"/>
      <c r="XCH4095" s="31">
        <v>1</v>
      </c>
      <c r="XCI4095" s="34">
        <v>0</v>
      </c>
      <c r="XCJ4095" s="34">
        <v>-1</v>
      </c>
      <c r="XCK4095" s="34">
        <v>-2</v>
      </c>
      <c r="XCL4095" s="34">
        <v>-3</v>
      </c>
      <c r="XCM4095" s="34">
        <v>-4</v>
      </c>
      <c r="XCN4095" s="34">
        <v>-5</v>
      </c>
      <c r="XCO4095" s="908"/>
      <c r="XCP4095" s="909"/>
      <c r="XCQ4095" s="34">
        <v>-5</v>
      </c>
      <c r="XCR4095" s="34">
        <v>-4.5</v>
      </c>
      <c r="XCS4095" s="34">
        <v>-4</v>
      </c>
      <c r="XCT4095" s="34">
        <v>-3.5</v>
      </c>
      <c r="XCU4095" s="34">
        <v>-3</v>
      </c>
      <c r="XCV4095" s="34">
        <v>-2.5</v>
      </c>
      <c r="XCW4095" s="34">
        <v>-2</v>
      </c>
      <c r="XCX4095" s="34">
        <v>-1.5</v>
      </c>
      <c r="XCY4095" s="34">
        <v>-1</v>
      </c>
      <c r="XCZ4095" s="34">
        <v>-0.5</v>
      </c>
      <c r="XDA4095" s="34">
        <v>0</v>
      </c>
      <c r="XDB4095" s="34">
        <v>0.5</v>
      </c>
      <c r="XDC4095" s="34">
        <v>1</v>
      </c>
      <c r="XDD4095" s="34">
        <v>1.5</v>
      </c>
      <c r="XDE4095" s="34">
        <v>2</v>
      </c>
      <c r="XDF4095" s="34">
        <v>2.5</v>
      </c>
      <c r="XDG4095" s="34">
        <v>3</v>
      </c>
      <c r="XDH4095" s="34">
        <v>3.5</v>
      </c>
      <c r="XDI4095" s="34">
        <v>4</v>
      </c>
      <c r="XDJ4095" s="34">
        <v>4.5</v>
      </c>
      <c r="XDK4095" s="34">
        <v>5</v>
      </c>
      <c r="XDM4095" s="913"/>
      <c r="XDN4095" s="31">
        <v>1</v>
      </c>
      <c r="XDO4095" s="34">
        <v>0</v>
      </c>
      <c r="XDP4095" s="34">
        <v>-1</v>
      </c>
      <c r="XDQ4095" s="34">
        <v>-2</v>
      </c>
      <c r="XDR4095" s="34">
        <v>-3</v>
      </c>
      <c r="XDS4095" s="34">
        <v>-4</v>
      </c>
      <c r="XDT4095" s="34">
        <v>-5</v>
      </c>
      <c r="XDU4095" s="908"/>
      <c r="XDV4095" s="909"/>
      <c r="XDW4095" s="34">
        <v>-5</v>
      </c>
      <c r="XDX4095" s="34">
        <v>-4.5</v>
      </c>
      <c r="XDY4095" s="34">
        <v>-4</v>
      </c>
      <c r="XDZ4095" s="34">
        <v>-3.5</v>
      </c>
      <c r="XEA4095" s="34">
        <v>-3</v>
      </c>
      <c r="XEB4095" s="34">
        <v>-2.5</v>
      </c>
      <c r="XEC4095" s="34">
        <v>-2</v>
      </c>
      <c r="XED4095" s="34">
        <v>-1.5</v>
      </c>
      <c r="XEE4095" s="34">
        <v>-1</v>
      </c>
      <c r="XEF4095" s="34">
        <v>-0.5</v>
      </c>
      <c r="XEG4095" s="34">
        <v>0</v>
      </c>
      <c r="XEH4095" s="34">
        <v>0.5</v>
      </c>
      <c r="XEI4095" s="34">
        <v>1</v>
      </c>
      <c r="XEJ4095" s="34">
        <v>1.5</v>
      </c>
      <c r="XEK4095" s="34">
        <v>2</v>
      </c>
      <c r="XEL4095" s="34">
        <v>2.5</v>
      </c>
      <c r="XEM4095" s="34">
        <v>3</v>
      </c>
      <c r="XEN4095" s="34">
        <v>3.5</v>
      </c>
      <c r="XEO4095" s="34">
        <v>4</v>
      </c>
      <c r="XEP4095" s="34">
        <v>4.5</v>
      </c>
      <c r="XEQ4095" s="34">
        <v>5</v>
      </c>
    </row>
    <row r="4096" spans="2:16372" hidden="1">
      <c r="B4096" s="19"/>
      <c r="C4096" s="19"/>
      <c r="D4096" s="19"/>
      <c r="E4096" s="19"/>
      <c r="F4096" s="19"/>
      <c r="G4096" s="19"/>
      <c r="H4096" s="19"/>
      <c r="I4096" s="19"/>
      <c r="J4096" s="19"/>
      <c r="K4096" s="421"/>
      <c r="L4096" s="23"/>
      <c r="M4096" s="19"/>
      <c r="N4096" s="19"/>
      <c r="O4096" s="19"/>
      <c r="P4096" s="19"/>
      <c r="Q4096" s="19"/>
    </row>
    <row r="4097" spans="2:17" hidden="1">
      <c r="B4097" s="19"/>
      <c r="C4097" s="19"/>
      <c r="D4097" s="19"/>
      <c r="E4097" s="19"/>
      <c r="F4097" s="19"/>
      <c r="G4097" s="19"/>
      <c r="H4097" s="19"/>
      <c r="I4097" s="19"/>
      <c r="J4097" s="19"/>
      <c r="K4097" s="421"/>
      <c r="L4097" s="23"/>
      <c r="M4097" s="19"/>
      <c r="N4097" s="19"/>
      <c r="O4097" s="19"/>
      <c r="P4097" s="19"/>
      <c r="Q4097" s="19"/>
    </row>
    <row r="4098" spans="2:17" hidden="1">
      <c r="B4098" s="19"/>
      <c r="C4098" s="19"/>
      <c r="D4098" s="19"/>
      <c r="E4098" s="19"/>
      <c r="F4098" s="19"/>
      <c r="G4098" s="19"/>
      <c r="H4098" s="19"/>
      <c r="I4098" s="19"/>
      <c r="J4098" s="19"/>
      <c r="K4098" s="421"/>
      <c r="L4098" s="23"/>
      <c r="M4098" s="19"/>
      <c r="N4098" s="19"/>
      <c r="O4098" s="19"/>
      <c r="P4098" s="19"/>
      <c r="Q4098" s="19"/>
    </row>
    <row r="4099" spans="2:17" hidden="1">
      <c r="B4099" s="19"/>
      <c r="C4099" s="19"/>
      <c r="D4099" s="19"/>
      <c r="E4099" s="19"/>
      <c r="F4099" s="19"/>
      <c r="G4099" s="19"/>
      <c r="H4099" s="19"/>
      <c r="I4099" s="19"/>
      <c r="J4099" s="19"/>
      <c r="K4099" s="421"/>
      <c r="L4099" s="23"/>
      <c r="M4099" s="19"/>
      <c r="N4099" s="19"/>
      <c r="O4099" s="19"/>
      <c r="P4099" s="19"/>
      <c r="Q4099" s="19"/>
    </row>
    <row r="4100" spans="2:17" hidden="1">
      <c r="B4100" s="19"/>
      <c r="C4100" s="19"/>
      <c r="D4100" s="19"/>
      <c r="E4100" s="19"/>
      <c r="F4100" s="19"/>
      <c r="G4100" s="19"/>
      <c r="H4100" s="19"/>
      <c r="I4100" s="19"/>
      <c r="J4100" s="19"/>
      <c r="K4100" s="421"/>
      <c r="L4100" s="23"/>
      <c r="M4100" s="19"/>
      <c r="N4100" s="19"/>
      <c r="O4100" s="19"/>
      <c r="P4100" s="19"/>
      <c r="Q4100" s="19"/>
    </row>
    <row r="4101" spans="2:17" hidden="1">
      <c r="B4101" s="19"/>
      <c r="C4101" s="19"/>
      <c r="D4101" s="19"/>
      <c r="E4101" s="19"/>
      <c r="F4101" s="19"/>
      <c r="G4101" s="19"/>
      <c r="H4101" s="19"/>
      <c r="I4101" s="19"/>
      <c r="J4101" s="19"/>
      <c r="K4101" s="421"/>
      <c r="L4101" s="23"/>
      <c r="M4101" s="19"/>
      <c r="N4101" s="19"/>
      <c r="O4101" s="19"/>
      <c r="P4101" s="19"/>
      <c r="Q4101" s="19"/>
    </row>
    <row r="4102" spans="2:17" hidden="1">
      <c r="B4102" s="19"/>
      <c r="C4102" s="19"/>
      <c r="D4102" s="19"/>
      <c r="E4102" s="19"/>
      <c r="F4102" s="19"/>
      <c r="G4102" s="19"/>
      <c r="H4102" s="19"/>
      <c r="I4102" s="19"/>
      <c r="J4102" s="19"/>
      <c r="K4102" s="421"/>
      <c r="L4102" s="23"/>
      <c r="M4102" s="19"/>
      <c r="N4102" s="19"/>
      <c r="O4102" s="19"/>
      <c r="P4102" s="19"/>
      <c r="Q4102" s="19"/>
    </row>
    <row r="4103" spans="2:17" hidden="1">
      <c r="B4103" s="19"/>
      <c r="C4103" s="19"/>
      <c r="D4103" s="19"/>
      <c r="E4103" s="19"/>
      <c r="F4103" s="19"/>
      <c r="G4103" s="19"/>
      <c r="H4103" s="19"/>
      <c r="I4103" s="19"/>
      <c r="J4103" s="19"/>
      <c r="K4103" s="421"/>
      <c r="L4103" s="23"/>
      <c r="M4103" s="19"/>
      <c r="N4103" s="19"/>
      <c r="O4103" s="19"/>
      <c r="P4103" s="19"/>
      <c r="Q4103" s="19"/>
    </row>
    <row r="4104" spans="2:17" hidden="1">
      <c r="B4104" s="19"/>
      <c r="C4104" s="19"/>
      <c r="D4104" s="19"/>
      <c r="E4104" s="19"/>
      <c r="F4104" s="19"/>
      <c r="G4104" s="19"/>
      <c r="H4104" s="19"/>
      <c r="I4104" s="19"/>
      <c r="J4104" s="19"/>
      <c r="K4104" s="421"/>
      <c r="L4104" s="23"/>
      <c r="M4104" s="19"/>
      <c r="N4104" s="19"/>
      <c r="O4104" s="19"/>
      <c r="P4104" s="19"/>
      <c r="Q4104" s="19"/>
    </row>
    <row r="4105" spans="2:17" hidden="1">
      <c r="B4105" s="19"/>
      <c r="C4105" s="19"/>
      <c r="D4105" s="19"/>
      <c r="E4105" s="19"/>
      <c r="F4105" s="19"/>
      <c r="G4105" s="19"/>
      <c r="H4105" s="19"/>
      <c r="I4105" s="19"/>
      <c r="J4105" s="19"/>
      <c r="K4105" s="421"/>
      <c r="L4105" s="23"/>
      <c r="M4105" s="19"/>
      <c r="N4105" s="19"/>
      <c r="O4105" s="19"/>
      <c r="P4105" s="19"/>
      <c r="Q4105" s="19"/>
    </row>
    <row r="4106" spans="2:17" hidden="1">
      <c r="B4106" s="19"/>
      <c r="C4106" s="19"/>
      <c r="D4106" s="19"/>
      <c r="E4106" s="19"/>
      <c r="F4106" s="19"/>
      <c r="G4106" s="19"/>
      <c r="H4106" s="19"/>
      <c r="I4106" s="19"/>
      <c r="J4106" s="19"/>
      <c r="K4106" s="421"/>
      <c r="L4106" s="23"/>
      <c r="M4106" s="19"/>
      <c r="N4106" s="19"/>
      <c r="O4106" s="19"/>
      <c r="P4106" s="19"/>
      <c r="Q4106" s="19"/>
    </row>
    <row r="4107" spans="2:17" hidden="1">
      <c r="B4107" s="19"/>
      <c r="C4107" s="19"/>
      <c r="D4107" s="19"/>
      <c r="E4107" s="19"/>
      <c r="F4107" s="19"/>
      <c r="G4107" s="19"/>
      <c r="H4107" s="19"/>
      <c r="I4107" s="19"/>
      <c r="J4107" s="19"/>
      <c r="K4107" s="421"/>
      <c r="L4107" s="23"/>
      <c r="M4107" s="19"/>
      <c r="N4107" s="19"/>
      <c r="O4107" s="19"/>
      <c r="P4107" s="19"/>
      <c r="Q4107" s="19"/>
    </row>
    <row r="4108" spans="2:17" hidden="1">
      <c r="B4108" s="19"/>
      <c r="C4108" s="19"/>
      <c r="D4108" s="19"/>
      <c r="E4108" s="19"/>
      <c r="F4108" s="19"/>
      <c r="G4108" s="19"/>
      <c r="H4108" s="19"/>
      <c r="I4108" s="19"/>
      <c r="J4108" s="19"/>
      <c r="K4108" s="421"/>
      <c r="L4108" s="23"/>
      <c r="M4108" s="19"/>
      <c r="N4108" s="19"/>
      <c r="O4108" s="19"/>
      <c r="P4108" s="19"/>
      <c r="Q4108" s="19"/>
    </row>
    <row r="4109" spans="2:17" hidden="1">
      <c r="B4109" s="19"/>
      <c r="C4109" s="19"/>
      <c r="D4109" s="19"/>
      <c r="E4109" s="19"/>
      <c r="F4109" s="19"/>
      <c r="G4109" s="19"/>
      <c r="H4109" s="19"/>
      <c r="I4109" s="19"/>
      <c r="J4109" s="19"/>
      <c r="K4109" s="421"/>
      <c r="L4109" s="23"/>
      <c r="M4109" s="19"/>
      <c r="N4109" s="19"/>
      <c r="O4109" s="19"/>
      <c r="P4109" s="19"/>
      <c r="Q4109" s="19"/>
    </row>
    <row r="4110" spans="2:17" hidden="1">
      <c r="B4110" s="19"/>
      <c r="C4110" s="19"/>
      <c r="D4110" s="19"/>
      <c r="E4110" s="19"/>
      <c r="F4110" s="19"/>
      <c r="G4110" s="19"/>
      <c r="H4110" s="19"/>
      <c r="I4110" s="19"/>
      <c r="J4110" s="19"/>
      <c r="K4110" s="421"/>
      <c r="L4110" s="23"/>
      <c r="M4110" s="19"/>
      <c r="N4110" s="19"/>
      <c r="O4110" s="19"/>
      <c r="P4110" s="19"/>
      <c r="Q4110" s="19"/>
    </row>
    <row r="4111" spans="2:17" hidden="1">
      <c r="B4111" s="19"/>
      <c r="C4111" s="19"/>
      <c r="D4111" s="19"/>
      <c r="E4111" s="19"/>
      <c r="F4111" s="19"/>
      <c r="G4111" s="19"/>
      <c r="H4111" s="19"/>
      <c r="I4111" s="19"/>
      <c r="J4111" s="19"/>
      <c r="K4111" s="421"/>
      <c r="L4111" s="23"/>
      <c r="M4111" s="19"/>
      <c r="N4111" s="19"/>
      <c r="O4111" s="19"/>
      <c r="P4111" s="19"/>
      <c r="Q4111" s="19"/>
    </row>
    <row r="4112" spans="2:17" hidden="1">
      <c r="B4112" s="19"/>
      <c r="C4112" s="19"/>
      <c r="D4112" s="19"/>
      <c r="E4112" s="19"/>
      <c r="F4112" s="19"/>
      <c r="G4112" s="19"/>
      <c r="H4112" s="19"/>
      <c r="I4112" s="19"/>
      <c r="J4112" s="19"/>
      <c r="K4112" s="421"/>
      <c r="L4112" s="23"/>
      <c r="M4112" s="19"/>
      <c r="N4112" s="19"/>
      <c r="O4112" s="19"/>
      <c r="P4112" s="19"/>
      <c r="Q4112" s="19"/>
    </row>
    <row r="4113" spans="2:17" hidden="1">
      <c r="B4113" s="19"/>
      <c r="C4113" s="19"/>
      <c r="D4113" s="19"/>
      <c r="E4113" s="19"/>
      <c r="F4113" s="19"/>
      <c r="G4113" s="19"/>
      <c r="H4113" s="19"/>
      <c r="I4113" s="19"/>
      <c r="J4113" s="19"/>
      <c r="K4113" s="421"/>
      <c r="L4113" s="23"/>
      <c r="M4113" s="19"/>
      <c r="N4113" s="19"/>
      <c r="O4113" s="19"/>
      <c r="P4113" s="19"/>
      <c r="Q4113" s="19"/>
    </row>
    <row r="4114" spans="2:17" hidden="1">
      <c r="B4114" s="19"/>
      <c r="C4114" s="19"/>
      <c r="D4114" s="19"/>
      <c r="E4114" s="19"/>
      <c r="F4114" s="19"/>
      <c r="G4114" s="19"/>
      <c r="H4114" s="19"/>
      <c r="I4114" s="19"/>
      <c r="J4114" s="19"/>
      <c r="K4114" s="421"/>
      <c r="L4114" s="23"/>
      <c r="M4114" s="19"/>
      <c r="N4114" s="19"/>
      <c r="O4114" s="19"/>
      <c r="P4114" s="19"/>
      <c r="Q4114" s="19"/>
    </row>
    <row r="4115" spans="2:17" hidden="1">
      <c r="B4115" s="19"/>
      <c r="C4115" s="19"/>
      <c r="D4115" s="19"/>
      <c r="E4115" s="19"/>
      <c r="F4115" s="19"/>
      <c r="G4115" s="19"/>
      <c r="H4115" s="19"/>
      <c r="I4115" s="19"/>
      <c r="J4115" s="19"/>
      <c r="K4115" s="421"/>
      <c r="L4115" s="23"/>
      <c r="M4115" s="19"/>
      <c r="N4115" s="19"/>
      <c r="O4115" s="19"/>
      <c r="P4115" s="19"/>
      <c r="Q4115" s="19"/>
    </row>
    <row r="4116" spans="2:17" hidden="1">
      <c r="B4116" s="19"/>
      <c r="C4116" s="19"/>
      <c r="D4116" s="19"/>
      <c r="E4116" s="19"/>
      <c r="F4116" s="19"/>
      <c r="G4116" s="19"/>
      <c r="H4116" s="19"/>
      <c r="I4116" s="19"/>
      <c r="J4116" s="19"/>
      <c r="K4116" s="421"/>
      <c r="L4116" s="23"/>
      <c r="M4116" s="19"/>
      <c r="N4116" s="19"/>
      <c r="O4116" s="19"/>
      <c r="P4116" s="19"/>
      <c r="Q4116" s="19"/>
    </row>
    <row r="4117" spans="2:17" hidden="1">
      <c r="B4117" s="19"/>
      <c r="C4117" s="19"/>
      <c r="D4117" s="19"/>
      <c r="E4117" s="19"/>
      <c r="F4117" s="19"/>
      <c r="G4117" s="19"/>
      <c r="H4117" s="19"/>
      <c r="I4117" s="19"/>
      <c r="J4117" s="19"/>
      <c r="K4117" s="421"/>
      <c r="L4117" s="23"/>
      <c r="M4117" s="19"/>
      <c r="N4117" s="19"/>
      <c r="O4117" s="19"/>
      <c r="P4117" s="19"/>
      <c r="Q4117" s="19"/>
    </row>
    <row r="4118" spans="2:17" hidden="1">
      <c r="B4118" s="19"/>
      <c r="C4118" s="19"/>
      <c r="D4118" s="19"/>
      <c r="E4118" s="19"/>
      <c r="F4118" s="19"/>
      <c r="G4118" s="19"/>
      <c r="H4118" s="19"/>
      <c r="I4118" s="19"/>
      <c r="J4118" s="19"/>
      <c r="K4118" s="421"/>
      <c r="L4118" s="23"/>
      <c r="M4118" s="19"/>
      <c r="N4118" s="19"/>
      <c r="O4118" s="19"/>
      <c r="P4118" s="19"/>
      <c r="Q4118" s="19"/>
    </row>
    <row r="4119" spans="2:17" hidden="1">
      <c r="B4119" s="19"/>
      <c r="C4119" s="19"/>
      <c r="D4119" s="19"/>
      <c r="E4119" s="19"/>
      <c r="F4119" s="19"/>
      <c r="G4119" s="19"/>
      <c r="H4119" s="19"/>
      <c r="I4119" s="19"/>
      <c r="J4119" s="19"/>
      <c r="K4119" s="421"/>
      <c r="L4119" s="23"/>
      <c r="M4119" s="19"/>
      <c r="N4119" s="19"/>
      <c r="O4119" s="19"/>
      <c r="P4119" s="19"/>
      <c r="Q4119" s="19"/>
    </row>
    <row r="4120" spans="2:17" hidden="1">
      <c r="B4120" s="19"/>
      <c r="C4120" s="19"/>
      <c r="D4120" s="19"/>
      <c r="E4120" s="19"/>
      <c r="F4120" s="19"/>
      <c r="G4120" s="19"/>
      <c r="H4120" s="19"/>
      <c r="I4120" s="19"/>
      <c r="J4120" s="19"/>
      <c r="K4120" s="421"/>
      <c r="L4120" s="23"/>
      <c r="M4120" s="19"/>
      <c r="N4120" s="19"/>
      <c r="O4120" s="19"/>
      <c r="P4120" s="19"/>
      <c r="Q4120" s="19"/>
    </row>
    <row r="4121" spans="2:17" hidden="1">
      <c r="B4121" s="19"/>
      <c r="C4121" s="19"/>
      <c r="D4121" s="19"/>
      <c r="E4121" s="19"/>
      <c r="F4121" s="19"/>
      <c r="G4121" s="19"/>
      <c r="H4121" s="19"/>
      <c r="I4121" s="19"/>
      <c r="J4121" s="19"/>
      <c r="K4121" s="421"/>
      <c r="L4121" s="23"/>
      <c r="M4121" s="19"/>
      <c r="N4121" s="19"/>
      <c r="O4121" s="19"/>
      <c r="P4121" s="19"/>
      <c r="Q4121" s="19"/>
    </row>
    <row r="4122" spans="2:17" hidden="1">
      <c r="B4122" s="19"/>
      <c r="C4122" s="19"/>
      <c r="D4122" s="19"/>
      <c r="E4122" s="19"/>
      <c r="F4122" s="19"/>
      <c r="G4122" s="19"/>
      <c r="H4122" s="19"/>
      <c r="I4122" s="19"/>
      <c r="J4122" s="19"/>
      <c r="K4122" s="421"/>
      <c r="L4122" s="23"/>
      <c r="M4122" s="19"/>
      <c r="N4122" s="19"/>
      <c r="O4122" s="19"/>
      <c r="P4122" s="19"/>
      <c r="Q4122" s="19"/>
    </row>
    <row r="4123" spans="2:17" hidden="1">
      <c r="B4123" s="19"/>
      <c r="C4123" s="19"/>
      <c r="D4123" s="19"/>
      <c r="E4123" s="19"/>
      <c r="F4123" s="19"/>
      <c r="G4123" s="19"/>
      <c r="H4123" s="19"/>
      <c r="I4123" s="19"/>
      <c r="J4123" s="19"/>
      <c r="K4123" s="421"/>
      <c r="L4123" s="23"/>
      <c r="M4123" s="19"/>
      <c r="N4123" s="19"/>
      <c r="O4123" s="19"/>
      <c r="P4123" s="19"/>
      <c r="Q4123" s="19"/>
    </row>
    <row r="4124" spans="2:17" hidden="1">
      <c r="B4124" s="19"/>
      <c r="C4124" s="19"/>
      <c r="D4124" s="19"/>
      <c r="E4124" s="19"/>
      <c r="F4124" s="19"/>
      <c r="G4124" s="19"/>
      <c r="H4124" s="19"/>
      <c r="I4124" s="19"/>
      <c r="J4124" s="19"/>
      <c r="K4124" s="421"/>
      <c r="L4124" s="23"/>
      <c r="M4124" s="19"/>
      <c r="N4124" s="19"/>
      <c r="O4124" s="19"/>
      <c r="P4124" s="19"/>
      <c r="Q4124" s="19"/>
    </row>
    <row r="4125" spans="2:17" hidden="1">
      <c r="B4125" s="19"/>
      <c r="C4125" s="19"/>
      <c r="D4125" s="19"/>
      <c r="E4125" s="19"/>
      <c r="F4125" s="19"/>
      <c r="G4125" s="19"/>
      <c r="H4125" s="19"/>
      <c r="I4125" s="19"/>
      <c r="J4125" s="19"/>
      <c r="K4125" s="421"/>
      <c r="L4125" s="23"/>
      <c r="M4125" s="19"/>
      <c r="N4125" s="19"/>
      <c r="O4125" s="19"/>
      <c r="P4125" s="19"/>
      <c r="Q4125" s="19"/>
    </row>
    <row r="4126" spans="2:17" hidden="1">
      <c r="B4126" s="19"/>
      <c r="C4126" s="19"/>
      <c r="D4126" s="19"/>
      <c r="E4126" s="19"/>
      <c r="F4126" s="19"/>
      <c r="G4126" s="19"/>
      <c r="H4126" s="19"/>
      <c r="I4126" s="19"/>
      <c r="J4126" s="19"/>
      <c r="K4126" s="421"/>
      <c r="L4126" s="23"/>
      <c r="M4126" s="19"/>
      <c r="N4126" s="19"/>
      <c r="O4126" s="19"/>
      <c r="P4126" s="19"/>
      <c r="Q4126" s="19"/>
    </row>
    <row r="4127" spans="2:17" hidden="1">
      <c r="B4127" s="19"/>
      <c r="C4127" s="19"/>
      <c r="D4127" s="19"/>
      <c r="E4127" s="19"/>
      <c r="F4127" s="19"/>
      <c r="G4127" s="19"/>
      <c r="H4127" s="19"/>
      <c r="I4127" s="19"/>
      <c r="J4127" s="19"/>
      <c r="K4127" s="421"/>
      <c r="L4127" s="23"/>
      <c r="M4127" s="19"/>
      <c r="N4127" s="19"/>
      <c r="O4127" s="19"/>
      <c r="P4127" s="19"/>
      <c r="Q4127" s="19"/>
    </row>
    <row r="4128" spans="2:17" hidden="1">
      <c r="B4128" s="19"/>
      <c r="C4128" s="19"/>
      <c r="D4128" s="19"/>
      <c r="E4128" s="19"/>
      <c r="F4128" s="19"/>
      <c r="G4128" s="19"/>
      <c r="H4128" s="19"/>
      <c r="I4128" s="19"/>
      <c r="J4128" s="19"/>
      <c r="K4128" s="421"/>
      <c r="L4128" s="23"/>
      <c r="M4128" s="19"/>
      <c r="N4128" s="19"/>
      <c r="O4128" s="19"/>
      <c r="P4128" s="19"/>
      <c r="Q4128" s="19"/>
    </row>
    <row r="4129" spans="2:17" hidden="1">
      <c r="B4129" s="19"/>
      <c r="C4129" s="19"/>
      <c r="D4129" s="19"/>
      <c r="E4129" s="19"/>
      <c r="F4129" s="19"/>
      <c r="G4129" s="19"/>
      <c r="H4129" s="19"/>
      <c r="I4129" s="19"/>
      <c r="J4129" s="19"/>
      <c r="K4129" s="421"/>
      <c r="L4129" s="23"/>
      <c r="M4129" s="19"/>
      <c r="N4129" s="19"/>
      <c r="O4129" s="19"/>
      <c r="P4129" s="19"/>
      <c r="Q4129" s="19"/>
    </row>
    <row r="4130" spans="2:17" hidden="1">
      <c r="B4130" s="19"/>
      <c r="C4130" s="19"/>
      <c r="D4130" s="19"/>
      <c r="E4130" s="19"/>
      <c r="F4130" s="19"/>
      <c r="G4130" s="19"/>
      <c r="H4130" s="19"/>
      <c r="I4130" s="19"/>
      <c r="J4130" s="19"/>
      <c r="K4130" s="421"/>
      <c r="L4130" s="23"/>
      <c r="M4130" s="19"/>
      <c r="N4130" s="19"/>
      <c r="O4130" s="19"/>
      <c r="P4130" s="19"/>
      <c r="Q4130" s="19"/>
    </row>
    <row r="4131" spans="2:17" hidden="1">
      <c r="B4131" s="19"/>
      <c r="C4131" s="19"/>
      <c r="D4131" s="19"/>
      <c r="E4131" s="19"/>
      <c r="F4131" s="19"/>
      <c r="G4131" s="19"/>
      <c r="H4131" s="19"/>
      <c r="I4131" s="19"/>
      <c r="J4131" s="19"/>
      <c r="K4131" s="421"/>
      <c r="L4131" s="23"/>
      <c r="M4131" s="19"/>
      <c r="N4131" s="19"/>
      <c r="O4131" s="19"/>
      <c r="P4131" s="19"/>
      <c r="Q4131" s="19"/>
    </row>
    <row r="4132" spans="2:17" hidden="1">
      <c r="B4132" s="19"/>
      <c r="C4132" s="19"/>
      <c r="D4132" s="19"/>
      <c r="E4132" s="19"/>
      <c r="F4132" s="19"/>
      <c r="G4132" s="19"/>
      <c r="H4132" s="19"/>
      <c r="I4132" s="19"/>
      <c r="J4132" s="19"/>
      <c r="K4132" s="421"/>
      <c r="L4132" s="23"/>
      <c r="M4132" s="19"/>
      <c r="N4132" s="19"/>
      <c r="O4132" s="19"/>
      <c r="P4132" s="19"/>
      <c r="Q4132" s="19"/>
    </row>
    <row r="4133" spans="2:17" hidden="1">
      <c r="B4133" s="19"/>
      <c r="C4133" s="19"/>
      <c r="D4133" s="19"/>
      <c r="E4133" s="19"/>
      <c r="F4133" s="19"/>
      <c r="G4133" s="19"/>
      <c r="H4133" s="19"/>
      <c r="I4133" s="19"/>
      <c r="J4133" s="19"/>
      <c r="K4133" s="421"/>
      <c r="L4133" s="23"/>
      <c r="M4133" s="19"/>
      <c r="N4133" s="19"/>
      <c r="O4133" s="19"/>
      <c r="P4133" s="19"/>
      <c r="Q4133" s="19"/>
    </row>
    <row r="4134" spans="2:17" hidden="1">
      <c r="B4134" s="19"/>
      <c r="C4134" s="19"/>
      <c r="D4134" s="19"/>
      <c r="E4134" s="19"/>
      <c r="F4134" s="19"/>
      <c r="G4134" s="19"/>
      <c r="H4134" s="19"/>
      <c r="I4134" s="19"/>
      <c r="J4134" s="19"/>
      <c r="K4134" s="421"/>
      <c r="L4134" s="23"/>
      <c r="M4134" s="19"/>
      <c r="N4134" s="19"/>
      <c r="O4134" s="19"/>
      <c r="P4134" s="19"/>
      <c r="Q4134" s="19"/>
    </row>
    <row r="4135" spans="2:17" hidden="1">
      <c r="B4135" s="19"/>
      <c r="C4135" s="19"/>
      <c r="D4135" s="19"/>
      <c r="E4135" s="19"/>
      <c r="F4135" s="19"/>
      <c r="G4135" s="19"/>
      <c r="H4135" s="19"/>
      <c r="I4135" s="19"/>
      <c r="J4135" s="19"/>
      <c r="K4135" s="421"/>
      <c r="L4135" s="23"/>
      <c r="M4135" s="19"/>
      <c r="N4135" s="19"/>
      <c r="O4135" s="19"/>
      <c r="P4135" s="19"/>
      <c r="Q4135" s="19"/>
    </row>
    <row r="4136" spans="2:17" hidden="1">
      <c r="B4136" s="19"/>
      <c r="C4136" s="19"/>
      <c r="D4136" s="19"/>
      <c r="E4136" s="19"/>
      <c r="F4136" s="19"/>
      <c r="G4136" s="19"/>
      <c r="H4136" s="19"/>
      <c r="I4136" s="19"/>
      <c r="J4136" s="19"/>
      <c r="K4136" s="421"/>
      <c r="L4136" s="23"/>
      <c r="M4136" s="19"/>
      <c r="N4136" s="19"/>
      <c r="O4136" s="19"/>
      <c r="P4136" s="19"/>
      <c r="Q4136" s="19"/>
    </row>
    <row r="4137" spans="2:17" hidden="1">
      <c r="B4137" s="19"/>
      <c r="C4137" s="19"/>
      <c r="D4137" s="19"/>
      <c r="E4137" s="19"/>
      <c r="F4137" s="19"/>
      <c r="G4137" s="19"/>
      <c r="H4137" s="19"/>
      <c r="I4137" s="19"/>
      <c r="J4137" s="19"/>
      <c r="K4137" s="421"/>
      <c r="L4137" s="23"/>
      <c r="M4137" s="19"/>
      <c r="N4137" s="19"/>
      <c r="O4137" s="19"/>
      <c r="P4137" s="19"/>
      <c r="Q4137" s="19"/>
    </row>
    <row r="4138" spans="2:17" hidden="1">
      <c r="B4138" s="19"/>
      <c r="C4138" s="19"/>
      <c r="D4138" s="19"/>
      <c r="E4138" s="19"/>
      <c r="F4138" s="19"/>
      <c r="G4138" s="19"/>
      <c r="H4138" s="19"/>
      <c r="I4138" s="19"/>
      <c r="J4138" s="19"/>
      <c r="K4138" s="421"/>
      <c r="L4138" s="23"/>
      <c r="M4138" s="19"/>
      <c r="N4138" s="19"/>
      <c r="O4138" s="19"/>
      <c r="P4138" s="19"/>
      <c r="Q4138" s="19"/>
    </row>
    <row r="4139" spans="2:17" hidden="1">
      <c r="B4139" s="19"/>
      <c r="C4139" s="19"/>
      <c r="D4139" s="19"/>
      <c r="E4139" s="19"/>
      <c r="F4139" s="19"/>
      <c r="G4139" s="19"/>
      <c r="H4139" s="19"/>
      <c r="I4139" s="19"/>
      <c r="J4139" s="19"/>
      <c r="K4139" s="421"/>
      <c r="L4139" s="23"/>
      <c r="M4139" s="19"/>
      <c r="N4139" s="19"/>
      <c r="O4139" s="19"/>
      <c r="P4139" s="19"/>
      <c r="Q4139" s="19"/>
    </row>
    <row r="4140" spans="2:17" hidden="1">
      <c r="B4140" s="19"/>
      <c r="C4140" s="19"/>
      <c r="D4140" s="19"/>
      <c r="E4140" s="19"/>
      <c r="F4140" s="19"/>
      <c r="G4140" s="19"/>
      <c r="H4140" s="19"/>
      <c r="I4140" s="19"/>
      <c r="J4140" s="19"/>
      <c r="K4140" s="421"/>
      <c r="L4140" s="23"/>
      <c r="M4140" s="19"/>
      <c r="N4140" s="19"/>
      <c r="O4140" s="19"/>
      <c r="P4140" s="19"/>
      <c r="Q4140" s="19"/>
    </row>
    <row r="4141" spans="2:17" hidden="1">
      <c r="B4141" s="19"/>
      <c r="C4141" s="19"/>
      <c r="D4141" s="19"/>
      <c r="E4141" s="19"/>
      <c r="F4141" s="19"/>
      <c r="G4141" s="19"/>
      <c r="H4141" s="19"/>
      <c r="I4141" s="19"/>
      <c r="J4141" s="19"/>
      <c r="K4141" s="421"/>
      <c r="L4141" s="23"/>
      <c r="M4141" s="19"/>
      <c r="N4141" s="19"/>
      <c r="O4141" s="19"/>
      <c r="P4141" s="19"/>
      <c r="Q4141" s="19"/>
    </row>
    <row r="4142" spans="2:17" hidden="1">
      <c r="B4142" s="19"/>
      <c r="C4142" s="19"/>
      <c r="D4142" s="19"/>
      <c r="E4142" s="19"/>
      <c r="F4142" s="19"/>
      <c r="G4142" s="19"/>
      <c r="H4142" s="19"/>
      <c r="I4142" s="19"/>
      <c r="J4142" s="19"/>
      <c r="K4142" s="421"/>
      <c r="L4142" s="23"/>
      <c r="M4142" s="19"/>
      <c r="N4142" s="19"/>
      <c r="O4142" s="19"/>
      <c r="P4142" s="19"/>
      <c r="Q4142" s="19"/>
    </row>
    <row r="4143" spans="2:17" hidden="1">
      <c r="B4143" s="19"/>
      <c r="C4143" s="19"/>
      <c r="D4143" s="19"/>
      <c r="E4143" s="19"/>
      <c r="F4143" s="19"/>
      <c r="G4143" s="19"/>
      <c r="H4143" s="19"/>
      <c r="I4143" s="19"/>
      <c r="J4143" s="19"/>
      <c r="K4143" s="421"/>
      <c r="L4143" s="23"/>
      <c r="M4143" s="19"/>
      <c r="N4143" s="19"/>
      <c r="O4143" s="19"/>
      <c r="P4143" s="19"/>
      <c r="Q4143" s="19"/>
    </row>
    <row r="4144" spans="2:17" hidden="1">
      <c r="B4144" s="19"/>
      <c r="C4144" s="19"/>
      <c r="D4144" s="19"/>
      <c r="E4144" s="19"/>
      <c r="F4144" s="19"/>
      <c r="G4144" s="19"/>
      <c r="H4144" s="19"/>
      <c r="I4144" s="19"/>
      <c r="J4144" s="19"/>
      <c r="K4144" s="421"/>
      <c r="L4144" s="23"/>
      <c r="M4144" s="19"/>
      <c r="N4144" s="19"/>
      <c r="O4144" s="19"/>
      <c r="P4144" s="19"/>
      <c r="Q4144" s="19"/>
    </row>
    <row r="4145" spans="2:17" hidden="1">
      <c r="B4145" s="19"/>
      <c r="C4145" s="19"/>
      <c r="D4145" s="19"/>
      <c r="E4145" s="19"/>
      <c r="F4145" s="19"/>
      <c r="G4145" s="19"/>
      <c r="H4145" s="19"/>
      <c r="I4145" s="19"/>
      <c r="J4145" s="19"/>
      <c r="K4145" s="421"/>
      <c r="L4145" s="23"/>
      <c r="M4145" s="19"/>
      <c r="N4145" s="19"/>
      <c r="O4145" s="19"/>
      <c r="P4145" s="19"/>
      <c r="Q4145" s="19"/>
    </row>
    <row r="4146" spans="2:17" hidden="1">
      <c r="B4146" s="19"/>
      <c r="C4146" s="19"/>
      <c r="D4146" s="19"/>
      <c r="E4146" s="19"/>
      <c r="F4146" s="19"/>
      <c r="G4146" s="19"/>
      <c r="H4146" s="19"/>
      <c r="I4146" s="19"/>
      <c r="J4146" s="19"/>
      <c r="K4146" s="421"/>
      <c r="L4146" s="23"/>
      <c r="M4146" s="19"/>
      <c r="N4146" s="19"/>
      <c r="O4146" s="19"/>
      <c r="P4146" s="19"/>
      <c r="Q4146" s="19"/>
    </row>
    <row r="4147" spans="2:17" hidden="1">
      <c r="B4147" s="19"/>
      <c r="C4147" s="19"/>
      <c r="D4147" s="19"/>
      <c r="E4147" s="19"/>
      <c r="F4147" s="19"/>
      <c r="G4147" s="19"/>
      <c r="H4147" s="19"/>
      <c r="I4147" s="19"/>
      <c r="J4147" s="19"/>
      <c r="K4147" s="421"/>
      <c r="L4147" s="23"/>
      <c r="M4147" s="19"/>
      <c r="N4147" s="19"/>
      <c r="O4147" s="19"/>
      <c r="P4147" s="19"/>
      <c r="Q4147" s="19"/>
    </row>
    <row r="4148" spans="2:17" hidden="1">
      <c r="B4148" s="19"/>
      <c r="C4148" s="19"/>
      <c r="D4148" s="19"/>
      <c r="E4148" s="19"/>
      <c r="F4148" s="19"/>
      <c r="G4148" s="19"/>
      <c r="H4148" s="19"/>
      <c r="I4148" s="19"/>
      <c r="J4148" s="19"/>
      <c r="K4148" s="421"/>
      <c r="L4148" s="23"/>
      <c r="M4148" s="19"/>
      <c r="N4148" s="19"/>
      <c r="O4148" s="19"/>
      <c r="P4148" s="19"/>
      <c r="Q4148" s="19"/>
    </row>
    <row r="4149" spans="2:17" hidden="1">
      <c r="B4149" s="19"/>
      <c r="C4149" s="19"/>
      <c r="D4149" s="19"/>
      <c r="E4149" s="19"/>
      <c r="F4149" s="19"/>
      <c r="G4149" s="19"/>
      <c r="H4149" s="19"/>
      <c r="I4149" s="19"/>
      <c r="J4149" s="19"/>
      <c r="K4149" s="421"/>
      <c r="L4149" s="23"/>
      <c r="M4149" s="19"/>
      <c r="N4149" s="19"/>
      <c r="O4149" s="19"/>
      <c r="P4149" s="19"/>
      <c r="Q4149" s="19"/>
    </row>
    <row r="4150" spans="2:17" hidden="1">
      <c r="B4150" s="19"/>
      <c r="C4150" s="19"/>
      <c r="D4150" s="19"/>
      <c r="E4150" s="19"/>
      <c r="F4150" s="19"/>
      <c r="G4150" s="19"/>
      <c r="H4150" s="19"/>
      <c r="I4150" s="19"/>
      <c r="J4150" s="19"/>
      <c r="K4150" s="421"/>
      <c r="L4150" s="23"/>
      <c r="M4150" s="19"/>
      <c r="N4150" s="19"/>
      <c r="O4150" s="19"/>
      <c r="P4150" s="19"/>
      <c r="Q4150" s="19"/>
    </row>
    <row r="4151" spans="2:17" hidden="1">
      <c r="B4151" s="19"/>
      <c r="C4151" s="19"/>
      <c r="D4151" s="19"/>
      <c r="E4151" s="19"/>
      <c r="F4151" s="19"/>
      <c r="G4151" s="19"/>
      <c r="H4151" s="19"/>
      <c r="I4151" s="19"/>
      <c r="J4151" s="19"/>
      <c r="K4151" s="421"/>
      <c r="L4151" s="23"/>
      <c r="M4151" s="19"/>
      <c r="N4151" s="19"/>
      <c r="O4151" s="19"/>
      <c r="P4151" s="19"/>
      <c r="Q4151" s="19"/>
    </row>
    <row r="4152" spans="2:17" hidden="1">
      <c r="B4152" s="19"/>
      <c r="C4152" s="19"/>
      <c r="D4152" s="19"/>
      <c r="E4152" s="19"/>
      <c r="F4152" s="19"/>
      <c r="G4152" s="19"/>
      <c r="H4152" s="19"/>
      <c r="I4152" s="19"/>
      <c r="J4152" s="19"/>
      <c r="K4152" s="421"/>
      <c r="L4152" s="23"/>
      <c r="M4152" s="19"/>
      <c r="N4152" s="19"/>
      <c r="O4152" s="19"/>
      <c r="P4152" s="19"/>
      <c r="Q4152" s="19"/>
    </row>
    <row r="4153" spans="2:17" hidden="1">
      <c r="B4153" s="19"/>
      <c r="C4153" s="19"/>
      <c r="D4153" s="19"/>
      <c r="E4153" s="19"/>
      <c r="F4153" s="19"/>
      <c r="G4153" s="19"/>
      <c r="H4153" s="19"/>
      <c r="I4153" s="19"/>
      <c r="J4153" s="19"/>
      <c r="K4153" s="421"/>
      <c r="L4153" s="23"/>
      <c r="M4153" s="19"/>
      <c r="N4153" s="19"/>
      <c r="O4153" s="19"/>
      <c r="P4153" s="19"/>
      <c r="Q4153" s="19"/>
    </row>
    <row r="4154" spans="2:17" hidden="1">
      <c r="B4154" s="19"/>
      <c r="C4154" s="19"/>
      <c r="D4154" s="19"/>
      <c r="E4154" s="19"/>
      <c r="F4154" s="19"/>
      <c r="G4154" s="19"/>
      <c r="H4154" s="19"/>
      <c r="I4154" s="19"/>
      <c r="J4154" s="19"/>
      <c r="K4154" s="421"/>
      <c r="L4154" s="23"/>
      <c r="M4154" s="19"/>
      <c r="N4154" s="19"/>
      <c r="O4154" s="19"/>
      <c r="P4154" s="19"/>
      <c r="Q4154" s="19"/>
    </row>
    <row r="4155" spans="2:17" hidden="1">
      <c r="B4155" s="19"/>
      <c r="C4155" s="19"/>
      <c r="D4155" s="19"/>
      <c r="E4155" s="19"/>
      <c r="F4155" s="19"/>
      <c r="G4155" s="19"/>
      <c r="H4155" s="19"/>
      <c r="I4155" s="19"/>
      <c r="J4155" s="19"/>
      <c r="K4155" s="421"/>
      <c r="L4155" s="23"/>
      <c r="M4155" s="19"/>
      <c r="N4155" s="19"/>
      <c r="O4155" s="19"/>
      <c r="P4155" s="19"/>
      <c r="Q4155" s="19"/>
    </row>
    <row r="4156" spans="2:17" hidden="1">
      <c r="B4156" s="19"/>
      <c r="C4156" s="19"/>
      <c r="D4156" s="19"/>
      <c r="E4156" s="19"/>
      <c r="F4156" s="19"/>
      <c r="G4156" s="19"/>
      <c r="H4156" s="19"/>
      <c r="I4156" s="19"/>
      <c r="J4156" s="19"/>
      <c r="K4156" s="421"/>
      <c r="L4156" s="23"/>
      <c r="M4156" s="19"/>
      <c r="N4156" s="19"/>
      <c r="O4156" s="19"/>
      <c r="P4156" s="19"/>
      <c r="Q4156" s="19"/>
    </row>
    <row r="4157" spans="2:17" hidden="1">
      <c r="B4157" s="19"/>
      <c r="C4157" s="19"/>
      <c r="D4157" s="19"/>
      <c r="E4157" s="19"/>
      <c r="F4157" s="19"/>
      <c r="G4157" s="19"/>
      <c r="H4157" s="19"/>
      <c r="I4157" s="19"/>
      <c r="J4157" s="19"/>
      <c r="K4157" s="421"/>
      <c r="L4157" s="23"/>
      <c r="M4157" s="19"/>
      <c r="N4157" s="19"/>
      <c r="O4157" s="19"/>
      <c r="P4157" s="19"/>
      <c r="Q4157" s="19"/>
    </row>
    <row r="4158" spans="2:17" hidden="1">
      <c r="B4158" s="19"/>
      <c r="C4158" s="19"/>
      <c r="D4158" s="19"/>
      <c r="E4158" s="19"/>
      <c r="F4158" s="19"/>
      <c r="G4158" s="19"/>
      <c r="H4158" s="19"/>
      <c r="I4158" s="19"/>
      <c r="J4158" s="19"/>
      <c r="K4158" s="421"/>
      <c r="L4158" s="23"/>
      <c r="M4158" s="19"/>
      <c r="N4158" s="19"/>
      <c r="O4158" s="19"/>
      <c r="P4158" s="19"/>
      <c r="Q4158" s="19"/>
    </row>
    <row r="4159" spans="2:17" hidden="1">
      <c r="B4159" s="19"/>
      <c r="C4159" s="19"/>
      <c r="D4159" s="19"/>
      <c r="E4159" s="19"/>
      <c r="F4159" s="19"/>
      <c r="G4159" s="19"/>
      <c r="H4159" s="19"/>
      <c r="I4159" s="19"/>
      <c r="J4159" s="19"/>
      <c r="K4159" s="421"/>
      <c r="L4159" s="23"/>
      <c r="M4159" s="19"/>
      <c r="N4159" s="19"/>
      <c r="O4159" s="19"/>
      <c r="P4159" s="19"/>
      <c r="Q4159" s="19"/>
    </row>
    <row r="4160" spans="2:17" hidden="1">
      <c r="B4160" s="19"/>
      <c r="C4160" s="19"/>
      <c r="D4160" s="19"/>
      <c r="E4160" s="19"/>
      <c r="F4160" s="19"/>
      <c r="G4160" s="19"/>
      <c r="H4160" s="19"/>
      <c r="I4160" s="19"/>
      <c r="J4160" s="19"/>
      <c r="K4160" s="421"/>
      <c r="L4160" s="23"/>
      <c r="M4160" s="19"/>
      <c r="N4160" s="19"/>
      <c r="O4160" s="19"/>
      <c r="P4160" s="19"/>
      <c r="Q4160" s="19"/>
    </row>
    <row r="4161" spans="2:17" hidden="1">
      <c r="B4161" s="19"/>
      <c r="C4161" s="19"/>
      <c r="D4161" s="19"/>
      <c r="E4161" s="19"/>
      <c r="F4161" s="19"/>
      <c r="G4161" s="19"/>
      <c r="H4161" s="19"/>
      <c r="I4161" s="19"/>
      <c r="J4161" s="19"/>
      <c r="K4161" s="421"/>
      <c r="L4161" s="23"/>
      <c r="M4161" s="19"/>
      <c r="N4161" s="19"/>
      <c r="O4161" s="19"/>
      <c r="P4161" s="19"/>
      <c r="Q4161" s="19"/>
    </row>
    <row r="4162" spans="2:17" hidden="1">
      <c r="B4162" s="19"/>
      <c r="C4162" s="19"/>
      <c r="D4162" s="19"/>
      <c r="E4162" s="19"/>
      <c r="F4162" s="19"/>
      <c r="G4162" s="19"/>
      <c r="H4162" s="19"/>
      <c r="I4162" s="19"/>
      <c r="J4162" s="19"/>
      <c r="K4162" s="421"/>
      <c r="L4162" s="23"/>
      <c r="M4162" s="19"/>
      <c r="N4162" s="19"/>
      <c r="O4162" s="19"/>
      <c r="P4162" s="19"/>
      <c r="Q4162" s="19"/>
    </row>
    <row r="4163" spans="2:17" hidden="1">
      <c r="B4163" s="19"/>
      <c r="C4163" s="19"/>
      <c r="D4163" s="19"/>
      <c r="E4163" s="19"/>
      <c r="F4163" s="19"/>
      <c r="G4163" s="19"/>
      <c r="H4163" s="19"/>
      <c r="I4163" s="19"/>
      <c r="J4163" s="19"/>
      <c r="K4163" s="421"/>
      <c r="L4163" s="23"/>
      <c r="M4163" s="19"/>
      <c r="N4163" s="19"/>
      <c r="O4163" s="19"/>
      <c r="P4163" s="19"/>
      <c r="Q4163" s="19"/>
    </row>
    <row r="4164" spans="2:17" hidden="1">
      <c r="B4164" s="19"/>
      <c r="C4164" s="19"/>
      <c r="D4164" s="19"/>
      <c r="E4164" s="19"/>
      <c r="F4164" s="19"/>
      <c r="G4164" s="19"/>
      <c r="H4164" s="19"/>
      <c r="I4164" s="19"/>
      <c r="J4164" s="19"/>
      <c r="K4164" s="421"/>
      <c r="L4164" s="23"/>
      <c r="M4164" s="19"/>
      <c r="N4164" s="19"/>
      <c r="O4164" s="19"/>
      <c r="P4164" s="19"/>
      <c r="Q4164" s="19"/>
    </row>
    <row r="4165" spans="2:17" hidden="1">
      <c r="B4165" s="19"/>
      <c r="C4165" s="19"/>
      <c r="D4165" s="19"/>
      <c r="E4165" s="19"/>
      <c r="F4165" s="19"/>
      <c r="G4165" s="19"/>
      <c r="H4165" s="19"/>
      <c r="I4165" s="19"/>
      <c r="J4165" s="19"/>
      <c r="K4165" s="421"/>
      <c r="L4165" s="23"/>
      <c r="M4165" s="19"/>
      <c r="N4165" s="19"/>
      <c r="O4165" s="19"/>
      <c r="P4165" s="19"/>
      <c r="Q4165" s="19"/>
    </row>
    <row r="4166" spans="2:17" hidden="1">
      <c r="B4166" s="19"/>
      <c r="C4166" s="19"/>
      <c r="D4166" s="19"/>
      <c r="E4166" s="19"/>
      <c r="F4166" s="19"/>
      <c r="G4166" s="19"/>
      <c r="H4166" s="19"/>
      <c r="I4166" s="19"/>
      <c r="J4166" s="19"/>
      <c r="K4166" s="421"/>
      <c r="L4166" s="23"/>
      <c r="M4166" s="19"/>
      <c r="N4166" s="19"/>
      <c r="O4166" s="19"/>
      <c r="P4166" s="19"/>
      <c r="Q4166" s="19"/>
    </row>
    <row r="4167" spans="2:17" hidden="1">
      <c r="B4167" s="19"/>
      <c r="C4167" s="19"/>
      <c r="D4167" s="19"/>
      <c r="E4167" s="19"/>
      <c r="F4167" s="19"/>
      <c r="G4167" s="19"/>
      <c r="H4167" s="19"/>
      <c r="I4167" s="19"/>
      <c r="J4167" s="19"/>
      <c r="K4167" s="421"/>
      <c r="L4167" s="23"/>
      <c r="M4167" s="19"/>
      <c r="N4167" s="19"/>
      <c r="O4167" s="19"/>
      <c r="P4167" s="19"/>
      <c r="Q4167" s="19"/>
    </row>
    <row r="4168" spans="2:17" hidden="1">
      <c r="B4168" s="19"/>
      <c r="C4168" s="19"/>
      <c r="D4168" s="19"/>
      <c r="E4168" s="19"/>
      <c r="F4168" s="19"/>
      <c r="G4168" s="19"/>
      <c r="H4168" s="19"/>
      <c r="I4168" s="19"/>
      <c r="J4168" s="19"/>
      <c r="K4168" s="421"/>
      <c r="L4168" s="23"/>
      <c r="M4168" s="19"/>
      <c r="N4168" s="19"/>
      <c r="O4168" s="19"/>
      <c r="P4168" s="19"/>
      <c r="Q4168" s="19"/>
    </row>
    <row r="4169" spans="2:17" hidden="1">
      <c r="B4169" s="19"/>
      <c r="C4169" s="19"/>
      <c r="D4169" s="19"/>
      <c r="E4169" s="19"/>
      <c r="F4169" s="19"/>
      <c r="G4169" s="19"/>
      <c r="H4169" s="19"/>
      <c r="I4169" s="19"/>
      <c r="J4169" s="19"/>
      <c r="K4169" s="421"/>
      <c r="L4169" s="23"/>
      <c r="M4169" s="19"/>
      <c r="N4169" s="19"/>
      <c r="O4169" s="19"/>
      <c r="P4169" s="19"/>
      <c r="Q4169" s="19"/>
    </row>
    <row r="4170" spans="2:17" hidden="1">
      <c r="B4170" s="19"/>
      <c r="C4170" s="19"/>
      <c r="D4170" s="19"/>
      <c r="E4170" s="19"/>
      <c r="F4170" s="19"/>
      <c r="G4170" s="19"/>
      <c r="H4170" s="19"/>
      <c r="I4170" s="19"/>
      <c r="J4170" s="19"/>
      <c r="K4170" s="421"/>
      <c r="L4170" s="23"/>
      <c r="M4170" s="19"/>
      <c r="N4170" s="19"/>
      <c r="O4170" s="19"/>
      <c r="P4170" s="19"/>
      <c r="Q4170" s="19"/>
    </row>
    <row r="4171" spans="2:17" hidden="1">
      <c r="B4171" s="19"/>
      <c r="C4171" s="19"/>
      <c r="D4171" s="19"/>
      <c r="E4171" s="19"/>
      <c r="F4171" s="19"/>
      <c r="G4171" s="19"/>
      <c r="H4171" s="19"/>
      <c r="I4171" s="19"/>
      <c r="J4171" s="19"/>
      <c r="K4171" s="421"/>
      <c r="L4171" s="23"/>
      <c r="M4171" s="19"/>
      <c r="N4171" s="19"/>
      <c r="O4171" s="19"/>
      <c r="P4171" s="19"/>
      <c r="Q4171" s="19"/>
    </row>
    <row r="4172" spans="2:17" hidden="1">
      <c r="B4172" s="19"/>
      <c r="C4172" s="19"/>
      <c r="D4172" s="19"/>
      <c r="E4172" s="19"/>
      <c r="F4172" s="19"/>
      <c r="G4172" s="19"/>
      <c r="H4172" s="19"/>
      <c r="I4172" s="19"/>
      <c r="J4172" s="19"/>
      <c r="K4172" s="421"/>
      <c r="L4172" s="23"/>
      <c r="M4172" s="19"/>
      <c r="N4172" s="19"/>
      <c r="O4172" s="19"/>
      <c r="P4172" s="19"/>
      <c r="Q4172" s="19"/>
    </row>
    <row r="4173" spans="2:17" hidden="1">
      <c r="B4173" s="19"/>
      <c r="C4173" s="19"/>
      <c r="D4173" s="19"/>
      <c r="E4173" s="19"/>
      <c r="F4173" s="19"/>
      <c r="G4173" s="19"/>
      <c r="H4173" s="19"/>
      <c r="I4173" s="19"/>
      <c r="J4173" s="19"/>
      <c r="K4173" s="421"/>
      <c r="L4173" s="23"/>
      <c r="M4173" s="19"/>
      <c r="N4173" s="19"/>
      <c r="O4173" s="19"/>
      <c r="P4173" s="19"/>
      <c r="Q4173" s="19"/>
    </row>
    <row r="4174" spans="2:17" hidden="1">
      <c r="B4174" s="19"/>
      <c r="C4174" s="19"/>
      <c r="D4174" s="19"/>
      <c r="E4174" s="19"/>
      <c r="F4174" s="19"/>
      <c r="G4174" s="19"/>
      <c r="H4174" s="19"/>
      <c r="I4174" s="19"/>
      <c r="J4174" s="19"/>
      <c r="K4174" s="421"/>
      <c r="L4174" s="23"/>
      <c r="M4174" s="19"/>
      <c r="N4174" s="19"/>
      <c r="O4174" s="19"/>
      <c r="P4174" s="19"/>
      <c r="Q4174" s="19"/>
    </row>
    <row r="4175" spans="2:17" hidden="1">
      <c r="B4175" s="19"/>
      <c r="C4175" s="19"/>
      <c r="D4175" s="19"/>
      <c r="E4175" s="19"/>
      <c r="F4175" s="19"/>
      <c r="G4175" s="19"/>
      <c r="H4175" s="19"/>
      <c r="I4175" s="19"/>
      <c r="J4175" s="19"/>
      <c r="K4175" s="421"/>
      <c r="L4175" s="23"/>
      <c r="M4175" s="19"/>
      <c r="N4175" s="19"/>
      <c r="O4175" s="19"/>
      <c r="P4175" s="19"/>
      <c r="Q4175" s="19"/>
    </row>
    <row r="4176" spans="2:17" hidden="1">
      <c r="B4176" s="19"/>
      <c r="C4176" s="19"/>
      <c r="D4176" s="19"/>
      <c r="E4176" s="19"/>
      <c r="F4176" s="19"/>
      <c r="G4176" s="19"/>
      <c r="H4176" s="19"/>
      <c r="I4176" s="19"/>
      <c r="J4176" s="19"/>
      <c r="K4176" s="421"/>
      <c r="L4176" s="23"/>
      <c r="M4176" s="19"/>
      <c r="N4176" s="19"/>
      <c r="O4176" s="19"/>
      <c r="P4176" s="19"/>
      <c r="Q4176" s="19"/>
    </row>
    <row r="4177" spans="2:17" hidden="1">
      <c r="B4177" s="19"/>
      <c r="C4177" s="19"/>
      <c r="D4177" s="19"/>
      <c r="E4177" s="19"/>
      <c r="F4177" s="19"/>
      <c r="G4177" s="19"/>
      <c r="H4177" s="19"/>
      <c r="I4177" s="19"/>
      <c r="J4177" s="19"/>
      <c r="K4177" s="421"/>
      <c r="L4177" s="23"/>
      <c r="M4177" s="19"/>
      <c r="N4177" s="19"/>
      <c r="O4177" s="19"/>
      <c r="P4177" s="19"/>
      <c r="Q4177" s="19"/>
    </row>
    <row r="4178" spans="2:17" hidden="1">
      <c r="B4178" s="19"/>
      <c r="C4178" s="19"/>
      <c r="D4178" s="19"/>
      <c r="E4178" s="19"/>
      <c r="F4178" s="19"/>
      <c r="G4178" s="19"/>
      <c r="H4178" s="19"/>
      <c r="I4178" s="19"/>
      <c r="J4178" s="19"/>
      <c r="K4178" s="421"/>
      <c r="L4178" s="23"/>
      <c r="M4178" s="19"/>
      <c r="N4178" s="19"/>
      <c r="O4178" s="19"/>
      <c r="P4178" s="19"/>
      <c r="Q4178" s="19"/>
    </row>
    <row r="4179" spans="2:17" hidden="1">
      <c r="B4179" s="19"/>
      <c r="C4179" s="19"/>
      <c r="D4179" s="19"/>
      <c r="E4179" s="19"/>
      <c r="F4179" s="19"/>
      <c r="G4179" s="19"/>
      <c r="H4179" s="19"/>
      <c r="I4179" s="19"/>
      <c r="J4179" s="19"/>
      <c r="K4179" s="421"/>
      <c r="L4179" s="23"/>
      <c r="M4179" s="19"/>
      <c r="N4179" s="19"/>
      <c r="O4179" s="19"/>
      <c r="P4179" s="19"/>
      <c r="Q4179" s="19"/>
    </row>
    <row r="4180" spans="2:17" hidden="1">
      <c r="B4180" s="19"/>
      <c r="C4180" s="19"/>
      <c r="D4180" s="19"/>
      <c r="E4180" s="19"/>
      <c r="F4180" s="19"/>
      <c r="G4180" s="19"/>
      <c r="H4180" s="19"/>
      <c r="I4180" s="19"/>
      <c r="J4180" s="19"/>
      <c r="K4180" s="421"/>
      <c r="L4180" s="23"/>
      <c r="M4180" s="19"/>
      <c r="N4180" s="19"/>
      <c r="O4180" s="19"/>
      <c r="P4180" s="19"/>
      <c r="Q4180" s="19"/>
    </row>
    <row r="4181" spans="2:17" hidden="1">
      <c r="B4181" s="19"/>
      <c r="C4181" s="19"/>
      <c r="D4181" s="19"/>
      <c r="E4181" s="19"/>
      <c r="F4181" s="19"/>
      <c r="G4181" s="19"/>
      <c r="H4181" s="19"/>
      <c r="I4181" s="19"/>
      <c r="J4181" s="19"/>
      <c r="K4181" s="421"/>
      <c r="L4181" s="23"/>
      <c r="M4181" s="19"/>
      <c r="N4181" s="19"/>
      <c r="O4181" s="19"/>
      <c r="P4181" s="19"/>
      <c r="Q4181" s="19"/>
    </row>
    <row r="4182" spans="2:17" hidden="1">
      <c r="B4182" s="19"/>
      <c r="C4182" s="19"/>
      <c r="D4182" s="19"/>
      <c r="E4182" s="19"/>
      <c r="F4182" s="19"/>
      <c r="G4182" s="19"/>
      <c r="H4182" s="19"/>
      <c r="I4182" s="19"/>
      <c r="J4182" s="19"/>
      <c r="K4182" s="421"/>
      <c r="L4182" s="23"/>
      <c r="M4182" s="19"/>
      <c r="N4182" s="19"/>
      <c r="O4182" s="19"/>
      <c r="P4182" s="19"/>
      <c r="Q4182" s="19"/>
    </row>
    <row r="4183" spans="2:17" hidden="1">
      <c r="B4183" s="19"/>
      <c r="C4183" s="19"/>
      <c r="D4183" s="19"/>
      <c r="E4183" s="19"/>
      <c r="F4183" s="19"/>
      <c r="G4183" s="19"/>
      <c r="H4183" s="19"/>
      <c r="I4183" s="19"/>
      <c r="J4183" s="19"/>
      <c r="K4183" s="421"/>
      <c r="L4183" s="23"/>
      <c r="M4183" s="19"/>
      <c r="N4183" s="19"/>
      <c r="O4183" s="19"/>
      <c r="P4183" s="19"/>
      <c r="Q4183" s="19"/>
    </row>
    <row r="4184" spans="2:17" hidden="1">
      <c r="B4184" s="19"/>
      <c r="C4184" s="19"/>
      <c r="D4184" s="19"/>
      <c r="E4184" s="19"/>
      <c r="F4184" s="19"/>
      <c r="G4184" s="19"/>
      <c r="H4184" s="19"/>
      <c r="I4184" s="19"/>
      <c r="J4184" s="19"/>
      <c r="K4184" s="421"/>
      <c r="L4184" s="23"/>
      <c r="M4184" s="19"/>
      <c r="N4184" s="19"/>
      <c r="O4184" s="19"/>
      <c r="P4184" s="19"/>
      <c r="Q4184" s="19"/>
    </row>
    <row r="4185" spans="2:17" hidden="1">
      <c r="B4185" s="19"/>
      <c r="C4185" s="19"/>
      <c r="D4185" s="19"/>
      <c r="E4185" s="19"/>
      <c r="F4185" s="19"/>
      <c r="G4185" s="19"/>
      <c r="H4185" s="19"/>
      <c r="I4185" s="19"/>
      <c r="J4185" s="19"/>
      <c r="K4185" s="421"/>
      <c r="L4185" s="23"/>
      <c r="M4185" s="19"/>
      <c r="N4185" s="19"/>
      <c r="O4185" s="19"/>
      <c r="P4185" s="19"/>
      <c r="Q4185" s="19"/>
    </row>
    <row r="4186" spans="2:17" hidden="1">
      <c r="B4186" s="19"/>
      <c r="C4186" s="19"/>
      <c r="D4186" s="19"/>
      <c r="E4186" s="19"/>
      <c r="F4186" s="19"/>
      <c r="G4186" s="19"/>
      <c r="H4186" s="19"/>
      <c r="I4186" s="19"/>
      <c r="J4186" s="19"/>
      <c r="K4186" s="421"/>
      <c r="L4186" s="23"/>
      <c r="M4186" s="19"/>
      <c r="N4186" s="19"/>
      <c r="O4186" s="19"/>
      <c r="P4186" s="19"/>
      <c r="Q4186" s="19"/>
    </row>
    <row r="4187" spans="2:17" hidden="1">
      <c r="B4187" s="19"/>
      <c r="C4187" s="19"/>
      <c r="D4187" s="19"/>
      <c r="E4187" s="19"/>
      <c r="F4187" s="19"/>
      <c r="G4187" s="19"/>
      <c r="H4187" s="19"/>
      <c r="I4187" s="19"/>
      <c r="J4187" s="19"/>
      <c r="K4187" s="421"/>
      <c r="L4187" s="23"/>
      <c r="M4187" s="19"/>
      <c r="N4187" s="19"/>
      <c r="O4187" s="19"/>
      <c r="P4187" s="19"/>
      <c r="Q4187" s="19"/>
    </row>
    <row r="4188" spans="2:17" hidden="1">
      <c r="B4188" s="19"/>
      <c r="C4188" s="19"/>
      <c r="D4188" s="19"/>
      <c r="E4188" s="19"/>
      <c r="F4188" s="19"/>
      <c r="G4188" s="19"/>
      <c r="H4188" s="19"/>
      <c r="I4188" s="19"/>
      <c r="J4188" s="19"/>
      <c r="K4188" s="421"/>
      <c r="L4188" s="23"/>
      <c r="M4188" s="19"/>
      <c r="N4188" s="19"/>
      <c r="O4188" s="19"/>
      <c r="P4188" s="19"/>
      <c r="Q4188" s="19"/>
    </row>
    <row r="4189" spans="2:17" hidden="1">
      <c r="B4189" s="19"/>
      <c r="C4189" s="19"/>
      <c r="D4189" s="19"/>
      <c r="E4189" s="19"/>
      <c r="F4189" s="19"/>
      <c r="G4189" s="19"/>
      <c r="H4189" s="19"/>
      <c r="I4189" s="19"/>
      <c r="J4189" s="19"/>
      <c r="K4189" s="421"/>
      <c r="L4189" s="23"/>
      <c r="M4189" s="19"/>
      <c r="N4189" s="19"/>
      <c r="O4189" s="19"/>
      <c r="P4189" s="19"/>
      <c r="Q4189" s="19"/>
    </row>
    <row r="4190" spans="2:17" hidden="1">
      <c r="B4190" s="19"/>
      <c r="C4190" s="19"/>
      <c r="D4190" s="19"/>
      <c r="E4190" s="19"/>
      <c r="F4190" s="19"/>
      <c r="G4190" s="19"/>
      <c r="H4190" s="19"/>
      <c r="I4190" s="19"/>
      <c r="J4190" s="19"/>
      <c r="K4190" s="421"/>
      <c r="L4190" s="23"/>
      <c r="M4190" s="19"/>
      <c r="N4190" s="19"/>
      <c r="O4190" s="19"/>
      <c r="P4190" s="19"/>
      <c r="Q4190" s="19"/>
    </row>
    <row r="4191" spans="2:17" hidden="1">
      <c r="B4191" s="19"/>
      <c r="C4191" s="19"/>
      <c r="D4191" s="19"/>
      <c r="E4191" s="19"/>
      <c r="F4191" s="19"/>
      <c r="G4191" s="19"/>
      <c r="H4191" s="19"/>
      <c r="I4191" s="19"/>
      <c r="J4191" s="19"/>
      <c r="K4191" s="421"/>
      <c r="L4191" s="23"/>
      <c r="M4191" s="19"/>
      <c r="N4191" s="19"/>
      <c r="O4191" s="19"/>
      <c r="P4191" s="19"/>
      <c r="Q4191" s="19"/>
    </row>
    <row r="4192" spans="2:17" hidden="1">
      <c r="B4192" s="19"/>
      <c r="C4192" s="19"/>
      <c r="D4192" s="19"/>
      <c r="E4192" s="19"/>
      <c r="F4192" s="19"/>
      <c r="G4192" s="19"/>
      <c r="H4192" s="19"/>
      <c r="I4192" s="19"/>
      <c r="J4192" s="19"/>
      <c r="K4192" s="421"/>
      <c r="L4192" s="23"/>
      <c r="M4192" s="19"/>
      <c r="N4192" s="19"/>
      <c r="O4192" s="19"/>
      <c r="P4192" s="19"/>
      <c r="Q4192" s="19"/>
    </row>
    <row r="4193" spans="2:17" hidden="1">
      <c r="B4193" s="19"/>
      <c r="C4193" s="19"/>
      <c r="D4193" s="19"/>
      <c r="E4193" s="19"/>
      <c r="F4193" s="19"/>
      <c r="G4193" s="19"/>
      <c r="H4193" s="19"/>
      <c r="I4193" s="19"/>
      <c r="J4193" s="19"/>
      <c r="K4193" s="421"/>
      <c r="L4193" s="23"/>
      <c r="M4193" s="19"/>
      <c r="N4193" s="19"/>
      <c r="O4193" s="19"/>
      <c r="P4193" s="19"/>
      <c r="Q4193" s="19"/>
    </row>
    <row r="4194" spans="2:17" hidden="1">
      <c r="B4194" s="19"/>
      <c r="C4194" s="19"/>
      <c r="D4194" s="19"/>
      <c r="E4194" s="19"/>
      <c r="F4194" s="19"/>
      <c r="G4194" s="19"/>
      <c r="H4194" s="19"/>
      <c r="I4194" s="19"/>
      <c r="J4194" s="19"/>
      <c r="K4194" s="421"/>
      <c r="L4194" s="23"/>
      <c r="M4194" s="19"/>
      <c r="N4194" s="19"/>
      <c r="O4194" s="19"/>
      <c r="P4194" s="19"/>
      <c r="Q4194" s="19"/>
    </row>
    <row r="4195" spans="2:17" hidden="1">
      <c r="B4195" s="19"/>
      <c r="C4195" s="19"/>
      <c r="D4195" s="19"/>
      <c r="E4195" s="19"/>
      <c r="F4195" s="19"/>
      <c r="G4195" s="19"/>
      <c r="H4195" s="19"/>
      <c r="I4195" s="19"/>
      <c r="J4195" s="19"/>
      <c r="K4195" s="421"/>
      <c r="L4195" s="23"/>
      <c r="M4195" s="19"/>
      <c r="N4195" s="19"/>
      <c r="O4195" s="19"/>
      <c r="P4195" s="19"/>
      <c r="Q4195" s="19"/>
    </row>
    <row r="4196" spans="2:17" hidden="1">
      <c r="B4196" s="19"/>
      <c r="C4196" s="19"/>
      <c r="D4196" s="19"/>
      <c r="E4196" s="19"/>
      <c r="F4196" s="19"/>
      <c r="G4196" s="19"/>
      <c r="H4196" s="19"/>
      <c r="I4196" s="19"/>
      <c r="J4196" s="19"/>
      <c r="K4196" s="421"/>
      <c r="L4196" s="23"/>
      <c r="M4196" s="19"/>
      <c r="N4196" s="19"/>
      <c r="O4196" s="19"/>
      <c r="P4196" s="19"/>
      <c r="Q4196" s="19"/>
    </row>
    <row r="4197" spans="2:17" hidden="1">
      <c r="B4197" s="19"/>
      <c r="C4197" s="19"/>
      <c r="D4197" s="19"/>
      <c r="E4197" s="19"/>
      <c r="F4197" s="19"/>
      <c r="G4197" s="19"/>
      <c r="H4197" s="19"/>
      <c r="I4197" s="19"/>
      <c r="J4197" s="19"/>
      <c r="K4197" s="421"/>
      <c r="L4197" s="23"/>
      <c r="M4197" s="19"/>
      <c r="N4197" s="19"/>
      <c r="O4197" s="19"/>
      <c r="P4197" s="19"/>
      <c r="Q4197" s="19"/>
    </row>
    <row r="4198" spans="2:17" hidden="1">
      <c r="B4198" s="19"/>
      <c r="C4198" s="19"/>
      <c r="D4198" s="19"/>
      <c r="E4198" s="19"/>
      <c r="F4198" s="19"/>
      <c r="G4198" s="19"/>
      <c r="H4198" s="19"/>
      <c r="I4198" s="19"/>
      <c r="J4198" s="19"/>
      <c r="K4198" s="421"/>
      <c r="L4198" s="23"/>
      <c r="M4198" s="19"/>
      <c r="N4198" s="19"/>
      <c r="O4198" s="19"/>
      <c r="P4198" s="19"/>
      <c r="Q4198" s="19"/>
    </row>
    <row r="4199" spans="2:17" hidden="1">
      <c r="B4199" s="19"/>
      <c r="C4199" s="19"/>
      <c r="D4199" s="19"/>
      <c r="E4199" s="19"/>
      <c r="F4199" s="19"/>
      <c r="G4199" s="19"/>
      <c r="H4199" s="19"/>
      <c r="I4199" s="19"/>
      <c r="J4199" s="19"/>
      <c r="K4199" s="421"/>
      <c r="L4199" s="23"/>
      <c r="M4199" s="19"/>
      <c r="N4199" s="19"/>
      <c r="O4199" s="19"/>
      <c r="P4199" s="19"/>
      <c r="Q4199" s="19"/>
    </row>
    <row r="4200" spans="2:17" hidden="1">
      <c r="B4200" s="19"/>
      <c r="C4200" s="19"/>
      <c r="D4200" s="19"/>
      <c r="E4200" s="19"/>
      <c r="F4200" s="19"/>
      <c r="G4200" s="19"/>
      <c r="H4200" s="19"/>
      <c r="I4200" s="19"/>
      <c r="J4200" s="19"/>
      <c r="K4200" s="421"/>
      <c r="L4200" s="23"/>
      <c r="M4200" s="19"/>
      <c r="N4200" s="19"/>
      <c r="O4200" s="19"/>
      <c r="P4200" s="19"/>
      <c r="Q4200" s="19"/>
    </row>
    <row r="4201" spans="2:17" hidden="1">
      <c r="B4201" s="19"/>
      <c r="C4201" s="19"/>
      <c r="D4201" s="19"/>
      <c r="E4201" s="19"/>
      <c r="F4201" s="19"/>
      <c r="G4201" s="19"/>
      <c r="H4201" s="19"/>
      <c r="I4201" s="19"/>
      <c r="J4201" s="19"/>
      <c r="K4201" s="421"/>
      <c r="L4201" s="23"/>
      <c r="M4201" s="19"/>
      <c r="N4201" s="19"/>
      <c r="O4201" s="19"/>
      <c r="P4201" s="19"/>
      <c r="Q4201" s="19"/>
    </row>
    <row r="4202" spans="2:17" hidden="1">
      <c r="B4202" s="19"/>
      <c r="C4202" s="19"/>
      <c r="D4202" s="19"/>
      <c r="E4202" s="19"/>
      <c r="F4202" s="19"/>
      <c r="G4202" s="19"/>
      <c r="H4202" s="19"/>
      <c r="I4202" s="19"/>
      <c r="J4202" s="19"/>
      <c r="K4202" s="421"/>
      <c r="L4202" s="23"/>
      <c r="M4202" s="19"/>
      <c r="N4202" s="19"/>
      <c r="O4202" s="19"/>
      <c r="P4202" s="19"/>
      <c r="Q4202" s="19"/>
    </row>
    <row r="4203" spans="2:17" hidden="1">
      <c r="B4203" s="19"/>
      <c r="C4203" s="19"/>
      <c r="D4203" s="19"/>
      <c r="E4203" s="19"/>
      <c r="F4203" s="19"/>
      <c r="G4203" s="19"/>
      <c r="H4203" s="19"/>
      <c r="I4203" s="19"/>
      <c r="J4203" s="19"/>
      <c r="K4203" s="421"/>
      <c r="L4203" s="23"/>
      <c r="M4203" s="19"/>
      <c r="N4203" s="19"/>
      <c r="O4203" s="19"/>
      <c r="P4203" s="19"/>
      <c r="Q4203" s="19"/>
    </row>
    <row r="4204" spans="2:17" hidden="1">
      <c r="B4204" s="19"/>
      <c r="C4204" s="19"/>
      <c r="D4204" s="19"/>
      <c r="E4204" s="19"/>
      <c r="F4204" s="19"/>
      <c r="G4204" s="19"/>
      <c r="H4204" s="19"/>
      <c r="I4204" s="19"/>
      <c r="J4204" s="19"/>
      <c r="K4204" s="421"/>
      <c r="L4204" s="23"/>
      <c r="M4204" s="19"/>
      <c r="N4204" s="19"/>
      <c r="O4204" s="19"/>
      <c r="P4204" s="19"/>
      <c r="Q4204" s="19"/>
    </row>
    <row r="4205" spans="2:17" hidden="1">
      <c r="B4205" s="19"/>
      <c r="C4205" s="19"/>
      <c r="D4205" s="19"/>
      <c r="E4205" s="19"/>
      <c r="F4205" s="19"/>
      <c r="G4205" s="19"/>
      <c r="H4205" s="19"/>
      <c r="I4205" s="19"/>
      <c r="J4205" s="19"/>
      <c r="K4205" s="421"/>
      <c r="L4205" s="23"/>
      <c r="M4205" s="19"/>
      <c r="N4205" s="19"/>
      <c r="O4205" s="19"/>
      <c r="P4205" s="19"/>
      <c r="Q4205" s="19"/>
    </row>
    <row r="4206" spans="2:17" hidden="1">
      <c r="B4206" s="19"/>
      <c r="C4206" s="19"/>
      <c r="D4206" s="19"/>
      <c r="E4206" s="19"/>
      <c r="F4206" s="19"/>
      <c r="G4206" s="19"/>
      <c r="H4206" s="19"/>
      <c r="I4206" s="19"/>
      <c r="J4206" s="19"/>
      <c r="K4206" s="421"/>
      <c r="L4206" s="23"/>
      <c r="M4206" s="19"/>
      <c r="N4206" s="19"/>
      <c r="O4206" s="19"/>
      <c r="P4206" s="19"/>
      <c r="Q4206" s="19"/>
    </row>
    <row r="4207" spans="2:17" hidden="1">
      <c r="B4207" s="19"/>
      <c r="C4207" s="19"/>
      <c r="D4207" s="19"/>
      <c r="E4207" s="19"/>
      <c r="F4207" s="19"/>
      <c r="G4207" s="19"/>
      <c r="H4207" s="19"/>
      <c r="I4207" s="19"/>
      <c r="J4207" s="19"/>
      <c r="K4207" s="421"/>
      <c r="L4207" s="23"/>
      <c r="M4207" s="19"/>
      <c r="N4207" s="19"/>
      <c r="O4207" s="19"/>
      <c r="P4207" s="19"/>
      <c r="Q4207" s="19"/>
    </row>
    <row r="4208" spans="2:17" hidden="1">
      <c r="B4208" s="19"/>
      <c r="C4208" s="19"/>
      <c r="D4208" s="19"/>
      <c r="E4208" s="19"/>
      <c r="F4208" s="19"/>
      <c r="G4208" s="19"/>
      <c r="H4208" s="19"/>
      <c r="I4208" s="19"/>
      <c r="J4208" s="19"/>
      <c r="K4208" s="421"/>
      <c r="L4208" s="23"/>
      <c r="M4208" s="19"/>
      <c r="N4208" s="19"/>
      <c r="O4208" s="19"/>
      <c r="P4208" s="19"/>
      <c r="Q4208" s="19"/>
    </row>
    <row r="4209" spans="2:17" hidden="1">
      <c r="B4209" s="19"/>
      <c r="C4209" s="19"/>
      <c r="D4209" s="19"/>
      <c r="E4209" s="19"/>
      <c r="F4209" s="19"/>
      <c r="G4209" s="19"/>
      <c r="H4209" s="19"/>
      <c r="I4209" s="19"/>
      <c r="J4209" s="19"/>
      <c r="K4209" s="421"/>
      <c r="L4209" s="23"/>
      <c r="M4209" s="19"/>
      <c r="N4209" s="19"/>
      <c r="O4209" s="19"/>
      <c r="P4209" s="19"/>
      <c r="Q4209" s="19"/>
    </row>
    <row r="4210" spans="2:17" hidden="1">
      <c r="B4210" s="19"/>
      <c r="C4210" s="19"/>
      <c r="D4210" s="19"/>
      <c r="E4210" s="19"/>
      <c r="F4210" s="19"/>
      <c r="G4210" s="19"/>
      <c r="H4210" s="19"/>
      <c r="I4210" s="19"/>
      <c r="J4210" s="19"/>
      <c r="K4210" s="421"/>
      <c r="L4210" s="23"/>
      <c r="M4210" s="19"/>
      <c r="N4210" s="19"/>
      <c r="O4210" s="19"/>
      <c r="P4210" s="19"/>
      <c r="Q4210" s="19"/>
    </row>
    <row r="4211" spans="2:17" hidden="1">
      <c r="B4211" s="19"/>
      <c r="C4211" s="19"/>
      <c r="D4211" s="19"/>
      <c r="E4211" s="19"/>
      <c r="F4211" s="19"/>
      <c r="G4211" s="19"/>
      <c r="H4211" s="19"/>
      <c r="I4211" s="19"/>
      <c r="J4211" s="19"/>
      <c r="K4211" s="421"/>
      <c r="L4211" s="23"/>
      <c r="M4211" s="19"/>
      <c r="N4211" s="19"/>
      <c r="O4211" s="19"/>
      <c r="P4211" s="19"/>
      <c r="Q4211" s="19"/>
    </row>
    <row r="4212" spans="2:17" hidden="1">
      <c r="B4212" s="19"/>
      <c r="C4212" s="19"/>
      <c r="D4212" s="19"/>
      <c r="E4212" s="19"/>
      <c r="F4212" s="19"/>
      <c r="G4212" s="19"/>
      <c r="H4212" s="19"/>
      <c r="I4212" s="19"/>
      <c r="J4212" s="19"/>
      <c r="K4212" s="421"/>
      <c r="L4212" s="23"/>
      <c r="M4212" s="19"/>
      <c r="N4212" s="19"/>
      <c r="O4212" s="19"/>
      <c r="P4212" s="19"/>
      <c r="Q4212" s="19"/>
    </row>
    <row r="4213" spans="2:17" hidden="1">
      <c r="B4213" s="19"/>
      <c r="C4213" s="19"/>
      <c r="D4213" s="19"/>
      <c r="E4213" s="19"/>
      <c r="F4213" s="19"/>
      <c r="G4213" s="19"/>
      <c r="H4213" s="19"/>
      <c r="I4213" s="19"/>
      <c r="J4213" s="19"/>
      <c r="K4213" s="421"/>
      <c r="L4213" s="23"/>
      <c r="M4213" s="19"/>
      <c r="N4213" s="19"/>
      <c r="O4213" s="19"/>
      <c r="P4213" s="19"/>
      <c r="Q4213" s="19"/>
    </row>
    <row r="4214" spans="2:17" hidden="1">
      <c r="B4214" s="19"/>
      <c r="C4214" s="19"/>
      <c r="D4214" s="19"/>
      <c r="E4214" s="19"/>
      <c r="F4214" s="19"/>
      <c r="G4214" s="19"/>
      <c r="H4214" s="19"/>
      <c r="I4214" s="19"/>
      <c r="J4214" s="19"/>
      <c r="K4214" s="421"/>
      <c r="L4214" s="23"/>
      <c r="M4214" s="19"/>
      <c r="N4214" s="19"/>
      <c r="O4214" s="19"/>
      <c r="P4214" s="19"/>
      <c r="Q4214" s="19"/>
    </row>
    <row r="4215" spans="2:17" hidden="1">
      <c r="B4215" s="19"/>
      <c r="C4215" s="19"/>
      <c r="D4215" s="19"/>
      <c r="E4215" s="19"/>
      <c r="F4215" s="19"/>
      <c r="G4215" s="19"/>
      <c r="H4215" s="19"/>
      <c r="I4215" s="19"/>
      <c r="J4215" s="19"/>
      <c r="K4215" s="421"/>
      <c r="L4215" s="23"/>
      <c r="M4215" s="19"/>
      <c r="N4215" s="19"/>
      <c r="O4215" s="19"/>
      <c r="P4215" s="19"/>
      <c r="Q4215" s="19"/>
    </row>
    <row r="4216" spans="2:17" hidden="1">
      <c r="B4216" s="19"/>
      <c r="C4216" s="19"/>
      <c r="D4216" s="19"/>
      <c r="E4216" s="19"/>
      <c r="F4216" s="19"/>
      <c r="G4216" s="19"/>
      <c r="H4216" s="19"/>
      <c r="I4216" s="19"/>
      <c r="J4216" s="19"/>
      <c r="K4216" s="421"/>
      <c r="L4216" s="23"/>
      <c r="M4216" s="19"/>
      <c r="N4216" s="19"/>
      <c r="O4216" s="19"/>
      <c r="P4216" s="19"/>
      <c r="Q4216" s="19"/>
    </row>
    <row r="4217" spans="2:17" hidden="1">
      <c r="B4217" s="19"/>
      <c r="C4217" s="19"/>
      <c r="D4217" s="19"/>
      <c r="E4217" s="19"/>
      <c r="F4217" s="19"/>
      <c r="G4217" s="19"/>
      <c r="H4217" s="19"/>
      <c r="I4217" s="19"/>
      <c r="J4217" s="19"/>
      <c r="K4217" s="421"/>
      <c r="L4217" s="23"/>
      <c r="M4217" s="19"/>
      <c r="N4217" s="19"/>
      <c r="O4217" s="19"/>
      <c r="P4217" s="19"/>
      <c r="Q4217" s="19"/>
    </row>
    <row r="4218" spans="2:17" hidden="1">
      <c r="B4218" s="19"/>
      <c r="C4218" s="19"/>
      <c r="D4218" s="19"/>
      <c r="E4218" s="19"/>
      <c r="F4218" s="19"/>
      <c r="G4218" s="19"/>
      <c r="H4218" s="19"/>
      <c r="I4218" s="19"/>
      <c r="J4218" s="19"/>
      <c r="K4218" s="421"/>
      <c r="L4218" s="23"/>
      <c r="M4218" s="19"/>
      <c r="N4218" s="19"/>
      <c r="O4218" s="19"/>
      <c r="P4218" s="19"/>
      <c r="Q4218" s="19"/>
    </row>
    <row r="4219" spans="2:17" hidden="1">
      <c r="B4219" s="19"/>
      <c r="C4219" s="19"/>
      <c r="D4219" s="19"/>
      <c r="E4219" s="19"/>
      <c r="F4219" s="19"/>
      <c r="G4219" s="19"/>
      <c r="H4219" s="19"/>
      <c r="I4219" s="19"/>
      <c r="J4219" s="19"/>
      <c r="K4219" s="421"/>
      <c r="L4219" s="23"/>
      <c r="M4219" s="19"/>
      <c r="N4219" s="19"/>
      <c r="O4219" s="19"/>
      <c r="P4219" s="19"/>
      <c r="Q4219" s="19"/>
    </row>
    <row r="4220" spans="2:17" hidden="1">
      <c r="B4220" s="19"/>
      <c r="C4220" s="19"/>
      <c r="D4220" s="19"/>
      <c r="E4220" s="19"/>
      <c r="F4220" s="19"/>
      <c r="G4220" s="19"/>
      <c r="H4220" s="19"/>
      <c r="I4220" s="19"/>
      <c r="J4220" s="19"/>
      <c r="K4220" s="421"/>
      <c r="L4220" s="23"/>
      <c r="M4220" s="19"/>
      <c r="N4220" s="19"/>
      <c r="O4220" s="19"/>
      <c r="P4220" s="19"/>
      <c r="Q4220" s="19"/>
    </row>
    <row r="4221" spans="2:17" hidden="1">
      <c r="B4221" s="19"/>
      <c r="C4221" s="19"/>
      <c r="D4221" s="19"/>
      <c r="E4221" s="19"/>
      <c r="F4221" s="19"/>
      <c r="G4221" s="19"/>
      <c r="H4221" s="19"/>
      <c r="I4221" s="19"/>
      <c r="J4221" s="19"/>
      <c r="K4221" s="421"/>
      <c r="L4221" s="23"/>
      <c r="M4221" s="19"/>
      <c r="N4221" s="19"/>
      <c r="O4221" s="19"/>
      <c r="P4221" s="19"/>
      <c r="Q4221" s="19"/>
    </row>
    <row r="4222" spans="2:17" hidden="1">
      <c r="B4222" s="19"/>
      <c r="C4222" s="19"/>
      <c r="D4222" s="19"/>
      <c r="E4222" s="19"/>
      <c r="F4222" s="19"/>
      <c r="G4222" s="19"/>
      <c r="H4222" s="19"/>
      <c r="I4222" s="19"/>
      <c r="J4222" s="19"/>
      <c r="K4222" s="421"/>
      <c r="L4222" s="23"/>
      <c r="M4222" s="19"/>
      <c r="N4222" s="19"/>
      <c r="O4222" s="19"/>
      <c r="P4222" s="19"/>
      <c r="Q4222" s="19"/>
    </row>
    <row r="4223" spans="2:17" hidden="1">
      <c r="B4223" s="19"/>
      <c r="C4223" s="19"/>
      <c r="D4223" s="19"/>
      <c r="E4223" s="19"/>
      <c r="F4223" s="19"/>
      <c r="G4223" s="19"/>
      <c r="H4223" s="19"/>
      <c r="I4223" s="19"/>
      <c r="J4223" s="19"/>
      <c r="K4223" s="421"/>
      <c r="L4223" s="23"/>
      <c r="M4223" s="19"/>
      <c r="N4223" s="19"/>
      <c r="O4223" s="19"/>
      <c r="P4223" s="19"/>
      <c r="Q4223" s="19"/>
    </row>
    <row r="4224" spans="2:17" hidden="1">
      <c r="B4224" s="19"/>
      <c r="C4224" s="19"/>
      <c r="D4224" s="19"/>
      <c r="E4224" s="19"/>
      <c r="F4224" s="19"/>
      <c r="G4224" s="19"/>
      <c r="H4224" s="19"/>
      <c r="I4224" s="19"/>
      <c r="J4224" s="19"/>
      <c r="K4224" s="421"/>
      <c r="L4224" s="23"/>
      <c r="M4224" s="19"/>
      <c r="N4224" s="19"/>
      <c r="O4224" s="19"/>
      <c r="P4224" s="19"/>
      <c r="Q4224" s="19"/>
    </row>
    <row r="4225" spans="2:17" hidden="1">
      <c r="B4225" s="19"/>
      <c r="C4225" s="19"/>
      <c r="D4225" s="19"/>
      <c r="E4225" s="19"/>
      <c r="F4225" s="19"/>
      <c r="G4225" s="19"/>
      <c r="H4225" s="19"/>
      <c r="I4225" s="19"/>
      <c r="J4225" s="19"/>
      <c r="K4225" s="421"/>
      <c r="L4225" s="23"/>
      <c r="M4225" s="19"/>
      <c r="N4225" s="19"/>
      <c r="O4225" s="19"/>
      <c r="P4225" s="19"/>
      <c r="Q4225" s="19"/>
    </row>
    <row r="4226" spans="2:17" hidden="1">
      <c r="B4226" s="19"/>
      <c r="C4226" s="19"/>
      <c r="D4226" s="19"/>
      <c r="E4226" s="19"/>
      <c r="F4226" s="19"/>
      <c r="G4226" s="19"/>
      <c r="H4226" s="19"/>
      <c r="I4226" s="19"/>
      <c r="J4226" s="19"/>
      <c r="K4226" s="421"/>
      <c r="L4226" s="23"/>
      <c r="M4226" s="19"/>
      <c r="N4226" s="19"/>
      <c r="O4226" s="19"/>
      <c r="P4226" s="19"/>
      <c r="Q4226" s="19"/>
    </row>
    <row r="4227" spans="2:17" hidden="1">
      <c r="B4227" s="19"/>
      <c r="C4227" s="19"/>
      <c r="D4227" s="19"/>
      <c r="E4227" s="19"/>
      <c r="F4227" s="19"/>
      <c r="G4227" s="19"/>
      <c r="H4227" s="19"/>
      <c r="I4227" s="19"/>
      <c r="J4227" s="19"/>
      <c r="K4227" s="421"/>
      <c r="L4227" s="23"/>
      <c r="M4227" s="19"/>
      <c r="N4227" s="19"/>
      <c r="O4227" s="19"/>
      <c r="P4227" s="19"/>
      <c r="Q4227" s="19"/>
    </row>
    <row r="4228" spans="2:17" hidden="1">
      <c r="B4228" s="19"/>
      <c r="C4228" s="19"/>
      <c r="D4228" s="19"/>
      <c r="E4228" s="19"/>
      <c r="F4228" s="19"/>
      <c r="G4228" s="19"/>
      <c r="H4228" s="19"/>
      <c r="I4228" s="19"/>
      <c r="J4228" s="19"/>
      <c r="K4228" s="421"/>
      <c r="L4228" s="23"/>
      <c r="M4228" s="19"/>
      <c r="N4228" s="19"/>
      <c r="O4228" s="19"/>
      <c r="P4228" s="19"/>
      <c r="Q4228" s="19"/>
    </row>
    <row r="4229" spans="2:17" hidden="1">
      <c r="B4229" s="19"/>
      <c r="C4229" s="19"/>
      <c r="D4229" s="19"/>
      <c r="E4229" s="19"/>
      <c r="F4229" s="19"/>
      <c r="G4229" s="19"/>
      <c r="H4229" s="19"/>
      <c r="I4229" s="19"/>
      <c r="J4229" s="19"/>
      <c r="K4229" s="421"/>
      <c r="L4229" s="23"/>
      <c r="M4229" s="19"/>
      <c r="N4229" s="19"/>
      <c r="O4229" s="19"/>
      <c r="P4229" s="19"/>
      <c r="Q4229" s="19"/>
    </row>
    <row r="4230" spans="2:17" hidden="1">
      <c r="I4230" s="20"/>
      <c r="K4230" s="423"/>
      <c r="L4230" s="44"/>
      <c r="M4230" s="19"/>
      <c r="N4230" s="19"/>
      <c r="O4230" s="19"/>
      <c r="P4230" s="19"/>
      <c r="Q4230" s="19"/>
    </row>
    <row r="4231" spans="2:17" hidden="1">
      <c r="I4231" s="20"/>
      <c r="M4231" s="19"/>
      <c r="N4231" s="19"/>
      <c r="O4231" s="19"/>
      <c r="P4231" s="19"/>
      <c r="Q4231" s="19"/>
    </row>
    <row r="4232" spans="2:17" hidden="1">
      <c r="I4232" s="20"/>
      <c r="M4232" s="19"/>
      <c r="N4232" s="19"/>
      <c r="O4232" s="19"/>
      <c r="P4232" s="19"/>
      <c r="Q4232" s="19"/>
    </row>
    <row r="4233" spans="2:17" hidden="1">
      <c r="I4233" s="20"/>
      <c r="M4233" s="19"/>
      <c r="N4233" s="19"/>
      <c r="O4233" s="19"/>
      <c r="P4233" s="19"/>
      <c r="Q4233" s="19"/>
    </row>
    <row r="4234" spans="2:17" hidden="1">
      <c r="I4234" s="20"/>
      <c r="M4234" s="19"/>
      <c r="N4234" s="19"/>
      <c r="O4234" s="19"/>
      <c r="P4234" s="19"/>
      <c r="Q4234" s="19"/>
    </row>
    <row r="4235" spans="2:17" hidden="1">
      <c r="I4235" s="20"/>
      <c r="M4235" s="19"/>
      <c r="N4235" s="19"/>
      <c r="O4235" s="19"/>
      <c r="P4235" s="19"/>
      <c r="Q4235" s="19"/>
    </row>
    <row r="4236" spans="2:17" hidden="1">
      <c r="I4236" s="20"/>
      <c r="M4236" s="19"/>
      <c r="N4236" s="19"/>
      <c r="O4236" s="19"/>
      <c r="P4236" s="19"/>
      <c r="Q4236" s="19"/>
    </row>
    <row r="4237" spans="2:17" hidden="1">
      <c r="I4237" s="20"/>
      <c r="M4237" s="19"/>
      <c r="N4237" s="19"/>
      <c r="O4237" s="19"/>
      <c r="P4237" s="19"/>
      <c r="Q4237" s="19"/>
    </row>
    <row r="4238" spans="2:17" hidden="1">
      <c r="I4238" s="20"/>
      <c r="M4238" s="19"/>
      <c r="N4238" s="19"/>
      <c r="O4238" s="19"/>
      <c r="P4238" s="19"/>
      <c r="Q4238" s="19"/>
    </row>
    <row r="4239" spans="2:17" hidden="1">
      <c r="I4239" s="20"/>
      <c r="M4239" s="19"/>
      <c r="N4239" s="19"/>
      <c r="O4239" s="19"/>
      <c r="P4239" s="19"/>
      <c r="Q4239" s="19"/>
    </row>
    <row r="4240" spans="2:17" hidden="1">
      <c r="I4240" s="20"/>
      <c r="M4240" s="19"/>
      <c r="N4240" s="19"/>
      <c r="O4240" s="19"/>
      <c r="P4240" s="19"/>
      <c r="Q4240" s="19"/>
    </row>
    <row r="4241" spans="9:17" hidden="1">
      <c r="I4241" s="20"/>
      <c r="M4241" s="19"/>
      <c r="N4241" s="19"/>
      <c r="O4241" s="19"/>
      <c r="P4241" s="19"/>
      <c r="Q4241" s="19"/>
    </row>
    <row r="4242" spans="9:17" hidden="1">
      <c r="I4242" s="20"/>
      <c r="M4242" s="19"/>
      <c r="N4242" s="19"/>
      <c r="O4242" s="19"/>
      <c r="P4242" s="19"/>
      <c r="Q4242" s="19"/>
    </row>
    <row r="4243" spans="9:17" hidden="1">
      <c r="I4243" s="20"/>
      <c r="M4243" s="19"/>
      <c r="N4243" s="19"/>
      <c r="O4243" s="19"/>
      <c r="P4243" s="19"/>
      <c r="Q4243" s="19"/>
    </row>
    <row r="4244" spans="9:17" hidden="1">
      <c r="I4244" s="20"/>
      <c r="M4244" s="19"/>
      <c r="N4244" s="19"/>
      <c r="O4244" s="19"/>
      <c r="P4244" s="19"/>
      <c r="Q4244" s="19"/>
    </row>
    <row r="4245" spans="9:17" hidden="1">
      <c r="I4245" s="20"/>
      <c r="M4245" s="19"/>
      <c r="N4245" s="19"/>
      <c r="O4245" s="19"/>
      <c r="P4245" s="19"/>
      <c r="Q4245" s="19"/>
    </row>
    <row r="4246" spans="9:17" hidden="1">
      <c r="I4246" s="20"/>
      <c r="M4246" s="19"/>
      <c r="N4246" s="19"/>
      <c r="O4246" s="19"/>
      <c r="P4246" s="19"/>
      <c r="Q4246" s="19"/>
    </row>
    <row r="4247" spans="9:17" hidden="1">
      <c r="I4247" s="20"/>
      <c r="M4247" s="19"/>
      <c r="N4247" s="19"/>
      <c r="O4247" s="19"/>
      <c r="P4247" s="19"/>
      <c r="Q4247" s="19"/>
    </row>
    <row r="4248" spans="9:17" hidden="1">
      <c r="I4248" s="20"/>
      <c r="M4248" s="19"/>
      <c r="N4248" s="19"/>
      <c r="O4248" s="19"/>
      <c r="P4248" s="19"/>
      <c r="Q4248" s="19"/>
    </row>
    <row r="4249" spans="9:17" hidden="1">
      <c r="I4249" s="20"/>
      <c r="M4249" s="19"/>
      <c r="N4249" s="19"/>
      <c r="O4249" s="19"/>
      <c r="P4249" s="19"/>
      <c r="Q4249" s="19"/>
    </row>
    <row r="4250" spans="9:17" hidden="1">
      <c r="I4250" s="20"/>
      <c r="M4250" s="19"/>
      <c r="N4250" s="19"/>
      <c r="O4250" s="19"/>
      <c r="P4250" s="19"/>
      <c r="Q4250" s="19"/>
    </row>
    <row r="4251" spans="9:17" hidden="1">
      <c r="I4251" s="20"/>
      <c r="M4251" s="19"/>
      <c r="N4251" s="19"/>
      <c r="O4251" s="19"/>
      <c r="P4251" s="19"/>
      <c r="Q4251" s="19"/>
    </row>
    <row r="4252" spans="9:17" hidden="1">
      <c r="I4252" s="20"/>
      <c r="M4252" s="19"/>
      <c r="N4252" s="19"/>
      <c r="O4252" s="19"/>
      <c r="P4252" s="19"/>
      <c r="Q4252" s="19"/>
    </row>
    <row r="4253" spans="9:17" hidden="1">
      <c r="I4253" s="20"/>
      <c r="M4253" s="19"/>
      <c r="N4253" s="19"/>
      <c r="O4253" s="19"/>
      <c r="P4253" s="19"/>
      <c r="Q4253" s="19"/>
    </row>
    <row r="4254" spans="9:17" hidden="1">
      <c r="I4254" s="20"/>
      <c r="M4254" s="19"/>
      <c r="N4254" s="19"/>
      <c r="O4254" s="19"/>
      <c r="P4254" s="19"/>
      <c r="Q4254" s="19"/>
    </row>
    <row r="4255" spans="9:17" hidden="1">
      <c r="I4255" s="20"/>
      <c r="M4255" s="19"/>
      <c r="N4255" s="19"/>
      <c r="O4255" s="19"/>
      <c r="P4255" s="19"/>
      <c r="Q4255" s="19"/>
    </row>
    <row r="4256" spans="9:17" hidden="1">
      <c r="I4256" s="20"/>
      <c r="M4256" s="19"/>
      <c r="N4256" s="19"/>
      <c r="O4256" s="19"/>
      <c r="P4256" s="19"/>
      <c r="Q4256" s="19"/>
    </row>
    <row r="4257" spans="9:17" hidden="1">
      <c r="I4257" s="20"/>
      <c r="M4257" s="19"/>
      <c r="N4257" s="19"/>
      <c r="O4257" s="19"/>
      <c r="P4257" s="19"/>
      <c r="Q4257" s="19"/>
    </row>
    <row r="4258" spans="9:17" hidden="1">
      <c r="I4258" s="20"/>
      <c r="M4258" s="19"/>
      <c r="N4258" s="19"/>
      <c r="O4258" s="19"/>
      <c r="P4258" s="19"/>
      <c r="Q4258" s="19"/>
    </row>
    <row r="4259" spans="9:17" hidden="1">
      <c r="I4259" s="20"/>
      <c r="M4259" s="19"/>
      <c r="N4259" s="19"/>
      <c r="O4259" s="19"/>
      <c r="P4259" s="19"/>
      <c r="Q4259" s="19"/>
    </row>
    <row r="4260" spans="9:17" hidden="1">
      <c r="I4260" s="20"/>
      <c r="M4260" s="19"/>
      <c r="N4260" s="19"/>
      <c r="O4260" s="19"/>
      <c r="P4260" s="19"/>
      <c r="Q4260" s="19"/>
    </row>
    <row r="4261" spans="9:17" hidden="1">
      <c r="I4261" s="20"/>
      <c r="M4261" s="19"/>
      <c r="N4261" s="19"/>
      <c r="O4261" s="19"/>
      <c r="P4261" s="19"/>
      <c r="Q4261" s="19"/>
    </row>
    <row r="4262" spans="9:17" hidden="1">
      <c r="I4262" s="20"/>
      <c r="M4262" s="19"/>
      <c r="N4262" s="19"/>
      <c r="O4262" s="19"/>
      <c r="P4262" s="19"/>
      <c r="Q4262" s="19"/>
    </row>
    <row r="4263" spans="9:17" hidden="1">
      <c r="I4263" s="20"/>
      <c r="M4263" s="19"/>
      <c r="N4263" s="19"/>
      <c r="O4263" s="19"/>
      <c r="P4263" s="19"/>
      <c r="Q4263" s="19"/>
    </row>
    <row r="4264" spans="9:17" hidden="1">
      <c r="I4264" s="20"/>
      <c r="M4264" s="19"/>
      <c r="N4264" s="19"/>
      <c r="O4264" s="19"/>
      <c r="P4264" s="19"/>
      <c r="Q4264" s="19"/>
    </row>
    <row r="4265" spans="9:17" hidden="1">
      <c r="I4265" s="20"/>
      <c r="M4265" s="19"/>
      <c r="N4265" s="19"/>
      <c r="O4265" s="19"/>
      <c r="P4265" s="19"/>
      <c r="Q4265" s="19"/>
    </row>
    <row r="4266" spans="9:17" hidden="1">
      <c r="I4266" s="20"/>
      <c r="M4266" s="19"/>
      <c r="N4266" s="19"/>
      <c r="O4266" s="19"/>
      <c r="P4266" s="19"/>
      <c r="Q4266" s="19"/>
    </row>
    <row r="4267" spans="9:17" hidden="1">
      <c r="I4267" s="20"/>
      <c r="M4267" s="19"/>
      <c r="N4267" s="19"/>
      <c r="O4267" s="19"/>
      <c r="P4267" s="19"/>
      <c r="Q4267" s="19"/>
    </row>
    <row r="4268" spans="9:17" hidden="1">
      <c r="I4268" s="20"/>
      <c r="M4268" s="19"/>
      <c r="N4268" s="19"/>
      <c r="O4268" s="19"/>
      <c r="P4268" s="19"/>
      <c r="Q4268" s="19"/>
    </row>
    <row r="4269" spans="9:17" hidden="1">
      <c r="I4269" s="20"/>
      <c r="M4269" s="19"/>
      <c r="N4269" s="19"/>
      <c r="O4269" s="19"/>
      <c r="P4269" s="19"/>
      <c r="Q4269" s="19"/>
    </row>
    <row r="4270" spans="9:17" hidden="1">
      <c r="I4270" s="20"/>
      <c r="M4270" s="19"/>
      <c r="N4270" s="19"/>
      <c r="O4270" s="19"/>
      <c r="P4270" s="19"/>
      <c r="Q4270" s="19"/>
    </row>
    <row r="4271" spans="9:17" hidden="1">
      <c r="I4271" s="20"/>
      <c r="M4271" s="19"/>
      <c r="N4271" s="19"/>
      <c r="O4271" s="19"/>
      <c r="P4271" s="19"/>
      <c r="Q4271" s="19"/>
    </row>
    <row r="4272" spans="9:17" hidden="1">
      <c r="I4272" s="20"/>
      <c r="M4272" s="19"/>
      <c r="N4272" s="19"/>
      <c r="O4272" s="19"/>
      <c r="P4272" s="19"/>
      <c r="Q4272" s="19"/>
    </row>
    <row r="4273" spans="9:17" hidden="1">
      <c r="I4273" s="20"/>
      <c r="M4273" s="19"/>
      <c r="N4273" s="19"/>
      <c r="O4273" s="19"/>
      <c r="P4273" s="19"/>
      <c r="Q4273" s="19"/>
    </row>
    <row r="4274" spans="9:17" hidden="1">
      <c r="I4274" s="20"/>
      <c r="M4274" s="19"/>
      <c r="N4274" s="19"/>
      <c r="O4274" s="19"/>
      <c r="P4274" s="19"/>
      <c r="Q4274" s="19"/>
    </row>
    <row r="4275" spans="9:17" hidden="1">
      <c r="I4275" s="20"/>
      <c r="M4275" s="19"/>
      <c r="N4275" s="19"/>
      <c r="O4275" s="19"/>
      <c r="P4275" s="19"/>
      <c r="Q4275" s="19"/>
    </row>
    <row r="4276" spans="9:17" hidden="1">
      <c r="I4276" s="20"/>
      <c r="M4276" s="19"/>
      <c r="N4276" s="19"/>
      <c r="O4276" s="19"/>
      <c r="P4276" s="19"/>
      <c r="Q4276" s="19"/>
    </row>
    <row r="4277" spans="9:17" hidden="1">
      <c r="I4277" s="20"/>
      <c r="M4277" s="19"/>
      <c r="N4277" s="19"/>
      <c r="O4277" s="19"/>
      <c r="P4277" s="19"/>
      <c r="Q4277" s="19"/>
    </row>
    <row r="4278" spans="9:17" hidden="1">
      <c r="I4278" s="20"/>
      <c r="M4278" s="19"/>
      <c r="N4278" s="19"/>
      <c r="O4278" s="19"/>
      <c r="P4278" s="19"/>
      <c r="Q4278" s="19"/>
    </row>
    <row r="4279" spans="9:17" hidden="1">
      <c r="I4279" s="20"/>
      <c r="M4279" s="19"/>
      <c r="N4279" s="19"/>
      <c r="O4279" s="19"/>
      <c r="P4279" s="19"/>
      <c r="Q4279" s="19"/>
    </row>
    <row r="4280" spans="9:17" hidden="1">
      <c r="I4280" s="20"/>
      <c r="M4280" s="19"/>
      <c r="N4280" s="19"/>
      <c r="O4280" s="19"/>
      <c r="P4280" s="19"/>
      <c r="Q4280" s="19"/>
    </row>
    <row r="4281" spans="9:17" hidden="1">
      <c r="I4281" s="20"/>
      <c r="M4281" s="19"/>
      <c r="N4281" s="19"/>
      <c r="O4281" s="19"/>
      <c r="P4281" s="19"/>
      <c r="Q4281" s="19"/>
    </row>
    <row r="4282" spans="9:17" hidden="1">
      <c r="I4282" s="20"/>
      <c r="M4282" s="19"/>
      <c r="N4282" s="19"/>
      <c r="O4282" s="19"/>
      <c r="P4282" s="19"/>
      <c r="Q4282" s="19"/>
    </row>
    <row r="4283" spans="9:17" hidden="1">
      <c r="I4283" s="20"/>
      <c r="M4283" s="19"/>
      <c r="N4283" s="19"/>
      <c r="O4283" s="19"/>
      <c r="P4283" s="19"/>
      <c r="Q4283" s="19"/>
    </row>
    <row r="4284" spans="9:17" hidden="1">
      <c r="I4284" s="20"/>
      <c r="M4284" s="19"/>
      <c r="N4284" s="19"/>
      <c r="O4284" s="19"/>
      <c r="P4284" s="19"/>
      <c r="Q4284" s="19"/>
    </row>
    <row r="4285" spans="9:17" hidden="1">
      <c r="I4285" s="20"/>
      <c r="M4285" s="19"/>
      <c r="N4285" s="19"/>
      <c r="O4285" s="19"/>
      <c r="P4285" s="19"/>
      <c r="Q4285" s="19"/>
    </row>
    <row r="4286" spans="9:17" hidden="1">
      <c r="I4286" s="20"/>
      <c r="M4286" s="19"/>
      <c r="N4286" s="19"/>
      <c r="O4286" s="19"/>
      <c r="P4286" s="19"/>
      <c r="Q4286" s="19"/>
    </row>
    <row r="4287" spans="9:17" hidden="1">
      <c r="I4287" s="20"/>
      <c r="M4287" s="19"/>
      <c r="N4287" s="19"/>
      <c r="O4287" s="19"/>
      <c r="P4287" s="19"/>
      <c r="Q4287" s="19"/>
    </row>
    <row r="4288" spans="9:17" hidden="1">
      <c r="I4288" s="20"/>
      <c r="M4288" s="19"/>
      <c r="N4288" s="19"/>
      <c r="O4288" s="19"/>
      <c r="P4288" s="19"/>
      <c r="Q4288" s="19"/>
    </row>
    <row r="4289" spans="9:17" hidden="1">
      <c r="I4289" s="20"/>
      <c r="M4289" s="19"/>
      <c r="N4289" s="19"/>
      <c r="O4289" s="19"/>
      <c r="P4289" s="19"/>
      <c r="Q4289" s="19"/>
    </row>
    <row r="4290" spans="9:17" hidden="1">
      <c r="I4290" s="20"/>
      <c r="M4290" s="19"/>
      <c r="N4290" s="19"/>
      <c r="O4290" s="19"/>
      <c r="P4290" s="19"/>
      <c r="Q4290" s="19"/>
    </row>
    <row r="4291" spans="9:17" hidden="1">
      <c r="I4291" s="20"/>
      <c r="M4291" s="19"/>
      <c r="N4291" s="19"/>
      <c r="O4291" s="19"/>
      <c r="P4291" s="19"/>
      <c r="Q4291" s="19"/>
    </row>
    <row r="4292" spans="9:17" hidden="1">
      <c r="I4292" s="20"/>
      <c r="M4292" s="19"/>
      <c r="N4292" s="19"/>
      <c r="O4292" s="19"/>
      <c r="P4292" s="19"/>
      <c r="Q4292" s="19"/>
    </row>
    <row r="4293" spans="9:17" hidden="1">
      <c r="I4293" s="20"/>
      <c r="M4293" s="19"/>
      <c r="N4293" s="19"/>
      <c r="O4293" s="19"/>
      <c r="P4293" s="19"/>
      <c r="Q4293" s="19"/>
    </row>
    <row r="4294" spans="9:17" hidden="1">
      <c r="I4294" s="20"/>
      <c r="M4294" s="19"/>
      <c r="N4294" s="19"/>
      <c r="O4294" s="19"/>
      <c r="P4294" s="19"/>
      <c r="Q4294" s="19"/>
    </row>
    <row r="4295" spans="9:17" hidden="1">
      <c r="I4295" s="20"/>
      <c r="M4295" s="19"/>
      <c r="N4295" s="19"/>
      <c r="O4295" s="19"/>
      <c r="P4295" s="19"/>
      <c r="Q4295" s="19"/>
    </row>
    <row r="4296" spans="9:17" hidden="1">
      <c r="I4296" s="20"/>
      <c r="M4296" s="19"/>
      <c r="N4296" s="19"/>
      <c r="O4296" s="19"/>
      <c r="P4296" s="19"/>
      <c r="Q4296" s="19"/>
    </row>
    <row r="4297" spans="9:17" hidden="1">
      <c r="I4297" s="20"/>
      <c r="M4297" s="19"/>
      <c r="N4297" s="19"/>
      <c r="O4297" s="19"/>
      <c r="P4297" s="19"/>
      <c r="Q4297" s="19"/>
    </row>
    <row r="4298" spans="9:17" hidden="1">
      <c r="I4298" s="20"/>
      <c r="M4298" s="19"/>
      <c r="N4298" s="19"/>
      <c r="O4298" s="19"/>
      <c r="P4298" s="19"/>
      <c r="Q4298" s="19"/>
    </row>
    <row r="4299" spans="9:17" hidden="1">
      <c r="I4299" s="20"/>
      <c r="M4299" s="19"/>
      <c r="N4299" s="19"/>
      <c r="O4299" s="19"/>
      <c r="P4299" s="19"/>
      <c r="Q4299" s="19"/>
    </row>
    <row r="4300" spans="9:17" hidden="1">
      <c r="I4300" s="20"/>
      <c r="M4300" s="19"/>
      <c r="N4300" s="19"/>
      <c r="O4300" s="19"/>
      <c r="P4300" s="19"/>
      <c r="Q4300" s="19"/>
    </row>
    <row r="4301" spans="9:17" hidden="1">
      <c r="I4301" s="20"/>
      <c r="M4301" s="19"/>
      <c r="N4301" s="19"/>
      <c r="O4301" s="19"/>
      <c r="P4301" s="19"/>
      <c r="Q4301" s="19"/>
    </row>
    <row r="4302" spans="9:17" hidden="1">
      <c r="I4302" s="20"/>
      <c r="M4302" s="19"/>
      <c r="N4302" s="19"/>
      <c r="O4302" s="19"/>
      <c r="P4302" s="19"/>
      <c r="Q4302" s="19"/>
    </row>
    <row r="4303" spans="9:17" hidden="1">
      <c r="I4303" s="20"/>
      <c r="M4303" s="19"/>
      <c r="N4303" s="19"/>
      <c r="O4303" s="19"/>
      <c r="P4303" s="19"/>
      <c r="Q4303" s="19"/>
    </row>
    <row r="4304" spans="9:17" hidden="1">
      <c r="I4304" s="20"/>
      <c r="M4304" s="19"/>
      <c r="N4304" s="19"/>
      <c r="O4304" s="19"/>
      <c r="P4304" s="19"/>
      <c r="Q4304" s="19"/>
    </row>
    <row r="4305" spans="9:17" hidden="1">
      <c r="I4305" s="20"/>
      <c r="M4305" s="19"/>
      <c r="N4305" s="19"/>
      <c r="O4305" s="19"/>
      <c r="P4305" s="19"/>
      <c r="Q4305" s="19"/>
    </row>
    <row r="4306" spans="9:17" hidden="1">
      <c r="I4306" s="20"/>
      <c r="M4306" s="19"/>
      <c r="N4306" s="19"/>
      <c r="O4306" s="19"/>
      <c r="P4306" s="19"/>
      <c r="Q4306" s="19"/>
    </row>
    <row r="4307" spans="9:17" hidden="1">
      <c r="I4307" s="20"/>
      <c r="M4307" s="19"/>
      <c r="N4307" s="19"/>
      <c r="O4307" s="19"/>
      <c r="P4307" s="19"/>
      <c r="Q4307" s="19"/>
    </row>
    <row r="4308" spans="9:17" hidden="1">
      <c r="I4308" s="20"/>
      <c r="M4308" s="19"/>
      <c r="N4308" s="19"/>
      <c r="O4308" s="19"/>
      <c r="P4308" s="19"/>
      <c r="Q4308" s="19"/>
    </row>
    <row r="4309" spans="9:17" hidden="1">
      <c r="I4309" s="20"/>
      <c r="M4309" s="19"/>
      <c r="N4309" s="19"/>
      <c r="O4309" s="19"/>
      <c r="P4309" s="19"/>
      <c r="Q4309" s="19"/>
    </row>
    <row r="4310" spans="9:17" hidden="1">
      <c r="I4310" s="20"/>
      <c r="M4310" s="19"/>
      <c r="N4310" s="19"/>
      <c r="O4310" s="19"/>
      <c r="P4310" s="19"/>
      <c r="Q4310" s="19"/>
    </row>
    <row r="4311" spans="9:17" hidden="1">
      <c r="I4311" s="20"/>
      <c r="M4311" s="19"/>
      <c r="N4311" s="19"/>
      <c r="O4311" s="19"/>
      <c r="P4311" s="19"/>
      <c r="Q4311" s="19"/>
    </row>
    <row r="4312" spans="9:17" hidden="1">
      <c r="I4312" s="20"/>
      <c r="M4312" s="19"/>
      <c r="N4312" s="19"/>
      <c r="O4312" s="19"/>
      <c r="P4312" s="19"/>
      <c r="Q4312" s="19"/>
    </row>
    <row r="4313" spans="9:17" hidden="1">
      <c r="I4313" s="20"/>
      <c r="M4313" s="19"/>
      <c r="N4313" s="19"/>
      <c r="O4313" s="19"/>
      <c r="P4313" s="19"/>
      <c r="Q4313" s="19"/>
    </row>
    <row r="4314" spans="9:17" hidden="1">
      <c r="I4314" s="20"/>
      <c r="M4314" s="19"/>
      <c r="N4314" s="19"/>
      <c r="O4314" s="19"/>
      <c r="P4314" s="19"/>
      <c r="Q4314" s="19"/>
    </row>
    <row r="4315" spans="9:17" hidden="1">
      <c r="I4315" s="20"/>
      <c r="M4315" s="19"/>
      <c r="N4315" s="19"/>
      <c r="O4315" s="19"/>
      <c r="P4315" s="19"/>
      <c r="Q4315" s="19"/>
    </row>
    <row r="4316" spans="9:17" hidden="1">
      <c r="I4316" s="20"/>
      <c r="M4316" s="19"/>
      <c r="N4316" s="19"/>
      <c r="O4316" s="19"/>
      <c r="P4316" s="19"/>
      <c r="Q4316" s="19"/>
    </row>
    <row r="4317" spans="9:17" hidden="1">
      <c r="I4317" s="20"/>
      <c r="M4317" s="19"/>
      <c r="N4317" s="19"/>
      <c r="O4317" s="19"/>
      <c r="P4317" s="19"/>
      <c r="Q4317" s="19"/>
    </row>
    <row r="4318" spans="9:17" hidden="1">
      <c r="I4318" s="20"/>
      <c r="M4318" s="19"/>
      <c r="N4318" s="19"/>
      <c r="O4318" s="19"/>
      <c r="P4318" s="19"/>
      <c r="Q4318" s="19"/>
    </row>
    <row r="4319" spans="9:17" hidden="1">
      <c r="I4319" s="20"/>
      <c r="M4319" s="19"/>
      <c r="N4319" s="19"/>
      <c r="O4319" s="19"/>
      <c r="P4319" s="19"/>
      <c r="Q4319" s="19"/>
    </row>
    <row r="4320" spans="9:17" hidden="1">
      <c r="I4320" s="20"/>
      <c r="M4320" s="19"/>
      <c r="N4320" s="19"/>
      <c r="O4320" s="19"/>
      <c r="P4320" s="19"/>
      <c r="Q4320" s="19"/>
    </row>
    <row r="4321" spans="9:17" hidden="1">
      <c r="I4321" s="20"/>
      <c r="M4321" s="19"/>
      <c r="N4321" s="19"/>
      <c r="O4321" s="19"/>
      <c r="P4321" s="19"/>
      <c r="Q4321" s="19"/>
    </row>
    <row r="4322" spans="9:17" hidden="1">
      <c r="I4322" s="20"/>
      <c r="M4322" s="19"/>
      <c r="N4322" s="19"/>
      <c r="O4322" s="19"/>
      <c r="P4322" s="19"/>
      <c r="Q4322" s="19"/>
    </row>
    <row r="4323" spans="9:17" hidden="1">
      <c r="I4323" s="20"/>
      <c r="M4323" s="19"/>
      <c r="N4323" s="19"/>
      <c r="O4323" s="19"/>
      <c r="P4323" s="19"/>
      <c r="Q4323" s="19"/>
    </row>
    <row r="4324" spans="9:17" hidden="1">
      <c r="I4324" s="20"/>
      <c r="M4324" s="19"/>
      <c r="N4324" s="19"/>
      <c r="O4324" s="19"/>
      <c r="P4324" s="19"/>
      <c r="Q4324" s="19"/>
    </row>
    <row r="4325" spans="9:17" hidden="1">
      <c r="I4325" s="20"/>
      <c r="M4325" s="19"/>
      <c r="N4325" s="19"/>
      <c r="O4325" s="19"/>
      <c r="P4325" s="19"/>
      <c r="Q4325" s="19"/>
    </row>
    <row r="4326" spans="9:17" hidden="1">
      <c r="I4326" s="20"/>
      <c r="M4326" s="19"/>
      <c r="N4326" s="19"/>
      <c r="O4326" s="19"/>
      <c r="P4326" s="19"/>
      <c r="Q4326" s="19"/>
    </row>
    <row r="4327" spans="9:17" hidden="1">
      <c r="I4327" s="20"/>
      <c r="M4327" s="19"/>
      <c r="N4327" s="19"/>
      <c r="O4327" s="19"/>
      <c r="P4327" s="19"/>
      <c r="Q4327" s="19"/>
    </row>
    <row r="4328" spans="9:17" hidden="1">
      <c r="I4328" s="20"/>
      <c r="M4328" s="19"/>
      <c r="N4328" s="19"/>
      <c r="O4328" s="19"/>
      <c r="P4328" s="19"/>
      <c r="Q4328" s="19"/>
    </row>
    <row r="4329" spans="9:17" hidden="1">
      <c r="I4329" s="20"/>
      <c r="M4329" s="19"/>
      <c r="N4329" s="19"/>
      <c r="O4329" s="19"/>
      <c r="P4329" s="19"/>
      <c r="Q4329" s="19"/>
    </row>
    <row r="4330" spans="9:17" hidden="1">
      <c r="I4330" s="20"/>
      <c r="M4330" s="19"/>
      <c r="N4330" s="19"/>
      <c r="O4330" s="19"/>
      <c r="P4330" s="19"/>
      <c r="Q4330" s="19"/>
    </row>
    <row r="4331" spans="9:17" hidden="1">
      <c r="I4331" s="20"/>
      <c r="M4331" s="19"/>
      <c r="N4331" s="19"/>
      <c r="O4331" s="19"/>
      <c r="P4331" s="19"/>
      <c r="Q4331" s="19"/>
    </row>
    <row r="4332" spans="9:17" hidden="1">
      <c r="I4332" s="20"/>
      <c r="M4332" s="19"/>
      <c r="N4332" s="19"/>
      <c r="O4332" s="19"/>
      <c r="P4332" s="19"/>
      <c r="Q4332" s="19"/>
    </row>
    <row r="4333" spans="9:17" hidden="1">
      <c r="I4333" s="20"/>
      <c r="M4333" s="19"/>
      <c r="N4333" s="19"/>
      <c r="O4333" s="19"/>
      <c r="P4333" s="19"/>
      <c r="Q4333" s="19"/>
    </row>
    <row r="4334" spans="9:17" hidden="1">
      <c r="I4334" s="20"/>
      <c r="M4334" s="19"/>
      <c r="N4334" s="19"/>
      <c r="O4334" s="19"/>
      <c r="P4334" s="19"/>
      <c r="Q4334" s="19"/>
    </row>
    <row r="4335" spans="9:17" hidden="1">
      <c r="I4335" s="20"/>
      <c r="M4335" s="19"/>
      <c r="N4335" s="19"/>
      <c r="O4335" s="19"/>
      <c r="P4335" s="19"/>
      <c r="Q4335" s="19"/>
    </row>
    <row r="4336" spans="9:17" hidden="1">
      <c r="I4336" s="20"/>
      <c r="M4336" s="19"/>
      <c r="N4336" s="19"/>
      <c r="O4336" s="19"/>
      <c r="P4336" s="19"/>
      <c r="Q4336" s="19"/>
    </row>
    <row r="4337" spans="9:17" hidden="1">
      <c r="I4337" s="20"/>
      <c r="M4337" s="19"/>
      <c r="N4337" s="19"/>
      <c r="O4337" s="19"/>
      <c r="P4337" s="19"/>
      <c r="Q4337" s="19"/>
    </row>
    <row r="4338" spans="9:17" hidden="1">
      <c r="I4338" s="20"/>
      <c r="M4338" s="19"/>
      <c r="N4338" s="19"/>
      <c r="O4338" s="19"/>
      <c r="P4338" s="19"/>
      <c r="Q4338" s="19"/>
    </row>
    <row r="4339" spans="9:17" hidden="1">
      <c r="I4339" s="20"/>
      <c r="M4339" s="19"/>
      <c r="N4339" s="19"/>
      <c r="O4339" s="19"/>
      <c r="P4339" s="19"/>
      <c r="Q4339" s="19"/>
    </row>
    <row r="4340" spans="9:17" hidden="1">
      <c r="I4340" s="20"/>
      <c r="M4340" s="19"/>
      <c r="N4340" s="19"/>
      <c r="O4340" s="19"/>
      <c r="P4340" s="19"/>
      <c r="Q4340" s="19"/>
    </row>
    <row r="4341" spans="9:17" hidden="1">
      <c r="I4341" s="20"/>
      <c r="M4341" s="19"/>
      <c r="N4341" s="19"/>
      <c r="O4341" s="19"/>
      <c r="P4341" s="19"/>
      <c r="Q4341" s="19"/>
    </row>
    <row r="4342" spans="9:17" hidden="1">
      <c r="I4342" s="20"/>
      <c r="M4342" s="19"/>
      <c r="N4342" s="19"/>
      <c r="O4342" s="19"/>
      <c r="P4342" s="19"/>
      <c r="Q4342" s="19"/>
    </row>
    <row r="4343" spans="9:17" hidden="1">
      <c r="I4343" s="20"/>
      <c r="M4343" s="19"/>
      <c r="N4343" s="19"/>
      <c r="O4343" s="19"/>
      <c r="P4343" s="19"/>
      <c r="Q4343" s="19"/>
    </row>
    <row r="4344" spans="9:17" hidden="1">
      <c r="I4344" s="20"/>
      <c r="M4344" s="19"/>
      <c r="N4344" s="19"/>
      <c r="O4344" s="19"/>
      <c r="P4344" s="19"/>
      <c r="Q4344" s="19"/>
    </row>
    <row r="4345" spans="9:17" hidden="1">
      <c r="I4345" s="20"/>
      <c r="M4345" s="19"/>
      <c r="N4345" s="19"/>
      <c r="O4345" s="19"/>
      <c r="P4345" s="19"/>
      <c r="Q4345" s="19"/>
    </row>
    <row r="4346" spans="9:17" hidden="1">
      <c r="I4346" s="20"/>
      <c r="M4346" s="19"/>
      <c r="N4346" s="19"/>
      <c r="O4346" s="19"/>
      <c r="P4346" s="19"/>
      <c r="Q4346" s="19"/>
    </row>
    <row r="4347" spans="9:17" hidden="1">
      <c r="I4347" s="20"/>
      <c r="M4347" s="19"/>
      <c r="N4347" s="19"/>
      <c r="O4347" s="19"/>
      <c r="P4347" s="19"/>
      <c r="Q4347" s="19"/>
    </row>
    <row r="4348" spans="9:17" hidden="1">
      <c r="I4348" s="20"/>
      <c r="M4348" s="19"/>
      <c r="N4348" s="19"/>
      <c r="O4348" s="19"/>
      <c r="P4348" s="19"/>
      <c r="Q4348" s="19"/>
    </row>
    <row r="4349" spans="9:17" hidden="1">
      <c r="I4349" s="20"/>
      <c r="M4349" s="19"/>
      <c r="N4349" s="19"/>
      <c r="O4349" s="19"/>
      <c r="P4349" s="19"/>
      <c r="Q4349" s="19"/>
    </row>
    <row r="4350" spans="9:17" hidden="1">
      <c r="I4350" s="20"/>
      <c r="M4350" s="19"/>
      <c r="N4350" s="19"/>
      <c r="O4350" s="19"/>
      <c r="P4350" s="19"/>
      <c r="Q4350" s="19"/>
    </row>
    <row r="4351" spans="9:17" hidden="1">
      <c r="I4351" s="20"/>
      <c r="M4351" s="19"/>
      <c r="N4351" s="19"/>
      <c r="O4351" s="19"/>
      <c r="P4351" s="19"/>
      <c r="Q4351" s="19"/>
    </row>
    <row r="4352" spans="9:17" hidden="1">
      <c r="I4352" s="20"/>
      <c r="M4352" s="19"/>
      <c r="N4352" s="19"/>
      <c r="O4352" s="19"/>
      <c r="P4352" s="19"/>
      <c r="Q4352" s="19"/>
    </row>
    <row r="4353" spans="9:17" hidden="1">
      <c r="I4353" s="20"/>
      <c r="M4353" s="19"/>
      <c r="N4353" s="19"/>
      <c r="O4353" s="19"/>
      <c r="P4353" s="19"/>
      <c r="Q4353" s="19"/>
    </row>
    <row r="4354" spans="9:17" hidden="1">
      <c r="I4354" s="20"/>
      <c r="M4354" s="19"/>
      <c r="N4354" s="19"/>
      <c r="O4354" s="19"/>
      <c r="P4354" s="19"/>
      <c r="Q4354" s="19"/>
    </row>
    <row r="4355" spans="9:17" hidden="1">
      <c r="I4355" s="20"/>
      <c r="M4355" s="19"/>
      <c r="N4355" s="19"/>
      <c r="O4355" s="19"/>
      <c r="P4355" s="19"/>
      <c r="Q4355" s="19"/>
    </row>
    <row r="4356" spans="9:17" hidden="1">
      <c r="I4356" s="20"/>
      <c r="M4356" s="19"/>
      <c r="N4356" s="19"/>
      <c r="O4356" s="19"/>
      <c r="P4356" s="19"/>
      <c r="Q4356" s="19"/>
    </row>
    <row r="4357" spans="9:17" hidden="1">
      <c r="I4357" s="20"/>
      <c r="M4357" s="19"/>
      <c r="N4357" s="19"/>
      <c r="O4357" s="19"/>
      <c r="P4357" s="19"/>
      <c r="Q4357" s="19"/>
    </row>
    <row r="4358" spans="9:17" hidden="1">
      <c r="I4358" s="20"/>
      <c r="M4358" s="19"/>
      <c r="N4358" s="19"/>
      <c r="O4358" s="19"/>
      <c r="P4358" s="19"/>
      <c r="Q4358" s="19"/>
    </row>
    <row r="4359" spans="9:17" hidden="1">
      <c r="I4359" s="20"/>
      <c r="M4359" s="19"/>
      <c r="N4359" s="19"/>
      <c r="O4359" s="19"/>
      <c r="P4359" s="19"/>
      <c r="Q4359" s="19"/>
    </row>
    <row r="4360" spans="9:17" hidden="1">
      <c r="I4360" s="20"/>
      <c r="M4360" s="19"/>
      <c r="N4360" s="19"/>
      <c r="O4360" s="19"/>
      <c r="P4360" s="19"/>
      <c r="Q4360" s="19"/>
    </row>
    <row r="4361" spans="9:17" hidden="1">
      <c r="I4361" s="20"/>
      <c r="M4361" s="19"/>
      <c r="N4361" s="19"/>
      <c r="O4361" s="19"/>
      <c r="P4361" s="19"/>
      <c r="Q4361" s="19"/>
    </row>
    <row r="4362" spans="9:17" hidden="1">
      <c r="I4362" s="20"/>
      <c r="M4362" s="19"/>
      <c r="N4362" s="19"/>
      <c r="O4362" s="19"/>
      <c r="P4362" s="19"/>
      <c r="Q4362" s="19"/>
    </row>
    <row r="4363" spans="9:17" hidden="1">
      <c r="I4363" s="20"/>
      <c r="M4363" s="19"/>
      <c r="N4363" s="19"/>
      <c r="O4363" s="19"/>
      <c r="P4363" s="19"/>
      <c r="Q4363" s="19"/>
    </row>
    <row r="4364" spans="9:17" hidden="1">
      <c r="I4364" s="20"/>
      <c r="M4364" s="19"/>
      <c r="N4364" s="19"/>
      <c r="O4364" s="19"/>
      <c r="P4364" s="19"/>
      <c r="Q4364" s="19"/>
    </row>
    <row r="4365" spans="9:17" hidden="1">
      <c r="I4365" s="20"/>
      <c r="M4365" s="19"/>
      <c r="N4365" s="19"/>
      <c r="O4365" s="19"/>
      <c r="P4365" s="19"/>
      <c r="Q4365" s="19"/>
    </row>
    <row r="4366" spans="9:17" hidden="1">
      <c r="I4366" s="20"/>
      <c r="M4366" s="19"/>
      <c r="N4366" s="19"/>
      <c r="O4366" s="19"/>
      <c r="P4366" s="19"/>
      <c r="Q4366" s="19"/>
    </row>
    <row r="4367" spans="9:17" hidden="1">
      <c r="I4367" s="20"/>
      <c r="M4367" s="19"/>
      <c r="N4367" s="19"/>
      <c r="O4367" s="19"/>
      <c r="P4367" s="19"/>
      <c r="Q4367" s="19"/>
    </row>
    <row r="4368" spans="9:17" hidden="1">
      <c r="I4368" s="20"/>
      <c r="M4368" s="19"/>
      <c r="N4368" s="19"/>
      <c r="O4368" s="19"/>
      <c r="P4368" s="19"/>
      <c r="Q4368" s="19"/>
    </row>
    <row r="4369" spans="9:17" hidden="1">
      <c r="I4369" s="20"/>
      <c r="M4369" s="19"/>
      <c r="N4369" s="19"/>
      <c r="O4369" s="19"/>
      <c r="P4369" s="19"/>
      <c r="Q4369" s="19"/>
    </row>
    <row r="4370" spans="9:17" hidden="1">
      <c r="I4370" s="20"/>
      <c r="M4370" s="19"/>
      <c r="N4370" s="19"/>
      <c r="O4370" s="19"/>
      <c r="P4370" s="19"/>
      <c r="Q4370" s="19"/>
    </row>
    <row r="4371" spans="9:17" hidden="1">
      <c r="I4371" s="20"/>
      <c r="M4371" s="19"/>
      <c r="N4371" s="19"/>
      <c r="O4371" s="19"/>
      <c r="P4371" s="19"/>
      <c r="Q4371" s="19"/>
    </row>
    <row r="4372" spans="9:17" hidden="1">
      <c r="I4372" s="20"/>
      <c r="M4372" s="19"/>
      <c r="N4372" s="19"/>
      <c r="O4372" s="19"/>
      <c r="P4372" s="19"/>
      <c r="Q4372" s="19"/>
    </row>
    <row r="4373" spans="9:17" hidden="1">
      <c r="I4373" s="20"/>
      <c r="M4373" s="19"/>
      <c r="N4373" s="19"/>
      <c r="O4373" s="19"/>
      <c r="P4373" s="19"/>
      <c r="Q4373" s="19"/>
    </row>
    <row r="4374" spans="9:17" hidden="1">
      <c r="I4374" s="20"/>
      <c r="M4374" s="19"/>
      <c r="N4374" s="19"/>
      <c r="O4374" s="19"/>
      <c r="P4374" s="19"/>
      <c r="Q4374" s="19"/>
    </row>
    <row r="4375" spans="9:17" hidden="1">
      <c r="I4375" s="20"/>
      <c r="M4375" s="19"/>
      <c r="N4375" s="19"/>
      <c r="O4375" s="19"/>
      <c r="P4375" s="19"/>
      <c r="Q4375" s="19"/>
    </row>
    <row r="4376" spans="9:17" hidden="1">
      <c r="I4376" s="20"/>
      <c r="M4376" s="19"/>
      <c r="N4376" s="19"/>
      <c r="O4376" s="19"/>
      <c r="P4376" s="19"/>
      <c r="Q4376" s="19"/>
    </row>
    <row r="4377" spans="9:17" hidden="1">
      <c r="I4377" s="20"/>
      <c r="M4377" s="19"/>
      <c r="N4377" s="19"/>
      <c r="O4377" s="19"/>
      <c r="P4377" s="19"/>
      <c r="Q4377" s="19"/>
    </row>
    <row r="4378" spans="9:17" hidden="1">
      <c r="I4378" s="20"/>
      <c r="M4378" s="19"/>
      <c r="N4378" s="19"/>
      <c r="O4378" s="19"/>
      <c r="P4378" s="19"/>
      <c r="Q4378" s="19"/>
    </row>
    <row r="4379" spans="9:17" hidden="1">
      <c r="I4379" s="20"/>
      <c r="M4379" s="19"/>
      <c r="N4379" s="19"/>
      <c r="O4379" s="19"/>
      <c r="P4379" s="19"/>
      <c r="Q4379" s="19"/>
    </row>
    <row r="4380" spans="9:17" hidden="1">
      <c r="I4380" s="20"/>
      <c r="M4380" s="19"/>
      <c r="N4380" s="19"/>
      <c r="O4380" s="19"/>
      <c r="P4380" s="19"/>
      <c r="Q4380" s="19"/>
    </row>
    <row r="4381" spans="9:17" hidden="1">
      <c r="I4381" s="20"/>
      <c r="M4381" s="19"/>
      <c r="N4381" s="19"/>
      <c r="O4381" s="19"/>
      <c r="P4381" s="19"/>
      <c r="Q4381" s="19"/>
    </row>
    <row r="4382" spans="9:17" hidden="1">
      <c r="I4382" s="20"/>
      <c r="M4382" s="19"/>
      <c r="N4382" s="19"/>
      <c r="O4382" s="19"/>
      <c r="P4382" s="19"/>
      <c r="Q4382" s="19"/>
    </row>
    <row r="4383" spans="9:17" hidden="1">
      <c r="I4383" s="20"/>
      <c r="M4383" s="19"/>
      <c r="N4383" s="19"/>
      <c r="O4383" s="19"/>
      <c r="P4383" s="19"/>
      <c r="Q4383" s="19"/>
    </row>
    <row r="4384" spans="9:17" hidden="1">
      <c r="I4384" s="20"/>
      <c r="M4384" s="19"/>
      <c r="N4384" s="19"/>
      <c r="O4384" s="19"/>
      <c r="P4384" s="19"/>
      <c r="Q4384" s="19"/>
    </row>
    <row r="4385" spans="9:17" hidden="1">
      <c r="I4385" s="20"/>
      <c r="M4385" s="19"/>
      <c r="N4385" s="19"/>
      <c r="O4385" s="19"/>
      <c r="P4385" s="19"/>
      <c r="Q4385" s="19"/>
    </row>
    <row r="4386" spans="9:17" hidden="1">
      <c r="I4386" s="20"/>
      <c r="M4386" s="19"/>
      <c r="N4386" s="19"/>
      <c r="O4386" s="19"/>
      <c r="P4386" s="19"/>
      <c r="Q4386" s="19"/>
    </row>
    <row r="4387" spans="9:17" hidden="1">
      <c r="I4387" s="20"/>
      <c r="M4387" s="19"/>
      <c r="N4387" s="19"/>
      <c r="O4387" s="19"/>
      <c r="P4387" s="19"/>
      <c r="Q4387" s="19"/>
    </row>
    <row r="4388" spans="9:17" hidden="1">
      <c r="I4388" s="20"/>
      <c r="M4388" s="19"/>
      <c r="N4388" s="19"/>
      <c r="O4388" s="19"/>
      <c r="P4388" s="19"/>
      <c r="Q4388" s="19"/>
    </row>
    <row r="4389" spans="9:17" hidden="1">
      <c r="I4389" s="20"/>
      <c r="M4389" s="19"/>
      <c r="N4389" s="19"/>
      <c r="O4389" s="19"/>
      <c r="P4389" s="19"/>
      <c r="Q4389" s="19"/>
    </row>
    <row r="4390" spans="9:17" hidden="1">
      <c r="I4390" s="20"/>
      <c r="M4390" s="19"/>
      <c r="N4390" s="19"/>
      <c r="O4390" s="19"/>
      <c r="P4390" s="19"/>
      <c r="Q4390" s="19"/>
    </row>
    <row r="4391" spans="9:17" hidden="1">
      <c r="I4391" s="20"/>
      <c r="M4391" s="19"/>
      <c r="N4391" s="19"/>
      <c r="O4391" s="19"/>
      <c r="P4391" s="19"/>
      <c r="Q4391" s="19"/>
    </row>
    <row r="4392" spans="9:17" hidden="1">
      <c r="I4392" s="20"/>
      <c r="M4392" s="19"/>
      <c r="N4392" s="19"/>
      <c r="O4392" s="19"/>
      <c r="P4392" s="19"/>
      <c r="Q4392" s="19"/>
    </row>
    <row r="4393" spans="9:17" hidden="1">
      <c r="I4393" s="20"/>
      <c r="M4393" s="19"/>
      <c r="N4393" s="19"/>
      <c r="O4393" s="19"/>
      <c r="P4393" s="19"/>
      <c r="Q4393" s="19"/>
    </row>
    <row r="4394" spans="9:17" hidden="1">
      <c r="I4394" s="20"/>
      <c r="M4394" s="19"/>
      <c r="N4394" s="19"/>
      <c r="O4394" s="19"/>
      <c r="P4394" s="19"/>
      <c r="Q4394" s="19"/>
    </row>
    <row r="4395" spans="9:17" hidden="1">
      <c r="I4395" s="20"/>
      <c r="M4395" s="19"/>
      <c r="N4395" s="19"/>
      <c r="O4395" s="19"/>
      <c r="P4395" s="19"/>
      <c r="Q4395" s="19"/>
    </row>
    <row r="4396" spans="9:17" hidden="1">
      <c r="I4396" s="20"/>
      <c r="M4396" s="19"/>
      <c r="N4396" s="19"/>
      <c r="O4396" s="19"/>
      <c r="P4396" s="19"/>
      <c r="Q4396" s="19"/>
    </row>
    <row r="4397" spans="9:17" hidden="1">
      <c r="I4397" s="20"/>
      <c r="M4397" s="19"/>
      <c r="N4397" s="19"/>
      <c r="O4397" s="19"/>
      <c r="P4397" s="19"/>
      <c r="Q4397" s="19"/>
    </row>
    <row r="4398" spans="9:17" hidden="1">
      <c r="I4398" s="20"/>
      <c r="M4398" s="19"/>
      <c r="N4398" s="19"/>
      <c r="O4398" s="19"/>
      <c r="P4398" s="19"/>
      <c r="Q4398" s="19"/>
    </row>
    <row r="4399" spans="9:17" hidden="1">
      <c r="I4399" s="20"/>
      <c r="M4399" s="19"/>
      <c r="N4399" s="19"/>
      <c r="O4399" s="19"/>
      <c r="P4399" s="19"/>
      <c r="Q4399" s="19"/>
    </row>
    <row r="4400" spans="9:17" hidden="1">
      <c r="I4400" s="20"/>
      <c r="M4400" s="19"/>
      <c r="N4400" s="19"/>
      <c r="O4400" s="19"/>
      <c r="P4400" s="19"/>
      <c r="Q4400" s="19"/>
    </row>
    <row r="4401" spans="9:17" hidden="1">
      <c r="I4401" s="20"/>
      <c r="M4401" s="19"/>
      <c r="N4401" s="19"/>
      <c r="O4401" s="19"/>
      <c r="P4401" s="19"/>
      <c r="Q4401" s="19"/>
    </row>
    <row r="4402" spans="9:17" hidden="1">
      <c r="I4402" s="20"/>
      <c r="M4402" s="19"/>
      <c r="N4402" s="19"/>
      <c r="O4402" s="19"/>
      <c r="P4402" s="19"/>
      <c r="Q4402" s="19"/>
    </row>
    <row r="4403" spans="9:17" hidden="1">
      <c r="I4403" s="20"/>
      <c r="M4403" s="19"/>
      <c r="N4403" s="19"/>
      <c r="O4403" s="19"/>
      <c r="P4403" s="19"/>
      <c r="Q4403" s="19"/>
    </row>
    <row r="4404" spans="9:17" hidden="1">
      <c r="I4404" s="20"/>
      <c r="M4404" s="19"/>
      <c r="N4404" s="19"/>
      <c r="O4404" s="19"/>
      <c r="P4404" s="19"/>
      <c r="Q4404" s="19"/>
    </row>
    <row r="4405" spans="9:17" hidden="1">
      <c r="I4405" s="20"/>
      <c r="M4405" s="19"/>
      <c r="N4405" s="19"/>
      <c r="O4405" s="19"/>
      <c r="P4405" s="19"/>
      <c r="Q4405" s="19"/>
    </row>
    <row r="4406" spans="9:17" hidden="1">
      <c r="I4406" s="20"/>
      <c r="M4406" s="19"/>
      <c r="N4406" s="19"/>
      <c r="O4406" s="19"/>
      <c r="P4406" s="19"/>
      <c r="Q4406" s="19"/>
    </row>
    <row r="4407" spans="9:17" hidden="1">
      <c r="I4407" s="20"/>
      <c r="M4407" s="19"/>
      <c r="N4407" s="19"/>
      <c r="O4407" s="19"/>
      <c r="P4407" s="19"/>
      <c r="Q4407" s="19"/>
    </row>
    <row r="4408" spans="9:17" hidden="1">
      <c r="I4408" s="20"/>
      <c r="M4408" s="19"/>
      <c r="N4408" s="19"/>
      <c r="O4408" s="19"/>
      <c r="P4408" s="19"/>
      <c r="Q4408" s="19"/>
    </row>
    <row r="4409" spans="9:17" hidden="1">
      <c r="I4409" s="20"/>
      <c r="M4409" s="19"/>
      <c r="N4409" s="19"/>
      <c r="O4409" s="19"/>
      <c r="P4409" s="19"/>
      <c r="Q4409" s="19"/>
    </row>
    <row r="4410" spans="9:17" hidden="1">
      <c r="I4410" s="20"/>
      <c r="M4410" s="19"/>
      <c r="N4410" s="19"/>
      <c r="O4410" s="19"/>
      <c r="P4410" s="19"/>
      <c r="Q4410" s="19"/>
    </row>
    <row r="4411" spans="9:17" hidden="1">
      <c r="I4411" s="20"/>
      <c r="M4411" s="19"/>
      <c r="N4411" s="19"/>
      <c r="O4411" s="19"/>
      <c r="P4411" s="19"/>
      <c r="Q4411" s="19"/>
    </row>
    <row r="4412" spans="9:17" hidden="1">
      <c r="I4412" s="20"/>
      <c r="M4412" s="19"/>
      <c r="N4412" s="19"/>
      <c r="O4412" s="19"/>
      <c r="P4412" s="19"/>
      <c r="Q4412" s="19"/>
    </row>
    <row r="4413" spans="9:17" hidden="1">
      <c r="I4413" s="20"/>
      <c r="M4413" s="19"/>
      <c r="N4413" s="19"/>
      <c r="O4413" s="19"/>
      <c r="P4413" s="19"/>
      <c r="Q4413" s="19"/>
    </row>
    <row r="4414" spans="9:17" hidden="1">
      <c r="I4414" s="20"/>
      <c r="M4414" s="19"/>
      <c r="N4414" s="19"/>
      <c r="O4414" s="19"/>
      <c r="P4414" s="19"/>
      <c r="Q4414" s="19"/>
    </row>
    <row r="4415" spans="9:17" hidden="1">
      <c r="I4415" s="20"/>
      <c r="M4415" s="19"/>
      <c r="N4415" s="19"/>
      <c r="O4415" s="19"/>
      <c r="P4415" s="19"/>
      <c r="Q4415" s="19"/>
    </row>
    <row r="4416" spans="9:17" hidden="1">
      <c r="I4416" s="20"/>
      <c r="M4416" s="19"/>
      <c r="N4416" s="19"/>
      <c r="O4416" s="19"/>
      <c r="P4416" s="19"/>
      <c r="Q4416" s="19"/>
    </row>
    <row r="4417" spans="9:17" hidden="1">
      <c r="I4417" s="20"/>
      <c r="M4417" s="19"/>
      <c r="N4417" s="19"/>
      <c r="O4417" s="19"/>
      <c r="P4417" s="19"/>
      <c r="Q4417" s="19"/>
    </row>
    <row r="4418" spans="9:17" hidden="1">
      <c r="I4418" s="20"/>
      <c r="M4418" s="19"/>
      <c r="N4418" s="19"/>
      <c r="O4418" s="19"/>
      <c r="P4418" s="19"/>
      <c r="Q4418" s="19"/>
    </row>
    <row r="4419" spans="9:17" hidden="1">
      <c r="I4419" s="20"/>
      <c r="M4419" s="19"/>
      <c r="N4419" s="19"/>
      <c r="O4419" s="19"/>
      <c r="P4419" s="19"/>
      <c r="Q4419" s="19"/>
    </row>
    <row r="4420" spans="9:17" hidden="1">
      <c r="I4420" s="20"/>
      <c r="M4420" s="19"/>
      <c r="N4420" s="19"/>
      <c r="O4420" s="19"/>
      <c r="P4420" s="19"/>
      <c r="Q4420" s="19"/>
    </row>
    <row r="4421" spans="9:17" hidden="1">
      <c r="I4421" s="20"/>
      <c r="M4421" s="19"/>
      <c r="N4421" s="19"/>
      <c r="O4421" s="19"/>
      <c r="P4421" s="19"/>
      <c r="Q4421" s="19"/>
    </row>
    <row r="4422" spans="9:17" hidden="1">
      <c r="I4422" s="20"/>
      <c r="M4422" s="19"/>
      <c r="N4422" s="19"/>
      <c r="O4422" s="19"/>
      <c r="P4422" s="19"/>
      <c r="Q4422" s="19"/>
    </row>
    <row r="4423" spans="9:17" hidden="1">
      <c r="I4423" s="20"/>
      <c r="M4423" s="19"/>
      <c r="N4423" s="19"/>
      <c r="O4423" s="19"/>
      <c r="P4423" s="19"/>
      <c r="Q4423" s="19"/>
    </row>
    <row r="4424" spans="9:17" hidden="1">
      <c r="I4424" s="20"/>
      <c r="M4424" s="19"/>
      <c r="N4424" s="19"/>
      <c r="O4424" s="19"/>
      <c r="P4424" s="19"/>
      <c r="Q4424" s="19"/>
    </row>
    <row r="4425" spans="9:17" hidden="1">
      <c r="I4425" s="20"/>
      <c r="M4425" s="19"/>
      <c r="N4425" s="19"/>
      <c r="O4425" s="19"/>
      <c r="P4425" s="19"/>
      <c r="Q4425" s="19"/>
    </row>
    <row r="4426" spans="9:17" hidden="1">
      <c r="I4426" s="20"/>
      <c r="M4426" s="19"/>
      <c r="N4426" s="19"/>
      <c r="O4426" s="19"/>
      <c r="P4426" s="19"/>
      <c r="Q4426" s="19"/>
    </row>
    <row r="4427" spans="9:17" hidden="1">
      <c r="I4427" s="20"/>
      <c r="M4427" s="19"/>
      <c r="N4427" s="19"/>
      <c r="O4427" s="19"/>
      <c r="P4427" s="19"/>
      <c r="Q4427" s="19"/>
    </row>
    <row r="4428" spans="9:17" hidden="1">
      <c r="I4428" s="20"/>
      <c r="M4428" s="19"/>
      <c r="N4428" s="19"/>
      <c r="O4428" s="19"/>
      <c r="P4428" s="19"/>
      <c r="Q4428" s="19"/>
    </row>
    <row r="4429" spans="9:17" hidden="1">
      <c r="I4429" s="20"/>
      <c r="M4429" s="19"/>
      <c r="N4429" s="19"/>
      <c r="O4429" s="19"/>
      <c r="P4429" s="19"/>
      <c r="Q4429" s="19"/>
    </row>
    <row r="4430" spans="9:17" hidden="1">
      <c r="I4430" s="20"/>
      <c r="M4430" s="19"/>
      <c r="N4430" s="19"/>
      <c r="O4430" s="19"/>
      <c r="P4430" s="19"/>
      <c r="Q4430" s="19"/>
    </row>
    <row r="4431" spans="9:17" hidden="1">
      <c r="I4431" s="20"/>
      <c r="M4431" s="19"/>
      <c r="N4431" s="19"/>
      <c r="O4431" s="19"/>
      <c r="P4431" s="19"/>
      <c r="Q4431" s="19"/>
    </row>
    <row r="4432" spans="9:17" hidden="1">
      <c r="I4432" s="20"/>
      <c r="M4432" s="19"/>
      <c r="N4432" s="19"/>
      <c r="O4432" s="19"/>
      <c r="P4432" s="19"/>
      <c r="Q4432" s="19"/>
    </row>
    <row r="4433" spans="9:17" hidden="1">
      <c r="I4433" s="20"/>
      <c r="M4433" s="19"/>
      <c r="N4433" s="19"/>
      <c r="O4433" s="19"/>
      <c r="P4433" s="19"/>
      <c r="Q4433" s="19"/>
    </row>
    <row r="4434" spans="9:17" hidden="1">
      <c r="I4434" s="20"/>
      <c r="M4434" s="19"/>
      <c r="N4434" s="19"/>
      <c r="O4434" s="19"/>
      <c r="P4434" s="19"/>
      <c r="Q4434" s="19"/>
    </row>
    <row r="4435" spans="9:17" hidden="1">
      <c r="I4435" s="20"/>
      <c r="M4435" s="19"/>
      <c r="N4435" s="19"/>
      <c r="O4435" s="19"/>
      <c r="P4435" s="19"/>
      <c r="Q4435" s="19"/>
    </row>
    <row r="4436" spans="9:17" hidden="1">
      <c r="I4436" s="20"/>
      <c r="M4436" s="19"/>
      <c r="N4436" s="19"/>
      <c r="O4436" s="19"/>
      <c r="P4436" s="19"/>
      <c r="Q4436" s="19"/>
    </row>
    <row r="4437" spans="9:17" hidden="1">
      <c r="I4437" s="20"/>
      <c r="M4437" s="19"/>
      <c r="N4437" s="19"/>
      <c r="O4437" s="19"/>
      <c r="P4437" s="19"/>
      <c r="Q4437" s="19"/>
    </row>
    <row r="4438" spans="9:17" hidden="1">
      <c r="I4438" s="20"/>
      <c r="M4438" s="19"/>
      <c r="N4438" s="19"/>
      <c r="O4438" s="19"/>
      <c r="P4438" s="19"/>
      <c r="Q4438" s="19"/>
    </row>
    <row r="4439" spans="9:17" hidden="1">
      <c r="I4439" s="20"/>
      <c r="M4439" s="19"/>
      <c r="N4439" s="19"/>
      <c r="O4439" s="19"/>
      <c r="P4439" s="19"/>
      <c r="Q4439" s="19"/>
    </row>
    <row r="4440" spans="9:17" hidden="1">
      <c r="I4440" s="20"/>
      <c r="M4440" s="19"/>
      <c r="N4440" s="19"/>
      <c r="O4440" s="19"/>
      <c r="P4440" s="19"/>
      <c r="Q4440" s="19"/>
    </row>
    <row r="4441" spans="9:17" hidden="1">
      <c r="I4441" s="20"/>
      <c r="M4441" s="19"/>
      <c r="N4441" s="19"/>
      <c r="O4441" s="19"/>
      <c r="P4441" s="19"/>
      <c r="Q4441" s="19"/>
    </row>
    <row r="4442" spans="9:17" hidden="1">
      <c r="I4442" s="20"/>
      <c r="M4442" s="19"/>
      <c r="N4442" s="19"/>
      <c r="O4442" s="19"/>
      <c r="P4442" s="19"/>
      <c r="Q4442" s="19"/>
    </row>
    <row r="4443" spans="9:17" hidden="1">
      <c r="I4443" s="20"/>
      <c r="M4443" s="19"/>
      <c r="N4443" s="19"/>
      <c r="O4443" s="19"/>
      <c r="P4443" s="19"/>
      <c r="Q4443" s="19"/>
    </row>
    <row r="4444" spans="9:17" hidden="1">
      <c r="I4444" s="20"/>
      <c r="M4444" s="19"/>
      <c r="N4444" s="19"/>
      <c r="O4444" s="19"/>
      <c r="P4444" s="19"/>
      <c r="Q4444" s="19"/>
    </row>
    <row r="4445" spans="9:17" hidden="1">
      <c r="I4445" s="20"/>
      <c r="M4445" s="19"/>
      <c r="N4445" s="19"/>
      <c r="O4445" s="19"/>
      <c r="P4445" s="19"/>
      <c r="Q4445" s="19"/>
    </row>
    <row r="4446" spans="9:17" hidden="1">
      <c r="I4446" s="20"/>
      <c r="M4446" s="19"/>
      <c r="N4446" s="19"/>
      <c r="O4446" s="19"/>
      <c r="P4446" s="19"/>
      <c r="Q4446" s="19"/>
    </row>
    <row r="4447" spans="9:17" hidden="1">
      <c r="I4447" s="20"/>
      <c r="M4447" s="19"/>
      <c r="N4447" s="19"/>
      <c r="O4447" s="19"/>
      <c r="P4447" s="19"/>
      <c r="Q4447" s="19"/>
    </row>
    <row r="4448" spans="9:17" hidden="1">
      <c r="I4448" s="20"/>
      <c r="M4448" s="19"/>
      <c r="N4448" s="19"/>
      <c r="O4448" s="19"/>
      <c r="P4448" s="19"/>
      <c r="Q4448" s="19"/>
    </row>
    <row r="4449" spans="9:17" hidden="1">
      <c r="I4449" s="20"/>
      <c r="M4449" s="19"/>
      <c r="N4449" s="19"/>
      <c r="O4449" s="19"/>
      <c r="P4449" s="19"/>
      <c r="Q4449" s="19"/>
    </row>
    <row r="4450" spans="9:17" hidden="1">
      <c r="I4450" s="20"/>
      <c r="M4450" s="19"/>
      <c r="N4450" s="19"/>
      <c r="O4450" s="19"/>
      <c r="P4450" s="19"/>
      <c r="Q4450" s="19"/>
    </row>
    <row r="4451" spans="9:17" hidden="1">
      <c r="I4451" s="20"/>
      <c r="M4451" s="19"/>
      <c r="N4451" s="19"/>
      <c r="O4451" s="19"/>
      <c r="P4451" s="19"/>
      <c r="Q4451" s="19"/>
    </row>
    <row r="4452" spans="9:17" hidden="1">
      <c r="I4452" s="20"/>
      <c r="M4452" s="19"/>
      <c r="N4452" s="19"/>
      <c r="O4452" s="19"/>
      <c r="P4452" s="19"/>
      <c r="Q4452" s="19"/>
    </row>
    <row r="4453" spans="9:17" hidden="1">
      <c r="I4453" s="20"/>
      <c r="M4453" s="19"/>
      <c r="N4453" s="19"/>
      <c r="O4453" s="19"/>
      <c r="P4453" s="19"/>
      <c r="Q4453" s="19"/>
    </row>
    <row r="4454" spans="9:17" hidden="1">
      <c r="I4454" s="20"/>
      <c r="M4454" s="19"/>
      <c r="N4454" s="19"/>
      <c r="O4454" s="19"/>
      <c r="P4454" s="19"/>
      <c r="Q4454" s="19"/>
    </row>
    <row r="4455" spans="9:17" hidden="1">
      <c r="I4455" s="20"/>
      <c r="M4455" s="19"/>
      <c r="N4455" s="19"/>
      <c r="O4455" s="19"/>
      <c r="P4455" s="19"/>
      <c r="Q4455" s="19"/>
    </row>
    <row r="4456" spans="9:17" hidden="1">
      <c r="I4456" s="20"/>
      <c r="M4456" s="19"/>
      <c r="N4456" s="19"/>
      <c r="O4456" s="19"/>
      <c r="P4456" s="19"/>
      <c r="Q4456" s="19"/>
    </row>
    <row r="4457" spans="9:17" hidden="1">
      <c r="I4457" s="20"/>
      <c r="M4457" s="19"/>
      <c r="N4457" s="19"/>
      <c r="O4457" s="19"/>
      <c r="P4457" s="19"/>
      <c r="Q4457" s="19"/>
    </row>
    <row r="4458" spans="9:17" hidden="1">
      <c r="I4458" s="20"/>
      <c r="M4458" s="19"/>
      <c r="N4458" s="19"/>
      <c r="O4458" s="19"/>
      <c r="P4458" s="19"/>
      <c r="Q4458" s="19"/>
    </row>
    <row r="4459" spans="9:17" hidden="1">
      <c r="I4459" s="20"/>
      <c r="M4459" s="19"/>
      <c r="N4459" s="19"/>
      <c r="O4459" s="19"/>
      <c r="P4459" s="19"/>
      <c r="Q4459" s="19"/>
    </row>
    <row r="4460" spans="9:17" hidden="1">
      <c r="I4460" s="20"/>
      <c r="M4460" s="19"/>
      <c r="N4460" s="19"/>
      <c r="O4460" s="19"/>
      <c r="P4460" s="19"/>
      <c r="Q4460" s="19"/>
    </row>
    <row r="4461" spans="9:17" hidden="1">
      <c r="I4461" s="20"/>
      <c r="M4461" s="19"/>
      <c r="N4461" s="19"/>
      <c r="O4461" s="19"/>
      <c r="P4461" s="19"/>
      <c r="Q4461" s="19"/>
    </row>
    <row r="4462" spans="9:17" hidden="1">
      <c r="I4462" s="20"/>
      <c r="M4462" s="19"/>
      <c r="N4462" s="19"/>
      <c r="O4462" s="19"/>
      <c r="P4462" s="19"/>
      <c r="Q4462" s="19"/>
    </row>
    <row r="4463" spans="9:17" hidden="1">
      <c r="I4463" s="20"/>
      <c r="M4463" s="19"/>
      <c r="N4463" s="19"/>
      <c r="O4463" s="19"/>
      <c r="P4463" s="19"/>
      <c r="Q4463" s="19"/>
    </row>
    <row r="4464" spans="9:17" hidden="1">
      <c r="I4464" s="20"/>
      <c r="M4464" s="19"/>
      <c r="N4464" s="19"/>
      <c r="O4464" s="19"/>
      <c r="P4464" s="19"/>
      <c r="Q4464" s="19"/>
    </row>
    <row r="4465" spans="9:17" hidden="1">
      <c r="I4465" s="20"/>
      <c r="M4465" s="19"/>
      <c r="N4465" s="19"/>
      <c r="O4465" s="19"/>
      <c r="P4465" s="19"/>
      <c r="Q4465" s="19"/>
    </row>
    <row r="4466" spans="9:17" hidden="1">
      <c r="I4466" s="20"/>
      <c r="M4466" s="19"/>
      <c r="N4466" s="19"/>
      <c r="O4466" s="19"/>
      <c r="P4466" s="19"/>
      <c r="Q4466" s="19"/>
    </row>
    <row r="4467" spans="9:17" hidden="1">
      <c r="I4467" s="20"/>
      <c r="M4467" s="19"/>
      <c r="N4467" s="19"/>
      <c r="O4467" s="19"/>
      <c r="P4467" s="19"/>
      <c r="Q4467" s="19"/>
    </row>
    <row r="4468" spans="9:17" hidden="1">
      <c r="I4468" s="20"/>
      <c r="M4468" s="19"/>
      <c r="N4468" s="19"/>
      <c r="O4468" s="19"/>
      <c r="P4468" s="19"/>
      <c r="Q4468" s="19"/>
    </row>
    <row r="4469" spans="9:17" hidden="1">
      <c r="I4469" s="20"/>
      <c r="M4469" s="19"/>
      <c r="N4469" s="19"/>
      <c r="O4469" s="19"/>
      <c r="P4469" s="19"/>
      <c r="Q4469" s="19"/>
    </row>
    <row r="4470" spans="9:17" hidden="1">
      <c r="I4470" s="20"/>
      <c r="M4470" s="19"/>
      <c r="N4470" s="19"/>
      <c r="O4470" s="19"/>
      <c r="P4470" s="19"/>
      <c r="Q4470" s="19"/>
    </row>
    <row r="4471" spans="9:17" hidden="1">
      <c r="I4471" s="20"/>
      <c r="M4471" s="19"/>
      <c r="N4471" s="19"/>
      <c r="O4471" s="19"/>
      <c r="P4471" s="19"/>
      <c r="Q4471" s="19"/>
    </row>
    <row r="4472" spans="9:17" hidden="1">
      <c r="I4472" s="20"/>
      <c r="M4472" s="19"/>
      <c r="N4472" s="19"/>
      <c r="O4472" s="19"/>
      <c r="P4472" s="19"/>
      <c r="Q4472" s="19"/>
    </row>
    <row r="4473" spans="9:17" hidden="1">
      <c r="I4473" s="20"/>
      <c r="M4473" s="19"/>
      <c r="N4473" s="19"/>
      <c r="O4473" s="19"/>
      <c r="P4473" s="19"/>
      <c r="Q4473" s="19"/>
    </row>
    <row r="4474" spans="9:17" hidden="1">
      <c r="I4474" s="20"/>
      <c r="M4474" s="19"/>
      <c r="N4474" s="19"/>
      <c r="O4474" s="19"/>
      <c r="P4474" s="19"/>
      <c r="Q4474" s="19"/>
    </row>
    <row r="4475" spans="9:17" hidden="1">
      <c r="I4475" s="20"/>
      <c r="M4475" s="19"/>
      <c r="N4475" s="19"/>
      <c r="O4475" s="19"/>
      <c r="P4475" s="19"/>
      <c r="Q4475" s="19"/>
    </row>
    <row r="4476" spans="9:17" hidden="1">
      <c r="I4476" s="20"/>
      <c r="M4476" s="19"/>
      <c r="N4476" s="19"/>
      <c r="O4476" s="19"/>
      <c r="P4476" s="19"/>
      <c r="Q4476" s="19"/>
    </row>
    <row r="4477" spans="9:17" hidden="1">
      <c r="I4477" s="20"/>
      <c r="M4477" s="19"/>
      <c r="N4477" s="19"/>
      <c r="O4477" s="19"/>
      <c r="P4477" s="19"/>
      <c r="Q4477" s="19"/>
    </row>
    <row r="4478" spans="9:17" hidden="1">
      <c r="I4478" s="20"/>
      <c r="M4478" s="19"/>
      <c r="N4478" s="19"/>
      <c r="O4478" s="19"/>
      <c r="P4478" s="19"/>
      <c r="Q4478" s="19"/>
    </row>
    <row r="4479" spans="9:17" hidden="1">
      <c r="I4479" s="20"/>
      <c r="M4479" s="19"/>
      <c r="N4479" s="19"/>
      <c r="O4479" s="19"/>
      <c r="P4479" s="19"/>
      <c r="Q4479" s="19"/>
    </row>
    <row r="4480" spans="9:17" hidden="1">
      <c r="I4480" s="20"/>
      <c r="M4480" s="19"/>
      <c r="N4480" s="19"/>
      <c r="O4480" s="19"/>
      <c r="P4480" s="19"/>
      <c r="Q4480" s="19"/>
    </row>
    <row r="4481" spans="9:17" hidden="1">
      <c r="I4481" s="20"/>
      <c r="M4481" s="19"/>
      <c r="N4481" s="19"/>
      <c r="O4481" s="19"/>
      <c r="P4481" s="19"/>
      <c r="Q4481" s="19"/>
    </row>
    <row r="4482" spans="9:17" hidden="1">
      <c r="I4482" s="20"/>
      <c r="M4482" s="19"/>
      <c r="N4482" s="19"/>
      <c r="O4482" s="19"/>
      <c r="P4482" s="19"/>
      <c r="Q4482" s="19"/>
    </row>
    <row r="4483" spans="9:17" hidden="1">
      <c r="I4483" s="20"/>
      <c r="M4483" s="19"/>
      <c r="N4483" s="19"/>
      <c r="O4483" s="19"/>
      <c r="P4483" s="19"/>
      <c r="Q4483" s="19"/>
    </row>
    <row r="4484" spans="9:17" hidden="1">
      <c r="I4484" s="20"/>
      <c r="M4484" s="19"/>
      <c r="N4484" s="19"/>
      <c r="O4484" s="19"/>
      <c r="P4484" s="19"/>
      <c r="Q4484" s="19"/>
    </row>
    <row r="4485" spans="9:17" hidden="1">
      <c r="I4485" s="20"/>
      <c r="M4485" s="19"/>
      <c r="N4485" s="19"/>
      <c r="O4485" s="19"/>
      <c r="P4485" s="19"/>
      <c r="Q4485" s="19"/>
    </row>
    <row r="4486" spans="9:17" hidden="1">
      <c r="I4486" s="20"/>
      <c r="M4486" s="19"/>
      <c r="N4486" s="19"/>
      <c r="O4486" s="19"/>
      <c r="P4486" s="19"/>
      <c r="Q4486" s="19"/>
    </row>
    <row r="4487" spans="9:17" hidden="1">
      <c r="I4487" s="20"/>
      <c r="M4487" s="19"/>
      <c r="N4487" s="19"/>
      <c r="O4487" s="19"/>
      <c r="P4487" s="19"/>
      <c r="Q4487" s="19"/>
    </row>
    <row r="4488" spans="9:17" hidden="1">
      <c r="I4488" s="20"/>
      <c r="M4488" s="19"/>
      <c r="N4488" s="19"/>
      <c r="O4488" s="19"/>
      <c r="P4488" s="19"/>
      <c r="Q4488" s="19"/>
    </row>
    <row r="4489" spans="9:17" hidden="1">
      <c r="I4489" s="20"/>
      <c r="M4489" s="19"/>
      <c r="N4489" s="19"/>
      <c r="O4489" s="19"/>
      <c r="P4489" s="19"/>
      <c r="Q4489" s="19"/>
    </row>
    <row r="4490" spans="9:17" hidden="1">
      <c r="I4490" s="20"/>
      <c r="M4490" s="19"/>
      <c r="N4490" s="19"/>
      <c r="O4490" s="19"/>
      <c r="P4490" s="19"/>
      <c r="Q4490" s="19"/>
    </row>
    <row r="4491" spans="9:17" hidden="1">
      <c r="I4491" s="20"/>
      <c r="M4491" s="19"/>
      <c r="N4491" s="19"/>
      <c r="O4491" s="19"/>
      <c r="P4491" s="19"/>
      <c r="Q4491" s="19"/>
    </row>
    <row r="4492" spans="9:17" hidden="1">
      <c r="I4492" s="20"/>
      <c r="M4492" s="19"/>
      <c r="N4492" s="19"/>
      <c r="O4492" s="19"/>
      <c r="P4492" s="19"/>
      <c r="Q4492" s="19"/>
    </row>
    <row r="4493" spans="9:17" hidden="1">
      <c r="I4493" s="20"/>
      <c r="M4493" s="19"/>
      <c r="N4493" s="19"/>
      <c r="O4493" s="19"/>
      <c r="P4493" s="19"/>
      <c r="Q4493" s="19"/>
    </row>
    <row r="4494" spans="9:17" hidden="1">
      <c r="I4494" s="20"/>
      <c r="M4494" s="19"/>
      <c r="N4494" s="19"/>
      <c r="O4494" s="19"/>
      <c r="P4494" s="19"/>
      <c r="Q4494" s="19"/>
    </row>
    <row r="4495" spans="9:17" hidden="1">
      <c r="I4495" s="20"/>
      <c r="M4495" s="19"/>
      <c r="N4495" s="19"/>
      <c r="O4495" s="19"/>
      <c r="P4495" s="19"/>
      <c r="Q4495" s="19"/>
    </row>
    <row r="4496" spans="9:17" hidden="1">
      <c r="I4496" s="20"/>
      <c r="M4496" s="19"/>
      <c r="N4496" s="19"/>
      <c r="O4496" s="19"/>
      <c r="P4496" s="19"/>
      <c r="Q4496" s="19"/>
    </row>
    <row r="4497" spans="9:17" hidden="1">
      <c r="I4497" s="20"/>
      <c r="M4497" s="19"/>
      <c r="N4497" s="19"/>
      <c r="O4497" s="19"/>
      <c r="P4497" s="19"/>
      <c r="Q4497" s="19"/>
    </row>
    <row r="4498" spans="9:17" hidden="1">
      <c r="I4498" s="20"/>
      <c r="M4498" s="19"/>
      <c r="N4498" s="19"/>
      <c r="O4498" s="19"/>
      <c r="P4498" s="19"/>
      <c r="Q4498" s="19"/>
    </row>
    <row r="4499" spans="9:17" hidden="1">
      <c r="I4499" s="20"/>
      <c r="M4499" s="19"/>
      <c r="N4499" s="19"/>
      <c r="O4499" s="19"/>
      <c r="P4499" s="19"/>
      <c r="Q4499" s="19"/>
    </row>
    <row r="4500" spans="9:17" hidden="1">
      <c r="I4500" s="20"/>
      <c r="M4500" s="19"/>
      <c r="N4500" s="19"/>
      <c r="O4500" s="19"/>
      <c r="P4500" s="19"/>
      <c r="Q4500" s="19"/>
    </row>
    <row r="4501" spans="9:17" hidden="1">
      <c r="I4501" s="20"/>
      <c r="M4501" s="19"/>
      <c r="N4501" s="19"/>
      <c r="O4501" s="19"/>
      <c r="P4501" s="19"/>
      <c r="Q4501" s="19"/>
    </row>
    <row r="4502" spans="9:17" hidden="1">
      <c r="I4502" s="20"/>
      <c r="M4502" s="19"/>
      <c r="N4502" s="19"/>
      <c r="O4502" s="19"/>
      <c r="P4502" s="19"/>
      <c r="Q4502" s="19"/>
    </row>
    <row r="4503" spans="9:17" hidden="1">
      <c r="I4503" s="20"/>
      <c r="M4503" s="19"/>
      <c r="N4503" s="19"/>
      <c r="O4503" s="19"/>
      <c r="P4503" s="19"/>
      <c r="Q4503" s="19"/>
    </row>
    <row r="4504" spans="9:17" hidden="1">
      <c r="I4504" s="20"/>
      <c r="M4504" s="19"/>
      <c r="N4504" s="19"/>
      <c r="O4504" s="19"/>
      <c r="P4504" s="19"/>
      <c r="Q4504" s="19"/>
    </row>
    <row r="4505" spans="9:17" hidden="1">
      <c r="I4505" s="20"/>
      <c r="M4505" s="19"/>
      <c r="N4505" s="19"/>
      <c r="O4505" s="19"/>
      <c r="P4505" s="19"/>
      <c r="Q4505" s="19"/>
    </row>
    <row r="4506" spans="9:17" hidden="1">
      <c r="I4506" s="20"/>
      <c r="M4506" s="19"/>
      <c r="N4506" s="19"/>
      <c r="O4506" s="19"/>
      <c r="P4506" s="19"/>
      <c r="Q4506" s="19"/>
    </row>
    <row r="4507" spans="9:17" hidden="1">
      <c r="I4507" s="20"/>
      <c r="M4507" s="19"/>
      <c r="N4507" s="19"/>
      <c r="O4507" s="19"/>
      <c r="P4507" s="19"/>
      <c r="Q4507" s="19"/>
    </row>
    <row r="4508" spans="9:17" hidden="1">
      <c r="I4508" s="20"/>
      <c r="M4508" s="19"/>
      <c r="N4508" s="19"/>
      <c r="O4508" s="19"/>
      <c r="P4508" s="19"/>
      <c r="Q4508" s="19"/>
    </row>
    <row r="4509" spans="9:17" hidden="1">
      <c r="I4509" s="20"/>
      <c r="M4509" s="19"/>
      <c r="N4509" s="19"/>
      <c r="O4509" s="19"/>
      <c r="P4509" s="19"/>
      <c r="Q4509" s="19"/>
    </row>
    <row r="4510" spans="9:17" hidden="1">
      <c r="I4510" s="20"/>
      <c r="M4510" s="19"/>
      <c r="N4510" s="19"/>
      <c r="O4510" s="19"/>
      <c r="P4510" s="19"/>
      <c r="Q4510" s="19"/>
    </row>
    <row r="4511" spans="9:17" hidden="1">
      <c r="I4511" s="20"/>
      <c r="M4511" s="19"/>
      <c r="N4511" s="19"/>
      <c r="O4511" s="19"/>
      <c r="P4511" s="19"/>
      <c r="Q4511" s="19"/>
    </row>
    <row r="4512" spans="9:17" hidden="1">
      <c r="I4512" s="20"/>
      <c r="M4512" s="19"/>
      <c r="N4512" s="19"/>
      <c r="O4512" s="19"/>
      <c r="P4512" s="19"/>
      <c r="Q4512" s="19"/>
    </row>
    <row r="4513" spans="1:28" hidden="1">
      <c r="I4513" s="20"/>
      <c r="M4513" s="19"/>
      <c r="N4513" s="19"/>
      <c r="O4513" s="19"/>
      <c r="P4513" s="19"/>
      <c r="Q4513" s="19"/>
    </row>
    <row r="4514" spans="1:28" hidden="1">
      <c r="I4514" s="20"/>
      <c r="M4514" s="19"/>
      <c r="N4514" s="19"/>
      <c r="O4514" s="19"/>
      <c r="P4514" s="19"/>
      <c r="Q4514" s="19"/>
    </row>
    <row r="4515" spans="1:28" hidden="1">
      <c r="I4515" s="20"/>
      <c r="M4515" s="19"/>
      <c r="N4515" s="19"/>
      <c r="O4515" s="19"/>
      <c r="P4515" s="19"/>
      <c r="Q4515" s="19"/>
    </row>
    <row r="4516" spans="1:28" hidden="1">
      <c r="I4516" s="20"/>
      <c r="M4516" s="19"/>
      <c r="N4516" s="19"/>
      <c r="O4516" s="19"/>
      <c r="P4516" s="19"/>
      <c r="Q4516" s="19"/>
    </row>
    <row r="4517" spans="1:28" hidden="1">
      <c r="I4517" s="20"/>
      <c r="M4517" s="19"/>
      <c r="N4517" s="19"/>
      <c r="O4517" s="19"/>
      <c r="P4517" s="19"/>
      <c r="Q4517" s="19"/>
    </row>
    <row r="4518" spans="1:28" hidden="1">
      <c r="I4518" s="20"/>
      <c r="M4518" s="19"/>
      <c r="N4518" s="19"/>
      <c r="O4518" s="19"/>
      <c r="P4518" s="19"/>
      <c r="Q4518" s="19"/>
    </row>
    <row r="4519" spans="1:28" hidden="1">
      <c r="I4519" s="20"/>
      <c r="M4519" s="19"/>
      <c r="N4519" s="19"/>
      <c r="O4519" s="19"/>
      <c r="P4519" s="19"/>
      <c r="Q4519" s="19"/>
    </row>
    <row r="4520" spans="1:28" hidden="1">
      <c r="I4520" s="20"/>
      <c r="M4520" s="19"/>
      <c r="N4520" s="19"/>
      <c r="O4520" s="19"/>
      <c r="P4520" s="19"/>
      <c r="Q4520" s="19"/>
    </row>
    <row r="4521" spans="1:28" hidden="1"/>
    <row r="4522" spans="1:28" hidden="1"/>
    <row r="4523" spans="1:28" hidden="1"/>
    <row r="4524" spans="1:28" hidden="1"/>
    <row r="4525" spans="1:28" hidden="1"/>
    <row r="4526" spans="1:28" ht="18.75">
      <c r="A4526" s="410" t="s">
        <v>436</v>
      </c>
      <c r="B4526" s="410"/>
      <c r="C4526" s="410"/>
      <c r="D4526" s="410"/>
      <c r="E4526" s="410"/>
      <c r="F4526" s="410"/>
      <c r="G4526" s="410"/>
      <c r="H4526" s="410"/>
      <c r="I4526" s="410"/>
      <c r="J4526" s="410"/>
      <c r="K4526" s="410"/>
      <c r="L4526" s="410"/>
      <c r="M4526" s="410"/>
      <c r="N4526" s="410"/>
      <c r="O4526" s="410"/>
      <c r="P4526" s="410"/>
      <c r="Q4526" s="410"/>
      <c r="V4526" s="914"/>
      <c r="W4526" s="914"/>
      <c r="X4526" s="38"/>
    </row>
    <row r="4527" spans="1:28">
      <c r="B4527" s="21">
        <f>COUNT(B4530:B4621)</f>
        <v>92</v>
      </c>
      <c r="C4527" s="21">
        <f t="shared" ref="C4527:I4527" si="56">COUNT(C4530:C4621)</f>
        <v>92</v>
      </c>
      <c r="D4527" s="21">
        <f t="shared" si="56"/>
        <v>92</v>
      </c>
      <c r="E4527" s="21">
        <f t="shared" si="56"/>
        <v>92</v>
      </c>
      <c r="F4527" s="21">
        <f t="shared" si="56"/>
        <v>92</v>
      </c>
      <c r="G4527" s="21">
        <f t="shared" si="56"/>
        <v>92</v>
      </c>
      <c r="H4527" s="21">
        <f t="shared" si="56"/>
        <v>92</v>
      </c>
      <c r="I4527" s="21">
        <f t="shared" si="56"/>
        <v>92</v>
      </c>
      <c r="L4527" s="21">
        <f>COUNT(L4530:L4576)</f>
        <v>47</v>
      </c>
      <c r="M4527" s="21">
        <f t="shared" ref="M4527:T4527" si="57">COUNT(M4530:M4576)</f>
        <v>47</v>
      </c>
      <c r="N4527" s="21">
        <f t="shared" si="57"/>
        <v>47</v>
      </c>
      <c r="O4527" s="21">
        <f t="shared" si="57"/>
        <v>47</v>
      </c>
      <c r="P4527" s="21">
        <f t="shared" si="57"/>
        <v>47</v>
      </c>
      <c r="Q4527" s="21">
        <f t="shared" si="57"/>
        <v>47</v>
      </c>
      <c r="R4527" s="21">
        <f t="shared" si="57"/>
        <v>47</v>
      </c>
      <c r="S4527" s="21">
        <f t="shared" si="57"/>
        <v>47</v>
      </c>
      <c r="T4527" s="21">
        <f t="shared" si="57"/>
        <v>47</v>
      </c>
      <c r="V4527" s="916"/>
      <c r="W4527" s="916"/>
      <c r="X4527" s="39"/>
      <c r="Z4527" s="916"/>
      <c r="AA4527" s="916"/>
      <c r="AB4527" s="40"/>
    </row>
    <row r="4528" spans="1:28" ht="15" customHeight="1">
      <c r="A4528" s="915" t="s">
        <v>417</v>
      </c>
      <c r="B4528" s="21">
        <f>COUNTA(B4530:B4621)</f>
        <v>92</v>
      </c>
      <c r="C4528" s="21">
        <f t="shared" ref="C4528:I4528" si="58">COUNTA(C4530:C4621)</f>
        <v>92</v>
      </c>
      <c r="D4528" s="21">
        <f t="shared" si="58"/>
        <v>92</v>
      </c>
      <c r="E4528" s="21">
        <f t="shared" si="58"/>
        <v>92</v>
      </c>
      <c r="F4528" s="21">
        <f t="shared" si="58"/>
        <v>92</v>
      </c>
      <c r="G4528" s="21">
        <f t="shared" si="58"/>
        <v>92</v>
      </c>
      <c r="H4528" s="21">
        <f t="shared" si="58"/>
        <v>92</v>
      </c>
      <c r="I4528" s="21">
        <f t="shared" si="58"/>
        <v>92</v>
      </c>
      <c r="J4528" s="905" t="s">
        <v>418</v>
      </c>
      <c r="K4528" s="906" t="s">
        <v>419</v>
      </c>
      <c r="L4528" s="21">
        <f>COUNTA(L4530:L4576)</f>
        <v>47</v>
      </c>
      <c r="M4528" s="21">
        <f t="shared" ref="M4528:T4528" si="59">COUNTA(M4530:M4576)</f>
        <v>47</v>
      </c>
      <c r="N4528" s="21">
        <f t="shared" si="59"/>
        <v>47</v>
      </c>
      <c r="O4528" s="21">
        <f t="shared" si="59"/>
        <v>47</v>
      </c>
      <c r="P4528" s="21">
        <f t="shared" si="59"/>
        <v>47</v>
      </c>
      <c r="Q4528" s="21">
        <f t="shared" si="59"/>
        <v>47</v>
      </c>
      <c r="R4528" s="21">
        <f t="shared" si="59"/>
        <v>47</v>
      </c>
      <c r="S4528" s="21">
        <f t="shared" si="59"/>
        <v>47</v>
      </c>
      <c r="T4528" s="21">
        <f t="shared" si="59"/>
        <v>47</v>
      </c>
      <c r="V4528" s="1">
        <f>heeling</f>
        <v>0</v>
      </c>
      <c r="W4528" s="382">
        <f>sound215</f>
        <v>3540</v>
      </c>
      <c r="X4528" s="186">
        <f>IF((W4528+W4531)&lt;0,W4528,W4528+W4531)</f>
        <v>3540</v>
      </c>
      <c r="Y4528" s="381">
        <f>IF(Y4530=Y4529,Y4529,Interp1(X4529:X4530,Y4529:Y4530,X4528))</f>
        <v>20.212</v>
      </c>
      <c r="AA4528" s="30"/>
    </row>
    <row r="4529" spans="1:28">
      <c r="A4529" s="915"/>
      <c r="B4529" s="36">
        <v>-1</v>
      </c>
      <c r="C4529" s="35">
        <v>0</v>
      </c>
      <c r="D4529" s="35">
        <v>0.5</v>
      </c>
      <c r="E4529" s="35">
        <v>1</v>
      </c>
      <c r="F4529" s="35">
        <v>1.5</v>
      </c>
      <c r="G4529" s="35">
        <v>2</v>
      </c>
      <c r="H4529" s="37">
        <v>3</v>
      </c>
      <c r="I4529" s="21">
        <v>4</v>
      </c>
      <c r="J4529" s="905"/>
      <c r="K4529" s="906"/>
      <c r="L4529" s="21">
        <v>-4</v>
      </c>
      <c r="M4529" s="35">
        <v>-3</v>
      </c>
      <c r="N4529" s="35">
        <v>-2</v>
      </c>
      <c r="O4529" s="35">
        <v>-1</v>
      </c>
      <c r="P4529" s="35">
        <v>0</v>
      </c>
      <c r="Q4529" s="35">
        <v>1</v>
      </c>
      <c r="R4529" s="35">
        <v>2</v>
      </c>
      <c r="S4529" s="35">
        <v>3</v>
      </c>
      <c r="T4529" s="35">
        <v>4</v>
      </c>
      <c r="V4529" s="1">
        <f>IF(tankSound15=soundingPipe15,tankSound15,FLOOR(W4528,incHeel))</f>
        <v>3500</v>
      </c>
      <c r="W4529" s="1">
        <f>Interp2(tank15Heel1,tank15Heel2,tank15Heel3,V4529,V4528)</f>
        <v>0</v>
      </c>
      <c r="X4529" s="1">
        <f>IF(X4528=soundingPipe15,Tank1!X4528,FLOOR(X4528,inc))</f>
        <v>3500</v>
      </c>
      <c r="Y4529" s="42">
        <f>IF(W4534=W4533,W4533,Interp1(V4533:V4534,W4533:W4534,V4532))</f>
        <v>19.989999999999998</v>
      </c>
      <c r="AA4529" s="30"/>
    </row>
    <row r="4530" spans="1:28">
      <c r="A4530" s="1">
        <v>0</v>
      </c>
      <c r="B4530" s="1">
        <v>0.27600000000000002</v>
      </c>
      <c r="C4530" s="1">
        <v>0.29299999999999998</v>
      </c>
      <c r="D4530" s="1">
        <v>0.30099999999999999</v>
      </c>
      <c r="E4530" s="1">
        <v>0.309</v>
      </c>
      <c r="F4530" s="1">
        <v>0.318</v>
      </c>
      <c r="G4530" s="1">
        <v>0.32600000000000001</v>
      </c>
      <c r="H4530" s="1">
        <v>0.34300000000000003</v>
      </c>
      <c r="I4530" s="1">
        <v>0.36</v>
      </c>
      <c r="J4530" s="21">
        <v>6013</v>
      </c>
      <c r="K4530" s="1">
        <v>0</v>
      </c>
      <c r="L4530" s="1">
        <v>0</v>
      </c>
      <c r="M4530" s="1">
        <v>0</v>
      </c>
      <c r="N4530" s="1">
        <v>0</v>
      </c>
      <c r="O4530" s="1">
        <v>0</v>
      </c>
      <c r="P4530" s="365">
        <v>0</v>
      </c>
      <c r="Q4530" s="1">
        <v>23.878</v>
      </c>
      <c r="R4530" s="1">
        <v>47.771999999999998</v>
      </c>
      <c r="S4530" s="1">
        <v>71.692999999999998</v>
      </c>
      <c r="T4530" s="1">
        <v>95.659000000000006</v>
      </c>
      <c r="U4530" s="24"/>
      <c r="V4530" s="1">
        <f>IF(V4529=tankSound15,V4529,CEILING(W4528,incHeel))</f>
        <v>3600</v>
      </c>
      <c r="W4530" s="1">
        <f>Interp2(tank15Heel1,tank15Heel2,tank15Heel3,V4530,V4528)</f>
        <v>0</v>
      </c>
      <c r="X4530" s="1">
        <f>IF(X4529=X4528,X4529,CEILING(X4528,inc))</f>
        <v>3550</v>
      </c>
      <c r="Y4530" s="42">
        <f>IF(X4534=X4533,X4533,Interp1(V4533:V4534,X4533:X4534,V4532))</f>
        <v>20.266999999999999</v>
      </c>
      <c r="AA4530" s="30"/>
      <c r="AB4530" s="42"/>
    </row>
    <row r="4531" spans="1:28">
      <c r="A4531" s="1">
        <v>50</v>
      </c>
      <c r="B4531" s="1">
        <v>0.55700000000000005</v>
      </c>
      <c r="C4531" s="1">
        <v>0.57399999999999995</v>
      </c>
      <c r="D4531" s="1">
        <v>0.58199999999999996</v>
      </c>
      <c r="E4531" s="1">
        <v>0.59099999999999997</v>
      </c>
      <c r="F4531" s="1">
        <v>0.59899999999999998</v>
      </c>
      <c r="G4531" s="1">
        <v>0.60799999999999998</v>
      </c>
      <c r="H4531" s="1">
        <v>0.625</v>
      </c>
      <c r="I4531" s="1">
        <v>0.64100000000000001</v>
      </c>
      <c r="J4531" s="21">
        <v>4500</v>
      </c>
      <c r="K4531" s="1">
        <v>100</v>
      </c>
      <c r="L4531" s="1">
        <v>-84.622</v>
      </c>
      <c r="M4531" s="1">
        <v>-70.727999999999994</v>
      </c>
      <c r="N4531" s="1">
        <v>-47.771999999999998</v>
      </c>
      <c r="O4531" s="1">
        <v>-23.878</v>
      </c>
      <c r="P4531" s="365">
        <v>0</v>
      </c>
      <c r="Q4531" s="1">
        <v>23.878</v>
      </c>
      <c r="R4531" s="1">
        <v>47.771999999999998</v>
      </c>
      <c r="S4531" s="1">
        <v>71.694000000000003</v>
      </c>
      <c r="T4531" s="1">
        <v>95.66</v>
      </c>
      <c r="U4531" s="25"/>
      <c r="W4531" s="1">
        <f>IF(W4530=W4529,W4529,Interp1(V4529:V4530,W4529:W4530,W4528))</f>
        <v>0</v>
      </c>
      <c r="Y4531" s="42"/>
      <c r="AA4531" s="30"/>
      <c r="AB4531" s="42"/>
    </row>
    <row r="4532" spans="1:28">
      <c r="A4532" s="1">
        <v>100</v>
      </c>
      <c r="B4532" s="1">
        <v>0.83899999999999997</v>
      </c>
      <c r="C4532" s="1">
        <v>0.85499999999999998</v>
      </c>
      <c r="D4532" s="1">
        <v>0.86399999999999999</v>
      </c>
      <c r="E4532" s="1">
        <v>0.872</v>
      </c>
      <c r="F4532" s="1">
        <v>0.88100000000000001</v>
      </c>
      <c r="G4532" s="1">
        <v>0.88900000000000001</v>
      </c>
      <c r="H4532" s="1">
        <v>0.90600000000000003</v>
      </c>
      <c r="I4532" s="1">
        <v>0.92300000000000004</v>
      </c>
      <c r="J4532" s="21">
        <v>4450</v>
      </c>
      <c r="K4532" s="1">
        <v>200</v>
      </c>
      <c r="L4532" s="1">
        <v>-95.66</v>
      </c>
      <c r="M4532" s="1">
        <v>-71.694000000000003</v>
      </c>
      <c r="N4532" s="1">
        <v>-47.773000000000003</v>
      </c>
      <c r="O4532" s="1">
        <v>-23.878</v>
      </c>
      <c r="P4532" s="365">
        <v>0</v>
      </c>
      <c r="Q4532" s="1">
        <v>23.878</v>
      </c>
      <c r="R4532" s="1">
        <v>47.771999999999998</v>
      </c>
      <c r="S4532" s="1">
        <v>71.694000000000003</v>
      </c>
      <c r="T4532" s="1">
        <v>95.659000000000006</v>
      </c>
      <c r="U4532" s="25"/>
      <c r="V4532" s="1">
        <f>trim</f>
        <v>0.36</v>
      </c>
      <c r="AA4532" s="30"/>
      <c r="AB4532" s="42"/>
    </row>
    <row r="4533" spans="1:28">
      <c r="A4533" s="1">
        <v>150</v>
      </c>
      <c r="B4533" s="1">
        <v>1.1200000000000001</v>
      </c>
      <c r="C4533" s="1">
        <v>1.137</v>
      </c>
      <c r="D4533" s="1">
        <v>1.145</v>
      </c>
      <c r="E4533" s="1">
        <v>1.1539999999999999</v>
      </c>
      <c r="F4533" s="1">
        <v>1.1619999999999999</v>
      </c>
      <c r="G4533" s="1">
        <v>1.17</v>
      </c>
      <c r="H4533" s="1">
        <v>1.1870000000000001</v>
      </c>
      <c r="I4533" s="1">
        <v>1.204</v>
      </c>
      <c r="J4533" s="21">
        <v>4400</v>
      </c>
      <c r="K4533" s="1">
        <v>300</v>
      </c>
      <c r="L4533" s="1">
        <v>-95.659000000000006</v>
      </c>
      <c r="M4533" s="1">
        <v>-71.694000000000003</v>
      </c>
      <c r="N4533" s="1">
        <v>-47.771999999999998</v>
      </c>
      <c r="O4533" s="1">
        <v>-23.878</v>
      </c>
      <c r="P4533" s="365">
        <v>0</v>
      </c>
      <c r="Q4533" s="1">
        <v>23.878</v>
      </c>
      <c r="R4533" s="1">
        <v>47.773000000000003</v>
      </c>
      <c r="S4533" s="1">
        <v>71.694000000000003</v>
      </c>
      <c r="T4533" s="1">
        <v>95.66</v>
      </c>
      <c r="U4533" s="25"/>
      <c r="V4533" s="1">
        <f>INDEX(tank15Trim2,0,MATCH(V4532,tank15Trim2,1))</f>
        <v>0</v>
      </c>
      <c r="W4533" s="1">
        <f>Interp2(tank15Trim1,tank15Trim2,tank15Trim3,X4529,V4533)</f>
        <v>19.984000000000002</v>
      </c>
      <c r="X4533" s="1">
        <f>Interp2(tank15Trim1,tank15Trim2,tank15Trim3,X4530,V4533)</f>
        <v>20.260999999999999</v>
      </c>
      <c r="AA4533" s="30"/>
    </row>
    <row r="4534" spans="1:28">
      <c r="A4534" s="1">
        <v>200</v>
      </c>
      <c r="B4534" s="1">
        <v>1.401</v>
      </c>
      <c r="C4534" s="1">
        <v>1.4179999999999999</v>
      </c>
      <c r="D4534" s="1">
        <v>1.427</v>
      </c>
      <c r="E4534" s="1">
        <v>1.4350000000000001</v>
      </c>
      <c r="F4534" s="1">
        <v>1.4430000000000001</v>
      </c>
      <c r="G4534" s="1">
        <v>1.452</v>
      </c>
      <c r="H4534" s="1">
        <v>1.4690000000000001</v>
      </c>
      <c r="I4534" s="1">
        <v>1.486</v>
      </c>
      <c r="J4534" s="21">
        <v>4350</v>
      </c>
      <c r="K4534" s="1">
        <v>400</v>
      </c>
      <c r="L4534" s="1">
        <v>-95.662000000000006</v>
      </c>
      <c r="M4534" s="1">
        <v>-71.694000000000003</v>
      </c>
      <c r="N4534" s="1">
        <v>-47.771999999999998</v>
      </c>
      <c r="O4534" s="1">
        <v>-23.878</v>
      </c>
      <c r="P4534" s="365">
        <v>0</v>
      </c>
      <c r="Q4534" s="1">
        <v>23.878</v>
      </c>
      <c r="R4534" s="1">
        <v>47.771999999999998</v>
      </c>
      <c r="S4534" s="1">
        <v>71.694000000000003</v>
      </c>
      <c r="T4534" s="1">
        <v>95.66</v>
      </c>
      <c r="U4534" s="25"/>
      <c r="V4534" s="1">
        <f>IF(V4533=V4532,V4532,INDEX(tank15Trim2,0,MATCH(V4532,tank15Trim2,1)+1))</f>
        <v>0.5</v>
      </c>
      <c r="W4534" s="1">
        <f>Interp2(tank15Trim1,tank15Trim2,tank15Trim3,X4529,V4534)</f>
        <v>19.992000000000001</v>
      </c>
      <c r="X4534" s="1">
        <f>Interp2(tank15Trim1,tank15Trim2,tank15Trim3,X4530,V4534)</f>
        <v>20.27</v>
      </c>
      <c r="AA4534" s="30"/>
      <c r="AB4534" s="42"/>
    </row>
    <row r="4535" spans="1:28">
      <c r="A4535" s="1">
        <v>250</v>
      </c>
      <c r="B4535" s="1">
        <v>1.6830000000000001</v>
      </c>
      <c r="C4535" s="1">
        <v>1.7</v>
      </c>
      <c r="D4535" s="1">
        <v>1.708</v>
      </c>
      <c r="E4535" s="1">
        <v>1.716</v>
      </c>
      <c r="F4535" s="1">
        <v>1.7250000000000001</v>
      </c>
      <c r="G4535" s="1">
        <v>1.7330000000000001</v>
      </c>
      <c r="H4535" s="1">
        <v>1.75</v>
      </c>
      <c r="I4535" s="1">
        <v>1.7669999999999999</v>
      </c>
      <c r="J4535" s="21">
        <v>4300</v>
      </c>
      <c r="K4535" s="1">
        <v>500</v>
      </c>
      <c r="L4535" s="1">
        <v>-95.659000000000006</v>
      </c>
      <c r="M4535" s="1">
        <v>-71.694000000000003</v>
      </c>
      <c r="N4535" s="1">
        <v>-47.771999999999998</v>
      </c>
      <c r="O4535" s="1">
        <v>-23.878</v>
      </c>
      <c r="P4535" s="365">
        <v>0</v>
      </c>
      <c r="Q4535" s="1">
        <v>23.878</v>
      </c>
      <c r="R4535" s="1">
        <v>47.771000000000001</v>
      </c>
      <c r="S4535" s="1">
        <v>71.694000000000003</v>
      </c>
      <c r="T4535" s="1">
        <v>95.659000000000006</v>
      </c>
      <c r="U4535" s="25"/>
      <c r="W4535" s="43"/>
      <c r="X4535" s="42"/>
      <c r="AA4535" s="30"/>
      <c r="AB4535" s="42"/>
    </row>
    <row r="4536" spans="1:28">
      <c r="A4536" s="1">
        <v>300</v>
      </c>
      <c r="B4536" s="1">
        <v>1.964</v>
      </c>
      <c r="C4536" s="1">
        <v>1.9810000000000001</v>
      </c>
      <c r="D4536" s="1">
        <v>1.9890000000000001</v>
      </c>
      <c r="E4536" s="1">
        <v>1.998</v>
      </c>
      <c r="F4536" s="1">
        <v>2.0059999999999998</v>
      </c>
      <c r="G4536" s="1">
        <v>2.0150000000000001</v>
      </c>
      <c r="H4536" s="1">
        <v>2.0310000000000001</v>
      </c>
      <c r="I4536" s="1">
        <v>2.048</v>
      </c>
      <c r="J4536" s="21">
        <v>4250</v>
      </c>
      <c r="K4536" s="1">
        <v>600</v>
      </c>
      <c r="L4536" s="1">
        <v>-95.659000000000006</v>
      </c>
      <c r="M4536" s="1">
        <v>-71.694999999999993</v>
      </c>
      <c r="N4536" s="1">
        <v>-47.771999999999998</v>
      </c>
      <c r="O4536" s="1">
        <v>-23.879000000000001</v>
      </c>
      <c r="P4536" s="365">
        <v>0</v>
      </c>
      <c r="Q4536" s="1">
        <v>23.878</v>
      </c>
      <c r="R4536" s="1">
        <v>47.771999999999998</v>
      </c>
      <c r="S4536" s="1">
        <v>71.694999999999993</v>
      </c>
      <c r="T4536" s="1">
        <v>95.661000000000001</v>
      </c>
      <c r="U4536" s="25"/>
    </row>
    <row r="4537" spans="1:28">
      <c r="A4537" s="1">
        <v>350</v>
      </c>
      <c r="B4537" s="1">
        <v>2.2450000000000001</v>
      </c>
      <c r="C4537" s="1">
        <v>2.262</v>
      </c>
      <c r="D4537" s="1">
        <v>2.2709999999999999</v>
      </c>
      <c r="E4537" s="1">
        <v>2.2789999999999999</v>
      </c>
      <c r="F4537" s="1">
        <v>2.2879999999999998</v>
      </c>
      <c r="G4537" s="1">
        <v>2.2959999999999998</v>
      </c>
      <c r="H4537" s="1">
        <v>2.3130000000000002</v>
      </c>
      <c r="I4537" s="1">
        <v>2.33</v>
      </c>
      <c r="J4537" s="21">
        <v>4200</v>
      </c>
      <c r="K4537" s="1">
        <v>700</v>
      </c>
      <c r="L4537" s="1">
        <v>-95.661000000000001</v>
      </c>
      <c r="M4537" s="1">
        <v>-71.694000000000003</v>
      </c>
      <c r="N4537" s="1">
        <v>-47.773000000000003</v>
      </c>
      <c r="O4537" s="1">
        <v>-23.878</v>
      </c>
      <c r="P4537" s="365">
        <v>0</v>
      </c>
      <c r="Q4537" s="1">
        <v>23.879000000000001</v>
      </c>
      <c r="R4537" s="1">
        <v>47.771000000000001</v>
      </c>
      <c r="S4537" s="1">
        <v>71.692999999999998</v>
      </c>
      <c r="T4537" s="1">
        <v>95.659000000000006</v>
      </c>
      <c r="U4537" s="25"/>
      <c r="V4537" s="1">
        <f>Bunkering!heeling1</f>
        <v>0</v>
      </c>
      <c r="W4537" s="382">
        <f>sound315</f>
        <v>3550</v>
      </c>
      <c r="X4537" s="186">
        <f>IF((W4537+W4540)&lt;0,W4537,W4537+W4540)</f>
        <v>3550</v>
      </c>
      <c r="Y4537" s="381">
        <f>IF(Y4539=Y4538,Y4538,Interp1(X4538:X4539,Y4538:Y4539,X4537))</f>
        <v>20.266999999999999</v>
      </c>
    </row>
    <row r="4538" spans="1:28">
      <c r="A4538" s="1">
        <v>400</v>
      </c>
      <c r="B4538" s="1">
        <v>2.5270000000000001</v>
      </c>
      <c r="C4538" s="1">
        <v>2.544</v>
      </c>
      <c r="D4538" s="1">
        <v>2.552</v>
      </c>
      <c r="E4538" s="1">
        <v>2.5609999999999999</v>
      </c>
      <c r="F4538" s="1">
        <v>2.569</v>
      </c>
      <c r="G4538" s="1">
        <v>2.577</v>
      </c>
      <c r="H4538" s="1">
        <v>2.5939999999999999</v>
      </c>
      <c r="I4538" s="1">
        <v>2.6110000000000002</v>
      </c>
      <c r="J4538" s="21">
        <v>4150</v>
      </c>
      <c r="K4538" s="1">
        <v>800</v>
      </c>
      <c r="L4538" s="1">
        <v>-95.66</v>
      </c>
      <c r="M4538" s="1">
        <v>-71.692999999999998</v>
      </c>
      <c r="N4538" s="1">
        <v>-47.771000000000001</v>
      </c>
      <c r="O4538" s="1">
        <v>-23.878</v>
      </c>
      <c r="P4538" s="365">
        <v>0</v>
      </c>
      <c r="Q4538" s="1">
        <v>23.878</v>
      </c>
      <c r="R4538" s="1">
        <v>47.771999999999998</v>
      </c>
      <c r="S4538" s="1">
        <v>71.694000000000003</v>
      </c>
      <c r="T4538" s="1">
        <v>95.66</v>
      </c>
      <c r="U4538" s="25"/>
      <c r="V4538" s="1">
        <f>IF(tankSound215=soundingPipe15,tankSound215,FLOOR(W4537,incHeel))</f>
        <v>3500</v>
      </c>
      <c r="W4538" s="1">
        <f>Interp2(tank15Heel1,tank15Heel2,tank15Heel3,V4538,V4537)</f>
        <v>0</v>
      </c>
      <c r="X4538" s="1">
        <f>IF(X4537=soundingPipe15,Tank1!X4537,FLOOR(X4537,inc))</f>
        <v>3550</v>
      </c>
      <c r="Y4538" s="42">
        <f>IF(W4543=W4542,W4542,Interp1(V4542:V4543,W4542:W4543,V4541))</f>
        <v>20.266999999999999</v>
      </c>
      <c r="Z4538" s="918"/>
      <c r="AA4538" s="918"/>
      <c r="AB4538" s="42"/>
    </row>
    <row r="4539" spans="1:28">
      <c r="A4539" s="1">
        <v>450</v>
      </c>
      <c r="B4539" s="1">
        <v>2.8079999999999998</v>
      </c>
      <c r="C4539" s="1">
        <v>2.8250000000000002</v>
      </c>
      <c r="D4539" s="1">
        <v>2.8340000000000001</v>
      </c>
      <c r="E4539" s="1">
        <v>2.8420000000000001</v>
      </c>
      <c r="F4539" s="1">
        <v>2.85</v>
      </c>
      <c r="G4539" s="1">
        <v>2.859</v>
      </c>
      <c r="H4539" s="1">
        <v>2.8759999999999999</v>
      </c>
      <c r="I4539" s="1">
        <v>2.8919999999999999</v>
      </c>
      <c r="J4539" s="21">
        <v>4100</v>
      </c>
      <c r="K4539" s="1">
        <v>900</v>
      </c>
      <c r="L4539" s="1">
        <v>-95.66</v>
      </c>
      <c r="M4539" s="1">
        <v>-71.692999999999998</v>
      </c>
      <c r="N4539" s="1">
        <v>-47.771000000000001</v>
      </c>
      <c r="O4539" s="1">
        <v>-23.878</v>
      </c>
      <c r="P4539" s="365">
        <v>0</v>
      </c>
      <c r="Q4539" s="1">
        <v>23.878</v>
      </c>
      <c r="R4539" s="1">
        <v>47.771999999999998</v>
      </c>
      <c r="S4539" s="1">
        <v>71.694000000000003</v>
      </c>
      <c r="T4539" s="1">
        <v>95.66</v>
      </c>
      <c r="U4539" s="25"/>
      <c r="V4539" s="1">
        <f>IF(V4538=tankSound215,V4538,CEILING(W4537,incHeel))</f>
        <v>3600</v>
      </c>
      <c r="W4539" s="1">
        <f>Interp2(tank15Heel1,tank15Heel2,tank15Heel3,V4539,V4537)</f>
        <v>0</v>
      </c>
      <c r="X4539" s="1">
        <f>IF(X4538=X4537,X4538,CEILING(X4537,inc))</f>
        <v>3550</v>
      </c>
      <c r="Y4539" s="42">
        <f>IF(X4543=X4542,X4542,Interp1(V4542:V4543,X4542:X4543,V4541))</f>
        <v>20.266999999999999</v>
      </c>
    </row>
    <row r="4540" spans="1:28">
      <c r="A4540" s="1">
        <v>500</v>
      </c>
      <c r="B4540" s="1">
        <v>3.09</v>
      </c>
      <c r="C4540" s="1">
        <v>3.1059999999999999</v>
      </c>
      <c r="D4540" s="1">
        <v>3.1150000000000002</v>
      </c>
      <c r="E4540" s="1">
        <v>3.1230000000000002</v>
      </c>
      <c r="F4540" s="1">
        <v>3.1320000000000001</v>
      </c>
      <c r="G4540" s="1">
        <v>3.14</v>
      </c>
      <c r="H4540" s="1">
        <v>3.157</v>
      </c>
      <c r="I4540" s="1">
        <v>3.1739999999999999</v>
      </c>
      <c r="J4540" s="21">
        <v>4050</v>
      </c>
      <c r="K4540" s="1">
        <v>1000</v>
      </c>
      <c r="L4540" s="1">
        <v>-95.659000000000006</v>
      </c>
      <c r="M4540" s="1">
        <v>-71.692999999999998</v>
      </c>
      <c r="N4540" s="1">
        <v>-47.771000000000001</v>
      </c>
      <c r="O4540" s="1">
        <v>-23.878</v>
      </c>
      <c r="P4540" s="365">
        <v>0</v>
      </c>
      <c r="Q4540" s="1">
        <v>23.878</v>
      </c>
      <c r="R4540" s="1">
        <v>47.771000000000001</v>
      </c>
      <c r="S4540" s="1">
        <v>71.694000000000003</v>
      </c>
      <c r="T4540" s="1">
        <v>95.659000000000006</v>
      </c>
      <c r="U4540" s="26"/>
      <c r="W4540" s="1">
        <f>IF(W4539=W4538,W4538,Interp1(V4538:V4539,W4538:W4539,W4537))</f>
        <v>0</v>
      </c>
      <c r="Y4540" s="42"/>
    </row>
    <row r="4541" spans="1:28">
      <c r="A4541" s="1">
        <v>550</v>
      </c>
      <c r="B4541" s="1">
        <v>3.371</v>
      </c>
      <c r="C4541" s="1">
        <v>3.3879999999999999</v>
      </c>
      <c r="D4541" s="1">
        <v>3.3959999999999999</v>
      </c>
      <c r="E4541" s="1">
        <v>3.4049999999999998</v>
      </c>
      <c r="F4541" s="1">
        <v>3.4129999999999998</v>
      </c>
      <c r="G4541" s="1">
        <v>3.4220000000000002</v>
      </c>
      <c r="H4541" s="1">
        <v>3.4380000000000002</v>
      </c>
      <c r="I4541" s="1">
        <v>3.4550000000000001</v>
      </c>
      <c r="J4541" s="21">
        <v>4000</v>
      </c>
      <c r="K4541" s="1">
        <v>1100</v>
      </c>
      <c r="L4541" s="1">
        <v>-95.66</v>
      </c>
      <c r="M4541" s="1">
        <v>-71.692999999999998</v>
      </c>
      <c r="N4541" s="1">
        <v>-47.771000000000001</v>
      </c>
      <c r="O4541" s="1">
        <v>-23.878</v>
      </c>
      <c r="P4541" s="365">
        <v>0</v>
      </c>
      <c r="Q4541" s="1">
        <v>23.878</v>
      </c>
      <c r="R4541" s="1">
        <v>47.771999999999998</v>
      </c>
      <c r="S4541" s="1">
        <v>71.692999999999998</v>
      </c>
      <c r="T4541" s="1">
        <v>95.659000000000006</v>
      </c>
      <c r="U4541" s="25"/>
      <c r="V4541" s="1">
        <f>Bunkering!trim1</f>
        <v>0.36</v>
      </c>
    </row>
    <row r="4542" spans="1:28">
      <c r="A4542" s="1">
        <v>600</v>
      </c>
      <c r="B4542" s="1">
        <v>3.6520000000000001</v>
      </c>
      <c r="C4542" s="1">
        <v>3.669</v>
      </c>
      <c r="D4542" s="1">
        <v>3.6779999999999999</v>
      </c>
      <c r="E4542" s="1">
        <v>3.6859999999999999</v>
      </c>
      <c r="F4542" s="1">
        <v>3.694</v>
      </c>
      <c r="G4542" s="1">
        <v>3.7029999999999998</v>
      </c>
      <c r="H4542" s="1">
        <v>3.72</v>
      </c>
      <c r="I4542" s="1">
        <v>3.7370000000000001</v>
      </c>
      <c r="J4542" s="21">
        <v>3950</v>
      </c>
      <c r="K4542" s="1">
        <v>1200</v>
      </c>
      <c r="L4542" s="1">
        <v>-95.662000000000006</v>
      </c>
      <c r="M4542" s="1">
        <v>-71.692999999999998</v>
      </c>
      <c r="N4542" s="1">
        <v>-47.771000000000001</v>
      </c>
      <c r="O4542" s="1">
        <v>-23.878</v>
      </c>
      <c r="P4542" s="365">
        <v>0</v>
      </c>
      <c r="Q4542" s="1">
        <v>23.878</v>
      </c>
      <c r="R4542" s="1">
        <v>47.771999999999998</v>
      </c>
      <c r="S4542" s="1">
        <v>71.695999999999998</v>
      </c>
      <c r="T4542" s="1">
        <v>95.66</v>
      </c>
      <c r="U4542" s="25"/>
      <c r="V4542" s="1">
        <f>INDEX(tank15Trim2,0,MATCH(V4541,tank15Trim2,1))</f>
        <v>0</v>
      </c>
      <c r="W4542" s="1">
        <f>Interp2(tank15Trim1,tank15Trim2,tank15Trim3,X4538,V4542)</f>
        <v>20.260999999999999</v>
      </c>
      <c r="X4542" s="1">
        <f>Interp2(tank15Trim1,tank15Trim2,tank15Trim3,X4539,V4542)</f>
        <v>20.260999999999999</v>
      </c>
      <c r="Z4542" s="916"/>
      <c r="AA4542" s="916"/>
      <c r="AB4542" s="40"/>
    </row>
    <row r="4543" spans="1:28">
      <c r="A4543" s="1">
        <v>650</v>
      </c>
      <c r="B4543" s="1">
        <v>3.9340000000000002</v>
      </c>
      <c r="C4543" s="1">
        <v>3.9510000000000001</v>
      </c>
      <c r="D4543" s="1">
        <v>3.9590000000000001</v>
      </c>
      <c r="E4543" s="1">
        <v>3.9670000000000001</v>
      </c>
      <c r="F4543" s="1">
        <v>3.976</v>
      </c>
      <c r="G4543" s="1">
        <v>3.984</v>
      </c>
      <c r="H4543" s="1">
        <v>4.0010000000000003</v>
      </c>
      <c r="I4543" s="1">
        <v>4.0179999999999998</v>
      </c>
      <c r="J4543" s="21">
        <v>3900</v>
      </c>
      <c r="K4543" s="1">
        <v>1300</v>
      </c>
      <c r="L4543" s="1">
        <v>-95.66</v>
      </c>
      <c r="M4543" s="1">
        <v>-71.694000000000003</v>
      </c>
      <c r="N4543" s="1">
        <v>-47.771000000000001</v>
      </c>
      <c r="O4543" s="1">
        <v>-23.878</v>
      </c>
      <c r="P4543" s="365">
        <v>0</v>
      </c>
      <c r="Q4543" s="1">
        <v>23.878</v>
      </c>
      <c r="R4543" s="1">
        <v>47.771000000000001</v>
      </c>
      <c r="S4543" s="1">
        <v>71.694999999999993</v>
      </c>
      <c r="T4543" s="1">
        <v>95.66</v>
      </c>
      <c r="U4543" s="25"/>
      <c r="V4543" s="1">
        <f>IF(V4542=V4541,V4541,INDEX(tank15Trim2,0,MATCH(V4541,tank15Trim2,1)+1))</f>
        <v>0.5</v>
      </c>
      <c r="W4543" s="1">
        <f>Interp2(tank15Trim1,tank15Trim2,tank15Trim3,X4538,V4543)</f>
        <v>20.27</v>
      </c>
      <c r="X4543" s="1">
        <f>Interp2(tank15Trim1,tank15Trim2,tank15Trim3,X4539,V4543)</f>
        <v>20.27</v>
      </c>
      <c r="AA4543" s="30"/>
    </row>
    <row r="4544" spans="1:28">
      <c r="A4544" s="1">
        <v>700</v>
      </c>
      <c r="B4544" s="1">
        <v>4.2149999999999999</v>
      </c>
      <c r="C4544" s="1">
        <v>4.2320000000000002</v>
      </c>
      <c r="D4544" s="1">
        <v>4.24</v>
      </c>
      <c r="E4544" s="1">
        <v>4.2489999999999997</v>
      </c>
      <c r="F4544" s="1">
        <v>4.2569999999999997</v>
      </c>
      <c r="G4544" s="1">
        <v>4.266</v>
      </c>
      <c r="H4544" s="1">
        <v>4.2830000000000004</v>
      </c>
      <c r="I4544" s="1">
        <v>4.2990000000000004</v>
      </c>
      <c r="J4544" s="21">
        <v>3850</v>
      </c>
      <c r="K4544" s="1">
        <v>1400</v>
      </c>
      <c r="L4544" s="1">
        <v>-95.659000000000006</v>
      </c>
      <c r="M4544" s="1">
        <v>-71.692999999999998</v>
      </c>
      <c r="N4544" s="1">
        <v>-47.771999999999998</v>
      </c>
      <c r="O4544" s="1">
        <v>-23.878</v>
      </c>
      <c r="P4544" s="365">
        <v>0</v>
      </c>
      <c r="Q4544" s="1">
        <v>23.878</v>
      </c>
      <c r="R4544" s="1">
        <v>47.771000000000001</v>
      </c>
      <c r="S4544" s="1">
        <v>71.694000000000003</v>
      </c>
      <c r="T4544" s="1">
        <v>95.66</v>
      </c>
      <c r="U4544" s="25"/>
      <c r="W4544" s="30"/>
      <c r="AA4544" s="30"/>
    </row>
    <row r="4545" spans="1:28">
      <c r="A4545" s="1">
        <v>750</v>
      </c>
      <c r="B4545" s="1">
        <v>4.4969999999999999</v>
      </c>
      <c r="C4545" s="1">
        <v>4.5129999999999999</v>
      </c>
      <c r="D4545" s="1">
        <v>4.5220000000000002</v>
      </c>
      <c r="E4545" s="1">
        <v>4.53</v>
      </c>
      <c r="F4545" s="1">
        <v>4.5389999999999997</v>
      </c>
      <c r="G4545" s="1">
        <v>4.5469999999999997</v>
      </c>
      <c r="H4545" s="1">
        <v>4.5640000000000001</v>
      </c>
      <c r="I4545" s="1">
        <v>4.5810000000000004</v>
      </c>
      <c r="J4545" s="21">
        <v>3800</v>
      </c>
      <c r="K4545" s="1">
        <v>1500</v>
      </c>
      <c r="L4545" s="1">
        <v>-95.66</v>
      </c>
      <c r="M4545" s="1">
        <v>-71.692999999999998</v>
      </c>
      <c r="N4545" s="1">
        <v>-47.771000000000001</v>
      </c>
      <c r="O4545" s="1">
        <v>-23.878</v>
      </c>
      <c r="P4545" s="365">
        <v>0</v>
      </c>
      <c r="Q4545" s="1">
        <v>23.878</v>
      </c>
      <c r="R4545" s="1">
        <v>47.771999999999998</v>
      </c>
      <c r="S4545" s="1">
        <v>71.694000000000003</v>
      </c>
      <c r="T4545" s="1">
        <v>95.659000000000006</v>
      </c>
      <c r="U4545" s="24"/>
      <c r="W4545" s="30"/>
      <c r="X4545" s="42"/>
      <c r="AA4545" s="30"/>
      <c r="AB4545" s="42"/>
    </row>
    <row r="4546" spans="1:28">
      <c r="A4546" s="1">
        <v>800</v>
      </c>
      <c r="B4546" s="1">
        <v>4.7779999999999996</v>
      </c>
      <c r="C4546" s="1">
        <v>4.7949999999999999</v>
      </c>
      <c r="D4546" s="1">
        <v>4.8029999999999999</v>
      </c>
      <c r="E4546" s="1">
        <v>4.8120000000000003</v>
      </c>
      <c r="F4546" s="1">
        <v>4.82</v>
      </c>
      <c r="G4546" s="1">
        <v>4.8280000000000003</v>
      </c>
      <c r="H4546" s="1">
        <v>4.8449999999999998</v>
      </c>
      <c r="I4546" s="1">
        <v>4.8620000000000001</v>
      </c>
      <c r="J4546" s="21">
        <v>3750</v>
      </c>
      <c r="K4546" s="1">
        <v>1600</v>
      </c>
      <c r="L4546" s="1">
        <v>-95.656999999999996</v>
      </c>
      <c r="M4546" s="1">
        <v>-71.692999999999998</v>
      </c>
      <c r="N4546" s="1">
        <v>-47.771000000000001</v>
      </c>
      <c r="O4546" s="1">
        <v>-23.878</v>
      </c>
      <c r="P4546" s="365">
        <v>0</v>
      </c>
      <c r="Q4546" s="1">
        <v>23.878</v>
      </c>
      <c r="R4546" s="1">
        <v>47.771000000000001</v>
      </c>
      <c r="S4546" s="1">
        <v>71.694000000000003</v>
      </c>
      <c r="T4546" s="1">
        <v>95.66</v>
      </c>
      <c r="U4546" s="24"/>
      <c r="W4546" s="30"/>
      <c r="X4546" s="42"/>
      <c r="AA4546" s="30"/>
      <c r="AB4546" s="42"/>
    </row>
    <row r="4547" spans="1:28">
      <c r="A4547" s="1">
        <v>850</v>
      </c>
      <c r="B4547" s="1">
        <v>5.0590000000000002</v>
      </c>
      <c r="C4547" s="1">
        <v>5.0759999999999996</v>
      </c>
      <c r="D4547" s="1">
        <v>5.085</v>
      </c>
      <c r="E4547" s="1">
        <v>5.093</v>
      </c>
      <c r="F4547" s="1">
        <v>5.101</v>
      </c>
      <c r="G4547" s="1">
        <v>5.1100000000000003</v>
      </c>
      <c r="H4547" s="1">
        <v>5.1269999999999998</v>
      </c>
      <c r="I4547" s="1">
        <v>5.1440000000000001</v>
      </c>
      <c r="J4547" s="21">
        <v>3700</v>
      </c>
      <c r="K4547" s="1">
        <v>1700</v>
      </c>
      <c r="L4547" s="1">
        <v>-95.659000000000006</v>
      </c>
      <c r="M4547" s="1">
        <v>-71.692999999999998</v>
      </c>
      <c r="N4547" s="1">
        <v>-47.771000000000001</v>
      </c>
      <c r="O4547" s="1">
        <v>-23.878</v>
      </c>
      <c r="P4547" s="365">
        <v>0</v>
      </c>
      <c r="Q4547" s="1">
        <v>23.879000000000001</v>
      </c>
      <c r="R4547" s="1">
        <v>47.771999999999998</v>
      </c>
      <c r="S4547" s="1">
        <v>71.694000000000003</v>
      </c>
      <c r="T4547" s="1">
        <v>95.661000000000001</v>
      </c>
      <c r="U4547" s="24"/>
      <c r="W4547" s="30"/>
      <c r="X4547" s="42"/>
      <c r="AA4547" s="30"/>
      <c r="AB4547" s="42"/>
    </row>
    <row r="4548" spans="1:28">
      <c r="A4548" s="1">
        <v>900</v>
      </c>
      <c r="B4548" s="1">
        <v>5.3410000000000002</v>
      </c>
      <c r="C4548" s="1">
        <v>5.3579999999999997</v>
      </c>
      <c r="D4548" s="1">
        <v>5.3659999999999997</v>
      </c>
      <c r="E4548" s="1">
        <v>5.3739999999999997</v>
      </c>
      <c r="F4548" s="1">
        <v>5.383</v>
      </c>
      <c r="G4548" s="1">
        <v>5.391</v>
      </c>
      <c r="H4548" s="1">
        <v>5.4080000000000004</v>
      </c>
      <c r="I4548" s="1">
        <v>5.4249999999999998</v>
      </c>
      <c r="J4548" s="21">
        <v>3650</v>
      </c>
      <c r="K4548" s="1">
        <v>1800</v>
      </c>
      <c r="L4548" s="1">
        <v>-95.662999999999997</v>
      </c>
      <c r="M4548" s="1">
        <v>-71.694000000000003</v>
      </c>
      <c r="N4548" s="1">
        <v>-47.771999999999998</v>
      </c>
      <c r="O4548" s="1">
        <v>-23.879000000000001</v>
      </c>
      <c r="P4548" s="365">
        <v>0</v>
      </c>
      <c r="Q4548" s="1">
        <v>23.878</v>
      </c>
      <c r="R4548" s="1">
        <v>47.771000000000001</v>
      </c>
      <c r="S4548" s="1">
        <v>71.692999999999998</v>
      </c>
      <c r="T4548" s="1">
        <v>95.66</v>
      </c>
      <c r="U4548" s="24"/>
      <c r="W4548" s="30"/>
      <c r="AA4548" s="30"/>
    </row>
    <row r="4549" spans="1:28">
      <c r="A4549" s="1">
        <v>950</v>
      </c>
      <c r="B4549" s="1">
        <v>5.6219999999999999</v>
      </c>
      <c r="C4549" s="1">
        <v>5.6390000000000002</v>
      </c>
      <c r="D4549" s="1">
        <v>5.6470000000000002</v>
      </c>
      <c r="E4549" s="1">
        <v>5.6559999999999997</v>
      </c>
      <c r="F4549" s="1">
        <v>5.6639999999999997</v>
      </c>
      <c r="G4549" s="1">
        <v>5.673</v>
      </c>
      <c r="H4549" s="1">
        <v>5.6890000000000001</v>
      </c>
      <c r="I4549" s="1">
        <v>5.7060000000000004</v>
      </c>
      <c r="J4549" s="21">
        <v>3600</v>
      </c>
      <c r="K4549" s="1">
        <v>1900</v>
      </c>
      <c r="L4549" s="1">
        <v>-95.66</v>
      </c>
      <c r="M4549" s="1">
        <v>-71.691999999999993</v>
      </c>
      <c r="N4549" s="1">
        <v>-47.771000000000001</v>
      </c>
      <c r="O4549" s="1">
        <v>-23.878</v>
      </c>
      <c r="P4549" s="365">
        <v>0</v>
      </c>
      <c r="Q4549" s="1">
        <v>23.878</v>
      </c>
      <c r="R4549" s="1">
        <v>47.771000000000001</v>
      </c>
      <c r="S4549" s="1">
        <v>71.692999999999998</v>
      </c>
      <c r="T4549" s="1">
        <v>95.658000000000001</v>
      </c>
      <c r="U4549" s="25"/>
      <c r="W4549" s="43"/>
      <c r="X4549" s="42"/>
      <c r="AA4549" s="30"/>
      <c r="AB4549" s="42"/>
    </row>
    <row r="4550" spans="1:28">
      <c r="A4550" s="1">
        <v>1000</v>
      </c>
      <c r="B4550" s="1">
        <v>5.9029999999999996</v>
      </c>
      <c r="C4550" s="1">
        <v>5.92</v>
      </c>
      <c r="D4550" s="1">
        <v>5.9290000000000003</v>
      </c>
      <c r="E4550" s="1">
        <v>5.9370000000000003</v>
      </c>
      <c r="F4550" s="1">
        <v>5.9459999999999997</v>
      </c>
      <c r="G4550" s="1">
        <v>5.9539999999999997</v>
      </c>
      <c r="H4550" s="1">
        <v>5.9710000000000001</v>
      </c>
      <c r="I4550" s="1">
        <v>5.9880000000000004</v>
      </c>
      <c r="J4550" s="21">
        <v>3550</v>
      </c>
      <c r="K4550" s="1">
        <v>2000</v>
      </c>
      <c r="L4550" s="1">
        <v>-95.658000000000001</v>
      </c>
      <c r="M4550" s="1">
        <v>-71.692999999999998</v>
      </c>
      <c r="N4550" s="1">
        <v>-47.771000000000001</v>
      </c>
      <c r="O4550" s="1">
        <v>-23.878</v>
      </c>
      <c r="P4550" s="365">
        <v>0</v>
      </c>
      <c r="Q4550" s="1">
        <v>23.878</v>
      </c>
      <c r="R4550" s="1">
        <v>47.771000000000001</v>
      </c>
      <c r="S4550" s="1">
        <v>71.692999999999998</v>
      </c>
      <c r="T4550" s="1">
        <v>95.66</v>
      </c>
      <c r="U4550" s="27"/>
      <c r="W4550" s="43"/>
      <c r="X4550" s="42"/>
      <c r="AA4550" s="30"/>
      <c r="AB4550" s="42"/>
    </row>
    <row r="4551" spans="1:28">
      <c r="A4551" s="1">
        <v>1050</v>
      </c>
      <c r="B4551" s="1">
        <v>6.1849999999999996</v>
      </c>
      <c r="C4551" s="1">
        <v>6.202</v>
      </c>
      <c r="D4551" s="1">
        <v>6.21</v>
      </c>
      <c r="E4551" s="1">
        <v>6.2190000000000003</v>
      </c>
      <c r="F4551" s="1">
        <v>6.2270000000000003</v>
      </c>
      <c r="G4551" s="1">
        <v>6.2350000000000003</v>
      </c>
      <c r="H4551" s="1">
        <v>6.2519999999999998</v>
      </c>
      <c r="I4551" s="1">
        <v>6.2690000000000001</v>
      </c>
      <c r="J4551" s="21">
        <v>3500</v>
      </c>
      <c r="K4551" s="1">
        <v>2100</v>
      </c>
      <c r="L4551" s="1">
        <v>-95.66</v>
      </c>
      <c r="M4551" s="1">
        <v>-71.692999999999998</v>
      </c>
      <c r="N4551" s="1">
        <v>-47.771000000000001</v>
      </c>
      <c r="O4551" s="1">
        <v>-23.878</v>
      </c>
      <c r="P4551" s="365">
        <v>0</v>
      </c>
      <c r="Q4551" s="1">
        <v>23.879000000000001</v>
      </c>
      <c r="R4551" s="1">
        <v>47.771000000000001</v>
      </c>
      <c r="S4551" s="1">
        <v>71.694000000000003</v>
      </c>
      <c r="T4551" s="1">
        <v>95.662999999999997</v>
      </c>
      <c r="U4551" s="25"/>
    </row>
    <row r="4552" spans="1:28">
      <c r="A4552" s="1">
        <v>1100</v>
      </c>
      <c r="B4552" s="1">
        <v>6.4660000000000002</v>
      </c>
      <c r="C4552" s="1">
        <v>6.4829999999999997</v>
      </c>
      <c r="D4552" s="1">
        <v>6.4909999999999997</v>
      </c>
      <c r="E4552" s="1">
        <v>6.5</v>
      </c>
      <c r="F4552" s="1">
        <v>6.508</v>
      </c>
      <c r="G4552" s="1">
        <v>6.5170000000000003</v>
      </c>
      <c r="H4552" s="1">
        <v>6.5339999999999998</v>
      </c>
      <c r="I4552" s="1">
        <v>6.55</v>
      </c>
      <c r="J4552" s="21">
        <v>3450</v>
      </c>
      <c r="K4552" s="1">
        <v>2200</v>
      </c>
      <c r="L4552" s="1">
        <v>-95.662999999999997</v>
      </c>
      <c r="M4552" s="1">
        <v>-71.694000000000003</v>
      </c>
      <c r="N4552" s="1">
        <v>-47.771999999999998</v>
      </c>
      <c r="O4552" s="1">
        <v>-23.878</v>
      </c>
      <c r="P4552" s="365">
        <v>0</v>
      </c>
      <c r="Q4552" s="1">
        <v>23.878</v>
      </c>
      <c r="R4552" s="1">
        <v>47.771000000000001</v>
      </c>
      <c r="S4552" s="1">
        <v>71.692999999999998</v>
      </c>
      <c r="T4552" s="1">
        <v>95.66</v>
      </c>
      <c r="U4552" s="24"/>
    </row>
    <row r="4553" spans="1:28">
      <c r="A4553" s="1">
        <v>1150</v>
      </c>
      <c r="B4553" s="1">
        <v>6.7480000000000002</v>
      </c>
      <c r="C4553" s="1">
        <v>6.7640000000000002</v>
      </c>
      <c r="D4553" s="1">
        <v>6.7729999999999997</v>
      </c>
      <c r="E4553" s="1">
        <v>6.7809999999999997</v>
      </c>
      <c r="F4553" s="1">
        <v>6.79</v>
      </c>
      <c r="G4553" s="1">
        <v>6.798</v>
      </c>
      <c r="H4553" s="1">
        <v>6.8150000000000004</v>
      </c>
      <c r="I4553" s="1">
        <v>6.8319999999999999</v>
      </c>
      <c r="J4553" s="21">
        <v>3400</v>
      </c>
      <c r="K4553" s="1">
        <v>2300</v>
      </c>
      <c r="L4553" s="1">
        <v>-95.659000000000006</v>
      </c>
      <c r="M4553" s="1">
        <v>-71.692999999999998</v>
      </c>
      <c r="N4553" s="1">
        <v>-47.771000000000001</v>
      </c>
      <c r="O4553" s="1">
        <v>-23.878</v>
      </c>
      <c r="P4553" s="365">
        <v>0</v>
      </c>
      <c r="Q4553" s="1">
        <v>23.878</v>
      </c>
      <c r="R4553" s="1">
        <v>47.77</v>
      </c>
      <c r="S4553" s="1">
        <v>71.692999999999998</v>
      </c>
      <c r="T4553" s="1">
        <v>95.661000000000001</v>
      </c>
      <c r="U4553" s="25"/>
      <c r="V4553" s="918"/>
      <c r="W4553" s="918"/>
      <c r="X4553" s="42"/>
      <c r="Z4553" s="918"/>
      <c r="AA4553" s="918"/>
      <c r="AB4553" s="42"/>
    </row>
    <row r="4554" spans="1:28">
      <c r="A4554" s="1">
        <v>1200</v>
      </c>
      <c r="B4554" s="1">
        <v>7.0289999999999999</v>
      </c>
      <c r="C4554" s="1">
        <v>7.0460000000000003</v>
      </c>
      <c r="D4554" s="1">
        <v>7.0540000000000003</v>
      </c>
      <c r="E4554" s="1">
        <v>7.0629999999999997</v>
      </c>
      <c r="F4554" s="1">
        <v>7.0709999999999997</v>
      </c>
      <c r="G4554" s="1">
        <v>7.08</v>
      </c>
      <c r="H4554" s="1">
        <v>7.0960000000000001</v>
      </c>
      <c r="I4554" s="1">
        <v>7.1130000000000004</v>
      </c>
      <c r="J4554" s="21">
        <v>3350</v>
      </c>
      <c r="K4554" s="1">
        <v>2400</v>
      </c>
      <c r="L4554" s="1">
        <v>-95.658000000000001</v>
      </c>
      <c r="M4554" s="1">
        <v>-71.692999999999998</v>
      </c>
      <c r="N4554" s="1">
        <v>-47.771000000000001</v>
      </c>
      <c r="O4554" s="1">
        <v>-23.878</v>
      </c>
      <c r="P4554" s="365">
        <v>0</v>
      </c>
      <c r="Q4554" s="1">
        <v>23.878</v>
      </c>
      <c r="R4554" s="1">
        <v>47.771000000000001</v>
      </c>
      <c r="S4554" s="1">
        <v>71.692999999999998</v>
      </c>
      <c r="T4554" s="1">
        <v>95.659000000000006</v>
      </c>
      <c r="U4554" s="25"/>
    </row>
    <row r="4555" spans="1:28">
      <c r="A4555" s="1">
        <v>1250</v>
      </c>
      <c r="B4555" s="1">
        <v>7.31</v>
      </c>
      <c r="C4555" s="1">
        <v>7.327</v>
      </c>
      <c r="D4555" s="1">
        <v>7.3360000000000003</v>
      </c>
      <c r="E4555" s="1">
        <v>7.3440000000000003</v>
      </c>
      <c r="F4555" s="1">
        <v>7.3520000000000003</v>
      </c>
      <c r="G4555" s="1">
        <v>7.3609999999999998</v>
      </c>
      <c r="H4555" s="1">
        <v>7.3780000000000001</v>
      </c>
      <c r="I4555" s="1">
        <v>7.3949999999999996</v>
      </c>
      <c r="J4555" s="21">
        <v>3300</v>
      </c>
      <c r="K4555" s="1">
        <v>2500</v>
      </c>
      <c r="L4555" s="1">
        <v>-95.661000000000001</v>
      </c>
      <c r="M4555" s="1">
        <v>-71.691999999999993</v>
      </c>
      <c r="N4555" s="1">
        <v>-47.771000000000001</v>
      </c>
      <c r="O4555" s="1">
        <v>-23.878</v>
      </c>
      <c r="P4555" s="365">
        <v>0</v>
      </c>
      <c r="Q4555" s="1">
        <v>23.878</v>
      </c>
      <c r="R4555" s="1">
        <v>47.771000000000001</v>
      </c>
      <c r="S4555" s="1">
        <v>71.692999999999998</v>
      </c>
      <c r="T4555" s="1">
        <v>95.66</v>
      </c>
      <c r="U4555" s="25"/>
    </row>
    <row r="4556" spans="1:28">
      <c r="A4556" s="1">
        <v>1300</v>
      </c>
      <c r="B4556" s="1">
        <v>7.5919999999999996</v>
      </c>
      <c r="C4556" s="1">
        <v>7.609</v>
      </c>
      <c r="D4556" s="1">
        <v>7.617</v>
      </c>
      <c r="E4556" s="1">
        <v>7.625</v>
      </c>
      <c r="F4556" s="1">
        <v>7.6340000000000003</v>
      </c>
      <c r="G4556" s="1">
        <v>7.6420000000000003</v>
      </c>
      <c r="H4556" s="1">
        <v>7.6589999999999998</v>
      </c>
      <c r="I4556" s="1">
        <v>7.6760000000000002</v>
      </c>
      <c r="J4556" s="21">
        <v>3250</v>
      </c>
      <c r="K4556" s="1">
        <v>2600</v>
      </c>
      <c r="L4556" s="1">
        <v>-95.659000000000006</v>
      </c>
      <c r="M4556" s="1">
        <v>-71.692999999999998</v>
      </c>
      <c r="N4556" s="1">
        <v>-47.771000000000001</v>
      </c>
      <c r="O4556" s="1">
        <v>-23.878</v>
      </c>
      <c r="P4556" s="365">
        <v>0</v>
      </c>
      <c r="Q4556" s="1">
        <v>23.878</v>
      </c>
      <c r="R4556" s="1">
        <v>47.771000000000001</v>
      </c>
      <c r="S4556" s="1">
        <v>71.691999999999993</v>
      </c>
      <c r="T4556" s="1">
        <v>95.658000000000001</v>
      </c>
      <c r="U4556" s="25"/>
    </row>
    <row r="4557" spans="1:28">
      <c r="A4557" s="1">
        <v>1350</v>
      </c>
      <c r="B4557" s="1">
        <v>7.8730000000000002</v>
      </c>
      <c r="C4557" s="1">
        <v>7.89</v>
      </c>
      <c r="D4557" s="1">
        <v>7.8979999999999997</v>
      </c>
      <c r="E4557" s="1">
        <v>7.907</v>
      </c>
      <c r="F4557" s="1">
        <v>7.915</v>
      </c>
      <c r="G4557" s="1">
        <v>7.9240000000000004</v>
      </c>
      <c r="H4557" s="1">
        <v>7.9409999999999998</v>
      </c>
      <c r="I4557" s="1">
        <v>7.9569999999999999</v>
      </c>
      <c r="J4557" s="21">
        <v>3200</v>
      </c>
      <c r="K4557" s="1">
        <v>2700</v>
      </c>
      <c r="L4557" s="1">
        <v>-95.658000000000001</v>
      </c>
      <c r="M4557" s="1">
        <v>-71.691999999999993</v>
      </c>
      <c r="N4557" s="1">
        <v>-47.771000000000001</v>
      </c>
      <c r="O4557" s="1">
        <v>-23.878</v>
      </c>
      <c r="P4557" s="365">
        <v>0</v>
      </c>
      <c r="Q4557" s="1">
        <v>23.879000000000001</v>
      </c>
      <c r="R4557" s="1">
        <v>47.771999999999998</v>
      </c>
      <c r="S4557" s="1">
        <v>71.694000000000003</v>
      </c>
      <c r="T4557" s="1">
        <v>95.662000000000006</v>
      </c>
      <c r="U4557" s="24"/>
    </row>
    <row r="4558" spans="1:28">
      <c r="A4558" s="1">
        <v>1400</v>
      </c>
      <c r="B4558" s="1">
        <v>8.1549999999999994</v>
      </c>
      <c r="C4558" s="1">
        <v>8.1709999999999994</v>
      </c>
      <c r="D4558" s="1">
        <v>8.18</v>
      </c>
      <c r="E4558" s="1">
        <v>8.1880000000000006</v>
      </c>
      <c r="F4558" s="1">
        <v>8.1969999999999992</v>
      </c>
      <c r="G4558" s="1">
        <v>8.2050000000000001</v>
      </c>
      <c r="H4558" s="1">
        <v>8.2219999999999995</v>
      </c>
      <c r="I4558" s="1">
        <v>8.2390000000000008</v>
      </c>
      <c r="J4558" s="21">
        <v>3150</v>
      </c>
      <c r="K4558" s="1">
        <v>2800</v>
      </c>
      <c r="L4558" s="1">
        <v>-95.659000000000006</v>
      </c>
      <c r="M4558" s="1">
        <v>-71.694000000000003</v>
      </c>
      <c r="N4558" s="1">
        <v>-47.771000000000001</v>
      </c>
      <c r="O4558" s="1">
        <v>-23.878</v>
      </c>
      <c r="P4558" s="365">
        <v>0</v>
      </c>
      <c r="Q4558" s="1">
        <v>23.878</v>
      </c>
      <c r="R4558" s="1">
        <v>47.771000000000001</v>
      </c>
      <c r="S4558" s="1">
        <v>71.691999999999993</v>
      </c>
      <c r="T4558" s="1">
        <v>95.658000000000001</v>
      </c>
      <c r="U4558" s="25"/>
    </row>
    <row r="4559" spans="1:28">
      <c r="A4559" s="1">
        <v>1450</v>
      </c>
      <c r="B4559" s="1">
        <v>8.4359999999999999</v>
      </c>
      <c r="C4559" s="1">
        <v>8.4529999999999994</v>
      </c>
      <c r="D4559" s="1">
        <v>8.4610000000000003</v>
      </c>
      <c r="E4559" s="1">
        <v>8.4700000000000006</v>
      </c>
      <c r="F4559" s="1">
        <v>8.4779999999999998</v>
      </c>
      <c r="G4559" s="1">
        <v>8.4860000000000007</v>
      </c>
      <c r="H4559" s="1">
        <v>8.5030000000000001</v>
      </c>
      <c r="I4559" s="1">
        <v>8.52</v>
      </c>
      <c r="J4559" s="21">
        <v>3100</v>
      </c>
      <c r="K4559" s="1">
        <v>2900</v>
      </c>
      <c r="L4559" s="1">
        <v>-95.661000000000001</v>
      </c>
      <c r="M4559" s="1">
        <v>-71.692999999999998</v>
      </c>
      <c r="N4559" s="1">
        <v>-47.771000000000001</v>
      </c>
      <c r="O4559" s="1">
        <v>-23.878</v>
      </c>
      <c r="P4559" s="365">
        <v>0</v>
      </c>
      <c r="Q4559" s="1">
        <v>23.878</v>
      </c>
      <c r="R4559" s="1">
        <v>47.771000000000001</v>
      </c>
      <c r="S4559" s="1">
        <v>71.691999999999993</v>
      </c>
      <c r="T4559" s="1">
        <v>95.659000000000006</v>
      </c>
      <c r="U4559" s="24"/>
    </row>
    <row r="4560" spans="1:28">
      <c r="A4560" s="1">
        <v>1500</v>
      </c>
      <c r="B4560" s="1">
        <v>8.7170000000000005</v>
      </c>
      <c r="C4560" s="1">
        <v>8.734</v>
      </c>
      <c r="D4560" s="1">
        <v>8.7430000000000003</v>
      </c>
      <c r="E4560" s="1">
        <v>8.7509999999999994</v>
      </c>
      <c r="F4560" s="1">
        <v>8.7590000000000003</v>
      </c>
      <c r="G4560" s="1">
        <v>8.7680000000000007</v>
      </c>
      <c r="H4560" s="1">
        <v>8.7850000000000001</v>
      </c>
      <c r="I4560" s="1">
        <v>8.8010000000000002</v>
      </c>
      <c r="J4560" s="21">
        <v>3050</v>
      </c>
      <c r="K4560" s="1">
        <v>3000</v>
      </c>
      <c r="L4560" s="1">
        <v>-95.659000000000006</v>
      </c>
      <c r="M4560" s="1">
        <v>-71.692999999999998</v>
      </c>
      <c r="N4560" s="1">
        <v>-47.773000000000003</v>
      </c>
      <c r="O4560" s="1">
        <v>-23.878</v>
      </c>
      <c r="P4560" s="365">
        <v>0</v>
      </c>
      <c r="Q4560" s="1">
        <v>23.878</v>
      </c>
      <c r="R4560" s="1">
        <v>47.771000000000001</v>
      </c>
      <c r="S4560" s="1">
        <v>71.692999999999998</v>
      </c>
      <c r="T4560" s="1">
        <v>95.661000000000001</v>
      </c>
      <c r="U4560" s="26"/>
    </row>
    <row r="4561" spans="1:21">
      <c r="A4561" s="1">
        <v>1550</v>
      </c>
      <c r="B4561" s="1">
        <v>8.9990000000000006</v>
      </c>
      <c r="C4561" s="1">
        <v>9.0150000000000006</v>
      </c>
      <c r="D4561" s="1">
        <v>9.0239999999999991</v>
      </c>
      <c r="E4561" s="1">
        <v>9.032</v>
      </c>
      <c r="F4561" s="1">
        <v>9.0410000000000004</v>
      </c>
      <c r="G4561" s="1">
        <v>9.0489999999999995</v>
      </c>
      <c r="H4561" s="1">
        <v>9.0660000000000007</v>
      </c>
      <c r="I4561" s="1">
        <v>9.0830000000000002</v>
      </c>
      <c r="J4561" s="21">
        <v>3000</v>
      </c>
      <c r="K4561" s="1">
        <v>3100</v>
      </c>
      <c r="L4561" s="1">
        <v>-95.658000000000001</v>
      </c>
      <c r="M4561" s="1">
        <v>-71.692999999999998</v>
      </c>
      <c r="N4561" s="1">
        <v>-47.771000000000001</v>
      </c>
      <c r="O4561" s="1">
        <v>-23.878</v>
      </c>
      <c r="P4561" s="365">
        <v>0</v>
      </c>
      <c r="Q4561" s="1">
        <v>23.879000000000001</v>
      </c>
      <c r="R4561" s="1">
        <v>47.773000000000003</v>
      </c>
      <c r="S4561" s="1">
        <v>71.694000000000003</v>
      </c>
      <c r="T4561" s="1">
        <v>95.661000000000001</v>
      </c>
      <c r="U4561" s="24"/>
    </row>
    <row r="4562" spans="1:21">
      <c r="A4562" s="1">
        <v>1600</v>
      </c>
      <c r="B4562" s="1">
        <v>9.2799999999999994</v>
      </c>
      <c r="C4562" s="1">
        <v>9.2970000000000006</v>
      </c>
      <c r="D4562" s="1">
        <v>9.3049999999999997</v>
      </c>
      <c r="E4562" s="1">
        <v>9.3140000000000001</v>
      </c>
      <c r="F4562" s="1">
        <v>9.3219999999999992</v>
      </c>
      <c r="G4562" s="1">
        <v>9.3309999999999995</v>
      </c>
      <c r="H4562" s="1">
        <v>9.3469999999999995</v>
      </c>
      <c r="I4562" s="1">
        <v>9.3640000000000008</v>
      </c>
      <c r="J4562" s="21">
        <v>2950</v>
      </c>
      <c r="K4562" s="1">
        <v>3200</v>
      </c>
      <c r="L4562" s="1">
        <v>-95.661000000000001</v>
      </c>
      <c r="M4562" s="1">
        <v>-71.694000000000003</v>
      </c>
      <c r="N4562" s="1">
        <v>-47.771000000000001</v>
      </c>
      <c r="O4562" s="1">
        <v>-23.879000000000001</v>
      </c>
      <c r="P4562" s="365">
        <v>0</v>
      </c>
      <c r="Q4562" s="1">
        <v>23.878</v>
      </c>
      <c r="R4562" s="1">
        <v>47.771000000000001</v>
      </c>
      <c r="S4562" s="1">
        <v>71.692999999999998</v>
      </c>
      <c r="T4562" s="1">
        <v>95.658000000000001</v>
      </c>
      <c r="U4562" s="24"/>
    </row>
    <row r="4563" spans="1:21">
      <c r="A4563" s="1">
        <v>1650</v>
      </c>
      <c r="B4563" s="1">
        <v>9.5609999999999999</v>
      </c>
      <c r="C4563" s="1">
        <v>9.5779999999999994</v>
      </c>
      <c r="D4563" s="1">
        <v>9.5869999999999997</v>
      </c>
      <c r="E4563" s="1">
        <v>9.5950000000000006</v>
      </c>
      <c r="F4563" s="1">
        <v>9.6039999999999992</v>
      </c>
      <c r="G4563" s="1">
        <v>9.6120000000000001</v>
      </c>
      <c r="H4563" s="1">
        <v>9.6289999999999996</v>
      </c>
      <c r="I4563" s="1">
        <v>9.6460000000000008</v>
      </c>
      <c r="J4563" s="21">
        <v>2900</v>
      </c>
      <c r="K4563" s="1">
        <v>3300</v>
      </c>
      <c r="L4563" s="1">
        <v>-95.661000000000001</v>
      </c>
      <c r="M4563" s="1">
        <v>-71.691999999999993</v>
      </c>
      <c r="N4563" s="1">
        <v>-47.771000000000001</v>
      </c>
      <c r="O4563" s="1">
        <v>-23.878</v>
      </c>
      <c r="P4563" s="365">
        <v>0</v>
      </c>
      <c r="Q4563" s="1">
        <v>23.878</v>
      </c>
      <c r="R4563" s="1">
        <v>47.771000000000001</v>
      </c>
      <c r="S4563" s="1">
        <v>71.692999999999998</v>
      </c>
      <c r="T4563" s="1">
        <v>95.659000000000006</v>
      </c>
      <c r="U4563" s="25"/>
    </row>
    <row r="4564" spans="1:21">
      <c r="A4564" s="1">
        <v>1700</v>
      </c>
      <c r="B4564" s="1">
        <v>9.843</v>
      </c>
      <c r="C4564" s="1">
        <v>9.86</v>
      </c>
      <c r="D4564" s="1">
        <v>9.8680000000000003</v>
      </c>
      <c r="E4564" s="1">
        <v>9.8759999999999994</v>
      </c>
      <c r="F4564" s="1">
        <v>9.8849999999999998</v>
      </c>
      <c r="G4564" s="1">
        <v>9.8930000000000007</v>
      </c>
      <c r="H4564" s="1">
        <v>9.91</v>
      </c>
      <c r="I4564" s="1">
        <v>9.9269999999999996</v>
      </c>
      <c r="J4564" s="21">
        <v>2850</v>
      </c>
      <c r="K4564" s="1">
        <v>3400</v>
      </c>
      <c r="L4564" s="1">
        <v>-95.66</v>
      </c>
      <c r="M4564" s="1">
        <v>-71.692999999999998</v>
      </c>
      <c r="N4564" s="1">
        <v>-47.771000000000001</v>
      </c>
      <c r="O4564" s="1">
        <v>-23.878</v>
      </c>
      <c r="P4564" s="365">
        <v>0</v>
      </c>
      <c r="Q4564" s="1">
        <v>24.131</v>
      </c>
      <c r="R4564" s="1">
        <v>48.277999999999999</v>
      </c>
      <c r="S4564" s="1">
        <v>72.453000000000003</v>
      </c>
      <c r="T4564" s="1">
        <v>96.676000000000002</v>
      </c>
      <c r="U4564" s="28"/>
    </row>
    <row r="4565" spans="1:21">
      <c r="A4565" s="1">
        <v>1750</v>
      </c>
      <c r="B4565" s="1">
        <v>10.124000000000001</v>
      </c>
      <c r="C4565" s="1">
        <v>10.141</v>
      </c>
      <c r="D4565" s="1">
        <v>10.148999999999999</v>
      </c>
      <c r="E4565" s="1">
        <v>10.157999999999999</v>
      </c>
      <c r="F4565" s="1">
        <v>10.166</v>
      </c>
      <c r="G4565" s="1">
        <v>10.175000000000001</v>
      </c>
      <c r="H4565" s="1">
        <v>10.192</v>
      </c>
      <c r="I4565" s="1">
        <v>10.208</v>
      </c>
      <c r="J4565" s="21">
        <v>2800</v>
      </c>
      <c r="K4565" s="1">
        <v>3500</v>
      </c>
      <c r="L4565" s="1">
        <v>-97.483000000000004</v>
      </c>
      <c r="M4565" s="1">
        <v>-73.058000000000007</v>
      </c>
      <c r="N4565" s="1">
        <v>-48.682000000000002</v>
      </c>
      <c r="O4565" s="1">
        <v>-24.334</v>
      </c>
      <c r="P4565" s="365">
        <v>0</v>
      </c>
      <c r="Q4565" s="1">
        <v>24.484999999999999</v>
      </c>
      <c r="R4565" s="1">
        <v>48.985999999999997</v>
      </c>
      <c r="S4565" s="1">
        <v>73.516999999999996</v>
      </c>
      <c r="T4565" s="1">
        <v>98.09</v>
      </c>
    </row>
    <row r="4566" spans="1:21">
      <c r="A4566" s="1">
        <v>1800</v>
      </c>
      <c r="B4566" s="1">
        <v>10.406000000000001</v>
      </c>
      <c r="C4566" s="1">
        <v>10.422000000000001</v>
      </c>
      <c r="D4566" s="1">
        <v>10.430999999999999</v>
      </c>
      <c r="E4566" s="1">
        <v>10.439</v>
      </c>
      <c r="F4566" s="1">
        <v>10.448</v>
      </c>
      <c r="G4566" s="1">
        <v>10.456</v>
      </c>
      <c r="H4566" s="1">
        <v>10.473000000000001</v>
      </c>
      <c r="I4566" s="1">
        <v>10.49</v>
      </c>
      <c r="J4566" s="21">
        <v>2750</v>
      </c>
      <c r="K4566" s="1">
        <v>3600</v>
      </c>
      <c r="L4566" s="1">
        <v>-99.382000000000005</v>
      </c>
      <c r="M4566" s="1">
        <v>-74.483999999999995</v>
      </c>
      <c r="N4566" s="1">
        <v>-49.63</v>
      </c>
      <c r="O4566" s="1">
        <v>-24.806999999999999</v>
      </c>
      <c r="P4566" s="365">
        <v>0</v>
      </c>
      <c r="Q4566" s="1">
        <v>24.806999999999999</v>
      </c>
      <c r="R4566" s="1">
        <v>49.631999999999998</v>
      </c>
      <c r="S4566" s="1">
        <v>74.483999999999995</v>
      </c>
      <c r="T4566" s="1">
        <v>99.382000000000005</v>
      </c>
    </row>
    <row r="4567" spans="1:21">
      <c r="A4567" s="1">
        <v>1850</v>
      </c>
      <c r="B4567" s="1">
        <v>10.686999999999999</v>
      </c>
      <c r="C4567" s="1">
        <v>10.704000000000001</v>
      </c>
      <c r="D4567" s="1">
        <v>10.712</v>
      </c>
      <c r="E4567" s="1">
        <v>10.721</v>
      </c>
      <c r="F4567" s="1">
        <v>10.728999999999999</v>
      </c>
      <c r="G4567" s="1">
        <v>10.737</v>
      </c>
      <c r="H4567" s="1">
        <v>10.754</v>
      </c>
      <c r="I4567" s="1">
        <v>10.771000000000001</v>
      </c>
      <c r="J4567" s="21">
        <v>2700</v>
      </c>
      <c r="K4567" s="1">
        <v>3700</v>
      </c>
      <c r="L4567" s="1">
        <v>-100.676</v>
      </c>
      <c r="M4567" s="1">
        <v>-75.451999999999998</v>
      </c>
      <c r="N4567" s="1">
        <v>-50.274999999999999</v>
      </c>
      <c r="O4567" s="1">
        <v>-25.13</v>
      </c>
      <c r="P4567" s="365">
        <v>0</v>
      </c>
      <c r="Q4567" s="1">
        <v>25.132000000000001</v>
      </c>
      <c r="R4567" s="1">
        <v>50.274999999999999</v>
      </c>
      <c r="S4567" s="1">
        <v>75.451999999999998</v>
      </c>
      <c r="T4567" s="1">
        <v>100.67700000000001</v>
      </c>
    </row>
    <row r="4568" spans="1:21">
      <c r="A4568" s="1">
        <v>1900</v>
      </c>
      <c r="B4568" s="1">
        <v>10.968</v>
      </c>
      <c r="C4568" s="1">
        <v>10.984999999999999</v>
      </c>
      <c r="D4568" s="1">
        <v>10.994</v>
      </c>
      <c r="E4568" s="1">
        <v>11.002000000000001</v>
      </c>
      <c r="F4568" s="1">
        <v>11.01</v>
      </c>
      <c r="G4568" s="1">
        <v>11.019</v>
      </c>
      <c r="H4568" s="1">
        <v>11.036</v>
      </c>
      <c r="I4568" s="1">
        <v>11.053000000000001</v>
      </c>
      <c r="J4568" s="21">
        <v>2650</v>
      </c>
      <c r="K4568" s="1">
        <v>3800</v>
      </c>
      <c r="L4568" s="1">
        <v>-101.968</v>
      </c>
      <c r="M4568" s="1">
        <v>-76.421000000000006</v>
      </c>
      <c r="N4568" s="1">
        <v>-50.921999999999997</v>
      </c>
      <c r="O4568" s="1">
        <v>-25.454000000000001</v>
      </c>
      <c r="P4568" s="365">
        <v>0</v>
      </c>
      <c r="Q4568" s="1">
        <v>25.454000000000001</v>
      </c>
      <c r="R4568" s="1">
        <v>50.921999999999997</v>
      </c>
      <c r="S4568" s="1">
        <v>76.421999999999997</v>
      </c>
      <c r="T4568" s="1">
        <v>101.968</v>
      </c>
    </row>
    <row r="4569" spans="1:21">
      <c r="A4569" s="1">
        <v>1950</v>
      </c>
      <c r="B4569" s="1">
        <v>11.25</v>
      </c>
      <c r="C4569" s="1">
        <v>11.266999999999999</v>
      </c>
      <c r="D4569" s="1">
        <v>11.275</v>
      </c>
      <c r="E4569" s="1">
        <v>11.282999999999999</v>
      </c>
      <c r="F4569" s="1">
        <v>11.292</v>
      </c>
      <c r="G4569" s="1">
        <v>11.3</v>
      </c>
      <c r="H4569" s="1">
        <v>11.317</v>
      </c>
      <c r="I4569" s="1">
        <v>11.334</v>
      </c>
      <c r="J4569" s="21">
        <v>2600</v>
      </c>
      <c r="K4569" s="1">
        <v>3900</v>
      </c>
      <c r="L4569" s="1">
        <v>-103.25700000000001</v>
      </c>
      <c r="M4569" s="1">
        <v>-77.388000000000005</v>
      </c>
      <c r="N4569" s="1">
        <v>-51.566000000000003</v>
      </c>
      <c r="O4569" s="1">
        <v>-25.774999999999999</v>
      </c>
      <c r="P4569" s="365">
        <v>0</v>
      </c>
      <c r="Q4569" s="1">
        <v>25.776</v>
      </c>
      <c r="R4569" s="1">
        <v>51.564999999999998</v>
      </c>
      <c r="S4569" s="1">
        <v>77.388000000000005</v>
      </c>
      <c r="T4569" s="1">
        <v>103.258</v>
      </c>
    </row>
    <row r="4570" spans="1:21">
      <c r="A4570" s="1">
        <v>2000</v>
      </c>
      <c r="B4570" s="1">
        <v>11.531000000000001</v>
      </c>
      <c r="C4570" s="1">
        <v>11.548</v>
      </c>
      <c r="D4570" s="1">
        <v>11.555999999999999</v>
      </c>
      <c r="E4570" s="1">
        <v>11.565</v>
      </c>
      <c r="F4570" s="1">
        <v>11.573</v>
      </c>
      <c r="G4570" s="1">
        <v>11.582000000000001</v>
      </c>
      <c r="H4570" s="1">
        <v>11.598000000000001</v>
      </c>
      <c r="I4570" s="1">
        <v>11.615</v>
      </c>
      <c r="J4570" s="21">
        <v>2550</v>
      </c>
      <c r="K4570" s="1">
        <v>4000</v>
      </c>
      <c r="L4570" s="1">
        <v>-104.54900000000001</v>
      </c>
      <c r="M4570" s="1">
        <v>-78.355000000000004</v>
      </c>
      <c r="N4570" s="1">
        <v>-52.209000000000003</v>
      </c>
      <c r="O4570" s="1">
        <v>-26.097000000000001</v>
      </c>
      <c r="P4570" s="365">
        <v>0</v>
      </c>
      <c r="Q4570" s="1">
        <v>26.097999999999999</v>
      </c>
      <c r="R4570" s="1">
        <v>52.21</v>
      </c>
      <c r="S4570" s="1">
        <v>78.352999999999994</v>
      </c>
      <c r="T4570" s="1">
        <v>104.547</v>
      </c>
    </row>
    <row r="4571" spans="1:21">
      <c r="A4571" s="1">
        <v>2050</v>
      </c>
      <c r="B4571" s="1">
        <v>11.811999999999999</v>
      </c>
      <c r="C4571" s="1">
        <v>11.829000000000001</v>
      </c>
      <c r="D4571" s="1">
        <v>11.837999999999999</v>
      </c>
      <c r="E4571" s="1">
        <v>11.846</v>
      </c>
      <c r="F4571" s="1">
        <v>11.855</v>
      </c>
      <c r="G4571" s="1">
        <v>11.863</v>
      </c>
      <c r="H4571" s="1">
        <v>11.88</v>
      </c>
      <c r="I4571" s="1">
        <v>11.897</v>
      </c>
      <c r="J4571" s="21">
        <v>2500</v>
      </c>
      <c r="K4571" s="1">
        <v>4100</v>
      </c>
      <c r="L4571" s="1">
        <v>-105.8</v>
      </c>
      <c r="M4571" s="1">
        <v>-19.323</v>
      </c>
      <c r="N4571" s="1">
        <v>-52.854999999999997</v>
      </c>
      <c r="O4571" s="1">
        <v>-26.42</v>
      </c>
      <c r="P4571" s="365">
        <v>0</v>
      </c>
      <c r="Q4571" s="1">
        <v>26.419</v>
      </c>
      <c r="R4571" s="1">
        <v>52.856999999999999</v>
      </c>
      <c r="S4571" s="1">
        <v>79.325000000000003</v>
      </c>
      <c r="T4571" s="1">
        <v>105.84099999999999</v>
      </c>
    </row>
    <row r="4572" spans="1:21">
      <c r="A4572" s="1">
        <v>2100</v>
      </c>
      <c r="B4572" s="1">
        <v>12.093999999999999</v>
      </c>
      <c r="C4572" s="1">
        <v>12.111000000000001</v>
      </c>
      <c r="D4572" s="1">
        <v>12.119</v>
      </c>
      <c r="E4572" s="1">
        <v>12.128</v>
      </c>
      <c r="F4572" s="1">
        <v>12.135999999999999</v>
      </c>
      <c r="G4572" s="1">
        <v>12.144</v>
      </c>
      <c r="H4572" s="1">
        <v>12.161</v>
      </c>
      <c r="I4572" s="1">
        <v>12.178000000000001</v>
      </c>
      <c r="J4572" s="21">
        <v>2450</v>
      </c>
      <c r="K4572" s="1">
        <v>4200</v>
      </c>
      <c r="L4572" s="1">
        <v>-107.133</v>
      </c>
      <c r="M4572" s="1">
        <v>-80.491</v>
      </c>
      <c r="N4572" s="1">
        <v>-53.500999999999998</v>
      </c>
      <c r="O4572" s="1">
        <v>-26.742999999999999</v>
      </c>
      <c r="P4572" s="365">
        <v>0</v>
      </c>
      <c r="Q4572" s="1">
        <v>26.741</v>
      </c>
      <c r="R4572" s="1">
        <v>53.5</v>
      </c>
      <c r="S4572" s="1">
        <v>80.293000000000006</v>
      </c>
      <c r="T4572" s="1">
        <v>107.018</v>
      </c>
    </row>
    <row r="4573" spans="1:21">
      <c r="A4573" s="1">
        <v>2150</v>
      </c>
      <c r="B4573" s="1">
        <v>12.375</v>
      </c>
      <c r="C4573" s="1">
        <v>12.391999999999999</v>
      </c>
      <c r="D4573" s="1">
        <v>12.401</v>
      </c>
      <c r="E4573" s="1">
        <v>12.409000000000001</v>
      </c>
      <c r="F4573" s="1">
        <v>12.417</v>
      </c>
      <c r="G4573" s="1">
        <v>12.426</v>
      </c>
      <c r="H4573" s="1">
        <v>12.443</v>
      </c>
      <c r="I4573" s="1">
        <v>12.459</v>
      </c>
      <c r="J4573" s="21">
        <v>2400</v>
      </c>
      <c r="K4573" s="1">
        <v>4300</v>
      </c>
      <c r="L4573" s="1">
        <v>-108.42400000000001</v>
      </c>
      <c r="M4573" s="1">
        <v>-81.263000000000005</v>
      </c>
      <c r="N4573" s="1">
        <v>-54.146000000000001</v>
      </c>
      <c r="O4573" s="1">
        <v>-27.065999999999999</v>
      </c>
      <c r="P4573" s="365">
        <v>0</v>
      </c>
      <c r="Q4573" s="1">
        <v>26.617999999999999</v>
      </c>
      <c r="R4573" s="1">
        <v>53.256999999999998</v>
      </c>
      <c r="S4573" s="1">
        <v>79.864999999999995</v>
      </c>
      <c r="T4573" s="1">
        <v>98.739000000000004</v>
      </c>
    </row>
    <row r="4574" spans="1:21">
      <c r="A4574" s="1">
        <v>2200</v>
      </c>
      <c r="B4574" s="1">
        <v>12.657</v>
      </c>
      <c r="C4574" s="1">
        <v>12.673</v>
      </c>
      <c r="D4574" s="1">
        <v>12.682</v>
      </c>
      <c r="E4574" s="1">
        <v>12.69</v>
      </c>
      <c r="F4574" s="1">
        <v>12.699</v>
      </c>
      <c r="G4574" s="1">
        <v>12.707000000000001</v>
      </c>
      <c r="H4574" s="1">
        <v>12.724</v>
      </c>
      <c r="I4574" s="1">
        <v>12.741</v>
      </c>
      <c r="J4574" s="21">
        <v>2350</v>
      </c>
      <c r="K4574" s="1">
        <v>4400</v>
      </c>
      <c r="L4574" s="1">
        <v>-106.77200000000001</v>
      </c>
      <c r="M4574" s="1">
        <v>-79.936999999999998</v>
      </c>
      <c r="N4574" s="1">
        <v>-53.267000000000003</v>
      </c>
      <c r="O4574" s="1">
        <v>-26.626999999999999</v>
      </c>
      <c r="P4574" s="365">
        <v>0</v>
      </c>
      <c r="Q4574" s="1">
        <v>38.929000000000002</v>
      </c>
      <c r="R4574" s="1">
        <v>64.87</v>
      </c>
      <c r="S4574" s="1">
        <v>73.811999999999998</v>
      </c>
      <c r="T4574" s="1">
        <v>78.168999999999997</v>
      </c>
    </row>
    <row r="4575" spans="1:21">
      <c r="A4575" s="1">
        <v>2250</v>
      </c>
      <c r="B4575" s="1">
        <v>12.938000000000001</v>
      </c>
      <c r="C4575" s="1">
        <v>12.955</v>
      </c>
      <c r="D4575" s="1">
        <v>12.962999999999999</v>
      </c>
      <c r="E4575" s="1">
        <v>12.972</v>
      </c>
      <c r="F4575" s="1">
        <v>12.98</v>
      </c>
      <c r="G4575" s="1">
        <v>12.989000000000001</v>
      </c>
      <c r="H4575" s="1">
        <v>13.005000000000001</v>
      </c>
      <c r="I4575" s="1">
        <v>13.022</v>
      </c>
      <c r="J4575" s="21">
        <v>2300</v>
      </c>
      <c r="K4575" s="1">
        <v>4500</v>
      </c>
      <c r="L4575" s="1">
        <v>-111.553</v>
      </c>
      <c r="M4575" s="1">
        <v>-78.566000000000003</v>
      </c>
      <c r="N4575" s="1">
        <v>-41.295999999999999</v>
      </c>
      <c r="O4575" s="1">
        <v>-7.9980000000000002</v>
      </c>
      <c r="P4575" s="365">
        <v>0</v>
      </c>
      <c r="Q4575" s="1">
        <v>0</v>
      </c>
      <c r="R4575" s="1">
        <v>0</v>
      </c>
      <c r="S4575" s="1">
        <v>0</v>
      </c>
      <c r="T4575" s="1">
        <v>0</v>
      </c>
    </row>
    <row r="4576" spans="1:21">
      <c r="A4576" s="1">
        <v>2300</v>
      </c>
      <c r="B4576" s="1">
        <v>13.218999999999999</v>
      </c>
      <c r="C4576" s="1">
        <v>13.236000000000001</v>
      </c>
      <c r="D4576" s="1">
        <v>13.244999999999999</v>
      </c>
      <c r="E4576" s="1">
        <v>13.253</v>
      </c>
      <c r="F4576" s="1">
        <v>13.262</v>
      </c>
      <c r="G4576" s="1">
        <v>13.27</v>
      </c>
      <c r="H4576" s="1">
        <v>13.287000000000001</v>
      </c>
      <c r="I4576" s="1">
        <v>13.304</v>
      </c>
      <c r="J4576" s="21">
        <v>2250</v>
      </c>
      <c r="K4576" s="1">
        <v>6013</v>
      </c>
      <c r="L4576" s="1">
        <v>0</v>
      </c>
      <c r="M4576" s="1">
        <v>0</v>
      </c>
      <c r="N4576" s="1">
        <v>0</v>
      </c>
      <c r="O4576" s="1">
        <v>0</v>
      </c>
      <c r="P4576" s="365">
        <v>0</v>
      </c>
      <c r="Q4576" s="1">
        <v>0</v>
      </c>
      <c r="R4576" s="1">
        <v>0</v>
      </c>
      <c r="S4576" s="1">
        <v>0</v>
      </c>
      <c r="T4576" s="1">
        <v>0</v>
      </c>
    </row>
    <row r="4577" spans="1:20">
      <c r="A4577" s="1">
        <v>2350</v>
      </c>
      <c r="B4577" s="1">
        <v>13.500999999999999</v>
      </c>
      <c r="C4577" s="1">
        <v>13.518000000000001</v>
      </c>
      <c r="D4577" s="1">
        <v>13.526</v>
      </c>
      <c r="E4577" s="1">
        <v>13.534000000000001</v>
      </c>
      <c r="F4577" s="1">
        <v>13.542999999999999</v>
      </c>
      <c r="G4577" s="1">
        <v>13.551</v>
      </c>
      <c r="H4577" s="1">
        <v>13.568</v>
      </c>
      <c r="I4577" s="1">
        <v>13.585000000000001</v>
      </c>
      <c r="J4577" s="21">
        <v>2200</v>
      </c>
      <c r="K4577" s="1"/>
      <c r="L4577" s="1"/>
      <c r="M4577" s="1"/>
      <c r="N4577" s="1"/>
      <c r="O4577" s="1"/>
      <c r="P4577" s="365"/>
      <c r="Q4577" s="1"/>
      <c r="R4577" s="1"/>
      <c r="S4577" s="1"/>
      <c r="T4577" s="1"/>
    </row>
    <row r="4578" spans="1:20">
      <c r="A4578" s="1">
        <v>2400</v>
      </c>
      <c r="B4578" s="1">
        <v>13.782</v>
      </c>
      <c r="C4578" s="1">
        <v>13.798999999999999</v>
      </c>
      <c r="D4578" s="1">
        <v>13.807</v>
      </c>
      <c r="E4578" s="1">
        <v>13.816000000000001</v>
      </c>
      <c r="F4578" s="1">
        <v>13.824</v>
      </c>
      <c r="G4578" s="1">
        <v>13.833</v>
      </c>
      <c r="H4578" s="1">
        <v>13.85</v>
      </c>
      <c r="I4578" s="1">
        <v>13.866</v>
      </c>
      <c r="J4578" s="21">
        <v>2150</v>
      </c>
      <c r="K4578" s="1"/>
      <c r="L4578" s="1"/>
      <c r="M4578" s="1"/>
      <c r="N4578" s="1"/>
      <c r="O4578" s="1"/>
      <c r="P4578" s="365"/>
      <c r="Q4578" s="1"/>
      <c r="R4578" s="1"/>
      <c r="S4578" s="1"/>
      <c r="T4578" s="1"/>
    </row>
    <row r="4579" spans="1:20">
      <c r="A4579" s="1">
        <v>2450</v>
      </c>
      <c r="B4579" s="1">
        <v>14.064</v>
      </c>
      <c r="C4579" s="1">
        <v>14.08</v>
      </c>
      <c r="D4579" s="1">
        <v>14.089</v>
      </c>
      <c r="E4579" s="1">
        <v>14.097</v>
      </c>
      <c r="F4579" s="1">
        <v>14.106</v>
      </c>
      <c r="G4579" s="1">
        <v>14.114000000000001</v>
      </c>
      <c r="H4579" s="1">
        <v>14.131</v>
      </c>
      <c r="I4579" s="1">
        <v>14.148</v>
      </c>
      <c r="J4579" s="21">
        <v>2100</v>
      </c>
      <c r="K4579" s="1"/>
      <c r="L4579" s="1"/>
      <c r="M4579" s="1"/>
      <c r="N4579" s="1"/>
      <c r="O4579" s="1"/>
      <c r="P4579" s="365"/>
      <c r="Q4579" s="1"/>
      <c r="R4579" s="1"/>
      <c r="S4579" s="1"/>
      <c r="T4579" s="1"/>
    </row>
    <row r="4580" spans="1:20">
      <c r="A4580" s="1">
        <v>2500</v>
      </c>
      <c r="B4580" s="1">
        <v>14.345000000000001</v>
      </c>
      <c r="C4580" s="1">
        <v>14.362</v>
      </c>
      <c r="D4580" s="1">
        <v>14.37</v>
      </c>
      <c r="E4580" s="1">
        <v>14.379</v>
      </c>
      <c r="F4580" s="1">
        <v>14.387</v>
      </c>
      <c r="G4580" s="1">
        <v>14.395</v>
      </c>
      <c r="H4580" s="1">
        <v>14.412000000000001</v>
      </c>
      <c r="I4580" s="1">
        <v>14.429</v>
      </c>
      <c r="J4580" s="21">
        <v>2050</v>
      </c>
      <c r="K4580" s="1"/>
      <c r="L4580" s="1"/>
      <c r="M4580" s="1"/>
      <c r="N4580" s="1"/>
      <c r="O4580" s="1"/>
      <c r="P4580" s="365"/>
      <c r="Q4580" s="1"/>
      <c r="R4580" s="1"/>
      <c r="S4580" s="1"/>
      <c r="T4580" s="1"/>
    </row>
    <row r="4581" spans="1:20">
      <c r="A4581" s="1">
        <v>2550</v>
      </c>
      <c r="B4581" s="1">
        <v>14.625999999999999</v>
      </c>
      <c r="C4581" s="1">
        <v>14.643000000000001</v>
      </c>
      <c r="D4581" s="1">
        <v>14.651999999999999</v>
      </c>
      <c r="E4581" s="1">
        <v>14.66</v>
      </c>
      <c r="F4581" s="1">
        <v>14.667999999999999</v>
      </c>
      <c r="G4581" s="1">
        <v>14.677</v>
      </c>
      <c r="H4581" s="1">
        <v>14.694000000000001</v>
      </c>
      <c r="I4581" s="1">
        <v>14.711</v>
      </c>
      <c r="J4581" s="21">
        <v>2000</v>
      </c>
      <c r="K4581" s="1"/>
      <c r="L4581" s="1"/>
      <c r="M4581" s="1"/>
      <c r="N4581" s="1"/>
      <c r="O4581" s="1"/>
      <c r="P4581" s="365"/>
      <c r="Q4581" s="1"/>
      <c r="R4581" s="1"/>
      <c r="S4581" s="1"/>
      <c r="T4581" s="1"/>
    </row>
    <row r="4582" spans="1:20">
      <c r="A4582" s="1">
        <v>2600</v>
      </c>
      <c r="B4582" s="1">
        <v>14.907999999999999</v>
      </c>
      <c r="C4582" s="1">
        <v>14.925000000000001</v>
      </c>
      <c r="D4582" s="1">
        <v>14.933</v>
      </c>
      <c r="E4582" s="1">
        <v>14.941000000000001</v>
      </c>
      <c r="F4582" s="1">
        <v>14.95</v>
      </c>
      <c r="G4582" s="1">
        <v>14.958</v>
      </c>
      <c r="H4582" s="1">
        <v>14.975</v>
      </c>
      <c r="I4582" s="1">
        <v>14.992000000000001</v>
      </c>
      <c r="J4582" s="21">
        <v>1950</v>
      </c>
      <c r="K4582" s="1"/>
      <c r="L4582" s="1"/>
      <c r="M4582" s="1"/>
      <c r="N4582" s="1"/>
      <c r="O4582" s="1"/>
      <c r="P4582" s="365"/>
      <c r="Q4582" s="1"/>
      <c r="R4582" s="1"/>
      <c r="S4582" s="1"/>
      <c r="T4582" s="1"/>
    </row>
    <row r="4583" spans="1:20">
      <c r="A4583" s="1">
        <v>2650</v>
      </c>
      <c r="B4583" s="1">
        <v>15.189</v>
      </c>
      <c r="C4583" s="1">
        <v>15.206</v>
      </c>
      <c r="D4583" s="1">
        <v>15.214</v>
      </c>
      <c r="E4583" s="1">
        <v>15.223000000000001</v>
      </c>
      <c r="F4583" s="1">
        <v>15.231</v>
      </c>
      <c r="G4583" s="1">
        <v>15.24</v>
      </c>
      <c r="H4583" s="1">
        <v>15.256</v>
      </c>
      <c r="I4583" s="1">
        <v>15.273</v>
      </c>
      <c r="J4583" s="21">
        <v>1900</v>
      </c>
      <c r="K4583" s="1"/>
      <c r="L4583" s="1"/>
      <c r="M4583" s="1"/>
      <c r="N4583" s="1"/>
      <c r="O4583" s="1"/>
      <c r="P4583" s="365"/>
      <c r="Q4583" s="1"/>
      <c r="R4583" s="1"/>
      <c r="S4583" s="1"/>
      <c r="T4583" s="1"/>
    </row>
    <row r="4584" spans="1:20">
      <c r="A4584" s="1">
        <v>2700</v>
      </c>
      <c r="B4584" s="1">
        <v>15.47</v>
      </c>
      <c r="C4584" s="1">
        <v>15.487</v>
      </c>
      <c r="D4584" s="1">
        <v>15.496</v>
      </c>
      <c r="E4584" s="1">
        <v>15.504</v>
      </c>
      <c r="F4584" s="1">
        <v>15.513</v>
      </c>
      <c r="G4584" s="1">
        <v>15.521000000000001</v>
      </c>
      <c r="H4584" s="1">
        <v>15.538</v>
      </c>
      <c r="I4584" s="1">
        <v>15.555</v>
      </c>
      <c r="J4584" s="21">
        <v>1850</v>
      </c>
      <c r="K4584" s="1"/>
      <c r="L4584" s="1"/>
      <c r="M4584" s="1"/>
      <c r="N4584" s="1"/>
      <c r="O4584" s="1"/>
      <c r="P4584" s="365"/>
      <c r="Q4584" s="1"/>
      <c r="R4584" s="1"/>
      <c r="S4584" s="1"/>
      <c r="T4584" s="1"/>
    </row>
    <row r="4585" spans="1:20">
      <c r="A4585" s="1">
        <v>2750</v>
      </c>
      <c r="B4585" s="1">
        <v>15.752000000000001</v>
      </c>
      <c r="C4585" s="1">
        <v>15.769</v>
      </c>
      <c r="D4585" s="1">
        <v>15.776999999999999</v>
      </c>
      <c r="E4585" s="1">
        <v>15.786</v>
      </c>
      <c r="F4585" s="1">
        <v>15.794</v>
      </c>
      <c r="G4585" s="1">
        <v>15.802</v>
      </c>
      <c r="H4585" s="1">
        <v>15.819000000000001</v>
      </c>
      <c r="I4585" s="1">
        <v>15.836</v>
      </c>
      <c r="J4585" s="21">
        <v>1800</v>
      </c>
      <c r="K4585" s="1"/>
      <c r="L4585" s="1"/>
      <c r="M4585" s="1"/>
      <c r="N4585" s="1"/>
      <c r="O4585" s="1"/>
      <c r="P4585" s="365"/>
      <c r="Q4585" s="1"/>
      <c r="R4585" s="1"/>
      <c r="S4585" s="1"/>
      <c r="T4585" s="1"/>
    </row>
    <row r="4586" spans="1:20">
      <c r="A4586" s="1">
        <v>2800</v>
      </c>
      <c r="B4586" s="1">
        <v>16.033000000000001</v>
      </c>
      <c r="C4586" s="1">
        <v>16.05</v>
      </c>
      <c r="D4586" s="1">
        <v>16.058</v>
      </c>
      <c r="E4586" s="1">
        <v>16.067</v>
      </c>
      <c r="F4586" s="1">
        <v>16.074999999999999</v>
      </c>
      <c r="G4586" s="1">
        <v>16.084</v>
      </c>
      <c r="H4586" s="1">
        <v>16.100999999999999</v>
      </c>
      <c r="I4586" s="1">
        <v>16.117000000000001</v>
      </c>
      <c r="J4586" s="21">
        <v>1750</v>
      </c>
      <c r="K4586" s="1"/>
      <c r="L4586" s="1"/>
      <c r="M4586" s="1"/>
      <c r="N4586" s="1"/>
      <c r="O4586" s="1"/>
      <c r="P4586" s="365"/>
      <c r="Q4586" s="1"/>
      <c r="R4586" s="1"/>
      <c r="S4586" s="1"/>
      <c r="T4586" s="1"/>
    </row>
    <row r="4587" spans="1:20">
      <c r="A4587" s="1">
        <v>2850</v>
      </c>
      <c r="B4587" s="1">
        <v>16.315000000000001</v>
      </c>
      <c r="C4587" s="1">
        <v>16.331</v>
      </c>
      <c r="D4587" s="1">
        <v>16.34</v>
      </c>
      <c r="E4587" s="1">
        <v>16.347999999999999</v>
      </c>
      <c r="F4587" s="1">
        <v>16.356999999999999</v>
      </c>
      <c r="G4587" s="1">
        <v>16.364999999999998</v>
      </c>
      <c r="H4587" s="1">
        <v>16.382000000000001</v>
      </c>
      <c r="I4587" s="1">
        <v>16.399000000000001</v>
      </c>
      <c r="J4587" s="21">
        <v>1700</v>
      </c>
      <c r="K4587" s="1"/>
      <c r="L4587" s="1"/>
      <c r="M4587" s="1"/>
      <c r="N4587" s="1"/>
      <c r="O4587" s="1"/>
      <c r="P4587" s="365"/>
      <c r="Q4587" s="1"/>
      <c r="R4587" s="1"/>
      <c r="S4587" s="1"/>
      <c r="T4587" s="1"/>
    </row>
    <row r="4588" spans="1:20">
      <c r="A4588" s="1">
        <v>2900</v>
      </c>
      <c r="B4588" s="1">
        <v>16.596</v>
      </c>
      <c r="C4588" s="1">
        <v>16.613</v>
      </c>
      <c r="D4588" s="1">
        <v>16.620999999999999</v>
      </c>
      <c r="E4588" s="1">
        <v>16.63</v>
      </c>
      <c r="F4588" s="1">
        <v>16.638000000000002</v>
      </c>
      <c r="G4588" s="1">
        <v>16.646999999999998</v>
      </c>
      <c r="H4588" s="1">
        <v>16.663</v>
      </c>
      <c r="I4588" s="1">
        <v>16.68</v>
      </c>
      <c r="J4588" s="21">
        <v>1650</v>
      </c>
      <c r="K4588" s="1"/>
      <c r="L4588" s="1"/>
      <c r="M4588" s="1"/>
      <c r="N4588" s="1"/>
      <c r="O4588" s="1"/>
      <c r="P4588" s="365"/>
      <c r="Q4588" s="1"/>
      <c r="R4588" s="1"/>
      <c r="S4588" s="1"/>
      <c r="T4588" s="1"/>
    </row>
    <row r="4589" spans="1:20">
      <c r="A4589" s="1">
        <v>2950</v>
      </c>
      <c r="B4589" s="1">
        <v>16.876999999999999</v>
      </c>
      <c r="C4589" s="1">
        <v>16.893999999999998</v>
      </c>
      <c r="D4589" s="1">
        <v>16.902999999999999</v>
      </c>
      <c r="E4589" s="1">
        <v>16.911000000000001</v>
      </c>
      <c r="F4589" s="1">
        <v>16.919</v>
      </c>
      <c r="G4589" s="1">
        <v>16.928000000000001</v>
      </c>
      <c r="H4589" s="1">
        <v>16.945</v>
      </c>
      <c r="I4589" s="1">
        <v>16.962</v>
      </c>
      <c r="J4589" s="21">
        <v>1600</v>
      </c>
      <c r="K4589" s="1"/>
      <c r="L4589" s="1"/>
      <c r="M4589" s="1"/>
      <c r="N4589" s="1"/>
      <c r="O4589" s="1"/>
      <c r="P4589" s="365"/>
      <c r="Q4589" s="1"/>
      <c r="R4589" s="1"/>
      <c r="S4589" s="1"/>
      <c r="T4589" s="1"/>
    </row>
    <row r="4590" spans="1:20">
      <c r="A4590" s="1">
        <v>3000</v>
      </c>
      <c r="B4590" s="1">
        <v>17.158999999999999</v>
      </c>
      <c r="C4590" s="1">
        <v>17.175999999999998</v>
      </c>
      <c r="D4590" s="1">
        <v>17.184000000000001</v>
      </c>
      <c r="E4590" s="1">
        <v>17.192</v>
      </c>
      <c r="F4590" s="1">
        <v>17.201000000000001</v>
      </c>
      <c r="G4590" s="1">
        <v>17.209</v>
      </c>
      <c r="H4590" s="1">
        <v>17.225999999999999</v>
      </c>
      <c r="I4590" s="1">
        <v>17.242999999999999</v>
      </c>
      <c r="J4590" s="21">
        <v>1550</v>
      </c>
      <c r="K4590" s="1"/>
      <c r="L4590" s="1"/>
      <c r="M4590" s="1"/>
      <c r="N4590" s="1"/>
      <c r="O4590" s="1"/>
      <c r="P4590" s="365"/>
      <c r="Q4590" s="1"/>
      <c r="R4590" s="1"/>
      <c r="S4590" s="1"/>
      <c r="T4590" s="1"/>
    </row>
    <row r="4591" spans="1:20">
      <c r="A4591" s="1">
        <v>3050</v>
      </c>
      <c r="B4591" s="1">
        <v>17.440000000000001</v>
      </c>
      <c r="C4591" s="1">
        <v>17.457000000000001</v>
      </c>
      <c r="D4591" s="1">
        <v>17.465</v>
      </c>
      <c r="E4591" s="1">
        <v>17.474</v>
      </c>
      <c r="F4591" s="1">
        <v>17.481999999999999</v>
      </c>
      <c r="G4591" s="1">
        <v>17.491</v>
      </c>
      <c r="H4591" s="1">
        <v>17.507999999999999</v>
      </c>
      <c r="I4591" s="1">
        <v>17.524000000000001</v>
      </c>
      <c r="J4591" s="21">
        <v>1500</v>
      </c>
      <c r="K4591" s="1"/>
      <c r="L4591" s="1"/>
      <c r="M4591" s="1"/>
      <c r="N4591" s="1"/>
      <c r="O4591" s="1"/>
      <c r="P4591" s="365"/>
      <c r="Q4591" s="1"/>
      <c r="R4591" s="1"/>
      <c r="S4591" s="1"/>
      <c r="T4591" s="1"/>
    </row>
    <row r="4592" spans="1:20">
      <c r="A4592" s="1">
        <v>3100</v>
      </c>
      <c r="B4592" s="1">
        <v>17.722000000000001</v>
      </c>
      <c r="C4592" s="1">
        <v>17.738</v>
      </c>
      <c r="D4592" s="1">
        <v>17.747</v>
      </c>
      <c r="E4592" s="1">
        <v>17.754999999999999</v>
      </c>
      <c r="F4592" s="1">
        <v>17.763999999999999</v>
      </c>
      <c r="G4592" s="1">
        <v>17.771999999999998</v>
      </c>
      <c r="H4592" s="1">
        <v>17.789000000000001</v>
      </c>
      <c r="I4592" s="1">
        <v>17.806000000000001</v>
      </c>
      <c r="J4592" s="21">
        <v>1450</v>
      </c>
      <c r="K4592" s="1"/>
      <c r="L4592" s="1"/>
      <c r="M4592" s="1"/>
      <c r="N4592" s="1"/>
      <c r="O4592" s="1"/>
      <c r="P4592" s="365"/>
      <c r="Q4592" s="1"/>
      <c r="R4592" s="1"/>
      <c r="S4592" s="1"/>
      <c r="T4592" s="1"/>
    </row>
    <row r="4593" spans="1:20">
      <c r="A4593" s="1">
        <v>3150</v>
      </c>
      <c r="B4593" s="1">
        <v>18.003</v>
      </c>
      <c r="C4593" s="1">
        <v>18.02</v>
      </c>
      <c r="D4593" s="1">
        <v>18.027999999999999</v>
      </c>
      <c r="E4593" s="1">
        <v>18.036999999999999</v>
      </c>
      <c r="F4593" s="1">
        <v>18.045000000000002</v>
      </c>
      <c r="G4593" s="1">
        <v>18.053000000000001</v>
      </c>
      <c r="H4593" s="1">
        <v>18.07</v>
      </c>
      <c r="I4593" s="1">
        <v>18.087</v>
      </c>
      <c r="J4593" s="21">
        <v>1400</v>
      </c>
      <c r="K4593" s="1"/>
      <c r="L4593" s="1"/>
      <c r="M4593" s="1"/>
      <c r="N4593" s="1"/>
      <c r="O4593" s="1"/>
      <c r="P4593" s="365"/>
      <c r="Q4593" s="1"/>
      <c r="R4593" s="1"/>
      <c r="S4593" s="1"/>
      <c r="T4593" s="1"/>
    </row>
    <row r="4594" spans="1:20">
      <c r="A4594" s="1">
        <v>3200</v>
      </c>
      <c r="B4594" s="1">
        <v>18.283999999999999</v>
      </c>
      <c r="C4594" s="1">
        <v>18.300999999999998</v>
      </c>
      <c r="D4594" s="1">
        <v>18.309999999999999</v>
      </c>
      <c r="E4594" s="1">
        <v>18.318000000000001</v>
      </c>
      <c r="F4594" s="1">
        <v>18.326000000000001</v>
      </c>
      <c r="G4594" s="1">
        <v>18.335000000000001</v>
      </c>
      <c r="H4594" s="1">
        <v>18.352</v>
      </c>
      <c r="I4594" s="1">
        <v>18.367999999999999</v>
      </c>
      <c r="J4594" s="21">
        <v>1350</v>
      </c>
      <c r="K4594" s="1"/>
      <c r="L4594" s="1"/>
      <c r="M4594" s="1"/>
      <c r="N4594" s="1"/>
      <c r="O4594" s="1"/>
      <c r="P4594" s="365"/>
      <c r="Q4594" s="1"/>
      <c r="R4594" s="1"/>
      <c r="S4594" s="1"/>
      <c r="T4594" s="1"/>
    </row>
    <row r="4595" spans="1:20">
      <c r="A4595" s="1">
        <v>3250</v>
      </c>
      <c r="B4595" s="1">
        <v>18.565999999999999</v>
      </c>
      <c r="C4595" s="1">
        <v>18.582000000000001</v>
      </c>
      <c r="D4595" s="1">
        <v>18.591000000000001</v>
      </c>
      <c r="E4595" s="1">
        <v>18.599</v>
      </c>
      <c r="F4595" s="1">
        <v>18.608000000000001</v>
      </c>
      <c r="G4595" s="1">
        <v>18.616</v>
      </c>
      <c r="H4595" s="1">
        <v>18.632999999999999</v>
      </c>
      <c r="I4595" s="1">
        <v>18.649999999999999</v>
      </c>
      <c r="J4595" s="21">
        <v>1300</v>
      </c>
      <c r="K4595" s="1"/>
      <c r="L4595" s="1"/>
      <c r="M4595" s="1"/>
      <c r="N4595" s="1"/>
      <c r="O4595" s="1"/>
      <c r="P4595" s="365"/>
      <c r="Q4595" s="1"/>
      <c r="R4595" s="1"/>
      <c r="S4595" s="1"/>
      <c r="T4595" s="1"/>
    </row>
    <row r="4596" spans="1:20">
      <c r="A4596" s="1">
        <v>3300</v>
      </c>
      <c r="B4596" s="1">
        <v>18.847000000000001</v>
      </c>
      <c r="C4596" s="1">
        <v>18.864000000000001</v>
      </c>
      <c r="D4596" s="1">
        <v>18.872</v>
      </c>
      <c r="E4596" s="1">
        <v>18.881</v>
      </c>
      <c r="F4596" s="1">
        <v>18.888999999999999</v>
      </c>
      <c r="G4596" s="1">
        <v>18.898</v>
      </c>
      <c r="H4596" s="1">
        <v>18.914000000000001</v>
      </c>
      <c r="I4596" s="1">
        <v>18.931000000000001</v>
      </c>
      <c r="J4596" s="21">
        <v>1250</v>
      </c>
      <c r="K4596" s="1"/>
      <c r="L4596" s="1"/>
      <c r="M4596" s="1"/>
      <c r="N4596" s="1"/>
      <c r="O4596" s="1"/>
      <c r="P4596" s="365"/>
      <c r="Q4596" s="1"/>
      <c r="R4596" s="1"/>
      <c r="S4596" s="1"/>
      <c r="T4596" s="1"/>
    </row>
    <row r="4597" spans="1:20">
      <c r="A4597" s="1">
        <v>3350</v>
      </c>
      <c r="B4597" s="1">
        <v>19.128</v>
      </c>
      <c r="C4597" s="1">
        <v>19.145</v>
      </c>
      <c r="D4597" s="1">
        <v>19.154</v>
      </c>
      <c r="E4597" s="1">
        <v>19.161999999999999</v>
      </c>
      <c r="F4597" s="1">
        <v>19.170999999999999</v>
      </c>
      <c r="G4597" s="1">
        <v>19.178999999999998</v>
      </c>
      <c r="H4597" s="1">
        <v>19.196000000000002</v>
      </c>
      <c r="I4597" s="1">
        <v>19.213000000000001</v>
      </c>
      <c r="J4597" s="21">
        <v>1200</v>
      </c>
      <c r="K4597" s="1"/>
      <c r="L4597" s="1"/>
      <c r="M4597" s="1"/>
      <c r="N4597" s="1"/>
      <c r="O4597" s="1"/>
      <c r="P4597" s="365"/>
      <c r="Q4597" s="1"/>
      <c r="R4597" s="1"/>
      <c r="S4597" s="1"/>
      <c r="T4597" s="1"/>
    </row>
    <row r="4598" spans="1:20">
      <c r="A4598" s="1">
        <v>3400</v>
      </c>
      <c r="B4598" s="1">
        <v>19.41</v>
      </c>
      <c r="C4598" s="1">
        <v>19.427</v>
      </c>
      <c r="D4598" s="1">
        <v>19.434999999999999</v>
      </c>
      <c r="E4598" s="1">
        <v>19.443000000000001</v>
      </c>
      <c r="F4598" s="1">
        <v>19.452000000000002</v>
      </c>
      <c r="G4598" s="1">
        <v>19.46</v>
      </c>
      <c r="H4598" s="1">
        <v>19.477</v>
      </c>
      <c r="I4598" s="1">
        <v>19.494</v>
      </c>
      <c r="J4598" s="21">
        <v>1150</v>
      </c>
      <c r="K4598" s="1"/>
      <c r="L4598" s="1"/>
      <c r="M4598" s="1"/>
      <c r="N4598" s="1"/>
      <c r="O4598" s="1"/>
      <c r="P4598" s="365"/>
      <c r="Q4598" s="1"/>
      <c r="R4598" s="1"/>
      <c r="S4598" s="1"/>
      <c r="T4598" s="1"/>
    </row>
    <row r="4599" spans="1:20">
      <c r="A4599" s="1">
        <v>3450</v>
      </c>
      <c r="B4599" s="1">
        <v>19.690000000000001</v>
      </c>
      <c r="C4599" s="1">
        <v>19.706</v>
      </c>
      <c r="D4599" s="1">
        <v>19.715</v>
      </c>
      <c r="E4599" s="1">
        <v>19.722999999999999</v>
      </c>
      <c r="F4599" s="1">
        <v>19.731999999999999</v>
      </c>
      <c r="G4599" s="1">
        <v>19.739999999999998</v>
      </c>
      <c r="H4599" s="1">
        <v>19.757000000000001</v>
      </c>
      <c r="I4599" s="1">
        <v>19.774000000000001</v>
      </c>
      <c r="J4599" s="21">
        <v>1100</v>
      </c>
      <c r="K4599" s="1"/>
      <c r="L4599" s="1"/>
      <c r="M4599" s="1"/>
      <c r="N4599" s="1"/>
      <c r="O4599" s="1"/>
      <c r="P4599" s="365"/>
      <c r="Q4599" s="1"/>
      <c r="R4599" s="1"/>
      <c r="S4599" s="1"/>
      <c r="T4599" s="1"/>
    </row>
    <row r="4600" spans="1:20">
      <c r="A4600" s="1">
        <v>3500</v>
      </c>
      <c r="B4600" s="1">
        <v>19.966999999999999</v>
      </c>
      <c r="C4600" s="1">
        <v>19.984000000000002</v>
      </c>
      <c r="D4600" s="1">
        <v>19.992000000000001</v>
      </c>
      <c r="E4600" s="1">
        <v>20.001000000000001</v>
      </c>
      <c r="F4600" s="1">
        <v>20.009</v>
      </c>
      <c r="G4600" s="1">
        <v>20.018000000000001</v>
      </c>
      <c r="H4600" s="1">
        <v>20.033999999999999</v>
      </c>
      <c r="I4600" s="1">
        <v>20.050999999999998</v>
      </c>
      <c r="J4600" s="21">
        <v>1050</v>
      </c>
      <c r="K4600" s="1"/>
      <c r="L4600" s="1"/>
      <c r="M4600" s="1"/>
      <c r="N4600" s="1"/>
      <c r="O4600" s="1"/>
      <c r="P4600" s="365"/>
      <c r="Q4600" s="1"/>
      <c r="R4600" s="1"/>
      <c r="S4600" s="1"/>
      <c r="T4600" s="1"/>
    </row>
    <row r="4601" spans="1:20">
      <c r="A4601" s="1">
        <v>3550</v>
      </c>
      <c r="B4601" s="1">
        <v>20.244</v>
      </c>
      <c r="C4601" s="1">
        <v>20.260999999999999</v>
      </c>
      <c r="D4601" s="1">
        <v>20.27</v>
      </c>
      <c r="E4601" s="1">
        <v>20.277999999999999</v>
      </c>
      <c r="F4601" s="1">
        <v>20.286999999999999</v>
      </c>
      <c r="G4601" s="1">
        <v>20.295000000000002</v>
      </c>
      <c r="H4601" s="1">
        <v>20.312000000000001</v>
      </c>
      <c r="I4601" s="1">
        <v>20.329000000000001</v>
      </c>
      <c r="J4601" s="21">
        <v>1000</v>
      </c>
      <c r="K4601" s="1"/>
      <c r="L4601" s="1"/>
      <c r="M4601" s="1"/>
      <c r="N4601" s="1"/>
      <c r="O4601" s="1"/>
      <c r="P4601" s="365"/>
      <c r="Q4601" s="1"/>
      <c r="R4601" s="1"/>
      <c r="S4601" s="1"/>
      <c r="T4601" s="1"/>
    </row>
    <row r="4602" spans="1:20">
      <c r="A4602" s="1">
        <v>3600</v>
      </c>
      <c r="B4602" s="1">
        <v>20.521999999999998</v>
      </c>
      <c r="C4602" s="1">
        <v>20.539000000000001</v>
      </c>
      <c r="D4602" s="1">
        <v>20.547000000000001</v>
      </c>
      <c r="E4602" s="1">
        <v>20.555</v>
      </c>
      <c r="F4602" s="1">
        <v>20.564</v>
      </c>
      <c r="G4602" s="1">
        <v>20.571999999999999</v>
      </c>
      <c r="H4602" s="1">
        <v>20.588999999999999</v>
      </c>
      <c r="I4602" s="1">
        <v>20.606000000000002</v>
      </c>
      <c r="J4602" s="21">
        <v>950</v>
      </c>
      <c r="K4602" s="1"/>
      <c r="L4602" s="1"/>
      <c r="M4602" s="1"/>
      <c r="N4602" s="1"/>
      <c r="O4602" s="1"/>
      <c r="P4602" s="365"/>
      <c r="Q4602" s="1"/>
      <c r="R4602" s="1"/>
      <c r="S4602" s="1"/>
      <c r="T4602" s="1"/>
    </row>
    <row r="4603" spans="1:20">
      <c r="A4603" s="1">
        <v>3650</v>
      </c>
      <c r="B4603" s="1">
        <v>20.798999999999999</v>
      </c>
      <c r="C4603" s="1">
        <v>20.815999999999999</v>
      </c>
      <c r="D4603" s="1">
        <v>20.824000000000002</v>
      </c>
      <c r="E4603" s="1">
        <v>20.832999999999998</v>
      </c>
      <c r="F4603" s="1">
        <v>20.841000000000001</v>
      </c>
      <c r="G4603" s="1">
        <v>20.85</v>
      </c>
      <c r="H4603" s="1">
        <v>20.867000000000001</v>
      </c>
      <c r="I4603" s="1">
        <v>20.882999999999999</v>
      </c>
      <c r="J4603" s="21">
        <v>900</v>
      </c>
      <c r="K4603" s="1"/>
      <c r="L4603" s="1"/>
      <c r="M4603" s="1"/>
      <c r="N4603" s="1"/>
      <c r="O4603" s="1"/>
      <c r="P4603" s="365"/>
      <c r="Q4603" s="1"/>
      <c r="R4603" s="1"/>
      <c r="S4603" s="1"/>
      <c r="T4603" s="1"/>
    </row>
    <row r="4604" spans="1:20">
      <c r="A4604" s="1">
        <v>3700</v>
      </c>
      <c r="B4604" s="1">
        <v>21.077000000000002</v>
      </c>
      <c r="C4604" s="1">
        <v>21.093</v>
      </c>
      <c r="D4604" s="1">
        <v>21.102</v>
      </c>
      <c r="E4604" s="1">
        <v>21.11</v>
      </c>
      <c r="F4604" s="1">
        <v>21.119</v>
      </c>
      <c r="G4604" s="1">
        <v>21.126999999999999</v>
      </c>
      <c r="H4604" s="1">
        <v>21.143999999999998</v>
      </c>
      <c r="I4604" s="1">
        <v>21.161000000000001</v>
      </c>
      <c r="J4604" s="21">
        <v>850</v>
      </c>
      <c r="K4604" s="1"/>
      <c r="L4604" s="1"/>
      <c r="M4604" s="1"/>
      <c r="N4604" s="1"/>
      <c r="O4604" s="1"/>
      <c r="P4604" s="365"/>
      <c r="Q4604" s="1"/>
      <c r="R4604" s="1"/>
      <c r="S4604" s="1"/>
      <c r="T4604" s="1"/>
    </row>
    <row r="4605" spans="1:20">
      <c r="A4605" s="1">
        <v>3750</v>
      </c>
      <c r="B4605" s="1">
        <v>21.353999999999999</v>
      </c>
      <c r="C4605" s="1">
        <v>21.370999999999999</v>
      </c>
      <c r="D4605" s="1">
        <v>21.379000000000001</v>
      </c>
      <c r="E4605" s="1">
        <v>21.388000000000002</v>
      </c>
      <c r="F4605" s="1">
        <v>21.396000000000001</v>
      </c>
      <c r="G4605" s="1">
        <v>21.404</v>
      </c>
      <c r="H4605" s="1">
        <v>21.420999999999999</v>
      </c>
      <c r="I4605" s="1">
        <v>21.437999999999999</v>
      </c>
      <c r="J4605" s="21">
        <v>800</v>
      </c>
      <c r="K4605" s="1"/>
      <c r="L4605" s="1"/>
      <c r="M4605" s="1"/>
      <c r="N4605" s="1"/>
      <c r="O4605" s="1"/>
      <c r="P4605" s="365"/>
      <c r="Q4605" s="1"/>
      <c r="R4605" s="1"/>
      <c r="S4605" s="1"/>
      <c r="T4605" s="1"/>
    </row>
    <row r="4606" spans="1:20">
      <c r="A4606" s="1">
        <v>3800</v>
      </c>
      <c r="B4606" s="1">
        <v>21.631</v>
      </c>
      <c r="C4606" s="1">
        <v>21.648</v>
      </c>
      <c r="D4606" s="1">
        <v>21.657</v>
      </c>
      <c r="E4606" s="1">
        <v>21.664999999999999</v>
      </c>
      <c r="F4606" s="1">
        <v>21.672999999999998</v>
      </c>
      <c r="G4606" s="1">
        <v>21.681999999999999</v>
      </c>
      <c r="H4606" s="1">
        <v>21699</v>
      </c>
      <c r="I4606" s="1">
        <v>21.716000000000001</v>
      </c>
      <c r="J4606" s="21">
        <v>750</v>
      </c>
      <c r="K4606" s="1"/>
      <c r="L4606" s="1"/>
      <c r="M4606" s="1"/>
      <c r="N4606" s="1"/>
      <c r="O4606" s="1"/>
      <c r="P4606" s="365"/>
      <c r="Q4606" s="1"/>
      <c r="R4606" s="1"/>
      <c r="S4606" s="1"/>
      <c r="T4606" s="1"/>
    </row>
    <row r="4607" spans="1:20">
      <c r="A4607" s="1">
        <v>3850</v>
      </c>
      <c r="B4607" s="1">
        <v>21.908999999999999</v>
      </c>
      <c r="C4607" s="1">
        <v>21.925999999999998</v>
      </c>
      <c r="D4607" s="1">
        <v>21.934000000000001</v>
      </c>
      <c r="E4607" s="1">
        <v>21.942</v>
      </c>
      <c r="F4607" s="1">
        <v>21.951000000000001</v>
      </c>
      <c r="G4607" s="1">
        <v>21.959</v>
      </c>
      <c r="H4607" s="1">
        <v>21.975999999999999</v>
      </c>
      <c r="I4607" s="1">
        <v>21.992999999999999</v>
      </c>
      <c r="J4607" s="21">
        <v>700</v>
      </c>
      <c r="K4607" s="1"/>
      <c r="L4607" s="1"/>
      <c r="M4607" s="1"/>
      <c r="N4607" s="1"/>
      <c r="O4607" s="1"/>
      <c r="P4607" s="365"/>
      <c r="Q4607" s="1"/>
      <c r="R4607" s="1"/>
      <c r="S4607" s="1"/>
      <c r="T4607" s="1"/>
    </row>
    <row r="4608" spans="1:20">
      <c r="A4608" s="1">
        <v>3900</v>
      </c>
      <c r="B4608" s="1">
        <v>22.186</v>
      </c>
      <c r="C4608" s="1">
        <v>22.202999999999999</v>
      </c>
      <c r="D4608" s="1">
        <v>22.210999999999999</v>
      </c>
      <c r="E4608" s="1">
        <v>22.22</v>
      </c>
      <c r="F4608" s="1">
        <v>22.228000000000002</v>
      </c>
      <c r="G4608" s="1">
        <v>22.236999999999998</v>
      </c>
      <c r="H4608" s="1">
        <v>22.253</v>
      </c>
      <c r="I4608" s="1">
        <v>22.27</v>
      </c>
      <c r="J4608" s="21">
        <v>650</v>
      </c>
      <c r="K4608" s="1"/>
      <c r="L4608" s="1"/>
      <c r="M4608" s="1"/>
      <c r="N4608" s="1"/>
      <c r="O4608" s="1"/>
      <c r="P4608" s="365"/>
      <c r="Q4608" s="1"/>
      <c r="R4608" s="1"/>
      <c r="S4608" s="1"/>
      <c r="T4608" s="1"/>
    </row>
    <row r="4609" spans="1:20">
      <c r="A4609" s="1">
        <v>3950</v>
      </c>
      <c r="B4609" s="1">
        <v>22.463000000000001</v>
      </c>
      <c r="C4609" s="1">
        <v>22.48</v>
      </c>
      <c r="D4609" s="1">
        <v>22.489000000000001</v>
      </c>
      <c r="E4609" s="1">
        <v>22.497</v>
      </c>
      <c r="F4609" s="1">
        <v>22.506</v>
      </c>
      <c r="G4609" s="1">
        <v>22.513999999999999</v>
      </c>
      <c r="H4609" s="1">
        <v>22.530999999999999</v>
      </c>
      <c r="I4609" s="1">
        <v>22.547999999999998</v>
      </c>
      <c r="J4609" s="21">
        <v>600</v>
      </c>
      <c r="K4609" s="1"/>
      <c r="L4609" s="1"/>
      <c r="M4609" s="1"/>
      <c r="N4609" s="1"/>
      <c r="O4609" s="1"/>
      <c r="P4609" s="365"/>
      <c r="Q4609" s="1"/>
      <c r="R4609" s="1"/>
      <c r="S4609" s="1"/>
      <c r="T4609" s="1"/>
    </row>
    <row r="4610" spans="1:20">
      <c r="A4610" s="1">
        <v>4000</v>
      </c>
      <c r="B4610" s="1">
        <v>22.741</v>
      </c>
      <c r="C4610" s="1">
        <v>22.757999999999999</v>
      </c>
      <c r="D4610" s="1">
        <v>22.765999999999998</v>
      </c>
      <c r="E4610" s="1">
        <v>22.774000000000001</v>
      </c>
      <c r="F4610" s="1">
        <v>22.783000000000001</v>
      </c>
      <c r="G4610" s="1">
        <v>22.791</v>
      </c>
      <c r="H4610" s="1">
        <v>22.808</v>
      </c>
      <c r="I4610" s="1">
        <v>22.824999999999999</v>
      </c>
      <c r="J4610" s="21">
        <v>550</v>
      </c>
      <c r="K4610" s="1"/>
      <c r="L4610" s="1"/>
      <c r="M4610" s="1"/>
      <c r="N4610" s="1"/>
      <c r="O4610" s="1"/>
      <c r="P4610" s="365"/>
      <c r="Q4610" s="1"/>
      <c r="R4610" s="1"/>
      <c r="S4610" s="1"/>
      <c r="T4610" s="1"/>
    </row>
    <row r="4611" spans="1:20">
      <c r="A4611" s="1">
        <v>4050</v>
      </c>
      <c r="B4611" s="1">
        <v>23.018000000000001</v>
      </c>
      <c r="C4611" s="1">
        <v>23.035</v>
      </c>
      <c r="D4611" s="1">
        <v>23.042999999999999</v>
      </c>
      <c r="E4611" s="1">
        <v>23.052</v>
      </c>
      <c r="F4611" s="1">
        <v>23.06</v>
      </c>
      <c r="G4611" s="1">
        <v>23.068999999999999</v>
      </c>
      <c r="H4611" s="1">
        <v>23.085999999999999</v>
      </c>
      <c r="I4611" s="1">
        <v>23.102</v>
      </c>
      <c r="J4611" s="21">
        <v>500</v>
      </c>
      <c r="K4611" s="1"/>
      <c r="L4611" s="1"/>
      <c r="M4611" s="1"/>
      <c r="N4611" s="1"/>
      <c r="O4611" s="1"/>
      <c r="P4611" s="365"/>
      <c r="Q4611" s="1"/>
      <c r="R4611" s="1"/>
      <c r="S4611" s="1"/>
      <c r="T4611" s="1"/>
    </row>
    <row r="4612" spans="1:20">
      <c r="A4612" s="1">
        <v>4100</v>
      </c>
      <c r="B4612" s="1">
        <v>23.295999999999999</v>
      </c>
      <c r="C4612" s="1">
        <v>23.312000000000001</v>
      </c>
      <c r="D4612" s="1">
        <v>23.321000000000002</v>
      </c>
      <c r="E4612" s="1">
        <v>23.329000000000001</v>
      </c>
      <c r="F4612" s="1">
        <v>23.338000000000001</v>
      </c>
      <c r="G4612" s="1">
        <v>23.346</v>
      </c>
      <c r="H4612" s="1">
        <v>23.363</v>
      </c>
      <c r="I4612" s="1">
        <v>23.38</v>
      </c>
      <c r="J4612" s="21">
        <v>450</v>
      </c>
      <c r="K4612" s="1"/>
      <c r="L4612" s="1"/>
      <c r="M4612" s="1"/>
      <c r="N4612" s="1"/>
      <c r="O4612" s="1"/>
      <c r="P4612" s="365"/>
      <c r="Q4612" s="1"/>
      <c r="R4612" s="1"/>
      <c r="S4612" s="1"/>
      <c r="T4612" s="1"/>
    </row>
    <row r="4613" spans="1:20">
      <c r="A4613" s="1">
        <v>4150</v>
      </c>
      <c r="B4613" s="1">
        <v>23.573</v>
      </c>
      <c r="C4613" s="1">
        <v>23.59</v>
      </c>
      <c r="D4613" s="1">
        <v>23.597999999999999</v>
      </c>
      <c r="E4613" s="1">
        <v>23.606999999999999</v>
      </c>
      <c r="F4613" s="1">
        <v>23.614999999999998</v>
      </c>
      <c r="G4613" s="1">
        <v>23.623000000000001</v>
      </c>
      <c r="H4613" s="1">
        <v>23.64</v>
      </c>
      <c r="I4613" s="1">
        <v>23.657</v>
      </c>
      <c r="J4613" s="21">
        <v>400</v>
      </c>
      <c r="K4613" s="1"/>
      <c r="L4613" s="1"/>
      <c r="M4613" s="1"/>
      <c r="N4613" s="1"/>
      <c r="O4613" s="1"/>
      <c r="P4613" s="365"/>
      <c r="Q4613" s="1"/>
      <c r="R4613" s="1"/>
      <c r="S4613" s="1"/>
      <c r="T4613" s="1"/>
    </row>
    <row r="4614" spans="1:20">
      <c r="A4614" s="1">
        <v>4200</v>
      </c>
      <c r="B4614" s="1">
        <v>23.85</v>
      </c>
      <c r="C4614" s="1">
        <v>23.867000000000001</v>
      </c>
      <c r="D4614" s="1">
        <v>23.876000000000001</v>
      </c>
      <c r="E4614" s="1">
        <v>23.884</v>
      </c>
      <c r="F4614" s="1">
        <v>23.891999999999999</v>
      </c>
      <c r="G4614" s="1">
        <v>23.901</v>
      </c>
      <c r="H4614" s="1">
        <v>23.917999999999999</v>
      </c>
      <c r="I4614" s="1">
        <v>23.934999999999999</v>
      </c>
      <c r="J4614" s="21">
        <v>350</v>
      </c>
      <c r="K4614" s="1"/>
      <c r="L4614" s="1"/>
      <c r="M4614" s="1"/>
      <c r="N4614" s="1"/>
      <c r="O4614" s="1"/>
      <c r="P4614" s="365"/>
      <c r="Q4614" s="1"/>
      <c r="R4614" s="1"/>
      <c r="S4614" s="1"/>
      <c r="T4614" s="1"/>
    </row>
    <row r="4615" spans="1:20">
      <c r="A4615" s="1">
        <v>4250</v>
      </c>
      <c r="B4615" s="1">
        <v>24.128</v>
      </c>
      <c r="C4615" s="1">
        <v>24.145</v>
      </c>
      <c r="D4615" s="1">
        <v>24.152999999999999</v>
      </c>
      <c r="E4615" s="1">
        <v>24.161000000000001</v>
      </c>
      <c r="F4615" s="1">
        <v>24.17</v>
      </c>
      <c r="G4615" s="1">
        <v>24.178000000000001</v>
      </c>
      <c r="H4615" s="1">
        <v>24.195</v>
      </c>
      <c r="I4615" s="1">
        <v>24.212</v>
      </c>
      <c r="J4615" s="21">
        <v>300</v>
      </c>
      <c r="K4615" s="1"/>
      <c r="L4615" s="1"/>
      <c r="M4615" s="1"/>
      <c r="N4615" s="1"/>
      <c r="O4615" s="1"/>
      <c r="P4615" s="365"/>
      <c r="Q4615" s="1"/>
      <c r="R4615" s="1"/>
      <c r="S4615" s="1"/>
      <c r="T4615" s="1"/>
    </row>
    <row r="4616" spans="1:20">
      <c r="A4616" s="1">
        <v>4300</v>
      </c>
      <c r="B4616" s="1">
        <v>24.405999999999999</v>
      </c>
      <c r="C4616" s="1">
        <v>24.422000000000001</v>
      </c>
      <c r="D4616" s="1">
        <v>24.431000000000001</v>
      </c>
      <c r="E4616" s="1">
        <v>24.439</v>
      </c>
      <c r="F4616" s="1">
        <v>24.448</v>
      </c>
      <c r="G4616" s="1">
        <v>24.456</v>
      </c>
      <c r="H4616" s="1">
        <v>24.472999999999999</v>
      </c>
      <c r="I4616" s="1">
        <v>24.49</v>
      </c>
      <c r="J4616" s="21">
        <v>250</v>
      </c>
      <c r="K4616" s="1"/>
      <c r="L4616" s="1"/>
      <c r="M4616" s="1"/>
      <c r="N4616" s="1"/>
      <c r="O4616" s="1"/>
      <c r="P4616" s="365"/>
      <c r="Q4616" s="1"/>
      <c r="R4616" s="1"/>
      <c r="S4616" s="1"/>
      <c r="T4616" s="1"/>
    </row>
    <row r="4617" spans="1:20">
      <c r="A4617" s="1">
        <v>4350</v>
      </c>
      <c r="B4617" s="1">
        <v>24.687000000000001</v>
      </c>
      <c r="C4617" s="1">
        <v>24.704000000000001</v>
      </c>
      <c r="D4617" s="1">
        <v>24.712</v>
      </c>
      <c r="E4617" s="1">
        <v>24.721</v>
      </c>
      <c r="F4617" s="1">
        <v>24.728999999999999</v>
      </c>
      <c r="G4617" s="1">
        <v>24.736999999999998</v>
      </c>
      <c r="H4617" s="1">
        <v>24.754000000000001</v>
      </c>
      <c r="I4617" s="1">
        <v>24.771000000000001</v>
      </c>
      <c r="J4617" s="21">
        <v>200</v>
      </c>
      <c r="K4617" s="1"/>
      <c r="L4617" s="1"/>
      <c r="M4617" s="1"/>
      <c r="N4617" s="1"/>
      <c r="O4617" s="1"/>
      <c r="P4617" s="365"/>
      <c r="Q4617" s="1"/>
      <c r="R4617" s="1"/>
      <c r="S4617" s="1"/>
      <c r="T4617" s="1"/>
    </row>
    <row r="4618" spans="1:20">
      <c r="A4618" s="1">
        <v>4400</v>
      </c>
      <c r="B4618" s="1">
        <v>24.968</v>
      </c>
      <c r="C4618" s="1">
        <v>24.984999999999999</v>
      </c>
      <c r="D4618" s="1">
        <v>24.994</v>
      </c>
      <c r="E4618" s="1">
        <v>25.001999999999999</v>
      </c>
      <c r="F4618" s="1">
        <v>25.01</v>
      </c>
      <c r="G4618" s="1">
        <v>25.018999999999998</v>
      </c>
      <c r="H4618" s="1">
        <v>25.036000000000001</v>
      </c>
      <c r="I4618" s="1">
        <v>25.053000000000001</v>
      </c>
      <c r="J4618" s="21">
        <v>150</v>
      </c>
      <c r="K4618" s="1"/>
      <c r="L4618" s="1"/>
      <c r="M4618" s="1"/>
      <c r="N4618" s="1"/>
      <c r="O4618" s="1"/>
      <c r="P4618" s="365"/>
      <c r="Q4618" s="1"/>
      <c r="R4618" s="1"/>
      <c r="S4618" s="1"/>
      <c r="T4618" s="1"/>
    </row>
    <row r="4619" spans="1:20">
      <c r="A4619" s="1">
        <v>4450</v>
      </c>
      <c r="B4619" s="1">
        <v>25.25</v>
      </c>
      <c r="C4619" s="1">
        <v>25.266999999999999</v>
      </c>
      <c r="D4619" s="1">
        <v>25.274999999999999</v>
      </c>
      <c r="E4619" s="1">
        <v>25.283000000000001</v>
      </c>
      <c r="F4619" s="1">
        <v>25.294</v>
      </c>
      <c r="G4619" s="1">
        <v>25.298999999999999</v>
      </c>
      <c r="H4619" s="1">
        <v>25.306000000000001</v>
      </c>
      <c r="I4619" s="1">
        <v>25.309000000000001</v>
      </c>
      <c r="J4619" s="21">
        <v>100</v>
      </c>
      <c r="K4619" s="1"/>
      <c r="L4619" s="1"/>
      <c r="M4619" s="1"/>
      <c r="N4619" s="1"/>
      <c r="O4619" s="1"/>
      <c r="P4619" s="365"/>
      <c r="Q4619" s="1"/>
      <c r="R4619" s="1"/>
      <c r="S4619" s="1"/>
      <c r="T4619" s="1"/>
    </row>
    <row r="4620" spans="1:20">
      <c r="A4620" s="1">
        <v>4500</v>
      </c>
      <c r="B4620" s="1">
        <v>25.324000000000002</v>
      </c>
      <c r="C4620" s="1">
        <v>25.324000000000002</v>
      </c>
      <c r="D4620" s="1">
        <v>25.324000000000002</v>
      </c>
      <c r="E4620" s="1">
        <v>25.324000000000002</v>
      </c>
      <c r="F4620" s="1">
        <v>25.324000000000002</v>
      </c>
      <c r="G4620" s="1">
        <v>25.324000000000002</v>
      </c>
      <c r="H4620" s="1">
        <v>25.324000000000002</v>
      </c>
      <c r="I4620" s="1">
        <v>25.324000000000002</v>
      </c>
      <c r="J4620" s="21">
        <v>50</v>
      </c>
      <c r="K4620" s="1"/>
      <c r="L4620" s="1"/>
      <c r="M4620" s="1"/>
      <c r="N4620" s="1"/>
      <c r="O4620" s="1"/>
      <c r="P4620" s="365"/>
      <c r="Q4620" s="1"/>
      <c r="R4620" s="1"/>
      <c r="S4620" s="1"/>
      <c r="T4620" s="1"/>
    </row>
    <row r="4621" spans="1:20">
      <c r="A4621" s="1">
        <v>6013</v>
      </c>
      <c r="B4621" s="1">
        <v>25.324000000000002</v>
      </c>
      <c r="C4621" s="1">
        <v>25.324000000000002</v>
      </c>
      <c r="D4621" s="1">
        <v>25.324000000000002</v>
      </c>
      <c r="E4621" s="1">
        <v>25.324000000000002</v>
      </c>
      <c r="F4621" s="1">
        <v>25.324000000000002</v>
      </c>
      <c r="G4621" s="1">
        <v>25.324000000000002</v>
      </c>
      <c r="H4621" s="1">
        <v>25.324000000000002</v>
      </c>
      <c r="I4621" s="1">
        <v>25.324000000000002</v>
      </c>
      <c r="J4621" s="21">
        <v>0</v>
      </c>
      <c r="K4621" s="1"/>
      <c r="L4621" s="1"/>
      <c r="M4621" s="1"/>
      <c r="N4621" s="1"/>
      <c r="O4621" s="1"/>
      <c r="P4621" s="365"/>
      <c r="Q4621" s="1"/>
      <c r="R4621" s="1"/>
      <c r="S4621" s="1"/>
      <c r="T4621" s="1"/>
    </row>
    <row r="4622" spans="1:20" hidden="1">
      <c r="B4622" s="19"/>
      <c r="C4622" s="19"/>
      <c r="D4622" s="19"/>
      <c r="E4622" s="19"/>
      <c r="F4622" s="19"/>
      <c r="G4622" s="19"/>
      <c r="H4622" s="19"/>
      <c r="I4622" s="19"/>
      <c r="J4622" s="19"/>
      <c r="K4622" s="421"/>
      <c r="L4622" s="23"/>
      <c r="M4622" s="19"/>
      <c r="N4622" s="19"/>
      <c r="O4622" s="19"/>
      <c r="P4622" s="19"/>
      <c r="Q4622" s="19"/>
    </row>
    <row r="4623" spans="1:20" hidden="1">
      <c r="B4623" s="19"/>
      <c r="C4623" s="19"/>
      <c r="D4623" s="19"/>
      <c r="E4623" s="19"/>
      <c r="F4623" s="19"/>
      <c r="G4623" s="19"/>
      <c r="H4623" s="19"/>
      <c r="I4623" s="19"/>
      <c r="J4623" s="19"/>
      <c r="K4623" s="421"/>
      <c r="L4623" s="23"/>
      <c r="M4623" s="19"/>
      <c r="N4623" s="19"/>
      <c r="O4623" s="19"/>
      <c r="P4623" s="19"/>
      <c r="Q4623" s="19"/>
    </row>
    <row r="4624" spans="1:20" hidden="1">
      <c r="B4624" s="19"/>
      <c r="C4624" s="19"/>
      <c r="D4624" s="19"/>
      <c r="E4624" s="19"/>
      <c r="F4624" s="19"/>
      <c r="G4624" s="19"/>
      <c r="H4624" s="19"/>
      <c r="I4624" s="19"/>
      <c r="J4624" s="19"/>
      <c r="K4624" s="421"/>
      <c r="L4624" s="23"/>
      <c r="M4624" s="19"/>
      <c r="N4624" s="19"/>
      <c r="O4624" s="19"/>
      <c r="P4624" s="19"/>
      <c r="Q4624" s="19"/>
    </row>
    <row r="4625" spans="2:17" hidden="1">
      <c r="B4625" s="19"/>
      <c r="C4625" s="19"/>
      <c r="D4625" s="19"/>
      <c r="E4625" s="19"/>
      <c r="F4625" s="19"/>
      <c r="G4625" s="19"/>
      <c r="H4625" s="19"/>
      <c r="I4625" s="19"/>
      <c r="J4625" s="19"/>
      <c r="K4625" s="421"/>
      <c r="L4625" s="23"/>
      <c r="M4625" s="19"/>
      <c r="N4625" s="19"/>
      <c r="O4625" s="19"/>
      <c r="P4625" s="19"/>
      <c r="Q4625" s="19"/>
    </row>
    <row r="4626" spans="2:17" hidden="1">
      <c r="B4626" s="19"/>
      <c r="C4626" s="19"/>
      <c r="D4626" s="19"/>
      <c r="E4626" s="19"/>
      <c r="F4626" s="19"/>
      <c r="G4626" s="19"/>
      <c r="H4626" s="19"/>
      <c r="I4626" s="19"/>
      <c r="J4626" s="19"/>
      <c r="K4626" s="421"/>
      <c r="L4626" s="23"/>
      <c r="M4626" s="19"/>
      <c r="N4626" s="19"/>
      <c r="O4626" s="19"/>
      <c r="P4626" s="19"/>
      <c r="Q4626" s="19"/>
    </row>
    <row r="4627" spans="2:17" hidden="1">
      <c r="B4627" s="19"/>
      <c r="C4627" s="19"/>
      <c r="D4627" s="19"/>
      <c r="E4627" s="19"/>
      <c r="F4627" s="19"/>
      <c r="G4627" s="19"/>
      <c r="H4627" s="19"/>
      <c r="I4627" s="19"/>
      <c r="J4627" s="19"/>
      <c r="K4627" s="421"/>
      <c r="L4627" s="23"/>
      <c r="M4627" s="19"/>
      <c r="N4627" s="19"/>
      <c r="O4627" s="19"/>
      <c r="P4627" s="19"/>
      <c r="Q4627" s="19"/>
    </row>
    <row r="4628" spans="2:17" hidden="1">
      <c r="B4628" s="19"/>
      <c r="C4628" s="19"/>
      <c r="D4628" s="19"/>
      <c r="E4628" s="19"/>
      <c r="F4628" s="19"/>
      <c r="G4628" s="19"/>
      <c r="H4628" s="19"/>
      <c r="I4628" s="19"/>
      <c r="J4628" s="19"/>
      <c r="K4628" s="421"/>
      <c r="L4628" s="23"/>
      <c r="M4628" s="19"/>
      <c r="N4628" s="19"/>
      <c r="O4628" s="19"/>
      <c r="P4628" s="19"/>
      <c r="Q4628" s="19"/>
    </row>
    <row r="4629" spans="2:17" hidden="1">
      <c r="B4629" s="19"/>
      <c r="C4629" s="19"/>
      <c r="D4629" s="19"/>
      <c r="E4629" s="19"/>
      <c r="F4629" s="19"/>
      <c r="G4629" s="19"/>
      <c r="H4629" s="19"/>
      <c r="I4629" s="19"/>
      <c r="J4629" s="19"/>
      <c r="K4629" s="421"/>
      <c r="L4629" s="23"/>
      <c r="M4629" s="19"/>
      <c r="N4629" s="19"/>
      <c r="O4629" s="19"/>
      <c r="P4629" s="19"/>
      <c r="Q4629" s="19"/>
    </row>
    <row r="4630" spans="2:17" hidden="1">
      <c r="B4630" s="19"/>
      <c r="C4630" s="19"/>
      <c r="D4630" s="19"/>
      <c r="E4630" s="19"/>
      <c r="F4630" s="19"/>
      <c r="G4630" s="19"/>
      <c r="H4630" s="19"/>
      <c r="I4630" s="19"/>
      <c r="J4630" s="19"/>
      <c r="K4630" s="421"/>
      <c r="L4630" s="23"/>
      <c r="M4630" s="19"/>
      <c r="N4630" s="19"/>
      <c r="O4630" s="19"/>
      <c r="P4630" s="19"/>
      <c r="Q4630" s="19"/>
    </row>
    <row r="4631" spans="2:17" hidden="1">
      <c r="B4631" s="19"/>
      <c r="C4631" s="19"/>
      <c r="D4631" s="19"/>
      <c r="E4631" s="19"/>
      <c r="F4631" s="19"/>
      <c r="G4631" s="19"/>
      <c r="H4631" s="19"/>
      <c r="I4631" s="19"/>
      <c r="J4631" s="19"/>
      <c r="K4631" s="421"/>
      <c r="L4631" s="23"/>
      <c r="M4631" s="19"/>
      <c r="N4631" s="19"/>
      <c r="O4631" s="19"/>
      <c r="P4631" s="19"/>
      <c r="Q4631" s="19"/>
    </row>
    <row r="4632" spans="2:17" hidden="1">
      <c r="B4632" s="19"/>
      <c r="C4632" s="19"/>
      <c r="D4632" s="19"/>
      <c r="E4632" s="19"/>
      <c r="F4632" s="19"/>
      <c r="G4632" s="19"/>
      <c r="H4632" s="19"/>
      <c r="I4632" s="19"/>
      <c r="J4632" s="19"/>
      <c r="K4632" s="421"/>
      <c r="L4632" s="23"/>
      <c r="M4632" s="19"/>
      <c r="N4632" s="19"/>
      <c r="O4632" s="19"/>
      <c r="P4632" s="19"/>
      <c r="Q4632" s="19"/>
    </row>
    <row r="4633" spans="2:17" hidden="1">
      <c r="B4633" s="19"/>
      <c r="C4633" s="19"/>
      <c r="D4633" s="19"/>
      <c r="E4633" s="19"/>
      <c r="F4633" s="19"/>
      <c r="G4633" s="19"/>
      <c r="H4633" s="19"/>
      <c r="I4633" s="19"/>
      <c r="J4633" s="19"/>
      <c r="K4633" s="421"/>
      <c r="L4633" s="23"/>
      <c r="M4633" s="19"/>
      <c r="N4633" s="19"/>
      <c r="O4633" s="19"/>
      <c r="P4633" s="19"/>
      <c r="Q4633" s="19"/>
    </row>
    <row r="4634" spans="2:17" hidden="1">
      <c r="B4634" s="19"/>
      <c r="C4634" s="19"/>
      <c r="D4634" s="19"/>
      <c r="E4634" s="19"/>
      <c r="F4634" s="19"/>
      <c r="G4634" s="19"/>
      <c r="H4634" s="19"/>
      <c r="I4634" s="19"/>
      <c r="J4634" s="19"/>
      <c r="K4634" s="421"/>
      <c r="L4634" s="23"/>
      <c r="M4634" s="19"/>
      <c r="N4634" s="19"/>
      <c r="O4634" s="19"/>
      <c r="P4634" s="19"/>
      <c r="Q4634" s="19"/>
    </row>
    <row r="4635" spans="2:17" hidden="1">
      <c r="B4635" s="19"/>
      <c r="C4635" s="19"/>
      <c r="D4635" s="19"/>
      <c r="E4635" s="19"/>
      <c r="F4635" s="19"/>
      <c r="G4635" s="19"/>
      <c r="H4635" s="19"/>
      <c r="I4635" s="19"/>
      <c r="J4635" s="19"/>
      <c r="K4635" s="421"/>
      <c r="L4635" s="23"/>
      <c r="M4635" s="19"/>
      <c r="N4635" s="19"/>
      <c r="O4635" s="19"/>
      <c r="P4635" s="19"/>
      <c r="Q4635" s="19"/>
    </row>
    <row r="4636" spans="2:17" hidden="1">
      <c r="B4636" s="19"/>
      <c r="C4636" s="19"/>
      <c r="D4636" s="19"/>
      <c r="E4636" s="19"/>
      <c r="F4636" s="19"/>
      <c r="G4636" s="19"/>
      <c r="H4636" s="19"/>
      <c r="I4636" s="19"/>
      <c r="J4636" s="19"/>
      <c r="K4636" s="421"/>
      <c r="L4636" s="23"/>
      <c r="M4636" s="19"/>
      <c r="N4636" s="19"/>
      <c r="O4636" s="19"/>
      <c r="P4636" s="19"/>
      <c r="Q4636" s="19"/>
    </row>
    <row r="4637" spans="2:17" hidden="1">
      <c r="B4637" s="19"/>
      <c r="C4637" s="19"/>
      <c r="D4637" s="19"/>
      <c r="E4637" s="19"/>
      <c r="F4637" s="19"/>
      <c r="G4637" s="19"/>
      <c r="H4637" s="19"/>
      <c r="I4637" s="19"/>
      <c r="J4637" s="19"/>
      <c r="K4637" s="421"/>
      <c r="L4637" s="23"/>
      <c r="M4637" s="19"/>
      <c r="N4637" s="19"/>
      <c r="O4637" s="19"/>
      <c r="P4637" s="19"/>
      <c r="Q4637" s="19"/>
    </row>
    <row r="4638" spans="2:17" hidden="1">
      <c r="B4638" s="19"/>
      <c r="C4638" s="19"/>
      <c r="D4638" s="19"/>
      <c r="E4638" s="19"/>
      <c r="F4638" s="19"/>
      <c r="G4638" s="19"/>
      <c r="H4638" s="19"/>
      <c r="I4638" s="19"/>
      <c r="J4638" s="19"/>
      <c r="K4638" s="421"/>
      <c r="L4638" s="23"/>
      <c r="M4638" s="19"/>
      <c r="N4638" s="19"/>
      <c r="O4638" s="19"/>
      <c r="P4638" s="19"/>
      <c r="Q4638" s="19"/>
    </row>
    <row r="4639" spans="2:17" hidden="1">
      <c r="B4639" s="19"/>
      <c r="C4639" s="19"/>
      <c r="D4639" s="19"/>
      <c r="E4639" s="19"/>
      <c r="F4639" s="19"/>
      <c r="G4639" s="19"/>
      <c r="H4639" s="19"/>
      <c r="I4639" s="19"/>
      <c r="J4639" s="19"/>
      <c r="K4639" s="421"/>
      <c r="L4639" s="23"/>
      <c r="M4639" s="19"/>
      <c r="N4639" s="19"/>
      <c r="O4639" s="19"/>
      <c r="P4639" s="19"/>
      <c r="Q4639" s="19"/>
    </row>
    <row r="4640" spans="2:17" hidden="1">
      <c r="B4640" s="19"/>
      <c r="C4640" s="19"/>
      <c r="D4640" s="19"/>
      <c r="E4640" s="19"/>
      <c r="F4640" s="19"/>
      <c r="G4640" s="19"/>
      <c r="H4640" s="19"/>
      <c r="I4640" s="19"/>
      <c r="J4640" s="19"/>
      <c r="K4640" s="421"/>
      <c r="L4640" s="23"/>
      <c r="M4640" s="19"/>
      <c r="N4640" s="19"/>
      <c r="O4640" s="19"/>
      <c r="P4640" s="19"/>
      <c r="Q4640" s="19"/>
    </row>
    <row r="4641" spans="2:17" hidden="1">
      <c r="B4641" s="19"/>
      <c r="C4641" s="19"/>
      <c r="D4641" s="19"/>
      <c r="E4641" s="19"/>
      <c r="F4641" s="19"/>
      <c r="G4641" s="19"/>
      <c r="H4641" s="19"/>
      <c r="I4641" s="19"/>
      <c r="J4641" s="19"/>
      <c r="K4641" s="421"/>
      <c r="L4641" s="23"/>
      <c r="M4641" s="19"/>
      <c r="N4641" s="19"/>
      <c r="O4641" s="19"/>
      <c r="P4641" s="19"/>
      <c r="Q4641" s="19"/>
    </row>
    <row r="4642" spans="2:17" hidden="1">
      <c r="B4642" s="19"/>
      <c r="C4642" s="19"/>
      <c r="D4642" s="19"/>
      <c r="E4642" s="19"/>
      <c r="F4642" s="19"/>
      <c r="G4642" s="19"/>
      <c r="H4642" s="19"/>
      <c r="I4642" s="19"/>
      <c r="J4642" s="19"/>
      <c r="K4642" s="421"/>
      <c r="L4642" s="23"/>
      <c r="M4642" s="19"/>
      <c r="N4642" s="19"/>
      <c r="O4642" s="19"/>
      <c r="P4642" s="19"/>
      <c r="Q4642" s="19"/>
    </row>
    <row r="4643" spans="2:17" hidden="1">
      <c r="B4643" s="19"/>
      <c r="C4643" s="19"/>
      <c r="D4643" s="19"/>
      <c r="E4643" s="19"/>
      <c r="F4643" s="19"/>
      <c r="G4643" s="19"/>
      <c r="H4643" s="19"/>
      <c r="I4643" s="19"/>
      <c r="J4643" s="19"/>
      <c r="K4643" s="421"/>
      <c r="L4643" s="23"/>
      <c r="M4643" s="19"/>
      <c r="N4643" s="19"/>
      <c r="O4643" s="19"/>
      <c r="P4643" s="19"/>
      <c r="Q4643" s="19"/>
    </row>
    <row r="4644" spans="2:17" hidden="1">
      <c r="B4644" s="19"/>
      <c r="C4644" s="19"/>
      <c r="D4644" s="19"/>
      <c r="E4644" s="19"/>
      <c r="F4644" s="19"/>
      <c r="G4644" s="19"/>
      <c r="H4644" s="19"/>
      <c r="I4644" s="19"/>
      <c r="J4644" s="19"/>
      <c r="K4644" s="421"/>
      <c r="L4644" s="23"/>
      <c r="M4644" s="19"/>
      <c r="N4644" s="19"/>
      <c r="O4644" s="19"/>
      <c r="P4644" s="19"/>
      <c r="Q4644" s="19"/>
    </row>
    <row r="4645" spans="2:17" hidden="1">
      <c r="B4645" s="19"/>
      <c r="C4645" s="19"/>
      <c r="D4645" s="19"/>
      <c r="E4645" s="19"/>
      <c r="F4645" s="19"/>
      <c r="G4645" s="19"/>
      <c r="H4645" s="19"/>
      <c r="I4645" s="19"/>
      <c r="J4645" s="19"/>
      <c r="K4645" s="421"/>
      <c r="L4645" s="23"/>
      <c r="M4645" s="19"/>
      <c r="N4645" s="19"/>
      <c r="O4645" s="19"/>
      <c r="P4645" s="19"/>
      <c r="Q4645" s="19"/>
    </row>
    <row r="4646" spans="2:17" hidden="1">
      <c r="B4646" s="19"/>
      <c r="C4646" s="19"/>
      <c r="D4646" s="19"/>
      <c r="E4646" s="19"/>
      <c r="F4646" s="19"/>
      <c r="G4646" s="19"/>
      <c r="H4646" s="19"/>
      <c r="I4646" s="19"/>
      <c r="J4646" s="19"/>
      <c r="K4646" s="421"/>
      <c r="L4646" s="23"/>
      <c r="M4646" s="19"/>
      <c r="N4646" s="19"/>
      <c r="O4646" s="19"/>
      <c r="P4646" s="19"/>
      <c r="Q4646" s="19"/>
    </row>
    <row r="4647" spans="2:17" hidden="1">
      <c r="B4647" s="19"/>
      <c r="C4647" s="19"/>
      <c r="D4647" s="19"/>
      <c r="E4647" s="19"/>
      <c r="F4647" s="19"/>
      <c r="G4647" s="19"/>
      <c r="H4647" s="19"/>
      <c r="I4647" s="19"/>
      <c r="J4647" s="19"/>
      <c r="K4647" s="421"/>
      <c r="L4647" s="23"/>
      <c r="M4647" s="19"/>
      <c r="N4647" s="19"/>
      <c r="O4647" s="19"/>
      <c r="P4647" s="19"/>
      <c r="Q4647" s="19"/>
    </row>
    <row r="4648" spans="2:17" hidden="1">
      <c r="B4648" s="19"/>
      <c r="C4648" s="19"/>
      <c r="D4648" s="19"/>
      <c r="E4648" s="19"/>
      <c r="F4648" s="19"/>
      <c r="G4648" s="19"/>
      <c r="H4648" s="19"/>
      <c r="I4648" s="19"/>
      <c r="J4648" s="19"/>
      <c r="K4648" s="421"/>
      <c r="L4648" s="23"/>
      <c r="M4648" s="19"/>
      <c r="N4648" s="19"/>
      <c r="O4648" s="19"/>
      <c r="P4648" s="19"/>
      <c r="Q4648" s="19"/>
    </row>
    <row r="4649" spans="2:17" hidden="1">
      <c r="B4649" s="19"/>
      <c r="C4649" s="19"/>
      <c r="D4649" s="19"/>
      <c r="E4649" s="19"/>
      <c r="F4649" s="19"/>
      <c r="G4649" s="19"/>
      <c r="H4649" s="19"/>
      <c r="I4649" s="19"/>
      <c r="J4649" s="19"/>
      <c r="K4649" s="421"/>
      <c r="L4649" s="23"/>
      <c r="M4649" s="19"/>
      <c r="N4649" s="19"/>
      <c r="O4649" s="19"/>
      <c r="P4649" s="19"/>
      <c r="Q4649" s="19"/>
    </row>
    <row r="4650" spans="2:17" hidden="1">
      <c r="B4650" s="19"/>
      <c r="C4650" s="19"/>
      <c r="D4650" s="19"/>
      <c r="E4650" s="19"/>
      <c r="F4650" s="19"/>
      <c r="G4650" s="19"/>
      <c r="H4650" s="19"/>
      <c r="I4650" s="19"/>
      <c r="J4650" s="19"/>
      <c r="K4650" s="421"/>
      <c r="L4650" s="23"/>
      <c r="M4650" s="19"/>
      <c r="N4650" s="19"/>
      <c r="O4650" s="19"/>
      <c r="P4650" s="19"/>
      <c r="Q4650" s="19"/>
    </row>
    <row r="4651" spans="2:17" hidden="1">
      <c r="B4651" s="19"/>
      <c r="C4651" s="19"/>
      <c r="D4651" s="19"/>
      <c r="E4651" s="19"/>
      <c r="F4651" s="19"/>
      <c r="G4651" s="19"/>
      <c r="H4651" s="19"/>
      <c r="I4651" s="19"/>
      <c r="J4651" s="19"/>
      <c r="K4651" s="421"/>
      <c r="L4651" s="23"/>
      <c r="M4651" s="19"/>
      <c r="N4651" s="19"/>
      <c r="O4651" s="19"/>
      <c r="P4651" s="19"/>
      <c r="Q4651" s="19"/>
    </row>
    <row r="4652" spans="2:17" hidden="1">
      <c r="B4652" s="19"/>
      <c r="C4652" s="19"/>
      <c r="D4652" s="19"/>
      <c r="E4652" s="19"/>
      <c r="F4652" s="19"/>
      <c r="G4652" s="19"/>
      <c r="H4652" s="19"/>
      <c r="I4652" s="19"/>
      <c r="J4652" s="19"/>
      <c r="K4652" s="421"/>
      <c r="L4652" s="23"/>
      <c r="M4652" s="19"/>
      <c r="N4652" s="19"/>
      <c r="O4652" s="19"/>
      <c r="P4652" s="19"/>
      <c r="Q4652" s="19"/>
    </row>
    <row r="4653" spans="2:17" hidden="1">
      <c r="B4653" s="19"/>
      <c r="C4653" s="19"/>
      <c r="D4653" s="19"/>
      <c r="E4653" s="19"/>
      <c r="F4653" s="19"/>
      <c r="G4653" s="19"/>
      <c r="H4653" s="19"/>
      <c r="I4653" s="19"/>
      <c r="J4653" s="19"/>
      <c r="K4653" s="421"/>
      <c r="L4653" s="23"/>
      <c r="M4653" s="19"/>
      <c r="N4653" s="19"/>
      <c r="O4653" s="19"/>
      <c r="P4653" s="19"/>
      <c r="Q4653" s="19"/>
    </row>
    <row r="4654" spans="2:17" hidden="1">
      <c r="B4654" s="19"/>
      <c r="C4654" s="19"/>
      <c r="D4654" s="19"/>
      <c r="E4654" s="19"/>
      <c r="F4654" s="19"/>
      <c r="G4654" s="19"/>
      <c r="H4654" s="19"/>
      <c r="I4654" s="19"/>
      <c r="J4654" s="19"/>
      <c r="K4654" s="421"/>
      <c r="L4654" s="23"/>
      <c r="M4654" s="19"/>
      <c r="N4654" s="19"/>
      <c r="O4654" s="19"/>
      <c r="P4654" s="19"/>
      <c r="Q4654" s="19"/>
    </row>
    <row r="4655" spans="2:17" hidden="1">
      <c r="B4655" s="19"/>
      <c r="C4655" s="19"/>
      <c r="D4655" s="19"/>
      <c r="E4655" s="19"/>
      <c r="F4655" s="19"/>
      <c r="G4655" s="19"/>
      <c r="H4655" s="19"/>
      <c r="I4655" s="19"/>
      <c r="J4655" s="19"/>
      <c r="K4655" s="421"/>
      <c r="L4655" s="23"/>
      <c r="M4655" s="19"/>
      <c r="N4655" s="19"/>
      <c r="O4655" s="19"/>
      <c r="P4655" s="19"/>
      <c r="Q4655" s="19"/>
    </row>
    <row r="4656" spans="2:17" hidden="1">
      <c r="B4656" s="19"/>
      <c r="C4656" s="19"/>
      <c r="D4656" s="19"/>
      <c r="E4656" s="19"/>
      <c r="F4656" s="19"/>
      <c r="G4656" s="19"/>
      <c r="H4656" s="19"/>
      <c r="I4656" s="19"/>
      <c r="J4656" s="19"/>
      <c r="K4656" s="421"/>
      <c r="L4656" s="23"/>
      <c r="M4656" s="19"/>
      <c r="N4656" s="19"/>
      <c r="O4656" s="19"/>
      <c r="P4656" s="19"/>
      <c r="Q4656" s="19"/>
    </row>
    <row r="4657" spans="2:17" hidden="1">
      <c r="B4657" s="19"/>
      <c r="C4657" s="19"/>
      <c r="D4657" s="19"/>
      <c r="E4657" s="19"/>
      <c r="F4657" s="19"/>
      <c r="G4657" s="19"/>
      <c r="H4657" s="19"/>
      <c r="I4657" s="19"/>
      <c r="J4657" s="19"/>
      <c r="K4657" s="421"/>
      <c r="L4657" s="23"/>
      <c r="M4657" s="19"/>
      <c r="N4657" s="19"/>
      <c r="O4657" s="19"/>
      <c r="P4657" s="19"/>
      <c r="Q4657" s="19"/>
    </row>
    <row r="4658" spans="2:17" hidden="1">
      <c r="B4658" s="19"/>
      <c r="C4658" s="19"/>
      <c r="D4658" s="19"/>
      <c r="E4658" s="19"/>
      <c r="F4658" s="19"/>
      <c r="G4658" s="19"/>
      <c r="H4658" s="19"/>
      <c r="I4658" s="19"/>
      <c r="J4658" s="19"/>
      <c r="K4658" s="421"/>
      <c r="L4658" s="23"/>
      <c r="M4658" s="19"/>
      <c r="N4658" s="19"/>
      <c r="O4658" s="19"/>
      <c r="P4658" s="19"/>
      <c r="Q4658" s="19"/>
    </row>
    <row r="4659" spans="2:17" hidden="1">
      <c r="B4659" s="19"/>
      <c r="C4659" s="19"/>
      <c r="D4659" s="19"/>
      <c r="E4659" s="19"/>
      <c r="F4659" s="19"/>
      <c r="G4659" s="19"/>
      <c r="H4659" s="19"/>
      <c r="I4659" s="19"/>
      <c r="J4659" s="19"/>
      <c r="K4659" s="421"/>
      <c r="L4659" s="23"/>
      <c r="M4659" s="19"/>
      <c r="N4659" s="19"/>
      <c r="O4659" s="19"/>
      <c r="P4659" s="19"/>
      <c r="Q4659" s="19"/>
    </row>
    <row r="4660" spans="2:17" hidden="1">
      <c r="B4660" s="19"/>
      <c r="C4660" s="19"/>
      <c r="D4660" s="19"/>
      <c r="E4660" s="19"/>
      <c r="F4660" s="19"/>
      <c r="G4660" s="19"/>
      <c r="H4660" s="19"/>
      <c r="I4660" s="19"/>
      <c r="J4660" s="19"/>
      <c r="K4660" s="421"/>
      <c r="L4660" s="23"/>
      <c r="M4660" s="19"/>
      <c r="N4660" s="19"/>
      <c r="O4660" s="19"/>
      <c r="P4660" s="19"/>
      <c r="Q4660" s="19"/>
    </row>
    <row r="4661" spans="2:17" hidden="1">
      <c r="B4661" s="19"/>
      <c r="C4661" s="19"/>
      <c r="D4661" s="19"/>
      <c r="E4661" s="19"/>
      <c r="F4661" s="19"/>
      <c r="G4661" s="19"/>
      <c r="H4661" s="19"/>
      <c r="I4661" s="19"/>
      <c r="J4661" s="19"/>
      <c r="K4661" s="421"/>
      <c r="L4661" s="23"/>
      <c r="M4661" s="19"/>
      <c r="N4661" s="19"/>
      <c r="O4661" s="19"/>
      <c r="P4661" s="19"/>
      <c r="Q4661" s="19"/>
    </row>
    <row r="4662" spans="2:17" hidden="1">
      <c r="B4662" s="19"/>
      <c r="C4662" s="19"/>
      <c r="D4662" s="19"/>
      <c r="E4662" s="19"/>
      <c r="F4662" s="19"/>
      <c r="G4662" s="19"/>
      <c r="H4662" s="19"/>
      <c r="I4662" s="19"/>
      <c r="J4662" s="19"/>
      <c r="K4662" s="421"/>
      <c r="L4662" s="23"/>
      <c r="M4662" s="19"/>
      <c r="N4662" s="19"/>
      <c r="O4662" s="19"/>
      <c r="P4662" s="19"/>
      <c r="Q4662" s="19"/>
    </row>
    <row r="4663" spans="2:17" hidden="1">
      <c r="B4663" s="19"/>
      <c r="C4663" s="19"/>
      <c r="D4663" s="19"/>
      <c r="E4663" s="19"/>
      <c r="F4663" s="19"/>
      <c r="G4663" s="19"/>
      <c r="H4663" s="19"/>
      <c r="I4663" s="19"/>
      <c r="J4663" s="19"/>
      <c r="K4663" s="421"/>
      <c r="L4663" s="23"/>
      <c r="M4663" s="19"/>
      <c r="N4663" s="19"/>
      <c r="O4663" s="19"/>
      <c r="P4663" s="19"/>
      <c r="Q4663" s="19"/>
    </row>
    <row r="4664" spans="2:17" hidden="1">
      <c r="B4664" s="19"/>
      <c r="C4664" s="19"/>
      <c r="D4664" s="19"/>
      <c r="E4664" s="19"/>
      <c r="F4664" s="19"/>
      <c r="G4664" s="19"/>
      <c r="H4664" s="19"/>
      <c r="I4664" s="19"/>
      <c r="J4664" s="19"/>
      <c r="K4664" s="421"/>
      <c r="L4664" s="23"/>
      <c r="M4664" s="19"/>
      <c r="N4664" s="19"/>
      <c r="O4664" s="19"/>
      <c r="P4664" s="19"/>
      <c r="Q4664" s="19"/>
    </row>
    <row r="4665" spans="2:17" hidden="1">
      <c r="B4665" s="19"/>
      <c r="C4665" s="19"/>
      <c r="D4665" s="19"/>
      <c r="E4665" s="19"/>
      <c r="F4665" s="19"/>
      <c r="G4665" s="19"/>
      <c r="H4665" s="19"/>
      <c r="I4665" s="19"/>
      <c r="J4665" s="19"/>
      <c r="K4665" s="421"/>
      <c r="L4665" s="23"/>
      <c r="M4665" s="19"/>
      <c r="N4665" s="19"/>
      <c r="O4665" s="19"/>
      <c r="P4665" s="19"/>
      <c r="Q4665" s="19"/>
    </row>
    <row r="4666" spans="2:17" hidden="1">
      <c r="B4666" s="19"/>
      <c r="C4666" s="19"/>
      <c r="D4666" s="19"/>
      <c r="E4666" s="19"/>
      <c r="F4666" s="19"/>
      <c r="G4666" s="19"/>
      <c r="H4666" s="19"/>
      <c r="I4666" s="19"/>
      <c r="J4666" s="19"/>
      <c r="K4666" s="421"/>
      <c r="L4666" s="23"/>
      <c r="M4666" s="19"/>
      <c r="N4666" s="19"/>
      <c r="O4666" s="19"/>
      <c r="P4666" s="19"/>
      <c r="Q4666" s="19"/>
    </row>
    <row r="4667" spans="2:17" hidden="1">
      <c r="B4667" s="19"/>
      <c r="C4667" s="19"/>
      <c r="D4667" s="19"/>
      <c r="E4667" s="19"/>
      <c r="F4667" s="19"/>
      <c r="G4667" s="19"/>
      <c r="H4667" s="19"/>
      <c r="I4667" s="19"/>
      <c r="J4667" s="19"/>
      <c r="K4667" s="421"/>
      <c r="L4667" s="23"/>
      <c r="M4667" s="19"/>
      <c r="N4667" s="19"/>
      <c r="O4667" s="19"/>
      <c r="P4667" s="19"/>
      <c r="Q4667" s="19"/>
    </row>
    <row r="4668" spans="2:17" hidden="1">
      <c r="B4668" s="19"/>
      <c r="C4668" s="19"/>
      <c r="D4668" s="19"/>
      <c r="E4668" s="19"/>
      <c r="F4668" s="19"/>
      <c r="G4668" s="19"/>
      <c r="H4668" s="19"/>
      <c r="I4668" s="19"/>
      <c r="J4668" s="19"/>
      <c r="K4668" s="421"/>
      <c r="L4668" s="23"/>
      <c r="M4668" s="19"/>
      <c r="N4668" s="19"/>
      <c r="O4668" s="19"/>
      <c r="P4668" s="19"/>
      <c r="Q4668" s="19"/>
    </row>
    <row r="4669" spans="2:17" hidden="1">
      <c r="B4669" s="19"/>
      <c r="C4669" s="19"/>
      <c r="D4669" s="19"/>
      <c r="E4669" s="19"/>
      <c r="F4669" s="19"/>
      <c r="G4669" s="19"/>
      <c r="H4669" s="19"/>
      <c r="I4669" s="19"/>
      <c r="J4669" s="19"/>
      <c r="K4669" s="421"/>
      <c r="L4669" s="23"/>
      <c r="M4669" s="19"/>
      <c r="N4669" s="19"/>
      <c r="O4669" s="19"/>
      <c r="P4669" s="19"/>
      <c r="Q4669" s="19"/>
    </row>
    <row r="4670" spans="2:17" hidden="1">
      <c r="B4670" s="19"/>
      <c r="C4670" s="19"/>
      <c r="D4670" s="19"/>
      <c r="E4670" s="19"/>
      <c r="F4670" s="19"/>
      <c r="G4670" s="19"/>
      <c r="H4670" s="19"/>
      <c r="I4670" s="19"/>
      <c r="J4670" s="19"/>
      <c r="K4670" s="421"/>
      <c r="L4670" s="23"/>
      <c r="M4670" s="19"/>
      <c r="N4670" s="19"/>
      <c r="O4670" s="19"/>
      <c r="P4670" s="19"/>
      <c r="Q4670" s="19"/>
    </row>
    <row r="4671" spans="2:17" hidden="1">
      <c r="B4671" s="19"/>
      <c r="C4671" s="19"/>
      <c r="D4671" s="19"/>
      <c r="E4671" s="19"/>
      <c r="F4671" s="19"/>
      <c r="G4671" s="19"/>
      <c r="H4671" s="19"/>
      <c r="I4671" s="19"/>
      <c r="J4671" s="19"/>
      <c r="K4671" s="421"/>
      <c r="L4671" s="23"/>
      <c r="M4671" s="19"/>
      <c r="N4671" s="19"/>
      <c r="O4671" s="19"/>
      <c r="P4671" s="19"/>
      <c r="Q4671" s="19"/>
    </row>
    <row r="4672" spans="2:17" hidden="1">
      <c r="B4672" s="19"/>
      <c r="C4672" s="19"/>
      <c r="D4672" s="19"/>
      <c r="E4672" s="19"/>
      <c r="F4672" s="19"/>
      <c r="G4672" s="19"/>
      <c r="H4672" s="19"/>
      <c r="I4672" s="19"/>
      <c r="J4672" s="19"/>
      <c r="K4672" s="421"/>
      <c r="L4672" s="23"/>
      <c r="M4672" s="19"/>
      <c r="N4672" s="19"/>
      <c r="O4672" s="19"/>
      <c r="P4672" s="19"/>
      <c r="Q4672" s="19"/>
    </row>
    <row r="4673" spans="2:17" hidden="1">
      <c r="B4673" s="19"/>
      <c r="C4673" s="19"/>
      <c r="D4673" s="19"/>
      <c r="E4673" s="19"/>
      <c r="F4673" s="19"/>
      <c r="G4673" s="19"/>
      <c r="H4673" s="19"/>
      <c r="I4673" s="19"/>
      <c r="J4673" s="19"/>
      <c r="K4673" s="421"/>
      <c r="L4673" s="23"/>
      <c r="M4673" s="19"/>
      <c r="N4673" s="19"/>
      <c r="O4673" s="19"/>
      <c r="P4673" s="19"/>
      <c r="Q4673" s="19"/>
    </row>
    <row r="4674" spans="2:17" hidden="1">
      <c r="B4674" s="19"/>
      <c r="C4674" s="19"/>
      <c r="D4674" s="19"/>
      <c r="E4674" s="19"/>
      <c r="F4674" s="19"/>
      <c r="G4674" s="19"/>
      <c r="H4674" s="19"/>
      <c r="I4674" s="19"/>
      <c r="J4674" s="19"/>
      <c r="K4674" s="421"/>
      <c r="L4674" s="23"/>
      <c r="M4674" s="19"/>
      <c r="N4674" s="19"/>
      <c r="O4674" s="19"/>
      <c r="P4674" s="19"/>
      <c r="Q4674" s="19"/>
    </row>
    <row r="4675" spans="2:17" hidden="1">
      <c r="B4675" s="19"/>
      <c r="C4675" s="19"/>
      <c r="D4675" s="19"/>
      <c r="E4675" s="19"/>
      <c r="F4675" s="19"/>
      <c r="G4675" s="19"/>
      <c r="H4675" s="19"/>
      <c r="I4675" s="19"/>
      <c r="J4675" s="19"/>
      <c r="K4675" s="421"/>
      <c r="L4675" s="23"/>
      <c r="M4675" s="19"/>
      <c r="N4675" s="19"/>
      <c r="O4675" s="19"/>
      <c r="P4675" s="19"/>
      <c r="Q4675" s="19"/>
    </row>
    <row r="4676" spans="2:17" hidden="1">
      <c r="B4676" s="19"/>
      <c r="C4676" s="19"/>
      <c r="D4676" s="19"/>
      <c r="E4676" s="19"/>
      <c r="F4676" s="19"/>
      <c r="G4676" s="19"/>
      <c r="H4676" s="19"/>
      <c r="I4676" s="19"/>
      <c r="J4676" s="19"/>
      <c r="K4676" s="421"/>
      <c r="L4676" s="23"/>
      <c r="M4676" s="19"/>
      <c r="N4676" s="19"/>
      <c r="O4676" s="19"/>
      <c r="P4676" s="19"/>
      <c r="Q4676" s="19"/>
    </row>
    <row r="4677" spans="2:17" hidden="1">
      <c r="B4677" s="19"/>
      <c r="C4677" s="19"/>
      <c r="D4677" s="19"/>
      <c r="E4677" s="19"/>
      <c r="F4677" s="19"/>
      <c r="G4677" s="19"/>
      <c r="H4677" s="19"/>
      <c r="I4677" s="19"/>
      <c r="J4677" s="19"/>
      <c r="K4677" s="421"/>
      <c r="L4677" s="23"/>
      <c r="M4677" s="19"/>
      <c r="N4677" s="19"/>
      <c r="O4677" s="19"/>
      <c r="P4677" s="19"/>
      <c r="Q4677" s="19"/>
    </row>
    <row r="4678" spans="2:17" hidden="1">
      <c r="B4678" s="19"/>
      <c r="C4678" s="19"/>
      <c r="D4678" s="19"/>
      <c r="E4678" s="19"/>
      <c r="F4678" s="19"/>
      <c r="G4678" s="19"/>
      <c r="H4678" s="19"/>
      <c r="I4678" s="19"/>
      <c r="J4678" s="19"/>
      <c r="K4678" s="421"/>
      <c r="L4678" s="23"/>
      <c r="M4678" s="19"/>
      <c r="N4678" s="19"/>
      <c r="O4678" s="19"/>
      <c r="P4678" s="19"/>
      <c r="Q4678" s="19"/>
    </row>
    <row r="4679" spans="2:17" hidden="1">
      <c r="B4679" s="19"/>
      <c r="C4679" s="19"/>
      <c r="D4679" s="19"/>
      <c r="E4679" s="19"/>
      <c r="F4679" s="19"/>
      <c r="G4679" s="19"/>
      <c r="H4679" s="19"/>
      <c r="I4679" s="19"/>
      <c r="J4679" s="19"/>
      <c r="K4679" s="421"/>
      <c r="L4679" s="23"/>
      <c r="M4679" s="19"/>
      <c r="N4679" s="19"/>
      <c r="O4679" s="19"/>
      <c r="P4679" s="19"/>
      <c r="Q4679" s="19"/>
    </row>
    <row r="4680" spans="2:17" hidden="1">
      <c r="B4680" s="19"/>
      <c r="C4680" s="19"/>
      <c r="D4680" s="19"/>
      <c r="E4680" s="19"/>
      <c r="F4680" s="19"/>
      <c r="G4680" s="19"/>
      <c r="H4680" s="19"/>
      <c r="I4680" s="19"/>
      <c r="J4680" s="19"/>
      <c r="K4680" s="421"/>
      <c r="L4680" s="23"/>
      <c r="M4680" s="19"/>
      <c r="N4680" s="19"/>
      <c r="O4680" s="19"/>
      <c r="P4680" s="19"/>
      <c r="Q4680" s="19"/>
    </row>
    <row r="4681" spans="2:17" hidden="1">
      <c r="B4681" s="19"/>
      <c r="C4681" s="19"/>
      <c r="D4681" s="19"/>
      <c r="E4681" s="19"/>
      <c r="F4681" s="19"/>
      <c r="G4681" s="19"/>
      <c r="H4681" s="19"/>
      <c r="I4681" s="19"/>
      <c r="J4681" s="19"/>
      <c r="K4681" s="421"/>
      <c r="L4681" s="23"/>
      <c r="M4681" s="19"/>
      <c r="N4681" s="19"/>
      <c r="O4681" s="19"/>
      <c r="P4681" s="19"/>
      <c r="Q4681" s="19"/>
    </row>
    <row r="4682" spans="2:17" hidden="1">
      <c r="B4682" s="19"/>
      <c r="C4682" s="19"/>
      <c r="D4682" s="19"/>
      <c r="E4682" s="19"/>
      <c r="F4682" s="19"/>
      <c r="G4682" s="19"/>
      <c r="H4682" s="19"/>
      <c r="I4682" s="19"/>
      <c r="J4682" s="19"/>
      <c r="K4682" s="421"/>
      <c r="L4682" s="23"/>
      <c r="M4682" s="19"/>
      <c r="N4682" s="19"/>
      <c r="O4682" s="19"/>
      <c r="P4682" s="19"/>
      <c r="Q4682" s="19"/>
    </row>
    <row r="4683" spans="2:17" hidden="1">
      <c r="B4683" s="19"/>
      <c r="C4683" s="19"/>
      <c r="D4683" s="19"/>
      <c r="E4683" s="19"/>
      <c r="F4683" s="19"/>
      <c r="G4683" s="19"/>
      <c r="H4683" s="19"/>
      <c r="I4683" s="19"/>
      <c r="J4683" s="19"/>
      <c r="K4683" s="421"/>
      <c r="L4683" s="23"/>
      <c r="M4683" s="19"/>
      <c r="N4683" s="19"/>
      <c r="O4683" s="19"/>
      <c r="P4683" s="19"/>
      <c r="Q4683" s="19"/>
    </row>
    <row r="4684" spans="2:17" hidden="1">
      <c r="B4684" s="19"/>
      <c r="C4684" s="19"/>
      <c r="D4684" s="19"/>
      <c r="E4684" s="19"/>
      <c r="F4684" s="19"/>
      <c r="G4684" s="19"/>
      <c r="H4684" s="19"/>
      <c r="I4684" s="19"/>
      <c r="J4684" s="19"/>
      <c r="K4684" s="421"/>
      <c r="L4684" s="23"/>
      <c r="M4684" s="19"/>
      <c r="N4684" s="19"/>
      <c r="O4684" s="19"/>
      <c r="P4684" s="19"/>
      <c r="Q4684" s="19"/>
    </row>
    <row r="4685" spans="2:17" hidden="1">
      <c r="B4685" s="19"/>
      <c r="C4685" s="19"/>
      <c r="D4685" s="19"/>
      <c r="E4685" s="19"/>
      <c r="F4685" s="19"/>
      <c r="G4685" s="19"/>
      <c r="H4685" s="19"/>
      <c r="I4685" s="19"/>
      <c r="J4685" s="19"/>
      <c r="K4685" s="421"/>
      <c r="L4685" s="23"/>
      <c r="M4685" s="19"/>
      <c r="N4685" s="19"/>
      <c r="O4685" s="19"/>
      <c r="P4685" s="19"/>
      <c r="Q4685" s="19"/>
    </row>
    <row r="4686" spans="2:17" hidden="1">
      <c r="B4686" s="19"/>
      <c r="C4686" s="19"/>
      <c r="D4686" s="19"/>
      <c r="E4686" s="19"/>
      <c r="F4686" s="19"/>
      <c r="G4686" s="19"/>
      <c r="H4686" s="19"/>
      <c r="I4686" s="19"/>
      <c r="J4686" s="19"/>
      <c r="K4686" s="421"/>
      <c r="L4686" s="23"/>
      <c r="M4686" s="19"/>
      <c r="N4686" s="19"/>
      <c r="O4686" s="19"/>
      <c r="P4686" s="19"/>
      <c r="Q4686" s="19"/>
    </row>
    <row r="4687" spans="2:17" hidden="1">
      <c r="B4687" s="19"/>
      <c r="C4687" s="19"/>
      <c r="D4687" s="19"/>
      <c r="E4687" s="19"/>
      <c r="F4687" s="19"/>
      <c r="G4687" s="19"/>
      <c r="H4687" s="19"/>
      <c r="I4687" s="19"/>
      <c r="J4687" s="19"/>
      <c r="K4687" s="421"/>
      <c r="L4687" s="23"/>
      <c r="M4687" s="19"/>
      <c r="N4687" s="19"/>
      <c r="O4687" s="19"/>
      <c r="P4687" s="19"/>
      <c r="Q4687" s="19"/>
    </row>
    <row r="4688" spans="2:17" hidden="1">
      <c r="B4688" s="19"/>
      <c r="C4688" s="19"/>
      <c r="D4688" s="19"/>
      <c r="E4688" s="19"/>
      <c r="F4688" s="19"/>
      <c r="G4688" s="19"/>
      <c r="H4688" s="19"/>
      <c r="I4688" s="19"/>
      <c r="J4688" s="19"/>
      <c r="K4688" s="421"/>
      <c r="L4688" s="23"/>
      <c r="M4688" s="19"/>
      <c r="N4688" s="19"/>
      <c r="O4688" s="19"/>
      <c r="P4688" s="19"/>
      <c r="Q4688" s="19"/>
    </row>
    <row r="4689" spans="2:17" hidden="1">
      <c r="B4689" s="19"/>
      <c r="C4689" s="19"/>
      <c r="D4689" s="19"/>
      <c r="E4689" s="19"/>
      <c r="F4689" s="19"/>
      <c r="G4689" s="19"/>
      <c r="H4689" s="19"/>
      <c r="I4689" s="19"/>
      <c r="J4689" s="19"/>
      <c r="K4689" s="421"/>
      <c r="L4689" s="23"/>
      <c r="M4689" s="19"/>
      <c r="N4689" s="19"/>
      <c r="O4689" s="19"/>
      <c r="P4689" s="19"/>
      <c r="Q4689" s="19"/>
    </row>
    <row r="4690" spans="2:17" hidden="1">
      <c r="B4690" s="19"/>
      <c r="C4690" s="19"/>
      <c r="D4690" s="19"/>
      <c r="E4690" s="19"/>
      <c r="F4690" s="19"/>
      <c r="G4690" s="19"/>
      <c r="H4690" s="19"/>
      <c r="I4690" s="19"/>
      <c r="J4690" s="19"/>
      <c r="K4690" s="421"/>
      <c r="L4690" s="23"/>
      <c r="M4690" s="19"/>
      <c r="N4690" s="19"/>
      <c r="O4690" s="19"/>
      <c r="P4690" s="19"/>
      <c r="Q4690" s="19"/>
    </row>
    <row r="4691" spans="2:17" hidden="1">
      <c r="B4691" s="19"/>
      <c r="C4691" s="19"/>
      <c r="D4691" s="19"/>
      <c r="E4691" s="19"/>
      <c r="F4691" s="19"/>
      <c r="G4691" s="19"/>
      <c r="H4691" s="19"/>
      <c r="I4691" s="19"/>
      <c r="J4691" s="19"/>
      <c r="K4691" s="421"/>
      <c r="L4691" s="23"/>
      <c r="M4691" s="19"/>
      <c r="N4691" s="19"/>
      <c r="O4691" s="19"/>
      <c r="P4691" s="19"/>
      <c r="Q4691" s="19"/>
    </row>
    <row r="4692" spans="2:17" hidden="1">
      <c r="B4692" s="19"/>
      <c r="C4692" s="19"/>
      <c r="D4692" s="19"/>
      <c r="E4692" s="19"/>
      <c r="F4692" s="19"/>
      <c r="G4692" s="19"/>
      <c r="H4692" s="19"/>
      <c r="I4692" s="19"/>
      <c r="J4692" s="19"/>
      <c r="K4692" s="421"/>
      <c r="L4692" s="23"/>
      <c r="M4692" s="19"/>
      <c r="N4692" s="19"/>
      <c r="O4692" s="19"/>
      <c r="P4692" s="19"/>
      <c r="Q4692" s="19"/>
    </row>
    <row r="4693" spans="2:17" hidden="1">
      <c r="B4693" s="19"/>
      <c r="C4693" s="19"/>
      <c r="D4693" s="19"/>
      <c r="E4693" s="19"/>
      <c r="F4693" s="19"/>
      <c r="G4693" s="19"/>
      <c r="H4693" s="19"/>
      <c r="I4693" s="19"/>
      <c r="J4693" s="19"/>
      <c r="K4693" s="421"/>
      <c r="L4693" s="23"/>
      <c r="M4693" s="19"/>
      <c r="N4693" s="19"/>
      <c r="O4693" s="19"/>
      <c r="P4693" s="19"/>
      <c r="Q4693" s="19"/>
    </row>
    <row r="4694" spans="2:17" hidden="1">
      <c r="B4694" s="19"/>
      <c r="C4694" s="19"/>
      <c r="D4694" s="19"/>
      <c r="E4694" s="19"/>
      <c r="F4694" s="19"/>
      <c r="G4694" s="19"/>
      <c r="H4694" s="19"/>
      <c r="I4694" s="19"/>
      <c r="J4694" s="19"/>
      <c r="K4694" s="421"/>
      <c r="L4694" s="23"/>
      <c r="M4694" s="19"/>
      <c r="N4694" s="19"/>
      <c r="O4694" s="19"/>
      <c r="P4694" s="19"/>
      <c r="Q4694" s="19"/>
    </row>
    <row r="4695" spans="2:17" hidden="1">
      <c r="B4695" s="19"/>
      <c r="C4695" s="19"/>
      <c r="D4695" s="19"/>
      <c r="E4695" s="19"/>
      <c r="F4695" s="19"/>
      <c r="G4695" s="19"/>
      <c r="H4695" s="19"/>
      <c r="I4695" s="19"/>
      <c r="J4695" s="19"/>
      <c r="K4695" s="421"/>
      <c r="L4695" s="23"/>
      <c r="M4695" s="19"/>
      <c r="N4695" s="19"/>
      <c r="O4695" s="19"/>
      <c r="P4695" s="19"/>
      <c r="Q4695" s="19"/>
    </row>
    <row r="4696" spans="2:17" hidden="1">
      <c r="B4696" s="19"/>
      <c r="C4696" s="19"/>
      <c r="D4696" s="19"/>
      <c r="E4696" s="19"/>
      <c r="F4696" s="19"/>
      <c r="G4696" s="19"/>
      <c r="H4696" s="19"/>
      <c r="I4696" s="19"/>
      <c r="J4696" s="19"/>
      <c r="K4696" s="421"/>
      <c r="L4696" s="23"/>
      <c r="M4696" s="19"/>
      <c r="N4696" s="19"/>
      <c r="O4696" s="19"/>
      <c r="P4696" s="19"/>
      <c r="Q4696" s="19"/>
    </row>
    <row r="4697" spans="2:17" hidden="1">
      <c r="B4697" s="19"/>
      <c r="C4697" s="19"/>
      <c r="D4697" s="19"/>
      <c r="E4697" s="19"/>
      <c r="F4697" s="19"/>
      <c r="G4697" s="19"/>
      <c r="H4697" s="19"/>
      <c r="I4697" s="19"/>
      <c r="J4697" s="19"/>
      <c r="K4697" s="421"/>
      <c r="L4697" s="23"/>
      <c r="M4697" s="19"/>
      <c r="N4697" s="19"/>
      <c r="O4697" s="19"/>
      <c r="P4697" s="19"/>
      <c r="Q4697" s="19"/>
    </row>
    <row r="4698" spans="2:17" hidden="1">
      <c r="B4698" s="19"/>
      <c r="C4698" s="19"/>
      <c r="D4698" s="19"/>
      <c r="E4698" s="19"/>
      <c r="F4698" s="19"/>
      <c r="G4698" s="19"/>
      <c r="H4698" s="19"/>
      <c r="I4698" s="19"/>
      <c r="J4698" s="19"/>
      <c r="K4698" s="421"/>
      <c r="L4698" s="23"/>
      <c r="M4698" s="19"/>
      <c r="N4698" s="19"/>
      <c r="O4698" s="19"/>
      <c r="P4698" s="19"/>
      <c r="Q4698" s="19"/>
    </row>
    <row r="4699" spans="2:17" hidden="1">
      <c r="B4699" s="19"/>
      <c r="C4699" s="19"/>
      <c r="D4699" s="19"/>
      <c r="E4699" s="19"/>
      <c r="F4699" s="19"/>
      <c r="G4699" s="19"/>
      <c r="H4699" s="19"/>
      <c r="I4699" s="19"/>
      <c r="J4699" s="19"/>
      <c r="K4699" s="421"/>
      <c r="L4699" s="23"/>
      <c r="M4699" s="19"/>
      <c r="N4699" s="19"/>
      <c r="O4699" s="19"/>
      <c r="P4699" s="19"/>
      <c r="Q4699" s="19"/>
    </row>
    <row r="4700" spans="2:17" hidden="1">
      <c r="B4700" s="19"/>
      <c r="C4700" s="19"/>
      <c r="D4700" s="19"/>
      <c r="E4700" s="19"/>
      <c r="F4700" s="19"/>
      <c r="G4700" s="19"/>
      <c r="H4700" s="19"/>
      <c r="I4700" s="19"/>
      <c r="J4700" s="19"/>
      <c r="K4700" s="421"/>
      <c r="L4700" s="23"/>
      <c r="M4700" s="19"/>
      <c r="N4700" s="19"/>
      <c r="O4700" s="19"/>
      <c r="P4700" s="19"/>
      <c r="Q4700" s="19"/>
    </row>
    <row r="4701" spans="2:17" hidden="1">
      <c r="B4701" s="19"/>
      <c r="C4701" s="19"/>
      <c r="D4701" s="19"/>
      <c r="E4701" s="19"/>
      <c r="F4701" s="19"/>
      <c r="G4701" s="19"/>
      <c r="H4701" s="19"/>
      <c r="I4701" s="19"/>
      <c r="J4701" s="19"/>
      <c r="K4701" s="421"/>
      <c r="L4701" s="23"/>
      <c r="M4701" s="19"/>
      <c r="N4701" s="19"/>
      <c r="O4701" s="19"/>
      <c r="P4701" s="19"/>
      <c r="Q4701" s="19"/>
    </row>
    <row r="4702" spans="2:17" hidden="1">
      <c r="B4702" s="19"/>
      <c r="C4702" s="19"/>
      <c r="D4702" s="19"/>
      <c r="E4702" s="19"/>
      <c r="F4702" s="19"/>
      <c r="G4702" s="19"/>
      <c r="H4702" s="19"/>
      <c r="I4702" s="19"/>
      <c r="J4702" s="19"/>
      <c r="K4702" s="421"/>
      <c r="L4702" s="23"/>
      <c r="M4702" s="19"/>
      <c r="N4702" s="19"/>
      <c r="O4702" s="19"/>
      <c r="P4702" s="19"/>
      <c r="Q4702" s="19"/>
    </row>
    <row r="4703" spans="2:17" hidden="1">
      <c r="B4703" s="19"/>
      <c r="C4703" s="19"/>
      <c r="D4703" s="19"/>
      <c r="E4703" s="19"/>
      <c r="F4703" s="19"/>
      <c r="G4703" s="19"/>
      <c r="H4703" s="19"/>
      <c r="I4703" s="19"/>
      <c r="J4703" s="19"/>
      <c r="K4703" s="421"/>
      <c r="L4703" s="23"/>
      <c r="M4703" s="19"/>
      <c r="N4703" s="19"/>
      <c r="O4703" s="19"/>
      <c r="P4703" s="19"/>
      <c r="Q4703" s="19"/>
    </row>
    <row r="4704" spans="2:17" hidden="1">
      <c r="B4704" s="19"/>
      <c r="C4704" s="19"/>
      <c r="D4704" s="19"/>
      <c r="E4704" s="19"/>
      <c r="F4704" s="19"/>
      <c r="G4704" s="19"/>
      <c r="H4704" s="19"/>
      <c r="I4704" s="19"/>
      <c r="J4704" s="19"/>
      <c r="K4704" s="421"/>
      <c r="L4704" s="23"/>
      <c r="M4704" s="19"/>
      <c r="N4704" s="19"/>
      <c r="O4704" s="19"/>
      <c r="P4704" s="19"/>
      <c r="Q4704" s="19"/>
    </row>
    <row r="4705" spans="2:17" hidden="1">
      <c r="B4705" s="19"/>
      <c r="C4705" s="19"/>
      <c r="D4705" s="19"/>
      <c r="E4705" s="19"/>
      <c r="F4705" s="19"/>
      <c r="G4705" s="19"/>
      <c r="H4705" s="19"/>
      <c r="I4705" s="19"/>
      <c r="J4705" s="19"/>
      <c r="K4705" s="421"/>
      <c r="L4705" s="23"/>
      <c r="M4705" s="19"/>
      <c r="N4705" s="19"/>
      <c r="O4705" s="19"/>
      <c r="P4705" s="19"/>
      <c r="Q4705" s="19"/>
    </row>
    <row r="4706" spans="2:17" hidden="1">
      <c r="B4706" s="19"/>
      <c r="C4706" s="19"/>
      <c r="D4706" s="19"/>
      <c r="E4706" s="19"/>
      <c r="F4706" s="19"/>
      <c r="G4706" s="19"/>
      <c r="H4706" s="19"/>
      <c r="I4706" s="19"/>
      <c r="J4706" s="19"/>
      <c r="K4706" s="421"/>
      <c r="L4706" s="23"/>
      <c r="M4706" s="19"/>
      <c r="N4706" s="19"/>
      <c r="O4706" s="19"/>
      <c r="P4706" s="19"/>
      <c r="Q4706" s="19"/>
    </row>
    <row r="4707" spans="2:17" hidden="1">
      <c r="B4707" s="19"/>
      <c r="C4707" s="19"/>
      <c r="D4707" s="19"/>
      <c r="E4707" s="19"/>
      <c r="F4707" s="19"/>
      <c r="G4707" s="19"/>
      <c r="H4707" s="19"/>
      <c r="I4707" s="19"/>
      <c r="J4707" s="19"/>
      <c r="K4707" s="421"/>
      <c r="L4707" s="23"/>
      <c r="M4707" s="19"/>
      <c r="N4707" s="19"/>
      <c r="O4707" s="19"/>
      <c r="P4707" s="19"/>
      <c r="Q4707" s="19"/>
    </row>
    <row r="4708" spans="2:17" hidden="1">
      <c r="B4708" s="19"/>
      <c r="C4708" s="19"/>
      <c r="D4708" s="19"/>
      <c r="E4708" s="19"/>
      <c r="F4708" s="19"/>
      <c r="G4708" s="19"/>
      <c r="H4708" s="19"/>
      <c r="I4708" s="19"/>
      <c r="J4708" s="19"/>
      <c r="K4708" s="421"/>
      <c r="L4708" s="23"/>
      <c r="M4708" s="19"/>
      <c r="N4708" s="19"/>
      <c r="O4708" s="19"/>
      <c r="P4708" s="19"/>
      <c r="Q4708" s="19"/>
    </row>
    <row r="4709" spans="2:17" hidden="1">
      <c r="B4709" s="19"/>
      <c r="C4709" s="19"/>
      <c r="D4709" s="19"/>
      <c r="E4709" s="19"/>
      <c r="F4709" s="19"/>
      <c r="G4709" s="19"/>
      <c r="H4709" s="19"/>
      <c r="I4709" s="19"/>
      <c r="J4709" s="19"/>
      <c r="K4709" s="421"/>
      <c r="L4709" s="23"/>
      <c r="M4709" s="19"/>
      <c r="N4709" s="19"/>
      <c r="O4709" s="19"/>
      <c r="P4709" s="19"/>
      <c r="Q4709" s="19"/>
    </row>
    <row r="4710" spans="2:17" hidden="1">
      <c r="B4710" s="19"/>
      <c r="C4710" s="19"/>
      <c r="D4710" s="19"/>
      <c r="E4710" s="19"/>
      <c r="F4710" s="19"/>
      <c r="G4710" s="19"/>
      <c r="H4710" s="19"/>
      <c r="I4710" s="19"/>
      <c r="J4710" s="19"/>
      <c r="K4710" s="421"/>
      <c r="L4710" s="23"/>
      <c r="M4710" s="19"/>
      <c r="N4710" s="19"/>
      <c r="O4710" s="19"/>
      <c r="P4710" s="19"/>
      <c r="Q4710" s="19"/>
    </row>
    <row r="4711" spans="2:17" hidden="1">
      <c r="B4711" s="19"/>
      <c r="C4711" s="19"/>
      <c r="D4711" s="19"/>
      <c r="E4711" s="19"/>
      <c r="F4711" s="19"/>
      <c r="G4711" s="19"/>
      <c r="H4711" s="19"/>
      <c r="I4711" s="19"/>
      <c r="J4711" s="19"/>
      <c r="K4711" s="421"/>
      <c r="L4711" s="23"/>
      <c r="M4711" s="19"/>
      <c r="N4711" s="19"/>
      <c r="O4711" s="19"/>
      <c r="P4711" s="19"/>
      <c r="Q4711" s="19"/>
    </row>
    <row r="4712" spans="2:17" hidden="1">
      <c r="B4712" s="19"/>
      <c r="C4712" s="19"/>
      <c r="D4712" s="19"/>
      <c r="E4712" s="19"/>
      <c r="F4712" s="19"/>
      <c r="G4712" s="19"/>
      <c r="H4712" s="19"/>
      <c r="I4712" s="19"/>
      <c r="J4712" s="19"/>
      <c r="K4712" s="421"/>
      <c r="L4712" s="23"/>
      <c r="M4712" s="19"/>
      <c r="N4712" s="19"/>
      <c r="O4712" s="19"/>
      <c r="P4712" s="19"/>
      <c r="Q4712" s="19"/>
    </row>
    <row r="4713" spans="2:17" hidden="1">
      <c r="B4713" s="19"/>
      <c r="C4713" s="19"/>
      <c r="D4713" s="19"/>
      <c r="E4713" s="19"/>
      <c r="F4713" s="19"/>
      <c r="G4713" s="19"/>
      <c r="H4713" s="19"/>
      <c r="I4713" s="19"/>
      <c r="J4713" s="19"/>
      <c r="K4713" s="421"/>
      <c r="L4713" s="23"/>
      <c r="M4713" s="19"/>
      <c r="N4713" s="19"/>
      <c r="O4713" s="19"/>
      <c r="P4713" s="19"/>
      <c r="Q4713" s="19"/>
    </row>
    <row r="4714" spans="2:17" hidden="1">
      <c r="B4714" s="19"/>
      <c r="C4714" s="19"/>
      <c r="D4714" s="19"/>
      <c r="E4714" s="19"/>
      <c r="F4714" s="19"/>
      <c r="G4714" s="19"/>
      <c r="H4714" s="19"/>
      <c r="I4714" s="19"/>
      <c r="J4714" s="19"/>
      <c r="K4714" s="421"/>
      <c r="L4714" s="23"/>
      <c r="M4714" s="19"/>
      <c r="N4714" s="19"/>
      <c r="O4714" s="19"/>
      <c r="P4714" s="19"/>
      <c r="Q4714" s="19"/>
    </row>
    <row r="4715" spans="2:17" hidden="1">
      <c r="B4715" s="19"/>
      <c r="C4715" s="19"/>
      <c r="D4715" s="19"/>
      <c r="E4715" s="19"/>
      <c r="F4715" s="19"/>
      <c r="G4715" s="19"/>
      <c r="H4715" s="19"/>
      <c r="I4715" s="19"/>
      <c r="J4715" s="19"/>
      <c r="K4715" s="421"/>
      <c r="L4715" s="23"/>
      <c r="M4715" s="19"/>
      <c r="N4715" s="19"/>
      <c r="O4715" s="19"/>
      <c r="P4715" s="19"/>
      <c r="Q4715" s="19"/>
    </row>
    <row r="4716" spans="2:17" hidden="1">
      <c r="B4716" s="19"/>
      <c r="C4716" s="19"/>
      <c r="D4716" s="19"/>
      <c r="E4716" s="19"/>
      <c r="F4716" s="19"/>
      <c r="G4716" s="19"/>
      <c r="H4716" s="19"/>
      <c r="I4716" s="19"/>
      <c r="J4716" s="19"/>
      <c r="K4716" s="421"/>
      <c r="L4716" s="23"/>
      <c r="M4716" s="19"/>
      <c r="N4716" s="19"/>
      <c r="O4716" s="19"/>
      <c r="P4716" s="19"/>
      <c r="Q4716" s="19"/>
    </row>
    <row r="4717" spans="2:17" hidden="1">
      <c r="B4717" s="19"/>
      <c r="C4717" s="19"/>
      <c r="D4717" s="19"/>
      <c r="E4717" s="19"/>
      <c r="F4717" s="19"/>
      <c r="G4717" s="19"/>
      <c r="H4717" s="19"/>
      <c r="I4717" s="19"/>
      <c r="J4717" s="19"/>
      <c r="K4717" s="421"/>
      <c r="L4717" s="23"/>
      <c r="M4717" s="19"/>
      <c r="N4717" s="19"/>
      <c r="O4717" s="19"/>
      <c r="P4717" s="19"/>
      <c r="Q4717" s="19"/>
    </row>
    <row r="4718" spans="2:17" hidden="1">
      <c r="B4718" s="19"/>
      <c r="C4718" s="19"/>
      <c r="D4718" s="19"/>
      <c r="E4718" s="19"/>
      <c r="F4718" s="19"/>
      <c r="G4718" s="19"/>
      <c r="H4718" s="19"/>
      <c r="I4718" s="19"/>
      <c r="J4718" s="19"/>
      <c r="K4718" s="421"/>
      <c r="L4718" s="23"/>
      <c r="M4718" s="19"/>
      <c r="N4718" s="19"/>
      <c r="O4718" s="19"/>
      <c r="P4718" s="19"/>
      <c r="Q4718" s="19"/>
    </row>
    <row r="4719" spans="2:17" hidden="1">
      <c r="B4719" s="19"/>
      <c r="C4719" s="19"/>
      <c r="D4719" s="19"/>
      <c r="E4719" s="19"/>
      <c r="F4719" s="19"/>
      <c r="G4719" s="19"/>
      <c r="H4719" s="19"/>
      <c r="I4719" s="19"/>
      <c r="J4719" s="19"/>
      <c r="K4719" s="421"/>
      <c r="L4719" s="23"/>
      <c r="M4719" s="19"/>
      <c r="N4719" s="19"/>
      <c r="O4719" s="19"/>
      <c r="P4719" s="19"/>
      <c r="Q4719" s="19"/>
    </row>
    <row r="4720" spans="2:17" hidden="1">
      <c r="B4720" s="19"/>
      <c r="C4720" s="19"/>
      <c r="D4720" s="19"/>
      <c r="E4720" s="19"/>
      <c r="F4720" s="19"/>
      <c r="G4720" s="19"/>
      <c r="H4720" s="19"/>
      <c r="I4720" s="19"/>
      <c r="J4720" s="19"/>
      <c r="K4720" s="421"/>
      <c r="L4720" s="23"/>
      <c r="M4720" s="19"/>
      <c r="N4720" s="19"/>
      <c r="O4720" s="19"/>
      <c r="P4720" s="19"/>
      <c r="Q4720" s="19"/>
    </row>
    <row r="4721" spans="2:17" hidden="1">
      <c r="B4721" s="19"/>
      <c r="C4721" s="19"/>
      <c r="D4721" s="19"/>
      <c r="E4721" s="19"/>
      <c r="F4721" s="19"/>
      <c r="G4721" s="19"/>
      <c r="H4721" s="19"/>
      <c r="I4721" s="19"/>
      <c r="J4721" s="19"/>
      <c r="K4721" s="421"/>
      <c r="L4721" s="23"/>
      <c r="M4721" s="19"/>
      <c r="N4721" s="19"/>
      <c r="O4721" s="19"/>
      <c r="P4721" s="19"/>
      <c r="Q4721" s="19"/>
    </row>
    <row r="4722" spans="2:17" hidden="1">
      <c r="B4722" s="19"/>
      <c r="C4722" s="19"/>
      <c r="D4722" s="19"/>
      <c r="E4722" s="19"/>
      <c r="F4722" s="19"/>
      <c r="G4722" s="19"/>
      <c r="H4722" s="19"/>
      <c r="I4722" s="19"/>
      <c r="J4722" s="19"/>
      <c r="K4722" s="421"/>
      <c r="L4722" s="23"/>
      <c r="M4722" s="19"/>
      <c r="N4722" s="19"/>
      <c r="O4722" s="19"/>
      <c r="P4722" s="19"/>
      <c r="Q4722" s="19"/>
    </row>
    <row r="4723" spans="2:17" hidden="1">
      <c r="B4723" s="19"/>
      <c r="C4723" s="19"/>
      <c r="D4723" s="19"/>
      <c r="E4723" s="19"/>
      <c r="F4723" s="19"/>
      <c r="G4723" s="19"/>
      <c r="H4723" s="19"/>
      <c r="I4723" s="19"/>
      <c r="J4723" s="19"/>
      <c r="K4723" s="421"/>
      <c r="L4723" s="23"/>
      <c r="M4723" s="19"/>
      <c r="N4723" s="19"/>
      <c r="O4723" s="19"/>
      <c r="P4723" s="19"/>
      <c r="Q4723" s="19"/>
    </row>
    <row r="4724" spans="2:17" hidden="1">
      <c r="B4724" s="19"/>
      <c r="C4724" s="19"/>
      <c r="D4724" s="19"/>
      <c r="E4724" s="19"/>
      <c r="F4724" s="19"/>
      <c r="G4724" s="19"/>
      <c r="H4724" s="19"/>
      <c r="I4724" s="19"/>
      <c r="J4724" s="19"/>
      <c r="K4724" s="421"/>
      <c r="L4724" s="23"/>
      <c r="M4724" s="19"/>
      <c r="N4724" s="19"/>
      <c r="O4724" s="19"/>
      <c r="P4724" s="19"/>
      <c r="Q4724" s="19"/>
    </row>
    <row r="4725" spans="2:17" hidden="1">
      <c r="B4725" s="19"/>
      <c r="C4725" s="19"/>
      <c r="D4725" s="19"/>
      <c r="E4725" s="19"/>
      <c r="F4725" s="19"/>
      <c r="G4725" s="19"/>
      <c r="H4725" s="19"/>
      <c r="I4725" s="19"/>
      <c r="J4725" s="19"/>
      <c r="K4725" s="421"/>
      <c r="L4725" s="23"/>
      <c r="M4725" s="19"/>
      <c r="N4725" s="19"/>
      <c r="O4725" s="19"/>
      <c r="P4725" s="19"/>
      <c r="Q4725" s="19"/>
    </row>
    <row r="4726" spans="2:17" hidden="1">
      <c r="B4726" s="19"/>
      <c r="C4726" s="19"/>
      <c r="D4726" s="19"/>
      <c r="E4726" s="19"/>
      <c r="F4726" s="19"/>
      <c r="G4726" s="19"/>
      <c r="H4726" s="19"/>
      <c r="I4726" s="19"/>
      <c r="J4726" s="19"/>
      <c r="K4726" s="421"/>
      <c r="L4726" s="23"/>
      <c r="M4726" s="19"/>
      <c r="N4726" s="19"/>
      <c r="O4726" s="19"/>
      <c r="P4726" s="19"/>
      <c r="Q4726" s="19"/>
    </row>
    <row r="4727" spans="2:17" hidden="1">
      <c r="B4727" s="19"/>
      <c r="C4727" s="19"/>
      <c r="D4727" s="19"/>
      <c r="E4727" s="19"/>
      <c r="F4727" s="19"/>
      <c r="G4727" s="19"/>
      <c r="H4727" s="19"/>
      <c r="I4727" s="19"/>
      <c r="J4727" s="19"/>
      <c r="K4727" s="421"/>
      <c r="L4727" s="23"/>
      <c r="M4727" s="19"/>
      <c r="N4727" s="19"/>
      <c r="O4727" s="19"/>
      <c r="P4727" s="19"/>
      <c r="Q4727" s="19"/>
    </row>
    <row r="4728" spans="2:17" hidden="1">
      <c r="B4728" s="19"/>
      <c r="C4728" s="19"/>
      <c r="D4728" s="19"/>
      <c r="E4728" s="19"/>
      <c r="F4728" s="19"/>
      <c r="G4728" s="19"/>
      <c r="H4728" s="19"/>
      <c r="I4728" s="19"/>
      <c r="J4728" s="19"/>
      <c r="K4728" s="421"/>
      <c r="L4728" s="23"/>
      <c r="M4728" s="19"/>
      <c r="N4728" s="19"/>
      <c r="O4728" s="19"/>
      <c r="P4728" s="19"/>
      <c r="Q4728" s="19"/>
    </row>
    <row r="4729" spans="2:17" hidden="1">
      <c r="B4729" s="19"/>
      <c r="C4729" s="19"/>
      <c r="D4729" s="19"/>
      <c r="E4729" s="19"/>
      <c r="F4729" s="19"/>
      <c r="G4729" s="19"/>
      <c r="H4729" s="19"/>
      <c r="I4729" s="19"/>
      <c r="J4729" s="19"/>
      <c r="K4729" s="421"/>
      <c r="L4729" s="23"/>
      <c r="M4729" s="19"/>
      <c r="N4729" s="19"/>
      <c r="O4729" s="19"/>
      <c r="P4729" s="19"/>
      <c r="Q4729" s="19"/>
    </row>
    <row r="4730" spans="2:17" hidden="1">
      <c r="B4730" s="19"/>
      <c r="C4730" s="19"/>
      <c r="D4730" s="19"/>
      <c r="E4730" s="19"/>
      <c r="F4730" s="19"/>
      <c r="G4730" s="19"/>
      <c r="H4730" s="19"/>
      <c r="I4730" s="19"/>
      <c r="J4730" s="19"/>
      <c r="K4730" s="421"/>
      <c r="L4730" s="23"/>
      <c r="M4730" s="19"/>
      <c r="N4730" s="19"/>
      <c r="O4730" s="19"/>
      <c r="P4730" s="19"/>
      <c r="Q4730" s="19"/>
    </row>
    <row r="4731" spans="2:17" hidden="1">
      <c r="B4731" s="19"/>
      <c r="C4731" s="19"/>
      <c r="D4731" s="19"/>
      <c r="E4731" s="19"/>
      <c r="F4731" s="19"/>
      <c r="G4731" s="19"/>
      <c r="H4731" s="19"/>
      <c r="I4731" s="19"/>
      <c r="J4731" s="19"/>
      <c r="K4731" s="421"/>
      <c r="L4731" s="23"/>
      <c r="M4731" s="19"/>
      <c r="N4731" s="19"/>
      <c r="O4731" s="19"/>
      <c r="P4731" s="19"/>
      <c r="Q4731" s="19"/>
    </row>
    <row r="4732" spans="2:17" hidden="1">
      <c r="B4732" s="19"/>
      <c r="C4732" s="19"/>
      <c r="D4732" s="19"/>
      <c r="E4732" s="19"/>
      <c r="F4732" s="19"/>
      <c r="G4732" s="19"/>
      <c r="H4732" s="19"/>
      <c r="I4732" s="19"/>
      <c r="J4732" s="19"/>
      <c r="K4732" s="421"/>
      <c r="L4732" s="23"/>
      <c r="M4732" s="19"/>
      <c r="N4732" s="19"/>
      <c r="O4732" s="19"/>
      <c r="P4732" s="19"/>
      <c r="Q4732" s="19"/>
    </row>
    <row r="4733" spans="2:17" hidden="1">
      <c r="B4733" s="19"/>
      <c r="C4733" s="19"/>
      <c r="D4733" s="19"/>
      <c r="E4733" s="19"/>
      <c r="F4733" s="19"/>
      <c r="G4733" s="19"/>
      <c r="H4733" s="19"/>
      <c r="I4733" s="19"/>
      <c r="J4733" s="19"/>
      <c r="K4733" s="421"/>
      <c r="L4733" s="23"/>
      <c r="M4733" s="19"/>
      <c r="N4733" s="19"/>
      <c r="O4733" s="19"/>
      <c r="P4733" s="19"/>
      <c r="Q4733" s="19"/>
    </row>
    <row r="4734" spans="2:17" hidden="1">
      <c r="B4734" s="19"/>
      <c r="C4734" s="19"/>
      <c r="D4734" s="19"/>
      <c r="E4734" s="19"/>
      <c r="F4734" s="19"/>
      <c r="G4734" s="19"/>
      <c r="H4734" s="19"/>
      <c r="I4734" s="19"/>
      <c r="J4734" s="19"/>
      <c r="K4734" s="421"/>
      <c r="L4734" s="23"/>
      <c r="M4734" s="19"/>
      <c r="N4734" s="19"/>
      <c r="O4734" s="19"/>
      <c r="P4734" s="19"/>
      <c r="Q4734" s="19"/>
    </row>
    <row r="4735" spans="2:17" hidden="1">
      <c r="B4735" s="19"/>
      <c r="C4735" s="19"/>
      <c r="D4735" s="19"/>
      <c r="E4735" s="19"/>
      <c r="F4735" s="19"/>
      <c r="G4735" s="19"/>
      <c r="H4735" s="19"/>
      <c r="I4735" s="19"/>
      <c r="J4735" s="19"/>
      <c r="K4735" s="421"/>
      <c r="L4735" s="23"/>
      <c r="M4735" s="19"/>
      <c r="N4735" s="19"/>
      <c r="O4735" s="19"/>
      <c r="P4735" s="19"/>
      <c r="Q4735" s="19"/>
    </row>
    <row r="4736" spans="2:17" hidden="1">
      <c r="B4736" s="19"/>
      <c r="C4736" s="19"/>
      <c r="D4736" s="19"/>
      <c r="E4736" s="19"/>
      <c r="F4736" s="19"/>
      <c r="G4736" s="19"/>
      <c r="H4736" s="19"/>
      <c r="I4736" s="19"/>
      <c r="J4736" s="19"/>
      <c r="K4736" s="421"/>
      <c r="L4736" s="23"/>
      <c r="M4736" s="19"/>
      <c r="N4736" s="19"/>
      <c r="O4736" s="19"/>
      <c r="P4736" s="19"/>
      <c r="Q4736" s="19"/>
    </row>
    <row r="4737" spans="2:17" hidden="1">
      <c r="B4737" s="19"/>
      <c r="C4737" s="19"/>
      <c r="D4737" s="19"/>
      <c r="E4737" s="19"/>
      <c r="F4737" s="19"/>
      <c r="G4737" s="19"/>
      <c r="H4737" s="19"/>
      <c r="I4737" s="19"/>
      <c r="J4737" s="19"/>
      <c r="K4737" s="421"/>
      <c r="L4737" s="23"/>
      <c r="M4737" s="19"/>
      <c r="N4737" s="19"/>
      <c r="O4737" s="19"/>
      <c r="P4737" s="19"/>
      <c r="Q4737" s="19"/>
    </row>
    <row r="4738" spans="2:17" hidden="1">
      <c r="B4738" s="19"/>
      <c r="C4738" s="19"/>
      <c r="D4738" s="19"/>
      <c r="E4738" s="19"/>
      <c r="F4738" s="19"/>
      <c r="G4738" s="19"/>
      <c r="H4738" s="19"/>
      <c r="I4738" s="19"/>
      <c r="J4738" s="19"/>
      <c r="K4738" s="421"/>
      <c r="L4738" s="23"/>
      <c r="M4738" s="19"/>
      <c r="N4738" s="19"/>
      <c r="O4738" s="19"/>
      <c r="P4738" s="19"/>
      <c r="Q4738" s="19"/>
    </row>
    <row r="4739" spans="2:17" hidden="1">
      <c r="B4739" s="19"/>
      <c r="C4739" s="19"/>
      <c r="D4739" s="19"/>
      <c r="E4739" s="19"/>
      <c r="F4739" s="19"/>
      <c r="G4739" s="19"/>
      <c r="H4739" s="19"/>
      <c r="I4739" s="19"/>
      <c r="J4739" s="19"/>
      <c r="K4739" s="421"/>
      <c r="L4739" s="23"/>
      <c r="M4739" s="19"/>
      <c r="N4739" s="19"/>
      <c r="O4739" s="19"/>
      <c r="P4739" s="19"/>
      <c r="Q4739" s="19"/>
    </row>
    <row r="4740" spans="2:17" hidden="1">
      <c r="B4740" s="19"/>
      <c r="C4740" s="19"/>
      <c r="D4740" s="19"/>
      <c r="E4740" s="19"/>
      <c r="F4740" s="19"/>
      <c r="G4740" s="19"/>
      <c r="H4740" s="19"/>
      <c r="I4740" s="19"/>
      <c r="J4740" s="19"/>
      <c r="K4740" s="421"/>
      <c r="L4740" s="23"/>
      <c r="M4740" s="19"/>
      <c r="N4740" s="19"/>
      <c r="O4740" s="19"/>
      <c r="P4740" s="19"/>
      <c r="Q4740" s="19"/>
    </row>
    <row r="4741" spans="2:17" hidden="1">
      <c r="B4741" s="19"/>
      <c r="C4741" s="19"/>
      <c r="D4741" s="19"/>
      <c r="E4741" s="19"/>
      <c r="F4741" s="19"/>
      <c r="G4741" s="19"/>
      <c r="H4741" s="19"/>
      <c r="I4741" s="19"/>
      <c r="J4741" s="19"/>
      <c r="K4741" s="421"/>
      <c r="L4741" s="23"/>
      <c r="M4741" s="19"/>
      <c r="N4741" s="19"/>
      <c r="O4741" s="19"/>
      <c r="P4741" s="19"/>
      <c r="Q4741" s="19"/>
    </row>
    <row r="4742" spans="2:17" hidden="1">
      <c r="B4742" s="19"/>
      <c r="C4742" s="19"/>
      <c r="D4742" s="19"/>
      <c r="E4742" s="19"/>
      <c r="F4742" s="19"/>
      <c r="G4742" s="19"/>
      <c r="H4742" s="19"/>
      <c r="I4742" s="19"/>
      <c r="J4742" s="19"/>
      <c r="K4742" s="421"/>
      <c r="L4742" s="23"/>
      <c r="M4742" s="19"/>
      <c r="N4742" s="19"/>
      <c r="O4742" s="19"/>
      <c r="P4742" s="19"/>
      <c r="Q4742" s="19"/>
    </row>
    <row r="4743" spans="2:17" hidden="1">
      <c r="B4743" s="19"/>
      <c r="C4743" s="19"/>
      <c r="D4743" s="19"/>
      <c r="E4743" s="19"/>
      <c r="F4743" s="19"/>
      <c r="G4743" s="19"/>
      <c r="H4743" s="19"/>
      <c r="I4743" s="19"/>
      <c r="J4743" s="19"/>
      <c r="K4743" s="421"/>
      <c r="L4743" s="23"/>
      <c r="M4743" s="19"/>
      <c r="N4743" s="19"/>
      <c r="O4743" s="19"/>
      <c r="P4743" s="19"/>
      <c r="Q4743" s="19"/>
    </row>
    <row r="4744" spans="2:17" hidden="1">
      <c r="B4744" s="19"/>
      <c r="C4744" s="19"/>
      <c r="D4744" s="19"/>
      <c r="E4744" s="19"/>
      <c r="F4744" s="19"/>
      <c r="G4744" s="19"/>
      <c r="H4744" s="19"/>
      <c r="I4744" s="19"/>
      <c r="J4744" s="19"/>
      <c r="K4744" s="421"/>
      <c r="L4744" s="23"/>
      <c r="M4744" s="19"/>
      <c r="N4744" s="19"/>
      <c r="O4744" s="19"/>
      <c r="P4744" s="19"/>
      <c r="Q4744" s="19"/>
    </row>
    <row r="4745" spans="2:17" hidden="1">
      <c r="B4745" s="19"/>
      <c r="C4745" s="19"/>
      <c r="D4745" s="19"/>
      <c r="E4745" s="19"/>
      <c r="F4745" s="19"/>
      <c r="G4745" s="19"/>
      <c r="H4745" s="19"/>
      <c r="I4745" s="19"/>
      <c r="J4745" s="19"/>
      <c r="K4745" s="421"/>
      <c r="L4745" s="23"/>
      <c r="M4745" s="19"/>
      <c r="N4745" s="19"/>
      <c r="O4745" s="19"/>
      <c r="P4745" s="19"/>
      <c r="Q4745" s="19"/>
    </row>
    <row r="4746" spans="2:17" hidden="1">
      <c r="B4746" s="19"/>
      <c r="C4746" s="19"/>
      <c r="D4746" s="19"/>
      <c r="E4746" s="19"/>
      <c r="F4746" s="19"/>
      <c r="G4746" s="19"/>
      <c r="H4746" s="19"/>
      <c r="I4746" s="19"/>
      <c r="J4746" s="19"/>
      <c r="K4746" s="421"/>
      <c r="L4746" s="23"/>
      <c r="M4746" s="19"/>
      <c r="N4746" s="19"/>
      <c r="O4746" s="19"/>
      <c r="P4746" s="19"/>
      <c r="Q4746" s="19"/>
    </row>
    <row r="4747" spans="2:17" hidden="1">
      <c r="B4747" s="19"/>
      <c r="C4747" s="19"/>
      <c r="D4747" s="19"/>
      <c r="E4747" s="19"/>
      <c r="F4747" s="19"/>
      <c r="G4747" s="19"/>
      <c r="H4747" s="19"/>
      <c r="I4747" s="19"/>
      <c r="J4747" s="19"/>
      <c r="K4747" s="421"/>
      <c r="L4747" s="23"/>
      <c r="M4747" s="19"/>
      <c r="N4747" s="19"/>
      <c r="O4747" s="19"/>
      <c r="P4747" s="19"/>
      <c r="Q4747" s="19"/>
    </row>
    <row r="4748" spans="2:17" hidden="1">
      <c r="B4748" s="19"/>
      <c r="C4748" s="19"/>
      <c r="D4748" s="19"/>
      <c r="E4748" s="19"/>
      <c r="F4748" s="19"/>
      <c r="G4748" s="19"/>
      <c r="H4748" s="19"/>
      <c r="I4748" s="19"/>
      <c r="J4748" s="19"/>
      <c r="K4748" s="421"/>
      <c r="L4748" s="23"/>
      <c r="M4748" s="19"/>
      <c r="N4748" s="19"/>
      <c r="O4748" s="19"/>
      <c r="P4748" s="19"/>
      <c r="Q4748" s="19"/>
    </row>
    <row r="4749" spans="2:17" hidden="1">
      <c r="B4749" s="19"/>
      <c r="C4749" s="19"/>
      <c r="D4749" s="19"/>
      <c r="E4749" s="19"/>
      <c r="F4749" s="19"/>
      <c r="G4749" s="19"/>
      <c r="H4749" s="19"/>
      <c r="I4749" s="19"/>
      <c r="J4749" s="19"/>
      <c r="K4749" s="421"/>
      <c r="L4749" s="23"/>
      <c r="M4749" s="19"/>
      <c r="N4749" s="19"/>
      <c r="O4749" s="19"/>
      <c r="P4749" s="19"/>
      <c r="Q4749" s="19"/>
    </row>
    <row r="4750" spans="2:17" hidden="1">
      <c r="B4750" s="19"/>
      <c r="C4750" s="19"/>
      <c r="D4750" s="19"/>
      <c r="E4750" s="19"/>
      <c r="F4750" s="19"/>
      <c r="G4750" s="19"/>
      <c r="H4750" s="19"/>
      <c r="I4750" s="19"/>
      <c r="J4750" s="19"/>
      <c r="K4750" s="421"/>
      <c r="L4750" s="23"/>
      <c r="M4750" s="19"/>
      <c r="N4750" s="19"/>
      <c r="O4750" s="19"/>
      <c r="P4750" s="19"/>
      <c r="Q4750" s="19"/>
    </row>
    <row r="4751" spans="2:17" hidden="1">
      <c r="B4751" s="19"/>
      <c r="C4751" s="19"/>
      <c r="D4751" s="19"/>
      <c r="E4751" s="19"/>
      <c r="F4751" s="19"/>
      <c r="G4751" s="19"/>
      <c r="H4751" s="19"/>
      <c r="I4751" s="19"/>
      <c r="J4751" s="19"/>
      <c r="K4751" s="421"/>
      <c r="L4751" s="23"/>
      <c r="M4751" s="19"/>
      <c r="N4751" s="19"/>
      <c r="O4751" s="19"/>
      <c r="P4751" s="19"/>
      <c r="Q4751" s="19"/>
    </row>
    <row r="4752" spans="2:17" hidden="1">
      <c r="B4752" s="19"/>
      <c r="C4752" s="19"/>
      <c r="D4752" s="19"/>
      <c r="E4752" s="19"/>
      <c r="F4752" s="19"/>
      <c r="G4752" s="19"/>
      <c r="H4752" s="19"/>
      <c r="I4752" s="19"/>
      <c r="J4752" s="19"/>
      <c r="K4752" s="421"/>
      <c r="L4752" s="23"/>
      <c r="M4752" s="19"/>
      <c r="N4752" s="19"/>
      <c r="O4752" s="19"/>
      <c r="P4752" s="19"/>
      <c r="Q4752" s="19"/>
    </row>
    <row r="4753" spans="2:16372" hidden="1">
      <c r="B4753" s="19"/>
      <c r="C4753" s="19"/>
      <c r="D4753" s="19"/>
      <c r="E4753" s="19"/>
      <c r="F4753" s="19"/>
      <c r="G4753" s="19"/>
      <c r="H4753" s="19"/>
      <c r="I4753" s="19"/>
      <c r="J4753" s="19"/>
      <c r="K4753" s="421"/>
      <c r="L4753" s="23"/>
      <c r="M4753" s="19"/>
      <c r="N4753" s="19"/>
      <c r="O4753" s="19"/>
      <c r="P4753" s="19"/>
      <c r="Q4753" s="19"/>
    </row>
    <row r="4754" spans="2:16372" hidden="1">
      <c r="B4754" s="19"/>
      <c r="C4754" s="19"/>
      <c r="D4754" s="19"/>
      <c r="E4754" s="19"/>
      <c r="F4754" s="19"/>
      <c r="G4754" s="19"/>
      <c r="H4754" s="19"/>
      <c r="I4754" s="19"/>
      <c r="J4754" s="19"/>
      <c r="K4754" s="421"/>
      <c r="L4754" s="23"/>
      <c r="M4754" s="19"/>
      <c r="N4754" s="19"/>
      <c r="O4754" s="19"/>
      <c r="P4754" s="19"/>
      <c r="Q4754" s="19"/>
    </row>
    <row r="4755" spans="2:16372" hidden="1">
      <c r="B4755" s="19"/>
      <c r="C4755" s="19"/>
      <c r="D4755" s="19"/>
      <c r="E4755" s="19"/>
      <c r="F4755" s="19"/>
      <c r="G4755" s="19"/>
      <c r="H4755" s="19"/>
      <c r="I4755" s="19"/>
      <c r="J4755" s="19"/>
      <c r="K4755" s="421"/>
      <c r="L4755" s="23"/>
      <c r="M4755" s="19"/>
      <c r="N4755" s="19"/>
      <c r="O4755" s="19"/>
      <c r="P4755" s="19"/>
      <c r="Q4755" s="19"/>
    </row>
    <row r="4756" spans="2:16372" hidden="1">
      <c r="B4756" s="19"/>
      <c r="C4756" s="19"/>
      <c r="D4756" s="19"/>
      <c r="E4756" s="19"/>
      <c r="F4756" s="19"/>
      <c r="G4756" s="19"/>
      <c r="H4756" s="19"/>
      <c r="I4756" s="19"/>
      <c r="J4756" s="19"/>
      <c r="K4756" s="421"/>
      <c r="L4756" s="23"/>
      <c r="M4756" s="19"/>
      <c r="N4756" s="19"/>
      <c r="O4756" s="19"/>
      <c r="P4756" s="19"/>
      <c r="Q4756" s="19"/>
    </row>
    <row r="4757" spans="2:16372" hidden="1">
      <c r="B4757" s="19"/>
      <c r="C4757" s="19"/>
      <c r="D4757" s="19"/>
      <c r="E4757" s="19"/>
      <c r="F4757" s="19"/>
      <c r="G4757" s="19"/>
      <c r="H4757" s="19"/>
      <c r="I4757" s="19"/>
      <c r="J4757" s="19"/>
      <c r="K4757" s="421"/>
      <c r="L4757" s="23"/>
      <c r="M4757" s="19"/>
      <c r="N4757" s="19"/>
      <c r="O4757" s="19"/>
      <c r="P4757" s="19"/>
      <c r="Q4757" s="19"/>
    </row>
    <row r="4758" spans="2:16372" hidden="1">
      <c r="B4758" s="19"/>
      <c r="C4758" s="19"/>
      <c r="D4758" s="19"/>
      <c r="E4758" s="19"/>
      <c r="F4758" s="19"/>
      <c r="G4758" s="19"/>
      <c r="H4758" s="19"/>
      <c r="I4758" s="19"/>
      <c r="J4758" s="19"/>
      <c r="K4758" s="421"/>
      <c r="L4758" s="23"/>
      <c r="M4758" s="19"/>
      <c r="N4758" s="19"/>
      <c r="O4758" s="19"/>
      <c r="P4758" s="19"/>
      <c r="Q4758" s="19"/>
    </row>
    <row r="4759" spans="2:16372" hidden="1">
      <c r="B4759" s="19"/>
      <c r="C4759" s="19"/>
      <c r="D4759" s="19"/>
      <c r="E4759" s="19"/>
      <c r="F4759" s="19"/>
      <c r="G4759" s="19"/>
      <c r="H4759" s="19"/>
      <c r="I4759" s="19"/>
      <c r="J4759" s="19"/>
      <c r="K4759" s="421"/>
      <c r="L4759" s="23"/>
      <c r="M4759" s="19"/>
      <c r="N4759" s="19"/>
      <c r="O4759" s="19"/>
      <c r="P4759" s="19"/>
      <c r="Q4759" s="19"/>
    </row>
    <row r="4760" spans="2:16372" hidden="1">
      <c r="B4760" s="19"/>
      <c r="C4760" s="19"/>
      <c r="D4760" s="19"/>
      <c r="E4760" s="19"/>
      <c r="F4760" s="19"/>
      <c r="G4760" s="19"/>
      <c r="H4760" s="19"/>
      <c r="I4760" s="19"/>
      <c r="J4760" s="19"/>
      <c r="K4760" s="421"/>
      <c r="L4760" s="23"/>
      <c r="M4760" s="19"/>
      <c r="N4760" s="19"/>
      <c r="O4760" s="19"/>
      <c r="P4760" s="19"/>
      <c r="Q4760" s="19"/>
    </row>
    <row r="4761" spans="2:16372" hidden="1">
      <c r="B4761" s="19"/>
      <c r="C4761" s="19"/>
      <c r="D4761" s="19"/>
      <c r="E4761" s="19"/>
      <c r="F4761" s="19"/>
      <c r="G4761" s="19"/>
      <c r="H4761" s="19"/>
      <c r="I4761" s="19"/>
      <c r="J4761" s="19"/>
      <c r="K4761" s="421"/>
      <c r="L4761" s="23"/>
      <c r="M4761" s="19"/>
      <c r="N4761" s="19"/>
      <c r="O4761" s="19"/>
      <c r="P4761" s="19"/>
      <c r="Q4761" s="19"/>
    </row>
    <row r="4762" spans="2:16372" ht="18.75" hidden="1">
      <c r="B4762" s="19"/>
      <c r="C4762" s="19"/>
      <c r="D4762" s="19"/>
      <c r="E4762" s="19"/>
      <c r="F4762" s="19"/>
      <c r="G4762" s="19"/>
      <c r="H4762" s="19"/>
      <c r="I4762" s="19"/>
      <c r="J4762" s="19"/>
      <c r="K4762" s="421"/>
      <c r="L4762" s="23"/>
      <c r="M4762" s="19"/>
      <c r="N4762" s="19"/>
      <c r="O4762" s="19"/>
      <c r="P4762" s="19"/>
      <c r="Q4762" s="19"/>
      <c r="AC4762" s="29"/>
      <c r="AD4762" s="29"/>
      <c r="AE4762" s="29"/>
      <c r="AF4762" s="29"/>
      <c r="AG4762" s="29"/>
      <c r="AH4762" s="29"/>
      <c r="AI4762" s="29"/>
      <c r="AJ4762" s="29"/>
      <c r="AK4762" s="29"/>
      <c r="AL4762" s="29"/>
      <c r="AM4762" s="29"/>
      <c r="AN4762" s="29"/>
      <c r="AO4762" s="29"/>
      <c r="AP4762" s="29"/>
      <c r="AQ4762" s="29"/>
      <c r="AR4762" s="29"/>
      <c r="AS4762" s="29"/>
      <c r="AT4762" s="29"/>
      <c r="AU4762" s="29"/>
      <c r="AV4762" s="29"/>
      <c r="AW4762" s="29"/>
      <c r="AX4762" s="29"/>
      <c r="AY4762" s="29"/>
      <c r="AZ4762" s="29"/>
      <c r="BA4762" s="917" t="s">
        <v>78</v>
      </c>
      <c r="BB4762" s="917"/>
      <c r="BC4762" s="917"/>
      <c r="BD4762" s="917"/>
      <c r="BE4762" s="917"/>
      <c r="BF4762" s="917"/>
      <c r="BG4762" s="917"/>
      <c r="BH4762" s="917"/>
      <c r="BI4762" s="917"/>
      <c r="BJ4762" s="917"/>
      <c r="BK4762" s="917"/>
      <c r="BL4762" s="917"/>
      <c r="BM4762" s="917"/>
      <c r="BN4762" s="917"/>
      <c r="BO4762" s="917"/>
      <c r="BP4762" s="917"/>
      <c r="BQ4762" s="917"/>
      <c r="BR4762" s="917"/>
      <c r="BS4762" s="917"/>
      <c r="BT4762" s="917"/>
      <c r="BU4762" s="917"/>
      <c r="BV4762" s="917"/>
      <c r="BW4762" s="917"/>
      <c r="BX4762" s="917"/>
      <c r="BY4762" s="917"/>
      <c r="BZ4762" s="917"/>
      <c r="CA4762" s="917"/>
      <c r="CB4762" s="917"/>
      <c r="CC4762" s="917"/>
      <c r="CD4762" s="917"/>
      <c r="CE4762" s="917"/>
      <c r="CF4762" s="917"/>
      <c r="CG4762" s="917" t="s">
        <v>78</v>
      </c>
      <c r="CH4762" s="917"/>
      <c r="CI4762" s="917"/>
      <c r="CJ4762" s="917"/>
      <c r="CK4762" s="917"/>
      <c r="CL4762" s="917"/>
      <c r="CM4762" s="917"/>
      <c r="CN4762" s="917"/>
      <c r="CO4762" s="917"/>
      <c r="CP4762" s="917"/>
      <c r="CQ4762" s="917"/>
      <c r="CR4762" s="917"/>
      <c r="CS4762" s="917"/>
      <c r="CT4762" s="917"/>
      <c r="CU4762" s="917"/>
      <c r="CV4762" s="917"/>
      <c r="CW4762" s="917"/>
      <c r="CX4762" s="917"/>
      <c r="CY4762" s="917"/>
      <c r="CZ4762" s="917"/>
      <c r="DA4762" s="917"/>
      <c r="DB4762" s="917"/>
      <c r="DC4762" s="917"/>
      <c r="DD4762" s="917"/>
      <c r="DE4762" s="917"/>
      <c r="DF4762" s="917"/>
      <c r="DG4762" s="917"/>
      <c r="DH4762" s="917"/>
      <c r="DI4762" s="917"/>
      <c r="DJ4762" s="917"/>
      <c r="DK4762" s="917"/>
      <c r="DL4762" s="917"/>
      <c r="DM4762" s="917" t="s">
        <v>78</v>
      </c>
      <c r="DN4762" s="917"/>
      <c r="DO4762" s="917"/>
      <c r="DP4762" s="917"/>
      <c r="DQ4762" s="917"/>
      <c r="DR4762" s="917"/>
      <c r="DS4762" s="917"/>
      <c r="DT4762" s="917"/>
      <c r="DU4762" s="917"/>
      <c r="DV4762" s="917"/>
      <c r="DW4762" s="917"/>
      <c r="DX4762" s="917"/>
      <c r="DY4762" s="917"/>
      <c r="DZ4762" s="917"/>
      <c r="EA4762" s="917"/>
      <c r="EB4762" s="917"/>
      <c r="EC4762" s="917"/>
      <c r="ED4762" s="917"/>
      <c r="EE4762" s="917"/>
      <c r="EF4762" s="917"/>
      <c r="EG4762" s="917"/>
      <c r="EH4762" s="917"/>
      <c r="EI4762" s="917"/>
      <c r="EJ4762" s="917"/>
      <c r="EK4762" s="917"/>
      <c r="EL4762" s="917"/>
      <c r="EM4762" s="917"/>
      <c r="EN4762" s="917"/>
      <c r="EO4762" s="917"/>
      <c r="EP4762" s="917"/>
      <c r="EQ4762" s="917"/>
      <c r="ER4762" s="917"/>
      <c r="ES4762" s="917" t="s">
        <v>78</v>
      </c>
      <c r="ET4762" s="917"/>
      <c r="EU4762" s="917"/>
      <c r="EV4762" s="917"/>
      <c r="EW4762" s="917"/>
      <c r="EX4762" s="917"/>
      <c r="EY4762" s="917"/>
      <c r="EZ4762" s="917"/>
      <c r="FA4762" s="917"/>
      <c r="FB4762" s="917"/>
      <c r="FC4762" s="917"/>
      <c r="FD4762" s="917"/>
      <c r="FE4762" s="917"/>
      <c r="FF4762" s="917"/>
      <c r="FG4762" s="917"/>
      <c r="FH4762" s="917"/>
      <c r="FI4762" s="917"/>
      <c r="FJ4762" s="917"/>
      <c r="FK4762" s="917"/>
      <c r="FL4762" s="917"/>
      <c r="FM4762" s="917"/>
      <c r="FN4762" s="917"/>
      <c r="FO4762" s="917"/>
      <c r="FP4762" s="917"/>
      <c r="FQ4762" s="917"/>
      <c r="FR4762" s="917"/>
      <c r="FS4762" s="917"/>
      <c r="FT4762" s="917"/>
      <c r="FU4762" s="917"/>
      <c r="FV4762" s="917"/>
      <c r="FW4762" s="917"/>
      <c r="FX4762" s="917"/>
      <c r="FY4762" s="917" t="s">
        <v>78</v>
      </c>
      <c r="FZ4762" s="917"/>
      <c r="GA4762" s="917"/>
      <c r="GB4762" s="917"/>
      <c r="GC4762" s="917"/>
      <c r="GD4762" s="917"/>
      <c r="GE4762" s="917"/>
      <c r="GF4762" s="917"/>
      <c r="GG4762" s="917"/>
      <c r="GH4762" s="917"/>
      <c r="GI4762" s="917"/>
      <c r="GJ4762" s="917"/>
      <c r="GK4762" s="917"/>
      <c r="GL4762" s="917"/>
      <c r="GM4762" s="917"/>
      <c r="GN4762" s="917"/>
      <c r="GO4762" s="917"/>
      <c r="GP4762" s="917"/>
      <c r="GQ4762" s="917"/>
      <c r="GR4762" s="917"/>
      <c r="GS4762" s="917"/>
      <c r="GT4762" s="917"/>
      <c r="GU4762" s="917"/>
      <c r="GV4762" s="917"/>
      <c r="GW4762" s="917"/>
      <c r="GX4762" s="917"/>
      <c r="GY4762" s="917"/>
      <c r="GZ4762" s="917"/>
      <c r="HA4762" s="917"/>
      <c r="HB4762" s="917"/>
      <c r="HC4762" s="917"/>
      <c r="HD4762" s="917"/>
      <c r="HE4762" s="917" t="s">
        <v>78</v>
      </c>
      <c r="HF4762" s="917"/>
      <c r="HG4762" s="917"/>
      <c r="HH4762" s="917"/>
      <c r="HI4762" s="917"/>
      <c r="HJ4762" s="917"/>
      <c r="HK4762" s="917"/>
      <c r="HL4762" s="917"/>
      <c r="HM4762" s="917"/>
      <c r="HN4762" s="917"/>
      <c r="HO4762" s="917"/>
      <c r="HP4762" s="917"/>
      <c r="HQ4762" s="917"/>
      <c r="HR4762" s="917"/>
      <c r="HS4762" s="917"/>
      <c r="HT4762" s="917"/>
      <c r="HU4762" s="917"/>
      <c r="HV4762" s="917"/>
      <c r="HW4762" s="917"/>
      <c r="HX4762" s="917"/>
      <c r="HY4762" s="917"/>
      <c r="HZ4762" s="917"/>
      <c r="IA4762" s="917"/>
      <c r="IB4762" s="917"/>
      <c r="IC4762" s="917"/>
      <c r="ID4762" s="917"/>
      <c r="IE4762" s="917"/>
      <c r="IF4762" s="917"/>
      <c r="IG4762" s="917"/>
      <c r="IH4762" s="917"/>
      <c r="II4762" s="917"/>
      <c r="IJ4762" s="917"/>
      <c r="IK4762" s="917" t="s">
        <v>78</v>
      </c>
      <c r="IL4762" s="917"/>
      <c r="IM4762" s="917"/>
      <c r="IN4762" s="917"/>
      <c r="IO4762" s="917"/>
      <c r="IP4762" s="917"/>
      <c r="IQ4762" s="917"/>
      <c r="IR4762" s="917"/>
      <c r="IS4762" s="917"/>
      <c r="IT4762" s="917"/>
      <c r="IU4762" s="917"/>
      <c r="IV4762" s="917"/>
      <c r="IW4762" s="917"/>
      <c r="IX4762" s="917"/>
      <c r="IY4762" s="917"/>
      <c r="IZ4762" s="917"/>
      <c r="JA4762" s="917"/>
      <c r="JB4762" s="917"/>
      <c r="JC4762" s="917"/>
      <c r="JD4762" s="917"/>
      <c r="JE4762" s="917"/>
      <c r="JF4762" s="917"/>
      <c r="JG4762" s="917"/>
      <c r="JH4762" s="917"/>
      <c r="JI4762" s="917"/>
      <c r="JJ4762" s="917"/>
      <c r="JK4762" s="917"/>
      <c r="JL4762" s="917"/>
      <c r="JM4762" s="917"/>
      <c r="JN4762" s="917"/>
      <c r="JO4762" s="917"/>
      <c r="JP4762" s="917"/>
      <c r="JQ4762" s="917" t="s">
        <v>78</v>
      </c>
      <c r="JR4762" s="917"/>
      <c r="JS4762" s="917"/>
      <c r="JT4762" s="917"/>
      <c r="JU4762" s="917"/>
      <c r="JV4762" s="917"/>
      <c r="JW4762" s="917"/>
      <c r="JX4762" s="917"/>
      <c r="JY4762" s="917"/>
      <c r="JZ4762" s="917"/>
      <c r="KA4762" s="917"/>
      <c r="KB4762" s="917"/>
      <c r="KC4762" s="917"/>
      <c r="KD4762" s="917"/>
      <c r="KE4762" s="917"/>
      <c r="KF4762" s="917"/>
      <c r="KG4762" s="917"/>
      <c r="KH4762" s="917"/>
      <c r="KI4762" s="917"/>
      <c r="KJ4762" s="917"/>
      <c r="KK4762" s="917"/>
      <c r="KL4762" s="917"/>
      <c r="KM4762" s="917"/>
      <c r="KN4762" s="917"/>
      <c r="KO4762" s="917"/>
      <c r="KP4762" s="917"/>
      <c r="KQ4762" s="917"/>
      <c r="KR4762" s="917"/>
      <c r="KS4762" s="917"/>
      <c r="KT4762" s="917"/>
      <c r="KU4762" s="917"/>
      <c r="KV4762" s="917"/>
      <c r="KW4762" s="917" t="s">
        <v>78</v>
      </c>
      <c r="KX4762" s="917"/>
      <c r="KY4762" s="917"/>
      <c r="KZ4762" s="917"/>
      <c r="LA4762" s="917"/>
      <c r="LB4762" s="917"/>
      <c r="LC4762" s="917"/>
      <c r="LD4762" s="917"/>
      <c r="LE4762" s="917"/>
      <c r="LF4762" s="917"/>
      <c r="LG4762" s="917"/>
      <c r="LH4762" s="917"/>
      <c r="LI4762" s="917"/>
      <c r="LJ4762" s="917"/>
      <c r="LK4762" s="917"/>
      <c r="LL4762" s="917"/>
      <c r="LM4762" s="917"/>
      <c r="LN4762" s="917"/>
      <c r="LO4762" s="917"/>
      <c r="LP4762" s="917"/>
      <c r="LQ4762" s="917"/>
      <c r="LR4762" s="917"/>
      <c r="LS4762" s="917"/>
      <c r="LT4762" s="917"/>
      <c r="LU4762" s="917"/>
      <c r="LV4762" s="917"/>
      <c r="LW4762" s="917"/>
      <c r="LX4762" s="917"/>
      <c r="LY4762" s="917"/>
      <c r="LZ4762" s="917"/>
      <c r="MA4762" s="917"/>
      <c r="MB4762" s="917"/>
      <c r="MC4762" s="917" t="s">
        <v>78</v>
      </c>
      <c r="MD4762" s="917"/>
      <c r="ME4762" s="917"/>
      <c r="MF4762" s="917"/>
      <c r="MG4762" s="917"/>
      <c r="MH4762" s="917"/>
      <c r="MI4762" s="917"/>
      <c r="MJ4762" s="917"/>
      <c r="MK4762" s="917"/>
      <c r="ML4762" s="917"/>
      <c r="MM4762" s="917"/>
      <c r="MN4762" s="917"/>
      <c r="MO4762" s="917"/>
      <c r="MP4762" s="917"/>
      <c r="MQ4762" s="917"/>
      <c r="MR4762" s="917"/>
      <c r="MS4762" s="917"/>
      <c r="MT4762" s="917"/>
      <c r="MU4762" s="917"/>
      <c r="MV4762" s="917"/>
      <c r="MW4762" s="917"/>
      <c r="MX4762" s="917"/>
      <c r="MY4762" s="917"/>
      <c r="MZ4762" s="917"/>
      <c r="NA4762" s="917"/>
      <c r="NB4762" s="917"/>
      <c r="NC4762" s="917"/>
      <c r="ND4762" s="917"/>
      <c r="NE4762" s="917"/>
      <c r="NF4762" s="917"/>
      <c r="NG4762" s="917"/>
      <c r="NH4762" s="917"/>
      <c r="NI4762" s="917" t="s">
        <v>78</v>
      </c>
      <c r="NJ4762" s="917"/>
      <c r="NK4762" s="917"/>
      <c r="NL4762" s="917"/>
      <c r="NM4762" s="917"/>
      <c r="NN4762" s="917"/>
      <c r="NO4762" s="917"/>
      <c r="NP4762" s="917"/>
      <c r="NQ4762" s="917"/>
      <c r="NR4762" s="917"/>
      <c r="NS4762" s="917"/>
      <c r="NT4762" s="917"/>
      <c r="NU4762" s="917"/>
      <c r="NV4762" s="917"/>
      <c r="NW4762" s="917"/>
      <c r="NX4762" s="917"/>
      <c r="NY4762" s="917"/>
      <c r="NZ4762" s="917"/>
      <c r="OA4762" s="917"/>
      <c r="OB4762" s="917"/>
      <c r="OC4762" s="917"/>
      <c r="OD4762" s="917"/>
      <c r="OE4762" s="917"/>
      <c r="OF4762" s="917"/>
      <c r="OG4762" s="917"/>
      <c r="OH4762" s="917"/>
      <c r="OI4762" s="917"/>
      <c r="OJ4762" s="917"/>
      <c r="OK4762" s="917"/>
      <c r="OL4762" s="917"/>
      <c r="OM4762" s="917"/>
      <c r="ON4762" s="917"/>
      <c r="OO4762" s="917" t="s">
        <v>78</v>
      </c>
      <c r="OP4762" s="917"/>
      <c r="OQ4762" s="917"/>
      <c r="OR4762" s="917"/>
      <c r="OS4762" s="917"/>
      <c r="OT4762" s="917"/>
      <c r="OU4762" s="917"/>
      <c r="OV4762" s="917"/>
      <c r="OW4762" s="917"/>
      <c r="OX4762" s="917"/>
      <c r="OY4762" s="917"/>
      <c r="OZ4762" s="917"/>
      <c r="PA4762" s="917"/>
      <c r="PB4762" s="917"/>
      <c r="PC4762" s="917"/>
      <c r="PD4762" s="917"/>
      <c r="PE4762" s="917"/>
      <c r="PF4762" s="917"/>
      <c r="PG4762" s="917"/>
      <c r="PH4762" s="917"/>
      <c r="PI4762" s="917"/>
      <c r="PJ4762" s="917"/>
      <c r="PK4762" s="917"/>
      <c r="PL4762" s="917"/>
      <c r="PM4762" s="917"/>
      <c r="PN4762" s="917"/>
      <c r="PO4762" s="917"/>
      <c r="PP4762" s="917"/>
      <c r="PQ4762" s="917"/>
      <c r="PR4762" s="917"/>
      <c r="PS4762" s="917"/>
      <c r="PT4762" s="917"/>
      <c r="PU4762" s="917" t="s">
        <v>78</v>
      </c>
      <c r="PV4762" s="917"/>
      <c r="PW4762" s="917"/>
      <c r="PX4762" s="917"/>
      <c r="PY4762" s="917"/>
      <c r="PZ4762" s="917"/>
      <c r="QA4762" s="917"/>
      <c r="QB4762" s="917"/>
      <c r="QC4762" s="917"/>
      <c r="QD4762" s="917"/>
      <c r="QE4762" s="917"/>
      <c r="QF4762" s="917"/>
      <c r="QG4762" s="917"/>
      <c r="QH4762" s="917"/>
      <c r="QI4762" s="917"/>
      <c r="QJ4762" s="917"/>
      <c r="QK4762" s="917"/>
      <c r="QL4762" s="917"/>
      <c r="QM4762" s="917"/>
      <c r="QN4762" s="917"/>
      <c r="QO4762" s="917"/>
      <c r="QP4762" s="917"/>
      <c r="QQ4762" s="917"/>
      <c r="QR4762" s="917"/>
      <c r="QS4762" s="917"/>
      <c r="QT4762" s="917"/>
      <c r="QU4762" s="917"/>
      <c r="QV4762" s="917"/>
      <c r="QW4762" s="917"/>
      <c r="QX4762" s="917"/>
      <c r="QY4762" s="917"/>
      <c r="QZ4762" s="917"/>
      <c r="RA4762" s="917" t="s">
        <v>78</v>
      </c>
      <c r="RB4762" s="917"/>
      <c r="RC4762" s="917"/>
      <c r="RD4762" s="917"/>
      <c r="RE4762" s="917"/>
      <c r="RF4762" s="917"/>
      <c r="RG4762" s="917"/>
      <c r="RH4762" s="917"/>
      <c r="RI4762" s="917"/>
      <c r="RJ4762" s="917"/>
      <c r="RK4762" s="917"/>
      <c r="RL4762" s="917"/>
      <c r="RM4762" s="917"/>
      <c r="RN4762" s="917"/>
      <c r="RO4762" s="917"/>
      <c r="RP4762" s="917"/>
      <c r="RQ4762" s="917"/>
      <c r="RR4762" s="917"/>
      <c r="RS4762" s="917"/>
      <c r="RT4762" s="917"/>
      <c r="RU4762" s="917"/>
      <c r="RV4762" s="917"/>
      <c r="RW4762" s="917"/>
      <c r="RX4762" s="917"/>
      <c r="RY4762" s="917"/>
      <c r="RZ4762" s="917"/>
      <c r="SA4762" s="917"/>
      <c r="SB4762" s="917"/>
      <c r="SC4762" s="917"/>
      <c r="SD4762" s="917"/>
      <c r="SE4762" s="917"/>
      <c r="SF4762" s="917"/>
      <c r="SG4762" s="917" t="s">
        <v>78</v>
      </c>
      <c r="SH4762" s="917"/>
      <c r="SI4762" s="917"/>
      <c r="SJ4762" s="917"/>
      <c r="SK4762" s="917"/>
      <c r="SL4762" s="917"/>
      <c r="SM4762" s="917"/>
      <c r="SN4762" s="917"/>
      <c r="SO4762" s="917"/>
      <c r="SP4762" s="917"/>
      <c r="SQ4762" s="917"/>
      <c r="SR4762" s="917"/>
      <c r="SS4762" s="917"/>
      <c r="ST4762" s="917"/>
      <c r="SU4762" s="917"/>
      <c r="SV4762" s="917"/>
      <c r="SW4762" s="917"/>
      <c r="SX4762" s="917"/>
      <c r="SY4762" s="917"/>
      <c r="SZ4762" s="917"/>
      <c r="TA4762" s="917"/>
      <c r="TB4762" s="917"/>
      <c r="TC4762" s="917"/>
      <c r="TD4762" s="917"/>
      <c r="TE4762" s="917"/>
      <c r="TF4762" s="917"/>
      <c r="TG4762" s="917"/>
      <c r="TH4762" s="917"/>
      <c r="TI4762" s="917"/>
      <c r="TJ4762" s="917"/>
      <c r="TK4762" s="917"/>
      <c r="TL4762" s="917"/>
      <c r="TM4762" s="917" t="s">
        <v>78</v>
      </c>
      <c r="TN4762" s="917"/>
      <c r="TO4762" s="917"/>
      <c r="TP4762" s="917"/>
      <c r="TQ4762" s="917"/>
      <c r="TR4762" s="917"/>
      <c r="TS4762" s="917"/>
      <c r="TT4762" s="917"/>
      <c r="TU4762" s="917"/>
      <c r="TV4762" s="917"/>
      <c r="TW4762" s="917"/>
      <c r="TX4762" s="917"/>
      <c r="TY4762" s="917"/>
      <c r="TZ4762" s="917"/>
      <c r="UA4762" s="917"/>
      <c r="UB4762" s="917"/>
      <c r="UC4762" s="917"/>
      <c r="UD4762" s="917"/>
      <c r="UE4762" s="917"/>
      <c r="UF4762" s="917"/>
      <c r="UG4762" s="917"/>
      <c r="UH4762" s="917"/>
      <c r="UI4762" s="917"/>
      <c r="UJ4762" s="917"/>
      <c r="UK4762" s="917"/>
      <c r="UL4762" s="917"/>
      <c r="UM4762" s="917"/>
      <c r="UN4762" s="917"/>
      <c r="UO4762" s="917"/>
      <c r="UP4762" s="917"/>
      <c r="UQ4762" s="917"/>
      <c r="UR4762" s="917"/>
      <c r="US4762" s="917" t="s">
        <v>78</v>
      </c>
      <c r="UT4762" s="917"/>
      <c r="UU4762" s="917"/>
      <c r="UV4762" s="917"/>
      <c r="UW4762" s="917"/>
      <c r="UX4762" s="917"/>
      <c r="UY4762" s="917"/>
      <c r="UZ4762" s="917"/>
      <c r="VA4762" s="917"/>
      <c r="VB4762" s="917"/>
      <c r="VC4762" s="917"/>
      <c r="VD4762" s="917"/>
      <c r="VE4762" s="917"/>
      <c r="VF4762" s="917"/>
      <c r="VG4762" s="917"/>
      <c r="VH4762" s="917"/>
      <c r="VI4762" s="917"/>
      <c r="VJ4762" s="917"/>
      <c r="VK4762" s="917"/>
      <c r="VL4762" s="917"/>
      <c r="VM4762" s="917"/>
      <c r="VN4762" s="917"/>
      <c r="VO4762" s="917"/>
      <c r="VP4762" s="917"/>
      <c r="VQ4762" s="917"/>
      <c r="VR4762" s="917"/>
      <c r="VS4762" s="917"/>
      <c r="VT4762" s="917"/>
      <c r="VU4762" s="917"/>
      <c r="VV4762" s="917"/>
      <c r="VW4762" s="917"/>
      <c r="VX4762" s="917"/>
      <c r="VY4762" s="917" t="s">
        <v>78</v>
      </c>
      <c r="VZ4762" s="917"/>
      <c r="WA4762" s="917"/>
      <c r="WB4762" s="917"/>
      <c r="WC4762" s="917"/>
      <c r="WD4762" s="917"/>
      <c r="WE4762" s="917"/>
      <c r="WF4762" s="917"/>
      <c r="WG4762" s="917"/>
      <c r="WH4762" s="917"/>
      <c r="WI4762" s="917"/>
      <c r="WJ4762" s="917"/>
      <c r="WK4762" s="917"/>
      <c r="WL4762" s="917"/>
      <c r="WM4762" s="917"/>
      <c r="WN4762" s="917"/>
      <c r="WO4762" s="917"/>
      <c r="WP4762" s="917"/>
      <c r="WQ4762" s="917"/>
      <c r="WR4762" s="917"/>
      <c r="WS4762" s="917"/>
      <c r="WT4762" s="917"/>
      <c r="WU4762" s="917"/>
      <c r="WV4762" s="917"/>
      <c r="WW4762" s="917"/>
      <c r="WX4762" s="917"/>
      <c r="WY4762" s="917"/>
      <c r="WZ4762" s="917"/>
      <c r="XA4762" s="917"/>
      <c r="XB4762" s="917"/>
      <c r="XC4762" s="917"/>
      <c r="XD4762" s="917"/>
      <c r="XE4762" s="917" t="s">
        <v>78</v>
      </c>
      <c r="XF4762" s="917"/>
      <c r="XG4762" s="917"/>
      <c r="XH4762" s="917"/>
      <c r="XI4762" s="917"/>
      <c r="XJ4762" s="917"/>
      <c r="XK4762" s="917"/>
      <c r="XL4762" s="917"/>
      <c r="XM4762" s="917"/>
      <c r="XN4762" s="917"/>
      <c r="XO4762" s="917"/>
      <c r="XP4762" s="917"/>
      <c r="XQ4762" s="917"/>
      <c r="XR4762" s="917"/>
      <c r="XS4762" s="917"/>
      <c r="XT4762" s="917"/>
      <c r="XU4762" s="917"/>
      <c r="XV4762" s="917"/>
      <c r="XW4762" s="917"/>
      <c r="XX4762" s="917"/>
      <c r="XY4762" s="917"/>
      <c r="XZ4762" s="917"/>
      <c r="YA4762" s="917"/>
      <c r="YB4762" s="917"/>
      <c r="YC4762" s="917"/>
      <c r="YD4762" s="917"/>
      <c r="YE4762" s="917"/>
      <c r="YF4762" s="917"/>
      <c r="YG4762" s="917"/>
      <c r="YH4762" s="917"/>
      <c r="YI4762" s="917"/>
      <c r="YJ4762" s="917"/>
      <c r="YK4762" s="917" t="s">
        <v>78</v>
      </c>
      <c r="YL4762" s="917"/>
      <c r="YM4762" s="917"/>
      <c r="YN4762" s="917"/>
      <c r="YO4762" s="917"/>
      <c r="YP4762" s="917"/>
      <c r="YQ4762" s="917"/>
      <c r="YR4762" s="917"/>
      <c r="YS4762" s="917"/>
      <c r="YT4762" s="917"/>
      <c r="YU4762" s="917"/>
      <c r="YV4762" s="917"/>
      <c r="YW4762" s="917"/>
      <c r="YX4762" s="917"/>
      <c r="YY4762" s="917"/>
      <c r="YZ4762" s="917"/>
      <c r="ZA4762" s="917"/>
      <c r="ZB4762" s="917"/>
      <c r="ZC4762" s="917"/>
      <c r="ZD4762" s="917"/>
      <c r="ZE4762" s="917"/>
      <c r="ZF4762" s="917"/>
      <c r="ZG4762" s="917"/>
      <c r="ZH4762" s="917"/>
      <c r="ZI4762" s="917"/>
      <c r="ZJ4762" s="917"/>
      <c r="ZK4762" s="917"/>
      <c r="ZL4762" s="917"/>
      <c r="ZM4762" s="917"/>
      <c r="ZN4762" s="917"/>
      <c r="ZO4762" s="917"/>
      <c r="ZP4762" s="917"/>
      <c r="ZQ4762" s="917" t="s">
        <v>78</v>
      </c>
      <c r="ZR4762" s="917"/>
      <c r="ZS4762" s="917"/>
      <c r="ZT4762" s="917"/>
      <c r="ZU4762" s="917"/>
      <c r="ZV4762" s="917"/>
      <c r="ZW4762" s="917"/>
      <c r="ZX4762" s="917"/>
      <c r="ZY4762" s="917"/>
      <c r="ZZ4762" s="917"/>
      <c r="AAA4762" s="917"/>
      <c r="AAB4762" s="917"/>
      <c r="AAC4762" s="917"/>
      <c r="AAD4762" s="917"/>
      <c r="AAE4762" s="917"/>
      <c r="AAF4762" s="917"/>
      <c r="AAG4762" s="917"/>
      <c r="AAH4762" s="917"/>
      <c r="AAI4762" s="917"/>
      <c r="AAJ4762" s="917"/>
      <c r="AAK4762" s="917"/>
      <c r="AAL4762" s="917"/>
      <c r="AAM4762" s="917"/>
      <c r="AAN4762" s="917"/>
      <c r="AAO4762" s="917"/>
      <c r="AAP4762" s="917"/>
      <c r="AAQ4762" s="917"/>
      <c r="AAR4762" s="917"/>
      <c r="AAS4762" s="917"/>
      <c r="AAT4762" s="917"/>
      <c r="AAU4762" s="917"/>
      <c r="AAV4762" s="917"/>
      <c r="AAW4762" s="917" t="s">
        <v>78</v>
      </c>
      <c r="AAX4762" s="917"/>
      <c r="AAY4762" s="917"/>
      <c r="AAZ4762" s="917"/>
      <c r="ABA4762" s="917"/>
      <c r="ABB4762" s="917"/>
      <c r="ABC4762" s="917"/>
      <c r="ABD4762" s="917"/>
      <c r="ABE4762" s="917"/>
      <c r="ABF4762" s="917"/>
      <c r="ABG4762" s="917"/>
      <c r="ABH4762" s="917"/>
      <c r="ABI4762" s="917"/>
      <c r="ABJ4762" s="917"/>
      <c r="ABK4762" s="917"/>
      <c r="ABL4762" s="917"/>
      <c r="ABM4762" s="917"/>
      <c r="ABN4762" s="917"/>
      <c r="ABO4762" s="917"/>
      <c r="ABP4762" s="917"/>
      <c r="ABQ4762" s="917"/>
      <c r="ABR4762" s="917"/>
      <c r="ABS4762" s="917"/>
      <c r="ABT4762" s="917"/>
      <c r="ABU4762" s="917"/>
      <c r="ABV4762" s="917"/>
      <c r="ABW4762" s="917"/>
      <c r="ABX4762" s="917"/>
      <c r="ABY4762" s="917"/>
      <c r="ABZ4762" s="917"/>
      <c r="ACA4762" s="917"/>
      <c r="ACB4762" s="917"/>
      <c r="ACC4762" s="917" t="s">
        <v>78</v>
      </c>
      <c r="ACD4762" s="917"/>
      <c r="ACE4762" s="917"/>
      <c r="ACF4762" s="917"/>
      <c r="ACG4762" s="917"/>
      <c r="ACH4762" s="917"/>
      <c r="ACI4762" s="917"/>
      <c r="ACJ4762" s="917"/>
      <c r="ACK4762" s="917"/>
      <c r="ACL4762" s="917"/>
      <c r="ACM4762" s="917"/>
      <c r="ACN4762" s="917"/>
      <c r="ACO4762" s="917"/>
      <c r="ACP4762" s="917"/>
      <c r="ACQ4762" s="917"/>
      <c r="ACR4762" s="917"/>
      <c r="ACS4762" s="917"/>
      <c r="ACT4762" s="917"/>
      <c r="ACU4762" s="917"/>
      <c r="ACV4762" s="917"/>
      <c r="ACW4762" s="917"/>
      <c r="ACX4762" s="917"/>
      <c r="ACY4762" s="917"/>
      <c r="ACZ4762" s="917"/>
      <c r="ADA4762" s="917"/>
      <c r="ADB4762" s="917"/>
      <c r="ADC4762" s="917"/>
      <c r="ADD4762" s="917"/>
      <c r="ADE4762" s="917"/>
      <c r="ADF4762" s="917"/>
      <c r="ADG4762" s="917"/>
      <c r="ADH4762" s="917"/>
      <c r="ADI4762" s="917" t="s">
        <v>78</v>
      </c>
      <c r="ADJ4762" s="917"/>
      <c r="ADK4762" s="917"/>
      <c r="ADL4762" s="917"/>
      <c r="ADM4762" s="917"/>
      <c r="ADN4762" s="917"/>
      <c r="ADO4762" s="917"/>
      <c r="ADP4762" s="917"/>
      <c r="ADQ4762" s="917"/>
      <c r="ADR4762" s="917"/>
      <c r="ADS4762" s="917"/>
      <c r="ADT4762" s="917"/>
      <c r="ADU4762" s="917"/>
      <c r="ADV4762" s="917"/>
      <c r="ADW4762" s="917"/>
      <c r="ADX4762" s="917"/>
      <c r="ADY4762" s="917"/>
      <c r="ADZ4762" s="917"/>
      <c r="AEA4762" s="917"/>
      <c r="AEB4762" s="917"/>
      <c r="AEC4762" s="917"/>
      <c r="AED4762" s="917"/>
      <c r="AEE4762" s="917"/>
      <c r="AEF4762" s="917"/>
      <c r="AEG4762" s="917"/>
      <c r="AEH4762" s="917"/>
      <c r="AEI4762" s="917"/>
      <c r="AEJ4762" s="917"/>
      <c r="AEK4762" s="917"/>
      <c r="AEL4762" s="917"/>
      <c r="AEM4762" s="917"/>
      <c r="AEN4762" s="917"/>
      <c r="AEO4762" s="917" t="s">
        <v>78</v>
      </c>
      <c r="AEP4762" s="917"/>
      <c r="AEQ4762" s="917"/>
      <c r="AER4762" s="917"/>
      <c r="AES4762" s="917"/>
      <c r="AET4762" s="917"/>
      <c r="AEU4762" s="917"/>
      <c r="AEV4762" s="917"/>
      <c r="AEW4762" s="917"/>
      <c r="AEX4762" s="917"/>
      <c r="AEY4762" s="917"/>
      <c r="AEZ4762" s="917"/>
      <c r="AFA4762" s="917"/>
      <c r="AFB4762" s="917"/>
      <c r="AFC4762" s="917"/>
      <c r="AFD4762" s="917"/>
      <c r="AFE4762" s="917"/>
      <c r="AFF4762" s="917"/>
      <c r="AFG4762" s="917"/>
      <c r="AFH4762" s="917"/>
      <c r="AFI4762" s="917"/>
      <c r="AFJ4762" s="917"/>
      <c r="AFK4762" s="917"/>
      <c r="AFL4762" s="917"/>
      <c r="AFM4762" s="917"/>
      <c r="AFN4762" s="917"/>
      <c r="AFO4762" s="917"/>
      <c r="AFP4762" s="917"/>
      <c r="AFQ4762" s="917"/>
      <c r="AFR4762" s="917"/>
      <c r="AFS4762" s="917"/>
      <c r="AFT4762" s="917"/>
      <c r="AFU4762" s="917" t="s">
        <v>78</v>
      </c>
      <c r="AFV4762" s="917"/>
      <c r="AFW4762" s="917"/>
      <c r="AFX4762" s="917"/>
      <c r="AFY4762" s="917"/>
      <c r="AFZ4762" s="917"/>
      <c r="AGA4762" s="917"/>
      <c r="AGB4762" s="917"/>
      <c r="AGC4762" s="917"/>
      <c r="AGD4762" s="917"/>
      <c r="AGE4762" s="917"/>
      <c r="AGF4762" s="917"/>
      <c r="AGG4762" s="917"/>
      <c r="AGH4762" s="917"/>
      <c r="AGI4762" s="917"/>
      <c r="AGJ4762" s="917"/>
      <c r="AGK4762" s="917"/>
      <c r="AGL4762" s="917"/>
      <c r="AGM4762" s="917"/>
      <c r="AGN4762" s="917"/>
      <c r="AGO4762" s="917"/>
      <c r="AGP4762" s="917"/>
      <c r="AGQ4762" s="917"/>
      <c r="AGR4762" s="917"/>
      <c r="AGS4762" s="917"/>
      <c r="AGT4762" s="917"/>
      <c r="AGU4762" s="917"/>
      <c r="AGV4762" s="917"/>
      <c r="AGW4762" s="917"/>
      <c r="AGX4762" s="917"/>
      <c r="AGY4762" s="917"/>
      <c r="AGZ4762" s="917"/>
      <c r="AHA4762" s="917" t="s">
        <v>78</v>
      </c>
      <c r="AHB4762" s="917"/>
      <c r="AHC4762" s="917"/>
      <c r="AHD4762" s="917"/>
      <c r="AHE4762" s="917"/>
      <c r="AHF4762" s="917"/>
      <c r="AHG4762" s="917"/>
      <c r="AHH4762" s="917"/>
      <c r="AHI4762" s="917"/>
      <c r="AHJ4762" s="917"/>
      <c r="AHK4762" s="917"/>
      <c r="AHL4762" s="917"/>
      <c r="AHM4762" s="917"/>
      <c r="AHN4762" s="917"/>
      <c r="AHO4762" s="917"/>
      <c r="AHP4762" s="917"/>
      <c r="AHQ4762" s="917"/>
      <c r="AHR4762" s="917"/>
      <c r="AHS4762" s="917"/>
      <c r="AHT4762" s="917"/>
      <c r="AHU4762" s="917"/>
      <c r="AHV4762" s="917"/>
      <c r="AHW4762" s="917"/>
      <c r="AHX4762" s="917"/>
      <c r="AHY4762" s="917"/>
      <c r="AHZ4762" s="917"/>
      <c r="AIA4762" s="917"/>
      <c r="AIB4762" s="917"/>
      <c r="AIC4762" s="917"/>
      <c r="AID4762" s="917"/>
      <c r="AIE4762" s="917"/>
      <c r="AIF4762" s="917"/>
      <c r="AIG4762" s="917" t="s">
        <v>78</v>
      </c>
      <c r="AIH4762" s="917"/>
      <c r="AII4762" s="917"/>
      <c r="AIJ4762" s="917"/>
      <c r="AIK4762" s="917"/>
      <c r="AIL4762" s="917"/>
      <c r="AIM4762" s="917"/>
      <c r="AIN4762" s="917"/>
      <c r="AIO4762" s="917"/>
      <c r="AIP4762" s="917"/>
      <c r="AIQ4762" s="917"/>
      <c r="AIR4762" s="917"/>
      <c r="AIS4762" s="917"/>
      <c r="AIT4762" s="917"/>
      <c r="AIU4762" s="917"/>
      <c r="AIV4762" s="917"/>
      <c r="AIW4762" s="917"/>
      <c r="AIX4762" s="917"/>
      <c r="AIY4762" s="917"/>
      <c r="AIZ4762" s="917"/>
      <c r="AJA4762" s="917"/>
      <c r="AJB4762" s="917"/>
      <c r="AJC4762" s="917"/>
      <c r="AJD4762" s="917"/>
      <c r="AJE4762" s="917"/>
      <c r="AJF4762" s="917"/>
      <c r="AJG4762" s="917"/>
      <c r="AJH4762" s="917"/>
      <c r="AJI4762" s="917"/>
      <c r="AJJ4762" s="917"/>
      <c r="AJK4762" s="917"/>
      <c r="AJL4762" s="917"/>
      <c r="AJM4762" s="917" t="s">
        <v>78</v>
      </c>
      <c r="AJN4762" s="917"/>
      <c r="AJO4762" s="917"/>
      <c r="AJP4762" s="917"/>
      <c r="AJQ4762" s="917"/>
      <c r="AJR4762" s="917"/>
      <c r="AJS4762" s="917"/>
      <c r="AJT4762" s="917"/>
      <c r="AJU4762" s="917"/>
      <c r="AJV4762" s="917"/>
      <c r="AJW4762" s="917"/>
      <c r="AJX4762" s="917"/>
      <c r="AJY4762" s="917"/>
      <c r="AJZ4762" s="917"/>
      <c r="AKA4762" s="917"/>
      <c r="AKB4762" s="917"/>
      <c r="AKC4762" s="917"/>
      <c r="AKD4762" s="917"/>
      <c r="AKE4762" s="917"/>
      <c r="AKF4762" s="917"/>
      <c r="AKG4762" s="917"/>
      <c r="AKH4762" s="917"/>
      <c r="AKI4762" s="917"/>
      <c r="AKJ4762" s="917"/>
      <c r="AKK4762" s="917"/>
      <c r="AKL4762" s="917"/>
      <c r="AKM4762" s="917"/>
      <c r="AKN4762" s="917"/>
      <c r="AKO4762" s="917"/>
      <c r="AKP4762" s="917"/>
      <c r="AKQ4762" s="917"/>
      <c r="AKR4762" s="917"/>
      <c r="AKS4762" s="917" t="s">
        <v>78</v>
      </c>
      <c r="AKT4762" s="917"/>
      <c r="AKU4762" s="917"/>
      <c r="AKV4762" s="917"/>
      <c r="AKW4762" s="917"/>
      <c r="AKX4762" s="917"/>
      <c r="AKY4762" s="917"/>
      <c r="AKZ4762" s="917"/>
      <c r="ALA4762" s="917"/>
      <c r="ALB4762" s="917"/>
      <c r="ALC4762" s="917"/>
      <c r="ALD4762" s="917"/>
      <c r="ALE4762" s="917"/>
      <c r="ALF4762" s="917"/>
      <c r="ALG4762" s="917"/>
      <c r="ALH4762" s="917"/>
      <c r="ALI4762" s="917"/>
      <c r="ALJ4762" s="917"/>
      <c r="ALK4762" s="917"/>
      <c r="ALL4762" s="917"/>
      <c r="ALM4762" s="917"/>
      <c r="ALN4762" s="917"/>
      <c r="ALO4762" s="917"/>
      <c r="ALP4762" s="917"/>
      <c r="ALQ4762" s="917"/>
      <c r="ALR4762" s="917"/>
      <c r="ALS4762" s="917"/>
      <c r="ALT4762" s="917"/>
      <c r="ALU4762" s="917"/>
      <c r="ALV4762" s="917"/>
      <c r="ALW4762" s="917"/>
      <c r="ALX4762" s="917"/>
      <c r="ALY4762" s="917" t="s">
        <v>78</v>
      </c>
      <c r="ALZ4762" s="917"/>
      <c r="AMA4762" s="917"/>
      <c r="AMB4762" s="917"/>
      <c r="AMC4762" s="917"/>
      <c r="AMD4762" s="917"/>
      <c r="AME4762" s="917"/>
      <c r="AMF4762" s="917"/>
      <c r="AMG4762" s="917"/>
      <c r="AMH4762" s="917"/>
      <c r="AMI4762" s="917"/>
      <c r="AMJ4762" s="917"/>
      <c r="AMK4762" s="917"/>
      <c r="AML4762" s="917"/>
      <c r="AMM4762" s="917"/>
      <c r="AMN4762" s="917"/>
      <c r="AMO4762" s="917"/>
      <c r="AMP4762" s="917"/>
      <c r="AMQ4762" s="917"/>
      <c r="AMR4762" s="917"/>
      <c r="AMS4762" s="917"/>
      <c r="AMT4762" s="917"/>
      <c r="AMU4762" s="917"/>
      <c r="AMV4762" s="917"/>
      <c r="AMW4762" s="917"/>
      <c r="AMX4762" s="917"/>
      <c r="AMY4762" s="917"/>
      <c r="AMZ4762" s="917"/>
      <c r="ANA4762" s="917"/>
      <c r="ANB4762" s="917"/>
      <c r="ANC4762" s="917"/>
      <c r="AND4762" s="917"/>
      <c r="ANE4762" s="917" t="s">
        <v>78</v>
      </c>
      <c r="ANF4762" s="917"/>
      <c r="ANG4762" s="917"/>
      <c r="ANH4762" s="917"/>
      <c r="ANI4762" s="917"/>
      <c r="ANJ4762" s="917"/>
      <c r="ANK4762" s="917"/>
      <c r="ANL4762" s="917"/>
      <c r="ANM4762" s="917"/>
      <c r="ANN4762" s="917"/>
      <c r="ANO4762" s="917"/>
      <c r="ANP4762" s="917"/>
      <c r="ANQ4762" s="917"/>
      <c r="ANR4762" s="917"/>
      <c r="ANS4762" s="917"/>
      <c r="ANT4762" s="917"/>
      <c r="ANU4762" s="917"/>
      <c r="ANV4762" s="917"/>
      <c r="ANW4762" s="917"/>
      <c r="ANX4762" s="917"/>
      <c r="ANY4762" s="917"/>
      <c r="ANZ4762" s="917"/>
      <c r="AOA4762" s="917"/>
      <c r="AOB4762" s="917"/>
      <c r="AOC4762" s="917"/>
      <c r="AOD4762" s="917"/>
      <c r="AOE4762" s="917"/>
      <c r="AOF4762" s="917"/>
      <c r="AOG4762" s="917"/>
      <c r="AOH4762" s="917"/>
      <c r="AOI4762" s="917"/>
      <c r="AOJ4762" s="917"/>
      <c r="AOK4762" s="917" t="s">
        <v>78</v>
      </c>
      <c r="AOL4762" s="917"/>
      <c r="AOM4762" s="917"/>
      <c r="AON4762" s="917"/>
      <c r="AOO4762" s="917"/>
      <c r="AOP4762" s="917"/>
      <c r="AOQ4762" s="917"/>
      <c r="AOR4762" s="917"/>
      <c r="AOS4762" s="917"/>
      <c r="AOT4762" s="917"/>
      <c r="AOU4762" s="917"/>
      <c r="AOV4762" s="917"/>
      <c r="AOW4762" s="917"/>
      <c r="AOX4762" s="917"/>
      <c r="AOY4762" s="917"/>
      <c r="AOZ4762" s="917"/>
      <c r="APA4762" s="917"/>
      <c r="APB4762" s="917"/>
      <c r="APC4762" s="917"/>
      <c r="APD4762" s="917"/>
      <c r="APE4762" s="917"/>
      <c r="APF4762" s="917"/>
      <c r="APG4762" s="917"/>
      <c r="APH4762" s="917"/>
      <c r="API4762" s="917"/>
      <c r="APJ4762" s="917"/>
      <c r="APK4762" s="917"/>
      <c r="APL4762" s="917"/>
      <c r="APM4762" s="917"/>
      <c r="APN4762" s="917"/>
      <c r="APO4762" s="917"/>
      <c r="APP4762" s="917"/>
      <c r="APQ4762" s="917" t="s">
        <v>78</v>
      </c>
      <c r="APR4762" s="917"/>
      <c r="APS4762" s="917"/>
      <c r="APT4762" s="917"/>
      <c r="APU4762" s="917"/>
      <c r="APV4762" s="917"/>
      <c r="APW4762" s="917"/>
      <c r="APX4762" s="917"/>
      <c r="APY4762" s="917"/>
      <c r="APZ4762" s="917"/>
      <c r="AQA4762" s="917"/>
      <c r="AQB4762" s="917"/>
      <c r="AQC4762" s="917"/>
      <c r="AQD4762" s="917"/>
      <c r="AQE4762" s="917"/>
      <c r="AQF4762" s="917"/>
      <c r="AQG4762" s="917"/>
      <c r="AQH4762" s="917"/>
      <c r="AQI4762" s="917"/>
      <c r="AQJ4762" s="917"/>
      <c r="AQK4762" s="917"/>
      <c r="AQL4762" s="917"/>
      <c r="AQM4762" s="917"/>
      <c r="AQN4762" s="917"/>
      <c r="AQO4762" s="917"/>
      <c r="AQP4762" s="917"/>
      <c r="AQQ4762" s="917"/>
      <c r="AQR4762" s="917"/>
      <c r="AQS4762" s="917"/>
      <c r="AQT4762" s="917"/>
      <c r="AQU4762" s="917"/>
      <c r="AQV4762" s="917"/>
      <c r="AQW4762" s="917" t="s">
        <v>78</v>
      </c>
      <c r="AQX4762" s="917"/>
      <c r="AQY4762" s="917"/>
      <c r="AQZ4762" s="917"/>
      <c r="ARA4762" s="917"/>
      <c r="ARB4762" s="917"/>
      <c r="ARC4762" s="917"/>
      <c r="ARD4762" s="917"/>
      <c r="ARE4762" s="917"/>
      <c r="ARF4762" s="917"/>
      <c r="ARG4762" s="917"/>
      <c r="ARH4762" s="917"/>
      <c r="ARI4762" s="917"/>
      <c r="ARJ4762" s="917"/>
      <c r="ARK4762" s="917"/>
      <c r="ARL4762" s="917"/>
      <c r="ARM4762" s="917"/>
      <c r="ARN4762" s="917"/>
      <c r="ARO4762" s="917"/>
      <c r="ARP4762" s="917"/>
      <c r="ARQ4762" s="917"/>
      <c r="ARR4762" s="917"/>
      <c r="ARS4762" s="917"/>
      <c r="ART4762" s="917"/>
      <c r="ARU4762" s="917"/>
      <c r="ARV4762" s="917"/>
      <c r="ARW4762" s="917"/>
      <c r="ARX4762" s="917"/>
      <c r="ARY4762" s="917"/>
      <c r="ARZ4762" s="917"/>
      <c r="ASA4762" s="917"/>
      <c r="ASB4762" s="917"/>
      <c r="ASC4762" s="917" t="s">
        <v>78</v>
      </c>
      <c r="ASD4762" s="917"/>
      <c r="ASE4762" s="917"/>
      <c r="ASF4762" s="917"/>
      <c r="ASG4762" s="917"/>
      <c r="ASH4762" s="917"/>
      <c r="ASI4762" s="917"/>
      <c r="ASJ4762" s="917"/>
      <c r="ASK4762" s="917"/>
      <c r="ASL4762" s="917"/>
      <c r="ASM4762" s="917"/>
      <c r="ASN4762" s="917"/>
      <c r="ASO4762" s="917"/>
      <c r="ASP4762" s="917"/>
      <c r="ASQ4762" s="917"/>
      <c r="ASR4762" s="917"/>
      <c r="ASS4762" s="917"/>
      <c r="AST4762" s="917"/>
      <c r="ASU4762" s="917"/>
      <c r="ASV4762" s="917"/>
      <c r="ASW4762" s="917"/>
      <c r="ASX4762" s="917"/>
      <c r="ASY4762" s="917"/>
      <c r="ASZ4762" s="917"/>
      <c r="ATA4762" s="917"/>
      <c r="ATB4762" s="917"/>
      <c r="ATC4762" s="917"/>
      <c r="ATD4762" s="917"/>
      <c r="ATE4762" s="917"/>
      <c r="ATF4762" s="917"/>
      <c r="ATG4762" s="917"/>
      <c r="ATH4762" s="917"/>
      <c r="ATI4762" s="917" t="s">
        <v>78</v>
      </c>
      <c r="ATJ4762" s="917"/>
      <c r="ATK4762" s="917"/>
      <c r="ATL4762" s="917"/>
      <c r="ATM4762" s="917"/>
      <c r="ATN4762" s="917"/>
      <c r="ATO4762" s="917"/>
      <c r="ATP4762" s="917"/>
      <c r="ATQ4762" s="917"/>
      <c r="ATR4762" s="917"/>
      <c r="ATS4762" s="917"/>
      <c r="ATT4762" s="917"/>
      <c r="ATU4762" s="917"/>
      <c r="ATV4762" s="917"/>
      <c r="ATW4762" s="917"/>
      <c r="ATX4762" s="917"/>
      <c r="ATY4762" s="917"/>
      <c r="ATZ4762" s="917"/>
      <c r="AUA4762" s="917"/>
      <c r="AUB4762" s="917"/>
      <c r="AUC4762" s="917"/>
      <c r="AUD4762" s="917"/>
      <c r="AUE4762" s="917"/>
      <c r="AUF4762" s="917"/>
      <c r="AUG4762" s="917"/>
      <c r="AUH4762" s="917"/>
      <c r="AUI4762" s="917"/>
      <c r="AUJ4762" s="917"/>
      <c r="AUK4762" s="917"/>
      <c r="AUL4762" s="917"/>
      <c r="AUM4762" s="917"/>
      <c r="AUN4762" s="917"/>
      <c r="AUO4762" s="917" t="s">
        <v>78</v>
      </c>
      <c r="AUP4762" s="917"/>
      <c r="AUQ4762" s="917"/>
      <c r="AUR4762" s="917"/>
      <c r="AUS4762" s="917"/>
      <c r="AUT4762" s="917"/>
      <c r="AUU4762" s="917"/>
      <c r="AUV4762" s="917"/>
      <c r="AUW4762" s="917"/>
      <c r="AUX4762" s="917"/>
      <c r="AUY4762" s="917"/>
      <c r="AUZ4762" s="917"/>
      <c r="AVA4762" s="917"/>
      <c r="AVB4762" s="917"/>
      <c r="AVC4762" s="917"/>
      <c r="AVD4762" s="917"/>
      <c r="AVE4762" s="917"/>
      <c r="AVF4762" s="917"/>
      <c r="AVG4762" s="917"/>
      <c r="AVH4762" s="917"/>
      <c r="AVI4762" s="917"/>
      <c r="AVJ4762" s="917"/>
      <c r="AVK4762" s="917"/>
      <c r="AVL4762" s="917"/>
      <c r="AVM4762" s="917"/>
      <c r="AVN4762" s="917"/>
      <c r="AVO4762" s="917"/>
      <c r="AVP4762" s="917"/>
      <c r="AVQ4762" s="917"/>
      <c r="AVR4762" s="917"/>
      <c r="AVS4762" s="917"/>
      <c r="AVT4762" s="917"/>
      <c r="AVU4762" s="917" t="s">
        <v>78</v>
      </c>
      <c r="AVV4762" s="917"/>
      <c r="AVW4762" s="917"/>
      <c r="AVX4762" s="917"/>
      <c r="AVY4762" s="917"/>
      <c r="AVZ4762" s="917"/>
      <c r="AWA4762" s="917"/>
      <c r="AWB4762" s="917"/>
      <c r="AWC4762" s="917"/>
      <c r="AWD4762" s="917"/>
      <c r="AWE4762" s="917"/>
      <c r="AWF4762" s="917"/>
      <c r="AWG4762" s="917"/>
      <c r="AWH4762" s="917"/>
      <c r="AWI4762" s="917"/>
      <c r="AWJ4762" s="917"/>
      <c r="AWK4762" s="917"/>
      <c r="AWL4762" s="917"/>
      <c r="AWM4762" s="917"/>
      <c r="AWN4762" s="917"/>
      <c r="AWO4762" s="917"/>
      <c r="AWP4762" s="917"/>
      <c r="AWQ4762" s="917"/>
      <c r="AWR4762" s="917"/>
      <c r="AWS4762" s="917"/>
      <c r="AWT4762" s="917"/>
      <c r="AWU4762" s="917"/>
      <c r="AWV4762" s="917"/>
      <c r="AWW4762" s="917"/>
      <c r="AWX4762" s="917"/>
      <c r="AWY4762" s="917"/>
      <c r="AWZ4762" s="917"/>
      <c r="AXA4762" s="917" t="s">
        <v>78</v>
      </c>
      <c r="AXB4762" s="917"/>
      <c r="AXC4762" s="917"/>
      <c r="AXD4762" s="917"/>
      <c r="AXE4762" s="917"/>
      <c r="AXF4762" s="917"/>
      <c r="AXG4762" s="917"/>
      <c r="AXH4762" s="917"/>
      <c r="AXI4762" s="917"/>
      <c r="AXJ4762" s="917"/>
      <c r="AXK4762" s="917"/>
      <c r="AXL4762" s="917"/>
      <c r="AXM4762" s="917"/>
      <c r="AXN4762" s="917"/>
      <c r="AXO4762" s="917"/>
      <c r="AXP4762" s="917"/>
      <c r="AXQ4762" s="917"/>
      <c r="AXR4762" s="917"/>
      <c r="AXS4762" s="917"/>
      <c r="AXT4762" s="917"/>
      <c r="AXU4762" s="917"/>
      <c r="AXV4762" s="917"/>
      <c r="AXW4762" s="917"/>
      <c r="AXX4762" s="917"/>
      <c r="AXY4762" s="917"/>
      <c r="AXZ4762" s="917"/>
      <c r="AYA4762" s="917"/>
      <c r="AYB4762" s="917"/>
      <c r="AYC4762" s="917"/>
      <c r="AYD4762" s="917"/>
      <c r="AYE4762" s="917"/>
      <c r="AYF4762" s="917"/>
      <c r="AYG4762" s="917" t="s">
        <v>78</v>
      </c>
      <c r="AYH4762" s="917"/>
      <c r="AYI4762" s="917"/>
      <c r="AYJ4762" s="917"/>
      <c r="AYK4762" s="917"/>
      <c r="AYL4762" s="917"/>
      <c r="AYM4762" s="917"/>
      <c r="AYN4762" s="917"/>
      <c r="AYO4762" s="917"/>
      <c r="AYP4762" s="917"/>
      <c r="AYQ4762" s="917"/>
      <c r="AYR4762" s="917"/>
      <c r="AYS4762" s="917"/>
      <c r="AYT4762" s="917"/>
      <c r="AYU4762" s="917"/>
      <c r="AYV4762" s="917"/>
      <c r="AYW4762" s="917"/>
      <c r="AYX4762" s="917"/>
      <c r="AYY4762" s="917"/>
      <c r="AYZ4762" s="917"/>
      <c r="AZA4762" s="917"/>
      <c r="AZB4762" s="917"/>
      <c r="AZC4762" s="917"/>
      <c r="AZD4762" s="917"/>
      <c r="AZE4762" s="917"/>
      <c r="AZF4762" s="917"/>
      <c r="AZG4762" s="917"/>
      <c r="AZH4762" s="917"/>
      <c r="AZI4762" s="917"/>
      <c r="AZJ4762" s="917"/>
      <c r="AZK4762" s="917"/>
      <c r="AZL4762" s="917"/>
      <c r="AZM4762" s="917" t="s">
        <v>78</v>
      </c>
      <c r="AZN4762" s="917"/>
      <c r="AZO4762" s="917"/>
      <c r="AZP4762" s="917"/>
      <c r="AZQ4762" s="917"/>
      <c r="AZR4762" s="917"/>
      <c r="AZS4762" s="917"/>
      <c r="AZT4762" s="917"/>
      <c r="AZU4762" s="917"/>
      <c r="AZV4762" s="917"/>
      <c r="AZW4762" s="917"/>
      <c r="AZX4762" s="917"/>
      <c r="AZY4762" s="917"/>
      <c r="AZZ4762" s="917"/>
      <c r="BAA4762" s="917"/>
      <c r="BAB4762" s="917"/>
      <c r="BAC4762" s="917"/>
      <c r="BAD4762" s="917"/>
      <c r="BAE4762" s="917"/>
      <c r="BAF4762" s="917"/>
      <c r="BAG4762" s="917"/>
      <c r="BAH4762" s="917"/>
      <c r="BAI4762" s="917"/>
      <c r="BAJ4762" s="917"/>
      <c r="BAK4762" s="917"/>
      <c r="BAL4762" s="917"/>
      <c r="BAM4762" s="917"/>
      <c r="BAN4762" s="917"/>
      <c r="BAO4762" s="917"/>
      <c r="BAP4762" s="917"/>
      <c r="BAQ4762" s="917"/>
      <c r="BAR4762" s="917"/>
      <c r="BAS4762" s="917" t="s">
        <v>78</v>
      </c>
      <c r="BAT4762" s="917"/>
      <c r="BAU4762" s="917"/>
      <c r="BAV4762" s="917"/>
      <c r="BAW4762" s="917"/>
      <c r="BAX4762" s="917"/>
      <c r="BAY4762" s="917"/>
      <c r="BAZ4762" s="917"/>
      <c r="BBA4762" s="917"/>
      <c r="BBB4762" s="917"/>
      <c r="BBC4762" s="917"/>
      <c r="BBD4762" s="917"/>
      <c r="BBE4762" s="917"/>
      <c r="BBF4762" s="917"/>
      <c r="BBG4762" s="917"/>
      <c r="BBH4762" s="917"/>
      <c r="BBI4762" s="917"/>
      <c r="BBJ4762" s="917"/>
      <c r="BBK4762" s="917"/>
      <c r="BBL4762" s="917"/>
      <c r="BBM4762" s="917"/>
      <c r="BBN4762" s="917"/>
      <c r="BBO4762" s="917"/>
      <c r="BBP4762" s="917"/>
      <c r="BBQ4762" s="917"/>
      <c r="BBR4762" s="917"/>
      <c r="BBS4762" s="917"/>
      <c r="BBT4762" s="917"/>
      <c r="BBU4762" s="917"/>
      <c r="BBV4762" s="917"/>
      <c r="BBW4762" s="917"/>
      <c r="BBX4762" s="917"/>
      <c r="BBY4762" s="917" t="s">
        <v>78</v>
      </c>
      <c r="BBZ4762" s="917"/>
      <c r="BCA4762" s="917"/>
      <c r="BCB4762" s="917"/>
      <c r="BCC4762" s="917"/>
      <c r="BCD4762" s="917"/>
      <c r="BCE4762" s="917"/>
      <c r="BCF4762" s="917"/>
      <c r="BCG4762" s="917"/>
      <c r="BCH4762" s="917"/>
      <c r="BCI4762" s="917"/>
      <c r="BCJ4762" s="917"/>
      <c r="BCK4762" s="917"/>
      <c r="BCL4762" s="917"/>
      <c r="BCM4762" s="917"/>
      <c r="BCN4762" s="917"/>
      <c r="BCO4762" s="917"/>
      <c r="BCP4762" s="917"/>
      <c r="BCQ4762" s="917"/>
      <c r="BCR4762" s="917"/>
      <c r="BCS4762" s="917"/>
      <c r="BCT4762" s="917"/>
      <c r="BCU4762" s="917"/>
      <c r="BCV4762" s="917"/>
      <c r="BCW4762" s="917"/>
      <c r="BCX4762" s="917"/>
      <c r="BCY4762" s="917"/>
      <c r="BCZ4762" s="917"/>
      <c r="BDA4762" s="917"/>
      <c r="BDB4762" s="917"/>
      <c r="BDC4762" s="917"/>
      <c r="BDD4762" s="917"/>
      <c r="BDE4762" s="917" t="s">
        <v>78</v>
      </c>
      <c r="BDF4762" s="917"/>
      <c r="BDG4762" s="917"/>
      <c r="BDH4762" s="917"/>
      <c r="BDI4762" s="917"/>
      <c r="BDJ4762" s="917"/>
      <c r="BDK4762" s="917"/>
      <c r="BDL4762" s="917"/>
      <c r="BDM4762" s="917"/>
      <c r="BDN4762" s="917"/>
      <c r="BDO4762" s="917"/>
      <c r="BDP4762" s="917"/>
      <c r="BDQ4762" s="917"/>
      <c r="BDR4762" s="917"/>
      <c r="BDS4762" s="917"/>
      <c r="BDT4762" s="917"/>
      <c r="BDU4762" s="917"/>
      <c r="BDV4762" s="917"/>
      <c r="BDW4762" s="917"/>
      <c r="BDX4762" s="917"/>
      <c r="BDY4762" s="917"/>
      <c r="BDZ4762" s="917"/>
      <c r="BEA4762" s="917"/>
      <c r="BEB4762" s="917"/>
      <c r="BEC4762" s="917"/>
      <c r="BED4762" s="917"/>
      <c r="BEE4762" s="917"/>
      <c r="BEF4762" s="917"/>
      <c r="BEG4762" s="917"/>
      <c r="BEH4762" s="917"/>
      <c r="BEI4762" s="917"/>
      <c r="BEJ4762" s="917"/>
      <c r="BEK4762" s="917" t="s">
        <v>78</v>
      </c>
      <c r="BEL4762" s="917"/>
      <c r="BEM4762" s="917"/>
      <c r="BEN4762" s="917"/>
      <c r="BEO4762" s="917"/>
      <c r="BEP4762" s="917"/>
      <c r="BEQ4762" s="917"/>
      <c r="BER4762" s="917"/>
      <c r="BES4762" s="917"/>
      <c r="BET4762" s="917"/>
      <c r="BEU4762" s="917"/>
      <c r="BEV4762" s="917"/>
      <c r="BEW4762" s="917"/>
      <c r="BEX4762" s="917"/>
      <c r="BEY4762" s="917"/>
      <c r="BEZ4762" s="917"/>
      <c r="BFA4762" s="917"/>
      <c r="BFB4762" s="917"/>
      <c r="BFC4762" s="917"/>
      <c r="BFD4762" s="917"/>
      <c r="BFE4762" s="917"/>
      <c r="BFF4762" s="917"/>
      <c r="BFG4762" s="917"/>
      <c r="BFH4762" s="917"/>
      <c r="BFI4762" s="917"/>
      <c r="BFJ4762" s="917"/>
      <c r="BFK4762" s="917"/>
      <c r="BFL4762" s="917"/>
      <c r="BFM4762" s="917"/>
      <c r="BFN4762" s="917"/>
      <c r="BFO4762" s="917"/>
      <c r="BFP4762" s="917"/>
      <c r="BFQ4762" s="917" t="s">
        <v>78</v>
      </c>
      <c r="BFR4762" s="917"/>
      <c r="BFS4762" s="917"/>
      <c r="BFT4762" s="917"/>
      <c r="BFU4762" s="917"/>
      <c r="BFV4762" s="917"/>
      <c r="BFW4762" s="917"/>
      <c r="BFX4762" s="917"/>
      <c r="BFY4762" s="917"/>
      <c r="BFZ4762" s="917"/>
      <c r="BGA4762" s="917"/>
      <c r="BGB4762" s="917"/>
      <c r="BGC4762" s="917"/>
      <c r="BGD4762" s="917"/>
      <c r="BGE4762" s="917"/>
      <c r="BGF4762" s="917"/>
      <c r="BGG4762" s="917"/>
      <c r="BGH4762" s="917"/>
      <c r="BGI4762" s="917"/>
      <c r="BGJ4762" s="917"/>
      <c r="BGK4762" s="917"/>
      <c r="BGL4762" s="917"/>
      <c r="BGM4762" s="917"/>
      <c r="BGN4762" s="917"/>
      <c r="BGO4762" s="917"/>
      <c r="BGP4762" s="917"/>
      <c r="BGQ4762" s="917"/>
      <c r="BGR4762" s="917"/>
      <c r="BGS4762" s="917"/>
      <c r="BGT4762" s="917"/>
      <c r="BGU4762" s="917"/>
      <c r="BGV4762" s="917"/>
      <c r="BGW4762" s="917" t="s">
        <v>78</v>
      </c>
      <c r="BGX4762" s="917"/>
      <c r="BGY4762" s="917"/>
      <c r="BGZ4762" s="917"/>
      <c r="BHA4762" s="917"/>
      <c r="BHB4762" s="917"/>
      <c r="BHC4762" s="917"/>
      <c r="BHD4762" s="917"/>
      <c r="BHE4762" s="917"/>
      <c r="BHF4762" s="917"/>
      <c r="BHG4762" s="917"/>
      <c r="BHH4762" s="917"/>
      <c r="BHI4762" s="917"/>
      <c r="BHJ4762" s="917"/>
      <c r="BHK4762" s="917"/>
      <c r="BHL4762" s="917"/>
      <c r="BHM4762" s="917"/>
      <c r="BHN4762" s="917"/>
      <c r="BHO4762" s="917"/>
      <c r="BHP4762" s="917"/>
      <c r="BHQ4762" s="917"/>
      <c r="BHR4762" s="917"/>
      <c r="BHS4762" s="917"/>
      <c r="BHT4762" s="917"/>
      <c r="BHU4762" s="917"/>
      <c r="BHV4762" s="917"/>
      <c r="BHW4762" s="917"/>
      <c r="BHX4762" s="917"/>
      <c r="BHY4762" s="917"/>
      <c r="BHZ4762" s="917"/>
      <c r="BIA4762" s="917"/>
      <c r="BIB4762" s="917"/>
      <c r="BIC4762" s="917" t="s">
        <v>78</v>
      </c>
      <c r="BID4762" s="917"/>
      <c r="BIE4762" s="917"/>
      <c r="BIF4762" s="917"/>
      <c r="BIG4762" s="917"/>
      <c r="BIH4762" s="917"/>
      <c r="BII4762" s="917"/>
      <c r="BIJ4762" s="917"/>
      <c r="BIK4762" s="917"/>
      <c r="BIL4762" s="917"/>
      <c r="BIM4762" s="917"/>
      <c r="BIN4762" s="917"/>
      <c r="BIO4762" s="917"/>
      <c r="BIP4762" s="917"/>
      <c r="BIQ4762" s="917"/>
      <c r="BIR4762" s="917"/>
      <c r="BIS4762" s="917"/>
      <c r="BIT4762" s="917"/>
      <c r="BIU4762" s="917"/>
      <c r="BIV4762" s="917"/>
      <c r="BIW4762" s="917"/>
      <c r="BIX4762" s="917"/>
      <c r="BIY4762" s="917"/>
      <c r="BIZ4762" s="917"/>
      <c r="BJA4762" s="917"/>
      <c r="BJB4762" s="917"/>
      <c r="BJC4762" s="917"/>
      <c r="BJD4762" s="917"/>
      <c r="BJE4762" s="917"/>
      <c r="BJF4762" s="917"/>
      <c r="BJG4762" s="917"/>
      <c r="BJH4762" s="917"/>
      <c r="BJI4762" s="917" t="s">
        <v>78</v>
      </c>
      <c r="BJJ4762" s="917"/>
      <c r="BJK4762" s="917"/>
      <c r="BJL4762" s="917"/>
      <c r="BJM4762" s="917"/>
      <c r="BJN4762" s="917"/>
      <c r="BJO4762" s="917"/>
      <c r="BJP4762" s="917"/>
      <c r="BJQ4762" s="917"/>
      <c r="BJR4762" s="917"/>
      <c r="BJS4762" s="917"/>
      <c r="BJT4762" s="917"/>
      <c r="BJU4762" s="917"/>
      <c r="BJV4762" s="917"/>
      <c r="BJW4762" s="917"/>
      <c r="BJX4762" s="917"/>
      <c r="BJY4762" s="917"/>
      <c r="BJZ4762" s="917"/>
      <c r="BKA4762" s="917"/>
      <c r="BKB4762" s="917"/>
      <c r="BKC4762" s="917"/>
      <c r="BKD4762" s="917"/>
      <c r="BKE4762" s="917"/>
      <c r="BKF4762" s="917"/>
      <c r="BKG4762" s="917"/>
      <c r="BKH4762" s="917"/>
      <c r="BKI4762" s="917"/>
      <c r="BKJ4762" s="917"/>
      <c r="BKK4762" s="917"/>
      <c r="BKL4762" s="917"/>
      <c r="BKM4762" s="917"/>
      <c r="BKN4762" s="917"/>
      <c r="BKO4762" s="917" t="s">
        <v>78</v>
      </c>
      <c r="BKP4762" s="917"/>
      <c r="BKQ4762" s="917"/>
      <c r="BKR4762" s="917"/>
      <c r="BKS4762" s="917"/>
      <c r="BKT4762" s="917"/>
      <c r="BKU4762" s="917"/>
      <c r="BKV4762" s="917"/>
      <c r="BKW4762" s="917"/>
      <c r="BKX4762" s="917"/>
      <c r="BKY4762" s="917"/>
      <c r="BKZ4762" s="917"/>
      <c r="BLA4762" s="917"/>
      <c r="BLB4762" s="917"/>
      <c r="BLC4762" s="917"/>
      <c r="BLD4762" s="917"/>
      <c r="BLE4762" s="917"/>
      <c r="BLF4762" s="917"/>
      <c r="BLG4762" s="917"/>
      <c r="BLH4762" s="917"/>
      <c r="BLI4762" s="917"/>
      <c r="BLJ4762" s="917"/>
      <c r="BLK4762" s="917"/>
      <c r="BLL4762" s="917"/>
      <c r="BLM4762" s="917"/>
      <c r="BLN4762" s="917"/>
      <c r="BLO4762" s="917"/>
      <c r="BLP4762" s="917"/>
      <c r="BLQ4762" s="917"/>
      <c r="BLR4762" s="917"/>
      <c r="BLS4762" s="917"/>
      <c r="BLT4762" s="917"/>
      <c r="BLU4762" s="917" t="s">
        <v>78</v>
      </c>
      <c r="BLV4762" s="917"/>
      <c r="BLW4762" s="917"/>
      <c r="BLX4762" s="917"/>
      <c r="BLY4762" s="917"/>
      <c r="BLZ4762" s="917"/>
      <c r="BMA4762" s="917"/>
      <c r="BMB4762" s="917"/>
      <c r="BMC4762" s="917"/>
      <c r="BMD4762" s="917"/>
      <c r="BME4762" s="917"/>
      <c r="BMF4762" s="917"/>
      <c r="BMG4762" s="917"/>
      <c r="BMH4762" s="917"/>
      <c r="BMI4762" s="917"/>
      <c r="BMJ4762" s="917"/>
      <c r="BMK4762" s="917"/>
      <c r="BML4762" s="917"/>
      <c r="BMM4762" s="917"/>
      <c r="BMN4762" s="917"/>
      <c r="BMO4762" s="917"/>
      <c r="BMP4762" s="917"/>
      <c r="BMQ4762" s="917"/>
      <c r="BMR4762" s="917"/>
      <c r="BMS4762" s="917"/>
      <c r="BMT4762" s="917"/>
      <c r="BMU4762" s="917"/>
      <c r="BMV4762" s="917"/>
      <c r="BMW4762" s="917"/>
      <c r="BMX4762" s="917"/>
      <c r="BMY4762" s="917"/>
      <c r="BMZ4762" s="917"/>
      <c r="BNA4762" s="917" t="s">
        <v>78</v>
      </c>
      <c r="BNB4762" s="917"/>
      <c r="BNC4762" s="917"/>
      <c r="BND4762" s="917"/>
      <c r="BNE4762" s="917"/>
      <c r="BNF4762" s="917"/>
      <c r="BNG4762" s="917"/>
      <c r="BNH4762" s="917"/>
      <c r="BNI4762" s="917"/>
      <c r="BNJ4762" s="917"/>
      <c r="BNK4762" s="917"/>
      <c r="BNL4762" s="917"/>
      <c r="BNM4762" s="917"/>
      <c r="BNN4762" s="917"/>
      <c r="BNO4762" s="917"/>
      <c r="BNP4762" s="917"/>
      <c r="BNQ4762" s="917"/>
      <c r="BNR4762" s="917"/>
      <c r="BNS4762" s="917"/>
      <c r="BNT4762" s="917"/>
      <c r="BNU4762" s="917"/>
      <c r="BNV4762" s="917"/>
      <c r="BNW4762" s="917"/>
      <c r="BNX4762" s="917"/>
      <c r="BNY4762" s="917"/>
      <c r="BNZ4762" s="917"/>
      <c r="BOA4762" s="917"/>
      <c r="BOB4762" s="917"/>
      <c r="BOC4762" s="917"/>
      <c r="BOD4762" s="917"/>
      <c r="BOE4762" s="917"/>
      <c r="BOF4762" s="917"/>
      <c r="BOG4762" s="917" t="s">
        <v>78</v>
      </c>
      <c r="BOH4762" s="917"/>
      <c r="BOI4762" s="917"/>
      <c r="BOJ4762" s="917"/>
      <c r="BOK4762" s="917"/>
      <c r="BOL4762" s="917"/>
      <c r="BOM4762" s="917"/>
      <c r="BON4762" s="917"/>
      <c r="BOO4762" s="917"/>
      <c r="BOP4762" s="917"/>
      <c r="BOQ4762" s="917"/>
      <c r="BOR4762" s="917"/>
      <c r="BOS4762" s="917"/>
      <c r="BOT4762" s="917"/>
      <c r="BOU4762" s="917"/>
      <c r="BOV4762" s="917"/>
      <c r="BOW4762" s="917"/>
      <c r="BOX4762" s="917"/>
      <c r="BOY4762" s="917"/>
      <c r="BOZ4762" s="917"/>
      <c r="BPA4762" s="917"/>
      <c r="BPB4762" s="917"/>
      <c r="BPC4762" s="917"/>
      <c r="BPD4762" s="917"/>
      <c r="BPE4762" s="917"/>
      <c r="BPF4762" s="917"/>
      <c r="BPG4762" s="917"/>
      <c r="BPH4762" s="917"/>
      <c r="BPI4762" s="917"/>
      <c r="BPJ4762" s="917"/>
      <c r="BPK4762" s="917"/>
      <c r="BPL4762" s="917"/>
      <c r="BPM4762" s="917" t="s">
        <v>78</v>
      </c>
      <c r="BPN4762" s="917"/>
      <c r="BPO4762" s="917"/>
      <c r="BPP4762" s="917"/>
      <c r="BPQ4762" s="917"/>
      <c r="BPR4762" s="917"/>
      <c r="BPS4762" s="917"/>
      <c r="BPT4762" s="917"/>
      <c r="BPU4762" s="917"/>
      <c r="BPV4762" s="917"/>
      <c r="BPW4762" s="917"/>
      <c r="BPX4762" s="917"/>
      <c r="BPY4762" s="917"/>
      <c r="BPZ4762" s="917"/>
      <c r="BQA4762" s="917"/>
      <c r="BQB4762" s="917"/>
      <c r="BQC4762" s="917"/>
      <c r="BQD4762" s="917"/>
      <c r="BQE4762" s="917"/>
      <c r="BQF4762" s="917"/>
      <c r="BQG4762" s="917"/>
      <c r="BQH4762" s="917"/>
      <c r="BQI4762" s="917"/>
      <c r="BQJ4762" s="917"/>
      <c r="BQK4762" s="917"/>
      <c r="BQL4762" s="917"/>
      <c r="BQM4762" s="917"/>
      <c r="BQN4762" s="917"/>
      <c r="BQO4762" s="917"/>
      <c r="BQP4762" s="917"/>
      <c r="BQQ4762" s="917"/>
      <c r="BQR4762" s="917"/>
      <c r="BQS4762" s="917" t="s">
        <v>78</v>
      </c>
      <c r="BQT4762" s="917"/>
      <c r="BQU4762" s="917"/>
      <c r="BQV4762" s="917"/>
      <c r="BQW4762" s="917"/>
      <c r="BQX4762" s="917"/>
      <c r="BQY4762" s="917"/>
      <c r="BQZ4762" s="917"/>
      <c r="BRA4762" s="917"/>
      <c r="BRB4762" s="917"/>
      <c r="BRC4762" s="917"/>
      <c r="BRD4762" s="917"/>
      <c r="BRE4762" s="917"/>
      <c r="BRF4762" s="917"/>
      <c r="BRG4762" s="917"/>
      <c r="BRH4762" s="917"/>
      <c r="BRI4762" s="917"/>
      <c r="BRJ4762" s="917"/>
      <c r="BRK4762" s="917"/>
      <c r="BRL4762" s="917"/>
      <c r="BRM4762" s="917"/>
      <c r="BRN4762" s="917"/>
      <c r="BRO4762" s="917"/>
      <c r="BRP4762" s="917"/>
      <c r="BRQ4762" s="917"/>
      <c r="BRR4762" s="917"/>
      <c r="BRS4762" s="917"/>
      <c r="BRT4762" s="917"/>
      <c r="BRU4762" s="917"/>
      <c r="BRV4762" s="917"/>
      <c r="BRW4762" s="917"/>
      <c r="BRX4762" s="917"/>
      <c r="BRY4762" s="917" t="s">
        <v>78</v>
      </c>
      <c r="BRZ4762" s="917"/>
      <c r="BSA4762" s="917"/>
      <c r="BSB4762" s="917"/>
      <c r="BSC4762" s="917"/>
      <c r="BSD4762" s="917"/>
      <c r="BSE4762" s="917"/>
      <c r="BSF4762" s="917"/>
      <c r="BSG4762" s="917"/>
      <c r="BSH4762" s="917"/>
      <c r="BSI4762" s="917"/>
      <c r="BSJ4762" s="917"/>
      <c r="BSK4762" s="917"/>
      <c r="BSL4762" s="917"/>
      <c r="BSM4762" s="917"/>
      <c r="BSN4762" s="917"/>
      <c r="BSO4762" s="917"/>
      <c r="BSP4762" s="917"/>
      <c r="BSQ4762" s="917"/>
      <c r="BSR4762" s="917"/>
      <c r="BSS4762" s="917"/>
      <c r="BST4762" s="917"/>
      <c r="BSU4762" s="917"/>
      <c r="BSV4762" s="917"/>
      <c r="BSW4762" s="917"/>
      <c r="BSX4762" s="917"/>
      <c r="BSY4762" s="917"/>
      <c r="BSZ4762" s="917"/>
      <c r="BTA4762" s="917"/>
      <c r="BTB4762" s="917"/>
      <c r="BTC4762" s="917"/>
      <c r="BTD4762" s="917"/>
      <c r="BTE4762" s="917" t="s">
        <v>78</v>
      </c>
      <c r="BTF4762" s="917"/>
      <c r="BTG4762" s="917"/>
      <c r="BTH4762" s="917"/>
      <c r="BTI4762" s="917"/>
      <c r="BTJ4762" s="917"/>
      <c r="BTK4762" s="917"/>
      <c r="BTL4762" s="917"/>
      <c r="BTM4762" s="917"/>
      <c r="BTN4762" s="917"/>
      <c r="BTO4762" s="917"/>
      <c r="BTP4762" s="917"/>
      <c r="BTQ4762" s="917"/>
      <c r="BTR4762" s="917"/>
      <c r="BTS4762" s="917"/>
      <c r="BTT4762" s="917"/>
      <c r="BTU4762" s="917"/>
      <c r="BTV4762" s="917"/>
      <c r="BTW4762" s="917"/>
      <c r="BTX4762" s="917"/>
      <c r="BTY4762" s="917"/>
      <c r="BTZ4762" s="917"/>
      <c r="BUA4762" s="917"/>
      <c r="BUB4762" s="917"/>
      <c r="BUC4762" s="917"/>
      <c r="BUD4762" s="917"/>
      <c r="BUE4762" s="917"/>
      <c r="BUF4762" s="917"/>
      <c r="BUG4762" s="917"/>
      <c r="BUH4762" s="917"/>
      <c r="BUI4762" s="917"/>
      <c r="BUJ4762" s="917"/>
      <c r="BUK4762" s="917" t="s">
        <v>78</v>
      </c>
      <c r="BUL4762" s="917"/>
      <c r="BUM4762" s="917"/>
      <c r="BUN4762" s="917"/>
      <c r="BUO4762" s="917"/>
      <c r="BUP4762" s="917"/>
      <c r="BUQ4762" s="917"/>
      <c r="BUR4762" s="917"/>
      <c r="BUS4762" s="917"/>
      <c r="BUT4762" s="917"/>
      <c r="BUU4762" s="917"/>
      <c r="BUV4762" s="917"/>
      <c r="BUW4762" s="917"/>
      <c r="BUX4762" s="917"/>
      <c r="BUY4762" s="917"/>
      <c r="BUZ4762" s="917"/>
      <c r="BVA4762" s="917"/>
      <c r="BVB4762" s="917"/>
      <c r="BVC4762" s="917"/>
      <c r="BVD4762" s="917"/>
      <c r="BVE4762" s="917"/>
      <c r="BVF4762" s="917"/>
      <c r="BVG4762" s="917"/>
      <c r="BVH4762" s="917"/>
      <c r="BVI4762" s="917"/>
      <c r="BVJ4762" s="917"/>
      <c r="BVK4762" s="917"/>
      <c r="BVL4762" s="917"/>
      <c r="BVM4762" s="917"/>
      <c r="BVN4762" s="917"/>
      <c r="BVO4762" s="917"/>
      <c r="BVP4762" s="917"/>
      <c r="BVQ4762" s="917" t="s">
        <v>78</v>
      </c>
      <c r="BVR4762" s="917"/>
      <c r="BVS4762" s="917"/>
      <c r="BVT4762" s="917"/>
      <c r="BVU4762" s="917"/>
      <c r="BVV4762" s="917"/>
      <c r="BVW4762" s="917"/>
      <c r="BVX4762" s="917"/>
      <c r="BVY4762" s="917"/>
      <c r="BVZ4762" s="917"/>
      <c r="BWA4762" s="917"/>
      <c r="BWB4762" s="917"/>
      <c r="BWC4762" s="917"/>
      <c r="BWD4762" s="917"/>
      <c r="BWE4762" s="917"/>
      <c r="BWF4762" s="917"/>
      <c r="BWG4762" s="917"/>
      <c r="BWH4762" s="917"/>
      <c r="BWI4762" s="917"/>
      <c r="BWJ4762" s="917"/>
      <c r="BWK4762" s="917"/>
      <c r="BWL4762" s="917"/>
      <c r="BWM4762" s="917"/>
      <c r="BWN4762" s="917"/>
      <c r="BWO4762" s="917"/>
      <c r="BWP4762" s="917"/>
      <c r="BWQ4762" s="917"/>
      <c r="BWR4762" s="917"/>
      <c r="BWS4762" s="917"/>
      <c r="BWT4762" s="917"/>
      <c r="BWU4762" s="917"/>
      <c r="BWV4762" s="917"/>
      <c r="BWW4762" s="917" t="s">
        <v>78</v>
      </c>
      <c r="BWX4762" s="917"/>
      <c r="BWY4762" s="917"/>
      <c r="BWZ4762" s="917"/>
      <c r="BXA4762" s="917"/>
      <c r="BXB4762" s="917"/>
      <c r="BXC4762" s="917"/>
      <c r="BXD4762" s="917"/>
      <c r="BXE4762" s="917"/>
      <c r="BXF4762" s="917"/>
      <c r="BXG4762" s="917"/>
      <c r="BXH4762" s="917"/>
      <c r="BXI4762" s="917"/>
      <c r="BXJ4762" s="917"/>
      <c r="BXK4762" s="917"/>
      <c r="BXL4762" s="917"/>
      <c r="BXM4762" s="917"/>
      <c r="BXN4762" s="917"/>
      <c r="BXO4762" s="917"/>
      <c r="BXP4762" s="917"/>
      <c r="BXQ4762" s="917"/>
      <c r="BXR4762" s="917"/>
      <c r="BXS4762" s="917"/>
      <c r="BXT4762" s="917"/>
      <c r="BXU4762" s="917"/>
      <c r="BXV4762" s="917"/>
      <c r="BXW4762" s="917"/>
      <c r="BXX4762" s="917"/>
      <c r="BXY4762" s="917"/>
      <c r="BXZ4762" s="917"/>
      <c r="BYA4762" s="917"/>
      <c r="BYB4762" s="917"/>
      <c r="BYC4762" s="917" t="s">
        <v>78</v>
      </c>
      <c r="BYD4762" s="917"/>
      <c r="BYE4762" s="917"/>
      <c r="BYF4762" s="917"/>
      <c r="BYG4762" s="917"/>
      <c r="BYH4762" s="917"/>
      <c r="BYI4762" s="917"/>
      <c r="BYJ4762" s="917"/>
      <c r="BYK4762" s="917"/>
      <c r="BYL4762" s="917"/>
      <c r="BYM4762" s="917"/>
      <c r="BYN4762" s="917"/>
      <c r="BYO4762" s="917"/>
      <c r="BYP4762" s="917"/>
      <c r="BYQ4762" s="917"/>
      <c r="BYR4762" s="917"/>
      <c r="BYS4762" s="917"/>
      <c r="BYT4762" s="917"/>
      <c r="BYU4762" s="917"/>
      <c r="BYV4762" s="917"/>
      <c r="BYW4762" s="917"/>
      <c r="BYX4762" s="917"/>
      <c r="BYY4762" s="917"/>
      <c r="BYZ4762" s="917"/>
      <c r="BZA4762" s="917"/>
      <c r="BZB4762" s="917"/>
      <c r="BZC4762" s="917"/>
      <c r="BZD4762" s="917"/>
      <c r="BZE4762" s="917"/>
      <c r="BZF4762" s="917"/>
      <c r="BZG4762" s="917"/>
      <c r="BZH4762" s="917"/>
      <c r="BZI4762" s="917" t="s">
        <v>78</v>
      </c>
      <c r="BZJ4762" s="917"/>
      <c r="BZK4762" s="917"/>
      <c r="BZL4762" s="917"/>
      <c r="BZM4762" s="917"/>
      <c r="BZN4762" s="917"/>
      <c r="BZO4762" s="917"/>
      <c r="BZP4762" s="917"/>
      <c r="BZQ4762" s="917"/>
      <c r="BZR4762" s="917"/>
      <c r="BZS4762" s="917"/>
      <c r="BZT4762" s="917"/>
      <c r="BZU4762" s="917"/>
      <c r="BZV4762" s="917"/>
      <c r="BZW4762" s="917"/>
      <c r="BZX4762" s="917"/>
      <c r="BZY4762" s="917"/>
      <c r="BZZ4762" s="917"/>
      <c r="CAA4762" s="917"/>
      <c r="CAB4762" s="917"/>
      <c r="CAC4762" s="917"/>
      <c r="CAD4762" s="917"/>
      <c r="CAE4762" s="917"/>
      <c r="CAF4762" s="917"/>
      <c r="CAG4762" s="917"/>
      <c r="CAH4762" s="917"/>
      <c r="CAI4762" s="917"/>
      <c r="CAJ4762" s="917"/>
      <c r="CAK4762" s="917"/>
      <c r="CAL4762" s="917"/>
      <c r="CAM4762" s="917"/>
      <c r="CAN4762" s="917"/>
      <c r="CAO4762" s="917" t="s">
        <v>78</v>
      </c>
      <c r="CAP4762" s="917"/>
      <c r="CAQ4762" s="917"/>
      <c r="CAR4762" s="917"/>
      <c r="CAS4762" s="917"/>
      <c r="CAT4762" s="917"/>
      <c r="CAU4762" s="917"/>
      <c r="CAV4762" s="917"/>
      <c r="CAW4762" s="917"/>
      <c r="CAX4762" s="917"/>
      <c r="CAY4762" s="917"/>
      <c r="CAZ4762" s="917"/>
      <c r="CBA4762" s="917"/>
      <c r="CBB4762" s="917"/>
      <c r="CBC4762" s="917"/>
      <c r="CBD4762" s="917"/>
      <c r="CBE4762" s="917"/>
      <c r="CBF4762" s="917"/>
      <c r="CBG4762" s="917"/>
      <c r="CBH4762" s="917"/>
      <c r="CBI4762" s="917"/>
      <c r="CBJ4762" s="917"/>
      <c r="CBK4762" s="917"/>
      <c r="CBL4762" s="917"/>
      <c r="CBM4762" s="917"/>
      <c r="CBN4762" s="917"/>
      <c r="CBO4762" s="917"/>
      <c r="CBP4762" s="917"/>
      <c r="CBQ4762" s="917"/>
      <c r="CBR4762" s="917"/>
      <c r="CBS4762" s="917"/>
      <c r="CBT4762" s="917"/>
      <c r="CBU4762" s="917" t="s">
        <v>78</v>
      </c>
      <c r="CBV4762" s="917"/>
      <c r="CBW4762" s="917"/>
      <c r="CBX4762" s="917"/>
      <c r="CBY4762" s="917"/>
      <c r="CBZ4762" s="917"/>
      <c r="CCA4762" s="917"/>
      <c r="CCB4762" s="917"/>
      <c r="CCC4762" s="917"/>
      <c r="CCD4762" s="917"/>
      <c r="CCE4762" s="917"/>
      <c r="CCF4762" s="917"/>
      <c r="CCG4762" s="917"/>
      <c r="CCH4762" s="917"/>
      <c r="CCI4762" s="917"/>
      <c r="CCJ4762" s="917"/>
      <c r="CCK4762" s="917"/>
      <c r="CCL4762" s="917"/>
      <c r="CCM4762" s="917"/>
      <c r="CCN4762" s="917"/>
      <c r="CCO4762" s="917"/>
      <c r="CCP4762" s="917"/>
      <c r="CCQ4762" s="917"/>
      <c r="CCR4762" s="917"/>
      <c r="CCS4762" s="917"/>
      <c r="CCT4762" s="917"/>
      <c r="CCU4762" s="917"/>
      <c r="CCV4762" s="917"/>
      <c r="CCW4762" s="917"/>
      <c r="CCX4762" s="917"/>
      <c r="CCY4762" s="917"/>
      <c r="CCZ4762" s="917"/>
      <c r="CDA4762" s="917" t="s">
        <v>78</v>
      </c>
      <c r="CDB4762" s="917"/>
      <c r="CDC4762" s="917"/>
      <c r="CDD4762" s="917"/>
      <c r="CDE4762" s="917"/>
      <c r="CDF4762" s="917"/>
      <c r="CDG4762" s="917"/>
      <c r="CDH4762" s="917"/>
      <c r="CDI4762" s="917"/>
      <c r="CDJ4762" s="917"/>
      <c r="CDK4762" s="917"/>
      <c r="CDL4762" s="917"/>
      <c r="CDM4762" s="917"/>
      <c r="CDN4762" s="917"/>
      <c r="CDO4762" s="917"/>
      <c r="CDP4762" s="917"/>
      <c r="CDQ4762" s="917"/>
      <c r="CDR4762" s="917"/>
      <c r="CDS4762" s="917"/>
      <c r="CDT4762" s="917"/>
      <c r="CDU4762" s="917"/>
      <c r="CDV4762" s="917"/>
      <c r="CDW4762" s="917"/>
      <c r="CDX4762" s="917"/>
      <c r="CDY4762" s="917"/>
      <c r="CDZ4762" s="917"/>
      <c r="CEA4762" s="917"/>
      <c r="CEB4762" s="917"/>
      <c r="CEC4762" s="917"/>
      <c r="CED4762" s="917"/>
      <c r="CEE4762" s="917"/>
      <c r="CEF4762" s="917"/>
      <c r="CEG4762" s="917" t="s">
        <v>78</v>
      </c>
      <c r="CEH4762" s="917"/>
      <c r="CEI4762" s="917"/>
      <c r="CEJ4762" s="917"/>
      <c r="CEK4762" s="917"/>
      <c r="CEL4762" s="917"/>
      <c r="CEM4762" s="917"/>
      <c r="CEN4762" s="917"/>
      <c r="CEO4762" s="917"/>
      <c r="CEP4762" s="917"/>
      <c r="CEQ4762" s="917"/>
      <c r="CER4762" s="917"/>
      <c r="CES4762" s="917"/>
      <c r="CET4762" s="917"/>
      <c r="CEU4762" s="917"/>
      <c r="CEV4762" s="917"/>
      <c r="CEW4762" s="917"/>
      <c r="CEX4762" s="917"/>
      <c r="CEY4762" s="917"/>
      <c r="CEZ4762" s="917"/>
      <c r="CFA4762" s="917"/>
      <c r="CFB4762" s="917"/>
      <c r="CFC4762" s="917"/>
      <c r="CFD4762" s="917"/>
      <c r="CFE4762" s="917"/>
      <c r="CFF4762" s="917"/>
      <c r="CFG4762" s="917"/>
      <c r="CFH4762" s="917"/>
      <c r="CFI4762" s="917"/>
      <c r="CFJ4762" s="917"/>
      <c r="CFK4762" s="917"/>
      <c r="CFL4762" s="917"/>
      <c r="CFM4762" s="917" t="s">
        <v>78</v>
      </c>
      <c r="CFN4762" s="917"/>
      <c r="CFO4762" s="917"/>
      <c r="CFP4762" s="917"/>
      <c r="CFQ4762" s="917"/>
      <c r="CFR4762" s="917"/>
      <c r="CFS4762" s="917"/>
      <c r="CFT4762" s="917"/>
      <c r="CFU4762" s="917"/>
      <c r="CFV4762" s="917"/>
      <c r="CFW4762" s="917"/>
      <c r="CFX4762" s="917"/>
      <c r="CFY4762" s="917"/>
      <c r="CFZ4762" s="917"/>
      <c r="CGA4762" s="917"/>
      <c r="CGB4762" s="917"/>
      <c r="CGC4762" s="917"/>
      <c r="CGD4762" s="917"/>
      <c r="CGE4762" s="917"/>
      <c r="CGF4762" s="917"/>
      <c r="CGG4762" s="917"/>
      <c r="CGH4762" s="917"/>
      <c r="CGI4762" s="917"/>
      <c r="CGJ4762" s="917"/>
      <c r="CGK4762" s="917"/>
      <c r="CGL4762" s="917"/>
      <c r="CGM4762" s="917"/>
      <c r="CGN4762" s="917"/>
      <c r="CGO4762" s="917"/>
      <c r="CGP4762" s="917"/>
      <c r="CGQ4762" s="917"/>
      <c r="CGR4762" s="917"/>
      <c r="CGS4762" s="917" t="s">
        <v>78</v>
      </c>
      <c r="CGT4762" s="917"/>
      <c r="CGU4762" s="917"/>
      <c r="CGV4762" s="917"/>
      <c r="CGW4762" s="917"/>
      <c r="CGX4762" s="917"/>
      <c r="CGY4762" s="917"/>
      <c r="CGZ4762" s="917"/>
      <c r="CHA4762" s="917"/>
      <c r="CHB4762" s="917"/>
      <c r="CHC4762" s="917"/>
      <c r="CHD4762" s="917"/>
      <c r="CHE4762" s="917"/>
      <c r="CHF4762" s="917"/>
      <c r="CHG4762" s="917"/>
      <c r="CHH4762" s="917"/>
      <c r="CHI4762" s="917"/>
      <c r="CHJ4762" s="917"/>
      <c r="CHK4762" s="917"/>
      <c r="CHL4762" s="917"/>
      <c r="CHM4762" s="917"/>
      <c r="CHN4762" s="917"/>
      <c r="CHO4762" s="917"/>
      <c r="CHP4762" s="917"/>
      <c r="CHQ4762" s="917"/>
      <c r="CHR4762" s="917"/>
      <c r="CHS4762" s="917"/>
      <c r="CHT4762" s="917"/>
      <c r="CHU4762" s="917"/>
      <c r="CHV4762" s="917"/>
      <c r="CHW4762" s="917"/>
      <c r="CHX4762" s="917"/>
      <c r="CHY4762" s="917" t="s">
        <v>78</v>
      </c>
      <c r="CHZ4762" s="917"/>
      <c r="CIA4762" s="917"/>
      <c r="CIB4762" s="917"/>
      <c r="CIC4762" s="917"/>
      <c r="CID4762" s="917"/>
      <c r="CIE4762" s="917"/>
      <c r="CIF4762" s="917"/>
      <c r="CIG4762" s="917"/>
      <c r="CIH4762" s="917"/>
      <c r="CII4762" s="917"/>
      <c r="CIJ4762" s="917"/>
      <c r="CIK4762" s="917"/>
      <c r="CIL4762" s="917"/>
      <c r="CIM4762" s="917"/>
      <c r="CIN4762" s="917"/>
      <c r="CIO4762" s="917"/>
      <c r="CIP4762" s="917"/>
      <c r="CIQ4762" s="917"/>
      <c r="CIR4762" s="917"/>
      <c r="CIS4762" s="917"/>
      <c r="CIT4762" s="917"/>
      <c r="CIU4762" s="917"/>
      <c r="CIV4762" s="917"/>
      <c r="CIW4762" s="917"/>
      <c r="CIX4762" s="917"/>
      <c r="CIY4762" s="917"/>
      <c r="CIZ4762" s="917"/>
      <c r="CJA4762" s="917"/>
      <c r="CJB4762" s="917"/>
      <c r="CJC4762" s="917"/>
      <c r="CJD4762" s="917"/>
      <c r="CJE4762" s="917" t="s">
        <v>78</v>
      </c>
      <c r="CJF4762" s="917"/>
      <c r="CJG4762" s="917"/>
      <c r="CJH4762" s="917"/>
      <c r="CJI4762" s="917"/>
      <c r="CJJ4762" s="917"/>
      <c r="CJK4762" s="917"/>
      <c r="CJL4762" s="917"/>
      <c r="CJM4762" s="917"/>
      <c r="CJN4762" s="917"/>
      <c r="CJO4762" s="917"/>
      <c r="CJP4762" s="917"/>
      <c r="CJQ4762" s="917"/>
      <c r="CJR4762" s="917"/>
      <c r="CJS4762" s="917"/>
      <c r="CJT4762" s="917"/>
      <c r="CJU4762" s="917"/>
      <c r="CJV4762" s="917"/>
      <c r="CJW4762" s="917"/>
      <c r="CJX4762" s="917"/>
      <c r="CJY4762" s="917"/>
      <c r="CJZ4762" s="917"/>
      <c r="CKA4762" s="917"/>
      <c r="CKB4762" s="917"/>
      <c r="CKC4762" s="917"/>
      <c r="CKD4762" s="917"/>
      <c r="CKE4762" s="917"/>
      <c r="CKF4762" s="917"/>
      <c r="CKG4762" s="917"/>
      <c r="CKH4762" s="917"/>
      <c r="CKI4762" s="917"/>
      <c r="CKJ4762" s="917"/>
      <c r="CKK4762" s="917" t="s">
        <v>78</v>
      </c>
      <c r="CKL4762" s="917"/>
      <c r="CKM4762" s="917"/>
      <c r="CKN4762" s="917"/>
      <c r="CKO4762" s="917"/>
      <c r="CKP4762" s="917"/>
      <c r="CKQ4762" s="917"/>
      <c r="CKR4762" s="917"/>
      <c r="CKS4762" s="917"/>
      <c r="CKT4762" s="917"/>
      <c r="CKU4762" s="917"/>
      <c r="CKV4762" s="917"/>
      <c r="CKW4762" s="917"/>
      <c r="CKX4762" s="917"/>
      <c r="CKY4762" s="917"/>
      <c r="CKZ4762" s="917"/>
      <c r="CLA4762" s="917"/>
      <c r="CLB4762" s="917"/>
      <c r="CLC4762" s="917"/>
      <c r="CLD4762" s="917"/>
      <c r="CLE4762" s="917"/>
      <c r="CLF4762" s="917"/>
      <c r="CLG4762" s="917"/>
      <c r="CLH4762" s="917"/>
      <c r="CLI4762" s="917"/>
      <c r="CLJ4762" s="917"/>
      <c r="CLK4762" s="917"/>
      <c r="CLL4762" s="917"/>
      <c r="CLM4762" s="917"/>
      <c r="CLN4762" s="917"/>
      <c r="CLO4762" s="917"/>
      <c r="CLP4762" s="917"/>
      <c r="CLQ4762" s="917" t="s">
        <v>78</v>
      </c>
      <c r="CLR4762" s="917"/>
      <c r="CLS4762" s="917"/>
      <c r="CLT4762" s="917"/>
      <c r="CLU4762" s="917"/>
      <c r="CLV4762" s="917"/>
      <c r="CLW4762" s="917"/>
      <c r="CLX4762" s="917"/>
      <c r="CLY4762" s="917"/>
      <c r="CLZ4762" s="917"/>
      <c r="CMA4762" s="917"/>
      <c r="CMB4762" s="917"/>
      <c r="CMC4762" s="917"/>
      <c r="CMD4762" s="917"/>
      <c r="CME4762" s="917"/>
      <c r="CMF4762" s="917"/>
      <c r="CMG4762" s="917"/>
      <c r="CMH4762" s="917"/>
      <c r="CMI4762" s="917"/>
      <c r="CMJ4762" s="917"/>
      <c r="CMK4762" s="917"/>
      <c r="CML4762" s="917"/>
      <c r="CMM4762" s="917"/>
      <c r="CMN4762" s="917"/>
      <c r="CMO4762" s="917"/>
      <c r="CMP4762" s="917"/>
      <c r="CMQ4762" s="917"/>
      <c r="CMR4762" s="917"/>
      <c r="CMS4762" s="917"/>
      <c r="CMT4762" s="917"/>
      <c r="CMU4762" s="917"/>
      <c r="CMV4762" s="917"/>
      <c r="CMW4762" s="917" t="s">
        <v>78</v>
      </c>
      <c r="CMX4762" s="917"/>
      <c r="CMY4762" s="917"/>
      <c r="CMZ4762" s="917"/>
      <c r="CNA4762" s="917"/>
      <c r="CNB4762" s="917"/>
      <c r="CNC4762" s="917"/>
      <c r="CND4762" s="917"/>
      <c r="CNE4762" s="917"/>
      <c r="CNF4762" s="917"/>
      <c r="CNG4762" s="917"/>
      <c r="CNH4762" s="917"/>
      <c r="CNI4762" s="917"/>
      <c r="CNJ4762" s="917"/>
      <c r="CNK4762" s="917"/>
      <c r="CNL4762" s="917"/>
      <c r="CNM4762" s="917"/>
      <c r="CNN4762" s="917"/>
      <c r="CNO4762" s="917"/>
      <c r="CNP4762" s="917"/>
      <c r="CNQ4762" s="917"/>
      <c r="CNR4762" s="917"/>
      <c r="CNS4762" s="917"/>
      <c r="CNT4762" s="917"/>
      <c r="CNU4762" s="917"/>
      <c r="CNV4762" s="917"/>
      <c r="CNW4762" s="917"/>
      <c r="CNX4762" s="917"/>
      <c r="CNY4762" s="917"/>
      <c r="CNZ4762" s="917"/>
      <c r="COA4762" s="917"/>
      <c r="COB4762" s="917"/>
      <c r="COC4762" s="917" t="s">
        <v>78</v>
      </c>
      <c r="COD4762" s="917"/>
      <c r="COE4762" s="917"/>
      <c r="COF4762" s="917"/>
      <c r="COG4762" s="917"/>
      <c r="COH4762" s="917"/>
      <c r="COI4762" s="917"/>
      <c r="COJ4762" s="917"/>
      <c r="COK4762" s="917"/>
      <c r="COL4762" s="917"/>
      <c r="COM4762" s="917"/>
      <c r="CON4762" s="917"/>
      <c r="COO4762" s="917"/>
      <c r="COP4762" s="917"/>
      <c r="COQ4762" s="917"/>
      <c r="COR4762" s="917"/>
      <c r="COS4762" s="917"/>
      <c r="COT4762" s="917"/>
      <c r="COU4762" s="917"/>
      <c r="COV4762" s="917"/>
      <c r="COW4762" s="917"/>
      <c r="COX4762" s="917"/>
      <c r="COY4762" s="917"/>
      <c r="COZ4762" s="917"/>
      <c r="CPA4762" s="917"/>
      <c r="CPB4762" s="917"/>
      <c r="CPC4762" s="917"/>
      <c r="CPD4762" s="917"/>
      <c r="CPE4762" s="917"/>
      <c r="CPF4762" s="917"/>
      <c r="CPG4762" s="917"/>
      <c r="CPH4762" s="917"/>
      <c r="CPI4762" s="917" t="s">
        <v>78</v>
      </c>
      <c r="CPJ4762" s="917"/>
      <c r="CPK4762" s="917"/>
      <c r="CPL4762" s="917"/>
      <c r="CPM4762" s="917"/>
      <c r="CPN4762" s="917"/>
      <c r="CPO4762" s="917"/>
      <c r="CPP4762" s="917"/>
      <c r="CPQ4762" s="917"/>
      <c r="CPR4762" s="917"/>
      <c r="CPS4762" s="917"/>
      <c r="CPT4762" s="917"/>
      <c r="CPU4762" s="917"/>
      <c r="CPV4762" s="917"/>
      <c r="CPW4762" s="917"/>
      <c r="CPX4762" s="917"/>
      <c r="CPY4762" s="917"/>
      <c r="CPZ4762" s="917"/>
      <c r="CQA4762" s="917"/>
      <c r="CQB4762" s="917"/>
      <c r="CQC4762" s="917"/>
      <c r="CQD4762" s="917"/>
      <c r="CQE4762" s="917"/>
      <c r="CQF4762" s="917"/>
      <c r="CQG4762" s="917"/>
      <c r="CQH4762" s="917"/>
      <c r="CQI4762" s="917"/>
      <c r="CQJ4762" s="917"/>
      <c r="CQK4762" s="917"/>
      <c r="CQL4762" s="917"/>
      <c r="CQM4762" s="917"/>
      <c r="CQN4762" s="917"/>
      <c r="CQO4762" s="917" t="s">
        <v>78</v>
      </c>
      <c r="CQP4762" s="917"/>
      <c r="CQQ4762" s="917"/>
      <c r="CQR4762" s="917"/>
      <c r="CQS4762" s="917"/>
      <c r="CQT4762" s="917"/>
      <c r="CQU4762" s="917"/>
      <c r="CQV4762" s="917"/>
      <c r="CQW4762" s="917"/>
      <c r="CQX4762" s="917"/>
      <c r="CQY4762" s="917"/>
      <c r="CQZ4762" s="917"/>
      <c r="CRA4762" s="917"/>
      <c r="CRB4762" s="917"/>
      <c r="CRC4762" s="917"/>
      <c r="CRD4762" s="917"/>
      <c r="CRE4762" s="917"/>
      <c r="CRF4762" s="917"/>
      <c r="CRG4762" s="917"/>
      <c r="CRH4762" s="917"/>
      <c r="CRI4762" s="917"/>
      <c r="CRJ4762" s="917"/>
      <c r="CRK4762" s="917"/>
      <c r="CRL4762" s="917"/>
      <c r="CRM4762" s="917"/>
      <c r="CRN4762" s="917"/>
      <c r="CRO4762" s="917"/>
      <c r="CRP4762" s="917"/>
      <c r="CRQ4762" s="917"/>
      <c r="CRR4762" s="917"/>
      <c r="CRS4762" s="917"/>
      <c r="CRT4762" s="917"/>
      <c r="CRU4762" s="917" t="s">
        <v>78</v>
      </c>
      <c r="CRV4762" s="917"/>
      <c r="CRW4762" s="917"/>
      <c r="CRX4762" s="917"/>
      <c r="CRY4762" s="917"/>
      <c r="CRZ4762" s="917"/>
      <c r="CSA4762" s="917"/>
      <c r="CSB4762" s="917"/>
      <c r="CSC4762" s="917"/>
      <c r="CSD4762" s="917"/>
      <c r="CSE4762" s="917"/>
      <c r="CSF4762" s="917"/>
      <c r="CSG4762" s="917"/>
      <c r="CSH4762" s="917"/>
      <c r="CSI4762" s="917"/>
      <c r="CSJ4762" s="917"/>
      <c r="CSK4762" s="917"/>
      <c r="CSL4762" s="917"/>
      <c r="CSM4762" s="917"/>
      <c r="CSN4762" s="917"/>
      <c r="CSO4762" s="917"/>
      <c r="CSP4762" s="917"/>
      <c r="CSQ4762" s="917"/>
      <c r="CSR4762" s="917"/>
      <c r="CSS4762" s="917"/>
      <c r="CST4762" s="917"/>
      <c r="CSU4762" s="917"/>
      <c r="CSV4762" s="917"/>
      <c r="CSW4762" s="917"/>
      <c r="CSX4762" s="917"/>
      <c r="CSY4762" s="917"/>
      <c r="CSZ4762" s="917"/>
      <c r="CTA4762" s="917" t="s">
        <v>78</v>
      </c>
      <c r="CTB4762" s="917"/>
      <c r="CTC4762" s="917"/>
      <c r="CTD4762" s="917"/>
      <c r="CTE4762" s="917"/>
      <c r="CTF4762" s="917"/>
      <c r="CTG4762" s="917"/>
      <c r="CTH4762" s="917"/>
      <c r="CTI4762" s="917"/>
      <c r="CTJ4762" s="917"/>
      <c r="CTK4762" s="917"/>
      <c r="CTL4762" s="917"/>
      <c r="CTM4762" s="917"/>
      <c r="CTN4762" s="917"/>
      <c r="CTO4762" s="917"/>
      <c r="CTP4762" s="917"/>
      <c r="CTQ4762" s="917"/>
      <c r="CTR4762" s="917"/>
      <c r="CTS4762" s="917"/>
      <c r="CTT4762" s="917"/>
      <c r="CTU4762" s="917"/>
      <c r="CTV4762" s="917"/>
      <c r="CTW4762" s="917"/>
      <c r="CTX4762" s="917"/>
      <c r="CTY4762" s="917"/>
      <c r="CTZ4762" s="917"/>
      <c r="CUA4762" s="917"/>
      <c r="CUB4762" s="917"/>
      <c r="CUC4762" s="917"/>
      <c r="CUD4762" s="917"/>
      <c r="CUE4762" s="917"/>
      <c r="CUF4762" s="917"/>
      <c r="CUG4762" s="917" t="s">
        <v>78</v>
      </c>
      <c r="CUH4762" s="917"/>
      <c r="CUI4762" s="917"/>
      <c r="CUJ4762" s="917"/>
      <c r="CUK4762" s="917"/>
      <c r="CUL4762" s="917"/>
      <c r="CUM4762" s="917"/>
      <c r="CUN4762" s="917"/>
      <c r="CUO4762" s="917"/>
      <c r="CUP4762" s="917"/>
      <c r="CUQ4762" s="917"/>
      <c r="CUR4762" s="917"/>
      <c r="CUS4762" s="917"/>
      <c r="CUT4762" s="917"/>
      <c r="CUU4762" s="917"/>
      <c r="CUV4762" s="917"/>
      <c r="CUW4762" s="917"/>
      <c r="CUX4762" s="917"/>
      <c r="CUY4762" s="917"/>
      <c r="CUZ4762" s="917"/>
      <c r="CVA4762" s="917"/>
      <c r="CVB4762" s="917"/>
      <c r="CVC4762" s="917"/>
      <c r="CVD4762" s="917"/>
      <c r="CVE4762" s="917"/>
      <c r="CVF4762" s="917"/>
      <c r="CVG4762" s="917"/>
      <c r="CVH4762" s="917"/>
      <c r="CVI4762" s="917"/>
      <c r="CVJ4762" s="917"/>
      <c r="CVK4762" s="917"/>
      <c r="CVL4762" s="917"/>
      <c r="CVM4762" s="917" t="s">
        <v>78</v>
      </c>
      <c r="CVN4762" s="917"/>
      <c r="CVO4762" s="917"/>
      <c r="CVP4762" s="917"/>
      <c r="CVQ4762" s="917"/>
      <c r="CVR4762" s="917"/>
      <c r="CVS4762" s="917"/>
      <c r="CVT4762" s="917"/>
      <c r="CVU4762" s="917"/>
      <c r="CVV4762" s="917"/>
      <c r="CVW4762" s="917"/>
      <c r="CVX4762" s="917"/>
      <c r="CVY4762" s="917"/>
      <c r="CVZ4762" s="917"/>
      <c r="CWA4762" s="917"/>
      <c r="CWB4762" s="917"/>
      <c r="CWC4762" s="917"/>
      <c r="CWD4762" s="917"/>
      <c r="CWE4762" s="917"/>
      <c r="CWF4762" s="917"/>
      <c r="CWG4762" s="917"/>
      <c r="CWH4762" s="917"/>
      <c r="CWI4762" s="917"/>
      <c r="CWJ4762" s="917"/>
      <c r="CWK4762" s="917"/>
      <c r="CWL4762" s="917"/>
      <c r="CWM4762" s="917"/>
      <c r="CWN4762" s="917"/>
      <c r="CWO4762" s="917"/>
      <c r="CWP4762" s="917"/>
      <c r="CWQ4762" s="917"/>
      <c r="CWR4762" s="917"/>
      <c r="CWS4762" s="917" t="s">
        <v>78</v>
      </c>
      <c r="CWT4762" s="917"/>
      <c r="CWU4762" s="917"/>
      <c r="CWV4762" s="917"/>
      <c r="CWW4762" s="917"/>
      <c r="CWX4762" s="917"/>
      <c r="CWY4762" s="917"/>
      <c r="CWZ4762" s="917"/>
      <c r="CXA4762" s="917"/>
      <c r="CXB4762" s="917"/>
      <c r="CXC4762" s="917"/>
      <c r="CXD4762" s="917"/>
      <c r="CXE4762" s="917"/>
      <c r="CXF4762" s="917"/>
      <c r="CXG4762" s="917"/>
      <c r="CXH4762" s="917"/>
      <c r="CXI4762" s="917"/>
      <c r="CXJ4762" s="917"/>
      <c r="CXK4762" s="917"/>
      <c r="CXL4762" s="917"/>
      <c r="CXM4762" s="917"/>
      <c r="CXN4762" s="917"/>
      <c r="CXO4762" s="917"/>
      <c r="CXP4762" s="917"/>
      <c r="CXQ4762" s="917"/>
      <c r="CXR4762" s="917"/>
      <c r="CXS4762" s="917"/>
      <c r="CXT4762" s="917"/>
      <c r="CXU4762" s="917"/>
      <c r="CXV4762" s="917"/>
      <c r="CXW4762" s="917"/>
      <c r="CXX4762" s="917"/>
      <c r="CXY4762" s="917" t="s">
        <v>78</v>
      </c>
      <c r="CXZ4762" s="917"/>
      <c r="CYA4762" s="917"/>
      <c r="CYB4762" s="917"/>
      <c r="CYC4762" s="917"/>
      <c r="CYD4762" s="917"/>
      <c r="CYE4762" s="917"/>
      <c r="CYF4762" s="917"/>
      <c r="CYG4762" s="917"/>
      <c r="CYH4762" s="917"/>
      <c r="CYI4762" s="917"/>
      <c r="CYJ4762" s="917"/>
      <c r="CYK4762" s="917"/>
      <c r="CYL4762" s="917"/>
      <c r="CYM4762" s="917"/>
      <c r="CYN4762" s="917"/>
      <c r="CYO4762" s="917"/>
      <c r="CYP4762" s="917"/>
      <c r="CYQ4762" s="917"/>
      <c r="CYR4762" s="917"/>
      <c r="CYS4762" s="917"/>
      <c r="CYT4762" s="917"/>
      <c r="CYU4762" s="917"/>
      <c r="CYV4762" s="917"/>
      <c r="CYW4762" s="917"/>
      <c r="CYX4762" s="917"/>
      <c r="CYY4762" s="917"/>
      <c r="CYZ4762" s="917"/>
      <c r="CZA4762" s="917"/>
      <c r="CZB4762" s="917"/>
      <c r="CZC4762" s="917"/>
      <c r="CZD4762" s="917"/>
      <c r="CZE4762" s="917" t="s">
        <v>78</v>
      </c>
      <c r="CZF4762" s="917"/>
      <c r="CZG4762" s="917"/>
      <c r="CZH4762" s="917"/>
      <c r="CZI4762" s="917"/>
      <c r="CZJ4762" s="917"/>
      <c r="CZK4762" s="917"/>
      <c r="CZL4762" s="917"/>
      <c r="CZM4762" s="917"/>
      <c r="CZN4762" s="917"/>
      <c r="CZO4762" s="917"/>
      <c r="CZP4762" s="917"/>
      <c r="CZQ4762" s="917"/>
      <c r="CZR4762" s="917"/>
      <c r="CZS4762" s="917"/>
      <c r="CZT4762" s="917"/>
      <c r="CZU4762" s="917"/>
      <c r="CZV4762" s="917"/>
      <c r="CZW4762" s="917"/>
      <c r="CZX4762" s="917"/>
      <c r="CZY4762" s="917"/>
      <c r="CZZ4762" s="917"/>
      <c r="DAA4762" s="917"/>
      <c r="DAB4762" s="917"/>
      <c r="DAC4762" s="917"/>
      <c r="DAD4762" s="917"/>
      <c r="DAE4762" s="917"/>
      <c r="DAF4762" s="917"/>
      <c r="DAG4762" s="917"/>
      <c r="DAH4762" s="917"/>
      <c r="DAI4762" s="917"/>
      <c r="DAJ4762" s="917"/>
      <c r="DAK4762" s="917" t="s">
        <v>78</v>
      </c>
      <c r="DAL4762" s="917"/>
      <c r="DAM4762" s="917"/>
      <c r="DAN4762" s="917"/>
      <c r="DAO4762" s="917"/>
      <c r="DAP4762" s="917"/>
      <c r="DAQ4762" s="917"/>
      <c r="DAR4762" s="917"/>
      <c r="DAS4762" s="917"/>
      <c r="DAT4762" s="917"/>
      <c r="DAU4762" s="917"/>
      <c r="DAV4762" s="917"/>
      <c r="DAW4762" s="917"/>
      <c r="DAX4762" s="917"/>
      <c r="DAY4762" s="917"/>
      <c r="DAZ4762" s="917"/>
      <c r="DBA4762" s="917"/>
      <c r="DBB4762" s="917"/>
      <c r="DBC4762" s="917"/>
      <c r="DBD4762" s="917"/>
      <c r="DBE4762" s="917"/>
      <c r="DBF4762" s="917"/>
      <c r="DBG4762" s="917"/>
      <c r="DBH4762" s="917"/>
      <c r="DBI4762" s="917"/>
      <c r="DBJ4762" s="917"/>
      <c r="DBK4762" s="917"/>
      <c r="DBL4762" s="917"/>
      <c r="DBM4762" s="917"/>
      <c r="DBN4762" s="917"/>
      <c r="DBO4762" s="917"/>
      <c r="DBP4762" s="917"/>
      <c r="DBQ4762" s="917" t="s">
        <v>78</v>
      </c>
      <c r="DBR4762" s="917"/>
      <c r="DBS4762" s="917"/>
      <c r="DBT4762" s="917"/>
      <c r="DBU4762" s="917"/>
      <c r="DBV4762" s="917"/>
      <c r="DBW4762" s="917"/>
      <c r="DBX4762" s="917"/>
      <c r="DBY4762" s="917"/>
      <c r="DBZ4762" s="917"/>
      <c r="DCA4762" s="917"/>
      <c r="DCB4762" s="917"/>
      <c r="DCC4762" s="917"/>
      <c r="DCD4762" s="917"/>
      <c r="DCE4762" s="917"/>
      <c r="DCF4762" s="917"/>
      <c r="DCG4762" s="917"/>
      <c r="DCH4762" s="917"/>
      <c r="DCI4762" s="917"/>
      <c r="DCJ4762" s="917"/>
      <c r="DCK4762" s="917"/>
      <c r="DCL4762" s="917"/>
      <c r="DCM4762" s="917"/>
      <c r="DCN4762" s="917"/>
      <c r="DCO4762" s="917"/>
      <c r="DCP4762" s="917"/>
      <c r="DCQ4762" s="917"/>
      <c r="DCR4762" s="917"/>
      <c r="DCS4762" s="917"/>
      <c r="DCT4762" s="917"/>
      <c r="DCU4762" s="917"/>
      <c r="DCV4762" s="917"/>
      <c r="DCW4762" s="917" t="s">
        <v>78</v>
      </c>
      <c r="DCX4762" s="917"/>
      <c r="DCY4762" s="917"/>
      <c r="DCZ4762" s="917"/>
      <c r="DDA4762" s="917"/>
      <c r="DDB4762" s="917"/>
      <c r="DDC4762" s="917"/>
      <c r="DDD4762" s="917"/>
      <c r="DDE4762" s="917"/>
      <c r="DDF4762" s="917"/>
      <c r="DDG4762" s="917"/>
      <c r="DDH4762" s="917"/>
      <c r="DDI4762" s="917"/>
      <c r="DDJ4762" s="917"/>
      <c r="DDK4762" s="917"/>
      <c r="DDL4762" s="917"/>
      <c r="DDM4762" s="917"/>
      <c r="DDN4762" s="917"/>
      <c r="DDO4762" s="917"/>
      <c r="DDP4762" s="917"/>
      <c r="DDQ4762" s="917"/>
      <c r="DDR4762" s="917"/>
      <c r="DDS4762" s="917"/>
      <c r="DDT4762" s="917"/>
      <c r="DDU4762" s="917"/>
      <c r="DDV4762" s="917"/>
      <c r="DDW4762" s="917"/>
      <c r="DDX4762" s="917"/>
      <c r="DDY4762" s="917"/>
      <c r="DDZ4762" s="917"/>
      <c r="DEA4762" s="917"/>
      <c r="DEB4762" s="917"/>
      <c r="DEC4762" s="917" t="s">
        <v>78</v>
      </c>
      <c r="DED4762" s="917"/>
      <c r="DEE4762" s="917"/>
      <c r="DEF4762" s="917"/>
      <c r="DEG4762" s="917"/>
      <c r="DEH4762" s="917"/>
      <c r="DEI4762" s="917"/>
      <c r="DEJ4762" s="917"/>
      <c r="DEK4762" s="917"/>
      <c r="DEL4762" s="917"/>
      <c r="DEM4762" s="917"/>
      <c r="DEN4762" s="917"/>
      <c r="DEO4762" s="917"/>
      <c r="DEP4762" s="917"/>
      <c r="DEQ4762" s="917"/>
      <c r="DER4762" s="917"/>
      <c r="DES4762" s="917"/>
      <c r="DET4762" s="917"/>
      <c r="DEU4762" s="917"/>
      <c r="DEV4762" s="917"/>
      <c r="DEW4762" s="917"/>
      <c r="DEX4762" s="917"/>
      <c r="DEY4762" s="917"/>
      <c r="DEZ4762" s="917"/>
      <c r="DFA4762" s="917"/>
      <c r="DFB4762" s="917"/>
      <c r="DFC4762" s="917"/>
      <c r="DFD4762" s="917"/>
      <c r="DFE4762" s="917"/>
      <c r="DFF4762" s="917"/>
      <c r="DFG4762" s="917"/>
      <c r="DFH4762" s="917"/>
      <c r="DFI4762" s="917" t="s">
        <v>78</v>
      </c>
      <c r="DFJ4762" s="917"/>
      <c r="DFK4762" s="917"/>
      <c r="DFL4762" s="917"/>
      <c r="DFM4762" s="917"/>
      <c r="DFN4762" s="917"/>
      <c r="DFO4762" s="917"/>
      <c r="DFP4762" s="917"/>
      <c r="DFQ4762" s="917"/>
      <c r="DFR4762" s="917"/>
      <c r="DFS4762" s="917"/>
      <c r="DFT4762" s="917"/>
      <c r="DFU4762" s="917"/>
      <c r="DFV4762" s="917"/>
      <c r="DFW4762" s="917"/>
      <c r="DFX4762" s="917"/>
      <c r="DFY4762" s="917"/>
      <c r="DFZ4762" s="917"/>
      <c r="DGA4762" s="917"/>
      <c r="DGB4762" s="917"/>
      <c r="DGC4762" s="917"/>
      <c r="DGD4762" s="917"/>
      <c r="DGE4762" s="917"/>
      <c r="DGF4762" s="917"/>
      <c r="DGG4762" s="917"/>
      <c r="DGH4762" s="917"/>
      <c r="DGI4762" s="917"/>
      <c r="DGJ4762" s="917"/>
      <c r="DGK4762" s="917"/>
      <c r="DGL4762" s="917"/>
      <c r="DGM4762" s="917"/>
      <c r="DGN4762" s="917"/>
      <c r="DGO4762" s="917" t="s">
        <v>78</v>
      </c>
      <c r="DGP4762" s="917"/>
      <c r="DGQ4762" s="917"/>
      <c r="DGR4762" s="917"/>
      <c r="DGS4762" s="917"/>
      <c r="DGT4762" s="917"/>
      <c r="DGU4762" s="917"/>
      <c r="DGV4762" s="917"/>
      <c r="DGW4762" s="917"/>
      <c r="DGX4762" s="917"/>
      <c r="DGY4762" s="917"/>
      <c r="DGZ4762" s="917"/>
      <c r="DHA4762" s="917"/>
      <c r="DHB4762" s="917"/>
      <c r="DHC4762" s="917"/>
      <c r="DHD4762" s="917"/>
      <c r="DHE4762" s="917"/>
      <c r="DHF4762" s="917"/>
      <c r="DHG4762" s="917"/>
      <c r="DHH4762" s="917"/>
      <c r="DHI4762" s="917"/>
      <c r="DHJ4762" s="917"/>
      <c r="DHK4762" s="917"/>
      <c r="DHL4762" s="917"/>
      <c r="DHM4762" s="917"/>
      <c r="DHN4762" s="917"/>
      <c r="DHO4762" s="917"/>
      <c r="DHP4762" s="917"/>
      <c r="DHQ4762" s="917"/>
      <c r="DHR4762" s="917"/>
      <c r="DHS4762" s="917"/>
      <c r="DHT4762" s="917"/>
      <c r="DHU4762" s="917" t="s">
        <v>78</v>
      </c>
      <c r="DHV4762" s="917"/>
      <c r="DHW4762" s="917"/>
      <c r="DHX4762" s="917"/>
      <c r="DHY4762" s="917"/>
      <c r="DHZ4762" s="917"/>
      <c r="DIA4762" s="917"/>
      <c r="DIB4762" s="917"/>
      <c r="DIC4762" s="917"/>
      <c r="DID4762" s="917"/>
      <c r="DIE4762" s="917"/>
      <c r="DIF4762" s="917"/>
      <c r="DIG4762" s="917"/>
      <c r="DIH4762" s="917"/>
      <c r="DII4762" s="917"/>
      <c r="DIJ4762" s="917"/>
      <c r="DIK4762" s="917"/>
      <c r="DIL4762" s="917"/>
      <c r="DIM4762" s="917"/>
      <c r="DIN4762" s="917"/>
      <c r="DIO4762" s="917"/>
      <c r="DIP4762" s="917"/>
      <c r="DIQ4762" s="917"/>
      <c r="DIR4762" s="917"/>
      <c r="DIS4762" s="917"/>
      <c r="DIT4762" s="917"/>
      <c r="DIU4762" s="917"/>
      <c r="DIV4762" s="917"/>
      <c r="DIW4762" s="917"/>
      <c r="DIX4762" s="917"/>
      <c r="DIY4762" s="917"/>
      <c r="DIZ4762" s="917"/>
      <c r="DJA4762" s="917" t="s">
        <v>78</v>
      </c>
      <c r="DJB4762" s="917"/>
      <c r="DJC4762" s="917"/>
      <c r="DJD4762" s="917"/>
      <c r="DJE4762" s="917"/>
      <c r="DJF4762" s="917"/>
      <c r="DJG4762" s="917"/>
      <c r="DJH4762" s="917"/>
      <c r="DJI4762" s="917"/>
      <c r="DJJ4762" s="917"/>
      <c r="DJK4762" s="917"/>
      <c r="DJL4762" s="917"/>
      <c r="DJM4762" s="917"/>
      <c r="DJN4762" s="917"/>
      <c r="DJO4762" s="917"/>
      <c r="DJP4762" s="917"/>
      <c r="DJQ4762" s="917"/>
      <c r="DJR4762" s="917"/>
      <c r="DJS4762" s="917"/>
      <c r="DJT4762" s="917"/>
      <c r="DJU4762" s="917"/>
      <c r="DJV4762" s="917"/>
      <c r="DJW4762" s="917"/>
      <c r="DJX4762" s="917"/>
      <c r="DJY4762" s="917"/>
      <c r="DJZ4762" s="917"/>
      <c r="DKA4762" s="917"/>
      <c r="DKB4762" s="917"/>
      <c r="DKC4762" s="917"/>
      <c r="DKD4762" s="917"/>
      <c r="DKE4762" s="917"/>
      <c r="DKF4762" s="917"/>
      <c r="DKG4762" s="917" t="s">
        <v>78</v>
      </c>
      <c r="DKH4762" s="917"/>
      <c r="DKI4762" s="917"/>
      <c r="DKJ4762" s="917"/>
      <c r="DKK4762" s="917"/>
      <c r="DKL4762" s="917"/>
      <c r="DKM4762" s="917"/>
      <c r="DKN4762" s="917"/>
      <c r="DKO4762" s="917"/>
      <c r="DKP4762" s="917"/>
      <c r="DKQ4762" s="917"/>
      <c r="DKR4762" s="917"/>
      <c r="DKS4762" s="917"/>
      <c r="DKT4762" s="917"/>
      <c r="DKU4762" s="917"/>
      <c r="DKV4762" s="917"/>
      <c r="DKW4762" s="917"/>
      <c r="DKX4762" s="917"/>
      <c r="DKY4762" s="917"/>
      <c r="DKZ4762" s="917"/>
      <c r="DLA4762" s="917"/>
      <c r="DLB4762" s="917"/>
      <c r="DLC4762" s="917"/>
      <c r="DLD4762" s="917"/>
      <c r="DLE4762" s="917"/>
      <c r="DLF4762" s="917"/>
      <c r="DLG4762" s="917"/>
      <c r="DLH4762" s="917"/>
      <c r="DLI4762" s="917"/>
      <c r="DLJ4762" s="917"/>
      <c r="DLK4762" s="917"/>
      <c r="DLL4762" s="917"/>
      <c r="DLM4762" s="917" t="s">
        <v>78</v>
      </c>
      <c r="DLN4762" s="917"/>
      <c r="DLO4762" s="917"/>
      <c r="DLP4762" s="917"/>
      <c r="DLQ4762" s="917"/>
      <c r="DLR4762" s="917"/>
      <c r="DLS4762" s="917"/>
      <c r="DLT4762" s="917"/>
      <c r="DLU4762" s="917"/>
      <c r="DLV4762" s="917"/>
      <c r="DLW4762" s="917"/>
      <c r="DLX4762" s="917"/>
      <c r="DLY4762" s="917"/>
      <c r="DLZ4762" s="917"/>
      <c r="DMA4762" s="917"/>
      <c r="DMB4762" s="917"/>
      <c r="DMC4762" s="917"/>
      <c r="DMD4762" s="917"/>
      <c r="DME4762" s="917"/>
      <c r="DMF4762" s="917"/>
      <c r="DMG4762" s="917"/>
      <c r="DMH4762" s="917"/>
      <c r="DMI4762" s="917"/>
      <c r="DMJ4762" s="917"/>
      <c r="DMK4762" s="917"/>
      <c r="DML4762" s="917"/>
      <c r="DMM4762" s="917"/>
      <c r="DMN4762" s="917"/>
      <c r="DMO4762" s="917"/>
      <c r="DMP4762" s="917"/>
      <c r="DMQ4762" s="917"/>
      <c r="DMR4762" s="917"/>
      <c r="DMS4762" s="917" t="s">
        <v>78</v>
      </c>
      <c r="DMT4762" s="917"/>
      <c r="DMU4762" s="917"/>
      <c r="DMV4762" s="917"/>
      <c r="DMW4762" s="917"/>
      <c r="DMX4762" s="917"/>
      <c r="DMY4762" s="917"/>
      <c r="DMZ4762" s="917"/>
      <c r="DNA4762" s="917"/>
      <c r="DNB4762" s="917"/>
      <c r="DNC4762" s="917"/>
      <c r="DND4762" s="917"/>
      <c r="DNE4762" s="917"/>
      <c r="DNF4762" s="917"/>
      <c r="DNG4762" s="917"/>
      <c r="DNH4762" s="917"/>
      <c r="DNI4762" s="917"/>
      <c r="DNJ4762" s="917"/>
      <c r="DNK4762" s="917"/>
      <c r="DNL4762" s="917"/>
      <c r="DNM4762" s="917"/>
      <c r="DNN4762" s="917"/>
      <c r="DNO4762" s="917"/>
      <c r="DNP4762" s="917"/>
      <c r="DNQ4762" s="917"/>
      <c r="DNR4762" s="917"/>
      <c r="DNS4762" s="917"/>
      <c r="DNT4762" s="917"/>
      <c r="DNU4762" s="917"/>
      <c r="DNV4762" s="917"/>
      <c r="DNW4762" s="917"/>
      <c r="DNX4762" s="917"/>
      <c r="DNY4762" s="917" t="s">
        <v>78</v>
      </c>
      <c r="DNZ4762" s="917"/>
      <c r="DOA4762" s="917"/>
      <c r="DOB4762" s="917"/>
      <c r="DOC4762" s="917"/>
      <c r="DOD4762" s="917"/>
      <c r="DOE4762" s="917"/>
      <c r="DOF4762" s="917"/>
      <c r="DOG4762" s="917"/>
      <c r="DOH4762" s="917"/>
      <c r="DOI4762" s="917"/>
      <c r="DOJ4762" s="917"/>
      <c r="DOK4762" s="917"/>
      <c r="DOL4762" s="917"/>
      <c r="DOM4762" s="917"/>
      <c r="DON4762" s="917"/>
      <c r="DOO4762" s="917"/>
      <c r="DOP4762" s="917"/>
      <c r="DOQ4762" s="917"/>
      <c r="DOR4762" s="917"/>
      <c r="DOS4762" s="917"/>
      <c r="DOT4762" s="917"/>
      <c r="DOU4762" s="917"/>
      <c r="DOV4762" s="917"/>
      <c r="DOW4762" s="917"/>
      <c r="DOX4762" s="917"/>
      <c r="DOY4762" s="917"/>
      <c r="DOZ4762" s="917"/>
      <c r="DPA4762" s="917"/>
      <c r="DPB4762" s="917"/>
      <c r="DPC4762" s="917"/>
      <c r="DPD4762" s="917"/>
      <c r="DPE4762" s="917" t="s">
        <v>78</v>
      </c>
      <c r="DPF4762" s="917"/>
      <c r="DPG4762" s="917"/>
      <c r="DPH4762" s="917"/>
      <c r="DPI4762" s="917"/>
      <c r="DPJ4762" s="917"/>
      <c r="DPK4762" s="917"/>
      <c r="DPL4762" s="917"/>
      <c r="DPM4762" s="917"/>
      <c r="DPN4762" s="917"/>
      <c r="DPO4762" s="917"/>
      <c r="DPP4762" s="917"/>
      <c r="DPQ4762" s="917"/>
      <c r="DPR4762" s="917"/>
      <c r="DPS4762" s="917"/>
      <c r="DPT4762" s="917"/>
      <c r="DPU4762" s="917"/>
      <c r="DPV4762" s="917"/>
      <c r="DPW4762" s="917"/>
      <c r="DPX4762" s="917"/>
      <c r="DPY4762" s="917"/>
      <c r="DPZ4762" s="917"/>
      <c r="DQA4762" s="917"/>
      <c r="DQB4762" s="917"/>
      <c r="DQC4762" s="917"/>
      <c r="DQD4762" s="917"/>
      <c r="DQE4762" s="917"/>
      <c r="DQF4762" s="917"/>
      <c r="DQG4762" s="917"/>
      <c r="DQH4762" s="917"/>
      <c r="DQI4762" s="917"/>
      <c r="DQJ4762" s="917"/>
      <c r="DQK4762" s="917" t="s">
        <v>78</v>
      </c>
      <c r="DQL4762" s="917"/>
      <c r="DQM4762" s="917"/>
      <c r="DQN4762" s="917"/>
      <c r="DQO4762" s="917"/>
      <c r="DQP4762" s="917"/>
      <c r="DQQ4762" s="917"/>
      <c r="DQR4762" s="917"/>
      <c r="DQS4762" s="917"/>
      <c r="DQT4762" s="917"/>
      <c r="DQU4762" s="917"/>
      <c r="DQV4762" s="917"/>
      <c r="DQW4762" s="917"/>
      <c r="DQX4762" s="917"/>
      <c r="DQY4762" s="917"/>
      <c r="DQZ4762" s="917"/>
      <c r="DRA4762" s="917"/>
      <c r="DRB4762" s="917"/>
      <c r="DRC4762" s="917"/>
      <c r="DRD4762" s="917"/>
      <c r="DRE4762" s="917"/>
      <c r="DRF4762" s="917"/>
      <c r="DRG4762" s="917"/>
      <c r="DRH4762" s="917"/>
      <c r="DRI4762" s="917"/>
      <c r="DRJ4762" s="917"/>
      <c r="DRK4762" s="917"/>
      <c r="DRL4762" s="917"/>
      <c r="DRM4762" s="917"/>
      <c r="DRN4762" s="917"/>
      <c r="DRO4762" s="917"/>
      <c r="DRP4762" s="917"/>
      <c r="DRQ4762" s="917" t="s">
        <v>78</v>
      </c>
      <c r="DRR4762" s="917"/>
      <c r="DRS4762" s="917"/>
      <c r="DRT4762" s="917"/>
      <c r="DRU4762" s="917"/>
      <c r="DRV4762" s="917"/>
      <c r="DRW4762" s="917"/>
      <c r="DRX4762" s="917"/>
      <c r="DRY4762" s="917"/>
      <c r="DRZ4762" s="917"/>
      <c r="DSA4762" s="917"/>
      <c r="DSB4762" s="917"/>
      <c r="DSC4762" s="917"/>
      <c r="DSD4762" s="917"/>
      <c r="DSE4762" s="917"/>
      <c r="DSF4762" s="917"/>
      <c r="DSG4762" s="917"/>
      <c r="DSH4762" s="917"/>
      <c r="DSI4762" s="917"/>
      <c r="DSJ4762" s="917"/>
      <c r="DSK4762" s="917"/>
      <c r="DSL4762" s="917"/>
      <c r="DSM4762" s="917"/>
      <c r="DSN4762" s="917"/>
      <c r="DSO4762" s="917"/>
      <c r="DSP4762" s="917"/>
      <c r="DSQ4762" s="917"/>
      <c r="DSR4762" s="917"/>
      <c r="DSS4762" s="917"/>
      <c r="DST4762" s="917"/>
      <c r="DSU4762" s="917"/>
      <c r="DSV4762" s="917"/>
      <c r="DSW4762" s="917" t="s">
        <v>78</v>
      </c>
      <c r="DSX4762" s="917"/>
      <c r="DSY4762" s="917"/>
      <c r="DSZ4762" s="917"/>
      <c r="DTA4762" s="917"/>
      <c r="DTB4762" s="917"/>
      <c r="DTC4762" s="917"/>
      <c r="DTD4762" s="917"/>
      <c r="DTE4762" s="917"/>
      <c r="DTF4762" s="917"/>
      <c r="DTG4762" s="917"/>
      <c r="DTH4762" s="917"/>
      <c r="DTI4762" s="917"/>
      <c r="DTJ4762" s="917"/>
      <c r="DTK4762" s="917"/>
      <c r="DTL4762" s="917"/>
      <c r="DTM4762" s="917"/>
      <c r="DTN4762" s="917"/>
      <c r="DTO4762" s="917"/>
      <c r="DTP4762" s="917"/>
      <c r="DTQ4762" s="917"/>
      <c r="DTR4762" s="917"/>
      <c r="DTS4762" s="917"/>
      <c r="DTT4762" s="917"/>
      <c r="DTU4762" s="917"/>
      <c r="DTV4762" s="917"/>
      <c r="DTW4762" s="917"/>
      <c r="DTX4762" s="917"/>
      <c r="DTY4762" s="917"/>
      <c r="DTZ4762" s="917"/>
      <c r="DUA4762" s="917"/>
      <c r="DUB4762" s="917"/>
      <c r="DUC4762" s="917" t="s">
        <v>78</v>
      </c>
      <c r="DUD4762" s="917"/>
      <c r="DUE4762" s="917"/>
      <c r="DUF4762" s="917"/>
      <c r="DUG4762" s="917"/>
      <c r="DUH4762" s="917"/>
      <c r="DUI4762" s="917"/>
      <c r="DUJ4762" s="917"/>
      <c r="DUK4762" s="917"/>
      <c r="DUL4762" s="917"/>
      <c r="DUM4762" s="917"/>
      <c r="DUN4762" s="917"/>
      <c r="DUO4762" s="917"/>
      <c r="DUP4762" s="917"/>
      <c r="DUQ4762" s="917"/>
      <c r="DUR4762" s="917"/>
      <c r="DUS4762" s="917"/>
      <c r="DUT4762" s="917"/>
      <c r="DUU4762" s="917"/>
      <c r="DUV4762" s="917"/>
      <c r="DUW4762" s="917"/>
      <c r="DUX4762" s="917"/>
      <c r="DUY4762" s="917"/>
      <c r="DUZ4762" s="917"/>
      <c r="DVA4762" s="917"/>
      <c r="DVB4762" s="917"/>
      <c r="DVC4762" s="917"/>
      <c r="DVD4762" s="917"/>
      <c r="DVE4762" s="917"/>
      <c r="DVF4762" s="917"/>
      <c r="DVG4762" s="917"/>
      <c r="DVH4762" s="917"/>
      <c r="DVI4762" s="917" t="s">
        <v>78</v>
      </c>
      <c r="DVJ4762" s="917"/>
      <c r="DVK4762" s="917"/>
      <c r="DVL4762" s="917"/>
      <c r="DVM4762" s="917"/>
      <c r="DVN4762" s="917"/>
      <c r="DVO4762" s="917"/>
      <c r="DVP4762" s="917"/>
      <c r="DVQ4762" s="917"/>
      <c r="DVR4762" s="917"/>
      <c r="DVS4762" s="917"/>
      <c r="DVT4762" s="917"/>
      <c r="DVU4762" s="917"/>
      <c r="DVV4762" s="917"/>
      <c r="DVW4762" s="917"/>
      <c r="DVX4762" s="917"/>
      <c r="DVY4762" s="917"/>
      <c r="DVZ4762" s="917"/>
      <c r="DWA4762" s="917"/>
      <c r="DWB4762" s="917"/>
      <c r="DWC4762" s="917"/>
      <c r="DWD4762" s="917"/>
      <c r="DWE4762" s="917"/>
      <c r="DWF4762" s="917"/>
      <c r="DWG4762" s="917"/>
      <c r="DWH4762" s="917"/>
      <c r="DWI4762" s="917"/>
      <c r="DWJ4762" s="917"/>
      <c r="DWK4762" s="917"/>
      <c r="DWL4762" s="917"/>
      <c r="DWM4762" s="917"/>
      <c r="DWN4762" s="917"/>
      <c r="DWO4762" s="917" t="s">
        <v>78</v>
      </c>
      <c r="DWP4762" s="917"/>
      <c r="DWQ4762" s="917"/>
      <c r="DWR4762" s="917"/>
      <c r="DWS4762" s="917"/>
      <c r="DWT4762" s="917"/>
      <c r="DWU4762" s="917"/>
      <c r="DWV4762" s="917"/>
      <c r="DWW4762" s="917"/>
      <c r="DWX4762" s="917"/>
      <c r="DWY4762" s="917"/>
      <c r="DWZ4762" s="917"/>
      <c r="DXA4762" s="917"/>
      <c r="DXB4762" s="917"/>
      <c r="DXC4762" s="917"/>
      <c r="DXD4762" s="917"/>
      <c r="DXE4762" s="917"/>
      <c r="DXF4762" s="917"/>
      <c r="DXG4762" s="917"/>
      <c r="DXH4762" s="917"/>
      <c r="DXI4762" s="917"/>
      <c r="DXJ4762" s="917"/>
      <c r="DXK4762" s="917"/>
      <c r="DXL4762" s="917"/>
      <c r="DXM4762" s="917"/>
      <c r="DXN4762" s="917"/>
      <c r="DXO4762" s="917"/>
      <c r="DXP4762" s="917"/>
      <c r="DXQ4762" s="917"/>
      <c r="DXR4762" s="917"/>
      <c r="DXS4762" s="917"/>
      <c r="DXT4762" s="917"/>
      <c r="DXU4762" s="917" t="s">
        <v>78</v>
      </c>
      <c r="DXV4762" s="917"/>
      <c r="DXW4762" s="917"/>
      <c r="DXX4762" s="917"/>
      <c r="DXY4762" s="917"/>
      <c r="DXZ4762" s="917"/>
      <c r="DYA4762" s="917"/>
      <c r="DYB4762" s="917"/>
      <c r="DYC4762" s="917"/>
      <c r="DYD4762" s="917"/>
      <c r="DYE4762" s="917"/>
      <c r="DYF4762" s="917"/>
      <c r="DYG4762" s="917"/>
      <c r="DYH4762" s="917"/>
      <c r="DYI4762" s="917"/>
      <c r="DYJ4762" s="917"/>
      <c r="DYK4762" s="917"/>
      <c r="DYL4762" s="917"/>
      <c r="DYM4762" s="917"/>
      <c r="DYN4762" s="917"/>
      <c r="DYO4762" s="917"/>
      <c r="DYP4762" s="917"/>
      <c r="DYQ4762" s="917"/>
      <c r="DYR4762" s="917"/>
      <c r="DYS4762" s="917"/>
      <c r="DYT4762" s="917"/>
      <c r="DYU4762" s="917"/>
      <c r="DYV4762" s="917"/>
      <c r="DYW4762" s="917"/>
      <c r="DYX4762" s="917"/>
      <c r="DYY4762" s="917"/>
      <c r="DYZ4762" s="917"/>
      <c r="DZA4762" s="917" t="s">
        <v>78</v>
      </c>
      <c r="DZB4762" s="917"/>
      <c r="DZC4762" s="917"/>
      <c r="DZD4762" s="917"/>
      <c r="DZE4762" s="917"/>
      <c r="DZF4762" s="917"/>
      <c r="DZG4762" s="917"/>
      <c r="DZH4762" s="917"/>
      <c r="DZI4762" s="917"/>
      <c r="DZJ4762" s="917"/>
      <c r="DZK4762" s="917"/>
      <c r="DZL4762" s="917"/>
      <c r="DZM4762" s="917"/>
      <c r="DZN4762" s="917"/>
      <c r="DZO4762" s="917"/>
      <c r="DZP4762" s="917"/>
      <c r="DZQ4762" s="917"/>
      <c r="DZR4762" s="917"/>
      <c r="DZS4762" s="917"/>
      <c r="DZT4762" s="917"/>
      <c r="DZU4762" s="917"/>
      <c r="DZV4762" s="917"/>
      <c r="DZW4762" s="917"/>
      <c r="DZX4762" s="917"/>
      <c r="DZY4762" s="917"/>
      <c r="DZZ4762" s="917"/>
      <c r="EAA4762" s="917"/>
      <c r="EAB4762" s="917"/>
      <c r="EAC4762" s="917"/>
      <c r="EAD4762" s="917"/>
      <c r="EAE4762" s="917"/>
      <c r="EAF4762" s="917"/>
      <c r="EAG4762" s="917" t="s">
        <v>78</v>
      </c>
      <c r="EAH4762" s="917"/>
      <c r="EAI4762" s="917"/>
      <c r="EAJ4762" s="917"/>
      <c r="EAK4762" s="917"/>
      <c r="EAL4762" s="917"/>
      <c r="EAM4762" s="917"/>
      <c r="EAN4762" s="917"/>
      <c r="EAO4762" s="917"/>
      <c r="EAP4762" s="917"/>
      <c r="EAQ4762" s="917"/>
      <c r="EAR4762" s="917"/>
      <c r="EAS4762" s="917"/>
      <c r="EAT4762" s="917"/>
      <c r="EAU4762" s="917"/>
      <c r="EAV4762" s="917"/>
      <c r="EAW4762" s="917"/>
      <c r="EAX4762" s="917"/>
      <c r="EAY4762" s="917"/>
      <c r="EAZ4762" s="917"/>
      <c r="EBA4762" s="917"/>
      <c r="EBB4762" s="917"/>
      <c r="EBC4762" s="917"/>
      <c r="EBD4762" s="917"/>
      <c r="EBE4762" s="917"/>
      <c r="EBF4762" s="917"/>
      <c r="EBG4762" s="917"/>
      <c r="EBH4762" s="917"/>
      <c r="EBI4762" s="917"/>
      <c r="EBJ4762" s="917"/>
      <c r="EBK4762" s="917"/>
      <c r="EBL4762" s="917"/>
      <c r="EBM4762" s="917" t="s">
        <v>78</v>
      </c>
      <c r="EBN4762" s="917"/>
      <c r="EBO4762" s="917"/>
      <c r="EBP4762" s="917"/>
      <c r="EBQ4762" s="917"/>
      <c r="EBR4762" s="917"/>
      <c r="EBS4762" s="917"/>
      <c r="EBT4762" s="917"/>
      <c r="EBU4762" s="917"/>
      <c r="EBV4762" s="917"/>
      <c r="EBW4762" s="917"/>
      <c r="EBX4762" s="917"/>
      <c r="EBY4762" s="917"/>
      <c r="EBZ4762" s="917"/>
      <c r="ECA4762" s="917"/>
      <c r="ECB4762" s="917"/>
      <c r="ECC4762" s="917"/>
      <c r="ECD4762" s="917"/>
      <c r="ECE4762" s="917"/>
      <c r="ECF4762" s="917"/>
      <c r="ECG4762" s="917"/>
      <c r="ECH4762" s="917"/>
      <c r="ECI4762" s="917"/>
      <c r="ECJ4762" s="917"/>
      <c r="ECK4762" s="917"/>
      <c r="ECL4762" s="917"/>
      <c r="ECM4762" s="917"/>
      <c r="ECN4762" s="917"/>
      <c r="ECO4762" s="917"/>
      <c r="ECP4762" s="917"/>
      <c r="ECQ4762" s="917"/>
      <c r="ECR4762" s="917"/>
      <c r="ECS4762" s="917" t="s">
        <v>78</v>
      </c>
      <c r="ECT4762" s="917"/>
      <c r="ECU4762" s="917"/>
      <c r="ECV4762" s="917"/>
      <c r="ECW4762" s="917"/>
      <c r="ECX4762" s="917"/>
      <c r="ECY4762" s="917"/>
      <c r="ECZ4762" s="917"/>
      <c r="EDA4762" s="917"/>
      <c r="EDB4762" s="917"/>
      <c r="EDC4762" s="917"/>
      <c r="EDD4762" s="917"/>
      <c r="EDE4762" s="917"/>
      <c r="EDF4762" s="917"/>
      <c r="EDG4762" s="917"/>
      <c r="EDH4762" s="917"/>
      <c r="EDI4762" s="917"/>
      <c r="EDJ4762" s="917"/>
      <c r="EDK4762" s="917"/>
      <c r="EDL4762" s="917"/>
      <c r="EDM4762" s="917"/>
      <c r="EDN4762" s="917"/>
      <c r="EDO4762" s="917"/>
      <c r="EDP4762" s="917"/>
      <c r="EDQ4762" s="917"/>
      <c r="EDR4762" s="917"/>
      <c r="EDS4762" s="917"/>
      <c r="EDT4762" s="917"/>
      <c r="EDU4762" s="917"/>
      <c r="EDV4762" s="917"/>
      <c r="EDW4762" s="917"/>
      <c r="EDX4762" s="917"/>
      <c r="EDY4762" s="917" t="s">
        <v>78</v>
      </c>
      <c r="EDZ4762" s="917"/>
      <c r="EEA4762" s="917"/>
      <c r="EEB4762" s="917"/>
      <c r="EEC4762" s="917"/>
      <c r="EED4762" s="917"/>
      <c r="EEE4762" s="917"/>
      <c r="EEF4762" s="917"/>
      <c r="EEG4762" s="917"/>
      <c r="EEH4762" s="917"/>
      <c r="EEI4762" s="917"/>
      <c r="EEJ4762" s="917"/>
      <c r="EEK4762" s="917"/>
      <c r="EEL4762" s="917"/>
      <c r="EEM4762" s="917"/>
      <c r="EEN4762" s="917"/>
      <c r="EEO4762" s="917"/>
      <c r="EEP4762" s="917"/>
      <c r="EEQ4762" s="917"/>
      <c r="EER4762" s="917"/>
      <c r="EES4762" s="917"/>
      <c r="EET4762" s="917"/>
      <c r="EEU4762" s="917"/>
      <c r="EEV4762" s="917"/>
      <c r="EEW4762" s="917"/>
      <c r="EEX4762" s="917"/>
      <c r="EEY4762" s="917"/>
      <c r="EEZ4762" s="917"/>
      <c r="EFA4762" s="917"/>
      <c r="EFB4762" s="917"/>
      <c r="EFC4762" s="917"/>
      <c r="EFD4762" s="917"/>
      <c r="EFE4762" s="917" t="s">
        <v>78</v>
      </c>
      <c r="EFF4762" s="917"/>
      <c r="EFG4762" s="917"/>
      <c r="EFH4762" s="917"/>
      <c r="EFI4762" s="917"/>
      <c r="EFJ4762" s="917"/>
      <c r="EFK4762" s="917"/>
      <c r="EFL4762" s="917"/>
      <c r="EFM4762" s="917"/>
      <c r="EFN4762" s="917"/>
      <c r="EFO4762" s="917"/>
      <c r="EFP4762" s="917"/>
      <c r="EFQ4762" s="917"/>
      <c r="EFR4762" s="917"/>
      <c r="EFS4762" s="917"/>
      <c r="EFT4762" s="917"/>
      <c r="EFU4762" s="917"/>
      <c r="EFV4762" s="917"/>
      <c r="EFW4762" s="917"/>
      <c r="EFX4762" s="917"/>
      <c r="EFY4762" s="917"/>
      <c r="EFZ4762" s="917"/>
      <c r="EGA4762" s="917"/>
      <c r="EGB4762" s="917"/>
      <c r="EGC4762" s="917"/>
      <c r="EGD4762" s="917"/>
      <c r="EGE4762" s="917"/>
      <c r="EGF4762" s="917"/>
      <c r="EGG4762" s="917"/>
      <c r="EGH4762" s="917"/>
      <c r="EGI4762" s="917"/>
      <c r="EGJ4762" s="917"/>
      <c r="EGK4762" s="917" t="s">
        <v>78</v>
      </c>
      <c r="EGL4762" s="917"/>
      <c r="EGM4762" s="917"/>
      <c r="EGN4762" s="917"/>
      <c r="EGO4762" s="917"/>
      <c r="EGP4762" s="917"/>
      <c r="EGQ4762" s="917"/>
      <c r="EGR4762" s="917"/>
      <c r="EGS4762" s="917"/>
      <c r="EGT4762" s="917"/>
      <c r="EGU4762" s="917"/>
      <c r="EGV4762" s="917"/>
      <c r="EGW4762" s="917"/>
      <c r="EGX4762" s="917"/>
      <c r="EGY4762" s="917"/>
      <c r="EGZ4762" s="917"/>
      <c r="EHA4762" s="917"/>
      <c r="EHB4762" s="917"/>
      <c r="EHC4762" s="917"/>
      <c r="EHD4762" s="917"/>
      <c r="EHE4762" s="917"/>
      <c r="EHF4762" s="917"/>
      <c r="EHG4762" s="917"/>
      <c r="EHH4762" s="917"/>
      <c r="EHI4762" s="917"/>
      <c r="EHJ4762" s="917"/>
      <c r="EHK4762" s="917"/>
      <c r="EHL4762" s="917"/>
      <c r="EHM4762" s="917"/>
      <c r="EHN4762" s="917"/>
      <c r="EHO4762" s="917"/>
      <c r="EHP4762" s="917"/>
      <c r="EHQ4762" s="917" t="s">
        <v>78</v>
      </c>
      <c r="EHR4762" s="917"/>
      <c r="EHS4762" s="917"/>
      <c r="EHT4762" s="917"/>
      <c r="EHU4762" s="917"/>
      <c r="EHV4762" s="917"/>
      <c r="EHW4762" s="917"/>
      <c r="EHX4762" s="917"/>
      <c r="EHY4762" s="917"/>
      <c r="EHZ4762" s="917"/>
      <c r="EIA4762" s="917"/>
      <c r="EIB4762" s="917"/>
      <c r="EIC4762" s="917"/>
      <c r="EID4762" s="917"/>
      <c r="EIE4762" s="917"/>
      <c r="EIF4762" s="917"/>
      <c r="EIG4762" s="917"/>
      <c r="EIH4762" s="917"/>
      <c r="EII4762" s="917"/>
      <c r="EIJ4762" s="917"/>
      <c r="EIK4762" s="917"/>
      <c r="EIL4762" s="917"/>
      <c r="EIM4762" s="917"/>
      <c r="EIN4762" s="917"/>
      <c r="EIO4762" s="917"/>
      <c r="EIP4762" s="917"/>
      <c r="EIQ4762" s="917"/>
      <c r="EIR4762" s="917"/>
      <c r="EIS4762" s="917"/>
      <c r="EIT4762" s="917"/>
      <c r="EIU4762" s="917"/>
      <c r="EIV4762" s="917"/>
      <c r="EIW4762" s="917" t="s">
        <v>78</v>
      </c>
      <c r="EIX4762" s="917"/>
      <c r="EIY4762" s="917"/>
      <c r="EIZ4762" s="917"/>
      <c r="EJA4762" s="917"/>
      <c r="EJB4762" s="917"/>
      <c r="EJC4762" s="917"/>
      <c r="EJD4762" s="917"/>
      <c r="EJE4762" s="917"/>
      <c r="EJF4762" s="917"/>
      <c r="EJG4762" s="917"/>
      <c r="EJH4762" s="917"/>
      <c r="EJI4762" s="917"/>
      <c r="EJJ4762" s="917"/>
      <c r="EJK4762" s="917"/>
      <c r="EJL4762" s="917"/>
      <c r="EJM4762" s="917"/>
      <c r="EJN4762" s="917"/>
      <c r="EJO4762" s="917"/>
      <c r="EJP4762" s="917"/>
      <c r="EJQ4762" s="917"/>
      <c r="EJR4762" s="917"/>
      <c r="EJS4762" s="917"/>
      <c r="EJT4762" s="917"/>
      <c r="EJU4762" s="917"/>
      <c r="EJV4762" s="917"/>
      <c r="EJW4762" s="917"/>
      <c r="EJX4762" s="917"/>
      <c r="EJY4762" s="917"/>
      <c r="EJZ4762" s="917"/>
      <c r="EKA4762" s="917"/>
      <c r="EKB4762" s="917"/>
      <c r="EKC4762" s="917" t="s">
        <v>78</v>
      </c>
      <c r="EKD4762" s="917"/>
      <c r="EKE4762" s="917"/>
      <c r="EKF4762" s="917"/>
      <c r="EKG4762" s="917"/>
      <c r="EKH4762" s="917"/>
      <c r="EKI4762" s="917"/>
      <c r="EKJ4762" s="917"/>
      <c r="EKK4762" s="917"/>
      <c r="EKL4762" s="917"/>
      <c r="EKM4762" s="917"/>
      <c r="EKN4762" s="917"/>
      <c r="EKO4762" s="917"/>
      <c r="EKP4762" s="917"/>
      <c r="EKQ4762" s="917"/>
      <c r="EKR4762" s="917"/>
      <c r="EKS4762" s="917"/>
      <c r="EKT4762" s="917"/>
      <c r="EKU4762" s="917"/>
      <c r="EKV4762" s="917"/>
      <c r="EKW4762" s="917"/>
      <c r="EKX4762" s="917"/>
      <c r="EKY4762" s="917"/>
      <c r="EKZ4762" s="917"/>
      <c r="ELA4762" s="917"/>
      <c r="ELB4762" s="917"/>
      <c r="ELC4762" s="917"/>
      <c r="ELD4762" s="917"/>
      <c r="ELE4762" s="917"/>
      <c r="ELF4762" s="917"/>
      <c r="ELG4762" s="917"/>
      <c r="ELH4762" s="917"/>
      <c r="ELI4762" s="917" t="s">
        <v>78</v>
      </c>
      <c r="ELJ4762" s="917"/>
      <c r="ELK4762" s="917"/>
      <c r="ELL4762" s="917"/>
      <c r="ELM4762" s="917"/>
      <c r="ELN4762" s="917"/>
      <c r="ELO4762" s="917"/>
      <c r="ELP4762" s="917"/>
      <c r="ELQ4762" s="917"/>
      <c r="ELR4762" s="917"/>
      <c r="ELS4762" s="917"/>
      <c r="ELT4762" s="917"/>
      <c r="ELU4762" s="917"/>
      <c r="ELV4762" s="917"/>
      <c r="ELW4762" s="917"/>
      <c r="ELX4762" s="917"/>
      <c r="ELY4762" s="917"/>
      <c r="ELZ4762" s="917"/>
      <c r="EMA4762" s="917"/>
      <c r="EMB4762" s="917"/>
      <c r="EMC4762" s="917"/>
      <c r="EMD4762" s="917"/>
      <c r="EME4762" s="917"/>
      <c r="EMF4762" s="917"/>
      <c r="EMG4762" s="917"/>
      <c r="EMH4762" s="917"/>
      <c r="EMI4762" s="917"/>
      <c r="EMJ4762" s="917"/>
      <c r="EMK4762" s="917"/>
      <c r="EML4762" s="917"/>
      <c r="EMM4762" s="917"/>
      <c r="EMN4762" s="917"/>
      <c r="EMO4762" s="917" t="s">
        <v>78</v>
      </c>
      <c r="EMP4762" s="917"/>
      <c r="EMQ4762" s="917"/>
      <c r="EMR4762" s="917"/>
      <c r="EMS4762" s="917"/>
      <c r="EMT4762" s="917"/>
      <c r="EMU4762" s="917"/>
      <c r="EMV4762" s="917"/>
      <c r="EMW4762" s="917"/>
      <c r="EMX4762" s="917"/>
      <c r="EMY4762" s="917"/>
      <c r="EMZ4762" s="917"/>
      <c r="ENA4762" s="917"/>
      <c r="ENB4762" s="917"/>
      <c r="ENC4762" s="917"/>
      <c r="END4762" s="917"/>
      <c r="ENE4762" s="917"/>
      <c r="ENF4762" s="917"/>
      <c r="ENG4762" s="917"/>
      <c r="ENH4762" s="917"/>
      <c r="ENI4762" s="917"/>
      <c r="ENJ4762" s="917"/>
      <c r="ENK4762" s="917"/>
      <c r="ENL4762" s="917"/>
      <c r="ENM4762" s="917"/>
      <c r="ENN4762" s="917"/>
      <c r="ENO4762" s="917"/>
      <c r="ENP4762" s="917"/>
      <c r="ENQ4762" s="917"/>
      <c r="ENR4762" s="917"/>
      <c r="ENS4762" s="917"/>
      <c r="ENT4762" s="917"/>
      <c r="ENU4762" s="917" t="s">
        <v>78</v>
      </c>
      <c r="ENV4762" s="917"/>
      <c r="ENW4762" s="917"/>
      <c r="ENX4762" s="917"/>
      <c r="ENY4762" s="917"/>
      <c r="ENZ4762" s="917"/>
      <c r="EOA4762" s="917"/>
      <c r="EOB4762" s="917"/>
      <c r="EOC4762" s="917"/>
      <c r="EOD4762" s="917"/>
      <c r="EOE4762" s="917"/>
      <c r="EOF4762" s="917"/>
      <c r="EOG4762" s="917"/>
      <c r="EOH4762" s="917"/>
      <c r="EOI4762" s="917"/>
      <c r="EOJ4762" s="917"/>
      <c r="EOK4762" s="917"/>
      <c r="EOL4762" s="917"/>
      <c r="EOM4762" s="917"/>
      <c r="EON4762" s="917"/>
      <c r="EOO4762" s="917"/>
      <c r="EOP4762" s="917"/>
      <c r="EOQ4762" s="917"/>
      <c r="EOR4762" s="917"/>
      <c r="EOS4762" s="917"/>
      <c r="EOT4762" s="917"/>
      <c r="EOU4762" s="917"/>
      <c r="EOV4762" s="917"/>
      <c r="EOW4762" s="917"/>
      <c r="EOX4762" s="917"/>
      <c r="EOY4762" s="917"/>
      <c r="EOZ4762" s="917"/>
      <c r="EPA4762" s="917" t="s">
        <v>78</v>
      </c>
      <c r="EPB4762" s="917"/>
      <c r="EPC4762" s="917"/>
      <c r="EPD4762" s="917"/>
      <c r="EPE4762" s="917"/>
      <c r="EPF4762" s="917"/>
      <c r="EPG4762" s="917"/>
      <c r="EPH4762" s="917"/>
      <c r="EPI4762" s="917"/>
      <c r="EPJ4762" s="917"/>
      <c r="EPK4762" s="917"/>
      <c r="EPL4762" s="917"/>
      <c r="EPM4762" s="917"/>
      <c r="EPN4762" s="917"/>
      <c r="EPO4762" s="917"/>
      <c r="EPP4762" s="917"/>
      <c r="EPQ4762" s="917"/>
      <c r="EPR4762" s="917"/>
      <c r="EPS4762" s="917"/>
      <c r="EPT4762" s="917"/>
      <c r="EPU4762" s="917"/>
      <c r="EPV4762" s="917"/>
      <c r="EPW4762" s="917"/>
      <c r="EPX4762" s="917"/>
      <c r="EPY4762" s="917"/>
      <c r="EPZ4762" s="917"/>
      <c r="EQA4762" s="917"/>
      <c r="EQB4762" s="917"/>
      <c r="EQC4762" s="917"/>
      <c r="EQD4762" s="917"/>
      <c r="EQE4762" s="917"/>
      <c r="EQF4762" s="917"/>
      <c r="EQG4762" s="917" t="s">
        <v>78</v>
      </c>
      <c r="EQH4762" s="917"/>
      <c r="EQI4762" s="917"/>
      <c r="EQJ4762" s="917"/>
      <c r="EQK4762" s="917"/>
      <c r="EQL4762" s="917"/>
      <c r="EQM4762" s="917"/>
      <c r="EQN4762" s="917"/>
      <c r="EQO4762" s="917"/>
      <c r="EQP4762" s="917"/>
      <c r="EQQ4762" s="917"/>
      <c r="EQR4762" s="917"/>
      <c r="EQS4762" s="917"/>
      <c r="EQT4762" s="917"/>
      <c r="EQU4762" s="917"/>
      <c r="EQV4762" s="917"/>
      <c r="EQW4762" s="917"/>
      <c r="EQX4762" s="917"/>
      <c r="EQY4762" s="917"/>
      <c r="EQZ4762" s="917"/>
      <c r="ERA4762" s="917"/>
      <c r="ERB4762" s="917"/>
      <c r="ERC4762" s="917"/>
      <c r="ERD4762" s="917"/>
      <c r="ERE4762" s="917"/>
      <c r="ERF4762" s="917"/>
      <c r="ERG4762" s="917"/>
      <c r="ERH4762" s="917"/>
      <c r="ERI4762" s="917"/>
      <c r="ERJ4762" s="917"/>
      <c r="ERK4762" s="917"/>
      <c r="ERL4762" s="917"/>
      <c r="ERM4762" s="917" t="s">
        <v>78</v>
      </c>
      <c r="ERN4762" s="917"/>
      <c r="ERO4762" s="917"/>
      <c r="ERP4762" s="917"/>
      <c r="ERQ4762" s="917"/>
      <c r="ERR4762" s="917"/>
      <c r="ERS4762" s="917"/>
      <c r="ERT4762" s="917"/>
      <c r="ERU4762" s="917"/>
      <c r="ERV4762" s="917"/>
      <c r="ERW4762" s="917"/>
      <c r="ERX4762" s="917"/>
      <c r="ERY4762" s="917"/>
      <c r="ERZ4762" s="917"/>
      <c r="ESA4762" s="917"/>
      <c r="ESB4762" s="917"/>
      <c r="ESC4762" s="917"/>
      <c r="ESD4762" s="917"/>
      <c r="ESE4762" s="917"/>
      <c r="ESF4762" s="917"/>
      <c r="ESG4762" s="917"/>
      <c r="ESH4762" s="917"/>
      <c r="ESI4762" s="917"/>
      <c r="ESJ4762" s="917"/>
      <c r="ESK4762" s="917"/>
      <c r="ESL4762" s="917"/>
      <c r="ESM4762" s="917"/>
      <c r="ESN4762" s="917"/>
      <c r="ESO4762" s="917"/>
      <c r="ESP4762" s="917"/>
      <c r="ESQ4762" s="917"/>
      <c r="ESR4762" s="917"/>
      <c r="ESS4762" s="917" t="s">
        <v>78</v>
      </c>
      <c r="EST4762" s="917"/>
      <c r="ESU4762" s="917"/>
      <c r="ESV4762" s="917"/>
      <c r="ESW4762" s="917"/>
      <c r="ESX4762" s="917"/>
      <c r="ESY4762" s="917"/>
      <c r="ESZ4762" s="917"/>
      <c r="ETA4762" s="917"/>
      <c r="ETB4762" s="917"/>
      <c r="ETC4762" s="917"/>
      <c r="ETD4762" s="917"/>
      <c r="ETE4762" s="917"/>
      <c r="ETF4762" s="917"/>
      <c r="ETG4762" s="917"/>
      <c r="ETH4762" s="917"/>
      <c r="ETI4762" s="917"/>
      <c r="ETJ4762" s="917"/>
      <c r="ETK4762" s="917"/>
      <c r="ETL4762" s="917"/>
      <c r="ETM4762" s="917"/>
      <c r="ETN4762" s="917"/>
      <c r="ETO4762" s="917"/>
      <c r="ETP4762" s="917"/>
      <c r="ETQ4762" s="917"/>
      <c r="ETR4762" s="917"/>
      <c r="ETS4762" s="917"/>
      <c r="ETT4762" s="917"/>
      <c r="ETU4762" s="917"/>
      <c r="ETV4762" s="917"/>
      <c r="ETW4762" s="917"/>
      <c r="ETX4762" s="917"/>
      <c r="ETY4762" s="917" t="s">
        <v>78</v>
      </c>
      <c r="ETZ4762" s="917"/>
      <c r="EUA4762" s="917"/>
      <c r="EUB4762" s="917"/>
      <c r="EUC4762" s="917"/>
      <c r="EUD4762" s="917"/>
      <c r="EUE4762" s="917"/>
      <c r="EUF4762" s="917"/>
      <c r="EUG4762" s="917"/>
      <c r="EUH4762" s="917"/>
      <c r="EUI4762" s="917"/>
      <c r="EUJ4762" s="917"/>
      <c r="EUK4762" s="917"/>
      <c r="EUL4762" s="917"/>
      <c r="EUM4762" s="917"/>
      <c r="EUN4762" s="917"/>
      <c r="EUO4762" s="917"/>
      <c r="EUP4762" s="917"/>
      <c r="EUQ4762" s="917"/>
      <c r="EUR4762" s="917"/>
      <c r="EUS4762" s="917"/>
      <c r="EUT4762" s="917"/>
      <c r="EUU4762" s="917"/>
      <c r="EUV4762" s="917"/>
      <c r="EUW4762" s="917"/>
      <c r="EUX4762" s="917"/>
      <c r="EUY4762" s="917"/>
      <c r="EUZ4762" s="917"/>
      <c r="EVA4762" s="917"/>
      <c r="EVB4762" s="917"/>
      <c r="EVC4762" s="917"/>
      <c r="EVD4762" s="917"/>
      <c r="EVE4762" s="917" t="s">
        <v>78</v>
      </c>
      <c r="EVF4762" s="917"/>
      <c r="EVG4762" s="917"/>
      <c r="EVH4762" s="917"/>
      <c r="EVI4762" s="917"/>
      <c r="EVJ4762" s="917"/>
      <c r="EVK4762" s="917"/>
      <c r="EVL4762" s="917"/>
      <c r="EVM4762" s="917"/>
      <c r="EVN4762" s="917"/>
      <c r="EVO4762" s="917"/>
      <c r="EVP4762" s="917"/>
      <c r="EVQ4762" s="917"/>
      <c r="EVR4762" s="917"/>
      <c r="EVS4762" s="917"/>
      <c r="EVT4762" s="917"/>
      <c r="EVU4762" s="917"/>
      <c r="EVV4762" s="917"/>
      <c r="EVW4762" s="917"/>
      <c r="EVX4762" s="917"/>
      <c r="EVY4762" s="917"/>
      <c r="EVZ4762" s="917"/>
      <c r="EWA4762" s="917"/>
      <c r="EWB4762" s="917"/>
      <c r="EWC4762" s="917"/>
      <c r="EWD4762" s="917"/>
      <c r="EWE4762" s="917"/>
      <c r="EWF4762" s="917"/>
      <c r="EWG4762" s="917"/>
      <c r="EWH4762" s="917"/>
      <c r="EWI4762" s="917"/>
      <c r="EWJ4762" s="917"/>
      <c r="EWK4762" s="917" t="s">
        <v>78</v>
      </c>
      <c r="EWL4762" s="917"/>
      <c r="EWM4762" s="917"/>
      <c r="EWN4762" s="917"/>
      <c r="EWO4762" s="917"/>
      <c r="EWP4762" s="917"/>
      <c r="EWQ4762" s="917"/>
      <c r="EWR4762" s="917"/>
      <c r="EWS4762" s="917"/>
      <c r="EWT4762" s="917"/>
      <c r="EWU4762" s="917"/>
      <c r="EWV4762" s="917"/>
      <c r="EWW4762" s="917"/>
      <c r="EWX4762" s="917"/>
      <c r="EWY4762" s="917"/>
      <c r="EWZ4762" s="917"/>
      <c r="EXA4762" s="917"/>
      <c r="EXB4762" s="917"/>
      <c r="EXC4762" s="917"/>
      <c r="EXD4762" s="917"/>
      <c r="EXE4762" s="917"/>
      <c r="EXF4762" s="917"/>
      <c r="EXG4762" s="917"/>
      <c r="EXH4762" s="917"/>
      <c r="EXI4762" s="917"/>
      <c r="EXJ4762" s="917"/>
      <c r="EXK4762" s="917"/>
      <c r="EXL4762" s="917"/>
      <c r="EXM4762" s="917"/>
      <c r="EXN4762" s="917"/>
      <c r="EXO4762" s="917"/>
      <c r="EXP4762" s="917"/>
      <c r="EXQ4762" s="917" t="s">
        <v>78</v>
      </c>
      <c r="EXR4762" s="917"/>
      <c r="EXS4762" s="917"/>
      <c r="EXT4762" s="917"/>
      <c r="EXU4762" s="917"/>
      <c r="EXV4762" s="917"/>
      <c r="EXW4762" s="917"/>
      <c r="EXX4762" s="917"/>
      <c r="EXY4762" s="917"/>
      <c r="EXZ4762" s="917"/>
      <c r="EYA4762" s="917"/>
      <c r="EYB4762" s="917"/>
      <c r="EYC4762" s="917"/>
      <c r="EYD4762" s="917"/>
      <c r="EYE4762" s="917"/>
      <c r="EYF4762" s="917"/>
      <c r="EYG4762" s="917"/>
      <c r="EYH4762" s="917"/>
      <c r="EYI4762" s="917"/>
      <c r="EYJ4762" s="917"/>
      <c r="EYK4762" s="917"/>
      <c r="EYL4762" s="917"/>
      <c r="EYM4762" s="917"/>
      <c r="EYN4762" s="917"/>
      <c r="EYO4762" s="917"/>
      <c r="EYP4762" s="917"/>
      <c r="EYQ4762" s="917"/>
      <c r="EYR4762" s="917"/>
      <c r="EYS4762" s="917"/>
      <c r="EYT4762" s="917"/>
      <c r="EYU4762" s="917"/>
      <c r="EYV4762" s="917"/>
      <c r="EYW4762" s="917" t="s">
        <v>78</v>
      </c>
      <c r="EYX4762" s="917"/>
      <c r="EYY4762" s="917"/>
      <c r="EYZ4762" s="917"/>
      <c r="EZA4762" s="917"/>
      <c r="EZB4762" s="917"/>
      <c r="EZC4762" s="917"/>
      <c r="EZD4762" s="917"/>
      <c r="EZE4762" s="917"/>
      <c r="EZF4762" s="917"/>
      <c r="EZG4762" s="917"/>
      <c r="EZH4762" s="917"/>
      <c r="EZI4762" s="917"/>
      <c r="EZJ4762" s="917"/>
      <c r="EZK4762" s="917"/>
      <c r="EZL4762" s="917"/>
      <c r="EZM4762" s="917"/>
      <c r="EZN4762" s="917"/>
      <c r="EZO4762" s="917"/>
      <c r="EZP4762" s="917"/>
      <c r="EZQ4762" s="917"/>
      <c r="EZR4762" s="917"/>
      <c r="EZS4762" s="917"/>
      <c r="EZT4762" s="917"/>
      <c r="EZU4762" s="917"/>
      <c r="EZV4762" s="917"/>
      <c r="EZW4762" s="917"/>
      <c r="EZX4762" s="917"/>
      <c r="EZY4762" s="917"/>
      <c r="EZZ4762" s="917"/>
      <c r="FAA4762" s="917"/>
      <c r="FAB4762" s="917"/>
      <c r="FAC4762" s="917" t="s">
        <v>78</v>
      </c>
      <c r="FAD4762" s="917"/>
      <c r="FAE4762" s="917"/>
      <c r="FAF4762" s="917"/>
      <c r="FAG4762" s="917"/>
      <c r="FAH4762" s="917"/>
      <c r="FAI4762" s="917"/>
      <c r="FAJ4762" s="917"/>
      <c r="FAK4762" s="917"/>
      <c r="FAL4762" s="917"/>
      <c r="FAM4762" s="917"/>
      <c r="FAN4762" s="917"/>
      <c r="FAO4762" s="917"/>
      <c r="FAP4762" s="917"/>
      <c r="FAQ4762" s="917"/>
      <c r="FAR4762" s="917"/>
      <c r="FAS4762" s="917"/>
      <c r="FAT4762" s="917"/>
      <c r="FAU4762" s="917"/>
      <c r="FAV4762" s="917"/>
      <c r="FAW4762" s="917"/>
      <c r="FAX4762" s="917"/>
      <c r="FAY4762" s="917"/>
      <c r="FAZ4762" s="917"/>
      <c r="FBA4762" s="917"/>
      <c r="FBB4762" s="917"/>
      <c r="FBC4762" s="917"/>
      <c r="FBD4762" s="917"/>
      <c r="FBE4762" s="917"/>
      <c r="FBF4762" s="917"/>
      <c r="FBG4762" s="917"/>
      <c r="FBH4762" s="917"/>
      <c r="FBI4762" s="917" t="s">
        <v>78</v>
      </c>
      <c r="FBJ4762" s="917"/>
      <c r="FBK4762" s="917"/>
      <c r="FBL4762" s="917"/>
      <c r="FBM4762" s="917"/>
      <c r="FBN4762" s="917"/>
      <c r="FBO4762" s="917"/>
      <c r="FBP4762" s="917"/>
      <c r="FBQ4762" s="917"/>
      <c r="FBR4762" s="917"/>
      <c r="FBS4762" s="917"/>
      <c r="FBT4762" s="917"/>
      <c r="FBU4762" s="917"/>
      <c r="FBV4762" s="917"/>
      <c r="FBW4762" s="917"/>
      <c r="FBX4762" s="917"/>
      <c r="FBY4762" s="917"/>
      <c r="FBZ4762" s="917"/>
      <c r="FCA4762" s="917"/>
      <c r="FCB4762" s="917"/>
      <c r="FCC4762" s="917"/>
      <c r="FCD4762" s="917"/>
      <c r="FCE4762" s="917"/>
      <c r="FCF4762" s="917"/>
      <c r="FCG4762" s="917"/>
      <c r="FCH4762" s="917"/>
      <c r="FCI4762" s="917"/>
      <c r="FCJ4762" s="917"/>
      <c r="FCK4762" s="917"/>
      <c r="FCL4762" s="917"/>
      <c r="FCM4762" s="917"/>
      <c r="FCN4762" s="917"/>
      <c r="FCO4762" s="917" t="s">
        <v>78</v>
      </c>
      <c r="FCP4762" s="917"/>
      <c r="FCQ4762" s="917"/>
      <c r="FCR4762" s="917"/>
      <c r="FCS4762" s="917"/>
      <c r="FCT4762" s="917"/>
      <c r="FCU4762" s="917"/>
      <c r="FCV4762" s="917"/>
      <c r="FCW4762" s="917"/>
      <c r="FCX4762" s="917"/>
      <c r="FCY4762" s="917"/>
      <c r="FCZ4762" s="917"/>
      <c r="FDA4762" s="917"/>
      <c r="FDB4762" s="917"/>
      <c r="FDC4762" s="917"/>
      <c r="FDD4762" s="917"/>
      <c r="FDE4762" s="917"/>
      <c r="FDF4762" s="917"/>
      <c r="FDG4762" s="917"/>
      <c r="FDH4762" s="917"/>
      <c r="FDI4762" s="917"/>
      <c r="FDJ4762" s="917"/>
      <c r="FDK4762" s="917"/>
      <c r="FDL4762" s="917"/>
      <c r="FDM4762" s="917"/>
      <c r="FDN4762" s="917"/>
      <c r="FDO4762" s="917"/>
      <c r="FDP4762" s="917"/>
      <c r="FDQ4762" s="917"/>
      <c r="FDR4762" s="917"/>
      <c r="FDS4762" s="917"/>
      <c r="FDT4762" s="917"/>
      <c r="FDU4762" s="917" t="s">
        <v>78</v>
      </c>
      <c r="FDV4762" s="917"/>
      <c r="FDW4762" s="917"/>
      <c r="FDX4762" s="917"/>
      <c r="FDY4762" s="917"/>
      <c r="FDZ4762" s="917"/>
      <c r="FEA4762" s="917"/>
      <c r="FEB4762" s="917"/>
      <c r="FEC4762" s="917"/>
      <c r="FED4762" s="917"/>
      <c r="FEE4762" s="917"/>
      <c r="FEF4762" s="917"/>
      <c r="FEG4762" s="917"/>
      <c r="FEH4762" s="917"/>
      <c r="FEI4762" s="917"/>
      <c r="FEJ4762" s="917"/>
      <c r="FEK4762" s="917"/>
      <c r="FEL4762" s="917"/>
      <c r="FEM4762" s="917"/>
      <c r="FEN4762" s="917"/>
      <c r="FEO4762" s="917"/>
      <c r="FEP4762" s="917"/>
      <c r="FEQ4762" s="917"/>
      <c r="FER4762" s="917"/>
      <c r="FES4762" s="917"/>
      <c r="FET4762" s="917"/>
      <c r="FEU4762" s="917"/>
      <c r="FEV4762" s="917"/>
      <c r="FEW4762" s="917"/>
      <c r="FEX4762" s="917"/>
      <c r="FEY4762" s="917"/>
      <c r="FEZ4762" s="917"/>
      <c r="FFA4762" s="917" t="s">
        <v>78</v>
      </c>
      <c r="FFB4762" s="917"/>
      <c r="FFC4762" s="917"/>
      <c r="FFD4762" s="917"/>
      <c r="FFE4762" s="917"/>
      <c r="FFF4762" s="917"/>
      <c r="FFG4762" s="917"/>
      <c r="FFH4762" s="917"/>
      <c r="FFI4762" s="917"/>
      <c r="FFJ4762" s="917"/>
      <c r="FFK4762" s="917"/>
      <c r="FFL4762" s="917"/>
      <c r="FFM4762" s="917"/>
      <c r="FFN4762" s="917"/>
      <c r="FFO4762" s="917"/>
      <c r="FFP4762" s="917"/>
      <c r="FFQ4762" s="917"/>
      <c r="FFR4762" s="917"/>
      <c r="FFS4762" s="917"/>
      <c r="FFT4762" s="917"/>
      <c r="FFU4762" s="917"/>
      <c r="FFV4762" s="917"/>
      <c r="FFW4762" s="917"/>
      <c r="FFX4762" s="917"/>
      <c r="FFY4762" s="917"/>
      <c r="FFZ4762" s="917"/>
      <c r="FGA4762" s="917"/>
      <c r="FGB4762" s="917"/>
      <c r="FGC4762" s="917"/>
      <c r="FGD4762" s="917"/>
      <c r="FGE4762" s="917"/>
      <c r="FGF4762" s="917"/>
      <c r="FGG4762" s="917" t="s">
        <v>78</v>
      </c>
      <c r="FGH4762" s="917"/>
      <c r="FGI4762" s="917"/>
      <c r="FGJ4762" s="917"/>
      <c r="FGK4762" s="917"/>
      <c r="FGL4762" s="917"/>
      <c r="FGM4762" s="917"/>
      <c r="FGN4762" s="917"/>
      <c r="FGO4762" s="917"/>
      <c r="FGP4762" s="917"/>
      <c r="FGQ4762" s="917"/>
      <c r="FGR4762" s="917"/>
      <c r="FGS4762" s="917"/>
      <c r="FGT4762" s="917"/>
      <c r="FGU4762" s="917"/>
      <c r="FGV4762" s="917"/>
      <c r="FGW4762" s="917"/>
      <c r="FGX4762" s="917"/>
      <c r="FGY4762" s="917"/>
      <c r="FGZ4762" s="917"/>
      <c r="FHA4762" s="917"/>
      <c r="FHB4762" s="917"/>
      <c r="FHC4762" s="917"/>
      <c r="FHD4762" s="917"/>
      <c r="FHE4762" s="917"/>
      <c r="FHF4762" s="917"/>
      <c r="FHG4762" s="917"/>
      <c r="FHH4762" s="917"/>
      <c r="FHI4762" s="917"/>
      <c r="FHJ4762" s="917"/>
      <c r="FHK4762" s="917"/>
      <c r="FHL4762" s="917"/>
      <c r="FHM4762" s="917" t="s">
        <v>78</v>
      </c>
      <c r="FHN4762" s="917"/>
      <c r="FHO4762" s="917"/>
      <c r="FHP4762" s="917"/>
      <c r="FHQ4762" s="917"/>
      <c r="FHR4762" s="917"/>
      <c r="FHS4762" s="917"/>
      <c r="FHT4762" s="917"/>
      <c r="FHU4762" s="917"/>
      <c r="FHV4762" s="917"/>
      <c r="FHW4762" s="917"/>
      <c r="FHX4762" s="917"/>
      <c r="FHY4762" s="917"/>
      <c r="FHZ4762" s="917"/>
      <c r="FIA4762" s="917"/>
      <c r="FIB4762" s="917"/>
      <c r="FIC4762" s="917"/>
      <c r="FID4762" s="917"/>
      <c r="FIE4762" s="917"/>
      <c r="FIF4762" s="917"/>
      <c r="FIG4762" s="917"/>
      <c r="FIH4762" s="917"/>
      <c r="FII4762" s="917"/>
      <c r="FIJ4762" s="917"/>
      <c r="FIK4762" s="917"/>
      <c r="FIL4762" s="917"/>
      <c r="FIM4762" s="917"/>
      <c r="FIN4762" s="917"/>
      <c r="FIO4762" s="917"/>
      <c r="FIP4762" s="917"/>
      <c r="FIQ4762" s="917"/>
      <c r="FIR4762" s="917"/>
      <c r="FIS4762" s="917" t="s">
        <v>78</v>
      </c>
      <c r="FIT4762" s="917"/>
      <c r="FIU4762" s="917"/>
      <c r="FIV4762" s="917"/>
      <c r="FIW4762" s="917"/>
      <c r="FIX4762" s="917"/>
      <c r="FIY4762" s="917"/>
      <c r="FIZ4762" s="917"/>
      <c r="FJA4762" s="917"/>
      <c r="FJB4762" s="917"/>
      <c r="FJC4762" s="917"/>
      <c r="FJD4762" s="917"/>
      <c r="FJE4762" s="917"/>
      <c r="FJF4762" s="917"/>
      <c r="FJG4762" s="917"/>
      <c r="FJH4762" s="917"/>
      <c r="FJI4762" s="917"/>
      <c r="FJJ4762" s="917"/>
      <c r="FJK4762" s="917"/>
      <c r="FJL4762" s="917"/>
      <c r="FJM4762" s="917"/>
      <c r="FJN4762" s="917"/>
      <c r="FJO4762" s="917"/>
      <c r="FJP4762" s="917"/>
      <c r="FJQ4762" s="917"/>
      <c r="FJR4762" s="917"/>
      <c r="FJS4762" s="917"/>
      <c r="FJT4762" s="917"/>
      <c r="FJU4762" s="917"/>
      <c r="FJV4762" s="917"/>
      <c r="FJW4762" s="917"/>
      <c r="FJX4762" s="917"/>
      <c r="FJY4762" s="917" t="s">
        <v>78</v>
      </c>
      <c r="FJZ4762" s="917"/>
      <c r="FKA4762" s="917"/>
      <c r="FKB4762" s="917"/>
      <c r="FKC4762" s="917"/>
      <c r="FKD4762" s="917"/>
      <c r="FKE4762" s="917"/>
      <c r="FKF4762" s="917"/>
      <c r="FKG4762" s="917"/>
      <c r="FKH4762" s="917"/>
      <c r="FKI4762" s="917"/>
      <c r="FKJ4762" s="917"/>
      <c r="FKK4762" s="917"/>
      <c r="FKL4762" s="917"/>
      <c r="FKM4762" s="917"/>
      <c r="FKN4762" s="917"/>
      <c r="FKO4762" s="917"/>
      <c r="FKP4762" s="917"/>
      <c r="FKQ4762" s="917"/>
      <c r="FKR4762" s="917"/>
      <c r="FKS4762" s="917"/>
      <c r="FKT4762" s="917"/>
      <c r="FKU4762" s="917"/>
      <c r="FKV4762" s="917"/>
      <c r="FKW4762" s="917"/>
      <c r="FKX4762" s="917"/>
      <c r="FKY4762" s="917"/>
      <c r="FKZ4762" s="917"/>
      <c r="FLA4762" s="917"/>
      <c r="FLB4762" s="917"/>
      <c r="FLC4762" s="917"/>
      <c r="FLD4762" s="917"/>
      <c r="FLE4762" s="917" t="s">
        <v>78</v>
      </c>
      <c r="FLF4762" s="917"/>
      <c r="FLG4762" s="917"/>
      <c r="FLH4762" s="917"/>
      <c r="FLI4762" s="917"/>
      <c r="FLJ4762" s="917"/>
      <c r="FLK4762" s="917"/>
      <c r="FLL4762" s="917"/>
      <c r="FLM4762" s="917"/>
      <c r="FLN4762" s="917"/>
      <c r="FLO4762" s="917"/>
      <c r="FLP4762" s="917"/>
      <c r="FLQ4762" s="917"/>
      <c r="FLR4762" s="917"/>
      <c r="FLS4762" s="917"/>
      <c r="FLT4762" s="917"/>
      <c r="FLU4762" s="917"/>
      <c r="FLV4762" s="917"/>
      <c r="FLW4762" s="917"/>
      <c r="FLX4762" s="917"/>
      <c r="FLY4762" s="917"/>
      <c r="FLZ4762" s="917"/>
      <c r="FMA4762" s="917"/>
      <c r="FMB4762" s="917"/>
      <c r="FMC4762" s="917"/>
      <c r="FMD4762" s="917"/>
      <c r="FME4762" s="917"/>
      <c r="FMF4762" s="917"/>
      <c r="FMG4762" s="917"/>
      <c r="FMH4762" s="917"/>
      <c r="FMI4762" s="917"/>
      <c r="FMJ4762" s="917"/>
      <c r="FMK4762" s="917" t="s">
        <v>78</v>
      </c>
      <c r="FML4762" s="917"/>
      <c r="FMM4762" s="917"/>
      <c r="FMN4762" s="917"/>
      <c r="FMO4762" s="917"/>
      <c r="FMP4762" s="917"/>
      <c r="FMQ4762" s="917"/>
      <c r="FMR4762" s="917"/>
      <c r="FMS4762" s="917"/>
      <c r="FMT4762" s="917"/>
      <c r="FMU4762" s="917"/>
      <c r="FMV4762" s="917"/>
      <c r="FMW4762" s="917"/>
      <c r="FMX4762" s="917"/>
      <c r="FMY4762" s="917"/>
      <c r="FMZ4762" s="917"/>
      <c r="FNA4762" s="917"/>
      <c r="FNB4762" s="917"/>
      <c r="FNC4762" s="917"/>
      <c r="FND4762" s="917"/>
      <c r="FNE4762" s="917"/>
      <c r="FNF4762" s="917"/>
      <c r="FNG4762" s="917"/>
      <c r="FNH4762" s="917"/>
      <c r="FNI4762" s="917"/>
      <c r="FNJ4762" s="917"/>
      <c r="FNK4762" s="917"/>
      <c r="FNL4762" s="917"/>
      <c r="FNM4762" s="917"/>
      <c r="FNN4762" s="917"/>
      <c r="FNO4762" s="917"/>
      <c r="FNP4762" s="917"/>
      <c r="FNQ4762" s="917" t="s">
        <v>78</v>
      </c>
      <c r="FNR4762" s="917"/>
      <c r="FNS4762" s="917"/>
      <c r="FNT4762" s="917"/>
      <c r="FNU4762" s="917"/>
      <c r="FNV4762" s="917"/>
      <c r="FNW4762" s="917"/>
      <c r="FNX4762" s="917"/>
      <c r="FNY4762" s="917"/>
      <c r="FNZ4762" s="917"/>
      <c r="FOA4762" s="917"/>
      <c r="FOB4762" s="917"/>
      <c r="FOC4762" s="917"/>
      <c r="FOD4762" s="917"/>
      <c r="FOE4762" s="917"/>
      <c r="FOF4762" s="917"/>
      <c r="FOG4762" s="917"/>
      <c r="FOH4762" s="917"/>
      <c r="FOI4762" s="917"/>
      <c r="FOJ4762" s="917"/>
      <c r="FOK4762" s="917"/>
      <c r="FOL4762" s="917"/>
      <c r="FOM4762" s="917"/>
      <c r="FON4762" s="917"/>
      <c r="FOO4762" s="917"/>
      <c r="FOP4762" s="917"/>
      <c r="FOQ4762" s="917"/>
      <c r="FOR4762" s="917"/>
      <c r="FOS4762" s="917"/>
      <c r="FOT4762" s="917"/>
      <c r="FOU4762" s="917"/>
      <c r="FOV4762" s="917"/>
      <c r="FOW4762" s="917" t="s">
        <v>78</v>
      </c>
      <c r="FOX4762" s="917"/>
      <c r="FOY4762" s="917"/>
      <c r="FOZ4762" s="917"/>
      <c r="FPA4762" s="917"/>
      <c r="FPB4762" s="917"/>
      <c r="FPC4762" s="917"/>
      <c r="FPD4762" s="917"/>
      <c r="FPE4762" s="917"/>
      <c r="FPF4762" s="917"/>
      <c r="FPG4762" s="917"/>
      <c r="FPH4762" s="917"/>
      <c r="FPI4762" s="917"/>
      <c r="FPJ4762" s="917"/>
      <c r="FPK4762" s="917"/>
      <c r="FPL4762" s="917"/>
      <c r="FPM4762" s="917"/>
      <c r="FPN4762" s="917"/>
      <c r="FPO4762" s="917"/>
      <c r="FPP4762" s="917"/>
      <c r="FPQ4762" s="917"/>
      <c r="FPR4762" s="917"/>
      <c r="FPS4762" s="917"/>
      <c r="FPT4762" s="917"/>
      <c r="FPU4762" s="917"/>
      <c r="FPV4762" s="917"/>
      <c r="FPW4762" s="917"/>
      <c r="FPX4762" s="917"/>
      <c r="FPY4762" s="917"/>
      <c r="FPZ4762" s="917"/>
      <c r="FQA4762" s="917"/>
      <c r="FQB4762" s="917"/>
      <c r="FQC4762" s="917" t="s">
        <v>78</v>
      </c>
      <c r="FQD4762" s="917"/>
      <c r="FQE4762" s="917"/>
      <c r="FQF4762" s="917"/>
      <c r="FQG4762" s="917"/>
      <c r="FQH4762" s="917"/>
      <c r="FQI4762" s="917"/>
      <c r="FQJ4762" s="917"/>
      <c r="FQK4762" s="917"/>
      <c r="FQL4762" s="917"/>
      <c r="FQM4762" s="917"/>
      <c r="FQN4762" s="917"/>
      <c r="FQO4762" s="917"/>
      <c r="FQP4762" s="917"/>
      <c r="FQQ4762" s="917"/>
      <c r="FQR4762" s="917"/>
      <c r="FQS4762" s="917"/>
      <c r="FQT4762" s="917"/>
      <c r="FQU4762" s="917"/>
      <c r="FQV4762" s="917"/>
      <c r="FQW4762" s="917"/>
      <c r="FQX4762" s="917"/>
      <c r="FQY4762" s="917"/>
      <c r="FQZ4762" s="917"/>
      <c r="FRA4762" s="917"/>
      <c r="FRB4762" s="917"/>
      <c r="FRC4762" s="917"/>
      <c r="FRD4762" s="917"/>
      <c r="FRE4762" s="917"/>
      <c r="FRF4762" s="917"/>
      <c r="FRG4762" s="917"/>
      <c r="FRH4762" s="917"/>
      <c r="FRI4762" s="917" t="s">
        <v>78</v>
      </c>
      <c r="FRJ4762" s="917"/>
      <c r="FRK4762" s="917"/>
      <c r="FRL4762" s="917"/>
      <c r="FRM4762" s="917"/>
      <c r="FRN4762" s="917"/>
      <c r="FRO4762" s="917"/>
      <c r="FRP4762" s="917"/>
      <c r="FRQ4762" s="917"/>
      <c r="FRR4762" s="917"/>
      <c r="FRS4762" s="917"/>
      <c r="FRT4762" s="917"/>
      <c r="FRU4762" s="917"/>
      <c r="FRV4762" s="917"/>
      <c r="FRW4762" s="917"/>
      <c r="FRX4762" s="917"/>
      <c r="FRY4762" s="917"/>
      <c r="FRZ4762" s="917"/>
      <c r="FSA4762" s="917"/>
      <c r="FSB4762" s="917"/>
      <c r="FSC4762" s="917"/>
      <c r="FSD4762" s="917"/>
      <c r="FSE4762" s="917"/>
      <c r="FSF4762" s="917"/>
      <c r="FSG4762" s="917"/>
      <c r="FSH4762" s="917"/>
      <c r="FSI4762" s="917"/>
      <c r="FSJ4762" s="917"/>
      <c r="FSK4762" s="917"/>
      <c r="FSL4762" s="917"/>
      <c r="FSM4762" s="917"/>
      <c r="FSN4762" s="917"/>
      <c r="FSO4762" s="917" t="s">
        <v>78</v>
      </c>
      <c r="FSP4762" s="917"/>
      <c r="FSQ4762" s="917"/>
      <c r="FSR4762" s="917"/>
      <c r="FSS4762" s="917"/>
      <c r="FST4762" s="917"/>
      <c r="FSU4762" s="917"/>
      <c r="FSV4762" s="917"/>
      <c r="FSW4762" s="917"/>
      <c r="FSX4762" s="917"/>
      <c r="FSY4762" s="917"/>
      <c r="FSZ4762" s="917"/>
      <c r="FTA4762" s="917"/>
      <c r="FTB4762" s="917"/>
      <c r="FTC4762" s="917"/>
      <c r="FTD4762" s="917"/>
      <c r="FTE4762" s="917"/>
      <c r="FTF4762" s="917"/>
      <c r="FTG4762" s="917"/>
      <c r="FTH4762" s="917"/>
      <c r="FTI4762" s="917"/>
      <c r="FTJ4762" s="917"/>
      <c r="FTK4762" s="917"/>
      <c r="FTL4762" s="917"/>
      <c r="FTM4762" s="917"/>
      <c r="FTN4762" s="917"/>
      <c r="FTO4762" s="917"/>
      <c r="FTP4762" s="917"/>
      <c r="FTQ4762" s="917"/>
      <c r="FTR4762" s="917"/>
      <c r="FTS4762" s="917"/>
      <c r="FTT4762" s="917"/>
      <c r="FTU4762" s="917" t="s">
        <v>78</v>
      </c>
      <c r="FTV4762" s="917"/>
      <c r="FTW4762" s="917"/>
      <c r="FTX4762" s="917"/>
      <c r="FTY4762" s="917"/>
      <c r="FTZ4762" s="917"/>
      <c r="FUA4762" s="917"/>
      <c r="FUB4762" s="917"/>
      <c r="FUC4762" s="917"/>
      <c r="FUD4762" s="917"/>
      <c r="FUE4762" s="917"/>
      <c r="FUF4762" s="917"/>
      <c r="FUG4762" s="917"/>
      <c r="FUH4762" s="917"/>
      <c r="FUI4762" s="917"/>
      <c r="FUJ4762" s="917"/>
      <c r="FUK4762" s="917"/>
      <c r="FUL4762" s="917"/>
      <c r="FUM4762" s="917"/>
      <c r="FUN4762" s="917"/>
      <c r="FUO4762" s="917"/>
      <c r="FUP4762" s="917"/>
      <c r="FUQ4762" s="917"/>
      <c r="FUR4762" s="917"/>
      <c r="FUS4762" s="917"/>
      <c r="FUT4762" s="917"/>
      <c r="FUU4762" s="917"/>
      <c r="FUV4762" s="917"/>
      <c r="FUW4762" s="917"/>
      <c r="FUX4762" s="917"/>
      <c r="FUY4762" s="917"/>
      <c r="FUZ4762" s="917"/>
      <c r="FVA4762" s="917" t="s">
        <v>78</v>
      </c>
      <c r="FVB4762" s="917"/>
      <c r="FVC4762" s="917"/>
      <c r="FVD4762" s="917"/>
      <c r="FVE4762" s="917"/>
      <c r="FVF4762" s="917"/>
      <c r="FVG4762" s="917"/>
      <c r="FVH4762" s="917"/>
      <c r="FVI4762" s="917"/>
      <c r="FVJ4762" s="917"/>
      <c r="FVK4762" s="917"/>
      <c r="FVL4762" s="917"/>
      <c r="FVM4762" s="917"/>
      <c r="FVN4762" s="917"/>
      <c r="FVO4762" s="917"/>
      <c r="FVP4762" s="917"/>
      <c r="FVQ4762" s="917"/>
      <c r="FVR4762" s="917"/>
      <c r="FVS4762" s="917"/>
      <c r="FVT4762" s="917"/>
      <c r="FVU4762" s="917"/>
      <c r="FVV4762" s="917"/>
      <c r="FVW4762" s="917"/>
      <c r="FVX4762" s="917"/>
      <c r="FVY4762" s="917"/>
      <c r="FVZ4762" s="917"/>
      <c r="FWA4762" s="917"/>
      <c r="FWB4762" s="917"/>
      <c r="FWC4762" s="917"/>
      <c r="FWD4762" s="917"/>
      <c r="FWE4762" s="917"/>
      <c r="FWF4762" s="917"/>
      <c r="FWG4762" s="917" t="s">
        <v>78</v>
      </c>
      <c r="FWH4762" s="917"/>
      <c r="FWI4762" s="917"/>
      <c r="FWJ4762" s="917"/>
      <c r="FWK4762" s="917"/>
      <c r="FWL4762" s="917"/>
      <c r="FWM4762" s="917"/>
      <c r="FWN4762" s="917"/>
      <c r="FWO4762" s="917"/>
      <c r="FWP4762" s="917"/>
      <c r="FWQ4762" s="917"/>
      <c r="FWR4762" s="917"/>
      <c r="FWS4762" s="917"/>
      <c r="FWT4762" s="917"/>
      <c r="FWU4762" s="917"/>
      <c r="FWV4762" s="917"/>
      <c r="FWW4762" s="917"/>
      <c r="FWX4762" s="917"/>
      <c r="FWY4762" s="917"/>
      <c r="FWZ4762" s="917"/>
      <c r="FXA4762" s="917"/>
      <c r="FXB4762" s="917"/>
      <c r="FXC4762" s="917"/>
      <c r="FXD4762" s="917"/>
      <c r="FXE4762" s="917"/>
      <c r="FXF4762" s="917"/>
      <c r="FXG4762" s="917"/>
      <c r="FXH4762" s="917"/>
      <c r="FXI4762" s="917"/>
      <c r="FXJ4762" s="917"/>
      <c r="FXK4762" s="917"/>
      <c r="FXL4762" s="917"/>
      <c r="FXM4762" s="917" t="s">
        <v>78</v>
      </c>
      <c r="FXN4762" s="917"/>
      <c r="FXO4762" s="917"/>
      <c r="FXP4762" s="917"/>
      <c r="FXQ4762" s="917"/>
      <c r="FXR4762" s="917"/>
      <c r="FXS4762" s="917"/>
      <c r="FXT4762" s="917"/>
      <c r="FXU4762" s="917"/>
      <c r="FXV4762" s="917"/>
      <c r="FXW4762" s="917"/>
      <c r="FXX4762" s="917"/>
      <c r="FXY4762" s="917"/>
      <c r="FXZ4762" s="917"/>
      <c r="FYA4762" s="917"/>
      <c r="FYB4762" s="917"/>
      <c r="FYC4762" s="917"/>
      <c r="FYD4762" s="917"/>
      <c r="FYE4762" s="917"/>
      <c r="FYF4762" s="917"/>
      <c r="FYG4762" s="917"/>
      <c r="FYH4762" s="917"/>
      <c r="FYI4762" s="917"/>
      <c r="FYJ4762" s="917"/>
      <c r="FYK4762" s="917"/>
      <c r="FYL4762" s="917"/>
      <c r="FYM4762" s="917"/>
      <c r="FYN4762" s="917"/>
      <c r="FYO4762" s="917"/>
      <c r="FYP4762" s="917"/>
      <c r="FYQ4762" s="917"/>
      <c r="FYR4762" s="917"/>
      <c r="FYS4762" s="917" t="s">
        <v>78</v>
      </c>
      <c r="FYT4762" s="917"/>
      <c r="FYU4762" s="917"/>
      <c r="FYV4762" s="917"/>
      <c r="FYW4762" s="917"/>
      <c r="FYX4762" s="917"/>
      <c r="FYY4762" s="917"/>
      <c r="FYZ4762" s="917"/>
      <c r="FZA4762" s="917"/>
      <c r="FZB4762" s="917"/>
      <c r="FZC4762" s="917"/>
      <c r="FZD4762" s="917"/>
      <c r="FZE4762" s="917"/>
      <c r="FZF4762" s="917"/>
      <c r="FZG4762" s="917"/>
      <c r="FZH4762" s="917"/>
      <c r="FZI4762" s="917"/>
      <c r="FZJ4762" s="917"/>
      <c r="FZK4762" s="917"/>
      <c r="FZL4762" s="917"/>
      <c r="FZM4762" s="917"/>
      <c r="FZN4762" s="917"/>
      <c r="FZO4762" s="917"/>
      <c r="FZP4762" s="917"/>
      <c r="FZQ4762" s="917"/>
      <c r="FZR4762" s="917"/>
      <c r="FZS4762" s="917"/>
      <c r="FZT4762" s="917"/>
      <c r="FZU4762" s="917"/>
      <c r="FZV4762" s="917"/>
      <c r="FZW4762" s="917"/>
      <c r="FZX4762" s="917"/>
      <c r="FZY4762" s="917" t="s">
        <v>78</v>
      </c>
      <c r="FZZ4762" s="917"/>
      <c r="GAA4762" s="917"/>
      <c r="GAB4762" s="917"/>
      <c r="GAC4762" s="917"/>
      <c r="GAD4762" s="917"/>
      <c r="GAE4762" s="917"/>
      <c r="GAF4762" s="917"/>
      <c r="GAG4762" s="917"/>
      <c r="GAH4762" s="917"/>
      <c r="GAI4762" s="917"/>
      <c r="GAJ4762" s="917"/>
      <c r="GAK4762" s="917"/>
      <c r="GAL4762" s="917"/>
      <c r="GAM4762" s="917"/>
      <c r="GAN4762" s="917"/>
      <c r="GAO4762" s="917"/>
      <c r="GAP4762" s="917"/>
      <c r="GAQ4762" s="917"/>
      <c r="GAR4762" s="917"/>
      <c r="GAS4762" s="917"/>
      <c r="GAT4762" s="917"/>
      <c r="GAU4762" s="917"/>
      <c r="GAV4762" s="917"/>
      <c r="GAW4762" s="917"/>
      <c r="GAX4762" s="917"/>
      <c r="GAY4762" s="917"/>
      <c r="GAZ4762" s="917"/>
      <c r="GBA4762" s="917"/>
      <c r="GBB4762" s="917"/>
      <c r="GBC4762" s="917"/>
      <c r="GBD4762" s="917"/>
      <c r="GBE4762" s="917" t="s">
        <v>78</v>
      </c>
      <c r="GBF4762" s="917"/>
      <c r="GBG4762" s="917"/>
      <c r="GBH4762" s="917"/>
      <c r="GBI4762" s="917"/>
      <c r="GBJ4762" s="917"/>
      <c r="GBK4762" s="917"/>
      <c r="GBL4762" s="917"/>
      <c r="GBM4762" s="917"/>
      <c r="GBN4762" s="917"/>
      <c r="GBO4762" s="917"/>
      <c r="GBP4762" s="917"/>
      <c r="GBQ4762" s="917"/>
      <c r="GBR4762" s="917"/>
      <c r="GBS4762" s="917"/>
      <c r="GBT4762" s="917"/>
      <c r="GBU4762" s="917"/>
      <c r="GBV4762" s="917"/>
      <c r="GBW4762" s="917"/>
      <c r="GBX4762" s="917"/>
      <c r="GBY4762" s="917"/>
      <c r="GBZ4762" s="917"/>
      <c r="GCA4762" s="917"/>
      <c r="GCB4762" s="917"/>
      <c r="GCC4762" s="917"/>
      <c r="GCD4762" s="917"/>
      <c r="GCE4762" s="917"/>
      <c r="GCF4762" s="917"/>
      <c r="GCG4762" s="917"/>
      <c r="GCH4762" s="917"/>
      <c r="GCI4762" s="917"/>
      <c r="GCJ4762" s="917"/>
      <c r="GCK4762" s="917" t="s">
        <v>78</v>
      </c>
      <c r="GCL4762" s="917"/>
      <c r="GCM4762" s="917"/>
      <c r="GCN4762" s="917"/>
      <c r="GCO4762" s="917"/>
      <c r="GCP4762" s="917"/>
      <c r="GCQ4762" s="917"/>
      <c r="GCR4762" s="917"/>
      <c r="GCS4762" s="917"/>
      <c r="GCT4762" s="917"/>
      <c r="GCU4762" s="917"/>
      <c r="GCV4762" s="917"/>
      <c r="GCW4762" s="917"/>
      <c r="GCX4762" s="917"/>
      <c r="GCY4762" s="917"/>
      <c r="GCZ4762" s="917"/>
      <c r="GDA4762" s="917"/>
      <c r="GDB4762" s="917"/>
      <c r="GDC4762" s="917"/>
      <c r="GDD4762" s="917"/>
      <c r="GDE4762" s="917"/>
      <c r="GDF4762" s="917"/>
      <c r="GDG4762" s="917"/>
      <c r="GDH4762" s="917"/>
      <c r="GDI4762" s="917"/>
      <c r="GDJ4762" s="917"/>
      <c r="GDK4762" s="917"/>
      <c r="GDL4762" s="917"/>
      <c r="GDM4762" s="917"/>
      <c r="GDN4762" s="917"/>
      <c r="GDO4762" s="917"/>
      <c r="GDP4762" s="917"/>
      <c r="GDQ4762" s="917" t="s">
        <v>78</v>
      </c>
      <c r="GDR4762" s="917"/>
      <c r="GDS4762" s="917"/>
      <c r="GDT4762" s="917"/>
      <c r="GDU4762" s="917"/>
      <c r="GDV4762" s="917"/>
      <c r="GDW4762" s="917"/>
      <c r="GDX4762" s="917"/>
      <c r="GDY4762" s="917"/>
      <c r="GDZ4762" s="917"/>
      <c r="GEA4762" s="917"/>
      <c r="GEB4762" s="917"/>
      <c r="GEC4762" s="917"/>
      <c r="GED4762" s="917"/>
      <c r="GEE4762" s="917"/>
      <c r="GEF4762" s="917"/>
      <c r="GEG4762" s="917"/>
      <c r="GEH4762" s="917"/>
      <c r="GEI4762" s="917"/>
      <c r="GEJ4762" s="917"/>
      <c r="GEK4762" s="917"/>
      <c r="GEL4762" s="917"/>
      <c r="GEM4762" s="917"/>
      <c r="GEN4762" s="917"/>
      <c r="GEO4762" s="917"/>
      <c r="GEP4762" s="917"/>
      <c r="GEQ4762" s="917"/>
      <c r="GER4762" s="917"/>
      <c r="GES4762" s="917"/>
      <c r="GET4762" s="917"/>
      <c r="GEU4762" s="917"/>
      <c r="GEV4762" s="917"/>
      <c r="GEW4762" s="917" t="s">
        <v>78</v>
      </c>
      <c r="GEX4762" s="917"/>
      <c r="GEY4762" s="917"/>
      <c r="GEZ4762" s="917"/>
      <c r="GFA4762" s="917"/>
      <c r="GFB4762" s="917"/>
      <c r="GFC4762" s="917"/>
      <c r="GFD4762" s="917"/>
      <c r="GFE4762" s="917"/>
      <c r="GFF4762" s="917"/>
      <c r="GFG4762" s="917"/>
      <c r="GFH4762" s="917"/>
      <c r="GFI4762" s="917"/>
      <c r="GFJ4762" s="917"/>
      <c r="GFK4762" s="917"/>
      <c r="GFL4762" s="917"/>
      <c r="GFM4762" s="917"/>
      <c r="GFN4762" s="917"/>
      <c r="GFO4762" s="917"/>
      <c r="GFP4762" s="917"/>
      <c r="GFQ4762" s="917"/>
      <c r="GFR4762" s="917"/>
      <c r="GFS4762" s="917"/>
      <c r="GFT4762" s="917"/>
      <c r="GFU4762" s="917"/>
      <c r="GFV4762" s="917"/>
      <c r="GFW4762" s="917"/>
      <c r="GFX4762" s="917"/>
      <c r="GFY4762" s="917"/>
      <c r="GFZ4762" s="917"/>
      <c r="GGA4762" s="917"/>
      <c r="GGB4762" s="917"/>
      <c r="GGC4762" s="917" t="s">
        <v>78</v>
      </c>
      <c r="GGD4762" s="917"/>
      <c r="GGE4762" s="917"/>
      <c r="GGF4762" s="917"/>
      <c r="GGG4762" s="917"/>
      <c r="GGH4762" s="917"/>
      <c r="GGI4762" s="917"/>
      <c r="GGJ4762" s="917"/>
      <c r="GGK4762" s="917"/>
      <c r="GGL4762" s="917"/>
      <c r="GGM4762" s="917"/>
      <c r="GGN4762" s="917"/>
      <c r="GGO4762" s="917"/>
      <c r="GGP4762" s="917"/>
      <c r="GGQ4762" s="917"/>
      <c r="GGR4762" s="917"/>
      <c r="GGS4762" s="917"/>
      <c r="GGT4762" s="917"/>
      <c r="GGU4762" s="917"/>
      <c r="GGV4762" s="917"/>
      <c r="GGW4762" s="917"/>
      <c r="GGX4762" s="917"/>
      <c r="GGY4762" s="917"/>
      <c r="GGZ4762" s="917"/>
      <c r="GHA4762" s="917"/>
      <c r="GHB4762" s="917"/>
      <c r="GHC4762" s="917"/>
      <c r="GHD4762" s="917"/>
      <c r="GHE4762" s="917"/>
      <c r="GHF4762" s="917"/>
      <c r="GHG4762" s="917"/>
      <c r="GHH4762" s="917"/>
      <c r="GHI4762" s="917" t="s">
        <v>78</v>
      </c>
      <c r="GHJ4762" s="917"/>
      <c r="GHK4762" s="917"/>
      <c r="GHL4762" s="917"/>
      <c r="GHM4762" s="917"/>
      <c r="GHN4762" s="917"/>
      <c r="GHO4762" s="917"/>
      <c r="GHP4762" s="917"/>
      <c r="GHQ4762" s="917"/>
      <c r="GHR4762" s="917"/>
      <c r="GHS4762" s="917"/>
      <c r="GHT4762" s="917"/>
      <c r="GHU4762" s="917"/>
      <c r="GHV4762" s="917"/>
      <c r="GHW4762" s="917"/>
      <c r="GHX4762" s="917"/>
      <c r="GHY4762" s="917"/>
      <c r="GHZ4762" s="917"/>
      <c r="GIA4762" s="917"/>
      <c r="GIB4762" s="917"/>
      <c r="GIC4762" s="917"/>
      <c r="GID4762" s="917"/>
      <c r="GIE4762" s="917"/>
      <c r="GIF4762" s="917"/>
      <c r="GIG4762" s="917"/>
      <c r="GIH4762" s="917"/>
      <c r="GII4762" s="917"/>
      <c r="GIJ4762" s="917"/>
      <c r="GIK4762" s="917"/>
      <c r="GIL4762" s="917"/>
      <c r="GIM4762" s="917"/>
      <c r="GIN4762" s="917"/>
      <c r="GIO4762" s="917" t="s">
        <v>78</v>
      </c>
      <c r="GIP4762" s="917"/>
      <c r="GIQ4762" s="917"/>
      <c r="GIR4762" s="917"/>
      <c r="GIS4762" s="917"/>
      <c r="GIT4762" s="917"/>
      <c r="GIU4762" s="917"/>
      <c r="GIV4762" s="917"/>
      <c r="GIW4762" s="917"/>
      <c r="GIX4762" s="917"/>
      <c r="GIY4762" s="917"/>
      <c r="GIZ4762" s="917"/>
      <c r="GJA4762" s="917"/>
      <c r="GJB4762" s="917"/>
      <c r="GJC4762" s="917"/>
      <c r="GJD4762" s="917"/>
      <c r="GJE4762" s="917"/>
      <c r="GJF4762" s="917"/>
      <c r="GJG4762" s="917"/>
      <c r="GJH4762" s="917"/>
      <c r="GJI4762" s="917"/>
      <c r="GJJ4762" s="917"/>
      <c r="GJK4762" s="917"/>
      <c r="GJL4762" s="917"/>
      <c r="GJM4762" s="917"/>
      <c r="GJN4762" s="917"/>
      <c r="GJO4762" s="917"/>
      <c r="GJP4762" s="917"/>
      <c r="GJQ4762" s="917"/>
      <c r="GJR4762" s="917"/>
      <c r="GJS4762" s="917"/>
      <c r="GJT4762" s="917"/>
      <c r="GJU4762" s="917" t="s">
        <v>78</v>
      </c>
      <c r="GJV4762" s="917"/>
      <c r="GJW4762" s="917"/>
      <c r="GJX4762" s="917"/>
      <c r="GJY4762" s="917"/>
      <c r="GJZ4762" s="917"/>
      <c r="GKA4762" s="917"/>
      <c r="GKB4762" s="917"/>
      <c r="GKC4762" s="917"/>
      <c r="GKD4762" s="917"/>
      <c r="GKE4762" s="917"/>
      <c r="GKF4762" s="917"/>
      <c r="GKG4762" s="917"/>
      <c r="GKH4762" s="917"/>
      <c r="GKI4762" s="917"/>
      <c r="GKJ4762" s="917"/>
      <c r="GKK4762" s="917"/>
      <c r="GKL4762" s="917"/>
      <c r="GKM4762" s="917"/>
      <c r="GKN4762" s="917"/>
      <c r="GKO4762" s="917"/>
      <c r="GKP4762" s="917"/>
      <c r="GKQ4762" s="917"/>
      <c r="GKR4762" s="917"/>
      <c r="GKS4762" s="917"/>
      <c r="GKT4762" s="917"/>
      <c r="GKU4762" s="917"/>
      <c r="GKV4762" s="917"/>
      <c r="GKW4762" s="917"/>
      <c r="GKX4762" s="917"/>
      <c r="GKY4762" s="917"/>
      <c r="GKZ4762" s="917"/>
      <c r="GLA4762" s="917" t="s">
        <v>78</v>
      </c>
      <c r="GLB4762" s="917"/>
      <c r="GLC4762" s="917"/>
      <c r="GLD4762" s="917"/>
      <c r="GLE4762" s="917"/>
      <c r="GLF4762" s="917"/>
      <c r="GLG4762" s="917"/>
      <c r="GLH4762" s="917"/>
      <c r="GLI4762" s="917"/>
      <c r="GLJ4762" s="917"/>
      <c r="GLK4762" s="917"/>
      <c r="GLL4762" s="917"/>
      <c r="GLM4762" s="917"/>
      <c r="GLN4762" s="917"/>
      <c r="GLO4762" s="917"/>
      <c r="GLP4762" s="917"/>
      <c r="GLQ4762" s="917"/>
      <c r="GLR4762" s="917"/>
      <c r="GLS4762" s="917"/>
      <c r="GLT4762" s="917"/>
      <c r="GLU4762" s="917"/>
      <c r="GLV4762" s="917"/>
      <c r="GLW4762" s="917"/>
      <c r="GLX4762" s="917"/>
      <c r="GLY4762" s="917"/>
      <c r="GLZ4762" s="917"/>
      <c r="GMA4762" s="917"/>
      <c r="GMB4762" s="917"/>
      <c r="GMC4762" s="917"/>
      <c r="GMD4762" s="917"/>
      <c r="GME4762" s="917"/>
      <c r="GMF4762" s="917"/>
      <c r="GMG4762" s="917" t="s">
        <v>78</v>
      </c>
      <c r="GMH4762" s="917"/>
      <c r="GMI4762" s="917"/>
      <c r="GMJ4762" s="917"/>
      <c r="GMK4762" s="917"/>
      <c r="GML4762" s="917"/>
      <c r="GMM4762" s="917"/>
      <c r="GMN4762" s="917"/>
      <c r="GMO4762" s="917"/>
      <c r="GMP4762" s="917"/>
      <c r="GMQ4762" s="917"/>
      <c r="GMR4762" s="917"/>
      <c r="GMS4762" s="917"/>
      <c r="GMT4762" s="917"/>
      <c r="GMU4762" s="917"/>
      <c r="GMV4762" s="917"/>
      <c r="GMW4762" s="917"/>
      <c r="GMX4762" s="917"/>
      <c r="GMY4762" s="917"/>
      <c r="GMZ4762" s="917"/>
      <c r="GNA4762" s="917"/>
      <c r="GNB4762" s="917"/>
      <c r="GNC4762" s="917"/>
      <c r="GND4762" s="917"/>
      <c r="GNE4762" s="917"/>
      <c r="GNF4762" s="917"/>
      <c r="GNG4762" s="917"/>
      <c r="GNH4762" s="917"/>
      <c r="GNI4762" s="917"/>
      <c r="GNJ4762" s="917"/>
      <c r="GNK4762" s="917"/>
      <c r="GNL4762" s="917"/>
      <c r="GNM4762" s="917" t="s">
        <v>78</v>
      </c>
      <c r="GNN4762" s="917"/>
      <c r="GNO4762" s="917"/>
      <c r="GNP4762" s="917"/>
      <c r="GNQ4762" s="917"/>
      <c r="GNR4762" s="917"/>
      <c r="GNS4762" s="917"/>
      <c r="GNT4762" s="917"/>
      <c r="GNU4762" s="917"/>
      <c r="GNV4762" s="917"/>
      <c r="GNW4762" s="917"/>
      <c r="GNX4762" s="917"/>
      <c r="GNY4762" s="917"/>
      <c r="GNZ4762" s="917"/>
      <c r="GOA4762" s="917"/>
      <c r="GOB4762" s="917"/>
      <c r="GOC4762" s="917"/>
      <c r="GOD4762" s="917"/>
      <c r="GOE4762" s="917"/>
      <c r="GOF4762" s="917"/>
      <c r="GOG4762" s="917"/>
      <c r="GOH4762" s="917"/>
      <c r="GOI4762" s="917"/>
      <c r="GOJ4762" s="917"/>
      <c r="GOK4762" s="917"/>
      <c r="GOL4762" s="917"/>
      <c r="GOM4762" s="917"/>
      <c r="GON4762" s="917"/>
      <c r="GOO4762" s="917"/>
      <c r="GOP4762" s="917"/>
      <c r="GOQ4762" s="917"/>
      <c r="GOR4762" s="917"/>
      <c r="GOS4762" s="917" t="s">
        <v>78</v>
      </c>
      <c r="GOT4762" s="917"/>
      <c r="GOU4762" s="917"/>
      <c r="GOV4762" s="917"/>
      <c r="GOW4762" s="917"/>
      <c r="GOX4762" s="917"/>
      <c r="GOY4762" s="917"/>
      <c r="GOZ4762" s="917"/>
      <c r="GPA4762" s="917"/>
      <c r="GPB4762" s="917"/>
      <c r="GPC4762" s="917"/>
      <c r="GPD4762" s="917"/>
      <c r="GPE4762" s="917"/>
      <c r="GPF4762" s="917"/>
      <c r="GPG4762" s="917"/>
      <c r="GPH4762" s="917"/>
      <c r="GPI4762" s="917"/>
      <c r="GPJ4762" s="917"/>
      <c r="GPK4762" s="917"/>
      <c r="GPL4762" s="917"/>
      <c r="GPM4762" s="917"/>
      <c r="GPN4762" s="917"/>
      <c r="GPO4762" s="917"/>
      <c r="GPP4762" s="917"/>
      <c r="GPQ4762" s="917"/>
      <c r="GPR4762" s="917"/>
      <c r="GPS4762" s="917"/>
      <c r="GPT4762" s="917"/>
      <c r="GPU4762" s="917"/>
      <c r="GPV4762" s="917"/>
      <c r="GPW4762" s="917"/>
      <c r="GPX4762" s="917"/>
      <c r="GPY4762" s="917" t="s">
        <v>78</v>
      </c>
      <c r="GPZ4762" s="917"/>
      <c r="GQA4762" s="917"/>
      <c r="GQB4762" s="917"/>
      <c r="GQC4762" s="917"/>
      <c r="GQD4762" s="917"/>
      <c r="GQE4762" s="917"/>
      <c r="GQF4762" s="917"/>
      <c r="GQG4762" s="917"/>
      <c r="GQH4762" s="917"/>
      <c r="GQI4762" s="917"/>
      <c r="GQJ4762" s="917"/>
      <c r="GQK4762" s="917"/>
      <c r="GQL4762" s="917"/>
      <c r="GQM4762" s="917"/>
      <c r="GQN4762" s="917"/>
      <c r="GQO4762" s="917"/>
      <c r="GQP4762" s="917"/>
      <c r="GQQ4762" s="917"/>
      <c r="GQR4762" s="917"/>
      <c r="GQS4762" s="917"/>
      <c r="GQT4762" s="917"/>
      <c r="GQU4762" s="917"/>
      <c r="GQV4762" s="917"/>
      <c r="GQW4762" s="917"/>
      <c r="GQX4762" s="917"/>
      <c r="GQY4762" s="917"/>
      <c r="GQZ4762" s="917"/>
      <c r="GRA4762" s="917"/>
      <c r="GRB4762" s="917"/>
      <c r="GRC4762" s="917"/>
      <c r="GRD4762" s="917"/>
      <c r="GRE4762" s="917" t="s">
        <v>78</v>
      </c>
      <c r="GRF4762" s="917"/>
      <c r="GRG4762" s="917"/>
      <c r="GRH4762" s="917"/>
      <c r="GRI4762" s="917"/>
      <c r="GRJ4762" s="917"/>
      <c r="GRK4762" s="917"/>
      <c r="GRL4762" s="917"/>
      <c r="GRM4762" s="917"/>
      <c r="GRN4762" s="917"/>
      <c r="GRO4762" s="917"/>
      <c r="GRP4762" s="917"/>
      <c r="GRQ4762" s="917"/>
      <c r="GRR4762" s="917"/>
      <c r="GRS4762" s="917"/>
      <c r="GRT4762" s="917"/>
      <c r="GRU4762" s="917"/>
      <c r="GRV4762" s="917"/>
      <c r="GRW4762" s="917"/>
      <c r="GRX4762" s="917"/>
      <c r="GRY4762" s="917"/>
      <c r="GRZ4762" s="917"/>
      <c r="GSA4762" s="917"/>
      <c r="GSB4762" s="917"/>
      <c r="GSC4762" s="917"/>
      <c r="GSD4762" s="917"/>
      <c r="GSE4762" s="917"/>
      <c r="GSF4762" s="917"/>
      <c r="GSG4762" s="917"/>
      <c r="GSH4762" s="917"/>
      <c r="GSI4762" s="917"/>
      <c r="GSJ4762" s="917"/>
      <c r="GSK4762" s="917" t="s">
        <v>78</v>
      </c>
      <c r="GSL4762" s="917"/>
      <c r="GSM4762" s="917"/>
      <c r="GSN4762" s="917"/>
      <c r="GSO4762" s="917"/>
      <c r="GSP4762" s="917"/>
      <c r="GSQ4762" s="917"/>
      <c r="GSR4762" s="917"/>
      <c r="GSS4762" s="917"/>
      <c r="GST4762" s="917"/>
      <c r="GSU4762" s="917"/>
      <c r="GSV4762" s="917"/>
      <c r="GSW4762" s="917"/>
      <c r="GSX4762" s="917"/>
      <c r="GSY4762" s="917"/>
      <c r="GSZ4762" s="917"/>
      <c r="GTA4762" s="917"/>
      <c r="GTB4762" s="917"/>
      <c r="GTC4762" s="917"/>
      <c r="GTD4762" s="917"/>
      <c r="GTE4762" s="917"/>
      <c r="GTF4762" s="917"/>
      <c r="GTG4762" s="917"/>
      <c r="GTH4762" s="917"/>
      <c r="GTI4762" s="917"/>
      <c r="GTJ4762" s="917"/>
      <c r="GTK4762" s="917"/>
      <c r="GTL4762" s="917"/>
      <c r="GTM4762" s="917"/>
      <c r="GTN4762" s="917"/>
      <c r="GTO4762" s="917"/>
      <c r="GTP4762" s="917"/>
      <c r="GTQ4762" s="917" t="s">
        <v>78</v>
      </c>
      <c r="GTR4762" s="917"/>
      <c r="GTS4762" s="917"/>
      <c r="GTT4762" s="917"/>
      <c r="GTU4762" s="917"/>
      <c r="GTV4762" s="917"/>
      <c r="GTW4762" s="917"/>
      <c r="GTX4762" s="917"/>
      <c r="GTY4762" s="917"/>
      <c r="GTZ4762" s="917"/>
      <c r="GUA4762" s="917"/>
      <c r="GUB4762" s="917"/>
      <c r="GUC4762" s="917"/>
      <c r="GUD4762" s="917"/>
      <c r="GUE4762" s="917"/>
      <c r="GUF4762" s="917"/>
      <c r="GUG4762" s="917"/>
      <c r="GUH4762" s="917"/>
      <c r="GUI4762" s="917"/>
      <c r="GUJ4762" s="917"/>
      <c r="GUK4762" s="917"/>
      <c r="GUL4762" s="917"/>
      <c r="GUM4762" s="917"/>
      <c r="GUN4762" s="917"/>
      <c r="GUO4762" s="917"/>
      <c r="GUP4762" s="917"/>
      <c r="GUQ4762" s="917"/>
      <c r="GUR4762" s="917"/>
      <c r="GUS4762" s="917"/>
      <c r="GUT4762" s="917"/>
      <c r="GUU4762" s="917"/>
      <c r="GUV4762" s="917"/>
      <c r="GUW4762" s="917" t="s">
        <v>78</v>
      </c>
      <c r="GUX4762" s="917"/>
      <c r="GUY4762" s="917"/>
      <c r="GUZ4762" s="917"/>
      <c r="GVA4762" s="917"/>
      <c r="GVB4762" s="917"/>
      <c r="GVC4762" s="917"/>
      <c r="GVD4762" s="917"/>
      <c r="GVE4762" s="917"/>
      <c r="GVF4762" s="917"/>
      <c r="GVG4762" s="917"/>
      <c r="GVH4762" s="917"/>
      <c r="GVI4762" s="917"/>
      <c r="GVJ4762" s="917"/>
      <c r="GVK4762" s="917"/>
      <c r="GVL4762" s="917"/>
      <c r="GVM4762" s="917"/>
      <c r="GVN4762" s="917"/>
      <c r="GVO4762" s="917"/>
      <c r="GVP4762" s="917"/>
      <c r="GVQ4762" s="917"/>
      <c r="GVR4762" s="917"/>
      <c r="GVS4762" s="917"/>
      <c r="GVT4762" s="917"/>
      <c r="GVU4762" s="917"/>
      <c r="GVV4762" s="917"/>
      <c r="GVW4762" s="917"/>
      <c r="GVX4762" s="917"/>
      <c r="GVY4762" s="917"/>
      <c r="GVZ4762" s="917"/>
      <c r="GWA4762" s="917"/>
      <c r="GWB4762" s="917"/>
      <c r="GWC4762" s="917" t="s">
        <v>78</v>
      </c>
      <c r="GWD4762" s="917"/>
      <c r="GWE4762" s="917"/>
      <c r="GWF4762" s="917"/>
      <c r="GWG4762" s="917"/>
      <c r="GWH4762" s="917"/>
      <c r="GWI4762" s="917"/>
      <c r="GWJ4762" s="917"/>
      <c r="GWK4762" s="917"/>
      <c r="GWL4762" s="917"/>
      <c r="GWM4762" s="917"/>
      <c r="GWN4762" s="917"/>
      <c r="GWO4762" s="917"/>
      <c r="GWP4762" s="917"/>
      <c r="GWQ4762" s="917"/>
      <c r="GWR4762" s="917"/>
      <c r="GWS4762" s="917"/>
      <c r="GWT4762" s="917"/>
      <c r="GWU4762" s="917"/>
      <c r="GWV4762" s="917"/>
      <c r="GWW4762" s="917"/>
      <c r="GWX4762" s="917"/>
      <c r="GWY4762" s="917"/>
      <c r="GWZ4762" s="917"/>
      <c r="GXA4762" s="917"/>
      <c r="GXB4762" s="917"/>
      <c r="GXC4762" s="917"/>
      <c r="GXD4762" s="917"/>
      <c r="GXE4762" s="917"/>
      <c r="GXF4762" s="917"/>
      <c r="GXG4762" s="917"/>
      <c r="GXH4762" s="917"/>
      <c r="GXI4762" s="917" t="s">
        <v>78</v>
      </c>
      <c r="GXJ4762" s="917"/>
      <c r="GXK4762" s="917"/>
      <c r="GXL4762" s="917"/>
      <c r="GXM4762" s="917"/>
      <c r="GXN4762" s="917"/>
      <c r="GXO4762" s="917"/>
      <c r="GXP4762" s="917"/>
      <c r="GXQ4762" s="917"/>
      <c r="GXR4762" s="917"/>
      <c r="GXS4762" s="917"/>
      <c r="GXT4762" s="917"/>
      <c r="GXU4762" s="917"/>
      <c r="GXV4762" s="917"/>
      <c r="GXW4762" s="917"/>
      <c r="GXX4762" s="917"/>
      <c r="GXY4762" s="917"/>
      <c r="GXZ4762" s="917"/>
      <c r="GYA4762" s="917"/>
      <c r="GYB4762" s="917"/>
      <c r="GYC4762" s="917"/>
      <c r="GYD4762" s="917"/>
      <c r="GYE4762" s="917"/>
      <c r="GYF4762" s="917"/>
      <c r="GYG4762" s="917"/>
      <c r="GYH4762" s="917"/>
      <c r="GYI4762" s="917"/>
      <c r="GYJ4762" s="917"/>
      <c r="GYK4762" s="917"/>
      <c r="GYL4762" s="917"/>
      <c r="GYM4762" s="917"/>
      <c r="GYN4762" s="917"/>
      <c r="GYO4762" s="917" t="s">
        <v>78</v>
      </c>
      <c r="GYP4762" s="917"/>
      <c r="GYQ4762" s="917"/>
      <c r="GYR4762" s="917"/>
      <c r="GYS4762" s="917"/>
      <c r="GYT4762" s="917"/>
      <c r="GYU4762" s="917"/>
      <c r="GYV4762" s="917"/>
      <c r="GYW4762" s="917"/>
      <c r="GYX4762" s="917"/>
      <c r="GYY4762" s="917"/>
      <c r="GYZ4762" s="917"/>
      <c r="GZA4762" s="917"/>
      <c r="GZB4762" s="917"/>
      <c r="GZC4762" s="917"/>
      <c r="GZD4762" s="917"/>
      <c r="GZE4762" s="917"/>
      <c r="GZF4762" s="917"/>
      <c r="GZG4762" s="917"/>
      <c r="GZH4762" s="917"/>
      <c r="GZI4762" s="917"/>
      <c r="GZJ4762" s="917"/>
      <c r="GZK4762" s="917"/>
      <c r="GZL4762" s="917"/>
      <c r="GZM4762" s="917"/>
      <c r="GZN4762" s="917"/>
      <c r="GZO4762" s="917"/>
      <c r="GZP4762" s="917"/>
      <c r="GZQ4762" s="917"/>
      <c r="GZR4762" s="917"/>
      <c r="GZS4762" s="917"/>
      <c r="GZT4762" s="917"/>
      <c r="GZU4762" s="917" t="s">
        <v>78</v>
      </c>
      <c r="GZV4762" s="917"/>
      <c r="GZW4762" s="917"/>
      <c r="GZX4762" s="917"/>
      <c r="GZY4762" s="917"/>
      <c r="GZZ4762" s="917"/>
      <c r="HAA4762" s="917"/>
      <c r="HAB4762" s="917"/>
      <c r="HAC4762" s="917"/>
      <c r="HAD4762" s="917"/>
      <c r="HAE4762" s="917"/>
      <c r="HAF4762" s="917"/>
      <c r="HAG4762" s="917"/>
      <c r="HAH4762" s="917"/>
      <c r="HAI4762" s="917"/>
      <c r="HAJ4762" s="917"/>
      <c r="HAK4762" s="917"/>
      <c r="HAL4762" s="917"/>
      <c r="HAM4762" s="917"/>
      <c r="HAN4762" s="917"/>
      <c r="HAO4762" s="917"/>
      <c r="HAP4762" s="917"/>
      <c r="HAQ4762" s="917"/>
      <c r="HAR4762" s="917"/>
      <c r="HAS4762" s="917"/>
      <c r="HAT4762" s="917"/>
      <c r="HAU4762" s="917"/>
      <c r="HAV4762" s="917"/>
      <c r="HAW4762" s="917"/>
      <c r="HAX4762" s="917"/>
      <c r="HAY4762" s="917"/>
      <c r="HAZ4762" s="917"/>
      <c r="HBA4762" s="917" t="s">
        <v>78</v>
      </c>
      <c r="HBB4762" s="917"/>
      <c r="HBC4762" s="917"/>
      <c r="HBD4762" s="917"/>
      <c r="HBE4762" s="917"/>
      <c r="HBF4762" s="917"/>
      <c r="HBG4762" s="917"/>
      <c r="HBH4762" s="917"/>
      <c r="HBI4762" s="917"/>
      <c r="HBJ4762" s="917"/>
      <c r="HBK4762" s="917"/>
      <c r="HBL4762" s="917"/>
      <c r="HBM4762" s="917"/>
      <c r="HBN4762" s="917"/>
      <c r="HBO4762" s="917"/>
      <c r="HBP4762" s="917"/>
      <c r="HBQ4762" s="917"/>
      <c r="HBR4762" s="917"/>
      <c r="HBS4762" s="917"/>
      <c r="HBT4762" s="917"/>
      <c r="HBU4762" s="917"/>
      <c r="HBV4762" s="917"/>
      <c r="HBW4762" s="917"/>
      <c r="HBX4762" s="917"/>
      <c r="HBY4762" s="917"/>
      <c r="HBZ4762" s="917"/>
      <c r="HCA4762" s="917"/>
      <c r="HCB4762" s="917"/>
      <c r="HCC4762" s="917"/>
      <c r="HCD4762" s="917"/>
      <c r="HCE4762" s="917"/>
      <c r="HCF4762" s="917"/>
      <c r="HCG4762" s="917" t="s">
        <v>78</v>
      </c>
      <c r="HCH4762" s="917"/>
      <c r="HCI4762" s="917"/>
      <c r="HCJ4762" s="917"/>
      <c r="HCK4762" s="917"/>
      <c r="HCL4762" s="917"/>
      <c r="HCM4762" s="917"/>
      <c r="HCN4762" s="917"/>
      <c r="HCO4762" s="917"/>
      <c r="HCP4762" s="917"/>
      <c r="HCQ4762" s="917"/>
      <c r="HCR4762" s="917"/>
      <c r="HCS4762" s="917"/>
      <c r="HCT4762" s="917"/>
      <c r="HCU4762" s="917"/>
      <c r="HCV4762" s="917"/>
      <c r="HCW4762" s="917"/>
      <c r="HCX4762" s="917"/>
      <c r="HCY4762" s="917"/>
      <c r="HCZ4762" s="917"/>
      <c r="HDA4762" s="917"/>
      <c r="HDB4762" s="917"/>
      <c r="HDC4762" s="917"/>
      <c r="HDD4762" s="917"/>
      <c r="HDE4762" s="917"/>
      <c r="HDF4762" s="917"/>
      <c r="HDG4762" s="917"/>
      <c r="HDH4762" s="917"/>
      <c r="HDI4762" s="917"/>
      <c r="HDJ4762" s="917"/>
      <c r="HDK4762" s="917"/>
      <c r="HDL4762" s="917"/>
      <c r="HDM4762" s="917" t="s">
        <v>78</v>
      </c>
      <c r="HDN4762" s="917"/>
      <c r="HDO4762" s="917"/>
      <c r="HDP4762" s="917"/>
      <c r="HDQ4762" s="917"/>
      <c r="HDR4762" s="917"/>
      <c r="HDS4762" s="917"/>
      <c r="HDT4762" s="917"/>
      <c r="HDU4762" s="917"/>
      <c r="HDV4762" s="917"/>
      <c r="HDW4762" s="917"/>
      <c r="HDX4762" s="917"/>
      <c r="HDY4762" s="917"/>
      <c r="HDZ4762" s="917"/>
      <c r="HEA4762" s="917"/>
      <c r="HEB4762" s="917"/>
      <c r="HEC4762" s="917"/>
      <c r="HED4762" s="917"/>
      <c r="HEE4762" s="917"/>
      <c r="HEF4762" s="917"/>
      <c r="HEG4762" s="917"/>
      <c r="HEH4762" s="917"/>
      <c r="HEI4762" s="917"/>
      <c r="HEJ4762" s="917"/>
      <c r="HEK4762" s="917"/>
      <c r="HEL4762" s="917"/>
      <c r="HEM4762" s="917"/>
      <c r="HEN4762" s="917"/>
      <c r="HEO4762" s="917"/>
      <c r="HEP4762" s="917"/>
      <c r="HEQ4762" s="917"/>
      <c r="HER4762" s="917"/>
      <c r="HES4762" s="917" t="s">
        <v>78</v>
      </c>
      <c r="HET4762" s="917"/>
      <c r="HEU4762" s="917"/>
      <c r="HEV4762" s="917"/>
      <c r="HEW4762" s="917"/>
      <c r="HEX4762" s="917"/>
      <c r="HEY4762" s="917"/>
      <c r="HEZ4762" s="917"/>
      <c r="HFA4762" s="917"/>
      <c r="HFB4762" s="917"/>
      <c r="HFC4762" s="917"/>
      <c r="HFD4762" s="917"/>
      <c r="HFE4762" s="917"/>
      <c r="HFF4762" s="917"/>
      <c r="HFG4762" s="917"/>
      <c r="HFH4762" s="917"/>
      <c r="HFI4762" s="917"/>
      <c r="HFJ4762" s="917"/>
      <c r="HFK4762" s="917"/>
      <c r="HFL4762" s="917"/>
      <c r="HFM4762" s="917"/>
      <c r="HFN4762" s="917"/>
      <c r="HFO4762" s="917"/>
      <c r="HFP4762" s="917"/>
      <c r="HFQ4762" s="917"/>
      <c r="HFR4762" s="917"/>
      <c r="HFS4762" s="917"/>
      <c r="HFT4762" s="917"/>
      <c r="HFU4762" s="917"/>
      <c r="HFV4762" s="917"/>
      <c r="HFW4762" s="917"/>
      <c r="HFX4762" s="917"/>
      <c r="HFY4762" s="917" t="s">
        <v>78</v>
      </c>
      <c r="HFZ4762" s="917"/>
      <c r="HGA4762" s="917"/>
      <c r="HGB4762" s="917"/>
      <c r="HGC4762" s="917"/>
      <c r="HGD4762" s="917"/>
      <c r="HGE4762" s="917"/>
      <c r="HGF4762" s="917"/>
      <c r="HGG4762" s="917"/>
      <c r="HGH4762" s="917"/>
      <c r="HGI4762" s="917"/>
      <c r="HGJ4762" s="917"/>
      <c r="HGK4762" s="917"/>
      <c r="HGL4762" s="917"/>
      <c r="HGM4762" s="917"/>
      <c r="HGN4762" s="917"/>
      <c r="HGO4762" s="917"/>
      <c r="HGP4762" s="917"/>
      <c r="HGQ4762" s="917"/>
      <c r="HGR4762" s="917"/>
      <c r="HGS4762" s="917"/>
      <c r="HGT4762" s="917"/>
      <c r="HGU4762" s="917"/>
      <c r="HGV4762" s="917"/>
      <c r="HGW4762" s="917"/>
      <c r="HGX4762" s="917"/>
      <c r="HGY4762" s="917"/>
      <c r="HGZ4762" s="917"/>
      <c r="HHA4762" s="917"/>
      <c r="HHB4762" s="917"/>
      <c r="HHC4762" s="917"/>
      <c r="HHD4762" s="917"/>
      <c r="HHE4762" s="917" t="s">
        <v>78</v>
      </c>
      <c r="HHF4762" s="917"/>
      <c r="HHG4762" s="917"/>
      <c r="HHH4762" s="917"/>
      <c r="HHI4762" s="917"/>
      <c r="HHJ4762" s="917"/>
      <c r="HHK4762" s="917"/>
      <c r="HHL4762" s="917"/>
      <c r="HHM4762" s="917"/>
      <c r="HHN4762" s="917"/>
      <c r="HHO4762" s="917"/>
      <c r="HHP4762" s="917"/>
      <c r="HHQ4762" s="917"/>
      <c r="HHR4762" s="917"/>
      <c r="HHS4762" s="917"/>
      <c r="HHT4762" s="917"/>
      <c r="HHU4762" s="917"/>
      <c r="HHV4762" s="917"/>
      <c r="HHW4762" s="917"/>
      <c r="HHX4762" s="917"/>
      <c r="HHY4762" s="917"/>
      <c r="HHZ4762" s="917"/>
      <c r="HIA4762" s="917"/>
      <c r="HIB4762" s="917"/>
      <c r="HIC4762" s="917"/>
      <c r="HID4762" s="917"/>
      <c r="HIE4762" s="917"/>
      <c r="HIF4762" s="917"/>
      <c r="HIG4762" s="917"/>
      <c r="HIH4762" s="917"/>
      <c r="HII4762" s="917"/>
      <c r="HIJ4762" s="917"/>
      <c r="HIK4762" s="917" t="s">
        <v>78</v>
      </c>
      <c r="HIL4762" s="917"/>
      <c r="HIM4762" s="917"/>
      <c r="HIN4762" s="917"/>
      <c r="HIO4762" s="917"/>
      <c r="HIP4762" s="917"/>
      <c r="HIQ4762" s="917"/>
      <c r="HIR4762" s="917"/>
      <c r="HIS4762" s="917"/>
      <c r="HIT4762" s="917"/>
      <c r="HIU4762" s="917"/>
      <c r="HIV4762" s="917"/>
      <c r="HIW4762" s="917"/>
      <c r="HIX4762" s="917"/>
      <c r="HIY4762" s="917"/>
      <c r="HIZ4762" s="917"/>
      <c r="HJA4762" s="917"/>
      <c r="HJB4762" s="917"/>
      <c r="HJC4762" s="917"/>
      <c r="HJD4762" s="917"/>
      <c r="HJE4762" s="917"/>
      <c r="HJF4762" s="917"/>
      <c r="HJG4762" s="917"/>
      <c r="HJH4762" s="917"/>
      <c r="HJI4762" s="917"/>
      <c r="HJJ4762" s="917"/>
      <c r="HJK4762" s="917"/>
      <c r="HJL4762" s="917"/>
      <c r="HJM4762" s="917"/>
      <c r="HJN4762" s="917"/>
      <c r="HJO4762" s="917"/>
      <c r="HJP4762" s="917"/>
      <c r="HJQ4762" s="917" t="s">
        <v>78</v>
      </c>
      <c r="HJR4762" s="917"/>
      <c r="HJS4762" s="917"/>
      <c r="HJT4762" s="917"/>
      <c r="HJU4762" s="917"/>
      <c r="HJV4762" s="917"/>
      <c r="HJW4762" s="917"/>
      <c r="HJX4762" s="917"/>
      <c r="HJY4762" s="917"/>
      <c r="HJZ4762" s="917"/>
      <c r="HKA4762" s="917"/>
      <c r="HKB4762" s="917"/>
      <c r="HKC4762" s="917"/>
      <c r="HKD4762" s="917"/>
      <c r="HKE4762" s="917"/>
      <c r="HKF4762" s="917"/>
      <c r="HKG4762" s="917"/>
      <c r="HKH4762" s="917"/>
      <c r="HKI4762" s="917"/>
      <c r="HKJ4762" s="917"/>
      <c r="HKK4762" s="917"/>
      <c r="HKL4762" s="917"/>
      <c r="HKM4762" s="917"/>
      <c r="HKN4762" s="917"/>
      <c r="HKO4762" s="917"/>
      <c r="HKP4762" s="917"/>
      <c r="HKQ4762" s="917"/>
      <c r="HKR4762" s="917"/>
      <c r="HKS4762" s="917"/>
      <c r="HKT4762" s="917"/>
      <c r="HKU4762" s="917"/>
      <c r="HKV4762" s="917"/>
      <c r="HKW4762" s="917" t="s">
        <v>78</v>
      </c>
      <c r="HKX4762" s="917"/>
      <c r="HKY4762" s="917"/>
      <c r="HKZ4762" s="917"/>
      <c r="HLA4762" s="917"/>
      <c r="HLB4762" s="917"/>
      <c r="HLC4762" s="917"/>
      <c r="HLD4762" s="917"/>
      <c r="HLE4762" s="917"/>
      <c r="HLF4762" s="917"/>
      <c r="HLG4762" s="917"/>
      <c r="HLH4762" s="917"/>
      <c r="HLI4762" s="917"/>
      <c r="HLJ4762" s="917"/>
      <c r="HLK4762" s="917"/>
      <c r="HLL4762" s="917"/>
      <c r="HLM4762" s="917"/>
      <c r="HLN4762" s="917"/>
      <c r="HLO4762" s="917"/>
      <c r="HLP4762" s="917"/>
      <c r="HLQ4762" s="917"/>
      <c r="HLR4762" s="917"/>
      <c r="HLS4762" s="917"/>
      <c r="HLT4762" s="917"/>
      <c r="HLU4762" s="917"/>
      <c r="HLV4762" s="917"/>
      <c r="HLW4762" s="917"/>
      <c r="HLX4762" s="917"/>
      <c r="HLY4762" s="917"/>
      <c r="HLZ4762" s="917"/>
      <c r="HMA4762" s="917"/>
      <c r="HMB4762" s="917"/>
      <c r="HMC4762" s="917" t="s">
        <v>78</v>
      </c>
      <c r="HMD4762" s="917"/>
      <c r="HME4762" s="917"/>
      <c r="HMF4762" s="917"/>
      <c r="HMG4762" s="917"/>
      <c r="HMH4762" s="917"/>
      <c r="HMI4762" s="917"/>
      <c r="HMJ4762" s="917"/>
      <c r="HMK4762" s="917"/>
      <c r="HML4762" s="917"/>
      <c r="HMM4762" s="917"/>
      <c r="HMN4762" s="917"/>
      <c r="HMO4762" s="917"/>
      <c r="HMP4762" s="917"/>
      <c r="HMQ4762" s="917"/>
      <c r="HMR4762" s="917"/>
      <c r="HMS4762" s="917"/>
      <c r="HMT4762" s="917"/>
      <c r="HMU4762" s="917"/>
      <c r="HMV4762" s="917"/>
      <c r="HMW4762" s="917"/>
      <c r="HMX4762" s="917"/>
      <c r="HMY4762" s="917"/>
      <c r="HMZ4762" s="917"/>
      <c r="HNA4762" s="917"/>
      <c r="HNB4762" s="917"/>
      <c r="HNC4762" s="917"/>
      <c r="HND4762" s="917"/>
      <c r="HNE4762" s="917"/>
      <c r="HNF4762" s="917"/>
      <c r="HNG4762" s="917"/>
      <c r="HNH4762" s="917"/>
      <c r="HNI4762" s="917" t="s">
        <v>78</v>
      </c>
      <c r="HNJ4762" s="917"/>
      <c r="HNK4762" s="917"/>
      <c r="HNL4762" s="917"/>
      <c r="HNM4762" s="917"/>
      <c r="HNN4762" s="917"/>
      <c r="HNO4762" s="917"/>
      <c r="HNP4762" s="917"/>
      <c r="HNQ4762" s="917"/>
      <c r="HNR4762" s="917"/>
      <c r="HNS4762" s="917"/>
      <c r="HNT4762" s="917"/>
      <c r="HNU4762" s="917"/>
      <c r="HNV4762" s="917"/>
      <c r="HNW4762" s="917"/>
      <c r="HNX4762" s="917"/>
      <c r="HNY4762" s="917"/>
      <c r="HNZ4762" s="917"/>
      <c r="HOA4762" s="917"/>
      <c r="HOB4762" s="917"/>
      <c r="HOC4762" s="917"/>
      <c r="HOD4762" s="917"/>
      <c r="HOE4762" s="917"/>
      <c r="HOF4762" s="917"/>
      <c r="HOG4762" s="917"/>
      <c r="HOH4762" s="917"/>
      <c r="HOI4762" s="917"/>
      <c r="HOJ4762" s="917"/>
      <c r="HOK4762" s="917"/>
      <c r="HOL4762" s="917"/>
      <c r="HOM4762" s="917"/>
      <c r="HON4762" s="917"/>
      <c r="HOO4762" s="917" t="s">
        <v>78</v>
      </c>
      <c r="HOP4762" s="917"/>
      <c r="HOQ4762" s="917"/>
      <c r="HOR4762" s="917"/>
      <c r="HOS4762" s="917"/>
      <c r="HOT4762" s="917"/>
      <c r="HOU4762" s="917"/>
      <c r="HOV4762" s="917"/>
      <c r="HOW4762" s="917"/>
      <c r="HOX4762" s="917"/>
      <c r="HOY4762" s="917"/>
      <c r="HOZ4762" s="917"/>
      <c r="HPA4762" s="917"/>
      <c r="HPB4762" s="917"/>
      <c r="HPC4762" s="917"/>
      <c r="HPD4762" s="917"/>
      <c r="HPE4762" s="917"/>
      <c r="HPF4762" s="917"/>
      <c r="HPG4762" s="917"/>
      <c r="HPH4762" s="917"/>
      <c r="HPI4762" s="917"/>
      <c r="HPJ4762" s="917"/>
      <c r="HPK4762" s="917"/>
      <c r="HPL4762" s="917"/>
      <c r="HPM4762" s="917"/>
      <c r="HPN4762" s="917"/>
      <c r="HPO4762" s="917"/>
      <c r="HPP4762" s="917"/>
      <c r="HPQ4762" s="917"/>
      <c r="HPR4762" s="917"/>
      <c r="HPS4762" s="917"/>
      <c r="HPT4762" s="917"/>
      <c r="HPU4762" s="917" t="s">
        <v>78</v>
      </c>
      <c r="HPV4762" s="917"/>
      <c r="HPW4762" s="917"/>
      <c r="HPX4762" s="917"/>
      <c r="HPY4762" s="917"/>
      <c r="HPZ4762" s="917"/>
      <c r="HQA4762" s="917"/>
      <c r="HQB4762" s="917"/>
      <c r="HQC4762" s="917"/>
      <c r="HQD4762" s="917"/>
      <c r="HQE4762" s="917"/>
      <c r="HQF4762" s="917"/>
      <c r="HQG4762" s="917"/>
      <c r="HQH4762" s="917"/>
      <c r="HQI4762" s="917"/>
      <c r="HQJ4762" s="917"/>
      <c r="HQK4762" s="917"/>
      <c r="HQL4762" s="917"/>
      <c r="HQM4762" s="917"/>
      <c r="HQN4762" s="917"/>
      <c r="HQO4762" s="917"/>
      <c r="HQP4762" s="917"/>
      <c r="HQQ4762" s="917"/>
      <c r="HQR4762" s="917"/>
      <c r="HQS4762" s="917"/>
      <c r="HQT4762" s="917"/>
      <c r="HQU4762" s="917"/>
      <c r="HQV4762" s="917"/>
      <c r="HQW4762" s="917"/>
      <c r="HQX4762" s="917"/>
      <c r="HQY4762" s="917"/>
      <c r="HQZ4762" s="917"/>
      <c r="HRA4762" s="917" t="s">
        <v>78</v>
      </c>
      <c r="HRB4762" s="917"/>
      <c r="HRC4762" s="917"/>
      <c r="HRD4762" s="917"/>
      <c r="HRE4762" s="917"/>
      <c r="HRF4762" s="917"/>
      <c r="HRG4762" s="917"/>
      <c r="HRH4762" s="917"/>
      <c r="HRI4762" s="917"/>
      <c r="HRJ4762" s="917"/>
      <c r="HRK4762" s="917"/>
      <c r="HRL4762" s="917"/>
      <c r="HRM4762" s="917"/>
      <c r="HRN4762" s="917"/>
      <c r="HRO4762" s="917"/>
      <c r="HRP4762" s="917"/>
      <c r="HRQ4762" s="917"/>
      <c r="HRR4762" s="917"/>
      <c r="HRS4762" s="917"/>
      <c r="HRT4762" s="917"/>
      <c r="HRU4762" s="917"/>
      <c r="HRV4762" s="917"/>
      <c r="HRW4762" s="917"/>
      <c r="HRX4762" s="917"/>
      <c r="HRY4762" s="917"/>
      <c r="HRZ4762" s="917"/>
      <c r="HSA4762" s="917"/>
      <c r="HSB4762" s="917"/>
      <c r="HSC4762" s="917"/>
      <c r="HSD4762" s="917"/>
      <c r="HSE4762" s="917"/>
      <c r="HSF4762" s="917"/>
      <c r="HSG4762" s="917" t="s">
        <v>78</v>
      </c>
      <c r="HSH4762" s="917"/>
      <c r="HSI4762" s="917"/>
      <c r="HSJ4762" s="917"/>
      <c r="HSK4762" s="917"/>
      <c r="HSL4762" s="917"/>
      <c r="HSM4762" s="917"/>
      <c r="HSN4762" s="917"/>
      <c r="HSO4762" s="917"/>
      <c r="HSP4762" s="917"/>
      <c r="HSQ4762" s="917"/>
      <c r="HSR4762" s="917"/>
      <c r="HSS4762" s="917"/>
      <c r="HST4762" s="917"/>
      <c r="HSU4762" s="917"/>
      <c r="HSV4762" s="917"/>
      <c r="HSW4762" s="917"/>
      <c r="HSX4762" s="917"/>
      <c r="HSY4762" s="917"/>
      <c r="HSZ4762" s="917"/>
      <c r="HTA4762" s="917"/>
      <c r="HTB4762" s="917"/>
      <c r="HTC4762" s="917"/>
      <c r="HTD4762" s="917"/>
      <c r="HTE4762" s="917"/>
      <c r="HTF4762" s="917"/>
      <c r="HTG4762" s="917"/>
      <c r="HTH4762" s="917"/>
      <c r="HTI4762" s="917"/>
      <c r="HTJ4762" s="917"/>
      <c r="HTK4762" s="917"/>
      <c r="HTL4762" s="917"/>
      <c r="HTM4762" s="917" t="s">
        <v>78</v>
      </c>
      <c r="HTN4762" s="917"/>
      <c r="HTO4762" s="917"/>
      <c r="HTP4762" s="917"/>
      <c r="HTQ4762" s="917"/>
      <c r="HTR4762" s="917"/>
      <c r="HTS4762" s="917"/>
      <c r="HTT4762" s="917"/>
      <c r="HTU4762" s="917"/>
      <c r="HTV4762" s="917"/>
      <c r="HTW4762" s="917"/>
      <c r="HTX4762" s="917"/>
      <c r="HTY4762" s="917"/>
      <c r="HTZ4762" s="917"/>
      <c r="HUA4762" s="917"/>
      <c r="HUB4762" s="917"/>
      <c r="HUC4762" s="917"/>
      <c r="HUD4762" s="917"/>
      <c r="HUE4762" s="917"/>
      <c r="HUF4762" s="917"/>
      <c r="HUG4762" s="917"/>
      <c r="HUH4762" s="917"/>
      <c r="HUI4762" s="917"/>
      <c r="HUJ4762" s="917"/>
      <c r="HUK4762" s="917"/>
      <c r="HUL4762" s="917"/>
      <c r="HUM4762" s="917"/>
      <c r="HUN4762" s="917"/>
      <c r="HUO4762" s="917"/>
      <c r="HUP4762" s="917"/>
      <c r="HUQ4762" s="917"/>
      <c r="HUR4762" s="917"/>
      <c r="HUS4762" s="917" t="s">
        <v>78</v>
      </c>
      <c r="HUT4762" s="917"/>
      <c r="HUU4762" s="917"/>
      <c r="HUV4762" s="917"/>
      <c r="HUW4762" s="917"/>
      <c r="HUX4762" s="917"/>
      <c r="HUY4762" s="917"/>
      <c r="HUZ4762" s="917"/>
      <c r="HVA4762" s="917"/>
      <c r="HVB4762" s="917"/>
      <c r="HVC4762" s="917"/>
      <c r="HVD4762" s="917"/>
      <c r="HVE4762" s="917"/>
      <c r="HVF4762" s="917"/>
      <c r="HVG4762" s="917"/>
      <c r="HVH4762" s="917"/>
      <c r="HVI4762" s="917"/>
      <c r="HVJ4762" s="917"/>
      <c r="HVK4762" s="917"/>
      <c r="HVL4762" s="917"/>
      <c r="HVM4762" s="917"/>
      <c r="HVN4762" s="917"/>
      <c r="HVO4762" s="917"/>
      <c r="HVP4762" s="917"/>
      <c r="HVQ4762" s="917"/>
      <c r="HVR4762" s="917"/>
      <c r="HVS4762" s="917"/>
      <c r="HVT4762" s="917"/>
      <c r="HVU4762" s="917"/>
      <c r="HVV4762" s="917"/>
      <c r="HVW4762" s="917"/>
      <c r="HVX4762" s="917"/>
      <c r="HVY4762" s="917" t="s">
        <v>78</v>
      </c>
      <c r="HVZ4762" s="917"/>
      <c r="HWA4762" s="917"/>
      <c r="HWB4762" s="917"/>
      <c r="HWC4762" s="917"/>
      <c r="HWD4762" s="917"/>
      <c r="HWE4762" s="917"/>
      <c r="HWF4762" s="917"/>
      <c r="HWG4762" s="917"/>
      <c r="HWH4762" s="917"/>
      <c r="HWI4762" s="917"/>
      <c r="HWJ4762" s="917"/>
      <c r="HWK4762" s="917"/>
      <c r="HWL4762" s="917"/>
      <c r="HWM4762" s="917"/>
      <c r="HWN4762" s="917"/>
      <c r="HWO4762" s="917"/>
      <c r="HWP4762" s="917"/>
      <c r="HWQ4762" s="917"/>
      <c r="HWR4762" s="917"/>
      <c r="HWS4762" s="917"/>
      <c r="HWT4762" s="917"/>
      <c r="HWU4762" s="917"/>
      <c r="HWV4762" s="917"/>
      <c r="HWW4762" s="917"/>
      <c r="HWX4762" s="917"/>
      <c r="HWY4762" s="917"/>
      <c r="HWZ4762" s="917"/>
      <c r="HXA4762" s="917"/>
      <c r="HXB4762" s="917"/>
      <c r="HXC4762" s="917"/>
      <c r="HXD4762" s="917"/>
      <c r="HXE4762" s="917" t="s">
        <v>78</v>
      </c>
      <c r="HXF4762" s="917"/>
      <c r="HXG4762" s="917"/>
      <c r="HXH4762" s="917"/>
      <c r="HXI4762" s="917"/>
      <c r="HXJ4762" s="917"/>
      <c r="HXK4762" s="917"/>
      <c r="HXL4762" s="917"/>
      <c r="HXM4762" s="917"/>
      <c r="HXN4762" s="917"/>
      <c r="HXO4762" s="917"/>
      <c r="HXP4762" s="917"/>
      <c r="HXQ4762" s="917"/>
      <c r="HXR4762" s="917"/>
      <c r="HXS4762" s="917"/>
      <c r="HXT4762" s="917"/>
      <c r="HXU4762" s="917"/>
      <c r="HXV4762" s="917"/>
      <c r="HXW4762" s="917"/>
      <c r="HXX4762" s="917"/>
      <c r="HXY4762" s="917"/>
      <c r="HXZ4762" s="917"/>
      <c r="HYA4762" s="917"/>
      <c r="HYB4762" s="917"/>
      <c r="HYC4762" s="917"/>
      <c r="HYD4762" s="917"/>
      <c r="HYE4762" s="917"/>
      <c r="HYF4762" s="917"/>
      <c r="HYG4762" s="917"/>
      <c r="HYH4762" s="917"/>
      <c r="HYI4762" s="917"/>
      <c r="HYJ4762" s="917"/>
      <c r="HYK4762" s="917" t="s">
        <v>78</v>
      </c>
      <c r="HYL4762" s="917"/>
      <c r="HYM4762" s="917"/>
      <c r="HYN4762" s="917"/>
      <c r="HYO4762" s="917"/>
      <c r="HYP4762" s="917"/>
      <c r="HYQ4762" s="917"/>
      <c r="HYR4762" s="917"/>
      <c r="HYS4762" s="917"/>
      <c r="HYT4762" s="917"/>
      <c r="HYU4762" s="917"/>
      <c r="HYV4762" s="917"/>
      <c r="HYW4762" s="917"/>
      <c r="HYX4762" s="917"/>
      <c r="HYY4762" s="917"/>
      <c r="HYZ4762" s="917"/>
      <c r="HZA4762" s="917"/>
      <c r="HZB4762" s="917"/>
      <c r="HZC4762" s="917"/>
      <c r="HZD4762" s="917"/>
      <c r="HZE4762" s="917"/>
      <c r="HZF4762" s="917"/>
      <c r="HZG4762" s="917"/>
      <c r="HZH4762" s="917"/>
      <c r="HZI4762" s="917"/>
      <c r="HZJ4762" s="917"/>
      <c r="HZK4762" s="917"/>
      <c r="HZL4762" s="917"/>
      <c r="HZM4762" s="917"/>
      <c r="HZN4762" s="917"/>
      <c r="HZO4762" s="917"/>
      <c r="HZP4762" s="917"/>
      <c r="HZQ4762" s="917" t="s">
        <v>78</v>
      </c>
      <c r="HZR4762" s="917"/>
      <c r="HZS4762" s="917"/>
      <c r="HZT4762" s="917"/>
      <c r="HZU4762" s="917"/>
      <c r="HZV4762" s="917"/>
      <c r="HZW4762" s="917"/>
      <c r="HZX4762" s="917"/>
      <c r="HZY4762" s="917"/>
      <c r="HZZ4762" s="917"/>
      <c r="IAA4762" s="917"/>
      <c r="IAB4762" s="917"/>
      <c r="IAC4762" s="917"/>
      <c r="IAD4762" s="917"/>
      <c r="IAE4762" s="917"/>
      <c r="IAF4762" s="917"/>
      <c r="IAG4762" s="917"/>
      <c r="IAH4762" s="917"/>
      <c r="IAI4762" s="917"/>
      <c r="IAJ4762" s="917"/>
      <c r="IAK4762" s="917"/>
      <c r="IAL4762" s="917"/>
      <c r="IAM4762" s="917"/>
      <c r="IAN4762" s="917"/>
      <c r="IAO4762" s="917"/>
      <c r="IAP4762" s="917"/>
      <c r="IAQ4762" s="917"/>
      <c r="IAR4762" s="917"/>
      <c r="IAS4762" s="917"/>
      <c r="IAT4762" s="917"/>
      <c r="IAU4762" s="917"/>
      <c r="IAV4762" s="917"/>
      <c r="IAW4762" s="917" t="s">
        <v>78</v>
      </c>
      <c r="IAX4762" s="917"/>
      <c r="IAY4762" s="917"/>
      <c r="IAZ4762" s="917"/>
      <c r="IBA4762" s="917"/>
      <c r="IBB4762" s="917"/>
      <c r="IBC4762" s="917"/>
      <c r="IBD4762" s="917"/>
      <c r="IBE4762" s="917"/>
      <c r="IBF4762" s="917"/>
      <c r="IBG4762" s="917"/>
      <c r="IBH4762" s="917"/>
      <c r="IBI4762" s="917"/>
      <c r="IBJ4762" s="917"/>
      <c r="IBK4762" s="917"/>
      <c r="IBL4762" s="917"/>
      <c r="IBM4762" s="917"/>
      <c r="IBN4762" s="917"/>
      <c r="IBO4762" s="917"/>
      <c r="IBP4762" s="917"/>
      <c r="IBQ4762" s="917"/>
      <c r="IBR4762" s="917"/>
      <c r="IBS4762" s="917"/>
      <c r="IBT4762" s="917"/>
      <c r="IBU4762" s="917"/>
      <c r="IBV4762" s="917"/>
      <c r="IBW4762" s="917"/>
      <c r="IBX4762" s="917"/>
      <c r="IBY4762" s="917"/>
      <c r="IBZ4762" s="917"/>
      <c r="ICA4762" s="917"/>
      <c r="ICB4762" s="917"/>
      <c r="ICC4762" s="917" t="s">
        <v>78</v>
      </c>
      <c r="ICD4762" s="917"/>
      <c r="ICE4762" s="917"/>
      <c r="ICF4762" s="917"/>
      <c r="ICG4762" s="917"/>
      <c r="ICH4762" s="917"/>
      <c r="ICI4762" s="917"/>
      <c r="ICJ4762" s="917"/>
      <c r="ICK4762" s="917"/>
      <c r="ICL4762" s="917"/>
      <c r="ICM4762" s="917"/>
      <c r="ICN4762" s="917"/>
      <c r="ICO4762" s="917"/>
      <c r="ICP4762" s="917"/>
      <c r="ICQ4762" s="917"/>
      <c r="ICR4762" s="917"/>
      <c r="ICS4762" s="917"/>
      <c r="ICT4762" s="917"/>
      <c r="ICU4762" s="917"/>
      <c r="ICV4762" s="917"/>
      <c r="ICW4762" s="917"/>
      <c r="ICX4762" s="917"/>
      <c r="ICY4762" s="917"/>
      <c r="ICZ4762" s="917"/>
      <c r="IDA4762" s="917"/>
      <c r="IDB4762" s="917"/>
      <c r="IDC4762" s="917"/>
      <c r="IDD4762" s="917"/>
      <c r="IDE4762" s="917"/>
      <c r="IDF4762" s="917"/>
      <c r="IDG4762" s="917"/>
      <c r="IDH4762" s="917"/>
      <c r="IDI4762" s="917" t="s">
        <v>78</v>
      </c>
      <c r="IDJ4762" s="917"/>
      <c r="IDK4762" s="917"/>
      <c r="IDL4762" s="917"/>
      <c r="IDM4762" s="917"/>
      <c r="IDN4762" s="917"/>
      <c r="IDO4762" s="917"/>
      <c r="IDP4762" s="917"/>
      <c r="IDQ4762" s="917"/>
      <c r="IDR4762" s="917"/>
      <c r="IDS4762" s="917"/>
      <c r="IDT4762" s="917"/>
      <c r="IDU4762" s="917"/>
      <c r="IDV4762" s="917"/>
      <c r="IDW4762" s="917"/>
      <c r="IDX4762" s="917"/>
      <c r="IDY4762" s="917"/>
      <c r="IDZ4762" s="917"/>
      <c r="IEA4762" s="917"/>
      <c r="IEB4762" s="917"/>
      <c r="IEC4762" s="917"/>
      <c r="IED4762" s="917"/>
      <c r="IEE4762" s="917"/>
      <c r="IEF4762" s="917"/>
      <c r="IEG4762" s="917"/>
      <c r="IEH4762" s="917"/>
      <c r="IEI4762" s="917"/>
      <c r="IEJ4762" s="917"/>
      <c r="IEK4762" s="917"/>
      <c r="IEL4762" s="917"/>
      <c r="IEM4762" s="917"/>
      <c r="IEN4762" s="917"/>
      <c r="IEO4762" s="917" t="s">
        <v>78</v>
      </c>
      <c r="IEP4762" s="917"/>
      <c r="IEQ4762" s="917"/>
      <c r="IER4762" s="917"/>
      <c r="IES4762" s="917"/>
      <c r="IET4762" s="917"/>
      <c r="IEU4762" s="917"/>
      <c r="IEV4762" s="917"/>
      <c r="IEW4762" s="917"/>
      <c r="IEX4762" s="917"/>
      <c r="IEY4762" s="917"/>
      <c r="IEZ4762" s="917"/>
      <c r="IFA4762" s="917"/>
      <c r="IFB4762" s="917"/>
      <c r="IFC4762" s="917"/>
      <c r="IFD4762" s="917"/>
      <c r="IFE4762" s="917"/>
      <c r="IFF4762" s="917"/>
      <c r="IFG4762" s="917"/>
      <c r="IFH4762" s="917"/>
      <c r="IFI4762" s="917"/>
      <c r="IFJ4762" s="917"/>
      <c r="IFK4762" s="917"/>
      <c r="IFL4762" s="917"/>
      <c r="IFM4762" s="917"/>
      <c r="IFN4762" s="917"/>
      <c r="IFO4762" s="917"/>
      <c r="IFP4762" s="917"/>
      <c r="IFQ4762" s="917"/>
      <c r="IFR4762" s="917"/>
      <c r="IFS4762" s="917"/>
      <c r="IFT4762" s="917"/>
      <c r="IFU4762" s="917" t="s">
        <v>78</v>
      </c>
      <c r="IFV4762" s="917"/>
      <c r="IFW4762" s="917"/>
      <c r="IFX4762" s="917"/>
      <c r="IFY4762" s="917"/>
      <c r="IFZ4762" s="917"/>
      <c r="IGA4762" s="917"/>
      <c r="IGB4762" s="917"/>
      <c r="IGC4762" s="917"/>
      <c r="IGD4762" s="917"/>
      <c r="IGE4762" s="917"/>
      <c r="IGF4762" s="917"/>
      <c r="IGG4762" s="917"/>
      <c r="IGH4762" s="917"/>
      <c r="IGI4762" s="917"/>
      <c r="IGJ4762" s="917"/>
      <c r="IGK4762" s="917"/>
      <c r="IGL4762" s="917"/>
      <c r="IGM4762" s="917"/>
      <c r="IGN4762" s="917"/>
      <c r="IGO4762" s="917"/>
      <c r="IGP4762" s="917"/>
      <c r="IGQ4762" s="917"/>
      <c r="IGR4762" s="917"/>
      <c r="IGS4762" s="917"/>
      <c r="IGT4762" s="917"/>
      <c r="IGU4762" s="917"/>
      <c r="IGV4762" s="917"/>
      <c r="IGW4762" s="917"/>
      <c r="IGX4762" s="917"/>
      <c r="IGY4762" s="917"/>
      <c r="IGZ4762" s="917"/>
      <c r="IHA4762" s="917" t="s">
        <v>78</v>
      </c>
      <c r="IHB4762" s="917"/>
      <c r="IHC4762" s="917"/>
      <c r="IHD4762" s="917"/>
      <c r="IHE4762" s="917"/>
      <c r="IHF4762" s="917"/>
      <c r="IHG4762" s="917"/>
      <c r="IHH4762" s="917"/>
      <c r="IHI4762" s="917"/>
      <c r="IHJ4762" s="917"/>
      <c r="IHK4762" s="917"/>
      <c r="IHL4762" s="917"/>
      <c r="IHM4762" s="917"/>
      <c r="IHN4762" s="917"/>
      <c r="IHO4762" s="917"/>
      <c r="IHP4762" s="917"/>
      <c r="IHQ4762" s="917"/>
      <c r="IHR4762" s="917"/>
      <c r="IHS4762" s="917"/>
      <c r="IHT4762" s="917"/>
      <c r="IHU4762" s="917"/>
      <c r="IHV4762" s="917"/>
      <c r="IHW4762" s="917"/>
      <c r="IHX4762" s="917"/>
      <c r="IHY4762" s="917"/>
      <c r="IHZ4762" s="917"/>
      <c r="IIA4762" s="917"/>
      <c r="IIB4762" s="917"/>
      <c r="IIC4762" s="917"/>
      <c r="IID4762" s="917"/>
      <c r="IIE4762" s="917"/>
      <c r="IIF4762" s="917"/>
      <c r="IIG4762" s="917" t="s">
        <v>78</v>
      </c>
      <c r="IIH4762" s="917"/>
      <c r="III4762" s="917"/>
      <c r="IIJ4762" s="917"/>
      <c r="IIK4762" s="917"/>
      <c r="IIL4762" s="917"/>
      <c r="IIM4762" s="917"/>
      <c r="IIN4762" s="917"/>
      <c r="IIO4762" s="917"/>
      <c r="IIP4762" s="917"/>
      <c r="IIQ4762" s="917"/>
      <c r="IIR4762" s="917"/>
      <c r="IIS4762" s="917"/>
      <c r="IIT4762" s="917"/>
      <c r="IIU4762" s="917"/>
      <c r="IIV4762" s="917"/>
      <c r="IIW4762" s="917"/>
      <c r="IIX4762" s="917"/>
      <c r="IIY4762" s="917"/>
      <c r="IIZ4762" s="917"/>
      <c r="IJA4762" s="917"/>
      <c r="IJB4762" s="917"/>
      <c r="IJC4762" s="917"/>
      <c r="IJD4762" s="917"/>
      <c r="IJE4762" s="917"/>
      <c r="IJF4762" s="917"/>
      <c r="IJG4762" s="917"/>
      <c r="IJH4762" s="917"/>
      <c r="IJI4762" s="917"/>
      <c r="IJJ4762" s="917"/>
      <c r="IJK4762" s="917"/>
      <c r="IJL4762" s="917"/>
      <c r="IJM4762" s="917" t="s">
        <v>78</v>
      </c>
      <c r="IJN4762" s="917"/>
      <c r="IJO4762" s="917"/>
      <c r="IJP4762" s="917"/>
      <c r="IJQ4762" s="917"/>
      <c r="IJR4762" s="917"/>
      <c r="IJS4762" s="917"/>
      <c r="IJT4762" s="917"/>
      <c r="IJU4762" s="917"/>
      <c r="IJV4762" s="917"/>
      <c r="IJW4762" s="917"/>
      <c r="IJX4762" s="917"/>
      <c r="IJY4762" s="917"/>
      <c r="IJZ4762" s="917"/>
      <c r="IKA4762" s="917"/>
      <c r="IKB4762" s="917"/>
      <c r="IKC4762" s="917"/>
      <c r="IKD4762" s="917"/>
      <c r="IKE4762" s="917"/>
      <c r="IKF4762" s="917"/>
      <c r="IKG4762" s="917"/>
      <c r="IKH4762" s="917"/>
      <c r="IKI4762" s="917"/>
      <c r="IKJ4762" s="917"/>
      <c r="IKK4762" s="917"/>
      <c r="IKL4762" s="917"/>
      <c r="IKM4762" s="917"/>
      <c r="IKN4762" s="917"/>
      <c r="IKO4762" s="917"/>
      <c r="IKP4762" s="917"/>
      <c r="IKQ4762" s="917"/>
      <c r="IKR4762" s="917"/>
      <c r="IKS4762" s="917" t="s">
        <v>78</v>
      </c>
      <c r="IKT4762" s="917"/>
      <c r="IKU4762" s="917"/>
      <c r="IKV4762" s="917"/>
      <c r="IKW4762" s="917"/>
      <c r="IKX4762" s="917"/>
      <c r="IKY4762" s="917"/>
      <c r="IKZ4762" s="917"/>
      <c r="ILA4762" s="917"/>
      <c r="ILB4762" s="917"/>
      <c r="ILC4762" s="917"/>
      <c r="ILD4762" s="917"/>
      <c r="ILE4762" s="917"/>
      <c r="ILF4762" s="917"/>
      <c r="ILG4762" s="917"/>
      <c r="ILH4762" s="917"/>
      <c r="ILI4762" s="917"/>
      <c r="ILJ4762" s="917"/>
      <c r="ILK4762" s="917"/>
      <c r="ILL4762" s="917"/>
      <c r="ILM4762" s="917"/>
      <c r="ILN4762" s="917"/>
      <c r="ILO4762" s="917"/>
      <c r="ILP4762" s="917"/>
      <c r="ILQ4762" s="917"/>
      <c r="ILR4762" s="917"/>
      <c r="ILS4762" s="917"/>
      <c r="ILT4762" s="917"/>
      <c r="ILU4762" s="917"/>
      <c r="ILV4762" s="917"/>
      <c r="ILW4762" s="917"/>
      <c r="ILX4762" s="917"/>
      <c r="ILY4762" s="917" t="s">
        <v>78</v>
      </c>
      <c r="ILZ4762" s="917"/>
      <c r="IMA4762" s="917"/>
      <c r="IMB4762" s="917"/>
      <c r="IMC4762" s="917"/>
      <c r="IMD4762" s="917"/>
      <c r="IME4762" s="917"/>
      <c r="IMF4762" s="917"/>
      <c r="IMG4762" s="917"/>
      <c r="IMH4762" s="917"/>
      <c r="IMI4762" s="917"/>
      <c r="IMJ4762" s="917"/>
      <c r="IMK4762" s="917"/>
      <c r="IML4762" s="917"/>
      <c r="IMM4762" s="917"/>
      <c r="IMN4762" s="917"/>
      <c r="IMO4762" s="917"/>
      <c r="IMP4762" s="917"/>
      <c r="IMQ4762" s="917"/>
      <c r="IMR4762" s="917"/>
      <c r="IMS4762" s="917"/>
      <c r="IMT4762" s="917"/>
      <c r="IMU4762" s="917"/>
      <c r="IMV4762" s="917"/>
      <c r="IMW4762" s="917"/>
      <c r="IMX4762" s="917"/>
      <c r="IMY4762" s="917"/>
      <c r="IMZ4762" s="917"/>
      <c r="INA4762" s="917"/>
      <c r="INB4762" s="917"/>
      <c r="INC4762" s="917"/>
      <c r="IND4762" s="917"/>
      <c r="INE4762" s="917" t="s">
        <v>78</v>
      </c>
      <c r="INF4762" s="917"/>
      <c r="ING4762" s="917"/>
      <c r="INH4762" s="917"/>
      <c r="INI4762" s="917"/>
      <c r="INJ4762" s="917"/>
      <c r="INK4762" s="917"/>
      <c r="INL4762" s="917"/>
      <c r="INM4762" s="917"/>
      <c r="INN4762" s="917"/>
      <c r="INO4762" s="917"/>
      <c r="INP4762" s="917"/>
      <c r="INQ4762" s="917"/>
      <c r="INR4762" s="917"/>
      <c r="INS4762" s="917"/>
      <c r="INT4762" s="917"/>
      <c r="INU4762" s="917"/>
      <c r="INV4762" s="917"/>
      <c r="INW4762" s="917"/>
      <c r="INX4762" s="917"/>
      <c r="INY4762" s="917"/>
      <c r="INZ4762" s="917"/>
      <c r="IOA4762" s="917"/>
      <c r="IOB4762" s="917"/>
      <c r="IOC4762" s="917"/>
      <c r="IOD4762" s="917"/>
      <c r="IOE4762" s="917"/>
      <c r="IOF4762" s="917"/>
      <c r="IOG4762" s="917"/>
      <c r="IOH4762" s="917"/>
      <c r="IOI4762" s="917"/>
      <c r="IOJ4762" s="917"/>
      <c r="IOK4762" s="917" t="s">
        <v>78</v>
      </c>
      <c r="IOL4762" s="917"/>
      <c r="IOM4762" s="917"/>
      <c r="ION4762" s="917"/>
      <c r="IOO4762" s="917"/>
      <c r="IOP4762" s="917"/>
      <c r="IOQ4762" s="917"/>
      <c r="IOR4762" s="917"/>
      <c r="IOS4762" s="917"/>
      <c r="IOT4762" s="917"/>
      <c r="IOU4762" s="917"/>
      <c r="IOV4762" s="917"/>
      <c r="IOW4762" s="917"/>
      <c r="IOX4762" s="917"/>
      <c r="IOY4762" s="917"/>
      <c r="IOZ4762" s="917"/>
      <c r="IPA4762" s="917"/>
      <c r="IPB4762" s="917"/>
      <c r="IPC4762" s="917"/>
      <c r="IPD4762" s="917"/>
      <c r="IPE4762" s="917"/>
      <c r="IPF4762" s="917"/>
      <c r="IPG4762" s="917"/>
      <c r="IPH4762" s="917"/>
      <c r="IPI4762" s="917"/>
      <c r="IPJ4762" s="917"/>
      <c r="IPK4762" s="917"/>
      <c r="IPL4762" s="917"/>
      <c r="IPM4762" s="917"/>
      <c r="IPN4762" s="917"/>
      <c r="IPO4762" s="917"/>
      <c r="IPP4762" s="917"/>
      <c r="IPQ4762" s="917" t="s">
        <v>78</v>
      </c>
      <c r="IPR4762" s="917"/>
      <c r="IPS4762" s="917"/>
      <c r="IPT4762" s="917"/>
      <c r="IPU4762" s="917"/>
      <c r="IPV4762" s="917"/>
      <c r="IPW4762" s="917"/>
      <c r="IPX4762" s="917"/>
      <c r="IPY4762" s="917"/>
      <c r="IPZ4762" s="917"/>
      <c r="IQA4762" s="917"/>
      <c r="IQB4762" s="917"/>
      <c r="IQC4762" s="917"/>
      <c r="IQD4762" s="917"/>
      <c r="IQE4762" s="917"/>
      <c r="IQF4762" s="917"/>
      <c r="IQG4762" s="917"/>
      <c r="IQH4762" s="917"/>
      <c r="IQI4762" s="917"/>
      <c r="IQJ4762" s="917"/>
      <c r="IQK4762" s="917"/>
      <c r="IQL4762" s="917"/>
      <c r="IQM4762" s="917"/>
      <c r="IQN4762" s="917"/>
      <c r="IQO4762" s="917"/>
      <c r="IQP4762" s="917"/>
      <c r="IQQ4762" s="917"/>
      <c r="IQR4762" s="917"/>
      <c r="IQS4762" s="917"/>
      <c r="IQT4762" s="917"/>
      <c r="IQU4762" s="917"/>
      <c r="IQV4762" s="917"/>
      <c r="IQW4762" s="917" t="s">
        <v>78</v>
      </c>
      <c r="IQX4762" s="917"/>
      <c r="IQY4762" s="917"/>
      <c r="IQZ4762" s="917"/>
      <c r="IRA4762" s="917"/>
      <c r="IRB4762" s="917"/>
      <c r="IRC4762" s="917"/>
      <c r="IRD4762" s="917"/>
      <c r="IRE4762" s="917"/>
      <c r="IRF4762" s="917"/>
      <c r="IRG4762" s="917"/>
      <c r="IRH4762" s="917"/>
      <c r="IRI4762" s="917"/>
      <c r="IRJ4762" s="917"/>
      <c r="IRK4762" s="917"/>
      <c r="IRL4762" s="917"/>
      <c r="IRM4762" s="917"/>
      <c r="IRN4762" s="917"/>
      <c r="IRO4762" s="917"/>
      <c r="IRP4762" s="917"/>
      <c r="IRQ4762" s="917"/>
      <c r="IRR4762" s="917"/>
      <c r="IRS4762" s="917"/>
      <c r="IRT4762" s="917"/>
      <c r="IRU4762" s="917"/>
      <c r="IRV4762" s="917"/>
      <c r="IRW4762" s="917"/>
      <c r="IRX4762" s="917"/>
      <c r="IRY4762" s="917"/>
      <c r="IRZ4762" s="917"/>
      <c r="ISA4762" s="917"/>
      <c r="ISB4762" s="917"/>
      <c r="ISC4762" s="917" t="s">
        <v>78</v>
      </c>
      <c r="ISD4762" s="917"/>
      <c r="ISE4762" s="917"/>
      <c r="ISF4762" s="917"/>
      <c r="ISG4762" s="917"/>
      <c r="ISH4762" s="917"/>
      <c r="ISI4762" s="917"/>
      <c r="ISJ4762" s="917"/>
      <c r="ISK4762" s="917"/>
      <c r="ISL4762" s="917"/>
      <c r="ISM4762" s="917"/>
      <c r="ISN4762" s="917"/>
      <c r="ISO4762" s="917"/>
      <c r="ISP4762" s="917"/>
      <c r="ISQ4762" s="917"/>
      <c r="ISR4762" s="917"/>
      <c r="ISS4762" s="917"/>
      <c r="IST4762" s="917"/>
      <c r="ISU4762" s="917"/>
      <c r="ISV4762" s="917"/>
      <c r="ISW4762" s="917"/>
      <c r="ISX4762" s="917"/>
      <c r="ISY4762" s="917"/>
      <c r="ISZ4762" s="917"/>
      <c r="ITA4762" s="917"/>
      <c r="ITB4762" s="917"/>
      <c r="ITC4762" s="917"/>
      <c r="ITD4762" s="917"/>
      <c r="ITE4762" s="917"/>
      <c r="ITF4762" s="917"/>
      <c r="ITG4762" s="917"/>
      <c r="ITH4762" s="917"/>
      <c r="ITI4762" s="917" t="s">
        <v>78</v>
      </c>
      <c r="ITJ4762" s="917"/>
      <c r="ITK4762" s="917"/>
      <c r="ITL4762" s="917"/>
      <c r="ITM4762" s="917"/>
      <c r="ITN4762" s="917"/>
      <c r="ITO4762" s="917"/>
      <c r="ITP4762" s="917"/>
      <c r="ITQ4762" s="917"/>
      <c r="ITR4762" s="917"/>
      <c r="ITS4762" s="917"/>
      <c r="ITT4762" s="917"/>
      <c r="ITU4762" s="917"/>
      <c r="ITV4762" s="917"/>
      <c r="ITW4762" s="917"/>
      <c r="ITX4762" s="917"/>
      <c r="ITY4762" s="917"/>
      <c r="ITZ4762" s="917"/>
      <c r="IUA4762" s="917"/>
      <c r="IUB4762" s="917"/>
      <c r="IUC4762" s="917"/>
      <c r="IUD4762" s="917"/>
      <c r="IUE4762" s="917"/>
      <c r="IUF4762" s="917"/>
      <c r="IUG4762" s="917"/>
      <c r="IUH4762" s="917"/>
      <c r="IUI4762" s="917"/>
      <c r="IUJ4762" s="917"/>
      <c r="IUK4762" s="917"/>
      <c r="IUL4762" s="917"/>
      <c r="IUM4762" s="917"/>
      <c r="IUN4762" s="917"/>
      <c r="IUO4762" s="917" t="s">
        <v>78</v>
      </c>
      <c r="IUP4762" s="917"/>
      <c r="IUQ4762" s="917"/>
      <c r="IUR4762" s="917"/>
      <c r="IUS4762" s="917"/>
      <c r="IUT4762" s="917"/>
      <c r="IUU4762" s="917"/>
      <c r="IUV4762" s="917"/>
      <c r="IUW4762" s="917"/>
      <c r="IUX4762" s="917"/>
      <c r="IUY4762" s="917"/>
      <c r="IUZ4762" s="917"/>
      <c r="IVA4762" s="917"/>
      <c r="IVB4762" s="917"/>
      <c r="IVC4762" s="917"/>
      <c r="IVD4762" s="917"/>
      <c r="IVE4762" s="917"/>
      <c r="IVF4762" s="917"/>
      <c r="IVG4762" s="917"/>
      <c r="IVH4762" s="917"/>
      <c r="IVI4762" s="917"/>
      <c r="IVJ4762" s="917"/>
      <c r="IVK4762" s="917"/>
      <c r="IVL4762" s="917"/>
      <c r="IVM4762" s="917"/>
      <c r="IVN4762" s="917"/>
      <c r="IVO4762" s="917"/>
      <c r="IVP4762" s="917"/>
      <c r="IVQ4762" s="917"/>
      <c r="IVR4762" s="917"/>
      <c r="IVS4762" s="917"/>
      <c r="IVT4762" s="917"/>
      <c r="IVU4762" s="917" t="s">
        <v>78</v>
      </c>
      <c r="IVV4762" s="917"/>
      <c r="IVW4762" s="917"/>
      <c r="IVX4762" s="917"/>
      <c r="IVY4762" s="917"/>
      <c r="IVZ4762" s="917"/>
      <c r="IWA4762" s="917"/>
      <c r="IWB4762" s="917"/>
      <c r="IWC4762" s="917"/>
      <c r="IWD4762" s="917"/>
      <c r="IWE4762" s="917"/>
      <c r="IWF4762" s="917"/>
      <c r="IWG4762" s="917"/>
      <c r="IWH4762" s="917"/>
      <c r="IWI4762" s="917"/>
      <c r="IWJ4762" s="917"/>
      <c r="IWK4762" s="917"/>
      <c r="IWL4762" s="917"/>
      <c r="IWM4762" s="917"/>
      <c r="IWN4762" s="917"/>
      <c r="IWO4762" s="917"/>
      <c r="IWP4762" s="917"/>
      <c r="IWQ4762" s="917"/>
      <c r="IWR4762" s="917"/>
      <c r="IWS4762" s="917"/>
      <c r="IWT4762" s="917"/>
      <c r="IWU4762" s="917"/>
      <c r="IWV4762" s="917"/>
      <c r="IWW4762" s="917"/>
      <c r="IWX4762" s="917"/>
      <c r="IWY4762" s="917"/>
      <c r="IWZ4762" s="917"/>
      <c r="IXA4762" s="917" t="s">
        <v>78</v>
      </c>
      <c r="IXB4762" s="917"/>
      <c r="IXC4762" s="917"/>
      <c r="IXD4762" s="917"/>
      <c r="IXE4762" s="917"/>
      <c r="IXF4762" s="917"/>
      <c r="IXG4762" s="917"/>
      <c r="IXH4762" s="917"/>
      <c r="IXI4762" s="917"/>
      <c r="IXJ4762" s="917"/>
      <c r="IXK4762" s="917"/>
      <c r="IXL4762" s="917"/>
      <c r="IXM4762" s="917"/>
      <c r="IXN4762" s="917"/>
      <c r="IXO4762" s="917"/>
      <c r="IXP4762" s="917"/>
      <c r="IXQ4762" s="917"/>
      <c r="IXR4762" s="917"/>
      <c r="IXS4762" s="917"/>
      <c r="IXT4762" s="917"/>
      <c r="IXU4762" s="917"/>
      <c r="IXV4762" s="917"/>
      <c r="IXW4762" s="917"/>
      <c r="IXX4762" s="917"/>
      <c r="IXY4762" s="917"/>
      <c r="IXZ4762" s="917"/>
      <c r="IYA4762" s="917"/>
      <c r="IYB4762" s="917"/>
      <c r="IYC4762" s="917"/>
      <c r="IYD4762" s="917"/>
      <c r="IYE4762" s="917"/>
      <c r="IYF4762" s="917"/>
      <c r="IYG4762" s="917" t="s">
        <v>78</v>
      </c>
      <c r="IYH4762" s="917"/>
      <c r="IYI4762" s="917"/>
      <c r="IYJ4762" s="917"/>
      <c r="IYK4762" s="917"/>
      <c r="IYL4762" s="917"/>
      <c r="IYM4762" s="917"/>
      <c r="IYN4762" s="917"/>
      <c r="IYO4762" s="917"/>
      <c r="IYP4762" s="917"/>
      <c r="IYQ4762" s="917"/>
      <c r="IYR4762" s="917"/>
      <c r="IYS4762" s="917"/>
      <c r="IYT4762" s="917"/>
      <c r="IYU4762" s="917"/>
      <c r="IYV4762" s="917"/>
      <c r="IYW4762" s="917"/>
      <c r="IYX4762" s="917"/>
      <c r="IYY4762" s="917"/>
      <c r="IYZ4762" s="917"/>
      <c r="IZA4762" s="917"/>
      <c r="IZB4762" s="917"/>
      <c r="IZC4762" s="917"/>
      <c r="IZD4762" s="917"/>
      <c r="IZE4762" s="917"/>
      <c r="IZF4762" s="917"/>
      <c r="IZG4762" s="917"/>
      <c r="IZH4762" s="917"/>
      <c r="IZI4762" s="917"/>
      <c r="IZJ4762" s="917"/>
      <c r="IZK4762" s="917"/>
      <c r="IZL4762" s="917"/>
      <c r="IZM4762" s="917" t="s">
        <v>78</v>
      </c>
      <c r="IZN4762" s="917"/>
      <c r="IZO4762" s="917"/>
      <c r="IZP4762" s="917"/>
      <c r="IZQ4762" s="917"/>
      <c r="IZR4762" s="917"/>
      <c r="IZS4762" s="917"/>
      <c r="IZT4762" s="917"/>
      <c r="IZU4762" s="917"/>
      <c r="IZV4762" s="917"/>
      <c r="IZW4762" s="917"/>
      <c r="IZX4762" s="917"/>
      <c r="IZY4762" s="917"/>
      <c r="IZZ4762" s="917"/>
      <c r="JAA4762" s="917"/>
      <c r="JAB4762" s="917"/>
      <c r="JAC4762" s="917"/>
      <c r="JAD4762" s="917"/>
      <c r="JAE4762" s="917"/>
      <c r="JAF4762" s="917"/>
      <c r="JAG4762" s="917"/>
      <c r="JAH4762" s="917"/>
      <c r="JAI4762" s="917"/>
      <c r="JAJ4762" s="917"/>
      <c r="JAK4762" s="917"/>
      <c r="JAL4762" s="917"/>
      <c r="JAM4762" s="917"/>
      <c r="JAN4762" s="917"/>
      <c r="JAO4762" s="917"/>
      <c r="JAP4762" s="917"/>
      <c r="JAQ4762" s="917"/>
      <c r="JAR4762" s="917"/>
      <c r="JAS4762" s="917" t="s">
        <v>78</v>
      </c>
      <c r="JAT4762" s="917"/>
      <c r="JAU4762" s="917"/>
      <c r="JAV4762" s="917"/>
      <c r="JAW4762" s="917"/>
      <c r="JAX4762" s="917"/>
      <c r="JAY4762" s="917"/>
      <c r="JAZ4762" s="917"/>
      <c r="JBA4762" s="917"/>
      <c r="JBB4762" s="917"/>
      <c r="JBC4762" s="917"/>
      <c r="JBD4762" s="917"/>
      <c r="JBE4762" s="917"/>
      <c r="JBF4762" s="917"/>
      <c r="JBG4762" s="917"/>
      <c r="JBH4762" s="917"/>
      <c r="JBI4762" s="917"/>
      <c r="JBJ4762" s="917"/>
      <c r="JBK4762" s="917"/>
      <c r="JBL4762" s="917"/>
      <c r="JBM4762" s="917"/>
      <c r="JBN4762" s="917"/>
      <c r="JBO4762" s="917"/>
      <c r="JBP4762" s="917"/>
      <c r="JBQ4762" s="917"/>
      <c r="JBR4762" s="917"/>
      <c r="JBS4762" s="917"/>
      <c r="JBT4762" s="917"/>
      <c r="JBU4762" s="917"/>
      <c r="JBV4762" s="917"/>
      <c r="JBW4762" s="917"/>
      <c r="JBX4762" s="917"/>
      <c r="JBY4762" s="917" t="s">
        <v>78</v>
      </c>
      <c r="JBZ4762" s="917"/>
      <c r="JCA4762" s="917"/>
      <c r="JCB4762" s="917"/>
      <c r="JCC4762" s="917"/>
      <c r="JCD4762" s="917"/>
      <c r="JCE4762" s="917"/>
      <c r="JCF4762" s="917"/>
      <c r="JCG4762" s="917"/>
      <c r="JCH4762" s="917"/>
      <c r="JCI4762" s="917"/>
      <c r="JCJ4762" s="917"/>
      <c r="JCK4762" s="917"/>
      <c r="JCL4762" s="917"/>
      <c r="JCM4762" s="917"/>
      <c r="JCN4762" s="917"/>
      <c r="JCO4762" s="917"/>
      <c r="JCP4762" s="917"/>
      <c r="JCQ4762" s="917"/>
      <c r="JCR4762" s="917"/>
      <c r="JCS4762" s="917"/>
      <c r="JCT4762" s="917"/>
      <c r="JCU4762" s="917"/>
      <c r="JCV4762" s="917"/>
      <c r="JCW4762" s="917"/>
      <c r="JCX4762" s="917"/>
      <c r="JCY4762" s="917"/>
      <c r="JCZ4762" s="917"/>
      <c r="JDA4762" s="917"/>
      <c r="JDB4762" s="917"/>
      <c r="JDC4762" s="917"/>
      <c r="JDD4762" s="917"/>
      <c r="JDE4762" s="917" t="s">
        <v>78</v>
      </c>
      <c r="JDF4762" s="917"/>
      <c r="JDG4762" s="917"/>
      <c r="JDH4762" s="917"/>
      <c r="JDI4762" s="917"/>
      <c r="JDJ4762" s="917"/>
      <c r="JDK4762" s="917"/>
      <c r="JDL4762" s="917"/>
      <c r="JDM4762" s="917"/>
      <c r="JDN4762" s="917"/>
      <c r="JDO4762" s="917"/>
      <c r="JDP4762" s="917"/>
      <c r="JDQ4762" s="917"/>
      <c r="JDR4762" s="917"/>
      <c r="JDS4762" s="917"/>
      <c r="JDT4762" s="917"/>
      <c r="JDU4762" s="917"/>
      <c r="JDV4762" s="917"/>
      <c r="JDW4762" s="917"/>
      <c r="JDX4762" s="917"/>
      <c r="JDY4762" s="917"/>
      <c r="JDZ4762" s="917"/>
      <c r="JEA4762" s="917"/>
      <c r="JEB4762" s="917"/>
      <c r="JEC4762" s="917"/>
      <c r="JED4762" s="917"/>
      <c r="JEE4762" s="917"/>
      <c r="JEF4762" s="917"/>
      <c r="JEG4762" s="917"/>
      <c r="JEH4762" s="917"/>
      <c r="JEI4762" s="917"/>
      <c r="JEJ4762" s="917"/>
      <c r="JEK4762" s="917" t="s">
        <v>78</v>
      </c>
      <c r="JEL4762" s="917"/>
      <c r="JEM4762" s="917"/>
      <c r="JEN4762" s="917"/>
      <c r="JEO4762" s="917"/>
      <c r="JEP4762" s="917"/>
      <c r="JEQ4762" s="917"/>
      <c r="JER4762" s="917"/>
      <c r="JES4762" s="917"/>
      <c r="JET4762" s="917"/>
      <c r="JEU4762" s="917"/>
      <c r="JEV4762" s="917"/>
      <c r="JEW4762" s="917"/>
      <c r="JEX4762" s="917"/>
      <c r="JEY4762" s="917"/>
      <c r="JEZ4762" s="917"/>
      <c r="JFA4762" s="917"/>
      <c r="JFB4762" s="917"/>
      <c r="JFC4762" s="917"/>
      <c r="JFD4762" s="917"/>
      <c r="JFE4762" s="917"/>
      <c r="JFF4762" s="917"/>
      <c r="JFG4762" s="917"/>
      <c r="JFH4762" s="917"/>
      <c r="JFI4762" s="917"/>
      <c r="JFJ4762" s="917"/>
      <c r="JFK4762" s="917"/>
      <c r="JFL4762" s="917"/>
      <c r="JFM4762" s="917"/>
      <c r="JFN4762" s="917"/>
      <c r="JFO4762" s="917"/>
      <c r="JFP4762" s="917"/>
      <c r="JFQ4762" s="917" t="s">
        <v>78</v>
      </c>
      <c r="JFR4762" s="917"/>
      <c r="JFS4762" s="917"/>
      <c r="JFT4762" s="917"/>
      <c r="JFU4762" s="917"/>
      <c r="JFV4762" s="917"/>
      <c r="JFW4762" s="917"/>
      <c r="JFX4762" s="917"/>
      <c r="JFY4762" s="917"/>
      <c r="JFZ4762" s="917"/>
      <c r="JGA4762" s="917"/>
      <c r="JGB4762" s="917"/>
      <c r="JGC4762" s="917"/>
      <c r="JGD4762" s="917"/>
      <c r="JGE4762" s="917"/>
      <c r="JGF4762" s="917"/>
      <c r="JGG4762" s="917"/>
      <c r="JGH4762" s="917"/>
      <c r="JGI4762" s="917"/>
      <c r="JGJ4762" s="917"/>
      <c r="JGK4762" s="917"/>
      <c r="JGL4762" s="917"/>
      <c r="JGM4762" s="917"/>
      <c r="JGN4762" s="917"/>
      <c r="JGO4762" s="917"/>
      <c r="JGP4762" s="917"/>
      <c r="JGQ4762" s="917"/>
      <c r="JGR4762" s="917"/>
      <c r="JGS4762" s="917"/>
      <c r="JGT4762" s="917"/>
      <c r="JGU4762" s="917"/>
      <c r="JGV4762" s="917"/>
      <c r="JGW4762" s="917" t="s">
        <v>78</v>
      </c>
      <c r="JGX4762" s="917"/>
      <c r="JGY4762" s="917"/>
      <c r="JGZ4762" s="917"/>
      <c r="JHA4762" s="917"/>
      <c r="JHB4762" s="917"/>
      <c r="JHC4762" s="917"/>
      <c r="JHD4762" s="917"/>
      <c r="JHE4762" s="917"/>
      <c r="JHF4762" s="917"/>
      <c r="JHG4762" s="917"/>
      <c r="JHH4762" s="917"/>
      <c r="JHI4762" s="917"/>
      <c r="JHJ4762" s="917"/>
      <c r="JHK4762" s="917"/>
      <c r="JHL4762" s="917"/>
      <c r="JHM4762" s="917"/>
      <c r="JHN4762" s="917"/>
      <c r="JHO4762" s="917"/>
      <c r="JHP4762" s="917"/>
      <c r="JHQ4762" s="917"/>
      <c r="JHR4762" s="917"/>
      <c r="JHS4762" s="917"/>
      <c r="JHT4762" s="917"/>
      <c r="JHU4762" s="917"/>
      <c r="JHV4762" s="917"/>
      <c r="JHW4762" s="917"/>
      <c r="JHX4762" s="917"/>
      <c r="JHY4762" s="917"/>
      <c r="JHZ4762" s="917"/>
      <c r="JIA4762" s="917"/>
      <c r="JIB4762" s="917"/>
      <c r="JIC4762" s="917" t="s">
        <v>78</v>
      </c>
      <c r="JID4762" s="917"/>
      <c r="JIE4762" s="917"/>
      <c r="JIF4762" s="917"/>
      <c r="JIG4762" s="917"/>
      <c r="JIH4762" s="917"/>
      <c r="JII4762" s="917"/>
      <c r="JIJ4762" s="917"/>
      <c r="JIK4762" s="917"/>
      <c r="JIL4762" s="917"/>
      <c r="JIM4762" s="917"/>
      <c r="JIN4762" s="917"/>
      <c r="JIO4762" s="917"/>
      <c r="JIP4762" s="917"/>
      <c r="JIQ4762" s="917"/>
      <c r="JIR4762" s="917"/>
      <c r="JIS4762" s="917"/>
      <c r="JIT4762" s="917"/>
      <c r="JIU4762" s="917"/>
      <c r="JIV4762" s="917"/>
      <c r="JIW4762" s="917"/>
      <c r="JIX4762" s="917"/>
      <c r="JIY4762" s="917"/>
      <c r="JIZ4762" s="917"/>
      <c r="JJA4762" s="917"/>
      <c r="JJB4762" s="917"/>
      <c r="JJC4762" s="917"/>
      <c r="JJD4762" s="917"/>
      <c r="JJE4762" s="917"/>
      <c r="JJF4762" s="917"/>
      <c r="JJG4762" s="917"/>
      <c r="JJH4762" s="917"/>
      <c r="JJI4762" s="917" t="s">
        <v>78</v>
      </c>
      <c r="JJJ4762" s="917"/>
      <c r="JJK4762" s="917"/>
      <c r="JJL4762" s="917"/>
      <c r="JJM4762" s="917"/>
      <c r="JJN4762" s="917"/>
      <c r="JJO4762" s="917"/>
      <c r="JJP4762" s="917"/>
      <c r="JJQ4762" s="917"/>
      <c r="JJR4762" s="917"/>
      <c r="JJS4762" s="917"/>
      <c r="JJT4762" s="917"/>
      <c r="JJU4762" s="917"/>
      <c r="JJV4762" s="917"/>
      <c r="JJW4762" s="917"/>
      <c r="JJX4762" s="917"/>
      <c r="JJY4762" s="917"/>
      <c r="JJZ4762" s="917"/>
      <c r="JKA4762" s="917"/>
      <c r="JKB4762" s="917"/>
      <c r="JKC4762" s="917"/>
      <c r="JKD4762" s="917"/>
      <c r="JKE4762" s="917"/>
      <c r="JKF4762" s="917"/>
      <c r="JKG4762" s="917"/>
      <c r="JKH4762" s="917"/>
      <c r="JKI4762" s="917"/>
      <c r="JKJ4762" s="917"/>
      <c r="JKK4762" s="917"/>
      <c r="JKL4762" s="917"/>
      <c r="JKM4762" s="917"/>
      <c r="JKN4762" s="917"/>
      <c r="JKO4762" s="917" t="s">
        <v>78</v>
      </c>
      <c r="JKP4762" s="917"/>
      <c r="JKQ4762" s="917"/>
      <c r="JKR4762" s="917"/>
      <c r="JKS4762" s="917"/>
      <c r="JKT4762" s="917"/>
      <c r="JKU4762" s="917"/>
      <c r="JKV4762" s="917"/>
      <c r="JKW4762" s="917"/>
      <c r="JKX4762" s="917"/>
      <c r="JKY4762" s="917"/>
      <c r="JKZ4762" s="917"/>
      <c r="JLA4762" s="917"/>
      <c r="JLB4762" s="917"/>
      <c r="JLC4762" s="917"/>
      <c r="JLD4762" s="917"/>
      <c r="JLE4762" s="917"/>
      <c r="JLF4762" s="917"/>
      <c r="JLG4762" s="917"/>
      <c r="JLH4762" s="917"/>
      <c r="JLI4762" s="917"/>
      <c r="JLJ4762" s="917"/>
      <c r="JLK4762" s="917"/>
      <c r="JLL4762" s="917"/>
      <c r="JLM4762" s="917"/>
      <c r="JLN4762" s="917"/>
      <c r="JLO4762" s="917"/>
      <c r="JLP4762" s="917"/>
      <c r="JLQ4762" s="917"/>
      <c r="JLR4762" s="917"/>
      <c r="JLS4762" s="917"/>
      <c r="JLT4762" s="917"/>
      <c r="JLU4762" s="917" t="s">
        <v>78</v>
      </c>
      <c r="JLV4762" s="917"/>
      <c r="JLW4762" s="917"/>
      <c r="JLX4762" s="917"/>
      <c r="JLY4762" s="917"/>
      <c r="JLZ4762" s="917"/>
      <c r="JMA4762" s="917"/>
      <c r="JMB4762" s="917"/>
      <c r="JMC4762" s="917"/>
      <c r="JMD4762" s="917"/>
      <c r="JME4762" s="917"/>
      <c r="JMF4762" s="917"/>
      <c r="JMG4762" s="917"/>
      <c r="JMH4762" s="917"/>
      <c r="JMI4762" s="917"/>
      <c r="JMJ4762" s="917"/>
      <c r="JMK4762" s="917"/>
      <c r="JML4762" s="917"/>
      <c r="JMM4762" s="917"/>
      <c r="JMN4762" s="917"/>
      <c r="JMO4762" s="917"/>
      <c r="JMP4762" s="917"/>
      <c r="JMQ4762" s="917"/>
      <c r="JMR4762" s="917"/>
      <c r="JMS4762" s="917"/>
      <c r="JMT4762" s="917"/>
      <c r="JMU4762" s="917"/>
      <c r="JMV4762" s="917"/>
      <c r="JMW4762" s="917"/>
      <c r="JMX4762" s="917"/>
      <c r="JMY4762" s="917"/>
      <c r="JMZ4762" s="917"/>
      <c r="JNA4762" s="917" t="s">
        <v>78</v>
      </c>
      <c r="JNB4762" s="917"/>
      <c r="JNC4762" s="917"/>
      <c r="JND4762" s="917"/>
      <c r="JNE4762" s="917"/>
      <c r="JNF4762" s="917"/>
      <c r="JNG4762" s="917"/>
      <c r="JNH4762" s="917"/>
      <c r="JNI4762" s="917"/>
      <c r="JNJ4762" s="917"/>
      <c r="JNK4762" s="917"/>
      <c r="JNL4762" s="917"/>
      <c r="JNM4762" s="917"/>
      <c r="JNN4762" s="917"/>
      <c r="JNO4762" s="917"/>
      <c r="JNP4762" s="917"/>
      <c r="JNQ4762" s="917"/>
      <c r="JNR4762" s="917"/>
      <c r="JNS4762" s="917"/>
      <c r="JNT4762" s="917"/>
      <c r="JNU4762" s="917"/>
      <c r="JNV4762" s="917"/>
      <c r="JNW4762" s="917"/>
      <c r="JNX4762" s="917"/>
      <c r="JNY4762" s="917"/>
      <c r="JNZ4762" s="917"/>
      <c r="JOA4762" s="917"/>
      <c r="JOB4762" s="917"/>
      <c r="JOC4762" s="917"/>
      <c r="JOD4762" s="917"/>
      <c r="JOE4762" s="917"/>
      <c r="JOF4762" s="917"/>
      <c r="JOG4762" s="917" t="s">
        <v>78</v>
      </c>
      <c r="JOH4762" s="917"/>
      <c r="JOI4762" s="917"/>
      <c r="JOJ4762" s="917"/>
      <c r="JOK4762" s="917"/>
      <c r="JOL4762" s="917"/>
      <c r="JOM4762" s="917"/>
      <c r="JON4762" s="917"/>
      <c r="JOO4762" s="917"/>
      <c r="JOP4762" s="917"/>
      <c r="JOQ4762" s="917"/>
      <c r="JOR4762" s="917"/>
      <c r="JOS4762" s="917"/>
      <c r="JOT4762" s="917"/>
      <c r="JOU4762" s="917"/>
      <c r="JOV4762" s="917"/>
      <c r="JOW4762" s="917"/>
      <c r="JOX4762" s="917"/>
      <c r="JOY4762" s="917"/>
      <c r="JOZ4762" s="917"/>
      <c r="JPA4762" s="917"/>
      <c r="JPB4762" s="917"/>
      <c r="JPC4762" s="917"/>
      <c r="JPD4762" s="917"/>
      <c r="JPE4762" s="917"/>
      <c r="JPF4762" s="917"/>
      <c r="JPG4762" s="917"/>
      <c r="JPH4762" s="917"/>
      <c r="JPI4762" s="917"/>
      <c r="JPJ4762" s="917"/>
      <c r="JPK4762" s="917"/>
      <c r="JPL4762" s="917"/>
      <c r="JPM4762" s="917" t="s">
        <v>78</v>
      </c>
      <c r="JPN4762" s="917"/>
      <c r="JPO4762" s="917"/>
      <c r="JPP4762" s="917"/>
      <c r="JPQ4762" s="917"/>
      <c r="JPR4762" s="917"/>
      <c r="JPS4762" s="917"/>
      <c r="JPT4762" s="917"/>
      <c r="JPU4762" s="917"/>
      <c r="JPV4762" s="917"/>
      <c r="JPW4762" s="917"/>
      <c r="JPX4762" s="917"/>
      <c r="JPY4762" s="917"/>
      <c r="JPZ4762" s="917"/>
      <c r="JQA4762" s="917"/>
      <c r="JQB4762" s="917"/>
      <c r="JQC4762" s="917"/>
      <c r="JQD4762" s="917"/>
      <c r="JQE4762" s="917"/>
      <c r="JQF4762" s="917"/>
      <c r="JQG4762" s="917"/>
      <c r="JQH4762" s="917"/>
      <c r="JQI4762" s="917"/>
      <c r="JQJ4762" s="917"/>
      <c r="JQK4762" s="917"/>
      <c r="JQL4762" s="917"/>
      <c r="JQM4762" s="917"/>
      <c r="JQN4762" s="917"/>
      <c r="JQO4762" s="917"/>
      <c r="JQP4762" s="917"/>
      <c r="JQQ4762" s="917"/>
      <c r="JQR4762" s="917"/>
      <c r="JQS4762" s="917" t="s">
        <v>78</v>
      </c>
      <c r="JQT4762" s="917"/>
      <c r="JQU4762" s="917"/>
      <c r="JQV4762" s="917"/>
      <c r="JQW4762" s="917"/>
      <c r="JQX4762" s="917"/>
      <c r="JQY4762" s="917"/>
      <c r="JQZ4762" s="917"/>
      <c r="JRA4762" s="917"/>
      <c r="JRB4762" s="917"/>
      <c r="JRC4762" s="917"/>
      <c r="JRD4762" s="917"/>
      <c r="JRE4762" s="917"/>
      <c r="JRF4762" s="917"/>
      <c r="JRG4762" s="917"/>
      <c r="JRH4762" s="917"/>
      <c r="JRI4762" s="917"/>
      <c r="JRJ4762" s="917"/>
      <c r="JRK4762" s="917"/>
      <c r="JRL4762" s="917"/>
      <c r="JRM4762" s="917"/>
      <c r="JRN4762" s="917"/>
      <c r="JRO4762" s="917"/>
      <c r="JRP4762" s="917"/>
      <c r="JRQ4762" s="917"/>
      <c r="JRR4762" s="917"/>
      <c r="JRS4762" s="917"/>
      <c r="JRT4762" s="917"/>
      <c r="JRU4762" s="917"/>
      <c r="JRV4762" s="917"/>
      <c r="JRW4762" s="917"/>
      <c r="JRX4762" s="917"/>
      <c r="JRY4762" s="917" t="s">
        <v>78</v>
      </c>
      <c r="JRZ4762" s="917"/>
      <c r="JSA4762" s="917"/>
      <c r="JSB4762" s="917"/>
      <c r="JSC4762" s="917"/>
      <c r="JSD4762" s="917"/>
      <c r="JSE4762" s="917"/>
      <c r="JSF4762" s="917"/>
      <c r="JSG4762" s="917"/>
      <c r="JSH4762" s="917"/>
      <c r="JSI4762" s="917"/>
      <c r="JSJ4762" s="917"/>
      <c r="JSK4762" s="917"/>
      <c r="JSL4762" s="917"/>
      <c r="JSM4762" s="917"/>
      <c r="JSN4762" s="917"/>
      <c r="JSO4762" s="917"/>
      <c r="JSP4762" s="917"/>
      <c r="JSQ4762" s="917"/>
      <c r="JSR4762" s="917"/>
      <c r="JSS4762" s="917"/>
      <c r="JST4762" s="917"/>
      <c r="JSU4762" s="917"/>
      <c r="JSV4762" s="917"/>
      <c r="JSW4762" s="917"/>
      <c r="JSX4762" s="917"/>
      <c r="JSY4762" s="917"/>
      <c r="JSZ4762" s="917"/>
      <c r="JTA4762" s="917"/>
      <c r="JTB4762" s="917"/>
      <c r="JTC4762" s="917"/>
      <c r="JTD4762" s="917"/>
      <c r="JTE4762" s="917" t="s">
        <v>78</v>
      </c>
      <c r="JTF4762" s="917"/>
      <c r="JTG4762" s="917"/>
      <c r="JTH4762" s="917"/>
      <c r="JTI4762" s="917"/>
      <c r="JTJ4762" s="917"/>
      <c r="JTK4762" s="917"/>
      <c r="JTL4762" s="917"/>
      <c r="JTM4762" s="917"/>
      <c r="JTN4762" s="917"/>
      <c r="JTO4762" s="917"/>
      <c r="JTP4762" s="917"/>
      <c r="JTQ4762" s="917"/>
      <c r="JTR4762" s="917"/>
      <c r="JTS4762" s="917"/>
      <c r="JTT4762" s="917"/>
      <c r="JTU4762" s="917"/>
      <c r="JTV4762" s="917"/>
      <c r="JTW4762" s="917"/>
      <c r="JTX4762" s="917"/>
      <c r="JTY4762" s="917"/>
      <c r="JTZ4762" s="917"/>
      <c r="JUA4762" s="917"/>
      <c r="JUB4762" s="917"/>
      <c r="JUC4762" s="917"/>
      <c r="JUD4762" s="917"/>
      <c r="JUE4762" s="917"/>
      <c r="JUF4762" s="917"/>
      <c r="JUG4762" s="917"/>
      <c r="JUH4762" s="917"/>
      <c r="JUI4762" s="917"/>
      <c r="JUJ4762" s="917"/>
      <c r="JUK4762" s="917" t="s">
        <v>78</v>
      </c>
      <c r="JUL4762" s="917"/>
      <c r="JUM4762" s="917"/>
      <c r="JUN4762" s="917"/>
      <c r="JUO4762" s="917"/>
      <c r="JUP4762" s="917"/>
      <c r="JUQ4762" s="917"/>
      <c r="JUR4762" s="917"/>
      <c r="JUS4762" s="917"/>
      <c r="JUT4762" s="917"/>
      <c r="JUU4762" s="917"/>
      <c r="JUV4762" s="917"/>
      <c r="JUW4762" s="917"/>
      <c r="JUX4762" s="917"/>
      <c r="JUY4762" s="917"/>
      <c r="JUZ4762" s="917"/>
      <c r="JVA4762" s="917"/>
      <c r="JVB4762" s="917"/>
      <c r="JVC4762" s="917"/>
      <c r="JVD4762" s="917"/>
      <c r="JVE4762" s="917"/>
      <c r="JVF4762" s="917"/>
      <c r="JVG4762" s="917"/>
      <c r="JVH4762" s="917"/>
      <c r="JVI4762" s="917"/>
      <c r="JVJ4762" s="917"/>
      <c r="JVK4762" s="917"/>
      <c r="JVL4762" s="917"/>
      <c r="JVM4762" s="917"/>
      <c r="JVN4762" s="917"/>
      <c r="JVO4762" s="917"/>
      <c r="JVP4762" s="917"/>
      <c r="JVQ4762" s="917" t="s">
        <v>78</v>
      </c>
      <c r="JVR4762" s="917"/>
      <c r="JVS4762" s="917"/>
      <c r="JVT4762" s="917"/>
      <c r="JVU4762" s="917"/>
      <c r="JVV4762" s="917"/>
      <c r="JVW4762" s="917"/>
      <c r="JVX4762" s="917"/>
      <c r="JVY4762" s="917"/>
      <c r="JVZ4762" s="917"/>
      <c r="JWA4762" s="917"/>
      <c r="JWB4762" s="917"/>
      <c r="JWC4762" s="917"/>
      <c r="JWD4762" s="917"/>
      <c r="JWE4762" s="917"/>
      <c r="JWF4762" s="917"/>
      <c r="JWG4762" s="917"/>
      <c r="JWH4762" s="917"/>
      <c r="JWI4762" s="917"/>
      <c r="JWJ4762" s="917"/>
      <c r="JWK4762" s="917"/>
      <c r="JWL4762" s="917"/>
      <c r="JWM4762" s="917"/>
      <c r="JWN4762" s="917"/>
      <c r="JWO4762" s="917"/>
      <c r="JWP4762" s="917"/>
      <c r="JWQ4762" s="917"/>
      <c r="JWR4762" s="917"/>
      <c r="JWS4762" s="917"/>
      <c r="JWT4762" s="917"/>
      <c r="JWU4762" s="917"/>
      <c r="JWV4762" s="917"/>
      <c r="JWW4762" s="917" t="s">
        <v>78</v>
      </c>
      <c r="JWX4762" s="917"/>
      <c r="JWY4762" s="917"/>
      <c r="JWZ4762" s="917"/>
      <c r="JXA4762" s="917"/>
      <c r="JXB4762" s="917"/>
      <c r="JXC4762" s="917"/>
      <c r="JXD4762" s="917"/>
      <c r="JXE4762" s="917"/>
      <c r="JXF4762" s="917"/>
      <c r="JXG4762" s="917"/>
      <c r="JXH4762" s="917"/>
      <c r="JXI4762" s="917"/>
      <c r="JXJ4762" s="917"/>
      <c r="JXK4762" s="917"/>
      <c r="JXL4762" s="917"/>
      <c r="JXM4762" s="917"/>
      <c r="JXN4762" s="917"/>
      <c r="JXO4762" s="917"/>
      <c r="JXP4762" s="917"/>
      <c r="JXQ4762" s="917"/>
      <c r="JXR4762" s="917"/>
      <c r="JXS4762" s="917"/>
      <c r="JXT4762" s="917"/>
      <c r="JXU4762" s="917"/>
      <c r="JXV4762" s="917"/>
      <c r="JXW4762" s="917"/>
      <c r="JXX4762" s="917"/>
      <c r="JXY4762" s="917"/>
      <c r="JXZ4762" s="917"/>
      <c r="JYA4762" s="917"/>
      <c r="JYB4762" s="917"/>
      <c r="JYC4762" s="917" t="s">
        <v>78</v>
      </c>
      <c r="JYD4762" s="917"/>
      <c r="JYE4762" s="917"/>
      <c r="JYF4762" s="917"/>
      <c r="JYG4762" s="917"/>
      <c r="JYH4762" s="917"/>
      <c r="JYI4762" s="917"/>
      <c r="JYJ4762" s="917"/>
      <c r="JYK4762" s="917"/>
      <c r="JYL4762" s="917"/>
      <c r="JYM4762" s="917"/>
      <c r="JYN4762" s="917"/>
      <c r="JYO4762" s="917"/>
      <c r="JYP4762" s="917"/>
      <c r="JYQ4762" s="917"/>
      <c r="JYR4762" s="917"/>
      <c r="JYS4762" s="917"/>
      <c r="JYT4762" s="917"/>
      <c r="JYU4762" s="917"/>
      <c r="JYV4762" s="917"/>
      <c r="JYW4762" s="917"/>
      <c r="JYX4762" s="917"/>
      <c r="JYY4762" s="917"/>
      <c r="JYZ4762" s="917"/>
      <c r="JZA4762" s="917"/>
      <c r="JZB4762" s="917"/>
      <c r="JZC4762" s="917"/>
      <c r="JZD4762" s="917"/>
      <c r="JZE4762" s="917"/>
      <c r="JZF4762" s="917"/>
      <c r="JZG4762" s="917"/>
      <c r="JZH4762" s="917"/>
      <c r="JZI4762" s="917" t="s">
        <v>78</v>
      </c>
      <c r="JZJ4762" s="917"/>
      <c r="JZK4762" s="917"/>
      <c r="JZL4762" s="917"/>
      <c r="JZM4762" s="917"/>
      <c r="JZN4762" s="917"/>
      <c r="JZO4762" s="917"/>
      <c r="JZP4762" s="917"/>
      <c r="JZQ4762" s="917"/>
      <c r="JZR4762" s="917"/>
      <c r="JZS4762" s="917"/>
      <c r="JZT4762" s="917"/>
      <c r="JZU4762" s="917"/>
      <c r="JZV4762" s="917"/>
      <c r="JZW4762" s="917"/>
      <c r="JZX4762" s="917"/>
      <c r="JZY4762" s="917"/>
      <c r="JZZ4762" s="917"/>
      <c r="KAA4762" s="917"/>
      <c r="KAB4762" s="917"/>
      <c r="KAC4762" s="917"/>
      <c r="KAD4762" s="917"/>
      <c r="KAE4762" s="917"/>
      <c r="KAF4762" s="917"/>
      <c r="KAG4762" s="917"/>
      <c r="KAH4762" s="917"/>
      <c r="KAI4762" s="917"/>
      <c r="KAJ4762" s="917"/>
      <c r="KAK4762" s="917"/>
      <c r="KAL4762" s="917"/>
      <c r="KAM4762" s="917"/>
      <c r="KAN4762" s="917"/>
      <c r="KAO4762" s="917" t="s">
        <v>78</v>
      </c>
      <c r="KAP4762" s="917"/>
      <c r="KAQ4762" s="917"/>
      <c r="KAR4762" s="917"/>
      <c r="KAS4762" s="917"/>
      <c r="KAT4762" s="917"/>
      <c r="KAU4762" s="917"/>
      <c r="KAV4762" s="917"/>
      <c r="KAW4762" s="917"/>
      <c r="KAX4762" s="917"/>
      <c r="KAY4762" s="917"/>
      <c r="KAZ4762" s="917"/>
      <c r="KBA4762" s="917"/>
      <c r="KBB4762" s="917"/>
      <c r="KBC4762" s="917"/>
      <c r="KBD4762" s="917"/>
      <c r="KBE4762" s="917"/>
      <c r="KBF4762" s="917"/>
      <c r="KBG4762" s="917"/>
      <c r="KBH4762" s="917"/>
      <c r="KBI4762" s="917"/>
      <c r="KBJ4762" s="917"/>
      <c r="KBK4762" s="917"/>
      <c r="KBL4762" s="917"/>
      <c r="KBM4762" s="917"/>
      <c r="KBN4762" s="917"/>
      <c r="KBO4762" s="917"/>
      <c r="KBP4762" s="917"/>
      <c r="KBQ4762" s="917"/>
      <c r="KBR4762" s="917"/>
      <c r="KBS4762" s="917"/>
      <c r="KBT4762" s="917"/>
      <c r="KBU4762" s="917" t="s">
        <v>78</v>
      </c>
      <c r="KBV4762" s="917"/>
      <c r="KBW4762" s="917"/>
      <c r="KBX4762" s="917"/>
      <c r="KBY4762" s="917"/>
      <c r="KBZ4762" s="917"/>
      <c r="KCA4762" s="917"/>
      <c r="KCB4762" s="917"/>
      <c r="KCC4762" s="917"/>
      <c r="KCD4762" s="917"/>
      <c r="KCE4762" s="917"/>
      <c r="KCF4762" s="917"/>
      <c r="KCG4762" s="917"/>
      <c r="KCH4762" s="917"/>
      <c r="KCI4762" s="917"/>
      <c r="KCJ4762" s="917"/>
      <c r="KCK4762" s="917"/>
      <c r="KCL4762" s="917"/>
      <c r="KCM4762" s="917"/>
      <c r="KCN4762" s="917"/>
      <c r="KCO4762" s="917"/>
      <c r="KCP4762" s="917"/>
      <c r="KCQ4762" s="917"/>
      <c r="KCR4762" s="917"/>
      <c r="KCS4762" s="917"/>
      <c r="KCT4762" s="917"/>
      <c r="KCU4762" s="917"/>
      <c r="KCV4762" s="917"/>
      <c r="KCW4762" s="917"/>
      <c r="KCX4762" s="917"/>
      <c r="KCY4762" s="917"/>
      <c r="KCZ4762" s="917"/>
      <c r="KDA4762" s="917" t="s">
        <v>78</v>
      </c>
      <c r="KDB4762" s="917"/>
      <c r="KDC4762" s="917"/>
      <c r="KDD4762" s="917"/>
      <c r="KDE4762" s="917"/>
      <c r="KDF4762" s="917"/>
      <c r="KDG4762" s="917"/>
      <c r="KDH4762" s="917"/>
      <c r="KDI4762" s="917"/>
      <c r="KDJ4762" s="917"/>
      <c r="KDK4762" s="917"/>
      <c r="KDL4762" s="917"/>
      <c r="KDM4762" s="917"/>
      <c r="KDN4762" s="917"/>
      <c r="KDO4762" s="917"/>
      <c r="KDP4762" s="917"/>
      <c r="KDQ4762" s="917"/>
      <c r="KDR4762" s="917"/>
      <c r="KDS4762" s="917"/>
      <c r="KDT4762" s="917"/>
      <c r="KDU4762" s="917"/>
      <c r="KDV4762" s="917"/>
      <c r="KDW4762" s="917"/>
      <c r="KDX4762" s="917"/>
      <c r="KDY4762" s="917"/>
      <c r="KDZ4762" s="917"/>
      <c r="KEA4762" s="917"/>
      <c r="KEB4762" s="917"/>
      <c r="KEC4762" s="917"/>
      <c r="KED4762" s="917"/>
      <c r="KEE4762" s="917"/>
      <c r="KEF4762" s="917"/>
      <c r="KEG4762" s="917" t="s">
        <v>78</v>
      </c>
      <c r="KEH4762" s="917"/>
      <c r="KEI4762" s="917"/>
      <c r="KEJ4762" s="917"/>
      <c r="KEK4762" s="917"/>
      <c r="KEL4762" s="917"/>
      <c r="KEM4762" s="917"/>
      <c r="KEN4762" s="917"/>
      <c r="KEO4762" s="917"/>
      <c r="KEP4762" s="917"/>
      <c r="KEQ4762" s="917"/>
      <c r="KER4762" s="917"/>
      <c r="KES4762" s="917"/>
      <c r="KET4762" s="917"/>
      <c r="KEU4762" s="917"/>
      <c r="KEV4762" s="917"/>
      <c r="KEW4762" s="917"/>
      <c r="KEX4762" s="917"/>
      <c r="KEY4762" s="917"/>
      <c r="KEZ4762" s="917"/>
      <c r="KFA4762" s="917"/>
      <c r="KFB4762" s="917"/>
      <c r="KFC4762" s="917"/>
      <c r="KFD4762" s="917"/>
      <c r="KFE4762" s="917"/>
      <c r="KFF4762" s="917"/>
      <c r="KFG4762" s="917"/>
      <c r="KFH4762" s="917"/>
      <c r="KFI4762" s="917"/>
      <c r="KFJ4762" s="917"/>
      <c r="KFK4762" s="917"/>
      <c r="KFL4762" s="917"/>
      <c r="KFM4762" s="917" t="s">
        <v>78</v>
      </c>
      <c r="KFN4762" s="917"/>
      <c r="KFO4762" s="917"/>
      <c r="KFP4762" s="917"/>
      <c r="KFQ4762" s="917"/>
      <c r="KFR4762" s="917"/>
      <c r="KFS4762" s="917"/>
      <c r="KFT4762" s="917"/>
      <c r="KFU4762" s="917"/>
      <c r="KFV4762" s="917"/>
      <c r="KFW4762" s="917"/>
      <c r="KFX4762" s="917"/>
      <c r="KFY4762" s="917"/>
      <c r="KFZ4762" s="917"/>
      <c r="KGA4762" s="917"/>
      <c r="KGB4762" s="917"/>
      <c r="KGC4762" s="917"/>
      <c r="KGD4762" s="917"/>
      <c r="KGE4762" s="917"/>
      <c r="KGF4762" s="917"/>
      <c r="KGG4762" s="917"/>
      <c r="KGH4762" s="917"/>
      <c r="KGI4762" s="917"/>
      <c r="KGJ4762" s="917"/>
      <c r="KGK4762" s="917"/>
      <c r="KGL4762" s="917"/>
      <c r="KGM4762" s="917"/>
      <c r="KGN4762" s="917"/>
      <c r="KGO4762" s="917"/>
      <c r="KGP4762" s="917"/>
      <c r="KGQ4762" s="917"/>
      <c r="KGR4762" s="917"/>
      <c r="KGS4762" s="917" t="s">
        <v>78</v>
      </c>
      <c r="KGT4762" s="917"/>
      <c r="KGU4762" s="917"/>
      <c r="KGV4762" s="917"/>
      <c r="KGW4762" s="917"/>
      <c r="KGX4762" s="917"/>
      <c r="KGY4762" s="917"/>
      <c r="KGZ4762" s="917"/>
      <c r="KHA4762" s="917"/>
      <c r="KHB4762" s="917"/>
      <c r="KHC4762" s="917"/>
      <c r="KHD4762" s="917"/>
      <c r="KHE4762" s="917"/>
      <c r="KHF4762" s="917"/>
      <c r="KHG4762" s="917"/>
      <c r="KHH4762" s="917"/>
      <c r="KHI4762" s="917"/>
      <c r="KHJ4762" s="917"/>
      <c r="KHK4762" s="917"/>
      <c r="KHL4762" s="917"/>
      <c r="KHM4762" s="917"/>
      <c r="KHN4762" s="917"/>
      <c r="KHO4762" s="917"/>
      <c r="KHP4762" s="917"/>
      <c r="KHQ4762" s="917"/>
      <c r="KHR4762" s="917"/>
      <c r="KHS4762" s="917"/>
      <c r="KHT4762" s="917"/>
      <c r="KHU4762" s="917"/>
      <c r="KHV4762" s="917"/>
      <c r="KHW4762" s="917"/>
      <c r="KHX4762" s="917"/>
      <c r="KHY4762" s="917" t="s">
        <v>78</v>
      </c>
      <c r="KHZ4762" s="917"/>
      <c r="KIA4762" s="917"/>
      <c r="KIB4762" s="917"/>
      <c r="KIC4762" s="917"/>
      <c r="KID4762" s="917"/>
      <c r="KIE4762" s="917"/>
      <c r="KIF4762" s="917"/>
      <c r="KIG4762" s="917"/>
      <c r="KIH4762" s="917"/>
      <c r="KII4762" s="917"/>
      <c r="KIJ4762" s="917"/>
      <c r="KIK4762" s="917"/>
      <c r="KIL4762" s="917"/>
      <c r="KIM4762" s="917"/>
      <c r="KIN4762" s="917"/>
      <c r="KIO4762" s="917"/>
      <c r="KIP4762" s="917"/>
      <c r="KIQ4762" s="917"/>
      <c r="KIR4762" s="917"/>
      <c r="KIS4762" s="917"/>
      <c r="KIT4762" s="917"/>
      <c r="KIU4762" s="917"/>
      <c r="KIV4762" s="917"/>
      <c r="KIW4762" s="917"/>
      <c r="KIX4762" s="917"/>
      <c r="KIY4762" s="917"/>
      <c r="KIZ4762" s="917"/>
      <c r="KJA4762" s="917"/>
      <c r="KJB4762" s="917"/>
      <c r="KJC4762" s="917"/>
      <c r="KJD4762" s="917"/>
      <c r="KJE4762" s="917" t="s">
        <v>78</v>
      </c>
      <c r="KJF4762" s="917"/>
      <c r="KJG4762" s="917"/>
      <c r="KJH4762" s="917"/>
      <c r="KJI4762" s="917"/>
      <c r="KJJ4762" s="917"/>
      <c r="KJK4762" s="917"/>
      <c r="KJL4762" s="917"/>
      <c r="KJM4762" s="917"/>
      <c r="KJN4762" s="917"/>
      <c r="KJO4762" s="917"/>
      <c r="KJP4762" s="917"/>
      <c r="KJQ4762" s="917"/>
      <c r="KJR4762" s="917"/>
      <c r="KJS4762" s="917"/>
      <c r="KJT4762" s="917"/>
      <c r="KJU4762" s="917"/>
      <c r="KJV4762" s="917"/>
      <c r="KJW4762" s="917"/>
      <c r="KJX4762" s="917"/>
      <c r="KJY4762" s="917"/>
      <c r="KJZ4762" s="917"/>
      <c r="KKA4762" s="917"/>
      <c r="KKB4762" s="917"/>
      <c r="KKC4762" s="917"/>
      <c r="KKD4762" s="917"/>
      <c r="KKE4762" s="917"/>
      <c r="KKF4762" s="917"/>
      <c r="KKG4762" s="917"/>
      <c r="KKH4762" s="917"/>
      <c r="KKI4762" s="917"/>
      <c r="KKJ4762" s="917"/>
      <c r="KKK4762" s="917" t="s">
        <v>78</v>
      </c>
      <c r="KKL4762" s="917"/>
      <c r="KKM4762" s="917"/>
      <c r="KKN4762" s="917"/>
      <c r="KKO4762" s="917"/>
      <c r="KKP4762" s="917"/>
      <c r="KKQ4762" s="917"/>
      <c r="KKR4762" s="917"/>
      <c r="KKS4762" s="917"/>
      <c r="KKT4762" s="917"/>
      <c r="KKU4762" s="917"/>
      <c r="KKV4762" s="917"/>
      <c r="KKW4762" s="917"/>
      <c r="KKX4762" s="917"/>
      <c r="KKY4762" s="917"/>
      <c r="KKZ4762" s="917"/>
      <c r="KLA4762" s="917"/>
      <c r="KLB4762" s="917"/>
      <c r="KLC4762" s="917"/>
      <c r="KLD4762" s="917"/>
      <c r="KLE4762" s="917"/>
      <c r="KLF4762" s="917"/>
      <c r="KLG4762" s="917"/>
      <c r="KLH4762" s="917"/>
      <c r="KLI4762" s="917"/>
      <c r="KLJ4762" s="917"/>
      <c r="KLK4762" s="917"/>
      <c r="KLL4762" s="917"/>
      <c r="KLM4762" s="917"/>
      <c r="KLN4762" s="917"/>
      <c r="KLO4762" s="917"/>
      <c r="KLP4762" s="917"/>
      <c r="KLQ4762" s="917" t="s">
        <v>78</v>
      </c>
      <c r="KLR4762" s="917"/>
      <c r="KLS4762" s="917"/>
      <c r="KLT4762" s="917"/>
      <c r="KLU4762" s="917"/>
      <c r="KLV4762" s="917"/>
      <c r="KLW4762" s="917"/>
      <c r="KLX4762" s="917"/>
      <c r="KLY4762" s="917"/>
      <c r="KLZ4762" s="917"/>
      <c r="KMA4762" s="917"/>
      <c r="KMB4762" s="917"/>
      <c r="KMC4762" s="917"/>
      <c r="KMD4762" s="917"/>
      <c r="KME4762" s="917"/>
      <c r="KMF4762" s="917"/>
      <c r="KMG4762" s="917"/>
      <c r="KMH4762" s="917"/>
      <c r="KMI4762" s="917"/>
      <c r="KMJ4762" s="917"/>
      <c r="KMK4762" s="917"/>
      <c r="KML4762" s="917"/>
      <c r="KMM4762" s="917"/>
      <c r="KMN4762" s="917"/>
      <c r="KMO4762" s="917"/>
      <c r="KMP4762" s="917"/>
      <c r="KMQ4762" s="917"/>
      <c r="KMR4762" s="917"/>
      <c r="KMS4762" s="917"/>
      <c r="KMT4762" s="917"/>
      <c r="KMU4762" s="917"/>
      <c r="KMV4762" s="917"/>
      <c r="KMW4762" s="917" t="s">
        <v>78</v>
      </c>
      <c r="KMX4762" s="917"/>
      <c r="KMY4762" s="917"/>
      <c r="KMZ4762" s="917"/>
      <c r="KNA4762" s="917"/>
      <c r="KNB4762" s="917"/>
      <c r="KNC4762" s="917"/>
      <c r="KND4762" s="917"/>
      <c r="KNE4762" s="917"/>
      <c r="KNF4762" s="917"/>
      <c r="KNG4762" s="917"/>
      <c r="KNH4762" s="917"/>
      <c r="KNI4762" s="917"/>
      <c r="KNJ4762" s="917"/>
      <c r="KNK4762" s="917"/>
      <c r="KNL4762" s="917"/>
      <c r="KNM4762" s="917"/>
      <c r="KNN4762" s="917"/>
      <c r="KNO4762" s="917"/>
      <c r="KNP4762" s="917"/>
      <c r="KNQ4762" s="917"/>
      <c r="KNR4762" s="917"/>
      <c r="KNS4762" s="917"/>
      <c r="KNT4762" s="917"/>
      <c r="KNU4762" s="917"/>
      <c r="KNV4762" s="917"/>
      <c r="KNW4762" s="917"/>
      <c r="KNX4762" s="917"/>
      <c r="KNY4762" s="917"/>
      <c r="KNZ4762" s="917"/>
      <c r="KOA4762" s="917"/>
      <c r="KOB4762" s="917"/>
      <c r="KOC4762" s="917" t="s">
        <v>78</v>
      </c>
      <c r="KOD4762" s="917"/>
      <c r="KOE4762" s="917"/>
      <c r="KOF4762" s="917"/>
      <c r="KOG4762" s="917"/>
      <c r="KOH4762" s="917"/>
      <c r="KOI4762" s="917"/>
      <c r="KOJ4762" s="917"/>
      <c r="KOK4762" s="917"/>
      <c r="KOL4762" s="917"/>
      <c r="KOM4762" s="917"/>
      <c r="KON4762" s="917"/>
      <c r="KOO4762" s="917"/>
      <c r="KOP4762" s="917"/>
      <c r="KOQ4762" s="917"/>
      <c r="KOR4762" s="917"/>
      <c r="KOS4762" s="917"/>
      <c r="KOT4762" s="917"/>
      <c r="KOU4762" s="917"/>
      <c r="KOV4762" s="917"/>
      <c r="KOW4762" s="917"/>
      <c r="KOX4762" s="917"/>
      <c r="KOY4762" s="917"/>
      <c r="KOZ4762" s="917"/>
      <c r="KPA4762" s="917"/>
      <c r="KPB4762" s="917"/>
      <c r="KPC4762" s="917"/>
      <c r="KPD4762" s="917"/>
      <c r="KPE4762" s="917"/>
      <c r="KPF4762" s="917"/>
      <c r="KPG4762" s="917"/>
      <c r="KPH4762" s="917"/>
      <c r="KPI4762" s="917" t="s">
        <v>78</v>
      </c>
      <c r="KPJ4762" s="917"/>
      <c r="KPK4762" s="917"/>
      <c r="KPL4762" s="917"/>
      <c r="KPM4762" s="917"/>
      <c r="KPN4762" s="917"/>
      <c r="KPO4762" s="917"/>
      <c r="KPP4762" s="917"/>
      <c r="KPQ4762" s="917"/>
      <c r="KPR4762" s="917"/>
      <c r="KPS4762" s="917"/>
      <c r="KPT4762" s="917"/>
      <c r="KPU4762" s="917"/>
      <c r="KPV4762" s="917"/>
      <c r="KPW4762" s="917"/>
      <c r="KPX4762" s="917"/>
      <c r="KPY4762" s="917"/>
      <c r="KPZ4762" s="917"/>
      <c r="KQA4762" s="917"/>
      <c r="KQB4762" s="917"/>
      <c r="KQC4762" s="917"/>
      <c r="KQD4762" s="917"/>
      <c r="KQE4762" s="917"/>
      <c r="KQF4762" s="917"/>
      <c r="KQG4762" s="917"/>
      <c r="KQH4762" s="917"/>
      <c r="KQI4762" s="917"/>
      <c r="KQJ4762" s="917"/>
      <c r="KQK4762" s="917"/>
      <c r="KQL4762" s="917"/>
      <c r="KQM4762" s="917"/>
      <c r="KQN4762" s="917"/>
      <c r="KQO4762" s="917" t="s">
        <v>78</v>
      </c>
      <c r="KQP4762" s="917"/>
      <c r="KQQ4762" s="917"/>
      <c r="KQR4762" s="917"/>
      <c r="KQS4762" s="917"/>
      <c r="KQT4762" s="917"/>
      <c r="KQU4762" s="917"/>
      <c r="KQV4762" s="917"/>
      <c r="KQW4762" s="917"/>
      <c r="KQX4762" s="917"/>
      <c r="KQY4762" s="917"/>
      <c r="KQZ4762" s="917"/>
      <c r="KRA4762" s="917"/>
      <c r="KRB4762" s="917"/>
      <c r="KRC4762" s="917"/>
      <c r="KRD4762" s="917"/>
      <c r="KRE4762" s="917"/>
      <c r="KRF4762" s="917"/>
      <c r="KRG4762" s="917"/>
      <c r="KRH4762" s="917"/>
      <c r="KRI4762" s="917"/>
      <c r="KRJ4762" s="917"/>
      <c r="KRK4762" s="917"/>
      <c r="KRL4762" s="917"/>
      <c r="KRM4762" s="917"/>
      <c r="KRN4762" s="917"/>
      <c r="KRO4762" s="917"/>
      <c r="KRP4762" s="917"/>
      <c r="KRQ4762" s="917"/>
      <c r="KRR4762" s="917"/>
      <c r="KRS4762" s="917"/>
      <c r="KRT4762" s="917"/>
      <c r="KRU4762" s="917" t="s">
        <v>78</v>
      </c>
      <c r="KRV4762" s="917"/>
      <c r="KRW4762" s="917"/>
      <c r="KRX4762" s="917"/>
      <c r="KRY4762" s="917"/>
      <c r="KRZ4762" s="917"/>
      <c r="KSA4762" s="917"/>
      <c r="KSB4762" s="917"/>
      <c r="KSC4762" s="917"/>
      <c r="KSD4762" s="917"/>
      <c r="KSE4762" s="917"/>
      <c r="KSF4762" s="917"/>
      <c r="KSG4762" s="917"/>
      <c r="KSH4762" s="917"/>
      <c r="KSI4762" s="917"/>
      <c r="KSJ4762" s="917"/>
      <c r="KSK4762" s="917"/>
      <c r="KSL4762" s="917"/>
      <c r="KSM4762" s="917"/>
      <c r="KSN4762" s="917"/>
      <c r="KSO4762" s="917"/>
      <c r="KSP4762" s="917"/>
      <c r="KSQ4762" s="917"/>
      <c r="KSR4762" s="917"/>
      <c r="KSS4762" s="917"/>
      <c r="KST4762" s="917"/>
      <c r="KSU4762" s="917"/>
      <c r="KSV4762" s="917"/>
      <c r="KSW4762" s="917"/>
      <c r="KSX4762" s="917"/>
      <c r="KSY4762" s="917"/>
      <c r="KSZ4762" s="917"/>
      <c r="KTA4762" s="917" t="s">
        <v>78</v>
      </c>
      <c r="KTB4762" s="917"/>
      <c r="KTC4762" s="917"/>
      <c r="KTD4762" s="917"/>
      <c r="KTE4762" s="917"/>
      <c r="KTF4762" s="917"/>
      <c r="KTG4762" s="917"/>
      <c r="KTH4762" s="917"/>
      <c r="KTI4762" s="917"/>
      <c r="KTJ4762" s="917"/>
      <c r="KTK4762" s="917"/>
      <c r="KTL4762" s="917"/>
      <c r="KTM4762" s="917"/>
      <c r="KTN4762" s="917"/>
      <c r="KTO4762" s="917"/>
      <c r="KTP4762" s="917"/>
      <c r="KTQ4762" s="917"/>
      <c r="KTR4762" s="917"/>
      <c r="KTS4762" s="917"/>
      <c r="KTT4762" s="917"/>
      <c r="KTU4762" s="917"/>
      <c r="KTV4762" s="917"/>
      <c r="KTW4762" s="917"/>
      <c r="KTX4762" s="917"/>
      <c r="KTY4762" s="917"/>
      <c r="KTZ4762" s="917"/>
      <c r="KUA4762" s="917"/>
      <c r="KUB4762" s="917"/>
      <c r="KUC4762" s="917"/>
      <c r="KUD4762" s="917"/>
      <c r="KUE4762" s="917"/>
      <c r="KUF4762" s="917"/>
      <c r="KUG4762" s="917" t="s">
        <v>78</v>
      </c>
      <c r="KUH4762" s="917"/>
      <c r="KUI4762" s="917"/>
      <c r="KUJ4762" s="917"/>
      <c r="KUK4762" s="917"/>
      <c r="KUL4762" s="917"/>
      <c r="KUM4762" s="917"/>
      <c r="KUN4762" s="917"/>
      <c r="KUO4762" s="917"/>
      <c r="KUP4762" s="917"/>
      <c r="KUQ4762" s="917"/>
      <c r="KUR4762" s="917"/>
      <c r="KUS4762" s="917"/>
      <c r="KUT4762" s="917"/>
      <c r="KUU4762" s="917"/>
      <c r="KUV4762" s="917"/>
      <c r="KUW4762" s="917"/>
      <c r="KUX4762" s="917"/>
      <c r="KUY4762" s="917"/>
      <c r="KUZ4762" s="917"/>
      <c r="KVA4762" s="917"/>
      <c r="KVB4762" s="917"/>
      <c r="KVC4762" s="917"/>
      <c r="KVD4762" s="917"/>
      <c r="KVE4762" s="917"/>
      <c r="KVF4762" s="917"/>
      <c r="KVG4762" s="917"/>
      <c r="KVH4762" s="917"/>
      <c r="KVI4762" s="917"/>
      <c r="KVJ4762" s="917"/>
      <c r="KVK4762" s="917"/>
      <c r="KVL4762" s="917"/>
      <c r="KVM4762" s="917" t="s">
        <v>78</v>
      </c>
      <c r="KVN4762" s="917"/>
      <c r="KVO4762" s="917"/>
      <c r="KVP4762" s="917"/>
      <c r="KVQ4762" s="917"/>
      <c r="KVR4762" s="917"/>
      <c r="KVS4762" s="917"/>
      <c r="KVT4762" s="917"/>
      <c r="KVU4762" s="917"/>
      <c r="KVV4762" s="917"/>
      <c r="KVW4762" s="917"/>
      <c r="KVX4762" s="917"/>
      <c r="KVY4762" s="917"/>
      <c r="KVZ4762" s="917"/>
      <c r="KWA4762" s="917"/>
      <c r="KWB4762" s="917"/>
      <c r="KWC4762" s="917"/>
      <c r="KWD4762" s="917"/>
      <c r="KWE4762" s="917"/>
      <c r="KWF4762" s="917"/>
      <c r="KWG4762" s="917"/>
      <c r="KWH4762" s="917"/>
      <c r="KWI4762" s="917"/>
      <c r="KWJ4762" s="917"/>
      <c r="KWK4762" s="917"/>
      <c r="KWL4762" s="917"/>
      <c r="KWM4762" s="917"/>
      <c r="KWN4762" s="917"/>
      <c r="KWO4762" s="917"/>
      <c r="KWP4762" s="917"/>
      <c r="KWQ4762" s="917"/>
      <c r="KWR4762" s="917"/>
      <c r="KWS4762" s="917" t="s">
        <v>78</v>
      </c>
      <c r="KWT4762" s="917"/>
      <c r="KWU4762" s="917"/>
      <c r="KWV4762" s="917"/>
      <c r="KWW4762" s="917"/>
      <c r="KWX4762" s="917"/>
      <c r="KWY4762" s="917"/>
      <c r="KWZ4762" s="917"/>
      <c r="KXA4762" s="917"/>
      <c r="KXB4762" s="917"/>
      <c r="KXC4762" s="917"/>
      <c r="KXD4762" s="917"/>
      <c r="KXE4762" s="917"/>
      <c r="KXF4762" s="917"/>
      <c r="KXG4762" s="917"/>
      <c r="KXH4762" s="917"/>
      <c r="KXI4762" s="917"/>
      <c r="KXJ4762" s="917"/>
      <c r="KXK4762" s="917"/>
      <c r="KXL4762" s="917"/>
      <c r="KXM4762" s="917"/>
      <c r="KXN4762" s="917"/>
      <c r="KXO4762" s="917"/>
      <c r="KXP4762" s="917"/>
      <c r="KXQ4762" s="917"/>
      <c r="KXR4762" s="917"/>
      <c r="KXS4762" s="917"/>
      <c r="KXT4762" s="917"/>
      <c r="KXU4762" s="917"/>
      <c r="KXV4762" s="917"/>
      <c r="KXW4762" s="917"/>
      <c r="KXX4762" s="917"/>
      <c r="KXY4762" s="917" t="s">
        <v>78</v>
      </c>
      <c r="KXZ4762" s="917"/>
      <c r="KYA4762" s="917"/>
      <c r="KYB4762" s="917"/>
      <c r="KYC4762" s="917"/>
      <c r="KYD4762" s="917"/>
      <c r="KYE4762" s="917"/>
      <c r="KYF4762" s="917"/>
      <c r="KYG4762" s="917"/>
      <c r="KYH4762" s="917"/>
      <c r="KYI4762" s="917"/>
      <c r="KYJ4762" s="917"/>
      <c r="KYK4762" s="917"/>
      <c r="KYL4762" s="917"/>
      <c r="KYM4762" s="917"/>
      <c r="KYN4762" s="917"/>
      <c r="KYO4762" s="917"/>
      <c r="KYP4762" s="917"/>
      <c r="KYQ4762" s="917"/>
      <c r="KYR4762" s="917"/>
      <c r="KYS4762" s="917"/>
      <c r="KYT4762" s="917"/>
      <c r="KYU4762" s="917"/>
      <c r="KYV4762" s="917"/>
      <c r="KYW4762" s="917"/>
      <c r="KYX4762" s="917"/>
      <c r="KYY4762" s="917"/>
      <c r="KYZ4762" s="917"/>
      <c r="KZA4762" s="917"/>
      <c r="KZB4762" s="917"/>
      <c r="KZC4762" s="917"/>
      <c r="KZD4762" s="917"/>
      <c r="KZE4762" s="917" t="s">
        <v>78</v>
      </c>
      <c r="KZF4762" s="917"/>
      <c r="KZG4762" s="917"/>
      <c r="KZH4762" s="917"/>
      <c r="KZI4762" s="917"/>
      <c r="KZJ4762" s="917"/>
      <c r="KZK4762" s="917"/>
      <c r="KZL4762" s="917"/>
      <c r="KZM4762" s="917"/>
      <c r="KZN4762" s="917"/>
      <c r="KZO4762" s="917"/>
      <c r="KZP4762" s="917"/>
      <c r="KZQ4762" s="917"/>
      <c r="KZR4762" s="917"/>
      <c r="KZS4762" s="917"/>
      <c r="KZT4762" s="917"/>
      <c r="KZU4762" s="917"/>
      <c r="KZV4762" s="917"/>
      <c r="KZW4762" s="917"/>
      <c r="KZX4762" s="917"/>
      <c r="KZY4762" s="917"/>
      <c r="KZZ4762" s="917"/>
      <c r="LAA4762" s="917"/>
      <c r="LAB4762" s="917"/>
      <c r="LAC4762" s="917"/>
      <c r="LAD4762" s="917"/>
      <c r="LAE4762" s="917"/>
      <c r="LAF4762" s="917"/>
      <c r="LAG4762" s="917"/>
      <c r="LAH4762" s="917"/>
      <c r="LAI4762" s="917"/>
      <c r="LAJ4762" s="917"/>
      <c r="LAK4762" s="917" t="s">
        <v>78</v>
      </c>
      <c r="LAL4762" s="917"/>
      <c r="LAM4762" s="917"/>
      <c r="LAN4762" s="917"/>
      <c r="LAO4762" s="917"/>
      <c r="LAP4762" s="917"/>
      <c r="LAQ4762" s="917"/>
      <c r="LAR4762" s="917"/>
      <c r="LAS4762" s="917"/>
      <c r="LAT4762" s="917"/>
      <c r="LAU4762" s="917"/>
      <c r="LAV4762" s="917"/>
      <c r="LAW4762" s="917"/>
      <c r="LAX4762" s="917"/>
      <c r="LAY4762" s="917"/>
      <c r="LAZ4762" s="917"/>
      <c r="LBA4762" s="917"/>
      <c r="LBB4762" s="917"/>
      <c r="LBC4762" s="917"/>
      <c r="LBD4762" s="917"/>
      <c r="LBE4762" s="917"/>
      <c r="LBF4762" s="917"/>
      <c r="LBG4762" s="917"/>
      <c r="LBH4762" s="917"/>
      <c r="LBI4762" s="917"/>
      <c r="LBJ4762" s="917"/>
      <c r="LBK4762" s="917"/>
      <c r="LBL4762" s="917"/>
      <c r="LBM4762" s="917"/>
      <c r="LBN4762" s="917"/>
      <c r="LBO4762" s="917"/>
      <c r="LBP4762" s="917"/>
      <c r="LBQ4762" s="917" t="s">
        <v>78</v>
      </c>
      <c r="LBR4762" s="917"/>
      <c r="LBS4762" s="917"/>
      <c r="LBT4762" s="917"/>
      <c r="LBU4762" s="917"/>
      <c r="LBV4762" s="917"/>
      <c r="LBW4762" s="917"/>
      <c r="LBX4762" s="917"/>
      <c r="LBY4762" s="917"/>
      <c r="LBZ4762" s="917"/>
      <c r="LCA4762" s="917"/>
      <c r="LCB4762" s="917"/>
      <c r="LCC4762" s="917"/>
      <c r="LCD4762" s="917"/>
      <c r="LCE4762" s="917"/>
      <c r="LCF4762" s="917"/>
      <c r="LCG4762" s="917"/>
      <c r="LCH4762" s="917"/>
      <c r="LCI4762" s="917"/>
      <c r="LCJ4762" s="917"/>
      <c r="LCK4762" s="917"/>
      <c r="LCL4762" s="917"/>
      <c r="LCM4762" s="917"/>
      <c r="LCN4762" s="917"/>
      <c r="LCO4762" s="917"/>
      <c r="LCP4762" s="917"/>
      <c r="LCQ4762" s="917"/>
      <c r="LCR4762" s="917"/>
      <c r="LCS4762" s="917"/>
      <c r="LCT4762" s="917"/>
      <c r="LCU4762" s="917"/>
      <c r="LCV4762" s="917"/>
      <c r="LCW4762" s="917" t="s">
        <v>78</v>
      </c>
      <c r="LCX4762" s="917"/>
      <c r="LCY4762" s="917"/>
      <c r="LCZ4762" s="917"/>
      <c r="LDA4762" s="917"/>
      <c r="LDB4762" s="917"/>
      <c r="LDC4762" s="917"/>
      <c r="LDD4762" s="917"/>
      <c r="LDE4762" s="917"/>
      <c r="LDF4762" s="917"/>
      <c r="LDG4762" s="917"/>
      <c r="LDH4762" s="917"/>
      <c r="LDI4762" s="917"/>
      <c r="LDJ4762" s="917"/>
      <c r="LDK4762" s="917"/>
      <c r="LDL4762" s="917"/>
      <c r="LDM4762" s="917"/>
      <c r="LDN4762" s="917"/>
      <c r="LDO4762" s="917"/>
      <c r="LDP4762" s="917"/>
      <c r="LDQ4762" s="917"/>
      <c r="LDR4762" s="917"/>
      <c r="LDS4762" s="917"/>
      <c r="LDT4762" s="917"/>
      <c r="LDU4762" s="917"/>
      <c r="LDV4762" s="917"/>
      <c r="LDW4762" s="917"/>
      <c r="LDX4762" s="917"/>
      <c r="LDY4762" s="917"/>
      <c r="LDZ4762" s="917"/>
      <c r="LEA4762" s="917"/>
      <c r="LEB4762" s="917"/>
      <c r="LEC4762" s="917" t="s">
        <v>78</v>
      </c>
      <c r="LED4762" s="917"/>
      <c r="LEE4762" s="917"/>
      <c r="LEF4762" s="917"/>
      <c r="LEG4762" s="917"/>
      <c r="LEH4762" s="917"/>
      <c r="LEI4762" s="917"/>
      <c r="LEJ4762" s="917"/>
      <c r="LEK4762" s="917"/>
      <c r="LEL4762" s="917"/>
      <c r="LEM4762" s="917"/>
      <c r="LEN4762" s="917"/>
      <c r="LEO4762" s="917"/>
      <c r="LEP4762" s="917"/>
      <c r="LEQ4762" s="917"/>
      <c r="LER4762" s="917"/>
      <c r="LES4762" s="917"/>
      <c r="LET4762" s="917"/>
      <c r="LEU4762" s="917"/>
      <c r="LEV4762" s="917"/>
      <c r="LEW4762" s="917"/>
      <c r="LEX4762" s="917"/>
      <c r="LEY4762" s="917"/>
      <c r="LEZ4762" s="917"/>
      <c r="LFA4762" s="917"/>
      <c r="LFB4762" s="917"/>
      <c r="LFC4762" s="917"/>
      <c r="LFD4762" s="917"/>
      <c r="LFE4762" s="917"/>
      <c r="LFF4762" s="917"/>
      <c r="LFG4762" s="917"/>
      <c r="LFH4762" s="917"/>
      <c r="LFI4762" s="917" t="s">
        <v>78</v>
      </c>
      <c r="LFJ4762" s="917"/>
      <c r="LFK4762" s="917"/>
      <c r="LFL4762" s="917"/>
      <c r="LFM4762" s="917"/>
      <c r="LFN4762" s="917"/>
      <c r="LFO4762" s="917"/>
      <c r="LFP4762" s="917"/>
      <c r="LFQ4762" s="917"/>
      <c r="LFR4762" s="917"/>
      <c r="LFS4762" s="917"/>
      <c r="LFT4762" s="917"/>
      <c r="LFU4762" s="917"/>
      <c r="LFV4762" s="917"/>
      <c r="LFW4762" s="917"/>
      <c r="LFX4762" s="917"/>
      <c r="LFY4762" s="917"/>
      <c r="LFZ4762" s="917"/>
      <c r="LGA4762" s="917"/>
      <c r="LGB4762" s="917"/>
      <c r="LGC4762" s="917"/>
      <c r="LGD4762" s="917"/>
      <c r="LGE4762" s="917"/>
      <c r="LGF4762" s="917"/>
      <c r="LGG4762" s="917"/>
      <c r="LGH4762" s="917"/>
      <c r="LGI4762" s="917"/>
      <c r="LGJ4762" s="917"/>
      <c r="LGK4762" s="917"/>
      <c r="LGL4762" s="917"/>
      <c r="LGM4762" s="917"/>
      <c r="LGN4762" s="917"/>
      <c r="LGO4762" s="917" t="s">
        <v>78</v>
      </c>
      <c r="LGP4762" s="917"/>
      <c r="LGQ4762" s="917"/>
      <c r="LGR4762" s="917"/>
      <c r="LGS4762" s="917"/>
      <c r="LGT4762" s="917"/>
      <c r="LGU4762" s="917"/>
      <c r="LGV4762" s="917"/>
      <c r="LGW4762" s="917"/>
      <c r="LGX4762" s="917"/>
      <c r="LGY4762" s="917"/>
      <c r="LGZ4762" s="917"/>
      <c r="LHA4762" s="917"/>
      <c r="LHB4762" s="917"/>
      <c r="LHC4762" s="917"/>
      <c r="LHD4762" s="917"/>
      <c r="LHE4762" s="917"/>
      <c r="LHF4762" s="917"/>
      <c r="LHG4762" s="917"/>
      <c r="LHH4762" s="917"/>
      <c r="LHI4762" s="917"/>
      <c r="LHJ4762" s="917"/>
      <c r="LHK4762" s="917"/>
      <c r="LHL4762" s="917"/>
      <c r="LHM4762" s="917"/>
      <c r="LHN4762" s="917"/>
      <c r="LHO4762" s="917"/>
      <c r="LHP4762" s="917"/>
      <c r="LHQ4762" s="917"/>
      <c r="LHR4762" s="917"/>
      <c r="LHS4762" s="917"/>
      <c r="LHT4762" s="917"/>
      <c r="LHU4762" s="917" t="s">
        <v>78</v>
      </c>
      <c r="LHV4762" s="917"/>
      <c r="LHW4762" s="917"/>
      <c r="LHX4762" s="917"/>
      <c r="LHY4762" s="917"/>
      <c r="LHZ4762" s="917"/>
      <c r="LIA4762" s="917"/>
      <c r="LIB4762" s="917"/>
      <c r="LIC4762" s="917"/>
      <c r="LID4762" s="917"/>
      <c r="LIE4762" s="917"/>
      <c r="LIF4762" s="917"/>
      <c r="LIG4762" s="917"/>
      <c r="LIH4762" s="917"/>
      <c r="LII4762" s="917"/>
      <c r="LIJ4762" s="917"/>
      <c r="LIK4762" s="917"/>
      <c r="LIL4762" s="917"/>
      <c r="LIM4762" s="917"/>
      <c r="LIN4762" s="917"/>
      <c r="LIO4762" s="917"/>
      <c r="LIP4762" s="917"/>
      <c r="LIQ4762" s="917"/>
      <c r="LIR4762" s="917"/>
      <c r="LIS4762" s="917"/>
      <c r="LIT4762" s="917"/>
      <c r="LIU4762" s="917"/>
      <c r="LIV4762" s="917"/>
      <c r="LIW4762" s="917"/>
      <c r="LIX4762" s="917"/>
      <c r="LIY4762" s="917"/>
      <c r="LIZ4762" s="917"/>
      <c r="LJA4762" s="917" t="s">
        <v>78</v>
      </c>
      <c r="LJB4762" s="917"/>
      <c r="LJC4762" s="917"/>
      <c r="LJD4762" s="917"/>
      <c r="LJE4762" s="917"/>
      <c r="LJF4762" s="917"/>
      <c r="LJG4762" s="917"/>
      <c r="LJH4762" s="917"/>
      <c r="LJI4762" s="917"/>
      <c r="LJJ4762" s="917"/>
      <c r="LJK4762" s="917"/>
      <c r="LJL4762" s="917"/>
      <c r="LJM4762" s="917"/>
      <c r="LJN4762" s="917"/>
      <c r="LJO4762" s="917"/>
      <c r="LJP4762" s="917"/>
      <c r="LJQ4762" s="917"/>
      <c r="LJR4762" s="917"/>
      <c r="LJS4762" s="917"/>
      <c r="LJT4762" s="917"/>
      <c r="LJU4762" s="917"/>
      <c r="LJV4762" s="917"/>
      <c r="LJW4762" s="917"/>
      <c r="LJX4762" s="917"/>
      <c r="LJY4762" s="917"/>
      <c r="LJZ4762" s="917"/>
      <c r="LKA4762" s="917"/>
      <c r="LKB4762" s="917"/>
      <c r="LKC4762" s="917"/>
      <c r="LKD4762" s="917"/>
      <c r="LKE4762" s="917"/>
      <c r="LKF4762" s="917"/>
      <c r="LKG4762" s="917" t="s">
        <v>78</v>
      </c>
      <c r="LKH4762" s="917"/>
      <c r="LKI4762" s="917"/>
      <c r="LKJ4762" s="917"/>
      <c r="LKK4762" s="917"/>
      <c r="LKL4762" s="917"/>
      <c r="LKM4762" s="917"/>
      <c r="LKN4762" s="917"/>
      <c r="LKO4762" s="917"/>
      <c r="LKP4762" s="917"/>
      <c r="LKQ4762" s="917"/>
      <c r="LKR4762" s="917"/>
      <c r="LKS4762" s="917"/>
      <c r="LKT4762" s="917"/>
      <c r="LKU4762" s="917"/>
      <c r="LKV4762" s="917"/>
      <c r="LKW4762" s="917"/>
      <c r="LKX4762" s="917"/>
      <c r="LKY4762" s="917"/>
      <c r="LKZ4762" s="917"/>
      <c r="LLA4762" s="917"/>
      <c r="LLB4762" s="917"/>
      <c r="LLC4762" s="917"/>
      <c r="LLD4762" s="917"/>
      <c r="LLE4762" s="917"/>
      <c r="LLF4762" s="917"/>
      <c r="LLG4762" s="917"/>
      <c r="LLH4762" s="917"/>
      <c r="LLI4762" s="917"/>
      <c r="LLJ4762" s="917"/>
      <c r="LLK4762" s="917"/>
      <c r="LLL4762" s="917"/>
      <c r="LLM4762" s="917" t="s">
        <v>78</v>
      </c>
      <c r="LLN4762" s="917"/>
      <c r="LLO4762" s="917"/>
      <c r="LLP4762" s="917"/>
      <c r="LLQ4762" s="917"/>
      <c r="LLR4762" s="917"/>
      <c r="LLS4762" s="917"/>
      <c r="LLT4762" s="917"/>
      <c r="LLU4762" s="917"/>
      <c r="LLV4762" s="917"/>
      <c r="LLW4762" s="917"/>
      <c r="LLX4762" s="917"/>
      <c r="LLY4762" s="917"/>
      <c r="LLZ4762" s="917"/>
      <c r="LMA4762" s="917"/>
      <c r="LMB4762" s="917"/>
      <c r="LMC4762" s="917"/>
      <c r="LMD4762" s="917"/>
      <c r="LME4762" s="917"/>
      <c r="LMF4762" s="917"/>
      <c r="LMG4762" s="917"/>
      <c r="LMH4762" s="917"/>
      <c r="LMI4762" s="917"/>
      <c r="LMJ4762" s="917"/>
      <c r="LMK4762" s="917"/>
      <c r="LML4762" s="917"/>
      <c r="LMM4762" s="917"/>
      <c r="LMN4762" s="917"/>
      <c r="LMO4762" s="917"/>
      <c r="LMP4762" s="917"/>
      <c r="LMQ4762" s="917"/>
      <c r="LMR4762" s="917"/>
      <c r="LMS4762" s="917" t="s">
        <v>78</v>
      </c>
      <c r="LMT4762" s="917"/>
      <c r="LMU4762" s="917"/>
      <c r="LMV4762" s="917"/>
      <c r="LMW4762" s="917"/>
      <c r="LMX4762" s="917"/>
      <c r="LMY4762" s="917"/>
      <c r="LMZ4762" s="917"/>
      <c r="LNA4762" s="917"/>
      <c r="LNB4762" s="917"/>
      <c r="LNC4762" s="917"/>
      <c r="LND4762" s="917"/>
      <c r="LNE4762" s="917"/>
      <c r="LNF4762" s="917"/>
      <c r="LNG4762" s="917"/>
      <c r="LNH4762" s="917"/>
      <c r="LNI4762" s="917"/>
      <c r="LNJ4762" s="917"/>
      <c r="LNK4762" s="917"/>
      <c r="LNL4762" s="917"/>
      <c r="LNM4762" s="917"/>
      <c r="LNN4762" s="917"/>
      <c r="LNO4762" s="917"/>
      <c r="LNP4762" s="917"/>
      <c r="LNQ4762" s="917"/>
      <c r="LNR4762" s="917"/>
      <c r="LNS4762" s="917"/>
      <c r="LNT4762" s="917"/>
      <c r="LNU4762" s="917"/>
      <c r="LNV4762" s="917"/>
      <c r="LNW4762" s="917"/>
      <c r="LNX4762" s="917"/>
      <c r="LNY4762" s="917" t="s">
        <v>78</v>
      </c>
      <c r="LNZ4762" s="917"/>
      <c r="LOA4762" s="917"/>
      <c r="LOB4762" s="917"/>
      <c r="LOC4762" s="917"/>
      <c r="LOD4762" s="917"/>
      <c r="LOE4762" s="917"/>
      <c r="LOF4762" s="917"/>
      <c r="LOG4762" s="917"/>
      <c r="LOH4762" s="917"/>
      <c r="LOI4762" s="917"/>
      <c r="LOJ4762" s="917"/>
      <c r="LOK4762" s="917"/>
      <c r="LOL4762" s="917"/>
      <c r="LOM4762" s="917"/>
      <c r="LON4762" s="917"/>
      <c r="LOO4762" s="917"/>
      <c r="LOP4762" s="917"/>
      <c r="LOQ4762" s="917"/>
      <c r="LOR4762" s="917"/>
      <c r="LOS4762" s="917"/>
      <c r="LOT4762" s="917"/>
      <c r="LOU4762" s="917"/>
      <c r="LOV4762" s="917"/>
      <c r="LOW4762" s="917"/>
      <c r="LOX4762" s="917"/>
      <c r="LOY4762" s="917"/>
      <c r="LOZ4762" s="917"/>
      <c r="LPA4762" s="917"/>
      <c r="LPB4762" s="917"/>
      <c r="LPC4762" s="917"/>
      <c r="LPD4762" s="917"/>
      <c r="LPE4762" s="917" t="s">
        <v>78</v>
      </c>
      <c r="LPF4762" s="917"/>
      <c r="LPG4762" s="917"/>
      <c r="LPH4762" s="917"/>
      <c r="LPI4762" s="917"/>
      <c r="LPJ4762" s="917"/>
      <c r="LPK4762" s="917"/>
      <c r="LPL4762" s="917"/>
      <c r="LPM4762" s="917"/>
      <c r="LPN4762" s="917"/>
      <c r="LPO4762" s="917"/>
      <c r="LPP4762" s="917"/>
      <c r="LPQ4762" s="917"/>
      <c r="LPR4762" s="917"/>
      <c r="LPS4762" s="917"/>
      <c r="LPT4762" s="917"/>
      <c r="LPU4762" s="917"/>
      <c r="LPV4762" s="917"/>
      <c r="LPW4762" s="917"/>
      <c r="LPX4762" s="917"/>
      <c r="LPY4762" s="917"/>
      <c r="LPZ4762" s="917"/>
      <c r="LQA4762" s="917"/>
      <c r="LQB4762" s="917"/>
      <c r="LQC4762" s="917"/>
      <c r="LQD4762" s="917"/>
      <c r="LQE4762" s="917"/>
      <c r="LQF4762" s="917"/>
      <c r="LQG4762" s="917"/>
      <c r="LQH4762" s="917"/>
      <c r="LQI4762" s="917"/>
      <c r="LQJ4762" s="917"/>
      <c r="LQK4762" s="917" t="s">
        <v>78</v>
      </c>
      <c r="LQL4762" s="917"/>
      <c r="LQM4762" s="917"/>
      <c r="LQN4762" s="917"/>
      <c r="LQO4762" s="917"/>
      <c r="LQP4762" s="917"/>
      <c r="LQQ4762" s="917"/>
      <c r="LQR4762" s="917"/>
      <c r="LQS4762" s="917"/>
      <c r="LQT4762" s="917"/>
      <c r="LQU4762" s="917"/>
      <c r="LQV4762" s="917"/>
      <c r="LQW4762" s="917"/>
      <c r="LQX4762" s="917"/>
      <c r="LQY4762" s="917"/>
      <c r="LQZ4762" s="917"/>
      <c r="LRA4762" s="917"/>
      <c r="LRB4762" s="917"/>
      <c r="LRC4762" s="917"/>
      <c r="LRD4762" s="917"/>
      <c r="LRE4762" s="917"/>
      <c r="LRF4762" s="917"/>
      <c r="LRG4762" s="917"/>
      <c r="LRH4762" s="917"/>
      <c r="LRI4762" s="917"/>
      <c r="LRJ4762" s="917"/>
      <c r="LRK4762" s="917"/>
      <c r="LRL4762" s="917"/>
      <c r="LRM4762" s="917"/>
      <c r="LRN4762" s="917"/>
      <c r="LRO4762" s="917"/>
      <c r="LRP4762" s="917"/>
      <c r="LRQ4762" s="917" t="s">
        <v>78</v>
      </c>
      <c r="LRR4762" s="917"/>
      <c r="LRS4762" s="917"/>
      <c r="LRT4762" s="917"/>
      <c r="LRU4762" s="917"/>
      <c r="LRV4762" s="917"/>
      <c r="LRW4762" s="917"/>
      <c r="LRX4762" s="917"/>
      <c r="LRY4762" s="917"/>
      <c r="LRZ4762" s="917"/>
      <c r="LSA4762" s="917"/>
      <c r="LSB4762" s="917"/>
      <c r="LSC4762" s="917"/>
      <c r="LSD4762" s="917"/>
      <c r="LSE4762" s="917"/>
      <c r="LSF4762" s="917"/>
      <c r="LSG4762" s="917"/>
      <c r="LSH4762" s="917"/>
      <c r="LSI4762" s="917"/>
      <c r="LSJ4762" s="917"/>
      <c r="LSK4762" s="917"/>
      <c r="LSL4762" s="917"/>
      <c r="LSM4762" s="917"/>
      <c r="LSN4762" s="917"/>
      <c r="LSO4762" s="917"/>
      <c r="LSP4762" s="917"/>
      <c r="LSQ4762" s="917"/>
      <c r="LSR4762" s="917"/>
      <c r="LSS4762" s="917"/>
      <c r="LST4762" s="917"/>
      <c r="LSU4762" s="917"/>
      <c r="LSV4762" s="917"/>
      <c r="LSW4762" s="917" t="s">
        <v>78</v>
      </c>
      <c r="LSX4762" s="917"/>
      <c r="LSY4762" s="917"/>
      <c r="LSZ4762" s="917"/>
      <c r="LTA4762" s="917"/>
      <c r="LTB4762" s="917"/>
      <c r="LTC4762" s="917"/>
      <c r="LTD4762" s="917"/>
      <c r="LTE4762" s="917"/>
      <c r="LTF4762" s="917"/>
      <c r="LTG4762" s="917"/>
      <c r="LTH4762" s="917"/>
      <c r="LTI4762" s="917"/>
      <c r="LTJ4762" s="917"/>
      <c r="LTK4762" s="917"/>
      <c r="LTL4762" s="917"/>
      <c r="LTM4762" s="917"/>
      <c r="LTN4762" s="917"/>
      <c r="LTO4762" s="917"/>
      <c r="LTP4762" s="917"/>
      <c r="LTQ4762" s="917"/>
      <c r="LTR4762" s="917"/>
      <c r="LTS4762" s="917"/>
      <c r="LTT4762" s="917"/>
      <c r="LTU4762" s="917"/>
      <c r="LTV4762" s="917"/>
      <c r="LTW4762" s="917"/>
      <c r="LTX4762" s="917"/>
      <c r="LTY4762" s="917"/>
      <c r="LTZ4762" s="917"/>
      <c r="LUA4762" s="917"/>
      <c r="LUB4762" s="917"/>
      <c r="LUC4762" s="917" t="s">
        <v>78</v>
      </c>
      <c r="LUD4762" s="917"/>
      <c r="LUE4762" s="917"/>
      <c r="LUF4762" s="917"/>
      <c r="LUG4762" s="917"/>
      <c r="LUH4762" s="917"/>
      <c r="LUI4762" s="917"/>
      <c r="LUJ4762" s="917"/>
      <c r="LUK4762" s="917"/>
      <c r="LUL4762" s="917"/>
      <c r="LUM4762" s="917"/>
      <c r="LUN4762" s="917"/>
      <c r="LUO4762" s="917"/>
      <c r="LUP4762" s="917"/>
      <c r="LUQ4762" s="917"/>
      <c r="LUR4762" s="917"/>
      <c r="LUS4762" s="917"/>
      <c r="LUT4762" s="917"/>
      <c r="LUU4762" s="917"/>
      <c r="LUV4762" s="917"/>
      <c r="LUW4762" s="917"/>
      <c r="LUX4762" s="917"/>
      <c r="LUY4762" s="917"/>
      <c r="LUZ4762" s="917"/>
      <c r="LVA4762" s="917"/>
      <c r="LVB4762" s="917"/>
      <c r="LVC4762" s="917"/>
      <c r="LVD4762" s="917"/>
      <c r="LVE4762" s="917"/>
      <c r="LVF4762" s="917"/>
      <c r="LVG4762" s="917"/>
      <c r="LVH4762" s="917"/>
      <c r="LVI4762" s="917" t="s">
        <v>78</v>
      </c>
      <c r="LVJ4762" s="917"/>
      <c r="LVK4762" s="917"/>
      <c r="LVL4762" s="917"/>
      <c r="LVM4762" s="917"/>
      <c r="LVN4762" s="917"/>
      <c r="LVO4762" s="917"/>
      <c r="LVP4762" s="917"/>
      <c r="LVQ4762" s="917"/>
      <c r="LVR4762" s="917"/>
      <c r="LVS4762" s="917"/>
      <c r="LVT4762" s="917"/>
      <c r="LVU4762" s="917"/>
      <c r="LVV4762" s="917"/>
      <c r="LVW4762" s="917"/>
      <c r="LVX4762" s="917"/>
      <c r="LVY4762" s="917"/>
      <c r="LVZ4762" s="917"/>
      <c r="LWA4762" s="917"/>
      <c r="LWB4762" s="917"/>
      <c r="LWC4762" s="917"/>
      <c r="LWD4762" s="917"/>
      <c r="LWE4762" s="917"/>
      <c r="LWF4762" s="917"/>
      <c r="LWG4762" s="917"/>
      <c r="LWH4762" s="917"/>
      <c r="LWI4762" s="917"/>
      <c r="LWJ4762" s="917"/>
      <c r="LWK4762" s="917"/>
      <c r="LWL4762" s="917"/>
      <c r="LWM4762" s="917"/>
      <c r="LWN4762" s="917"/>
      <c r="LWO4762" s="917" t="s">
        <v>78</v>
      </c>
      <c r="LWP4762" s="917"/>
      <c r="LWQ4762" s="917"/>
      <c r="LWR4762" s="917"/>
      <c r="LWS4762" s="917"/>
      <c r="LWT4762" s="917"/>
      <c r="LWU4762" s="917"/>
      <c r="LWV4762" s="917"/>
      <c r="LWW4762" s="917"/>
      <c r="LWX4762" s="917"/>
      <c r="LWY4762" s="917"/>
      <c r="LWZ4762" s="917"/>
      <c r="LXA4762" s="917"/>
      <c r="LXB4762" s="917"/>
      <c r="LXC4762" s="917"/>
      <c r="LXD4762" s="917"/>
      <c r="LXE4762" s="917"/>
      <c r="LXF4762" s="917"/>
      <c r="LXG4762" s="917"/>
      <c r="LXH4762" s="917"/>
      <c r="LXI4762" s="917"/>
      <c r="LXJ4762" s="917"/>
      <c r="LXK4762" s="917"/>
      <c r="LXL4762" s="917"/>
      <c r="LXM4762" s="917"/>
      <c r="LXN4762" s="917"/>
      <c r="LXO4762" s="917"/>
      <c r="LXP4762" s="917"/>
      <c r="LXQ4762" s="917"/>
      <c r="LXR4762" s="917"/>
      <c r="LXS4762" s="917"/>
      <c r="LXT4762" s="917"/>
      <c r="LXU4762" s="917" t="s">
        <v>78</v>
      </c>
      <c r="LXV4762" s="917"/>
      <c r="LXW4762" s="917"/>
      <c r="LXX4762" s="917"/>
      <c r="LXY4762" s="917"/>
      <c r="LXZ4762" s="917"/>
      <c r="LYA4762" s="917"/>
      <c r="LYB4762" s="917"/>
      <c r="LYC4762" s="917"/>
      <c r="LYD4762" s="917"/>
      <c r="LYE4762" s="917"/>
      <c r="LYF4762" s="917"/>
      <c r="LYG4762" s="917"/>
      <c r="LYH4762" s="917"/>
      <c r="LYI4762" s="917"/>
      <c r="LYJ4762" s="917"/>
      <c r="LYK4762" s="917"/>
      <c r="LYL4762" s="917"/>
      <c r="LYM4762" s="917"/>
      <c r="LYN4762" s="917"/>
      <c r="LYO4762" s="917"/>
      <c r="LYP4762" s="917"/>
      <c r="LYQ4762" s="917"/>
      <c r="LYR4762" s="917"/>
      <c r="LYS4762" s="917"/>
      <c r="LYT4762" s="917"/>
      <c r="LYU4762" s="917"/>
      <c r="LYV4762" s="917"/>
      <c r="LYW4762" s="917"/>
      <c r="LYX4762" s="917"/>
      <c r="LYY4762" s="917"/>
      <c r="LYZ4762" s="917"/>
      <c r="LZA4762" s="917" t="s">
        <v>78</v>
      </c>
      <c r="LZB4762" s="917"/>
      <c r="LZC4762" s="917"/>
      <c r="LZD4762" s="917"/>
      <c r="LZE4762" s="917"/>
      <c r="LZF4762" s="917"/>
      <c r="LZG4762" s="917"/>
      <c r="LZH4762" s="917"/>
      <c r="LZI4762" s="917"/>
      <c r="LZJ4762" s="917"/>
      <c r="LZK4762" s="917"/>
      <c r="LZL4762" s="917"/>
      <c r="LZM4762" s="917"/>
      <c r="LZN4762" s="917"/>
      <c r="LZO4762" s="917"/>
      <c r="LZP4762" s="917"/>
      <c r="LZQ4762" s="917"/>
      <c r="LZR4762" s="917"/>
      <c r="LZS4762" s="917"/>
      <c r="LZT4762" s="917"/>
      <c r="LZU4762" s="917"/>
      <c r="LZV4762" s="917"/>
      <c r="LZW4762" s="917"/>
      <c r="LZX4762" s="917"/>
      <c r="LZY4762" s="917"/>
      <c r="LZZ4762" s="917"/>
      <c r="MAA4762" s="917"/>
      <c r="MAB4762" s="917"/>
      <c r="MAC4762" s="917"/>
      <c r="MAD4762" s="917"/>
      <c r="MAE4762" s="917"/>
      <c r="MAF4762" s="917"/>
      <c r="MAG4762" s="917" t="s">
        <v>78</v>
      </c>
      <c r="MAH4762" s="917"/>
      <c r="MAI4762" s="917"/>
      <c r="MAJ4762" s="917"/>
      <c r="MAK4762" s="917"/>
      <c r="MAL4762" s="917"/>
      <c r="MAM4762" s="917"/>
      <c r="MAN4762" s="917"/>
      <c r="MAO4762" s="917"/>
      <c r="MAP4762" s="917"/>
      <c r="MAQ4762" s="917"/>
      <c r="MAR4762" s="917"/>
      <c r="MAS4762" s="917"/>
      <c r="MAT4762" s="917"/>
      <c r="MAU4762" s="917"/>
      <c r="MAV4762" s="917"/>
      <c r="MAW4762" s="917"/>
      <c r="MAX4762" s="917"/>
      <c r="MAY4762" s="917"/>
      <c r="MAZ4762" s="917"/>
      <c r="MBA4762" s="917"/>
      <c r="MBB4762" s="917"/>
      <c r="MBC4762" s="917"/>
      <c r="MBD4762" s="917"/>
      <c r="MBE4762" s="917"/>
      <c r="MBF4762" s="917"/>
      <c r="MBG4762" s="917"/>
      <c r="MBH4762" s="917"/>
      <c r="MBI4762" s="917"/>
      <c r="MBJ4762" s="917"/>
      <c r="MBK4762" s="917"/>
      <c r="MBL4762" s="917"/>
      <c r="MBM4762" s="917" t="s">
        <v>78</v>
      </c>
      <c r="MBN4762" s="917"/>
      <c r="MBO4762" s="917"/>
      <c r="MBP4762" s="917"/>
      <c r="MBQ4762" s="917"/>
      <c r="MBR4762" s="917"/>
      <c r="MBS4762" s="917"/>
      <c r="MBT4762" s="917"/>
      <c r="MBU4762" s="917"/>
      <c r="MBV4762" s="917"/>
      <c r="MBW4762" s="917"/>
      <c r="MBX4762" s="917"/>
      <c r="MBY4762" s="917"/>
      <c r="MBZ4762" s="917"/>
      <c r="MCA4762" s="917"/>
      <c r="MCB4762" s="917"/>
      <c r="MCC4762" s="917"/>
      <c r="MCD4762" s="917"/>
      <c r="MCE4762" s="917"/>
      <c r="MCF4762" s="917"/>
      <c r="MCG4762" s="917"/>
      <c r="MCH4762" s="917"/>
      <c r="MCI4762" s="917"/>
      <c r="MCJ4762" s="917"/>
      <c r="MCK4762" s="917"/>
      <c r="MCL4762" s="917"/>
      <c r="MCM4762" s="917"/>
      <c r="MCN4762" s="917"/>
      <c r="MCO4762" s="917"/>
      <c r="MCP4762" s="917"/>
      <c r="MCQ4762" s="917"/>
      <c r="MCR4762" s="917"/>
      <c r="MCS4762" s="917" t="s">
        <v>78</v>
      </c>
      <c r="MCT4762" s="917"/>
      <c r="MCU4762" s="917"/>
      <c r="MCV4762" s="917"/>
      <c r="MCW4762" s="917"/>
      <c r="MCX4762" s="917"/>
      <c r="MCY4762" s="917"/>
      <c r="MCZ4762" s="917"/>
      <c r="MDA4762" s="917"/>
      <c r="MDB4762" s="917"/>
      <c r="MDC4762" s="917"/>
      <c r="MDD4762" s="917"/>
      <c r="MDE4762" s="917"/>
      <c r="MDF4762" s="917"/>
      <c r="MDG4762" s="917"/>
      <c r="MDH4762" s="917"/>
      <c r="MDI4762" s="917"/>
      <c r="MDJ4762" s="917"/>
      <c r="MDK4762" s="917"/>
      <c r="MDL4762" s="917"/>
      <c r="MDM4762" s="917"/>
      <c r="MDN4762" s="917"/>
      <c r="MDO4762" s="917"/>
      <c r="MDP4762" s="917"/>
      <c r="MDQ4762" s="917"/>
      <c r="MDR4762" s="917"/>
      <c r="MDS4762" s="917"/>
      <c r="MDT4762" s="917"/>
      <c r="MDU4762" s="917"/>
      <c r="MDV4762" s="917"/>
      <c r="MDW4762" s="917"/>
      <c r="MDX4762" s="917"/>
      <c r="MDY4762" s="917" t="s">
        <v>78</v>
      </c>
      <c r="MDZ4762" s="917"/>
      <c r="MEA4762" s="917"/>
      <c r="MEB4762" s="917"/>
      <c r="MEC4762" s="917"/>
      <c r="MED4762" s="917"/>
      <c r="MEE4762" s="917"/>
      <c r="MEF4762" s="917"/>
      <c r="MEG4762" s="917"/>
      <c r="MEH4762" s="917"/>
      <c r="MEI4762" s="917"/>
      <c r="MEJ4762" s="917"/>
      <c r="MEK4762" s="917"/>
      <c r="MEL4762" s="917"/>
      <c r="MEM4762" s="917"/>
      <c r="MEN4762" s="917"/>
      <c r="MEO4762" s="917"/>
      <c r="MEP4762" s="917"/>
      <c r="MEQ4762" s="917"/>
      <c r="MER4762" s="917"/>
      <c r="MES4762" s="917"/>
      <c r="MET4762" s="917"/>
      <c r="MEU4762" s="917"/>
      <c r="MEV4762" s="917"/>
      <c r="MEW4762" s="917"/>
      <c r="MEX4762" s="917"/>
      <c r="MEY4762" s="917"/>
      <c r="MEZ4762" s="917"/>
      <c r="MFA4762" s="917"/>
      <c r="MFB4762" s="917"/>
      <c r="MFC4762" s="917"/>
      <c r="MFD4762" s="917"/>
      <c r="MFE4762" s="917" t="s">
        <v>78</v>
      </c>
      <c r="MFF4762" s="917"/>
      <c r="MFG4762" s="917"/>
      <c r="MFH4762" s="917"/>
      <c r="MFI4762" s="917"/>
      <c r="MFJ4762" s="917"/>
      <c r="MFK4762" s="917"/>
      <c r="MFL4762" s="917"/>
      <c r="MFM4762" s="917"/>
      <c r="MFN4762" s="917"/>
      <c r="MFO4762" s="917"/>
      <c r="MFP4762" s="917"/>
      <c r="MFQ4762" s="917"/>
      <c r="MFR4762" s="917"/>
      <c r="MFS4762" s="917"/>
      <c r="MFT4762" s="917"/>
      <c r="MFU4762" s="917"/>
      <c r="MFV4762" s="917"/>
      <c r="MFW4762" s="917"/>
      <c r="MFX4762" s="917"/>
      <c r="MFY4762" s="917"/>
      <c r="MFZ4762" s="917"/>
      <c r="MGA4762" s="917"/>
      <c r="MGB4762" s="917"/>
      <c r="MGC4762" s="917"/>
      <c r="MGD4762" s="917"/>
      <c r="MGE4762" s="917"/>
      <c r="MGF4762" s="917"/>
      <c r="MGG4762" s="917"/>
      <c r="MGH4762" s="917"/>
      <c r="MGI4762" s="917"/>
      <c r="MGJ4762" s="917"/>
      <c r="MGK4762" s="917" t="s">
        <v>78</v>
      </c>
      <c r="MGL4762" s="917"/>
      <c r="MGM4762" s="917"/>
      <c r="MGN4762" s="917"/>
      <c r="MGO4762" s="917"/>
      <c r="MGP4762" s="917"/>
      <c r="MGQ4762" s="917"/>
      <c r="MGR4762" s="917"/>
      <c r="MGS4762" s="917"/>
      <c r="MGT4762" s="917"/>
      <c r="MGU4762" s="917"/>
      <c r="MGV4762" s="917"/>
      <c r="MGW4762" s="917"/>
      <c r="MGX4762" s="917"/>
      <c r="MGY4762" s="917"/>
      <c r="MGZ4762" s="917"/>
      <c r="MHA4762" s="917"/>
      <c r="MHB4762" s="917"/>
      <c r="MHC4762" s="917"/>
      <c r="MHD4762" s="917"/>
      <c r="MHE4762" s="917"/>
      <c r="MHF4762" s="917"/>
      <c r="MHG4762" s="917"/>
      <c r="MHH4762" s="917"/>
      <c r="MHI4762" s="917"/>
      <c r="MHJ4762" s="917"/>
      <c r="MHK4762" s="917"/>
      <c r="MHL4762" s="917"/>
      <c r="MHM4762" s="917"/>
      <c r="MHN4762" s="917"/>
      <c r="MHO4762" s="917"/>
      <c r="MHP4762" s="917"/>
      <c r="MHQ4762" s="917" t="s">
        <v>78</v>
      </c>
      <c r="MHR4762" s="917"/>
      <c r="MHS4762" s="917"/>
      <c r="MHT4762" s="917"/>
      <c r="MHU4762" s="917"/>
      <c r="MHV4762" s="917"/>
      <c r="MHW4762" s="917"/>
      <c r="MHX4762" s="917"/>
      <c r="MHY4762" s="917"/>
      <c r="MHZ4762" s="917"/>
      <c r="MIA4762" s="917"/>
      <c r="MIB4762" s="917"/>
      <c r="MIC4762" s="917"/>
      <c r="MID4762" s="917"/>
      <c r="MIE4762" s="917"/>
      <c r="MIF4762" s="917"/>
      <c r="MIG4762" s="917"/>
      <c r="MIH4762" s="917"/>
      <c r="MII4762" s="917"/>
      <c r="MIJ4762" s="917"/>
      <c r="MIK4762" s="917"/>
      <c r="MIL4762" s="917"/>
      <c r="MIM4762" s="917"/>
      <c r="MIN4762" s="917"/>
      <c r="MIO4762" s="917"/>
      <c r="MIP4762" s="917"/>
      <c r="MIQ4762" s="917"/>
      <c r="MIR4762" s="917"/>
      <c r="MIS4762" s="917"/>
      <c r="MIT4762" s="917"/>
      <c r="MIU4762" s="917"/>
      <c r="MIV4762" s="917"/>
      <c r="MIW4762" s="917" t="s">
        <v>78</v>
      </c>
      <c r="MIX4762" s="917"/>
      <c r="MIY4762" s="917"/>
      <c r="MIZ4762" s="917"/>
      <c r="MJA4762" s="917"/>
      <c r="MJB4762" s="917"/>
      <c r="MJC4762" s="917"/>
      <c r="MJD4762" s="917"/>
      <c r="MJE4762" s="917"/>
      <c r="MJF4762" s="917"/>
      <c r="MJG4762" s="917"/>
      <c r="MJH4762" s="917"/>
      <c r="MJI4762" s="917"/>
      <c r="MJJ4762" s="917"/>
      <c r="MJK4762" s="917"/>
      <c r="MJL4762" s="917"/>
      <c r="MJM4762" s="917"/>
      <c r="MJN4762" s="917"/>
      <c r="MJO4762" s="917"/>
      <c r="MJP4762" s="917"/>
      <c r="MJQ4762" s="917"/>
      <c r="MJR4762" s="917"/>
      <c r="MJS4762" s="917"/>
      <c r="MJT4762" s="917"/>
      <c r="MJU4762" s="917"/>
      <c r="MJV4762" s="917"/>
      <c r="MJW4762" s="917"/>
      <c r="MJX4762" s="917"/>
      <c r="MJY4762" s="917"/>
      <c r="MJZ4762" s="917"/>
      <c r="MKA4762" s="917"/>
      <c r="MKB4762" s="917"/>
      <c r="MKC4762" s="917" t="s">
        <v>78</v>
      </c>
      <c r="MKD4762" s="917"/>
      <c r="MKE4762" s="917"/>
      <c r="MKF4762" s="917"/>
      <c r="MKG4762" s="917"/>
      <c r="MKH4762" s="917"/>
      <c r="MKI4762" s="917"/>
      <c r="MKJ4762" s="917"/>
      <c r="MKK4762" s="917"/>
      <c r="MKL4762" s="917"/>
      <c r="MKM4762" s="917"/>
      <c r="MKN4762" s="917"/>
      <c r="MKO4762" s="917"/>
      <c r="MKP4762" s="917"/>
      <c r="MKQ4762" s="917"/>
      <c r="MKR4762" s="917"/>
      <c r="MKS4762" s="917"/>
      <c r="MKT4762" s="917"/>
      <c r="MKU4762" s="917"/>
      <c r="MKV4762" s="917"/>
      <c r="MKW4762" s="917"/>
      <c r="MKX4762" s="917"/>
      <c r="MKY4762" s="917"/>
      <c r="MKZ4762" s="917"/>
      <c r="MLA4762" s="917"/>
      <c r="MLB4762" s="917"/>
      <c r="MLC4762" s="917"/>
      <c r="MLD4762" s="917"/>
      <c r="MLE4762" s="917"/>
      <c r="MLF4762" s="917"/>
      <c r="MLG4762" s="917"/>
      <c r="MLH4762" s="917"/>
      <c r="MLI4762" s="917" t="s">
        <v>78</v>
      </c>
      <c r="MLJ4762" s="917"/>
      <c r="MLK4762" s="917"/>
      <c r="MLL4762" s="917"/>
      <c r="MLM4762" s="917"/>
      <c r="MLN4762" s="917"/>
      <c r="MLO4762" s="917"/>
      <c r="MLP4762" s="917"/>
      <c r="MLQ4762" s="917"/>
      <c r="MLR4762" s="917"/>
      <c r="MLS4762" s="917"/>
      <c r="MLT4762" s="917"/>
      <c r="MLU4762" s="917"/>
      <c r="MLV4762" s="917"/>
      <c r="MLW4762" s="917"/>
      <c r="MLX4762" s="917"/>
      <c r="MLY4762" s="917"/>
      <c r="MLZ4762" s="917"/>
      <c r="MMA4762" s="917"/>
      <c r="MMB4762" s="917"/>
      <c r="MMC4762" s="917"/>
      <c r="MMD4762" s="917"/>
      <c r="MME4762" s="917"/>
      <c r="MMF4762" s="917"/>
      <c r="MMG4762" s="917"/>
      <c r="MMH4762" s="917"/>
      <c r="MMI4762" s="917"/>
      <c r="MMJ4762" s="917"/>
      <c r="MMK4762" s="917"/>
      <c r="MML4762" s="917"/>
      <c r="MMM4762" s="917"/>
      <c r="MMN4762" s="917"/>
      <c r="MMO4762" s="917" t="s">
        <v>78</v>
      </c>
      <c r="MMP4762" s="917"/>
      <c r="MMQ4762" s="917"/>
      <c r="MMR4762" s="917"/>
      <c r="MMS4762" s="917"/>
      <c r="MMT4762" s="917"/>
      <c r="MMU4762" s="917"/>
      <c r="MMV4762" s="917"/>
      <c r="MMW4762" s="917"/>
      <c r="MMX4762" s="917"/>
      <c r="MMY4762" s="917"/>
      <c r="MMZ4762" s="917"/>
      <c r="MNA4762" s="917"/>
      <c r="MNB4762" s="917"/>
      <c r="MNC4762" s="917"/>
      <c r="MND4762" s="917"/>
      <c r="MNE4762" s="917"/>
      <c r="MNF4762" s="917"/>
      <c r="MNG4762" s="917"/>
      <c r="MNH4762" s="917"/>
      <c r="MNI4762" s="917"/>
      <c r="MNJ4762" s="917"/>
      <c r="MNK4762" s="917"/>
      <c r="MNL4762" s="917"/>
      <c r="MNM4762" s="917"/>
      <c r="MNN4762" s="917"/>
      <c r="MNO4762" s="917"/>
      <c r="MNP4762" s="917"/>
      <c r="MNQ4762" s="917"/>
      <c r="MNR4762" s="917"/>
      <c r="MNS4762" s="917"/>
      <c r="MNT4762" s="917"/>
      <c r="MNU4762" s="917" t="s">
        <v>78</v>
      </c>
      <c r="MNV4762" s="917"/>
      <c r="MNW4762" s="917"/>
      <c r="MNX4762" s="917"/>
      <c r="MNY4762" s="917"/>
      <c r="MNZ4762" s="917"/>
      <c r="MOA4762" s="917"/>
      <c r="MOB4762" s="917"/>
      <c r="MOC4762" s="917"/>
      <c r="MOD4762" s="917"/>
      <c r="MOE4762" s="917"/>
      <c r="MOF4762" s="917"/>
      <c r="MOG4762" s="917"/>
      <c r="MOH4762" s="917"/>
      <c r="MOI4762" s="917"/>
      <c r="MOJ4762" s="917"/>
      <c r="MOK4762" s="917"/>
      <c r="MOL4762" s="917"/>
      <c r="MOM4762" s="917"/>
      <c r="MON4762" s="917"/>
      <c r="MOO4762" s="917"/>
      <c r="MOP4762" s="917"/>
      <c r="MOQ4762" s="917"/>
      <c r="MOR4762" s="917"/>
      <c r="MOS4762" s="917"/>
      <c r="MOT4762" s="917"/>
      <c r="MOU4762" s="917"/>
      <c r="MOV4762" s="917"/>
      <c r="MOW4762" s="917"/>
      <c r="MOX4762" s="917"/>
      <c r="MOY4762" s="917"/>
      <c r="MOZ4762" s="917"/>
      <c r="MPA4762" s="917" t="s">
        <v>78</v>
      </c>
      <c r="MPB4762" s="917"/>
      <c r="MPC4762" s="917"/>
      <c r="MPD4762" s="917"/>
      <c r="MPE4762" s="917"/>
      <c r="MPF4762" s="917"/>
      <c r="MPG4762" s="917"/>
      <c r="MPH4762" s="917"/>
      <c r="MPI4762" s="917"/>
      <c r="MPJ4762" s="917"/>
      <c r="MPK4762" s="917"/>
      <c r="MPL4762" s="917"/>
      <c r="MPM4762" s="917"/>
      <c r="MPN4762" s="917"/>
      <c r="MPO4762" s="917"/>
      <c r="MPP4762" s="917"/>
      <c r="MPQ4762" s="917"/>
      <c r="MPR4762" s="917"/>
      <c r="MPS4762" s="917"/>
      <c r="MPT4762" s="917"/>
      <c r="MPU4762" s="917"/>
      <c r="MPV4762" s="917"/>
      <c r="MPW4762" s="917"/>
      <c r="MPX4762" s="917"/>
      <c r="MPY4762" s="917"/>
      <c r="MPZ4762" s="917"/>
      <c r="MQA4762" s="917"/>
      <c r="MQB4762" s="917"/>
      <c r="MQC4762" s="917"/>
      <c r="MQD4762" s="917"/>
      <c r="MQE4762" s="917"/>
      <c r="MQF4762" s="917"/>
      <c r="MQG4762" s="917" t="s">
        <v>78</v>
      </c>
      <c r="MQH4762" s="917"/>
      <c r="MQI4762" s="917"/>
      <c r="MQJ4762" s="917"/>
      <c r="MQK4762" s="917"/>
      <c r="MQL4762" s="917"/>
      <c r="MQM4762" s="917"/>
      <c r="MQN4762" s="917"/>
      <c r="MQO4762" s="917"/>
      <c r="MQP4762" s="917"/>
      <c r="MQQ4762" s="917"/>
      <c r="MQR4762" s="917"/>
      <c r="MQS4762" s="917"/>
      <c r="MQT4762" s="917"/>
      <c r="MQU4762" s="917"/>
      <c r="MQV4762" s="917"/>
      <c r="MQW4762" s="917"/>
      <c r="MQX4762" s="917"/>
      <c r="MQY4762" s="917"/>
      <c r="MQZ4762" s="917"/>
      <c r="MRA4762" s="917"/>
      <c r="MRB4762" s="917"/>
      <c r="MRC4762" s="917"/>
      <c r="MRD4762" s="917"/>
      <c r="MRE4762" s="917"/>
      <c r="MRF4762" s="917"/>
      <c r="MRG4762" s="917"/>
      <c r="MRH4762" s="917"/>
      <c r="MRI4762" s="917"/>
      <c r="MRJ4762" s="917"/>
      <c r="MRK4762" s="917"/>
      <c r="MRL4762" s="917"/>
      <c r="MRM4762" s="917" t="s">
        <v>78</v>
      </c>
      <c r="MRN4762" s="917"/>
      <c r="MRO4762" s="917"/>
      <c r="MRP4762" s="917"/>
      <c r="MRQ4762" s="917"/>
      <c r="MRR4762" s="917"/>
      <c r="MRS4762" s="917"/>
      <c r="MRT4762" s="917"/>
      <c r="MRU4762" s="917"/>
      <c r="MRV4762" s="917"/>
      <c r="MRW4762" s="917"/>
      <c r="MRX4762" s="917"/>
      <c r="MRY4762" s="917"/>
      <c r="MRZ4762" s="917"/>
      <c r="MSA4762" s="917"/>
      <c r="MSB4762" s="917"/>
      <c r="MSC4762" s="917"/>
      <c r="MSD4762" s="917"/>
      <c r="MSE4762" s="917"/>
      <c r="MSF4762" s="917"/>
      <c r="MSG4762" s="917"/>
      <c r="MSH4762" s="917"/>
      <c r="MSI4762" s="917"/>
      <c r="MSJ4762" s="917"/>
      <c r="MSK4762" s="917"/>
      <c r="MSL4762" s="917"/>
      <c r="MSM4762" s="917"/>
      <c r="MSN4762" s="917"/>
      <c r="MSO4762" s="917"/>
      <c r="MSP4762" s="917"/>
      <c r="MSQ4762" s="917"/>
      <c r="MSR4762" s="917"/>
      <c r="MSS4762" s="917" t="s">
        <v>78</v>
      </c>
      <c r="MST4762" s="917"/>
      <c r="MSU4762" s="917"/>
      <c r="MSV4762" s="917"/>
      <c r="MSW4762" s="917"/>
      <c r="MSX4762" s="917"/>
      <c r="MSY4762" s="917"/>
      <c r="MSZ4762" s="917"/>
      <c r="MTA4762" s="917"/>
      <c r="MTB4762" s="917"/>
      <c r="MTC4762" s="917"/>
      <c r="MTD4762" s="917"/>
      <c r="MTE4762" s="917"/>
      <c r="MTF4762" s="917"/>
      <c r="MTG4762" s="917"/>
      <c r="MTH4762" s="917"/>
      <c r="MTI4762" s="917"/>
      <c r="MTJ4762" s="917"/>
      <c r="MTK4762" s="917"/>
      <c r="MTL4762" s="917"/>
      <c r="MTM4762" s="917"/>
      <c r="MTN4762" s="917"/>
      <c r="MTO4762" s="917"/>
      <c r="MTP4762" s="917"/>
      <c r="MTQ4762" s="917"/>
      <c r="MTR4762" s="917"/>
      <c r="MTS4762" s="917"/>
      <c r="MTT4762" s="917"/>
      <c r="MTU4762" s="917"/>
      <c r="MTV4762" s="917"/>
      <c r="MTW4762" s="917"/>
      <c r="MTX4762" s="917"/>
      <c r="MTY4762" s="917" t="s">
        <v>78</v>
      </c>
      <c r="MTZ4762" s="917"/>
      <c r="MUA4762" s="917"/>
      <c r="MUB4762" s="917"/>
      <c r="MUC4762" s="917"/>
      <c r="MUD4762" s="917"/>
      <c r="MUE4762" s="917"/>
      <c r="MUF4762" s="917"/>
      <c r="MUG4762" s="917"/>
      <c r="MUH4762" s="917"/>
      <c r="MUI4762" s="917"/>
      <c r="MUJ4762" s="917"/>
      <c r="MUK4762" s="917"/>
      <c r="MUL4762" s="917"/>
      <c r="MUM4762" s="917"/>
      <c r="MUN4762" s="917"/>
      <c r="MUO4762" s="917"/>
      <c r="MUP4762" s="917"/>
      <c r="MUQ4762" s="917"/>
      <c r="MUR4762" s="917"/>
      <c r="MUS4762" s="917"/>
      <c r="MUT4762" s="917"/>
      <c r="MUU4762" s="917"/>
      <c r="MUV4762" s="917"/>
      <c r="MUW4762" s="917"/>
      <c r="MUX4762" s="917"/>
      <c r="MUY4762" s="917"/>
      <c r="MUZ4762" s="917"/>
      <c r="MVA4762" s="917"/>
      <c r="MVB4762" s="917"/>
      <c r="MVC4762" s="917"/>
      <c r="MVD4762" s="917"/>
      <c r="MVE4762" s="917" t="s">
        <v>78</v>
      </c>
      <c r="MVF4762" s="917"/>
      <c r="MVG4762" s="917"/>
      <c r="MVH4762" s="917"/>
      <c r="MVI4762" s="917"/>
      <c r="MVJ4762" s="917"/>
      <c r="MVK4762" s="917"/>
      <c r="MVL4762" s="917"/>
      <c r="MVM4762" s="917"/>
      <c r="MVN4762" s="917"/>
      <c r="MVO4762" s="917"/>
      <c r="MVP4762" s="917"/>
      <c r="MVQ4762" s="917"/>
      <c r="MVR4762" s="917"/>
      <c r="MVS4762" s="917"/>
      <c r="MVT4762" s="917"/>
      <c r="MVU4762" s="917"/>
      <c r="MVV4762" s="917"/>
      <c r="MVW4762" s="917"/>
      <c r="MVX4762" s="917"/>
      <c r="MVY4762" s="917"/>
      <c r="MVZ4762" s="917"/>
      <c r="MWA4762" s="917"/>
      <c r="MWB4762" s="917"/>
      <c r="MWC4762" s="917"/>
      <c r="MWD4762" s="917"/>
      <c r="MWE4762" s="917"/>
      <c r="MWF4762" s="917"/>
      <c r="MWG4762" s="917"/>
      <c r="MWH4762" s="917"/>
      <c r="MWI4762" s="917"/>
      <c r="MWJ4762" s="917"/>
      <c r="MWK4762" s="917" t="s">
        <v>78</v>
      </c>
      <c r="MWL4762" s="917"/>
      <c r="MWM4762" s="917"/>
      <c r="MWN4762" s="917"/>
      <c r="MWO4762" s="917"/>
      <c r="MWP4762" s="917"/>
      <c r="MWQ4762" s="917"/>
      <c r="MWR4762" s="917"/>
      <c r="MWS4762" s="917"/>
      <c r="MWT4762" s="917"/>
      <c r="MWU4762" s="917"/>
      <c r="MWV4762" s="917"/>
      <c r="MWW4762" s="917"/>
      <c r="MWX4762" s="917"/>
      <c r="MWY4762" s="917"/>
      <c r="MWZ4762" s="917"/>
      <c r="MXA4762" s="917"/>
      <c r="MXB4762" s="917"/>
      <c r="MXC4762" s="917"/>
      <c r="MXD4762" s="917"/>
      <c r="MXE4762" s="917"/>
      <c r="MXF4762" s="917"/>
      <c r="MXG4762" s="917"/>
      <c r="MXH4762" s="917"/>
      <c r="MXI4762" s="917"/>
      <c r="MXJ4762" s="917"/>
      <c r="MXK4762" s="917"/>
      <c r="MXL4762" s="917"/>
      <c r="MXM4762" s="917"/>
      <c r="MXN4762" s="917"/>
      <c r="MXO4762" s="917"/>
      <c r="MXP4762" s="917"/>
      <c r="MXQ4762" s="917" t="s">
        <v>78</v>
      </c>
      <c r="MXR4762" s="917"/>
      <c r="MXS4762" s="917"/>
      <c r="MXT4762" s="917"/>
      <c r="MXU4762" s="917"/>
      <c r="MXV4762" s="917"/>
      <c r="MXW4762" s="917"/>
      <c r="MXX4762" s="917"/>
      <c r="MXY4762" s="917"/>
      <c r="MXZ4762" s="917"/>
      <c r="MYA4762" s="917"/>
      <c r="MYB4762" s="917"/>
      <c r="MYC4762" s="917"/>
      <c r="MYD4762" s="917"/>
      <c r="MYE4762" s="917"/>
      <c r="MYF4762" s="917"/>
      <c r="MYG4762" s="917"/>
      <c r="MYH4762" s="917"/>
      <c r="MYI4762" s="917"/>
      <c r="MYJ4762" s="917"/>
      <c r="MYK4762" s="917"/>
      <c r="MYL4762" s="917"/>
      <c r="MYM4762" s="917"/>
      <c r="MYN4762" s="917"/>
      <c r="MYO4762" s="917"/>
      <c r="MYP4762" s="917"/>
      <c r="MYQ4762" s="917"/>
      <c r="MYR4762" s="917"/>
      <c r="MYS4762" s="917"/>
      <c r="MYT4762" s="917"/>
      <c r="MYU4762" s="917"/>
      <c r="MYV4762" s="917"/>
      <c r="MYW4762" s="917" t="s">
        <v>78</v>
      </c>
      <c r="MYX4762" s="917"/>
      <c r="MYY4762" s="917"/>
      <c r="MYZ4762" s="917"/>
      <c r="MZA4762" s="917"/>
      <c r="MZB4762" s="917"/>
      <c r="MZC4762" s="917"/>
      <c r="MZD4762" s="917"/>
      <c r="MZE4762" s="917"/>
      <c r="MZF4762" s="917"/>
      <c r="MZG4762" s="917"/>
      <c r="MZH4762" s="917"/>
      <c r="MZI4762" s="917"/>
      <c r="MZJ4762" s="917"/>
      <c r="MZK4762" s="917"/>
      <c r="MZL4762" s="917"/>
      <c r="MZM4762" s="917"/>
      <c r="MZN4762" s="917"/>
      <c r="MZO4762" s="917"/>
      <c r="MZP4762" s="917"/>
      <c r="MZQ4762" s="917"/>
      <c r="MZR4762" s="917"/>
      <c r="MZS4762" s="917"/>
      <c r="MZT4762" s="917"/>
      <c r="MZU4762" s="917"/>
      <c r="MZV4762" s="917"/>
      <c r="MZW4762" s="917"/>
      <c r="MZX4762" s="917"/>
      <c r="MZY4762" s="917"/>
      <c r="MZZ4762" s="917"/>
      <c r="NAA4762" s="917"/>
      <c r="NAB4762" s="917"/>
      <c r="NAC4762" s="917" t="s">
        <v>78</v>
      </c>
      <c r="NAD4762" s="917"/>
      <c r="NAE4762" s="917"/>
      <c r="NAF4762" s="917"/>
      <c r="NAG4762" s="917"/>
      <c r="NAH4762" s="917"/>
      <c r="NAI4762" s="917"/>
      <c r="NAJ4762" s="917"/>
      <c r="NAK4762" s="917"/>
      <c r="NAL4762" s="917"/>
      <c r="NAM4762" s="917"/>
      <c r="NAN4762" s="917"/>
      <c r="NAO4762" s="917"/>
      <c r="NAP4762" s="917"/>
      <c r="NAQ4762" s="917"/>
      <c r="NAR4762" s="917"/>
      <c r="NAS4762" s="917"/>
      <c r="NAT4762" s="917"/>
      <c r="NAU4762" s="917"/>
      <c r="NAV4762" s="917"/>
      <c r="NAW4762" s="917"/>
      <c r="NAX4762" s="917"/>
      <c r="NAY4762" s="917"/>
      <c r="NAZ4762" s="917"/>
      <c r="NBA4762" s="917"/>
      <c r="NBB4762" s="917"/>
      <c r="NBC4762" s="917"/>
      <c r="NBD4762" s="917"/>
      <c r="NBE4762" s="917"/>
      <c r="NBF4762" s="917"/>
      <c r="NBG4762" s="917"/>
      <c r="NBH4762" s="917"/>
      <c r="NBI4762" s="917" t="s">
        <v>78</v>
      </c>
      <c r="NBJ4762" s="917"/>
      <c r="NBK4762" s="917"/>
      <c r="NBL4762" s="917"/>
      <c r="NBM4762" s="917"/>
      <c r="NBN4762" s="917"/>
      <c r="NBO4762" s="917"/>
      <c r="NBP4762" s="917"/>
      <c r="NBQ4762" s="917"/>
      <c r="NBR4762" s="917"/>
      <c r="NBS4762" s="917"/>
      <c r="NBT4762" s="917"/>
      <c r="NBU4762" s="917"/>
      <c r="NBV4762" s="917"/>
      <c r="NBW4762" s="917"/>
      <c r="NBX4762" s="917"/>
      <c r="NBY4762" s="917"/>
      <c r="NBZ4762" s="917"/>
      <c r="NCA4762" s="917"/>
      <c r="NCB4762" s="917"/>
      <c r="NCC4762" s="917"/>
      <c r="NCD4762" s="917"/>
      <c r="NCE4762" s="917"/>
      <c r="NCF4762" s="917"/>
      <c r="NCG4762" s="917"/>
      <c r="NCH4762" s="917"/>
      <c r="NCI4762" s="917"/>
      <c r="NCJ4762" s="917"/>
      <c r="NCK4762" s="917"/>
      <c r="NCL4762" s="917"/>
      <c r="NCM4762" s="917"/>
      <c r="NCN4762" s="917"/>
      <c r="NCO4762" s="917" t="s">
        <v>78</v>
      </c>
      <c r="NCP4762" s="917"/>
      <c r="NCQ4762" s="917"/>
      <c r="NCR4762" s="917"/>
      <c r="NCS4762" s="917"/>
      <c r="NCT4762" s="917"/>
      <c r="NCU4762" s="917"/>
      <c r="NCV4762" s="917"/>
      <c r="NCW4762" s="917"/>
      <c r="NCX4762" s="917"/>
      <c r="NCY4762" s="917"/>
      <c r="NCZ4762" s="917"/>
      <c r="NDA4762" s="917"/>
      <c r="NDB4762" s="917"/>
      <c r="NDC4762" s="917"/>
      <c r="NDD4762" s="917"/>
      <c r="NDE4762" s="917"/>
      <c r="NDF4762" s="917"/>
      <c r="NDG4762" s="917"/>
      <c r="NDH4762" s="917"/>
      <c r="NDI4762" s="917"/>
      <c r="NDJ4762" s="917"/>
      <c r="NDK4762" s="917"/>
      <c r="NDL4762" s="917"/>
      <c r="NDM4762" s="917"/>
      <c r="NDN4762" s="917"/>
      <c r="NDO4762" s="917"/>
      <c r="NDP4762" s="917"/>
      <c r="NDQ4762" s="917"/>
      <c r="NDR4762" s="917"/>
      <c r="NDS4762" s="917"/>
      <c r="NDT4762" s="917"/>
      <c r="NDU4762" s="917" t="s">
        <v>78</v>
      </c>
      <c r="NDV4762" s="917"/>
      <c r="NDW4762" s="917"/>
      <c r="NDX4762" s="917"/>
      <c r="NDY4762" s="917"/>
      <c r="NDZ4762" s="917"/>
      <c r="NEA4762" s="917"/>
      <c r="NEB4762" s="917"/>
      <c r="NEC4762" s="917"/>
      <c r="NED4762" s="917"/>
      <c r="NEE4762" s="917"/>
      <c r="NEF4762" s="917"/>
      <c r="NEG4762" s="917"/>
      <c r="NEH4762" s="917"/>
      <c r="NEI4762" s="917"/>
      <c r="NEJ4762" s="917"/>
      <c r="NEK4762" s="917"/>
      <c r="NEL4762" s="917"/>
      <c r="NEM4762" s="917"/>
      <c r="NEN4762" s="917"/>
      <c r="NEO4762" s="917"/>
      <c r="NEP4762" s="917"/>
      <c r="NEQ4762" s="917"/>
      <c r="NER4762" s="917"/>
      <c r="NES4762" s="917"/>
      <c r="NET4762" s="917"/>
      <c r="NEU4762" s="917"/>
      <c r="NEV4762" s="917"/>
      <c r="NEW4762" s="917"/>
      <c r="NEX4762" s="917"/>
      <c r="NEY4762" s="917"/>
      <c r="NEZ4762" s="917"/>
      <c r="NFA4762" s="917" t="s">
        <v>78</v>
      </c>
      <c r="NFB4762" s="917"/>
      <c r="NFC4762" s="917"/>
      <c r="NFD4762" s="917"/>
      <c r="NFE4762" s="917"/>
      <c r="NFF4762" s="917"/>
      <c r="NFG4762" s="917"/>
      <c r="NFH4762" s="917"/>
      <c r="NFI4762" s="917"/>
      <c r="NFJ4762" s="917"/>
      <c r="NFK4762" s="917"/>
      <c r="NFL4762" s="917"/>
      <c r="NFM4762" s="917"/>
      <c r="NFN4762" s="917"/>
      <c r="NFO4762" s="917"/>
      <c r="NFP4762" s="917"/>
      <c r="NFQ4762" s="917"/>
      <c r="NFR4762" s="917"/>
      <c r="NFS4762" s="917"/>
      <c r="NFT4762" s="917"/>
      <c r="NFU4762" s="917"/>
      <c r="NFV4762" s="917"/>
      <c r="NFW4762" s="917"/>
      <c r="NFX4762" s="917"/>
      <c r="NFY4762" s="917"/>
      <c r="NFZ4762" s="917"/>
      <c r="NGA4762" s="917"/>
      <c r="NGB4762" s="917"/>
      <c r="NGC4762" s="917"/>
      <c r="NGD4762" s="917"/>
      <c r="NGE4762" s="917"/>
      <c r="NGF4762" s="917"/>
      <c r="NGG4762" s="917" t="s">
        <v>78</v>
      </c>
      <c r="NGH4762" s="917"/>
      <c r="NGI4762" s="917"/>
      <c r="NGJ4762" s="917"/>
      <c r="NGK4762" s="917"/>
      <c r="NGL4762" s="917"/>
      <c r="NGM4762" s="917"/>
      <c r="NGN4762" s="917"/>
      <c r="NGO4762" s="917"/>
      <c r="NGP4762" s="917"/>
      <c r="NGQ4762" s="917"/>
      <c r="NGR4762" s="917"/>
      <c r="NGS4762" s="917"/>
      <c r="NGT4762" s="917"/>
      <c r="NGU4762" s="917"/>
      <c r="NGV4762" s="917"/>
      <c r="NGW4762" s="917"/>
      <c r="NGX4762" s="917"/>
      <c r="NGY4762" s="917"/>
      <c r="NGZ4762" s="917"/>
      <c r="NHA4762" s="917"/>
      <c r="NHB4762" s="917"/>
      <c r="NHC4762" s="917"/>
      <c r="NHD4762" s="917"/>
      <c r="NHE4762" s="917"/>
      <c r="NHF4762" s="917"/>
      <c r="NHG4762" s="917"/>
      <c r="NHH4762" s="917"/>
      <c r="NHI4762" s="917"/>
      <c r="NHJ4762" s="917"/>
      <c r="NHK4762" s="917"/>
      <c r="NHL4762" s="917"/>
      <c r="NHM4762" s="917" t="s">
        <v>78</v>
      </c>
      <c r="NHN4762" s="917"/>
      <c r="NHO4762" s="917"/>
      <c r="NHP4762" s="917"/>
      <c r="NHQ4762" s="917"/>
      <c r="NHR4762" s="917"/>
      <c r="NHS4762" s="917"/>
      <c r="NHT4762" s="917"/>
      <c r="NHU4762" s="917"/>
      <c r="NHV4762" s="917"/>
      <c r="NHW4762" s="917"/>
      <c r="NHX4762" s="917"/>
      <c r="NHY4762" s="917"/>
      <c r="NHZ4762" s="917"/>
      <c r="NIA4762" s="917"/>
      <c r="NIB4762" s="917"/>
      <c r="NIC4762" s="917"/>
      <c r="NID4762" s="917"/>
      <c r="NIE4762" s="917"/>
      <c r="NIF4762" s="917"/>
      <c r="NIG4762" s="917"/>
      <c r="NIH4762" s="917"/>
      <c r="NII4762" s="917"/>
      <c r="NIJ4762" s="917"/>
      <c r="NIK4762" s="917"/>
      <c r="NIL4762" s="917"/>
      <c r="NIM4762" s="917"/>
      <c r="NIN4762" s="917"/>
      <c r="NIO4762" s="917"/>
      <c r="NIP4762" s="917"/>
      <c r="NIQ4762" s="917"/>
      <c r="NIR4762" s="917"/>
      <c r="NIS4762" s="917" t="s">
        <v>78</v>
      </c>
      <c r="NIT4762" s="917"/>
      <c r="NIU4762" s="917"/>
      <c r="NIV4762" s="917"/>
      <c r="NIW4762" s="917"/>
      <c r="NIX4762" s="917"/>
      <c r="NIY4762" s="917"/>
      <c r="NIZ4762" s="917"/>
      <c r="NJA4762" s="917"/>
      <c r="NJB4762" s="917"/>
      <c r="NJC4762" s="917"/>
      <c r="NJD4762" s="917"/>
      <c r="NJE4762" s="917"/>
      <c r="NJF4762" s="917"/>
      <c r="NJG4762" s="917"/>
      <c r="NJH4762" s="917"/>
      <c r="NJI4762" s="917"/>
      <c r="NJJ4762" s="917"/>
      <c r="NJK4762" s="917"/>
      <c r="NJL4762" s="917"/>
      <c r="NJM4762" s="917"/>
      <c r="NJN4762" s="917"/>
      <c r="NJO4762" s="917"/>
      <c r="NJP4762" s="917"/>
      <c r="NJQ4762" s="917"/>
      <c r="NJR4762" s="917"/>
      <c r="NJS4762" s="917"/>
      <c r="NJT4762" s="917"/>
      <c r="NJU4762" s="917"/>
      <c r="NJV4762" s="917"/>
      <c r="NJW4762" s="917"/>
      <c r="NJX4762" s="917"/>
      <c r="NJY4762" s="917" t="s">
        <v>78</v>
      </c>
      <c r="NJZ4762" s="917"/>
      <c r="NKA4762" s="917"/>
      <c r="NKB4762" s="917"/>
      <c r="NKC4762" s="917"/>
      <c r="NKD4762" s="917"/>
      <c r="NKE4762" s="917"/>
      <c r="NKF4762" s="917"/>
      <c r="NKG4762" s="917"/>
      <c r="NKH4762" s="917"/>
      <c r="NKI4762" s="917"/>
      <c r="NKJ4762" s="917"/>
      <c r="NKK4762" s="917"/>
      <c r="NKL4762" s="917"/>
      <c r="NKM4762" s="917"/>
      <c r="NKN4762" s="917"/>
      <c r="NKO4762" s="917"/>
      <c r="NKP4762" s="917"/>
      <c r="NKQ4762" s="917"/>
      <c r="NKR4762" s="917"/>
      <c r="NKS4762" s="917"/>
      <c r="NKT4762" s="917"/>
      <c r="NKU4762" s="917"/>
      <c r="NKV4762" s="917"/>
      <c r="NKW4762" s="917"/>
      <c r="NKX4762" s="917"/>
      <c r="NKY4762" s="917"/>
      <c r="NKZ4762" s="917"/>
      <c r="NLA4762" s="917"/>
      <c r="NLB4762" s="917"/>
      <c r="NLC4762" s="917"/>
      <c r="NLD4762" s="917"/>
      <c r="NLE4762" s="917" t="s">
        <v>78</v>
      </c>
      <c r="NLF4762" s="917"/>
      <c r="NLG4762" s="917"/>
      <c r="NLH4762" s="917"/>
      <c r="NLI4762" s="917"/>
      <c r="NLJ4762" s="917"/>
      <c r="NLK4762" s="917"/>
      <c r="NLL4762" s="917"/>
      <c r="NLM4762" s="917"/>
      <c r="NLN4762" s="917"/>
      <c r="NLO4762" s="917"/>
      <c r="NLP4762" s="917"/>
      <c r="NLQ4762" s="917"/>
      <c r="NLR4762" s="917"/>
      <c r="NLS4762" s="917"/>
      <c r="NLT4762" s="917"/>
      <c r="NLU4762" s="917"/>
      <c r="NLV4762" s="917"/>
      <c r="NLW4762" s="917"/>
      <c r="NLX4762" s="917"/>
      <c r="NLY4762" s="917"/>
      <c r="NLZ4762" s="917"/>
      <c r="NMA4762" s="917"/>
      <c r="NMB4762" s="917"/>
      <c r="NMC4762" s="917"/>
      <c r="NMD4762" s="917"/>
      <c r="NME4762" s="917"/>
      <c r="NMF4762" s="917"/>
      <c r="NMG4762" s="917"/>
      <c r="NMH4762" s="917"/>
      <c r="NMI4762" s="917"/>
      <c r="NMJ4762" s="917"/>
      <c r="NMK4762" s="917" t="s">
        <v>78</v>
      </c>
      <c r="NML4762" s="917"/>
      <c r="NMM4762" s="917"/>
      <c r="NMN4762" s="917"/>
      <c r="NMO4762" s="917"/>
      <c r="NMP4762" s="917"/>
      <c r="NMQ4762" s="917"/>
      <c r="NMR4762" s="917"/>
      <c r="NMS4762" s="917"/>
      <c r="NMT4762" s="917"/>
      <c r="NMU4762" s="917"/>
      <c r="NMV4762" s="917"/>
      <c r="NMW4762" s="917"/>
      <c r="NMX4762" s="917"/>
      <c r="NMY4762" s="917"/>
      <c r="NMZ4762" s="917"/>
      <c r="NNA4762" s="917"/>
      <c r="NNB4762" s="917"/>
      <c r="NNC4762" s="917"/>
      <c r="NND4762" s="917"/>
      <c r="NNE4762" s="917"/>
      <c r="NNF4762" s="917"/>
      <c r="NNG4762" s="917"/>
      <c r="NNH4762" s="917"/>
      <c r="NNI4762" s="917"/>
      <c r="NNJ4762" s="917"/>
      <c r="NNK4762" s="917"/>
      <c r="NNL4762" s="917"/>
      <c r="NNM4762" s="917"/>
      <c r="NNN4762" s="917"/>
      <c r="NNO4762" s="917"/>
      <c r="NNP4762" s="917"/>
      <c r="NNQ4762" s="917" t="s">
        <v>78</v>
      </c>
      <c r="NNR4762" s="917"/>
      <c r="NNS4762" s="917"/>
      <c r="NNT4762" s="917"/>
      <c r="NNU4762" s="917"/>
      <c r="NNV4762" s="917"/>
      <c r="NNW4762" s="917"/>
      <c r="NNX4762" s="917"/>
      <c r="NNY4762" s="917"/>
      <c r="NNZ4762" s="917"/>
      <c r="NOA4762" s="917"/>
      <c r="NOB4762" s="917"/>
      <c r="NOC4762" s="917"/>
      <c r="NOD4762" s="917"/>
      <c r="NOE4762" s="917"/>
      <c r="NOF4762" s="917"/>
      <c r="NOG4762" s="917"/>
      <c r="NOH4762" s="917"/>
      <c r="NOI4762" s="917"/>
      <c r="NOJ4762" s="917"/>
      <c r="NOK4762" s="917"/>
      <c r="NOL4762" s="917"/>
      <c r="NOM4762" s="917"/>
      <c r="NON4762" s="917"/>
      <c r="NOO4762" s="917"/>
      <c r="NOP4762" s="917"/>
      <c r="NOQ4762" s="917"/>
      <c r="NOR4762" s="917"/>
      <c r="NOS4762" s="917"/>
      <c r="NOT4762" s="917"/>
      <c r="NOU4762" s="917"/>
      <c r="NOV4762" s="917"/>
      <c r="NOW4762" s="917" t="s">
        <v>78</v>
      </c>
      <c r="NOX4762" s="917"/>
      <c r="NOY4762" s="917"/>
      <c r="NOZ4762" s="917"/>
      <c r="NPA4762" s="917"/>
      <c r="NPB4762" s="917"/>
      <c r="NPC4762" s="917"/>
      <c r="NPD4762" s="917"/>
      <c r="NPE4762" s="917"/>
      <c r="NPF4762" s="917"/>
      <c r="NPG4762" s="917"/>
      <c r="NPH4762" s="917"/>
      <c r="NPI4762" s="917"/>
      <c r="NPJ4762" s="917"/>
      <c r="NPK4762" s="917"/>
      <c r="NPL4762" s="917"/>
      <c r="NPM4762" s="917"/>
      <c r="NPN4762" s="917"/>
      <c r="NPO4762" s="917"/>
      <c r="NPP4762" s="917"/>
      <c r="NPQ4762" s="917"/>
      <c r="NPR4762" s="917"/>
      <c r="NPS4762" s="917"/>
      <c r="NPT4762" s="917"/>
      <c r="NPU4762" s="917"/>
      <c r="NPV4762" s="917"/>
      <c r="NPW4762" s="917"/>
      <c r="NPX4762" s="917"/>
      <c r="NPY4762" s="917"/>
      <c r="NPZ4762" s="917"/>
      <c r="NQA4762" s="917"/>
      <c r="NQB4762" s="917"/>
      <c r="NQC4762" s="917" t="s">
        <v>78</v>
      </c>
      <c r="NQD4762" s="917"/>
      <c r="NQE4762" s="917"/>
      <c r="NQF4762" s="917"/>
      <c r="NQG4762" s="917"/>
      <c r="NQH4762" s="917"/>
      <c r="NQI4762" s="917"/>
      <c r="NQJ4762" s="917"/>
      <c r="NQK4762" s="917"/>
      <c r="NQL4762" s="917"/>
      <c r="NQM4762" s="917"/>
      <c r="NQN4762" s="917"/>
      <c r="NQO4762" s="917"/>
      <c r="NQP4762" s="917"/>
      <c r="NQQ4762" s="917"/>
      <c r="NQR4762" s="917"/>
      <c r="NQS4762" s="917"/>
      <c r="NQT4762" s="917"/>
      <c r="NQU4762" s="917"/>
      <c r="NQV4762" s="917"/>
      <c r="NQW4762" s="917"/>
      <c r="NQX4762" s="917"/>
      <c r="NQY4762" s="917"/>
      <c r="NQZ4762" s="917"/>
      <c r="NRA4762" s="917"/>
      <c r="NRB4762" s="917"/>
      <c r="NRC4762" s="917"/>
      <c r="NRD4762" s="917"/>
      <c r="NRE4762" s="917"/>
      <c r="NRF4762" s="917"/>
      <c r="NRG4762" s="917"/>
      <c r="NRH4762" s="917"/>
      <c r="NRI4762" s="917" t="s">
        <v>78</v>
      </c>
      <c r="NRJ4762" s="917"/>
      <c r="NRK4762" s="917"/>
      <c r="NRL4762" s="917"/>
      <c r="NRM4762" s="917"/>
      <c r="NRN4762" s="917"/>
      <c r="NRO4762" s="917"/>
      <c r="NRP4762" s="917"/>
      <c r="NRQ4762" s="917"/>
      <c r="NRR4762" s="917"/>
      <c r="NRS4762" s="917"/>
      <c r="NRT4762" s="917"/>
      <c r="NRU4762" s="917"/>
      <c r="NRV4762" s="917"/>
      <c r="NRW4762" s="917"/>
      <c r="NRX4762" s="917"/>
      <c r="NRY4762" s="917"/>
      <c r="NRZ4762" s="917"/>
      <c r="NSA4762" s="917"/>
      <c r="NSB4762" s="917"/>
      <c r="NSC4762" s="917"/>
      <c r="NSD4762" s="917"/>
      <c r="NSE4762" s="917"/>
      <c r="NSF4762" s="917"/>
      <c r="NSG4762" s="917"/>
      <c r="NSH4762" s="917"/>
      <c r="NSI4762" s="917"/>
      <c r="NSJ4762" s="917"/>
      <c r="NSK4762" s="917"/>
      <c r="NSL4762" s="917"/>
      <c r="NSM4762" s="917"/>
      <c r="NSN4762" s="917"/>
      <c r="NSO4762" s="917" t="s">
        <v>78</v>
      </c>
      <c r="NSP4762" s="917"/>
      <c r="NSQ4762" s="917"/>
      <c r="NSR4762" s="917"/>
      <c r="NSS4762" s="917"/>
      <c r="NST4762" s="917"/>
      <c r="NSU4762" s="917"/>
      <c r="NSV4762" s="917"/>
      <c r="NSW4762" s="917"/>
      <c r="NSX4762" s="917"/>
      <c r="NSY4762" s="917"/>
      <c r="NSZ4762" s="917"/>
      <c r="NTA4762" s="917"/>
      <c r="NTB4762" s="917"/>
      <c r="NTC4762" s="917"/>
      <c r="NTD4762" s="917"/>
      <c r="NTE4762" s="917"/>
      <c r="NTF4762" s="917"/>
      <c r="NTG4762" s="917"/>
      <c r="NTH4762" s="917"/>
      <c r="NTI4762" s="917"/>
      <c r="NTJ4762" s="917"/>
      <c r="NTK4762" s="917"/>
      <c r="NTL4762" s="917"/>
      <c r="NTM4762" s="917"/>
      <c r="NTN4762" s="917"/>
      <c r="NTO4762" s="917"/>
      <c r="NTP4762" s="917"/>
      <c r="NTQ4762" s="917"/>
      <c r="NTR4762" s="917"/>
      <c r="NTS4762" s="917"/>
      <c r="NTT4762" s="917"/>
      <c r="NTU4762" s="917" t="s">
        <v>78</v>
      </c>
      <c r="NTV4762" s="917"/>
      <c r="NTW4762" s="917"/>
      <c r="NTX4762" s="917"/>
      <c r="NTY4762" s="917"/>
      <c r="NTZ4762" s="917"/>
      <c r="NUA4762" s="917"/>
      <c r="NUB4762" s="917"/>
      <c r="NUC4762" s="917"/>
      <c r="NUD4762" s="917"/>
      <c r="NUE4762" s="917"/>
      <c r="NUF4762" s="917"/>
      <c r="NUG4762" s="917"/>
      <c r="NUH4762" s="917"/>
      <c r="NUI4762" s="917"/>
      <c r="NUJ4762" s="917"/>
      <c r="NUK4762" s="917"/>
      <c r="NUL4762" s="917"/>
      <c r="NUM4762" s="917"/>
      <c r="NUN4762" s="917"/>
      <c r="NUO4762" s="917"/>
      <c r="NUP4762" s="917"/>
      <c r="NUQ4762" s="917"/>
      <c r="NUR4762" s="917"/>
      <c r="NUS4762" s="917"/>
      <c r="NUT4762" s="917"/>
      <c r="NUU4762" s="917"/>
      <c r="NUV4762" s="917"/>
      <c r="NUW4762" s="917"/>
      <c r="NUX4762" s="917"/>
      <c r="NUY4762" s="917"/>
      <c r="NUZ4762" s="917"/>
      <c r="NVA4762" s="917" t="s">
        <v>78</v>
      </c>
      <c r="NVB4762" s="917"/>
      <c r="NVC4762" s="917"/>
      <c r="NVD4762" s="917"/>
      <c r="NVE4762" s="917"/>
      <c r="NVF4762" s="917"/>
      <c r="NVG4762" s="917"/>
      <c r="NVH4762" s="917"/>
      <c r="NVI4762" s="917"/>
      <c r="NVJ4762" s="917"/>
      <c r="NVK4762" s="917"/>
      <c r="NVL4762" s="917"/>
      <c r="NVM4762" s="917"/>
      <c r="NVN4762" s="917"/>
      <c r="NVO4762" s="917"/>
      <c r="NVP4762" s="917"/>
      <c r="NVQ4762" s="917"/>
      <c r="NVR4762" s="917"/>
      <c r="NVS4762" s="917"/>
      <c r="NVT4762" s="917"/>
      <c r="NVU4762" s="917"/>
      <c r="NVV4762" s="917"/>
      <c r="NVW4762" s="917"/>
      <c r="NVX4762" s="917"/>
      <c r="NVY4762" s="917"/>
      <c r="NVZ4762" s="917"/>
      <c r="NWA4762" s="917"/>
      <c r="NWB4762" s="917"/>
      <c r="NWC4762" s="917"/>
      <c r="NWD4762" s="917"/>
      <c r="NWE4762" s="917"/>
      <c r="NWF4762" s="917"/>
      <c r="NWG4762" s="917" t="s">
        <v>78</v>
      </c>
      <c r="NWH4762" s="917"/>
      <c r="NWI4762" s="917"/>
      <c r="NWJ4762" s="917"/>
      <c r="NWK4762" s="917"/>
      <c r="NWL4762" s="917"/>
      <c r="NWM4762" s="917"/>
      <c r="NWN4762" s="917"/>
      <c r="NWO4762" s="917"/>
      <c r="NWP4762" s="917"/>
      <c r="NWQ4762" s="917"/>
      <c r="NWR4762" s="917"/>
      <c r="NWS4762" s="917"/>
      <c r="NWT4762" s="917"/>
      <c r="NWU4762" s="917"/>
      <c r="NWV4762" s="917"/>
      <c r="NWW4762" s="917"/>
      <c r="NWX4762" s="917"/>
      <c r="NWY4762" s="917"/>
      <c r="NWZ4762" s="917"/>
      <c r="NXA4762" s="917"/>
      <c r="NXB4762" s="917"/>
      <c r="NXC4762" s="917"/>
      <c r="NXD4762" s="917"/>
      <c r="NXE4762" s="917"/>
      <c r="NXF4762" s="917"/>
      <c r="NXG4762" s="917"/>
      <c r="NXH4762" s="917"/>
      <c r="NXI4762" s="917"/>
      <c r="NXJ4762" s="917"/>
      <c r="NXK4762" s="917"/>
      <c r="NXL4762" s="917"/>
      <c r="NXM4762" s="917" t="s">
        <v>78</v>
      </c>
      <c r="NXN4762" s="917"/>
      <c r="NXO4762" s="917"/>
      <c r="NXP4762" s="917"/>
      <c r="NXQ4762" s="917"/>
      <c r="NXR4762" s="917"/>
      <c r="NXS4762" s="917"/>
      <c r="NXT4762" s="917"/>
      <c r="NXU4762" s="917"/>
      <c r="NXV4762" s="917"/>
      <c r="NXW4762" s="917"/>
      <c r="NXX4762" s="917"/>
      <c r="NXY4762" s="917"/>
      <c r="NXZ4762" s="917"/>
      <c r="NYA4762" s="917"/>
      <c r="NYB4762" s="917"/>
      <c r="NYC4762" s="917"/>
      <c r="NYD4762" s="917"/>
      <c r="NYE4762" s="917"/>
      <c r="NYF4762" s="917"/>
      <c r="NYG4762" s="917"/>
      <c r="NYH4762" s="917"/>
      <c r="NYI4762" s="917"/>
      <c r="NYJ4762" s="917"/>
      <c r="NYK4762" s="917"/>
      <c r="NYL4762" s="917"/>
      <c r="NYM4762" s="917"/>
      <c r="NYN4762" s="917"/>
      <c r="NYO4762" s="917"/>
      <c r="NYP4762" s="917"/>
      <c r="NYQ4762" s="917"/>
      <c r="NYR4762" s="917"/>
      <c r="NYS4762" s="917" t="s">
        <v>78</v>
      </c>
      <c r="NYT4762" s="917"/>
      <c r="NYU4762" s="917"/>
      <c r="NYV4762" s="917"/>
      <c r="NYW4762" s="917"/>
      <c r="NYX4762" s="917"/>
      <c r="NYY4762" s="917"/>
      <c r="NYZ4762" s="917"/>
      <c r="NZA4762" s="917"/>
      <c r="NZB4762" s="917"/>
      <c r="NZC4762" s="917"/>
      <c r="NZD4762" s="917"/>
      <c r="NZE4762" s="917"/>
      <c r="NZF4762" s="917"/>
      <c r="NZG4762" s="917"/>
      <c r="NZH4762" s="917"/>
      <c r="NZI4762" s="917"/>
      <c r="NZJ4762" s="917"/>
      <c r="NZK4762" s="917"/>
      <c r="NZL4762" s="917"/>
      <c r="NZM4762" s="917"/>
      <c r="NZN4762" s="917"/>
      <c r="NZO4762" s="917"/>
      <c r="NZP4762" s="917"/>
      <c r="NZQ4762" s="917"/>
      <c r="NZR4762" s="917"/>
      <c r="NZS4762" s="917"/>
      <c r="NZT4762" s="917"/>
      <c r="NZU4762" s="917"/>
      <c r="NZV4762" s="917"/>
      <c r="NZW4762" s="917"/>
      <c r="NZX4762" s="917"/>
      <c r="NZY4762" s="917" t="s">
        <v>78</v>
      </c>
      <c r="NZZ4762" s="917"/>
      <c r="OAA4762" s="917"/>
      <c r="OAB4762" s="917"/>
      <c r="OAC4762" s="917"/>
      <c r="OAD4762" s="917"/>
      <c r="OAE4762" s="917"/>
      <c r="OAF4762" s="917"/>
      <c r="OAG4762" s="917"/>
      <c r="OAH4762" s="917"/>
      <c r="OAI4762" s="917"/>
      <c r="OAJ4762" s="917"/>
      <c r="OAK4762" s="917"/>
      <c r="OAL4762" s="917"/>
      <c r="OAM4762" s="917"/>
      <c r="OAN4762" s="917"/>
      <c r="OAO4762" s="917"/>
      <c r="OAP4762" s="917"/>
      <c r="OAQ4762" s="917"/>
      <c r="OAR4762" s="917"/>
      <c r="OAS4762" s="917"/>
      <c r="OAT4762" s="917"/>
      <c r="OAU4762" s="917"/>
      <c r="OAV4762" s="917"/>
      <c r="OAW4762" s="917"/>
      <c r="OAX4762" s="917"/>
      <c r="OAY4762" s="917"/>
      <c r="OAZ4762" s="917"/>
      <c r="OBA4762" s="917"/>
      <c r="OBB4762" s="917"/>
      <c r="OBC4762" s="917"/>
      <c r="OBD4762" s="917"/>
      <c r="OBE4762" s="917" t="s">
        <v>78</v>
      </c>
      <c r="OBF4762" s="917"/>
      <c r="OBG4762" s="917"/>
      <c r="OBH4762" s="917"/>
      <c r="OBI4762" s="917"/>
      <c r="OBJ4762" s="917"/>
      <c r="OBK4762" s="917"/>
      <c r="OBL4762" s="917"/>
      <c r="OBM4762" s="917"/>
      <c r="OBN4762" s="917"/>
      <c r="OBO4762" s="917"/>
      <c r="OBP4762" s="917"/>
      <c r="OBQ4762" s="917"/>
      <c r="OBR4762" s="917"/>
      <c r="OBS4762" s="917"/>
      <c r="OBT4762" s="917"/>
      <c r="OBU4762" s="917"/>
      <c r="OBV4762" s="917"/>
      <c r="OBW4762" s="917"/>
      <c r="OBX4762" s="917"/>
      <c r="OBY4762" s="917"/>
      <c r="OBZ4762" s="917"/>
      <c r="OCA4762" s="917"/>
      <c r="OCB4762" s="917"/>
      <c r="OCC4762" s="917"/>
      <c r="OCD4762" s="917"/>
      <c r="OCE4762" s="917"/>
      <c r="OCF4762" s="917"/>
      <c r="OCG4762" s="917"/>
      <c r="OCH4762" s="917"/>
      <c r="OCI4762" s="917"/>
      <c r="OCJ4762" s="917"/>
      <c r="OCK4762" s="917" t="s">
        <v>78</v>
      </c>
      <c r="OCL4762" s="917"/>
      <c r="OCM4762" s="917"/>
      <c r="OCN4762" s="917"/>
      <c r="OCO4762" s="917"/>
      <c r="OCP4762" s="917"/>
      <c r="OCQ4762" s="917"/>
      <c r="OCR4762" s="917"/>
      <c r="OCS4762" s="917"/>
      <c r="OCT4762" s="917"/>
      <c r="OCU4762" s="917"/>
      <c r="OCV4762" s="917"/>
      <c r="OCW4762" s="917"/>
      <c r="OCX4762" s="917"/>
      <c r="OCY4762" s="917"/>
      <c r="OCZ4762" s="917"/>
      <c r="ODA4762" s="917"/>
      <c r="ODB4762" s="917"/>
      <c r="ODC4762" s="917"/>
      <c r="ODD4762" s="917"/>
      <c r="ODE4762" s="917"/>
      <c r="ODF4762" s="917"/>
      <c r="ODG4762" s="917"/>
      <c r="ODH4762" s="917"/>
      <c r="ODI4762" s="917"/>
      <c r="ODJ4762" s="917"/>
      <c r="ODK4762" s="917"/>
      <c r="ODL4762" s="917"/>
      <c r="ODM4762" s="917"/>
      <c r="ODN4762" s="917"/>
      <c r="ODO4762" s="917"/>
      <c r="ODP4762" s="917"/>
      <c r="ODQ4762" s="917" t="s">
        <v>78</v>
      </c>
      <c r="ODR4762" s="917"/>
      <c r="ODS4762" s="917"/>
      <c r="ODT4762" s="917"/>
      <c r="ODU4762" s="917"/>
      <c r="ODV4762" s="917"/>
      <c r="ODW4762" s="917"/>
      <c r="ODX4762" s="917"/>
      <c r="ODY4762" s="917"/>
      <c r="ODZ4762" s="917"/>
      <c r="OEA4762" s="917"/>
      <c r="OEB4762" s="917"/>
      <c r="OEC4762" s="917"/>
      <c r="OED4762" s="917"/>
      <c r="OEE4762" s="917"/>
      <c r="OEF4762" s="917"/>
      <c r="OEG4762" s="917"/>
      <c r="OEH4762" s="917"/>
      <c r="OEI4762" s="917"/>
      <c r="OEJ4762" s="917"/>
      <c r="OEK4762" s="917"/>
      <c r="OEL4762" s="917"/>
      <c r="OEM4762" s="917"/>
      <c r="OEN4762" s="917"/>
      <c r="OEO4762" s="917"/>
      <c r="OEP4762" s="917"/>
      <c r="OEQ4762" s="917"/>
      <c r="OER4762" s="917"/>
      <c r="OES4762" s="917"/>
      <c r="OET4762" s="917"/>
      <c r="OEU4762" s="917"/>
      <c r="OEV4762" s="917"/>
      <c r="OEW4762" s="917" t="s">
        <v>78</v>
      </c>
      <c r="OEX4762" s="917"/>
      <c r="OEY4762" s="917"/>
      <c r="OEZ4762" s="917"/>
      <c r="OFA4762" s="917"/>
      <c r="OFB4762" s="917"/>
      <c r="OFC4762" s="917"/>
      <c r="OFD4762" s="917"/>
      <c r="OFE4762" s="917"/>
      <c r="OFF4762" s="917"/>
      <c r="OFG4762" s="917"/>
      <c r="OFH4762" s="917"/>
      <c r="OFI4762" s="917"/>
      <c r="OFJ4762" s="917"/>
      <c r="OFK4762" s="917"/>
      <c r="OFL4762" s="917"/>
      <c r="OFM4762" s="917"/>
      <c r="OFN4762" s="917"/>
      <c r="OFO4762" s="917"/>
      <c r="OFP4762" s="917"/>
      <c r="OFQ4762" s="917"/>
      <c r="OFR4762" s="917"/>
      <c r="OFS4762" s="917"/>
      <c r="OFT4762" s="917"/>
      <c r="OFU4762" s="917"/>
      <c r="OFV4762" s="917"/>
      <c r="OFW4762" s="917"/>
      <c r="OFX4762" s="917"/>
      <c r="OFY4762" s="917"/>
      <c r="OFZ4762" s="917"/>
      <c r="OGA4762" s="917"/>
      <c r="OGB4762" s="917"/>
      <c r="OGC4762" s="917" t="s">
        <v>78</v>
      </c>
      <c r="OGD4762" s="917"/>
      <c r="OGE4762" s="917"/>
      <c r="OGF4762" s="917"/>
      <c r="OGG4762" s="917"/>
      <c r="OGH4762" s="917"/>
      <c r="OGI4762" s="917"/>
      <c r="OGJ4762" s="917"/>
      <c r="OGK4762" s="917"/>
      <c r="OGL4762" s="917"/>
      <c r="OGM4762" s="917"/>
      <c r="OGN4762" s="917"/>
      <c r="OGO4762" s="917"/>
      <c r="OGP4762" s="917"/>
      <c r="OGQ4762" s="917"/>
      <c r="OGR4762" s="917"/>
      <c r="OGS4762" s="917"/>
      <c r="OGT4762" s="917"/>
      <c r="OGU4762" s="917"/>
      <c r="OGV4762" s="917"/>
      <c r="OGW4762" s="917"/>
      <c r="OGX4762" s="917"/>
      <c r="OGY4762" s="917"/>
      <c r="OGZ4762" s="917"/>
      <c r="OHA4762" s="917"/>
      <c r="OHB4762" s="917"/>
      <c r="OHC4762" s="917"/>
      <c r="OHD4762" s="917"/>
      <c r="OHE4762" s="917"/>
      <c r="OHF4762" s="917"/>
      <c r="OHG4762" s="917"/>
      <c r="OHH4762" s="917"/>
      <c r="OHI4762" s="917" t="s">
        <v>78</v>
      </c>
      <c r="OHJ4762" s="917"/>
      <c r="OHK4762" s="917"/>
      <c r="OHL4762" s="917"/>
      <c r="OHM4762" s="917"/>
      <c r="OHN4762" s="917"/>
      <c r="OHO4762" s="917"/>
      <c r="OHP4762" s="917"/>
      <c r="OHQ4762" s="917"/>
      <c r="OHR4762" s="917"/>
      <c r="OHS4762" s="917"/>
      <c r="OHT4762" s="917"/>
      <c r="OHU4762" s="917"/>
      <c r="OHV4762" s="917"/>
      <c r="OHW4762" s="917"/>
      <c r="OHX4762" s="917"/>
      <c r="OHY4762" s="917"/>
      <c r="OHZ4762" s="917"/>
      <c r="OIA4762" s="917"/>
      <c r="OIB4762" s="917"/>
      <c r="OIC4762" s="917"/>
      <c r="OID4762" s="917"/>
      <c r="OIE4762" s="917"/>
      <c r="OIF4762" s="917"/>
      <c r="OIG4762" s="917"/>
      <c r="OIH4762" s="917"/>
      <c r="OII4762" s="917"/>
      <c r="OIJ4762" s="917"/>
      <c r="OIK4762" s="917"/>
      <c r="OIL4762" s="917"/>
      <c r="OIM4762" s="917"/>
      <c r="OIN4762" s="917"/>
      <c r="OIO4762" s="917" t="s">
        <v>78</v>
      </c>
      <c r="OIP4762" s="917"/>
      <c r="OIQ4762" s="917"/>
      <c r="OIR4762" s="917"/>
      <c r="OIS4762" s="917"/>
      <c r="OIT4762" s="917"/>
      <c r="OIU4762" s="917"/>
      <c r="OIV4762" s="917"/>
      <c r="OIW4762" s="917"/>
      <c r="OIX4762" s="917"/>
      <c r="OIY4762" s="917"/>
      <c r="OIZ4762" s="917"/>
      <c r="OJA4762" s="917"/>
      <c r="OJB4762" s="917"/>
      <c r="OJC4762" s="917"/>
      <c r="OJD4762" s="917"/>
      <c r="OJE4762" s="917"/>
      <c r="OJF4762" s="917"/>
      <c r="OJG4762" s="917"/>
      <c r="OJH4762" s="917"/>
      <c r="OJI4762" s="917"/>
      <c r="OJJ4762" s="917"/>
      <c r="OJK4762" s="917"/>
      <c r="OJL4762" s="917"/>
      <c r="OJM4762" s="917"/>
      <c r="OJN4762" s="917"/>
      <c r="OJO4762" s="917"/>
      <c r="OJP4762" s="917"/>
      <c r="OJQ4762" s="917"/>
      <c r="OJR4762" s="917"/>
      <c r="OJS4762" s="917"/>
      <c r="OJT4762" s="917"/>
      <c r="OJU4762" s="917" t="s">
        <v>78</v>
      </c>
      <c r="OJV4762" s="917"/>
      <c r="OJW4762" s="917"/>
      <c r="OJX4762" s="917"/>
      <c r="OJY4762" s="917"/>
      <c r="OJZ4762" s="917"/>
      <c r="OKA4762" s="917"/>
      <c r="OKB4762" s="917"/>
      <c r="OKC4762" s="917"/>
      <c r="OKD4762" s="917"/>
      <c r="OKE4762" s="917"/>
      <c r="OKF4762" s="917"/>
      <c r="OKG4762" s="917"/>
      <c r="OKH4762" s="917"/>
      <c r="OKI4762" s="917"/>
      <c r="OKJ4762" s="917"/>
      <c r="OKK4762" s="917"/>
      <c r="OKL4762" s="917"/>
      <c r="OKM4762" s="917"/>
      <c r="OKN4762" s="917"/>
      <c r="OKO4762" s="917"/>
      <c r="OKP4762" s="917"/>
      <c r="OKQ4762" s="917"/>
      <c r="OKR4762" s="917"/>
      <c r="OKS4762" s="917"/>
      <c r="OKT4762" s="917"/>
      <c r="OKU4762" s="917"/>
      <c r="OKV4762" s="917"/>
      <c r="OKW4762" s="917"/>
      <c r="OKX4762" s="917"/>
      <c r="OKY4762" s="917"/>
      <c r="OKZ4762" s="917"/>
      <c r="OLA4762" s="917" t="s">
        <v>78</v>
      </c>
      <c r="OLB4762" s="917"/>
      <c r="OLC4762" s="917"/>
      <c r="OLD4762" s="917"/>
      <c r="OLE4762" s="917"/>
      <c r="OLF4762" s="917"/>
      <c r="OLG4762" s="917"/>
      <c r="OLH4762" s="917"/>
      <c r="OLI4762" s="917"/>
      <c r="OLJ4762" s="917"/>
      <c r="OLK4762" s="917"/>
      <c r="OLL4762" s="917"/>
      <c r="OLM4762" s="917"/>
      <c r="OLN4762" s="917"/>
      <c r="OLO4762" s="917"/>
      <c r="OLP4762" s="917"/>
      <c r="OLQ4762" s="917"/>
      <c r="OLR4762" s="917"/>
      <c r="OLS4762" s="917"/>
      <c r="OLT4762" s="917"/>
      <c r="OLU4762" s="917"/>
      <c r="OLV4762" s="917"/>
      <c r="OLW4762" s="917"/>
      <c r="OLX4762" s="917"/>
      <c r="OLY4762" s="917"/>
      <c r="OLZ4762" s="917"/>
      <c r="OMA4762" s="917"/>
      <c r="OMB4762" s="917"/>
      <c r="OMC4762" s="917"/>
      <c r="OMD4762" s="917"/>
      <c r="OME4762" s="917"/>
      <c r="OMF4762" s="917"/>
      <c r="OMG4762" s="917" t="s">
        <v>78</v>
      </c>
      <c r="OMH4762" s="917"/>
      <c r="OMI4762" s="917"/>
      <c r="OMJ4762" s="917"/>
      <c r="OMK4762" s="917"/>
      <c r="OML4762" s="917"/>
      <c r="OMM4762" s="917"/>
      <c r="OMN4762" s="917"/>
      <c r="OMO4762" s="917"/>
      <c r="OMP4762" s="917"/>
      <c r="OMQ4762" s="917"/>
      <c r="OMR4762" s="917"/>
      <c r="OMS4762" s="917"/>
      <c r="OMT4762" s="917"/>
      <c r="OMU4762" s="917"/>
      <c r="OMV4762" s="917"/>
      <c r="OMW4762" s="917"/>
      <c r="OMX4762" s="917"/>
      <c r="OMY4762" s="917"/>
      <c r="OMZ4762" s="917"/>
      <c r="ONA4762" s="917"/>
      <c r="ONB4762" s="917"/>
      <c r="ONC4762" s="917"/>
      <c r="OND4762" s="917"/>
      <c r="ONE4762" s="917"/>
      <c r="ONF4762" s="917"/>
      <c r="ONG4762" s="917"/>
      <c r="ONH4762" s="917"/>
      <c r="ONI4762" s="917"/>
      <c r="ONJ4762" s="917"/>
      <c r="ONK4762" s="917"/>
      <c r="ONL4762" s="917"/>
      <c r="ONM4762" s="917" t="s">
        <v>78</v>
      </c>
      <c r="ONN4762" s="917"/>
      <c r="ONO4762" s="917"/>
      <c r="ONP4762" s="917"/>
      <c r="ONQ4762" s="917"/>
      <c r="ONR4762" s="917"/>
      <c r="ONS4762" s="917"/>
      <c r="ONT4762" s="917"/>
      <c r="ONU4762" s="917"/>
      <c r="ONV4762" s="917"/>
      <c r="ONW4762" s="917"/>
      <c r="ONX4762" s="917"/>
      <c r="ONY4762" s="917"/>
      <c r="ONZ4762" s="917"/>
      <c r="OOA4762" s="917"/>
      <c r="OOB4762" s="917"/>
      <c r="OOC4762" s="917"/>
      <c r="OOD4762" s="917"/>
      <c r="OOE4762" s="917"/>
      <c r="OOF4762" s="917"/>
      <c r="OOG4762" s="917"/>
      <c r="OOH4762" s="917"/>
      <c r="OOI4762" s="917"/>
      <c r="OOJ4762" s="917"/>
      <c r="OOK4762" s="917"/>
      <c r="OOL4762" s="917"/>
      <c r="OOM4762" s="917"/>
      <c r="OON4762" s="917"/>
      <c r="OOO4762" s="917"/>
      <c r="OOP4762" s="917"/>
      <c r="OOQ4762" s="917"/>
      <c r="OOR4762" s="917"/>
      <c r="OOS4762" s="917" t="s">
        <v>78</v>
      </c>
      <c r="OOT4762" s="917"/>
      <c r="OOU4762" s="917"/>
      <c r="OOV4762" s="917"/>
      <c r="OOW4762" s="917"/>
      <c r="OOX4762" s="917"/>
      <c r="OOY4762" s="917"/>
      <c r="OOZ4762" s="917"/>
      <c r="OPA4762" s="917"/>
      <c r="OPB4762" s="917"/>
      <c r="OPC4762" s="917"/>
      <c r="OPD4762" s="917"/>
      <c r="OPE4762" s="917"/>
      <c r="OPF4762" s="917"/>
      <c r="OPG4762" s="917"/>
      <c r="OPH4762" s="917"/>
      <c r="OPI4762" s="917"/>
      <c r="OPJ4762" s="917"/>
      <c r="OPK4762" s="917"/>
      <c r="OPL4762" s="917"/>
      <c r="OPM4762" s="917"/>
      <c r="OPN4762" s="917"/>
      <c r="OPO4762" s="917"/>
      <c r="OPP4762" s="917"/>
      <c r="OPQ4762" s="917"/>
      <c r="OPR4762" s="917"/>
      <c r="OPS4762" s="917"/>
      <c r="OPT4762" s="917"/>
      <c r="OPU4762" s="917"/>
      <c r="OPV4762" s="917"/>
      <c r="OPW4762" s="917"/>
      <c r="OPX4762" s="917"/>
      <c r="OPY4762" s="917" t="s">
        <v>78</v>
      </c>
      <c r="OPZ4762" s="917"/>
      <c r="OQA4762" s="917"/>
      <c r="OQB4762" s="917"/>
      <c r="OQC4762" s="917"/>
      <c r="OQD4762" s="917"/>
      <c r="OQE4762" s="917"/>
      <c r="OQF4762" s="917"/>
      <c r="OQG4762" s="917"/>
      <c r="OQH4762" s="917"/>
      <c r="OQI4762" s="917"/>
      <c r="OQJ4762" s="917"/>
      <c r="OQK4762" s="917"/>
      <c r="OQL4762" s="917"/>
      <c r="OQM4762" s="917"/>
      <c r="OQN4762" s="917"/>
      <c r="OQO4762" s="917"/>
      <c r="OQP4762" s="917"/>
      <c r="OQQ4762" s="917"/>
      <c r="OQR4762" s="917"/>
      <c r="OQS4762" s="917"/>
      <c r="OQT4762" s="917"/>
      <c r="OQU4762" s="917"/>
      <c r="OQV4762" s="917"/>
      <c r="OQW4762" s="917"/>
      <c r="OQX4762" s="917"/>
      <c r="OQY4762" s="917"/>
      <c r="OQZ4762" s="917"/>
      <c r="ORA4762" s="917"/>
      <c r="ORB4762" s="917"/>
      <c r="ORC4762" s="917"/>
      <c r="ORD4762" s="917"/>
      <c r="ORE4762" s="917" t="s">
        <v>78</v>
      </c>
      <c r="ORF4762" s="917"/>
      <c r="ORG4762" s="917"/>
      <c r="ORH4762" s="917"/>
      <c r="ORI4762" s="917"/>
      <c r="ORJ4762" s="917"/>
      <c r="ORK4762" s="917"/>
      <c r="ORL4762" s="917"/>
      <c r="ORM4762" s="917"/>
      <c r="ORN4762" s="917"/>
      <c r="ORO4762" s="917"/>
      <c r="ORP4762" s="917"/>
      <c r="ORQ4762" s="917"/>
      <c r="ORR4762" s="917"/>
      <c r="ORS4762" s="917"/>
      <c r="ORT4762" s="917"/>
      <c r="ORU4762" s="917"/>
      <c r="ORV4762" s="917"/>
      <c r="ORW4762" s="917"/>
      <c r="ORX4762" s="917"/>
      <c r="ORY4762" s="917"/>
      <c r="ORZ4762" s="917"/>
      <c r="OSA4762" s="917"/>
      <c r="OSB4762" s="917"/>
      <c r="OSC4762" s="917"/>
      <c r="OSD4762" s="917"/>
      <c r="OSE4762" s="917"/>
      <c r="OSF4762" s="917"/>
      <c r="OSG4762" s="917"/>
      <c r="OSH4762" s="917"/>
      <c r="OSI4762" s="917"/>
      <c r="OSJ4762" s="917"/>
      <c r="OSK4762" s="917" t="s">
        <v>78</v>
      </c>
      <c r="OSL4762" s="917"/>
      <c r="OSM4762" s="917"/>
      <c r="OSN4762" s="917"/>
      <c r="OSO4762" s="917"/>
      <c r="OSP4762" s="917"/>
      <c r="OSQ4762" s="917"/>
      <c r="OSR4762" s="917"/>
      <c r="OSS4762" s="917"/>
      <c r="OST4762" s="917"/>
      <c r="OSU4762" s="917"/>
      <c r="OSV4762" s="917"/>
      <c r="OSW4762" s="917"/>
      <c r="OSX4762" s="917"/>
      <c r="OSY4762" s="917"/>
      <c r="OSZ4762" s="917"/>
      <c r="OTA4762" s="917"/>
      <c r="OTB4762" s="917"/>
      <c r="OTC4762" s="917"/>
      <c r="OTD4762" s="917"/>
      <c r="OTE4762" s="917"/>
      <c r="OTF4762" s="917"/>
      <c r="OTG4762" s="917"/>
      <c r="OTH4762" s="917"/>
      <c r="OTI4762" s="917"/>
      <c r="OTJ4762" s="917"/>
      <c r="OTK4762" s="917"/>
      <c r="OTL4762" s="917"/>
      <c r="OTM4762" s="917"/>
      <c r="OTN4762" s="917"/>
      <c r="OTO4762" s="917"/>
      <c r="OTP4762" s="917"/>
      <c r="OTQ4762" s="917" t="s">
        <v>78</v>
      </c>
      <c r="OTR4762" s="917"/>
      <c r="OTS4762" s="917"/>
      <c r="OTT4762" s="917"/>
      <c r="OTU4762" s="917"/>
      <c r="OTV4762" s="917"/>
      <c r="OTW4762" s="917"/>
      <c r="OTX4762" s="917"/>
      <c r="OTY4762" s="917"/>
      <c r="OTZ4762" s="917"/>
      <c r="OUA4762" s="917"/>
      <c r="OUB4762" s="917"/>
      <c r="OUC4762" s="917"/>
      <c r="OUD4762" s="917"/>
      <c r="OUE4762" s="917"/>
      <c r="OUF4762" s="917"/>
      <c r="OUG4762" s="917"/>
      <c r="OUH4762" s="917"/>
      <c r="OUI4762" s="917"/>
      <c r="OUJ4762" s="917"/>
      <c r="OUK4762" s="917"/>
      <c r="OUL4762" s="917"/>
      <c r="OUM4762" s="917"/>
      <c r="OUN4762" s="917"/>
      <c r="OUO4762" s="917"/>
      <c r="OUP4762" s="917"/>
      <c r="OUQ4762" s="917"/>
      <c r="OUR4762" s="917"/>
      <c r="OUS4762" s="917"/>
      <c r="OUT4762" s="917"/>
      <c r="OUU4762" s="917"/>
      <c r="OUV4762" s="917"/>
      <c r="OUW4762" s="917" t="s">
        <v>78</v>
      </c>
      <c r="OUX4762" s="917"/>
      <c r="OUY4762" s="917"/>
      <c r="OUZ4762" s="917"/>
      <c r="OVA4762" s="917"/>
      <c r="OVB4762" s="917"/>
      <c r="OVC4762" s="917"/>
      <c r="OVD4762" s="917"/>
      <c r="OVE4762" s="917"/>
      <c r="OVF4762" s="917"/>
      <c r="OVG4762" s="917"/>
      <c r="OVH4762" s="917"/>
      <c r="OVI4762" s="917"/>
      <c r="OVJ4762" s="917"/>
      <c r="OVK4762" s="917"/>
      <c r="OVL4762" s="917"/>
      <c r="OVM4762" s="917"/>
      <c r="OVN4762" s="917"/>
      <c r="OVO4762" s="917"/>
      <c r="OVP4762" s="917"/>
      <c r="OVQ4762" s="917"/>
      <c r="OVR4762" s="917"/>
      <c r="OVS4762" s="917"/>
      <c r="OVT4762" s="917"/>
      <c r="OVU4762" s="917"/>
      <c r="OVV4762" s="917"/>
      <c r="OVW4762" s="917"/>
      <c r="OVX4762" s="917"/>
      <c r="OVY4762" s="917"/>
      <c r="OVZ4762" s="917"/>
      <c r="OWA4762" s="917"/>
      <c r="OWB4762" s="917"/>
      <c r="OWC4762" s="917" t="s">
        <v>78</v>
      </c>
      <c r="OWD4762" s="917"/>
      <c r="OWE4762" s="917"/>
      <c r="OWF4762" s="917"/>
      <c r="OWG4762" s="917"/>
      <c r="OWH4762" s="917"/>
      <c r="OWI4762" s="917"/>
      <c r="OWJ4762" s="917"/>
      <c r="OWK4762" s="917"/>
      <c r="OWL4762" s="917"/>
      <c r="OWM4762" s="917"/>
      <c r="OWN4762" s="917"/>
      <c r="OWO4762" s="917"/>
      <c r="OWP4762" s="917"/>
      <c r="OWQ4762" s="917"/>
      <c r="OWR4762" s="917"/>
      <c r="OWS4762" s="917"/>
      <c r="OWT4762" s="917"/>
      <c r="OWU4762" s="917"/>
      <c r="OWV4762" s="917"/>
      <c r="OWW4762" s="917"/>
      <c r="OWX4762" s="917"/>
      <c r="OWY4762" s="917"/>
      <c r="OWZ4762" s="917"/>
      <c r="OXA4762" s="917"/>
      <c r="OXB4762" s="917"/>
      <c r="OXC4762" s="917"/>
      <c r="OXD4762" s="917"/>
      <c r="OXE4762" s="917"/>
      <c r="OXF4762" s="917"/>
      <c r="OXG4762" s="917"/>
      <c r="OXH4762" s="917"/>
      <c r="OXI4762" s="917" t="s">
        <v>78</v>
      </c>
      <c r="OXJ4762" s="917"/>
      <c r="OXK4762" s="917"/>
      <c r="OXL4762" s="917"/>
      <c r="OXM4762" s="917"/>
      <c r="OXN4762" s="917"/>
      <c r="OXO4762" s="917"/>
      <c r="OXP4762" s="917"/>
      <c r="OXQ4762" s="917"/>
      <c r="OXR4762" s="917"/>
      <c r="OXS4762" s="917"/>
      <c r="OXT4762" s="917"/>
      <c r="OXU4762" s="917"/>
      <c r="OXV4762" s="917"/>
      <c r="OXW4762" s="917"/>
      <c r="OXX4762" s="917"/>
      <c r="OXY4762" s="917"/>
      <c r="OXZ4762" s="917"/>
      <c r="OYA4762" s="917"/>
      <c r="OYB4762" s="917"/>
      <c r="OYC4762" s="917"/>
      <c r="OYD4762" s="917"/>
      <c r="OYE4762" s="917"/>
      <c r="OYF4762" s="917"/>
      <c r="OYG4762" s="917"/>
      <c r="OYH4762" s="917"/>
      <c r="OYI4762" s="917"/>
      <c r="OYJ4762" s="917"/>
      <c r="OYK4762" s="917"/>
      <c r="OYL4762" s="917"/>
      <c r="OYM4762" s="917"/>
      <c r="OYN4762" s="917"/>
      <c r="OYO4762" s="917" t="s">
        <v>78</v>
      </c>
      <c r="OYP4762" s="917"/>
      <c r="OYQ4762" s="917"/>
      <c r="OYR4762" s="917"/>
      <c r="OYS4762" s="917"/>
      <c r="OYT4762" s="917"/>
      <c r="OYU4762" s="917"/>
      <c r="OYV4762" s="917"/>
      <c r="OYW4762" s="917"/>
      <c r="OYX4762" s="917"/>
      <c r="OYY4762" s="917"/>
      <c r="OYZ4762" s="917"/>
      <c r="OZA4762" s="917"/>
      <c r="OZB4762" s="917"/>
      <c r="OZC4762" s="917"/>
      <c r="OZD4762" s="917"/>
      <c r="OZE4762" s="917"/>
      <c r="OZF4762" s="917"/>
      <c r="OZG4762" s="917"/>
      <c r="OZH4762" s="917"/>
      <c r="OZI4762" s="917"/>
      <c r="OZJ4762" s="917"/>
      <c r="OZK4762" s="917"/>
      <c r="OZL4762" s="917"/>
      <c r="OZM4762" s="917"/>
      <c r="OZN4762" s="917"/>
      <c r="OZO4762" s="917"/>
      <c r="OZP4762" s="917"/>
      <c r="OZQ4762" s="917"/>
      <c r="OZR4762" s="917"/>
      <c r="OZS4762" s="917"/>
      <c r="OZT4762" s="917"/>
      <c r="OZU4762" s="917" t="s">
        <v>78</v>
      </c>
      <c r="OZV4762" s="917"/>
      <c r="OZW4762" s="917"/>
      <c r="OZX4762" s="917"/>
      <c r="OZY4762" s="917"/>
      <c r="OZZ4762" s="917"/>
      <c r="PAA4762" s="917"/>
      <c r="PAB4762" s="917"/>
      <c r="PAC4762" s="917"/>
      <c r="PAD4762" s="917"/>
      <c r="PAE4762" s="917"/>
      <c r="PAF4762" s="917"/>
      <c r="PAG4762" s="917"/>
      <c r="PAH4762" s="917"/>
      <c r="PAI4762" s="917"/>
      <c r="PAJ4762" s="917"/>
      <c r="PAK4762" s="917"/>
      <c r="PAL4762" s="917"/>
      <c r="PAM4762" s="917"/>
      <c r="PAN4762" s="917"/>
      <c r="PAO4762" s="917"/>
      <c r="PAP4762" s="917"/>
      <c r="PAQ4762" s="917"/>
      <c r="PAR4762" s="917"/>
      <c r="PAS4762" s="917"/>
      <c r="PAT4762" s="917"/>
      <c r="PAU4762" s="917"/>
      <c r="PAV4762" s="917"/>
      <c r="PAW4762" s="917"/>
      <c r="PAX4762" s="917"/>
      <c r="PAY4762" s="917"/>
      <c r="PAZ4762" s="917"/>
      <c r="PBA4762" s="917" t="s">
        <v>78</v>
      </c>
      <c r="PBB4762" s="917"/>
      <c r="PBC4762" s="917"/>
      <c r="PBD4762" s="917"/>
      <c r="PBE4762" s="917"/>
      <c r="PBF4762" s="917"/>
      <c r="PBG4762" s="917"/>
      <c r="PBH4762" s="917"/>
      <c r="PBI4762" s="917"/>
      <c r="PBJ4762" s="917"/>
      <c r="PBK4762" s="917"/>
      <c r="PBL4762" s="917"/>
      <c r="PBM4762" s="917"/>
      <c r="PBN4762" s="917"/>
      <c r="PBO4762" s="917"/>
      <c r="PBP4762" s="917"/>
      <c r="PBQ4762" s="917"/>
      <c r="PBR4762" s="917"/>
      <c r="PBS4762" s="917"/>
      <c r="PBT4762" s="917"/>
      <c r="PBU4762" s="917"/>
      <c r="PBV4762" s="917"/>
      <c r="PBW4762" s="917"/>
      <c r="PBX4762" s="917"/>
      <c r="PBY4762" s="917"/>
      <c r="PBZ4762" s="917"/>
      <c r="PCA4762" s="917"/>
      <c r="PCB4762" s="917"/>
      <c r="PCC4762" s="917"/>
      <c r="PCD4762" s="917"/>
      <c r="PCE4762" s="917"/>
      <c r="PCF4762" s="917"/>
      <c r="PCG4762" s="917" t="s">
        <v>78</v>
      </c>
      <c r="PCH4762" s="917"/>
      <c r="PCI4762" s="917"/>
      <c r="PCJ4762" s="917"/>
      <c r="PCK4762" s="917"/>
      <c r="PCL4762" s="917"/>
      <c r="PCM4762" s="917"/>
      <c r="PCN4762" s="917"/>
      <c r="PCO4762" s="917"/>
      <c r="PCP4762" s="917"/>
      <c r="PCQ4762" s="917"/>
      <c r="PCR4762" s="917"/>
      <c r="PCS4762" s="917"/>
      <c r="PCT4762" s="917"/>
      <c r="PCU4762" s="917"/>
      <c r="PCV4762" s="917"/>
      <c r="PCW4762" s="917"/>
      <c r="PCX4762" s="917"/>
      <c r="PCY4762" s="917"/>
      <c r="PCZ4762" s="917"/>
      <c r="PDA4762" s="917"/>
      <c r="PDB4762" s="917"/>
      <c r="PDC4762" s="917"/>
      <c r="PDD4762" s="917"/>
      <c r="PDE4762" s="917"/>
      <c r="PDF4762" s="917"/>
      <c r="PDG4762" s="917"/>
      <c r="PDH4762" s="917"/>
      <c r="PDI4762" s="917"/>
      <c r="PDJ4762" s="917"/>
      <c r="PDK4762" s="917"/>
      <c r="PDL4762" s="917"/>
      <c r="PDM4762" s="917" t="s">
        <v>78</v>
      </c>
      <c r="PDN4762" s="917"/>
      <c r="PDO4762" s="917"/>
      <c r="PDP4762" s="917"/>
      <c r="PDQ4762" s="917"/>
      <c r="PDR4762" s="917"/>
      <c r="PDS4762" s="917"/>
      <c r="PDT4762" s="917"/>
      <c r="PDU4762" s="917"/>
      <c r="PDV4762" s="917"/>
      <c r="PDW4762" s="917"/>
      <c r="PDX4762" s="917"/>
      <c r="PDY4762" s="917"/>
      <c r="PDZ4762" s="917"/>
      <c r="PEA4762" s="917"/>
      <c r="PEB4762" s="917"/>
      <c r="PEC4762" s="917"/>
      <c r="PED4762" s="917"/>
      <c r="PEE4762" s="917"/>
      <c r="PEF4762" s="917"/>
      <c r="PEG4762" s="917"/>
      <c r="PEH4762" s="917"/>
      <c r="PEI4762" s="917"/>
      <c r="PEJ4762" s="917"/>
      <c r="PEK4762" s="917"/>
      <c r="PEL4762" s="917"/>
      <c r="PEM4762" s="917"/>
      <c r="PEN4762" s="917"/>
      <c r="PEO4762" s="917"/>
      <c r="PEP4762" s="917"/>
      <c r="PEQ4762" s="917"/>
      <c r="PER4762" s="917"/>
      <c r="PES4762" s="917" t="s">
        <v>78</v>
      </c>
      <c r="PET4762" s="917"/>
      <c r="PEU4762" s="917"/>
      <c r="PEV4762" s="917"/>
      <c r="PEW4762" s="917"/>
      <c r="PEX4762" s="917"/>
      <c r="PEY4762" s="917"/>
      <c r="PEZ4762" s="917"/>
      <c r="PFA4762" s="917"/>
      <c r="PFB4762" s="917"/>
      <c r="PFC4762" s="917"/>
      <c r="PFD4762" s="917"/>
      <c r="PFE4762" s="917"/>
      <c r="PFF4762" s="917"/>
      <c r="PFG4762" s="917"/>
      <c r="PFH4762" s="917"/>
      <c r="PFI4762" s="917"/>
      <c r="PFJ4762" s="917"/>
      <c r="PFK4762" s="917"/>
      <c r="PFL4762" s="917"/>
      <c r="PFM4762" s="917"/>
      <c r="PFN4762" s="917"/>
      <c r="PFO4762" s="917"/>
      <c r="PFP4762" s="917"/>
      <c r="PFQ4762" s="917"/>
      <c r="PFR4762" s="917"/>
      <c r="PFS4762" s="917"/>
      <c r="PFT4762" s="917"/>
      <c r="PFU4762" s="917"/>
      <c r="PFV4762" s="917"/>
      <c r="PFW4762" s="917"/>
      <c r="PFX4762" s="917"/>
      <c r="PFY4762" s="917" t="s">
        <v>78</v>
      </c>
      <c r="PFZ4762" s="917"/>
      <c r="PGA4762" s="917"/>
      <c r="PGB4762" s="917"/>
      <c r="PGC4762" s="917"/>
      <c r="PGD4762" s="917"/>
      <c r="PGE4762" s="917"/>
      <c r="PGF4762" s="917"/>
      <c r="PGG4762" s="917"/>
      <c r="PGH4762" s="917"/>
      <c r="PGI4762" s="917"/>
      <c r="PGJ4762" s="917"/>
      <c r="PGK4762" s="917"/>
      <c r="PGL4762" s="917"/>
      <c r="PGM4762" s="917"/>
      <c r="PGN4762" s="917"/>
      <c r="PGO4762" s="917"/>
      <c r="PGP4762" s="917"/>
      <c r="PGQ4762" s="917"/>
      <c r="PGR4762" s="917"/>
      <c r="PGS4762" s="917"/>
      <c r="PGT4762" s="917"/>
      <c r="PGU4762" s="917"/>
      <c r="PGV4762" s="917"/>
      <c r="PGW4762" s="917"/>
      <c r="PGX4762" s="917"/>
      <c r="PGY4762" s="917"/>
      <c r="PGZ4762" s="917"/>
      <c r="PHA4762" s="917"/>
      <c r="PHB4762" s="917"/>
      <c r="PHC4762" s="917"/>
      <c r="PHD4762" s="917"/>
      <c r="PHE4762" s="917" t="s">
        <v>78</v>
      </c>
      <c r="PHF4762" s="917"/>
      <c r="PHG4762" s="917"/>
      <c r="PHH4762" s="917"/>
      <c r="PHI4762" s="917"/>
      <c r="PHJ4762" s="917"/>
      <c r="PHK4762" s="917"/>
      <c r="PHL4762" s="917"/>
      <c r="PHM4762" s="917"/>
      <c r="PHN4762" s="917"/>
      <c r="PHO4762" s="917"/>
      <c r="PHP4762" s="917"/>
      <c r="PHQ4762" s="917"/>
      <c r="PHR4762" s="917"/>
      <c r="PHS4762" s="917"/>
      <c r="PHT4762" s="917"/>
      <c r="PHU4762" s="917"/>
      <c r="PHV4762" s="917"/>
      <c r="PHW4762" s="917"/>
      <c r="PHX4762" s="917"/>
      <c r="PHY4762" s="917"/>
      <c r="PHZ4762" s="917"/>
      <c r="PIA4762" s="917"/>
      <c r="PIB4762" s="917"/>
      <c r="PIC4762" s="917"/>
      <c r="PID4762" s="917"/>
      <c r="PIE4762" s="917"/>
      <c r="PIF4762" s="917"/>
      <c r="PIG4762" s="917"/>
      <c r="PIH4762" s="917"/>
      <c r="PII4762" s="917"/>
      <c r="PIJ4762" s="917"/>
      <c r="PIK4762" s="917" t="s">
        <v>78</v>
      </c>
      <c r="PIL4762" s="917"/>
      <c r="PIM4762" s="917"/>
      <c r="PIN4762" s="917"/>
      <c r="PIO4762" s="917"/>
      <c r="PIP4762" s="917"/>
      <c r="PIQ4762" s="917"/>
      <c r="PIR4762" s="917"/>
      <c r="PIS4762" s="917"/>
      <c r="PIT4762" s="917"/>
      <c r="PIU4762" s="917"/>
      <c r="PIV4762" s="917"/>
      <c r="PIW4762" s="917"/>
      <c r="PIX4762" s="917"/>
      <c r="PIY4762" s="917"/>
      <c r="PIZ4762" s="917"/>
      <c r="PJA4762" s="917"/>
      <c r="PJB4762" s="917"/>
      <c r="PJC4762" s="917"/>
      <c r="PJD4762" s="917"/>
      <c r="PJE4762" s="917"/>
      <c r="PJF4762" s="917"/>
      <c r="PJG4762" s="917"/>
      <c r="PJH4762" s="917"/>
      <c r="PJI4762" s="917"/>
      <c r="PJJ4762" s="917"/>
      <c r="PJK4762" s="917"/>
      <c r="PJL4762" s="917"/>
      <c r="PJM4762" s="917"/>
      <c r="PJN4762" s="917"/>
      <c r="PJO4762" s="917"/>
      <c r="PJP4762" s="917"/>
      <c r="PJQ4762" s="917" t="s">
        <v>78</v>
      </c>
      <c r="PJR4762" s="917"/>
      <c r="PJS4762" s="917"/>
      <c r="PJT4762" s="917"/>
      <c r="PJU4762" s="917"/>
      <c r="PJV4762" s="917"/>
      <c r="PJW4762" s="917"/>
      <c r="PJX4762" s="917"/>
      <c r="PJY4762" s="917"/>
      <c r="PJZ4762" s="917"/>
      <c r="PKA4762" s="917"/>
      <c r="PKB4762" s="917"/>
      <c r="PKC4762" s="917"/>
      <c r="PKD4762" s="917"/>
      <c r="PKE4762" s="917"/>
      <c r="PKF4762" s="917"/>
      <c r="PKG4762" s="917"/>
      <c r="PKH4762" s="917"/>
      <c r="PKI4762" s="917"/>
      <c r="PKJ4762" s="917"/>
      <c r="PKK4762" s="917"/>
      <c r="PKL4762" s="917"/>
      <c r="PKM4762" s="917"/>
      <c r="PKN4762" s="917"/>
      <c r="PKO4762" s="917"/>
      <c r="PKP4762" s="917"/>
      <c r="PKQ4762" s="917"/>
      <c r="PKR4762" s="917"/>
      <c r="PKS4762" s="917"/>
      <c r="PKT4762" s="917"/>
      <c r="PKU4762" s="917"/>
      <c r="PKV4762" s="917"/>
      <c r="PKW4762" s="917" t="s">
        <v>78</v>
      </c>
      <c r="PKX4762" s="917"/>
      <c r="PKY4762" s="917"/>
      <c r="PKZ4762" s="917"/>
      <c r="PLA4762" s="917"/>
      <c r="PLB4762" s="917"/>
      <c r="PLC4762" s="917"/>
      <c r="PLD4762" s="917"/>
      <c r="PLE4762" s="917"/>
      <c r="PLF4762" s="917"/>
      <c r="PLG4762" s="917"/>
      <c r="PLH4762" s="917"/>
      <c r="PLI4762" s="917"/>
      <c r="PLJ4762" s="917"/>
      <c r="PLK4762" s="917"/>
      <c r="PLL4762" s="917"/>
      <c r="PLM4762" s="917"/>
      <c r="PLN4762" s="917"/>
      <c r="PLO4762" s="917"/>
      <c r="PLP4762" s="917"/>
      <c r="PLQ4762" s="917"/>
      <c r="PLR4762" s="917"/>
      <c r="PLS4762" s="917"/>
      <c r="PLT4762" s="917"/>
      <c r="PLU4762" s="917"/>
      <c r="PLV4762" s="917"/>
      <c r="PLW4762" s="917"/>
      <c r="PLX4762" s="917"/>
      <c r="PLY4762" s="917"/>
      <c r="PLZ4762" s="917"/>
      <c r="PMA4762" s="917"/>
      <c r="PMB4762" s="917"/>
      <c r="PMC4762" s="917" t="s">
        <v>78</v>
      </c>
      <c r="PMD4762" s="917"/>
      <c r="PME4762" s="917"/>
      <c r="PMF4762" s="917"/>
      <c r="PMG4762" s="917"/>
      <c r="PMH4762" s="917"/>
      <c r="PMI4762" s="917"/>
      <c r="PMJ4762" s="917"/>
      <c r="PMK4762" s="917"/>
      <c r="PML4762" s="917"/>
      <c r="PMM4762" s="917"/>
      <c r="PMN4762" s="917"/>
      <c r="PMO4762" s="917"/>
      <c r="PMP4762" s="917"/>
      <c r="PMQ4762" s="917"/>
      <c r="PMR4762" s="917"/>
      <c r="PMS4762" s="917"/>
      <c r="PMT4762" s="917"/>
      <c r="PMU4762" s="917"/>
      <c r="PMV4762" s="917"/>
      <c r="PMW4762" s="917"/>
      <c r="PMX4762" s="917"/>
      <c r="PMY4762" s="917"/>
      <c r="PMZ4762" s="917"/>
      <c r="PNA4762" s="917"/>
      <c r="PNB4762" s="917"/>
      <c r="PNC4762" s="917"/>
      <c r="PND4762" s="917"/>
      <c r="PNE4762" s="917"/>
      <c r="PNF4762" s="917"/>
      <c r="PNG4762" s="917"/>
      <c r="PNH4762" s="917"/>
      <c r="PNI4762" s="917" t="s">
        <v>78</v>
      </c>
      <c r="PNJ4762" s="917"/>
      <c r="PNK4762" s="917"/>
      <c r="PNL4762" s="917"/>
      <c r="PNM4762" s="917"/>
      <c r="PNN4762" s="917"/>
      <c r="PNO4762" s="917"/>
      <c r="PNP4762" s="917"/>
      <c r="PNQ4762" s="917"/>
      <c r="PNR4762" s="917"/>
      <c r="PNS4762" s="917"/>
      <c r="PNT4762" s="917"/>
      <c r="PNU4762" s="917"/>
      <c r="PNV4762" s="917"/>
      <c r="PNW4762" s="917"/>
      <c r="PNX4762" s="917"/>
      <c r="PNY4762" s="917"/>
      <c r="PNZ4762" s="917"/>
      <c r="POA4762" s="917"/>
      <c r="POB4762" s="917"/>
      <c r="POC4762" s="917"/>
      <c r="POD4762" s="917"/>
      <c r="POE4762" s="917"/>
      <c r="POF4762" s="917"/>
      <c r="POG4762" s="917"/>
      <c r="POH4762" s="917"/>
      <c r="POI4762" s="917"/>
      <c r="POJ4762" s="917"/>
      <c r="POK4762" s="917"/>
      <c r="POL4762" s="917"/>
      <c r="POM4762" s="917"/>
      <c r="PON4762" s="917"/>
      <c r="POO4762" s="917" t="s">
        <v>78</v>
      </c>
      <c r="POP4762" s="917"/>
      <c r="POQ4762" s="917"/>
      <c r="POR4762" s="917"/>
      <c r="POS4762" s="917"/>
      <c r="POT4762" s="917"/>
      <c r="POU4762" s="917"/>
      <c r="POV4762" s="917"/>
      <c r="POW4762" s="917"/>
      <c r="POX4762" s="917"/>
      <c r="POY4762" s="917"/>
      <c r="POZ4762" s="917"/>
      <c r="PPA4762" s="917"/>
      <c r="PPB4762" s="917"/>
      <c r="PPC4762" s="917"/>
      <c r="PPD4762" s="917"/>
      <c r="PPE4762" s="917"/>
      <c r="PPF4762" s="917"/>
      <c r="PPG4762" s="917"/>
      <c r="PPH4762" s="917"/>
      <c r="PPI4762" s="917"/>
      <c r="PPJ4762" s="917"/>
      <c r="PPK4762" s="917"/>
      <c r="PPL4762" s="917"/>
      <c r="PPM4762" s="917"/>
      <c r="PPN4762" s="917"/>
      <c r="PPO4762" s="917"/>
      <c r="PPP4762" s="917"/>
      <c r="PPQ4762" s="917"/>
      <c r="PPR4762" s="917"/>
      <c r="PPS4762" s="917"/>
      <c r="PPT4762" s="917"/>
      <c r="PPU4762" s="917" t="s">
        <v>78</v>
      </c>
      <c r="PPV4762" s="917"/>
      <c r="PPW4762" s="917"/>
      <c r="PPX4762" s="917"/>
      <c r="PPY4762" s="917"/>
      <c r="PPZ4762" s="917"/>
      <c r="PQA4762" s="917"/>
      <c r="PQB4762" s="917"/>
      <c r="PQC4762" s="917"/>
      <c r="PQD4762" s="917"/>
      <c r="PQE4762" s="917"/>
      <c r="PQF4762" s="917"/>
      <c r="PQG4762" s="917"/>
      <c r="PQH4762" s="917"/>
      <c r="PQI4762" s="917"/>
      <c r="PQJ4762" s="917"/>
      <c r="PQK4762" s="917"/>
      <c r="PQL4762" s="917"/>
      <c r="PQM4762" s="917"/>
      <c r="PQN4762" s="917"/>
      <c r="PQO4762" s="917"/>
      <c r="PQP4762" s="917"/>
      <c r="PQQ4762" s="917"/>
      <c r="PQR4762" s="917"/>
      <c r="PQS4762" s="917"/>
      <c r="PQT4762" s="917"/>
      <c r="PQU4762" s="917"/>
      <c r="PQV4762" s="917"/>
      <c r="PQW4762" s="917"/>
      <c r="PQX4762" s="917"/>
      <c r="PQY4762" s="917"/>
      <c r="PQZ4762" s="917"/>
      <c r="PRA4762" s="917" t="s">
        <v>78</v>
      </c>
      <c r="PRB4762" s="917"/>
      <c r="PRC4762" s="917"/>
      <c r="PRD4762" s="917"/>
      <c r="PRE4762" s="917"/>
      <c r="PRF4762" s="917"/>
      <c r="PRG4762" s="917"/>
      <c r="PRH4762" s="917"/>
      <c r="PRI4762" s="917"/>
      <c r="PRJ4762" s="917"/>
      <c r="PRK4762" s="917"/>
      <c r="PRL4762" s="917"/>
      <c r="PRM4762" s="917"/>
      <c r="PRN4762" s="917"/>
      <c r="PRO4762" s="917"/>
      <c r="PRP4762" s="917"/>
      <c r="PRQ4762" s="917"/>
      <c r="PRR4762" s="917"/>
      <c r="PRS4762" s="917"/>
      <c r="PRT4762" s="917"/>
      <c r="PRU4762" s="917"/>
      <c r="PRV4762" s="917"/>
      <c r="PRW4762" s="917"/>
      <c r="PRX4762" s="917"/>
      <c r="PRY4762" s="917"/>
      <c r="PRZ4762" s="917"/>
      <c r="PSA4762" s="917"/>
      <c r="PSB4762" s="917"/>
      <c r="PSC4762" s="917"/>
      <c r="PSD4762" s="917"/>
      <c r="PSE4762" s="917"/>
      <c r="PSF4762" s="917"/>
      <c r="PSG4762" s="917" t="s">
        <v>78</v>
      </c>
      <c r="PSH4762" s="917"/>
      <c r="PSI4762" s="917"/>
      <c r="PSJ4762" s="917"/>
      <c r="PSK4762" s="917"/>
      <c r="PSL4762" s="917"/>
      <c r="PSM4762" s="917"/>
      <c r="PSN4762" s="917"/>
      <c r="PSO4762" s="917"/>
      <c r="PSP4762" s="917"/>
      <c r="PSQ4762" s="917"/>
      <c r="PSR4762" s="917"/>
      <c r="PSS4762" s="917"/>
      <c r="PST4762" s="917"/>
      <c r="PSU4762" s="917"/>
      <c r="PSV4762" s="917"/>
      <c r="PSW4762" s="917"/>
      <c r="PSX4762" s="917"/>
      <c r="PSY4762" s="917"/>
      <c r="PSZ4762" s="917"/>
      <c r="PTA4762" s="917"/>
      <c r="PTB4762" s="917"/>
      <c r="PTC4762" s="917"/>
      <c r="PTD4762" s="917"/>
      <c r="PTE4762" s="917"/>
      <c r="PTF4762" s="917"/>
      <c r="PTG4762" s="917"/>
      <c r="PTH4762" s="917"/>
      <c r="PTI4762" s="917"/>
      <c r="PTJ4762" s="917"/>
      <c r="PTK4762" s="917"/>
      <c r="PTL4762" s="917"/>
      <c r="PTM4762" s="917" t="s">
        <v>78</v>
      </c>
      <c r="PTN4762" s="917"/>
      <c r="PTO4762" s="917"/>
      <c r="PTP4762" s="917"/>
      <c r="PTQ4762" s="917"/>
      <c r="PTR4762" s="917"/>
      <c r="PTS4762" s="917"/>
      <c r="PTT4762" s="917"/>
      <c r="PTU4762" s="917"/>
      <c r="PTV4762" s="917"/>
      <c r="PTW4762" s="917"/>
      <c r="PTX4762" s="917"/>
      <c r="PTY4762" s="917"/>
      <c r="PTZ4762" s="917"/>
      <c r="PUA4762" s="917"/>
      <c r="PUB4762" s="917"/>
      <c r="PUC4762" s="917"/>
      <c r="PUD4762" s="917"/>
      <c r="PUE4762" s="917"/>
      <c r="PUF4762" s="917"/>
      <c r="PUG4762" s="917"/>
      <c r="PUH4762" s="917"/>
      <c r="PUI4762" s="917"/>
      <c r="PUJ4762" s="917"/>
      <c r="PUK4762" s="917"/>
      <c r="PUL4762" s="917"/>
      <c r="PUM4762" s="917"/>
      <c r="PUN4762" s="917"/>
      <c r="PUO4762" s="917"/>
      <c r="PUP4762" s="917"/>
      <c r="PUQ4762" s="917"/>
      <c r="PUR4762" s="917"/>
      <c r="PUS4762" s="917" t="s">
        <v>78</v>
      </c>
      <c r="PUT4762" s="917"/>
      <c r="PUU4762" s="917"/>
      <c r="PUV4762" s="917"/>
      <c r="PUW4762" s="917"/>
      <c r="PUX4762" s="917"/>
      <c r="PUY4762" s="917"/>
      <c r="PUZ4762" s="917"/>
      <c r="PVA4762" s="917"/>
      <c r="PVB4762" s="917"/>
      <c r="PVC4762" s="917"/>
      <c r="PVD4762" s="917"/>
      <c r="PVE4762" s="917"/>
      <c r="PVF4762" s="917"/>
      <c r="PVG4762" s="917"/>
      <c r="PVH4762" s="917"/>
      <c r="PVI4762" s="917"/>
      <c r="PVJ4762" s="917"/>
      <c r="PVK4762" s="917"/>
      <c r="PVL4762" s="917"/>
      <c r="PVM4762" s="917"/>
      <c r="PVN4762" s="917"/>
      <c r="PVO4762" s="917"/>
      <c r="PVP4762" s="917"/>
      <c r="PVQ4762" s="917"/>
      <c r="PVR4762" s="917"/>
      <c r="PVS4762" s="917"/>
      <c r="PVT4762" s="917"/>
      <c r="PVU4762" s="917"/>
      <c r="PVV4762" s="917"/>
      <c r="PVW4762" s="917"/>
      <c r="PVX4762" s="917"/>
      <c r="PVY4762" s="917" t="s">
        <v>78</v>
      </c>
      <c r="PVZ4762" s="917"/>
      <c r="PWA4762" s="917"/>
      <c r="PWB4762" s="917"/>
      <c r="PWC4762" s="917"/>
      <c r="PWD4762" s="917"/>
      <c r="PWE4762" s="917"/>
      <c r="PWF4762" s="917"/>
      <c r="PWG4762" s="917"/>
      <c r="PWH4762" s="917"/>
      <c r="PWI4762" s="917"/>
      <c r="PWJ4762" s="917"/>
      <c r="PWK4762" s="917"/>
      <c r="PWL4762" s="917"/>
      <c r="PWM4762" s="917"/>
      <c r="PWN4762" s="917"/>
      <c r="PWO4762" s="917"/>
      <c r="PWP4762" s="917"/>
      <c r="PWQ4762" s="917"/>
      <c r="PWR4762" s="917"/>
      <c r="PWS4762" s="917"/>
      <c r="PWT4762" s="917"/>
      <c r="PWU4762" s="917"/>
      <c r="PWV4762" s="917"/>
      <c r="PWW4762" s="917"/>
      <c r="PWX4762" s="917"/>
      <c r="PWY4762" s="917"/>
      <c r="PWZ4762" s="917"/>
      <c r="PXA4762" s="917"/>
      <c r="PXB4762" s="917"/>
      <c r="PXC4762" s="917"/>
      <c r="PXD4762" s="917"/>
      <c r="PXE4762" s="917" t="s">
        <v>78</v>
      </c>
      <c r="PXF4762" s="917"/>
      <c r="PXG4762" s="917"/>
      <c r="PXH4762" s="917"/>
      <c r="PXI4762" s="917"/>
      <c r="PXJ4762" s="917"/>
      <c r="PXK4762" s="917"/>
      <c r="PXL4762" s="917"/>
      <c r="PXM4762" s="917"/>
      <c r="PXN4762" s="917"/>
      <c r="PXO4762" s="917"/>
      <c r="PXP4762" s="917"/>
      <c r="PXQ4762" s="917"/>
      <c r="PXR4762" s="917"/>
      <c r="PXS4762" s="917"/>
      <c r="PXT4762" s="917"/>
      <c r="PXU4762" s="917"/>
      <c r="PXV4762" s="917"/>
      <c r="PXW4762" s="917"/>
      <c r="PXX4762" s="917"/>
      <c r="PXY4762" s="917"/>
      <c r="PXZ4762" s="917"/>
      <c r="PYA4762" s="917"/>
      <c r="PYB4762" s="917"/>
      <c r="PYC4762" s="917"/>
      <c r="PYD4762" s="917"/>
      <c r="PYE4762" s="917"/>
      <c r="PYF4762" s="917"/>
      <c r="PYG4762" s="917"/>
      <c r="PYH4762" s="917"/>
      <c r="PYI4762" s="917"/>
      <c r="PYJ4762" s="917"/>
      <c r="PYK4762" s="917" t="s">
        <v>78</v>
      </c>
      <c r="PYL4762" s="917"/>
      <c r="PYM4762" s="917"/>
      <c r="PYN4762" s="917"/>
      <c r="PYO4762" s="917"/>
      <c r="PYP4762" s="917"/>
      <c r="PYQ4762" s="917"/>
      <c r="PYR4762" s="917"/>
      <c r="PYS4762" s="917"/>
      <c r="PYT4762" s="917"/>
      <c r="PYU4762" s="917"/>
      <c r="PYV4762" s="917"/>
      <c r="PYW4762" s="917"/>
      <c r="PYX4762" s="917"/>
      <c r="PYY4762" s="917"/>
      <c r="PYZ4762" s="917"/>
      <c r="PZA4762" s="917"/>
      <c r="PZB4762" s="917"/>
      <c r="PZC4762" s="917"/>
      <c r="PZD4762" s="917"/>
      <c r="PZE4762" s="917"/>
      <c r="PZF4762" s="917"/>
      <c r="PZG4762" s="917"/>
      <c r="PZH4762" s="917"/>
      <c r="PZI4762" s="917"/>
      <c r="PZJ4762" s="917"/>
      <c r="PZK4762" s="917"/>
      <c r="PZL4762" s="917"/>
      <c r="PZM4762" s="917"/>
      <c r="PZN4762" s="917"/>
      <c r="PZO4762" s="917"/>
      <c r="PZP4762" s="917"/>
      <c r="PZQ4762" s="917" t="s">
        <v>78</v>
      </c>
      <c r="PZR4762" s="917"/>
      <c r="PZS4762" s="917"/>
      <c r="PZT4762" s="917"/>
      <c r="PZU4762" s="917"/>
      <c r="PZV4762" s="917"/>
      <c r="PZW4762" s="917"/>
      <c r="PZX4762" s="917"/>
      <c r="PZY4762" s="917"/>
      <c r="PZZ4762" s="917"/>
      <c r="QAA4762" s="917"/>
      <c r="QAB4762" s="917"/>
      <c r="QAC4762" s="917"/>
      <c r="QAD4762" s="917"/>
      <c r="QAE4762" s="917"/>
      <c r="QAF4762" s="917"/>
      <c r="QAG4762" s="917"/>
      <c r="QAH4762" s="917"/>
      <c r="QAI4762" s="917"/>
      <c r="QAJ4762" s="917"/>
      <c r="QAK4762" s="917"/>
      <c r="QAL4762" s="917"/>
      <c r="QAM4762" s="917"/>
      <c r="QAN4762" s="917"/>
      <c r="QAO4762" s="917"/>
      <c r="QAP4762" s="917"/>
      <c r="QAQ4762" s="917"/>
      <c r="QAR4762" s="917"/>
      <c r="QAS4762" s="917"/>
      <c r="QAT4762" s="917"/>
      <c r="QAU4762" s="917"/>
      <c r="QAV4762" s="917"/>
      <c r="QAW4762" s="917" t="s">
        <v>78</v>
      </c>
      <c r="QAX4762" s="917"/>
      <c r="QAY4762" s="917"/>
      <c r="QAZ4762" s="917"/>
      <c r="QBA4762" s="917"/>
      <c r="QBB4762" s="917"/>
      <c r="QBC4762" s="917"/>
      <c r="QBD4762" s="917"/>
      <c r="QBE4762" s="917"/>
      <c r="QBF4762" s="917"/>
      <c r="QBG4762" s="917"/>
      <c r="QBH4762" s="917"/>
      <c r="QBI4762" s="917"/>
      <c r="QBJ4762" s="917"/>
      <c r="QBK4762" s="917"/>
      <c r="QBL4762" s="917"/>
      <c r="QBM4762" s="917"/>
      <c r="QBN4762" s="917"/>
      <c r="QBO4762" s="917"/>
      <c r="QBP4762" s="917"/>
      <c r="QBQ4762" s="917"/>
      <c r="QBR4762" s="917"/>
      <c r="QBS4762" s="917"/>
      <c r="QBT4762" s="917"/>
      <c r="QBU4762" s="917"/>
      <c r="QBV4762" s="917"/>
      <c r="QBW4762" s="917"/>
      <c r="QBX4762" s="917"/>
      <c r="QBY4762" s="917"/>
      <c r="QBZ4762" s="917"/>
      <c r="QCA4762" s="917"/>
      <c r="QCB4762" s="917"/>
      <c r="QCC4762" s="917" t="s">
        <v>78</v>
      </c>
      <c r="QCD4762" s="917"/>
      <c r="QCE4762" s="917"/>
      <c r="QCF4762" s="917"/>
      <c r="QCG4762" s="917"/>
      <c r="QCH4762" s="917"/>
      <c r="QCI4762" s="917"/>
      <c r="QCJ4762" s="917"/>
      <c r="QCK4762" s="917"/>
      <c r="QCL4762" s="917"/>
      <c r="QCM4762" s="917"/>
      <c r="QCN4762" s="917"/>
      <c r="QCO4762" s="917"/>
      <c r="QCP4762" s="917"/>
      <c r="QCQ4762" s="917"/>
      <c r="QCR4762" s="917"/>
      <c r="QCS4762" s="917"/>
      <c r="QCT4762" s="917"/>
      <c r="QCU4762" s="917"/>
      <c r="QCV4762" s="917"/>
      <c r="QCW4762" s="917"/>
      <c r="QCX4762" s="917"/>
      <c r="QCY4762" s="917"/>
      <c r="QCZ4762" s="917"/>
      <c r="QDA4762" s="917"/>
      <c r="QDB4762" s="917"/>
      <c r="QDC4762" s="917"/>
      <c r="QDD4762" s="917"/>
      <c r="QDE4762" s="917"/>
      <c r="QDF4762" s="917"/>
      <c r="QDG4762" s="917"/>
      <c r="QDH4762" s="917"/>
      <c r="QDI4762" s="917" t="s">
        <v>78</v>
      </c>
      <c r="QDJ4762" s="917"/>
      <c r="QDK4762" s="917"/>
      <c r="QDL4762" s="917"/>
      <c r="QDM4762" s="917"/>
      <c r="QDN4762" s="917"/>
      <c r="QDO4762" s="917"/>
      <c r="QDP4762" s="917"/>
      <c r="QDQ4762" s="917"/>
      <c r="QDR4762" s="917"/>
      <c r="QDS4762" s="917"/>
      <c r="QDT4762" s="917"/>
      <c r="QDU4762" s="917"/>
      <c r="QDV4762" s="917"/>
      <c r="QDW4762" s="917"/>
      <c r="QDX4762" s="917"/>
      <c r="QDY4762" s="917"/>
      <c r="QDZ4762" s="917"/>
      <c r="QEA4762" s="917"/>
      <c r="QEB4762" s="917"/>
      <c r="QEC4762" s="917"/>
      <c r="QED4762" s="917"/>
      <c r="QEE4762" s="917"/>
      <c r="QEF4762" s="917"/>
      <c r="QEG4762" s="917"/>
      <c r="QEH4762" s="917"/>
      <c r="QEI4762" s="917"/>
      <c r="QEJ4762" s="917"/>
      <c r="QEK4762" s="917"/>
      <c r="QEL4762" s="917"/>
      <c r="QEM4762" s="917"/>
      <c r="QEN4762" s="917"/>
      <c r="QEO4762" s="917" t="s">
        <v>78</v>
      </c>
      <c r="QEP4762" s="917"/>
      <c r="QEQ4762" s="917"/>
      <c r="QER4762" s="917"/>
      <c r="QES4762" s="917"/>
      <c r="QET4762" s="917"/>
      <c r="QEU4762" s="917"/>
      <c r="QEV4762" s="917"/>
      <c r="QEW4762" s="917"/>
      <c r="QEX4762" s="917"/>
      <c r="QEY4762" s="917"/>
      <c r="QEZ4762" s="917"/>
      <c r="QFA4762" s="917"/>
      <c r="QFB4762" s="917"/>
      <c r="QFC4762" s="917"/>
      <c r="QFD4762" s="917"/>
      <c r="QFE4762" s="917"/>
      <c r="QFF4762" s="917"/>
      <c r="QFG4762" s="917"/>
      <c r="QFH4762" s="917"/>
      <c r="QFI4762" s="917"/>
      <c r="QFJ4762" s="917"/>
      <c r="QFK4762" s="917"/>
      <c r="QFL4762" s="917"/>
      <c r="QFM4762" s="917"/>
      <c r="QFN4762" s="917"/>
      <c r="QFO4762" s="917"/>
      <c r="QFP4762" s="917"/>
      <c r="QFQ4762" s="917"/>
      <c r="QFR4762" s="917"/>
      <c r="QFS4762" s="917"/>
      <c r="QFT4762" s="917"/>
      <c r="QFU4762" s="917" t="s">
        <v>78</v>
      </c>
      <c r="QFV4762" s="917"/>
      <c r="QFW4762" s="917"/>
      <c r="QFX4762" s="917"/>
      <c r="QFY4762" s="917"/>
      <c r="QFZ4762" s="917"/>
      <c r="QGA4762" s="917"/>
      <c r="QGB4762" s="917"/>
      <c r="QGC4762" s="917"/>
      <c r="QGD4762" s="917"/>
      <c r="QGE4762" s="917"/>
      <c r="QGF4762" s="917"/>
      <c r="QGG4762" s="917"/>
      <c r="QGH4762" s="917"/>
      <c r="QGI4762" s="917"/>
      <c r="QGJ4762" s="917"/>
      <c r="QGK4762" s="917"/>
      <c r="QGL4762" s="917"/>
      <c r="QGM4762" s="917"/>
      <c r="QGN4762" s="917"/>
      <c r="QGO4762" s="917"/>
      <c r="QGP4762" s="917"/>
      <c r="QGQ4762" s="917"/>
      <c r="QGR4762" s="917"/>
      <c r="QGS4762" s="917"/>
      <c r="QGT4762" s="917"/>
      <c r="QGU4762" s="917"/>
      <c r="QGV4762" s="917"/>
      <c r="QGW4762" s="917"/>
      <c r="QGX4762" s="917"/>
      <c r="QGY4762" s="917"/>
      <c r="QGZ4762" s="917"/>
      <c r="QHA4762" s="917" t="s">
        <v>78</v>
      </c>
      <c r="QHB4762" s="917"/>
      <c r="QHC4762" s="917"/>
      <c r="QHD4762" s="917"/>
      <c r="QHE4762" s="917"/>
      <c r="QHF4762" s="917"/>
      <c r="QHG4762" s="917"/>
      <c r="QHH4762" s="917"/>
      <c r="QHI4762" s="917"/>
      <c r="QHJ4762" s="917"/>
      <c r="QHK4762" s="917"/>
      <c r="QHL4762" s="917"/>
      <c r="QHM4762" s="917"/>
      <c r="QHN4762" s="917"/>
      <c r="QHO4762" s="917"/>
      <c r="QHP4762" s="917"/>
      <c r="QHQ4762" s="917"/>
      <c r="QHR4762" s="917"/>
      <c r="QHS4762" s="917"/>
      <c r="QHT4762" s="917"/>
      <c r="QHU4762" s="917"/>
      <c r="QHV4762" s="917"/>
      <c r="QHW4762" s="917"/>
      <c r="QHX4762" s="917"/>
      <c r="QHY4762" s="917"/>
      <c r="QHZ4762" s="917"/>
      <c r="QIA4762" s="917"/>
      <c r="QIB4762" s="917"/>
      <c r="QIC4762" s="917"/>
      <c r="QID4762" s="917"/>
      <c r="QIE4762" s="917"/>
      <c r="QIF4762" s="917"/>
      <c r="QIG4762" s="917" t="s">
        <v>78</v>
      </c>
      <c r="QIH4762" s="917"/>
      <c r="QII4762" s="917"/>
      <c r="QIJ4762" s="917"/>
      <c r="QIK4762" s="917"/>
      <c r="QIL4762" s="917"/>
      <c r="QIM4762" s="917"/>
      <c r="QIN4762" s="917"/>
      <c r="QIO4762" s="917"/>
      <c r="QIP4762" s="917"/>
      <c r="QIQ4762" s="917"/>
      <c r="QIR4762" s="917"/>
      <c r="QIS4762" s="917"/>
      <c r="QIT4762" s="917"/>
      <c r="QIU4762" s="917"/>
      <c r="QIV4762" s="917"/>
      <c r="QIW4762" s="917"/>
      <c r="QIX4762" s="917"/>
      <c r="QIY4762" s="917"/>
      <c r="QIZ4762" s="917"/>
      <c r="QJA4762" s="917"/>
      <c r="QJB4762" s="917"/>
      <c r="QJC4762" s="917"/>
      <c r="QJD4762" s="917"/>
      <c r="QJE4762" s="917"/>
      <c r="QJF4762" s="917"/>
      <c r="QJG4762" s="917"/>
      <c r="QJH4762" s="917"/>
      <c r="QJI4762" s="917"/>
      <c r="QJJ4762" s="917"/>
      <c r="QJK4762" s="917"/>
      <c r="QJL4762" s="917"/>
      <c r="QJM4762" s="917" t="s">
        <v>78</v>
      </c>
      <c r="QJN4762" s="917"/>
      <c r="QJO4762" s="917"/>
      <c r="QJP4762" s="917"/>
      <c r="QJQ4762" s="917"/>
      <c r="QJR4762" s="917"/>
      <c r="QJS4762" s="917"/>
      <c r="QJT4762" s="917"/>
      <c r="QJU4762" s="917"/>
      <c r="QJV4762" s="917"/>
      <c r="QJW4762" s="917"/>
      <c r="QJX4762" s="917"/>
      <c r="QJY4762" s="917"/>
      <c r="QJZ4762" s="917"/>
      <c r="QKA4762" s="917"/>
      <c r="QKB4762" s="917"/>
      <c r="QKC4762" s="917"/>
      <c r="QKD4762" s="917"/>
      <c r="QKE4762" s="917"/>
      <c r="QKF4762" s="917"/>
      <c r="QKG4762" s="917"/>
      <c r="QKH4762" s="917"/>
      <c r="QKI4762" s="917"/>
      <c r="QKJ4762" s="917"/>
      <c r="QKK4762" s="917"/>
      <c r="QKL4762" s="917"/>
      <c r="QKM4762" s="917"/>
      <c r="QKN4762" s="917"/>
      <c r="QKO4762" s="917"/>
      <c r="QKP4762" s="917"/>
      <c r="QKQ4762" s="917"/>
      <c r="QKR4762" s="917"/>
      <c r="QKS4762" s="917" t="s">
        <v>78</v>
      </c>
      <c r="QKT4762" s="917"/>
      <c r="QKU4762" s="917"/>
      <c r="QKV4762" s="917"/>
      <c r="QKW4762" s="917"/>
      <c r="QKX4762" s="917"/>
      <c r="QKY4762" s="917"/>
      <c r="QKZ4762" s="917"/>
      <c r="QLA4762" s="917"/>
      <c r="QLB4762" s="917"/>
      <c r="QLC4762" s="917"/>
      <c r="QLD4762" s="917"/>
      <c r="QLE4762" s="917"/>
      <c r="QLF4762" s="917"/>
      <c r="QLG4762" s="917"/>
      <c r="QLH4762" s="917"/>
      <c r="QLI4762" s="917"/>
      <c r="QLJ4762" s="917"/>
      <c r="QLK4762" s="917"/>
      <c r="QLL4762" s="917"/>
      <c r="QLM4762" s="917"/>
      <c r="QLN4762" s="917"/>
      <c r="QLO4762" s="917"/>
      <c r="QLP4762" s="917"/>
      <c r="QLQ4762" s="917"/>
      <c r="QLR4762" s="917"/>
      <c r="QLS4762" s="917"/>
      <c r="QLT4762" s="917"/>
      <c r="QLU4762" s="917"/>
      <c r="QLV4762" s="917"/>
      <c r="QLW4762" s="917"/>
      <c r="QLX4762" s="917"/>
      <c r="QLY4762" s="917" t="s">
        <v>78</v>
      </c>
      <c r="QLZ4762" s="917"/>
      <c r="QMA4762" s="917"/>
      <c r="QMB4762" s="917"/>
      <c r="QMC4762" s="917"/>
      <c r="QMD4762" s="917"/>
      <c r="QME4762" s="917"/>
      <c r="QMF4762" s="917"/>
      <c r="QMG4762" s="917"/>
      <c r="QMH4762" s="917"/>
      <c r="QMI4762" s="917"/>
      <c r="QMJ4762" s="917"/>
      <c r="QMK4762" s="917"/>
      <c r="QML4762" s="917"/>
      <c r="QMM4762" s="917"/>
      <c r="QMN4762" s="917"/>
      <c r="QMO4762" s="917"/>
      <c r="QMP4762" s="917"/>
      <c r="QMQ4762" s="917"/>
      <c r="QMR4762" s="917"/>
      <c r="QMS4762" s="917"/>
      <c r="QMT4762" s="917"/>
      <c r="QMU4762" s="917"/>
      <c r="QMV4762" s="917"/>
      <c r="QMW4762" s="917"/>
      <c r="QMX4762" s="917"/>
      <c r="QMY4762" s="917"/>
      <c r="QMZ4762" s="917"/>
      <c r="QNA4762" s="917"/>
      <c r="QNB4762" s="917"/>
      <c r="QNC4762" s="917"/>
      <c r="QND4762" s="917"/>
      <c r="QNE4762" s="917" t="s">
        <v>78</v>
      </c>
      <c r="QNF4762" s="917"/>
      <c r="QNG4762" s="917"/>
      <c r="QNH4762" s="917"/>
      <c r="QNI4762" s="917"/>
      <c r="QNJ4762" s="917"/>
      <c r="QNK4762" s="917"/>
      <c r="QNL4762" s="917"/>
      <c r="QNM4762" s="917"/>
      <c r="QNN4762" s="917"/>
      <c r="QNO4762" s="917"/>
      <c r="QNP4762" s="917"/>
      <c r="QNQ4762" s="917"/>
      <c r="QNR4762" s="917"/>
      <c r="QNS4762" s="917"/>
      <c r="QNT4762" s="917"/>
      <c r="QNU4762" s="917"/>
      <c r="QNV4762" s="917"/>
      <c r="QNW4762" s="917"/>
      <c r="QNX4762" s="917"/>
      <c r="QNY4762" s="917"/>
      <c r="QNZ4762" s="917"/>
      <c r="QOA4762" s="917"/>
      <c r="QOB4762" s="917"/>
      <c r="QOC4762" s="917"/>
      <c r="QOD4762" s="917"/>
      <c r="QOE4762" s="917"/>
      <c r="QOF4762" s="917"/>
      <c r="QOG4762" s="917"/>
      <c r="QOH4762" s="917"/>
      <c r="QOI4762" s="917"/>
      <c r="QOJ4762" s="917"/>
      <c r="QOK4762" s="917" t="s">
        <v>78</v>
      </c>
      <c r="QOL4762" s="917"/>
      <c r="QOM4762" s="917"/>
      <c r="QON4762" s="917"/>
      <c r="QOO4762" s="917"/>
      <c r="QOP4762" s="917"/>
      <c r="QOQ4762" s="917"/>
      <c r="QOR4762" s="917"/>
      <c r="QOS4762" s="917"/>
      <c r="QOT4762" s="917"/>
      <c r="QOU4762" s="917"/>
      <c r="QOV4762" s="917"/>
      <c r="QOW4762" s="917"/>
      <c r="QOX4762" s="917"/>
      <c r="QOY4762" s="917"/>
      <c r="QOZ4762" s="917"/>
      <c r="QPA4762" s="917"/>
      <c r="QPB4762" s="917"/>
      <c r="QPC4762" s="917"/>
      <c r="QPD4762" s="917"/>
      <c r="QPE4762" s="917"/>
      <c r="QPF4762" s="917"/>
      <c r="QPG4762" s="917"/>
      <c r="QPH4762" s="917"/>
      <c r="QPI4762" s="917"/>
      <c r="QPJ4762" s="917"/>
      <c r="QPK4762" s="917"/>
      <c r="QPL4762" s="917"/>
      <c r="QPM4762" s="917"/>
      <c r="QPN4762" s="917"/>
      <c r="QPO4762" s="917"/>
      <c r="QPP4762" s="917"/>
      <c r="QPQ4762" s="917" t="s">
        <v>78</v>
      </c>
      <c r="QPR4762" s="917"/>
      <c r="QPS4762" s="917"/>
      <c r="QPT4762" s="917"/>
      <c r="QPU4762" s="917"/>
      <c r="QPV4762" s="917"/>
      <c r="QPW4762" s="917"/>
      <c r="QPX4762" s="917"/>
      <c r="QPY4762" s="917"/>
      <c r="QPZ4762" s="917"/>
      <c r="QQA4762" s="917"/>
      <c r="QQB4762" s="917"/>
      <c r="QQC4762" s="917"/>
      <c r="QQD4762" s="917"/>
      <c r="QQE4762" s="917"/>
      <c r="QQF4762" s="917"/>
      <c r="QQG4762" s="917"/>
      <c r="QQH4762" s="917"/>
      <c r="QQI4762" s="917"/>
      <c r="QQJ4762" s="917"/>
      <c r="QQK4762" s="917"/>
      <c r="QQL4762" s="917"/>
      <c r="QQM4762" s="917"/>
      <c r="QQN4762" s="917"/>
      <c r="QQO4762" s="917"/>
      <c r="QQP4762" s="917"/>
      <c r="QQQ4762" s="917"/>
      <c r="QQR4762" s="917"/>
      <c r="QQS4762" s="917"/>
      <c r="QQT4762" s="917"/>
      <c r="QQU4762" s="917"/>
      <c r="QQV4762" s="917"/>
      <c r="QQW4762" s="917" t="s">
        <v>78</v>
      </c>
      <c r="QQX4762" s="917"/>
      <c r="QQY4762" s="917"/>
      <c r="QQZ4762" s="917"/>
      <c r="QRA4762" s="917"/>
      <c r="QRB4762" s="917"/>
      <c r="QRC4762" s="917"/>
      <c r="QRD4762" s="917"/>
      <c r="QRE4762" s="917"/>
      <c r="QRF4762" s="917"/>
      <c r="QRG4762" s="917"/>
      <c r="QRH4762" s="917"/>
      <c r="QRI4762" s="917"/>
      <c r="QRJ4762" s="917"/>
      <c r="QRK4762" s="917"/>
      <c r="QRL4762" s="917"/>
      <c r="QRM4762" s="917"/>
      <c r="QRN4762" s="917"/>
      <c r="QRO4762" s="917"/>
      <c r="QRP4762" s="917"/>
      <c r="QRQ4762" s="917"/>
      <c r="QRR4762" s="917"/>
      <c r="QRS4762" s="917"/>
      <c r="QRT4762" s="917"/>
      <c r="QRU4762" s="917"/>
      <c r="QRV4762" s="917"/>
      <c r="QRW4762" s="917"/>
      <c r="QRX4762" s="917"/>
      <c r="QRY4762" s="917"/>
      <c r="QRZ4762" s="917"/>
      <c r="QSA4762" s="917"/>
      <c r="QSB4762" s="917"/>
      <c r="QSC4762" s="917" t="s">
        <v>78</v>
      </c>
      <c r="QSD4762" s="917"/>
      <c r="QSE4762" s="917"/>
      <c r="QSF4762" s="917"/>
      <c r="QSG4762" s="917"/>
      <c r="QSH4762" s="917"/>
      <c r="QSI4762" s="917"/>
      <c r="QSJ4762" s="917"/>
      <c r="QSK4762" s="917"/>
      <c r="QSL4762" s="917"/>
      <c r="QSM4762" s="917"/>
      <c r="QSN4762" s="917"/>
      <c r="QSO4762" s="917"/>
      <c r="QSP4762" s="917"/>
      <c r="QSQ4762" s="917"/>
      <c r="QSR4762" s="917"/>
      <c r="QSS4762" s="917"/>
      <c r="QST4762" s="917"/>
      <c r="QSU4762" s="917"/>
      <c r="QSV4762" s="917"/>
      <c r="QSW4762" s="917"/>
      <c r="QSX4762" s="917"/>
      <c r="QSY4762" s="917"/>
      <c r="QSZ4762" s="917"/>
      <c r="QTA4762" s="917"/>
      <c r="QTB4762" s="917"/>
      <c r="QTC4762" s="917"/>
      <c r="QTD4762" s="917"/>
      <c r="QTE4762" s="917"/>
      <c r="QTF4762" s="917"/>
      <c r="QTG4762" s="917"/>
      <c r="QTH4762" s="917"/>
      <c r="QTI4762" s="917" t="s">
        <v>78</v>
      </c>
      <c r="QTJ4762" s="917"/>
      <c r="QTK4762" s="917"/>
      <c r="QTL4762" s="917"/>
      <c r="QTM4762" s="917"/>
      <c r="QTN4762" s="917"/>
      <c r="QTO4762" s="917"/>
      <c r="QTP4762" s="917"/>
      <c r="QTQ4762" s="917"/>
      <c r="QTR4762" s="917"/>
      <c r="QTS4762" s="917"/>
      <c r="QTT4762" s="917"/>
      <c r="QTU4762" s="917"/>
      <c r="QTV4762" s="917"/>
      <c r="QTW4762" s="917"/>
      <c r="QTX4762" s="917"/>
      <c r="QTY4762" s="917"/>
      <c r="QTZ4762" s="917"/>
      <c r="QUA4762" s="917"/>
      <c r="QUB4762" s="917"/>
      <c r="QUC4762" s="917"/>
      <c r="QUD4762" s="917"/>
      <c r="QUE4762" s="917"/>
      <c r="QUF4762" s="917"/>
      <c r="QUG4762" s="917"/>
      <c r="QUH4762" s="917"/>
      <c r="QUI4762" s="917"/>
      <c r="QUJ4762" s="917"/>
      <c r="QUK4762" s="917"/>
      <c r="QUL4762" s="917"/>
      <c r="QUM4762" s="917"/>
      <c r="QUN4762" s="917"/>
      <c r="QUO4762" s="917" t="s">
        <v>78</v>
      </c>
      <c r="QUP4762" s="917"/>
      <c r="QUQ4762" s="917"/>
      <c r="QUR4762" s="917"/>
      <c r="QUS4762" s="917"/>
      <c r="QUT4762" s="917"/>
      <c r="QUU4762" s="917"/>
      <c r="QUV4762" s="917"/>
      <c r="QUW4762" s="917"/>
      <c r="QUX4762" s="917"/>
      <c r="QUY4762" s="917"/>
      <c r="QUZ4762" s="917"/>
      <c r="QVA4762" s="917"/>
      <c r="QVB4762" s="917"/>
      <c r="QVC4762" s="917"/>
      <c r="QVD4762" s="917"/>
      <c r="QVE4762" s="917"/>
      <c r="QVF4762" s="917"/>
      <c r="QVG4762" s="917"/>
      <c r="QVH4762" s="917"/>
      <c r="QVI4762" s="917"/>
      <c r="QVJ4762" s="917"/>
      <c r="QVK4762" s="917"/>
      <c r="QVL4762" s="917"/>
      <c r="QVM4762" s="917"/>
      <c r="QVN4762" s="917"/>
      <c r="QVO4762" s="917"/>
      <c r="QVP4762" s="917"/>
      <c r="QVQ4762" s="917"/>
      <c r="QVR4762" s="917"/>
      <c r="QVS4762" s="917"/>
      <c r="QVT4762" s="917"/>
      <c r="QVU4762" s="917" t="s">
        <v>78</v>
      </c>
      <c r="QVV4762" s="917"/>
      <c r="QVW4762" s="917"/>
      <c r="QVX4762" s="917"/>
      <c r="QVY4762" s="917"/>
      <c r="QVZ4762" s="917"/>
      <c r="QWA4762" s="917"/>
      <c r="QWB4762" s="917"/>
      <c r="QWC4762" s="917"/>
      <c r="QWD4762" s="917"/>
      <c r="QWE4762" s="917"/>
      <c r="QWF4762" s="917"/>
      <c r="QWG4762" s="917"/>
      <c r="QWH4762" s="917"/>
      <c r="QWI4762" s="917"/>
      <c r="QWJ4762" s="917"/>
      <c r="QWK4762" s="917"/>
      <c r="QWL4762" s="917"/>
      <c r="QWM4762" s="917"/>
      <c r="QWN4762" s="917"/>
      <c r="QWO4762" s="917"/>
      <c r="QWP4762" s="917"/>
      <c r="QWQ4762" s="917"/>
      <c r="QWR4762" s="917"/>
      <c r="QWS4762" s="917"/>
      <c r="QWT4762" s="917"/>
      <c r="QWU4762" s="917"/>
      <c r="QWV4762" s="917"/>
      <c r="QWW4762" s="917"/>
      <c r="QWX4762" s="917"/>
      <c r="QWY4762" s="917"/>
      <c r="QWZ4762" s="917"/>
      <c r="QXA4762" s="917" t="s">
        <v>78</v>
      </c>
      <c r="QXB4762" s="917"/>
      <c r="QXC4762" s="917"/>
      <c r="QXD4762" s="917"/>
      <c r="QXE4762" s="917"/>
      <c r="QXF4762" s="917"/>
      <c r="QXG4762" s="917"/>
      <c r="QXH4762" s="917"/>
      <c r="QXI4762" s="917"/>
      <c r="QXJ4762" s="917"/>
      <c r="QXK4762" s="917"/>
      <c r="QXL4762" s="917"/>
      <c r="QXM4762" s="917"/>
      <c r="QXN4762" s="917"/>
      <c r="QXO4762" s="917"/>
      <c r="QXP4762" s="917"/>
      <c r="QXQ4762" s="917"/>
      <c r="QXR4762" s="917"/>
      <c r="QXS4762" s="917"/>
      <c r="QXT4762" s="917"/>
      <c r="QXU4762" s="917"/>
      <c r="QXV4762" s="917"/>
      <c r="QXW4762" s="917"/>
      <c r="QXX4762" s="917"/>
      <c r="QXY4762" s="917"/>
      <c r="QXZ4762" s="917"/>
      <c r="QYA4762" s="917"/>
      <c r="QYB4762" s="917"/>
      <c r="QYC4762" s="917"/>
      <c r="QYD4762" s="917"/>
      <c r="QYE4762" s="917"/>
      <c r="QYF4762" s="917"/>
      <c r="QYG4762" s="917" t="s">
        <v>78</v>
      </c>
      <c r="QYH4762" s="917"/>
      <c r="QYI4762" s="917"/>
      <c r="QYJ4762" s="917"/>
      <c r="QYK4762" s="917"/>
      <c r="QYL4762" s="917"/>
      <c r="QYM4762" s="917"/>
      <c r="QYN4762" s="917"/>
      <c r="QYO4762" s="917"/>
      <c r="QYP4762" s="917"/>
      <c r="QYQ4762" s="917"/>
      <c r="QYR4762" s="917"/>
      <c r="QYS4762" s="917"/>
      <c r="QYT4762" s="917"/>
      <c r="QYU4762" s="917"/>
      <c r="QYV4762" s="917"/>
      <c r="QYW4762" s="917"/>
      <c r="QYX4762" s="917"/>
      <c r="QYY4762" s="917"/>
      <c r="QYZ4762" s="917"/>
      <c r="QZA4762" s="917"/>
      <c r="QZB4762" s="917"/>
      <c r="QZC4762" s="917"/>
      <c r="QZD4762" s="917"/>
      <c r="QZE4762" s="917"/>
      <c r="QZF4762" s="917"/>
      <c r="QZG4762" s="917"/>
      <c r="QZH4762" s="917"/>
      <c r="QZI4762" s="917"/>
      <c r="QZJ4762" s="917"/>
      <c r="QZK4762" s="917"/>
      <c r="QZL4762" s="917"/>
      <c r="QZM4762" s="917" t="s">
        <v>78</v>
      </c>
      <c r="QZN4762" s="917"/>
      <c r="QZO4762" s="917"/>
      <c r="QZP4762" s="917"/>
      <c r="QZQ4762" s="917"/>
      <c r="QZR4762" s="917"/>
      <c r="QZS4762" s="917"/>
      <c r="QZT4762" s="917"/>
      <c r="QZU4762" s="917"/>
      <c r="QZV4762" s="917"/>
      <c r="QZW4762" s="917"/>
      <c r="QZX4762" s="917"/>
      <c r="QZY4762" s="917"/>
      <c r="QZZ4762" s="917"/>
      <c r="RAA4762" s="917"/>
      <c r="RAB4762" s="917"/>
      <c r="RAC4762" s="917"/>
      <c r="RAD4762" s="917"/>
      <c r="RAE4762" s="917"/>
      <c r="RAF4762" s="917"/>
      <c r="RAG4762" s="917"/>
      <c r="RAH4762" s="917"/>
      <c r="RAI4762" s="917"/>
      <c r="RAJ4762" s="917"/>
      <c r="RAK4762" s="917"/>
      <c r="RAL4762" s="917"/>
      <c r="RAM4762" s="917"/>
      <c r="RAN4762" s="917"/>
      <c r="RAO4762" s="917"/>
      <c r="RAP4762" s="917"/>
      <c r="RAQ4762" s="917"/>
      <c r="RAR4762" s="917"/>
      <c r="RAS4762" s="917" t="s">
        <v>78</v>
      </c>
      <c r="RAT4762" s="917"/>
      <c r="RAU4762" s="917"/>
      <c r="RAV4762" s="917"/>
      <c r="RAW4762" s="917"/>
      <c r="RAX4762" s="917"/>
      <c r="RAY4762" s="917"/>
      <c r="RAZ4762" s="917"/>
      <c r="RBA4762" s="917"/>
      <c r="RBB4762" s="917"/>
      <c r="RBC4762" s="917"/>
      <c r="RBD4762" s="917"/>
      <c r="RBE4762" s="917"/>
      <c r="RBF4762" s="917"/>
      <c r="RBG4762" s="917"/>
      <c r="RBH4762" s="917"/>
      <c r="RBI4762" s="917"/>
      <c r="RBJ4762" s="917"/>
      <c r="RBK4762" s="917"/>
      <c r="RBL4762" s="917"/>
      <c r="RBM4762" s="917"/>
      <c r="RBN4762" s="917"/>
      <c r="RBO4762" s="917"/>
      <c r="RBP4762" s="917"/>
      <c r="RBQ4762" s="917"/>
      <c r="RBR4762" s="917"/>
      <c r="RBS4762" s="917"/>
      <c r="RBT4762" s="917"/>
      <c r="RBU4762" s="917"/>
      <c r="RBV4762" s="917"/>
      <c r="RBW4762" s="917"/>
      <c r="RBX4762" s="917"/>
      <c r="RBY4762" s="917" t="s">
        <v>78</v>
      </c>
      <c r="RBZ4762" s="917"/>
      <c r="RCA4762" s="917"/>
      <c r="RCB4762" s="917"/>
      <c r="RCC4762" s="917"/>
      <c r="RCD4762" s="917"/>
      <c r="RCE4762" s="917"/>
      <c r="RCF4762" s="917"/>
      <c r="RCG4762" s="917"/>
      <c r="RCH4762" s="917"/>
      <c r="RCI4762" s="917"/>
      <c r="RCJ4762" s="917"/>
      <c r="RCK4762" s="917"/>
      <c r="RCL4762" s="917"/>
      <c r="RCM4762" s="917"/>
      <c r="RCN4762" s="917"/>
      <c r="RCO4762" s="917"/>
      <c r="RCP4762" s="917"/>
      <c r="RCQ4762" s="917"/>
      <c r="RCR4762" s="917"/>
      <c r="RCS4762" s="917"/>
      <c r="RCT4762" s="917"/>
      <c r="RCU4762" s="917"/>
      <c r="RCV4762" s="917"/>
      <c r="RCW4762" s="917"/>
      <c r="RCX4762" s="917"/>
      <c r="RCY4762" s="917"/>
      <c r="RCZ4762" s="917"/>
      <c r="RDA4762" s="917"/>
      <c r="RDB4762" s="917"/>
      <c r="RDC4762" s="917"/>
      <c r="RDD4762" s="917"/>
      <c r="RDE4762" s="917" t="s">
        <v>78</v>
      </c>
      <c r="RDF4762" s="917"/>
      <c r="RDG4762" s="917"/>
      <c r="RDH4762" s="917"/>
      <c r="RDI4762" s="917"/>
      <c r="RDJ4762" s="917"/>
      <c r="RDK4762" s="917"/>
      <c r="RDL4762" s="917"/>
      <c r="RDM4762" s="917"/>
      <c r="RDN4762" s="917"/>
      <c r="RDO4762" s="917"/>
      <c r="RDP4762" s="917"/>
      <c r="RDQ4762" s="917"/>
      <c r="RDR4762" s="917"/>
      <c r="RDS4762" s="917"/>
      <c r="RDT4762" s="917"/>
      <c r="RDU4762" s="917"/>
      <c r="RDV4762" s="917"/>
      <c r="RDW4762" s="917"/>
      <c r="RDX4762" s="917"/>
      <c r="RDY4762" s="917"/>
      <c r="RDZ4762" s="917"/>
      <c r="REA4762" s="917"/>
      <c r="REB4762" s="917"/>
      <c r="REC4762" s="917"/>
      <c r="RED4762" s="917"/>
      <c r="REE4762" s="917"/>
      <c r="REF4762" s="917"/>
      <c r="REG4762" s="917"/>
      <c r="REH4762" s="917"/>
      <c r="REI4762" s="917"/>
      <c r="REJ4762" s="917"/>
      <c r="REK4762" s="917" t="s">
        <v>78</v>
      </c>
      <c r="REL4762" s="917"/>
      <c r="REM4762" s="917"/>
      <c r="REN4762" s="917"/>
      <c r="REO4762" s="917"/>
      <c r="REP4762" s="917"/>
      <c r="REQ4762" s="917"/>
      <c r="RER4762" s="917"/>
      <c r="RES4762" s="917"/>
      <c r="RET4762" s="917"/>
      <c r="REU4762" s="917"/>
      <c r="REV4762" s="917"/>
      <c r="REW4762" s="917"/>
      <c r="REX4762" s="917"/>
      <c r="REY4762" s="917"/>
      <c r="REZ4762" s="917"/>
      <c r="RFA4762" s="917"/>
      <c r="RFB4762" s="917"/>
      <c r="RFC4762" s="917"/>
      <c r="RFD4762" s="917"/>
      <c r="RFE4762" s="917"/>
      <c r="RFF4762" s="917"/>
      <c r="RFG4762" s="917"/>
      <c r="RFH4762" s="917"/>
      <c r="RFI4762" s="917"/>
      <c r="RFJ4762" s="917"/>
      <c r="RFK4762" s="917"/>
      <c r="RFL4762" s="917"/>
      <c r="RFM4762" s="917"/>
      <c r="RFN4762" s="917"/>
      <c r="RFO4762" s="917"/>
      <c r="RFP4762" s="917"/>
      <c r="RFQ4762" s="917" t="s">
        <v>78</v>
      </c>
      <c r="RFR4762" s="917"/>
      <c r="RFS4762" s="917"/>
      <c r="RFT4762" s="917"/>
      <c r="RFU4762" s="917"/>
      <c r="RFV4762" s="917"/>
      <c r="RFW4762" s="917"/>
      <c r="RFX4762" s="917"/>
      <c r="RFY4762" s="917"/>
      <c r="RFZ4762" s="917"/>
      <c r="RGA4762" s="917"/>
      <c r="RGB4762" s="917"/>
      <c r="RGC4762" s="917"/>
      <c r="RGD4762" s="917"/>
      <c r="RGE4762" s="917"/>
      <c r="RGF4762" s="917"/>
      <c r="RGG4762" s="917"/>
      <c r="RGH4762" s="917"/>
      <c r="RGI4762" s="917"/>
      <c r="RGJ4762" s="917"/>
      <c r="RGK4762" s="917"/>
      <c r="RGL4762" s="917"/>
      <c r="RGM4762" s="917"/>
      <c r="RGN4762" s="917"/>
      <c r="RGO4762" s="917"/>
      <c r="RGP4762" s="917"/>
      <c r="RGQ4762" s="917"/>
      <c r="RGR4762" s="917"/>
      <c r="RGS4762" s="917"/>
      <c r="RGT4762" s="917"/>
      <c r="RGU4762" s="917"/>
      <c r="RGV4762" s="917"/>
      <c r="RGW4762" s="917" t="s">
        <v>78</v>
      </c>
      <c r="RGX4762" s="917"/>
      <c r="RGY4762" s="917"/>
      <c r="RGZ4762" s="917"/>
      <c r="RHA4762" s="917"/>
      <c r="RHB4762" s="917"/>
      <c r="RHC4762" s="917"/>
      <c r="RHD4762" s="917"/>
      <c r="RHE4762" s="917"/>
      <c r="RHF4762" s="917"/>
      <c r="RHG4762" s="917"/>
      <c r="RHH4762" s="917"/>
      <c r="RHI4762" s="917"/>
      <c r="RHJ4762" s="917"/>
      <c r="RHK4762" s="917"/>
      <c r="RHL4762" s="917"/>
      <c r="RHM4762" s="917"/>
      <c r="RHN4762" s="917"/>
      <c r="RHO4762" s="917"/>
      <c r="RHP4762" s="917"/>
      <c r="RHQ4762" s="917"/>
      <c r="RHR4762" s="917"/>
      <c r="RHS4762" s="917"/>
      <c r="RHT4762" s="917"/>
      <c r="RHU4762" s="917"/>
      <c r="RHV4762" s="917"/>
      <c r="RHW4762" s="917"/>
      <c r="RHX4762" s="917"/>
      <c r="RHY4762" s="917"/>
      <c r="RHZ4762" s="917"/>
      <c r="RIA4762" s="917"/>
      <c r="RIB4762" s="917"/>
      <c r="RIC4762" s="917" t="s">
        <v>78</v>
      </c>
      <c r="RID4762" s="917"/>
      <c r="RIE4762" s="917"/>
      <c r="RIF4762" s="917"/>
      <c r="RIG4762" s="917"/>
      <c r="RIH4762" s="917"/>
      <c r="RII4762" s="917"/>
      <c r="RIJ4762" s="917"/>
      <c r="RIK4762" s="917"/>
      <c r="RIL4762" s="917"/>
      <c r="RIM4762" s="917"/>
      <c r="RIN4762" s="917"/>
      <c r="RIO4762" s="917"/>
      <c r="RIP4762" s="917"/>
      <c r="RIQ4762" s="917"/>
      <c r="RIR4762" s="917"/>
      <c r="RIS4762" s="917"/>
      <c r="RIT4762" s="917"/>
      <c r="RIU4762" s="917"/>
      <c r="RIV4762" s="917"/>
      <c r="RIW4762" s="917"/>
      <c r="RIX4762" s="917"/>
      <c r="RIY4762" s="917"/>
      <c r="RIZ4762" s="917"/>
      <c r="RJA4762" s="917"/>
      <c r="RJB4762" s="917"/>
      <c r="RJC4762" s="917"/>
      <c r="RJD4762" s="917"/>
      <c r="RJE4762" s="917"/>
      <c r="RJF4762" s="917"/>
      <c r="RJG4762" s="917"/>
      <c r="RJH4762" s="917"/>
      <c r="RJI4762" s="917" t="s">
        <v>78</v>
      </c>
      <c r="RJJ4762" s="917"/>
      <c r="RJK4762" s="917"/>
      <c r="RJL4762" s="917"/>
      <c r="RJM4762" s="917"/>
      <c r="RJN4762" s="917"/>
      <c r="RJO4762" s="917"/>
      <c r="RJP4762" s="917"/>
      <c r="RJQ4762" s="917"/>
      <c r="RJR4762" s="917"/>
      <c r="RJS4762" s="917"/>
      <c r="RJT4762" s="917"/>
      <c r="RJU4762" s="917"/>
      <c r="RJV4762" s="917"/>
      <c r="RJW4762" s="917"/>
      <c r="RJX4762" s="917"/>
      <c r="RJY4762" s="917"/>
      <c r="RJZ4762" s="917"/>
      <c r="RKA4762" s="917"/>
      <c r="RKB4762" s="917"/>
      <c r="RKC4762" s="917"/>
      <c r="RKD4762" s="917"/>
      <c r="RKE4762" s="917"/>
      <c r="RKF4762" s="917"/>
      <c r="RKG4762" s="917"/>
      <c r="RKH4762" s="917"/>
      <c r="RKI4762" s="917"/>
      <c r="RKJ4762" s="917"/>
      <c r="RKK4762" s="917"/>
      <c r="RKL4762" s="917"/>
      <c r="RKM4762" s="917"/>
      <c r="RKN4762" s="917"/>
      <c r="RKO4762" s="917" t="s">
        <v>78</v>
      </c>
      <c r="RKP4762" s="917"/>
      <c r="RKQ4762" s="917"/>
      <c r="RKR4762" s="917"/>
      <c r="RKS4762" s="917"/>
      <c r="RKT4762" s="917"/>
      <c r="RKU4762" s="917"/>
      <c r="RKV4762" s="917"/>
      <c r="RKW4762" s="917"/>
      <c r="RKX4762" s="917"/>
      <c r="RKY4762" s="917"/>
      <c r="RKZ4762" s="917"/>
      <c r="RLA4762" s="917"/>
      <c r="RLB4762" s="917"/>
      <c r="RLC4762" s="917"/>
      <c r="RLD4762" s="917"/>
      <c r="RLE4762" s="917"/>
      <c r="RLF4762" s="917"/>
      <c r="RLG4762" s="917"/>
      <c r="RLH4762" s="917"/>
      <c r="RLI4762" s="917"/>
      <c r="RLJ4762" s="917"/>
      <c r="RLK4762" s="917"/>
      <c r="RLL4762" s="917"/>
      <c r="RLM4762" s="917"/>
      <c r="RLN4762" s="917"/>
      <c r="RLO4762" s="917"/>
      <c r="RLP4762" s="917"/>
      <c r="RLQ4762" s="917"/>
      <c r="RLR4762" s="917"/>
      <c r="RLS4762" s="917"/>
      <c r="RLT4762" s="917"/>
      <c r="RLU4762" s="917" t="s">
        <v>78</v>
      </c>
      <c r="RLV4762" s="917"/>
      <c r="RLW4762" s="917"/>
      <c r="RLX4762" s="917"/>
      <c r="RLY4762" s="917"/>
      <c r="RLZ4762" s="917"/>
      <c r="RMA4762" s="917"/>
      <c r="RMB4762" s="917"/>
      <c r="RMC4762" s="917"/>
      <c r="RMD4762" s="917"/>
      <c r="RME4762" s="917"/>
      <c r="RMF4762" s="917"/>
      <c r="RMG4762" s="917"/>
      <c r="RMH4762" s="917"/>
      <c r="RMI4762" s="917"/>
      <c r="RMJ4762" s="917"/>
      <c r="RMK4762" s="917"/>
      <c r="RML4762" s="917"/>
      <c r="RMM4762" s="917"/>
      <c r="RMN4762" s="917"/>
      <c r="RMO4762" s="917"/>
      <c r="RMP4762" s="917"/>
      <c r="RMQ4762" s="917"/>
      <c r="RMR4762" s="917"/>
      <c r="RMS4762" s="917"/>
      <c r="RMT4762" s="917"/>
      <c r="RMU4762" s="917"/>
      <c r="RMV4762" s="917"/>
      <c r="RMW4762" s="917"/>
      <c r="RMX4762" s="917"/>
      <c r="RMY4762" s="917"/>
      <c r="RMZ4762" s="917"/>
      <c r="RNA4762" s="917" t="s">
        <v>78</v>
      </c>
      <c r="RNB4762" s="917"/>
      <c r="RNC4762" s="917"/>
      <c r="RND4762" s="917"/>
      <c r="RNE4762" s="917"/>
      <c r="RNF4762" s="917"/>
      <c r="RNG4762" s="917"/>
      <c r="RNH4762" s="917"/>
      <c r="RNI4762" s="917"/>
      <c r="RNJ4762" s="917"/>
      <c r="RNK4762" s="917"/>
      <c r="RNL4762" s="917"/>
      <c r="RNM4762" s="917"/>
      <c r="RNN4762" s="917"/>
      <c r="RNO4762" s="917"/>
      <c r="RNP4762" s="917"/>
      <c r="RNQ4762" s="917"/>
      <c r="RNR4762" s="917"/>
      <c r="RNS4762" s="917"/>
      <c r="RNT4762" s="917"/>
      <c r="RNU4762" s="917"/>
      <c r="RNV4762" s="917"/>
      <c r="RNW4762" s="917"/>
      <c r="RNX4762" s="917"/>
      <c r="RNY4762" s="917"/>
      <c r="RNZ4762" s="917"/>
      <c r="ROA4762" s="917"/>
      <c r="ROB4762" s="917"/>
      <c r="ROC4762" s="917"/>
      <c r="ROD4762" s="917"/>
      <c r="ROE4762" s="917"/>
      <c r="ROF4762" s="917"/>
      <c r="ROG4762" s="917" t="s">
        <v>78</v>
      </c>
      <c r="ROH4762" s="917"/>
      <c r="ROI4762" s="917"/>
      <c r="ROJ4762" s="917"/>
      <c r="ROK4762" s="917"/>
      <c r="ROL4762" s="917"/>
      <c r="ROM4762" s="917"/>
      <c r="RON4762" s="917"/>
      <c r="ROO4762" s="917"/>
      <c r="ROP4762" s="917"/>
      <c r="ROQ4762" s="917"/>
      <c r="ROR4762" s="917"/>
      <c r="ROS4762" s="917"/>
      <c r="ROT4762" s="917"/>
      <c r="ROU4762" s="917"/>
      <c r="ROV4762" s="917"/>
      <c r="ROW4762" s="917"/>
      <c r="ROX4762" s="917"/>
      <c r="ROY4762" s="917"/>
      <c r="ROZ4762" s="917"/>
      <c r="RPA4762" s="917"/>
      <c r="RPB4762" s="917"/>
      <c r="RPC4762" s="917"/>
      <c r="RPD4762" s="917"/>
      <c r="RPE4762" s="917"/>
      <c r="RPF4762" s="917"/>
      <c r="RPG4762" s="917"/>
      <c r="RPH4762" s="917"/>
      <c r="RPI4762" s="917"/>
      <c r="RPJ4762" s="917"/>
      <c r="RPK4762" s="917"/>
      <c r="RPL4762" s="917"/>
      <c r="RPM4762" s="917" t="s">
        <v>78</v>
      </c>
      <c r="RPN4762" s="917"/>
      <c r="RPO4762" s="917"/>
      <c r="RPP4762" s="917"/>
      <c r="RPQ4762" s="917"/>
      <c r="RPR4762" s="917"/>
      <c r="RPS4762" s="917"/>
      <c r="RPT4762" s="917"/>
      <c r="RPU4762" s="917"/>
      <c r="RPV4762" s="917"/>
      <c r="RPW4762" s="917"/>
      <c r="RPX4762" s="917"/>
      <c r="RPY4762" s="917"/>
      <c r="RPZ4762" s="917"/>
      <c r="RQA4762" s="917"/>
      <c r="RQB4762" s="917"/>
      <c r="RQC4762" s="917"/>
      <c r="RQD4762" s="917"/>
      <c r="RQE4762" s="917"/>
      <c r="RQF4762" s="917"/>
      <c r="RQG4762" s="917"/>
      <c r="RQH4762" s="917"/>
      <c r="RQI4762" s="917"/>
      <c r="RQJ4762" s="917"/>
      <c r="RQK4762" s="917"/>
      <c r="RQL4762" s="917"/>
      <c r="RQM4762" s="917"/>
      <c r="RQN4762" s="917"/>
      <c r="RQO4762" s="917"/>
      <c r="RQP4762" s="917"/>
      <c r="RQQ4762" s="917"/>
      <c r="RQR4762" s="917"/>
      <c r="RQS4762" s="917" t="s">
        <v>78</v>
      </c>
      <c r="RQT4762" s="917"/>
      <c r="RQU4762" s="917"/>
      <c r="RQV4762" s="917"/>
      <c r="RQW4762" s="917"/>
      <c r="RQX4762" s="917"/>
      <c r="RQY4762" s="917"/>
      <c r="RQZ4762" s="917"/>
      <c r="RRA4762" s="917"/>
      <c r="RRB4762" s="917"/>
      <c r="RRC4762" s="917"/>
      <c r="RRD4762" s="917"/>
      <c r="RRE4762" s="917"/>
      <c r="RRF4762" s="917"/>
      <c r="RRG4762" s="917"/>
      <c r="RRH4762" s="917"/>
      <c r="RRI4762" s="917"/>
      <c r="RRJ4762" s="917"/>
      <c r="RRK4762" s="917"/>
      <c r="RRL4762" s="917"/>
      <c r="RRM4762" s="917"/>
      <c r="RRN4762" s="917"/>
      <c r="RRO4762" s="917"/>
      <c r="RRP4762" s="917"/>
      <c r="RRQ4762" s="917"/>
      <c r="RRR4762" s="917"/>
      <c r="RRS4762" s="917"/>
      <c r="RRT4762" s="917"/>
      <c r="RRU4762" s="917"/>
      <c r="RRV4762" s="917"/>
      <c r="RRW4762" s="917"/>
      <c r="RRX4762" s="917"/>
      <c r="RRY4762" s="917" t="s">
        <v>78</v>
      </c>
      <c r="RRZ4762" s="917"/>
      <c r="RSA4762" s="917"/>
      <c r="RSB4762" s="917"/>
      <c r="RSC4762" s="917"/>
      <c r="RSD4762" s="917"/>
      <c r="RSE4762" s="917"/>
      <c r="RSF4762" s="917"/>
      <c r="RSG4762" s="917"/>
      <c r="RSH4762" s="917"/>
      <c r="RSI4762" s="917"/>
      <c r="RSJ4762" s="917"/>
      <c r="RSK4762" s="917"/>
      <c r="RSL4762" s="917"/>
      <c r="RSM4762" s="917"/>
      <c r="RSN4762" s="917"/>
      <c r="RSO4762" s="917"/>
      <c r="RSP4762" s="917"/>
      <c r="RSQ4762" s="917"/>
      <c r="RSR4762" s="917"/>
      <c r="RSS4762" s="917"/>
      <c r="RST4762" s="917"/>
      <c r="RSU4762" s="917"/>
      <c r="RSV4762" s="917"/>
      <c r="RSW4762" s="917"/>
      <c r="RSX4762" s="917"/>
      <c r="RSY4762" s="917"/>
      <c r="RSZ4762" s="917"/>
      <c r="RTA4762" s="917"/>
      <c r="RTB4762" s="917"/>
      <c r="RTC4762" s="917"/>
      <c r="RTD4762" s="917"/>
      <c r="RTE4762" s="917" t="s">
        <v>78</v>
      </c>
      <c r="RTF4762" s="917"/>
      <c r="RTG4762" s="917"/>
      <c r="RTH4762" s="917"/>
      <c r="RTI4762" s="917"/>
      <c r="RTJ4762" s="917"/>
      <c r="RTK4762" s="917"/>
      <c r="RTL4762" s="917"/>
      <c r="RTM4762" s="917"/>
      <c r="RTN4762" s="917"/>
      <c r="RTO4762" s="917"/>
      <c r="RTP4762" s="917"/>
      <c r="RTQ4762" s="917"/>
      <c r="RTR4762" s="917"/>
      <c r="RTS4762" s="917"/>
      <c r="RTT4762" s="917"/>
      <c r="RTU4762" s="917"/>
      <c r="RTV4762" s="917"/>
      <c r="RTW4762" s="917"/>
      <c r="RTX4762" s="917"/>
      <c r="RTY4762" s="917"/>
      <c r="RTZ4762" s="917"/>
      <c r="RUA4762" s="917"/>
      <c r="RUB4762" s="917"/>
      <c r="RUC4762" s="917"/>
      <c r="RUD4762" s="917"/>
      <c r="RUE4762" s="917"/>
      <c r="RUF4762" s="917"/>
      <c r="RUG4762" s="917"/>
      <c r="RUH4762" s="917"/>
      <c r="RUI4762" s="917"/>
      <c r="RUJ4762" s="917"/>
      <c r="RUK4762" s="917" t="s">
        <v>78</v>
      </c>
      <c r="RUL4762" s="917"/>
      <c r="RUM4762" s="917"/>
      <c r="RUN4762" s="917"/>
      <c r="RUO4762" s="917"/>
      <c r="RUP4762" s="917"/>
      <c r="RUQ4762" s="917"/>
      <c r="RUR4762" s="917"/>
      <c r="RUS4762" s="917"/>
      <c r="RUT4762" s="917"/>
      <c r="RUU4762" s="917"/>
      <c r="RUV4762" s="917"/>
      <c r="RUW4762" s="917"/>
      <c r="RUX4762" s="917"/>
      <c r="RUY4762" s="917"/>
      <c r="RUZ4762" s="917"/>
      <c r="RVA4762" s="917"/>
      <c r="RVB4762" s="917"/>
      <c r="RVC4762" s="917"/>
      <c r="RVD4762" s="917"/>
      <c r="RVE4762" s="917"/>
      <c r="RVF4762" s="917"/>
      <c r="RVG4762" s="917"/>
      <c r="RVH4762" s="917"/>
      <c r="RVI4762" s="917"/>
      <c r="RVJ4762" s="917"/>
      <c r="RVK4762" s="917"/>
      <c r="RVL4762" s="917"/>
      <c r="RVM4762" s="917"/>
      <c r="RVN4762" s="917"/>
      <c r="RVO4762" s="917"/>
      <c r="RVP4762" s="917"/>
      <c r="RVQ4762" s="917" t="s">
        <v>78</v>
      </c>
      <c r="RVR4762" s="917"/>
      <c r="RVS4762" s="917"/>
      <c r="RVT4762" s="917"/>
      <c r="RVU4762" s="917"/>
      <c r="RVV4762" s="917"/>
      <c r="RVW4762" s="917"/>
      <c r="RVX4762" s="917"/>
      <c r="RVY4762" s="917"/>
      <c r="RVZ4762" s="917"/>
      <c r="RWA4762" s="917"/>
      <c r="RWB4762" s="917"/>
      <c r="RWC4762" s="917"/>
      <c r="RWD4762" s="917"/>
      <c r="RWE4762" s="917"/>
      <c r="RWF4762" s="917"/>
      <c r="RWG4762" s="917"/>
      <c r="RWH4762" s="917"/>
      <c r="RWI4762" s="917"/>
      <c r="RWJ4762" s="917"/>
      <c r="RWK4762" s="917"/>
      <c r="RWL4762" s="917"/>
      <c r="RWM4762" s="917"/>
      <c r="RWN4762" s="917"/>
      <c r="RWO4762" s="917"/>
      <c r="RWP4762" s="917"/>
      <c r="RWQ4762" s="917"/>
      <c r="RWR4762" s="917"/>
      <c r="RWS4762" s="917"/>
      <c r="RWT4762" s="917"/>
      <c r="RWU4762" s="917"/>
      <c r="RWV4762" s="917"/>
      <c r="RWW4762" s="917" t="s">
        <v>78</v>
      </c>
      <c r="RWX4762" s="917"/>
      <c r="RWY4762" s="917"/>
      <c r="RWZ4762" s="917"/>
      <c r="RXA4762" s="917"/>
      <c r="RXB4762" s="917"/>
      <c r="RXC4762" s="917"/>
      <c r="RXD4762" s="917"/>
      <c r="RXE4762" s="917"/>
      <c r="RXF4762" s="917"/>
      <c r="RXG4762" s="917"/>
      <c r="RXH4762" s="917"/>
      <c r="RXI4762" s="917"/>
      <c r="RXJ4762" s="917"/>
      <c r="RXK4762" s="917"/>
      <c r="RXL4762" s="917"/>
      <c r="RXM4762" s="917"/>
      <c r="RXN4762" s="917"/>
      <c r="RXO4762" s="917"/>
      <c r="RXP4762" s="917"/>
      <c r="RXQ4762" s="917"/>
      <c r="RXR4762" s="917"/>
      <c r="RXS4762" s="917"/>
      <c r="RXT4762" s="917"/>
      <c r="RXU4762" s="917"/>
      <c r="RXV4762" s="917"/>
      <c r="RXW4762" s="917"/>
      <c r="RXX4762" s="917"/>
      <c r="RXY4762" s="917"/>
      <c r="RXZ4762" s="917"/>
      <c r="RYA4762" s="917"/>
      <c r="RYB4762" s="917"/>
      <c r="RYC4762" s="917" t="s">
        <v>78</v>
      </c>
      <c r="RYD4762" s="917"/>
      <c r="RYE4762" s="917"/>
      <c r="RYF4762" s="917"/>
      <c r="RYG4762" s="917"/>
      <c r="RYH4762" s="917"/>
      <c r="RYI4762" s="917"/>
      <c r="RYJ4762" s="917"/>
      <c r="RYK4762" s="917"/>
      <c r="RYL4762" s="917"/>
      <c r="RYM4762" s="917"/>
      <c r="RYN4762" s="917"/>
      <c r="RYO4762" s="917"/>
      <c r="RYP4762" s="917"/>
      <c r="RYQ4762" s="917"/>
      <c r="RYR4762" s="917"/>
      <c r="RYS4762" s="917"/>
      <c r="RYT4762" s="917"/>
      <c r="RYU4762" s="917"/>
      <c r="RYV4762" s="917"/>
      <c r="RYW4762" s="917"/>
      <c r="RYX4762" s="917"/>
      <c r="RYY4762" s="917"/>
      <c r="RYZ4762" s="917"/>
      <c r="RZA4762" s="917"/>
      <c r="RZB4762" s="917"/>
      <c r="RZC4762" s="917"/>
      <c r="RZD4762" s="917"/>
      <c r="RZE4762" s="917"/>
      <c r="RZF4762" s="917"/>
      <c r="RZG4762" s="917"/>
      <c r="RZH4762" s="917"/>
      <c r="RZI4762" s="917" t="s">
        <v>78</v>
      </c>
      <c r="RZJ4762" s="917"/>
      <c r="RZK4762" s="917"/>
      <c r="RZL4762" s="917"/>
      <c r="RZM4762" s="917"/>
      <c r="RZN4762" s="917"/>
      <c r="RZO4762" s="917"/>
      <c r="RZP4762" s="917"/>
      <c r="RZQ4762" s="917"/>
      <c r="RZR4762" s="917"/>
      <c r="RZS4762" s="917"/>
      <c r="RZT4762" s="917"/>
      <c r="RZU4762" s="917"/>
      <c r="RZV4762" s="917"/>
      <c r="RZW4762" s="917"/>
      <c r="RZX4762" s="917"/>
      <c r="RZY4762" s="917"/>
      <c r="RZZ4762" s="917"/>
      <c r="SAA4762" s="917"/>
      <c r="SAB4762" s="917"/>
      <c r="SAC4762" s="917"/>
      <c r="SAD4762" s="917"/>
      <c r="SAE4762" s="917"/>
      <c r="SAF4762" s="917"/>
      <c r="SAG4762" s="917"/>
      <c r="SAH4762" s="917"/>
      <c r="SAI4762" s="917"/>
      <c r="SAJ4762" s="917"/>
      <c r="SAK4762" s="917"/>
      <c r="SAL4762" s="917"/>
      <c r="SAM4762" s="917"/>
      <c r="SAN4762" s="917"/>
      <c r="SAO4762" s="917" t="s">
        <v>78</v>
      </c>
      <c r="SAP4762" s="917"/>
      <c r="SAQ4762" s="917"/>
      <c r="SAR4762" s="917"/>
      <c r="SAS4762" s="917"/>
      <c r="SAT4762" s="917"/>
      <c r="SAU4762" s="917"/>
      <c r="SAV4762" s="917"/>
      <c r="SAW4762" s="917"/>
      <c r="SAX4762" s="917"/>
      <c r="SAY4762" s="917"/>
      <c r="SAZ4762" s="917"/>
      <c r="SBA4762" s="917"/>
      <c r="SBB4762" s="917"/>
      <c r="SBC4762" s="917"/>
      <c r="SBD4762" s="917"/>
      <c r="SBE4762" s="917"/>
      <c r="SBF4762" s="917"/>
      <c r="SBG4762" s="917"/>
      <c r="SBH4762" s="917"/>
      <c r="SBI4762" s="917"/>
      <c r="SBJ4762" s="917"/>
      <c r="SBK4762" s="917"/>
      <c r="SBL4762" s="917"/>
      <c r="SBM4762" s="917"/>
      <c r="SBN4762" s="917"/>
      <c r="SBO4762" s="917"/>
      <c r="SBP4762" s="917"/>
      <c r="SBQ4762" s="917"/>
      <c r="SBR4762" s="917"/>
      <c r="SBS4762" s="917"/>
      <c r="SBT4762" s="917"/>
      <c r="SBU4762" s="917" t="s">
        <v>78</v>
      </c>
      <c r="SBV4762" s="917"/>
      <c r="SBW4762" s="917"/>
      <c r="SBX4762" s="917"/>
      <c r="SBY4762" s="917"/>
      <c r="SBZ4762" s="917"/>
      <c r="SCA4762" s="917"/>
      <c r="SCB4762" s="917"/>
      <c r="SCC4762" s="917"/>
      <c r="SCD4762" s="917"/>
      <c r="SCE4762" s="917"/>
      <c r="SCF4762" s="917"/>
      <c r="SCG4762" s="917"/>
      <c r="SCH4762" s="917"/>
      <c r="SCI4762" s="917"/>
      <c r="SCJ4762" s="917"/>
      <c r="SCK4762" s="917"/>
      <c r="SCL4762" s="917"/>
      <c r="SCM4762" s="917"/>
      <c r="SCN4762" s="917"/>
      <c r="SCO4762" s="917"/>
      <c r="SCP4762" s="917"/>
      <c r="SCQ4762" s="917"/>
      <c r="SCR4762" s="917"/>
      <c r="SCS4762" s="917"/>
      <c r="SCT4762" s="917"/>
      <c r="SCU4762" s="917"/>
      <c r="SCV4762" s="917"/>
      <c r="SCW4762" s="917"/>
      <c r="SCX4762" s="917"/>
      <c r="SCY4762" s="917"/>
      <c r="SCZ4762" s="917"/>
      <c r="SDA4762" s="917" t="s">
        <v>78</v>
      </c>
      <c r="SDB4762" s="917"/>
      <c r="SDC4762" s="917"/>
      <c r="SDD4762" s="917"/>
      <c r="SDE4762" s="917"/>
      <c r="SDF4762" s="917"/>
      <c r="SDG4762" s="917"/>
      <c r="SDH4762" s="917"/>
      <c r="SDI4762" s="917"/>
      <c r="SDJ4762" s="917"/>
      <c r="SDK4762" s="917"/>
      <c r="SDL4762" s="917"/>
      <c r="SDM4762" s="917"/>
      <c r="SDN4762" s="917"/>
      <c r="SDO4762" s="917"/>
      <c r="SDP4762" s="917"/>
      <c r="SDQ4762" s="917"/>
      <c r="SDR4762" s="917"/>
      <c r="SDS4762" s="917"/>
      <c r="SDT4762" s="917"/>
      <c r="SDU4762" s="917"/>
      <c r="SDV4762" s="917"/>
      <c r="SDW4762" s="917"/>
      <c r="SDX4762" s="917"/>
      <c r="SDY4762" s="917"/>
      <c r="SDZ4762" s="917"/>
      <c r="SEA4762" s="917"/>
      <c r="SEB4762" s="917"/>
      <c r="SEC4762" s="917"/>
      <c r="SED4762" s="917"/>
      <c r="SEE4762" s="917"/>
      <c r="SEF4762" s="917"/>
      <c r="SEG4762" s="917" t="s">
        <v>78</v>
      </c>
      <c r="SEH4762" s="917"/>
      <c r="SEI4762" s="917"/>
      <c r="SEJ4762" s="917"/>
      <c r="SEK4762" s="917"/>
      <c r="SEL4762" s="917"/>
      <c r="SEM4762" s="917"/>
      <c r="SEN4762" s="917"/>
      <c r="SEO4762" s="917"/>
      <c r="SEP4762" s="917"/>
      <c r="SEQ4762" s="917"/>
      <c r="SER4762" s="917"/>
      <c r="SES4762" s="917"/>
      <c r="SET4762" s="917"/>
      <c r="SEU4762" s="917"/>
      <c r="SEV4762" s="917"/>
      <c r="SEW4762" s="917"/>
      <c r="SEX4762" s="917"/>
      <c r="SEY4762" s="917"/>
      <c r="SEZ4762" s="917"/>
      <c r="SFA4762" s="917"/>
      <c r="SFB4762" s="917"/>
      <c r="SFC4762" s="917"/>
      <c r="SFD4762" s="917"/>
      <c r="SFE4762" s="917"/>
      <c r="SFF4762" s="917"/>
      <c r="SFG4762" s="917"/>
      <c r="SFH4762" s="917"/>
      <c r="SFI4762" s="917"/>
      <c r="SFJ4762" s="917"/>
      <c r="SFK4762" s="917"/>
      <c r="SFL4762" s="917"/>
      <c r="SFM4762" s="917" t="s">
        <v>78</v>
      </c>
      <c r="SFN4762" s="917"/>
      <c r="SFO4762" s="917"/>
      <c r="SFP4762" s="917"/>
      <c r="SFQ4762" s="917"/>
      <c r="SFR4762" s="917"/>
      <c r="SFS4762" s="917"/>
      <c r="SFT4762" s="917"/>
      <c r="SFU4762" s="917"/>
      <c r="SFV4762" s="917"/>
      <c r="SFW4762" s="917"/>
      <c r="SFX4762" s="917"/>
      <c r="SFY4762" s="917"/>
      <c r="SFZ4762" s="917"/>
      <c r="SGA4762" s="917"/>
      <c r="SGB4762" s="917"/>
      <c r="SGC4762" s="917"/>
      <c r="SGD4762" s="917"/>
      <c r="SGE4762" s="917"/>
      <c r="SGF4762" s="917"/>
      <c r="SGG4762" s="917"/>
      <c r="SGH4762" s="917"/>
      <c r="SGI4762" s="917"/>
      <c r="SGJ4762" s="917"/>
      <c r="SGK4762" s="917"/>
      <c r="SGL4762" s="917"/>
      <c r="SGM4762" s="917"/>
      <c r="SGN4762" s="917"/>
      <c r="SGO4762" s="917"/>
      <c r="SGP4762" s="917"/>
      <c r="SGQ4762" s="917"/>
      <c r="SGR4762" s="917"/>
      <c r="SGS4762" s="917" t="s">
        <v>78</v>
      </c>
      <c r="SGT4762" s="917"/>
      <c r="SGU4762" s="917"/>
      <c r="SGV4762" s="917"/>
      <c r="SGW4762" s="917"/>
      <c r="SGX4762" s="917"/>
      <c r="SGY4762" s="917"/>
      <c r="SGZ4762" s="917"/>
      <c r="SHA4762" s="917"/>
      <c r="SHB4762" s="917"/>
      <c r="SHC4762" s="917"/>
      <c r="SHD4762" s="917"/>
      <c r="SHE4762" s="917"/>
      <c r="SHF4762" s="917"/>
      <c r="SHG4762" s="917"/>
      <c r="SHH4762" s="917"/>
      <c r="SHI4762" s="917"/>
      <c r="SHJ4762" s="917"/>
      <c r="SHK4762" s="917"/>
      <c r="SHL4762" s="917"/>
      <c r="SHM4762" s="917"/>
      <c r="SHN4762" s="917"/>
      <c r="SHO4762" s="917"/>
      <c r="SHP4762" s="917"/>
      <c r="SHQ4762" s="917"/>
      <c r="SHR4762" s="917"/>
      <c r="SHS4762" s="917"/>
      <c r="SHT4762" s="917"/>
      <c r="SHU4762" s="917"/>
      <c r="SHV4762" s="917"/>
      <c r="SHW4762" s="917"/>
      <c r="SHX4762" s="917"/>
      <c r="SHY4762" s="917" t="s">
        <v>78</v>
      </c>
      <c r="SHZ4762" s="917"/>
      <c r="SIA4762" s="917"/>
      <c r="SIB4762" s="917"/>
      <c r="SIC4762" s="917"/>
      <c r="SID4762" s="917"/>
      <c r="SIE4762" s="917"/>
      <c r="SIF4762" s="917"/>
      <c r="SIG4762" s="917"/>
      <c r="SIH4762" s="917"/>
      <c r="SII4762" s="917"/>
      <c r="SIJ4762" s="917"/>
      <c r="SIK4762" s="917"/>
      <c r="SIL4762" s="917"/>
      <c r="SIM4762" s="917"/>
      <c r="SIN4762" s="917"/>
      <c r="SIO4762" s="917"/>
      <c r="SIP4762" s="917"/>
      <c r="SIQ4762" s="917"/>
      <c r="SIR4762" s="917"/>
      <c r="SIS4762" s="917"/>
      <c r="SIT4762" s="917"/>
      <c r="SIU4762" s="917"/>
      <c r="SIV4762" s="917"/>
      <c r="SIW4762" s="917"/>
      <c r="SIX4762" s="917"/>
      <c r="SIY4762" s="917"/>
      <c r="SIZ4762" s="917"/>
      <c r="SJA4762" s="917"/>
      <c r="SJB4762" s="917"/>
      <c r="SJC4762" s="917"/>
      <c r="SJD4762" s="917"/>
      <c r="SJE4762" s="917" t="s">
        <v>78</v>
      </c>
      <c r="SJF4762" s="917"/>
      <c r="SJG4762" s="917"/>
      <c r="SJH4762" s="917"/>
      <c r="SJI4762" s="917"/>
      <c r="SJJ4762" s="917"/>
      <c r="SJK4762" s="917"/>
      <c r="SJL4762" s="917"/>
      <c r="SJM4762" s="917"/>
      <c r="SJN4762" s="917"/>
      <c r="SJO4762" s="917"/>
      <c r="SJP4762" s="917"/>
      <c r="SJQ4762" s="917"/>
      <c r="SJR4762" s="917"/>
      <c r="SJS4762" s="917"/>
      <c r="SJT4762" s="917"/>
      <c r="SJU4762" s="917"/>
      <c r="SJV4762" s="917"/>
      <c r="SJW4762" s="917"/>
      <c r="SJX4762" s="917"/>
      <c r="SJY4762" s="917"/>
      <c r="SJZ4762" s="917"/>
      <c r="SKA4762" s="917"/>
      <c r="SKB4762" s="917"/>
      <c r="SKC4762" s="917"/>
      <c r="SKD4762" s="917"/>
      <c r="SKE4762" s="917"/>
      <c r="SKF4762" s="917"/>
      <c r="SKG4762" s="917"/>
      <c r="SKH4762" s="917"/>
      <c r="SKI4762" s="917"/>
      <c r="SKJ4762" s="917"/>
      <c r="SKK4762" s="917" t="s">
        <v>78</v>
      </c>
      <c r="SKL4762" s="917"/>
      <c r="SKM4762" s="917"/>
      <c r="SKN4762" s="917"/>
      <c r="SKO4762" s="917"/>
      <c r="SKP4762" s="917"/>
      <c r="SKQ4762" s="917"/>
      <c r="SKR4762" s="917"/>
      <c r="SKS4762" s="917"/>
      <c r="SKT4762" s="917"/>
      <c r="SKU4762" s="917"/>
      <c r="SKV4762" s="917"/>
      <c r="SKW4762" s="917"/>
      <c r="SKX4762" s="917"/>
      <c r="SKY4762" s="917"/>
      <c r="SKZ4762" s="917"/>
      <c r="SLA4762" s="917"/>
      <c r="SLB4762" s="917"/>
      <c r="SLC4762" s="917"/>
      <c r="SLD4762" s="917"/>
      <c r="SLE4762" s="917"/>
      <c r="SLF4762" s="917"/>
      <c r="SLG4762" s="917"/>
      <c r="SLH4762" s="917"/>
      <c r="SLI4762" s="917"/>
      <c r="SLJ4762" s="917"/>
      <c r="SLK4762" s="917"/>
      <c r="SLL4762" s="917"/>
      <c r="SLM4762" s="917"/>
      <c r="SLN4762" s="917"/>
      <c r="SLO4762" s="917"/>
      <c r="SLP4762" s="917"/>
      <c r="SLQ4762" s="917" t="s">
        <v>78</v>
      </c>
      <c r="SLR4762" s="917"/>
      <c r="SLS4762" s="917"/>
      <c r="SLT4762" s="917"/>
      <c r="SLU4762" s="917"/>
      <c r="SLV4762" s="917"/>
      <c r="SLW4762" s="917"/>
      <c r="SLX4762" s="917"/>
      <c r="SLY4762" s="917"/>
      <c r="SLZ4762" s="917"/>
      <c r="SMA4762" s="917"/>
      <c r="SMB4762" s="917"/>
      <c r="SMC4762" s="917"/>
      <c r="SMD4762" s="917"/>
      <c r="SME4762" s="917"/>
      <c r="SMF4762" s="917"/>
      <c r="SMG4762" s="917"/>
      <c r="SMH4762" s="917"/>
      <c r="SMI4762" s="917"/>
      <c r="SMJ4762" s="917"/>
      <c r="SMK4762" s="917"/>
      <c r="SML4762" s="917"/>
      <c r="SMM4762" s="917"/>
      <c r="SMN4762" s="917"/>
      <c r="SMO4762" s="917"/>
      <c r="SMP4762" s="917"/>
      <c r="SMQ4762" s="917"/>
      <c r="SMR4762" s="917"/>
      <c r="SMS4762" s="917"/>
      <c r="SMT4762" s="917"/>
      <c r="SMU4762" s="917"/>
      <c r="SMV4762" s="917"/>
      <c r="SMW4762" s="917" t="s">
        <v>78</v>
      </c>
      <c r="SMX4762" s="917"/>
      <c r="SMY4762" s="917"/>
      <c r="SMZ4762" s="917"/>
      <c r="SNA4762" s="917"/>
      <c r="SNB4762" s="917"/>
      <c r="SNC4762" s="917"/>
      <c r="SND4762" s="917"/>
      <c r="SNE4762" s="917"/>
      <c r="SNF4762" s="917"/>
      <c r="SNG4762" s="917"/>
      <c r="SNH4762" s="917"/>
      <c r="SNI4762" s="917"/>
      <c r="SNJ4762" s="917"/>
      <c r="SNK4762" s="917"/>
      <c r="SNL4762" s="917"/>
      <c r="SNM4762" s="917"/>
      <c r="SNN4762" s="917"/>
      <c r="SNO4762" s="917"/>
      <c r="SNP4762" s="917"/>
      <c r="SNQ4762" s="917"/>
      <c r="SNR4762" s="917"/>
      <c r="SNS4762" s="917"/>
      <c r="SNT4762" s="917"/>
      <c r="SNU4762" s="917"/>
      <c r="SNV4762" s="917"/>
      <c r="SNW4762" s="917"/>
      <c r="SNX4762" s="917"/>
      <c r="SNY4762" s="917"/>
      <c r="SNZ4762" s="917"/>
      <c r="SOA4762" s="917"/>
      <c r="SOB4762" s="917"/>
      <c r="SOC4762" s="917" t="s">
        <v>78</v>
      </c>
      <c r="SOD4762" s="917"/>
      <c r="SOE4762" s="917"/>
      <c r="SOF4762" s="917"/>
      <c r="SOG4762" s="917"/>
      <c r="SOH4762" s="917"/>
      <c r="SOI4762" s="917"/>
      <c r="SOJ4762" s="917"/>
      <c r="SOK4762" s="917"/>
      <c r="SOL4762" s="917"/>
      <c r="SOM4762" s="917"/>
      <c r="SON4762" s="917"/>
      <c r="SOO4762" s="917"/>
      <c r="SOP4762" s="917"/>
      <c r="SOQ4762" s="917"/>
      <c r="SOR4762" s="917"/>
      <c r="SOS4762" s="917"/>
      <c r="SOT4762" s="917"/>
      <c r="SOU4762" s="917"/>
      <c r="SOV4762" s="917"/>
      <c r="SOW4762" s="917"/>
      <c r="SOX4762" s="917"/>
      <c r="SOY4762" s="917"/>
      <c r="SOZ4762" s="917"/>
      <c r="SPA4762" s="917"/>
      <c r="SPB4762" s="917"/>
      <c r="SPC4762" s="917"/>
      <c r="SPD4762" s="917"/>
      <c r="SPE4762" s="917"/>
      <c r="SPF4762" s="917"/>
      <c r="SPG4762" s="917"/>
      <c r="SPH4762" s="917"/>
      <c r="SPI4762" s="917" t="s">
        <v>78</v>
      </c>
      <c r="SPJ4762" s="917"/>
      <c r="SPK4762" s="917"/>
      <c r="SPL4762" s="917"/>
      <c r="SPM4762" s="917"/>
      <c r="SPN4762" s="917"/>
      <c r="SPO4762" s="917"/>
      <c r="SPP4762" s="917"/>
      <c r="SPQ4762" s="917"/>
      <c r="SPR4762" s="917"/>
      <c r="SPS4762" s="917"/>
      <c r="SPT4762" s="917"/>
      <c r="SPU4762" s="917"/>
      <c r="SPV4762" s="917"/>
      <c r="SPW4762" s="917"/>
      <c r="SPX4762" s="917"/>
      <c r="SPY4762" s="917"/>
      <c r="SPZ4762" s="917"/>
      <c r="SQA4762" s="917"/>
      <c r="SQB4762" s="917"/>
      <c r="SQC4762" s="917"/>
      <c r="SQD4762" s="917"/>
      <c r="SQE4762" s="917"/>
      <c r="SQF4762" s="917"/>
      <c r="SQG4762" s="917"/>
      <c r="SQH4762" s="917"/>
      <c r="SQI4762" s="917"/>
      <c r="SQJ4762" s="917"/>
      <c r="SQK4762" s="917"/>
      <c r="SQL4762" s="917"/>
      <c r="SQM4762" s="917"/>
      <c r="SQN4762" s="917"/>
      <c r="SQO4762" s="917" t="s">
        <v>78</v>
      </c>
      <c r="SQP4762" s="917"/>
      <c r="SQQ4762" s="917"/>
      <c r="SQR4762" s="917"/>
      <c r="SQS4762" s="917"/>
      <c r="SQT4762" s="917"/>
      <c r="SQU4762" s="917"/>
      <c r="SQV4762" s="917"/>
      <c r="SQW4762" s="917"/>
      <c r="SQX4762" s="917"/>
      <c r="SQY4762" s="917"/>
      <c r="SQZ4762" s="917"/>
      <c r="SRA4762" s="917"/>
      <c r="SRB4762" s="917"/>
      <c r="SRC4762" s="917"/>
      <c r="SRD4762" s="917"/>
      <c r="SRE4762" s="917"/>
      <c r="SRF4762" s="917"/>
      <c r="SRG4762" s="917"/>
      <c r="SRH4762" s="917"/>
      <c r="SRI4762" s="917"/>
      <c r="SRJ4762" s="917"/>
      <c r="SRK4762" s="917"/>
      <c r="SRL4762" s="917"/>
      <c r="SRM4762" s="917"/>
      <c r="SRN4762" s="917"/>
      <c r="SRO4762" s="917"/>
      <c r="SRP4762" s="917"/>
      <c r="SRQ4762" s="917"/>
      <c r="SRR4762" s="917"/>
      <c r="SRS4762" s="917"/>
      <c r="SRT4762" s="917"/>
      <c r="SRU4762" s="917" t="s">
        <v>78</v>
      </c>
      <c r="SRV4762" s="917"/>
      <c r="SRW4762" s="917"/>
      <c r="SRX4762" s="917"/>
      <c r="SRY4762" s="917"/>
      <c r="SRZ4762" s="917"/>
      <c r="SSA4762" s="917"/>
      <c r="SSB4762" s="917"/>
      <c r="SSC4762" s="917"/>
      <c r="SSD4762" s="917"/>
      <c r="SSE4762" s="917"/>
      <c r="SSF4762" s="917"/>
      <c r="SSG4762" s="917"/>
      <c r="SSH4762" s="917"/>
      <c r="SSI4762" s="917"/>
      <c r="SSJ4762" s="917"/>
      <c r="SSK4762" s="917"/>
      <c r="SSL4762" s="917"/>
      <c r="SSM4762" s="917"/>
      <c r="SSN4762" s="917"/>
      <c r="SSO4762" s="917"/>
      <c r="SSP4762" s="917"/>
      <c r="SSQ4762" s="917"/>
      <c r="SSR4762" s="917"/>
      <c r="SSS4762" s="917"/>
      <c r="SST4762" s="917"/>
      <c r="SSU4762" s="917"/>
      <c r="SSV4762" s="917"/>
      <c r="SSW4762" s="917"/>
      <c r="SSX4762" s="917"/>
      <c r="SSY4762" s="917"/>
      <c r="SSZ4762" s="917"/>
      <c r="STA4762" s="917" t="s">
        <v>78</v>
      </c>
      <c r="STB4762" s="917"/>
      <c r="STC4762" s="917"/>
      <c r="STD4762" s="917"/>
      <c r="STE4762" s="917"/>
      <c r="STF4762" s="917"/>
      <c r="STG4762" s="917"/>
      <c r="STH4762" s="917"/>
      <c r="STI4762" s="917"/>
      <c r="STJ4762" s="917"/>
      <c r="STK4762" s="917"/>
      <c r="STL4762" s="917"/>
      <c r="STM4762" s="917"/>
      <c r="STN4762" s="917"/>
      <c r="STO4762" s="917"/>
      <c r="STP4762" s="917"/>
      <c r="STQ4762" s="917"/>
      <c r="STR4762" s="917"/>
      <c r="STS4762" s="917"/>
      <c r="STT4762" s="917"/>
      <c r="STU4762" s="917"/>
      <c r="STV4762" s="917"/>
      <c r="STW4762" s="917"/>
      <c r="STX4762" s="917"/>
      <c r="STY4762" s="917"/>
      <c r="STZ4762" s="917"/>
      <c r="SUA4762" s="917"/>
      <c r="SUB4762" s="917"/>
      <c r="SUC4762" s="917"/>
      <c r="SUD4762" s="917"/>
      <c r="SUE4762" s="917"/>
      <c r="SUF4762" s="917"/>
      <c r="SUG4762" s="917" t="s">
        <v>78</v>
      </c>
      <c r="SUH4762" s="917"/>
      <c r="SUI4762" s="917"/>
      <c r="SUJ4762" s="917"/>
      <c r="SUK4762" s="917"/>
      <c r="SUL4762" s="917"/>
      <c r="SUM4762" s="917"/>
      <c r="SUN4762" s="917"/>
      <c r="SUO4762" s="917"/>
      <c r="SUP4762" s="917"/>
      <c r="SUQ4762" s="917"/>
      <c r="SUR4762" s="917"/>
      <c r="SUS4762" s="917"/>
      <c r="SUT4762" s="917"/>
      <c r="SUU4762" s="917"/>
      <c r="SUV4762" s="917"/>
      <c r="SUW4762" s="917"/>
      <c r="SUX4762" s="917"/>
      <c r="SUY4762" s="917"/>
      <c r="SUZ4762" s="917"/>
      <c r="SVA4762" s="917"/>
      <c r="SVB4762" s="917"/>
      <c r="SVC4762" s="917"/>
      <c r="SVD4762" s="917"/>
      <c r="SVE4762" s="917"/>
      <c r="SVF4762" s="917"/>
      <c r="SVG4762" s="917"/>
      <c r="SVH4762" s="917"/>
      <c r="SVI4762" s="917"/>
      <c r="SVJ4762" s="917"/>
      <c r="SVK4762" s="917"/>
      <c r="SVL4762" s="917"/>
      <c r="SVM4762" s="917" t="s">
        <v>78</v>
      </c>
      <c r="SVN4762" s="917"/>
      <c r="SVO4762" s="917"/>
      <c r="SVP4762" s="917"/>
      <c r="SVQ4762" s="917"/>
      <c r="SVR4762" s="917"/>
      <c r="SVS4762" s="917"/>
      <c r="SVT4762" s="917"/>
      <c r="SVU4762" s="917"/>
      <c r="SVV4762" s="917"/>
      <c r="SVW4762" s="917"/>
      <c r="SVX4762" s="917"/>
      <c r="SVY4762" s="917"/>
      <c r="SVZ4762" s="917"/>
      <c r="SWA4762" s="917"/>
      <c r="SWB4762" s="917"/>
      <c r="SWC4762" s="917"/>
      <c r="SWD4762" s="917"/>
      <c r="SWE4762" s="917"/>
      <c r="SWF4762" s="917"/>
      <c r="SWG4762" s="917"/>
      <c r="SWH4762" s="917"/>
      <c r="SWI4762" s="917"/>
      <c r="SWJ4762" s="917"/>
      <c r="SWK4762" s="917"/>
      <c r="SWL4762" s="917"/>
      <c r="SWM4762" s="917"/>
      <c r="SWN4762" s="917"/>
      <c r="SWO4762" s="917"/>
      <c r="SWP4762" s="917"/>
      <c r="SWQ4762" s="917"/>
      <c r="SWR4762" s="917"/>
      <c r="SWS4762" s="917" t="s">
        <v>78</v>
      </c>
      <c r="SWT4762" s="917"/>
      <c r="SWU4762" s="917"/>
      <c r="SWV4762" s="917"/>
      <c r="SWW4762" s="917"/>
      <c r="SWX4762" s="917"/>
      <c r="SWY4762" s="917"/>
      <c r="SWZ4762" s="917"/>
      <c r="SXA4762" s="917"/>
      <c r="SXB4762" s="917"/>
      <c r="SXC4762" s="917"/>
      <c r="SXD4762" s="917"/>
      <c r="SXE4762" s="917"/>
      <c r="SXF4762" s="917"/>
      <c r="SXG4762" s="917"/>
      <c r="SXH4762" s="917"/>
      <c r="SXI4762" s="917"/>
      <c r="SXJ4762" s="917"/>
      <c r="SXK4762" s="917"/>
      <c r="SXL4762" s="917"/>
      <c r="SXM4762" s="917"/>
      <c r="SXN4762" s="917"/>
      <c r="SXO4762" s="917"/>
      <c r="SXP4762" s="917"/>
      <c r="SXQ4762" s="917"/>
      <c r="SXR4762" s="917"/>
      <c r="SXS4762" s="917"/>
      <c r="SXT4762" s="917"/>
      <c r="SXU4762" s="917"/>
      <c r="SXV4762" s="917"/>
      <c r="SXW4762" s="917"/>
      <c r="SXX4762" s="917"/>
      <c r="SXY4762" s="917" t="s">
        <v>78</v>
      </c>
      <c r="SXZ4762" s="917"/>
      <c r="SYA4762" s="917"/>
      <c r="SYB4762" s="917"/>
      <c r="SYC4762" s="917"/>
      <c r="SYD4762" s="917"/>
      <c r="SYE4762" s="917"/>
      <c r="SYF4762" s="917"/>
      <c r="SYG4762" s="917"/>
      <c r="SYH4762" s="917"/>
      <c r="SYI4762" s="917"/>
      <c r="SYJ4762" s="917"/>
      <c r="SYK4762" s="917"/>
      <c r="SYL4762" s="917"/>
      <c r="SYM4762" s="917"/>
      <c r="SYN4762" s="917"/>
      <c r="SYO4762" s="917"/>
      <c r="SYP4762" s="917"/>
      <c r="SYQ4762" s="917"/>
      <c r="SYR4762" s="917"/>
      <c r="SYS4762" s="917"/>
      <c r="SYT4762" s="917"/>
      <c r="SYU4762" s="917"/>
      <c r="SYV4762" s="917"/>
      <c r="SYW4762" s="917"/>
      <c r="SYX4762" s="917"/>
      <c r="SYY4762" s="917"/>
      <c r="SYZ4762" s="917"/>
      <c r="SZA4762" s="917"/>
      <c r="SZB4762" s="917"/>
      <c r="SZC4762" s="917"/>
      <c r="SZD4762" s="917"/>
      <c r="SZE4762" s="917" t="s">
        <v>78</v>
      </c>
      <c r="SZF4762" s="917"/>
      <c r="SZG4762" s="917"/>
      <c r="SZH4762" s="917"/>
      <c r="SZI4762" s="917"/>
      <c r="SZJ4762" s="917"/>
      <c r="SZK4762" s="917"/>
      <c r="SZL4762" s="917"/>
      <c r="SZM4762" s="917"/>
      <c r="SZN4762" s="917"/>
      <c r="SZO4762" s="917"/>
      <c r="SZP4762" s="917"/>
      <c r="SZQ4762" s="917"/>
      <c r="SZR4762" s="917"/>
      <c r="SZS4762" s="917"/>
      <c r="SZT4762" s="917"/>
      <c r="SZU4762" s="917"/>
      <c r="SZV4762" s="917"/>
      <c r="SZW4762" s="917"/>
      <c r="SZX4762" s="917"/>
      <c r="SZY4762" s="917"/>
      <c r="SZZ4762" s="917"/>
      <c r="TAA4762" s="917"/>
      <c r="TAB4762" s="917"/>
      <c r="TAC4762" s="917"/>
      <c r="TAD4762" s="917"/>
      <c r="TAE4762" s="917"/>
      <c r="TAF4762" s="917"/>
      <c r="TAG4762" s="917"/>
      <c r="TAH4762" s="917"/>
      <c r="TAI4762" s="917"/>
      <c r="TAJ4762" s="917"/>
      <c r="TAK4762" s="917" t="s">
        <v>78</v>
      </c>
      <c r="TAL4762" s="917"/>
      <c r="TAM4762" s="917"/>
      <c r="TAN4762" s="917"/>
      <c r="TAO4762" s="917"/>
      <c r="TAP4762" s="917"/>
      <c r="TAQ4762" s="917"/>
      <c r="TAR4762" s="917"/>
      <c r="TAS4762" s="917"/>
      <c r="TAT4762" s="917"/>
      <c r="TAU4762" s="917"/>
      <c r="TAV4762" s="917"/>
      <c r="TAW4762" s="917"/>
      <c r="TAX4762" s="917"/>
      <c r="TAY4762" s="917"/>
      <c r="TAZ4762" s="917"/>
      <c r="TBA4762" s="917"/>
      <c r="TBB4762" s="917"/>
      <c r="TBC4762" s="917"/>
      <c r="TBD4762" s="917"/>
      <c r="TBE4762" s="917"/>
      <c r="TBF4762" s="917"/>
      <c r="TBG4762" s="917"/>
      <c r="TBH4762" s="917"/>
      <c r="TBI4762" s="917"/>
      <c r="TBJ4762" s="917"/>
      <c r="TBK4762" s="917"/>
      <c r="TBL4762" s="917"/>
      <c r="TBM4762" s="917"/>
      <c r="TBN4762" s="917"/>
      <c r="TBO4762" s="917"/>
      <c r="TBP4762" s="917"/>
      <c r="TBQ4762" s="917" t="s">
        <v>78</v>
      </c>
      <c r="TBR4762" s="917"/>
      <c r="TBS4762" s="917"/>
      <c r="TBT4762" s="917"/>
      <c r="TBU4762" s="917"/>
      <c r="TBV4762" s="917"/>
      <c r="TBW4762" s="917"/>
      <c r="TBX4762" s="917"/>
      <c r="TBY4762" s="917"/>
      <c r="TBZ4762" s="917"/>
      <c r="TCA4762" s="917"/>
      <c r="TCB4762" s="917"/>
      <c r="TCC4762" s="917"/>
      <c r="TCD4762" s="917"/>
      <c r="TCE4762" s="917"/>
      <c r="TCF4762" s="917"/>
      <c r="TCG4762" s="917"/>
      <c r="TCH4762" s="917"/>
      <c r="TCI4762" s="917"/>
      <c r="TCJ4762" s="917"/>
      <c r="TCK4762" s="917"/>
      <c r="TCL4762" s="917"/>
      <c r="TCM4762" s="917"/>
      <c r="TCN4762" s="917"/>
      <c r="TCO4762" s="917"/>
      <c r="TCP4762" s="917"/>
      <c r="TCQ4762" s="917"/>
      <c r="TCR4762" s="917"/>
      <c r="TCS4762" s="917"/>
      <c r="TCT4762" s="917"/>
      <c r="TCU4762" s="917"/>
      <c r="TCV4762" s="917"/>
      <c r="TCW4762" s="917" t="s">
        <v>78</v>
      </c>
      <c r="TCX4762" s="917"/>
      <c r="TCY4762" s="917"/>
      <c r="TCZ4762" s="917"/>
      <c r="TDA4762" s="917"/>
      <c r="TDB4762" s="917"/>
      <c r="TDC4762" s="917"/>
      <c r="TDD4762" s="917"/>
      <c r="TDE4762" s="917"/>
      <c r="TDF4762" s="917"/>
      <c r="TDG4762" s="917"/>
      <c r="TDH4762" s="917"/>
      <c r="TDI4762" s="917"/>
      <c r="TDJ4762" s="917"/>
      <c r="TDK4762" s="917"/>
      <c r="TDL4762" s="917"/>
      <c r="TDM4762" s="917"/>
      <c r="TDN4762" s="917"/>
      <c r="TDO4762" s="917"/>
      <c r="TDP4762" s="917"/>
      <c r="TDQ4762" s="917"/>
      <c r="TDR4762" s="917"/>
      <c r="TDS4762" s="917"/>
      <c r="TDT4762" s="917"/>
      <c r="TDU4762" s="917"/>
      <c r="TDV4762" s="917"/>
      <c r="TDW4762" s="917"/>
      <c r="TDX4762" s="917"/>
      <c r="TDY4762" s="917"/>
      <c r="TDZ4762" s="917"/>
      <c r="TEA4762" s="917"/>
      <c r="TEB4762" s="917"/>
      <c r="TEC4762" s="917" t="s">
        <v>78</v>
      </c>
      <c r="TED4762" s="917"/>
      <c r="TEE4762" s="917"/>
      <c r="TEF4762" s="917"/>
      <c r="TEG4762" s="917"/>
      <c r="TEH4762" s="917"/>
      <c r="TEI4762" s="917"/>
      <c r="TEJ4762" s="917"/>
      <c r="TEK4762" s="917"/>
      <c r="TEL4762" s="917"/>
      <c r="TEM4762" s="917"/>
      <c r="TEN4762" s="917"/>
      <c r="TEO4762" s="917"/>
      <c r="TEP4762" s="917"/>
      <c r="TEQ4762" s="917"/>
      <c r="TER4762" s="917"/>
      <c r="TES4762" s="917"/>
      <c r="TET4762" s="917"/>
      <c r="TEU4762" s="917"/>
      <c r="TEV4762" s="917"/>
      <c r="TEW4762" s="917"/>
      <c r="TEX4762" s="917"/>
      <c r="TEY4762" s="917"/>
      <c r="TEZ4762" s="917"/>
      <c r="TFA4762" s="917"/>
      <c r="TFB4762" s="917"/>
      <c r="TFC4762" s="917"/>
      <c r="TFD4762" s="917"/>
      <c r="TFE4762" s="917"/>
      <c r="TFF4762" s="917"/>
      <c r="TFG4762" s="917"/>
      <c r="TFH4762" s="917"/>
      <c r="TFI4762" s="917" t="s">
        <v>78</v>
      </c>
      <c r="TFJ4762" s="917"/>
      <c r="TFK4762" s="917"/>
      <c r="TFL4762" s="917"/>
      <c r="TFM4762" s="917"/>
      <c r="TFN4762" s="917"/>
      <c r="TFO4762" s="917"/>
      <c r="TFP4762" s="917"/>
      <c r="TFQ4762" s="917"/>
      <c r="TFR4762" s="917"/>
      <c r="TFS4762" s="917"/>
      <c r="TFT4762" s="917"/>
      <c r="TFU4762" s="917"/>
      <c r="TFV4762" s="917"/>
      <c r="TFW4762" s="917"/>
      <c r="TFX4762" s="917"/>
      <c r="TFY4762" s="917"/>
      <c r="TFZ4762" s="917"/>
      <c r="TGA4762" s="917"/>
      <c r="TGB4762" s="917"/>
      <c r="TGC4762" s="917"/>
      <c r="TGD4762" s="917"/>
      <c r="TGE4762" s="917"/>
      <c r="TGF4762" s="917"/>
      <c r="TGG4762" s="917"/>
      <c r="TGH4762" s="917"/>
      <c r="TGI4762" s="917"/>
      <c r="TGJ4762" s="917"/>
      <c r="TGK4762" s="917"/>
      <c r="TGL4762" s="917"/>
      <c r="TGM4762" s="917"/>
      <c r="TGN4762" s="917"/>
      <c r="TGO4762" s="917" t="s">
        <v>78</v>
      </c>
      <c r="TGP4762" s="917"/>
      <c r="TGQ4762" s="917"/>
      <c r="TGR4762" s="917"/>
      <c r="TGS4762" s="917"/>
      <c r="TGT4762" s="917"/>
      <c r="TGU4762" s="917"/>
      <c r="TGV4762" s="917"/>
      <c r="TGW4762" s="917"/>
      <c r="TGX4762" s="917"/>
      <c r="TGY4762" s="917"/>
      <c r="TGZ4762" s="917"/>
      <c r="THA4762" s="917"/>
      <c r="THB4762" s="917"/>
      <c r="THC4762" s="917"/>
      <c r="THD4762" s="917"/>
      <c r="THE4762" s="917"/>
      <c r="THF4762" s="917"/>
      <c r="THG4762" s="917"/>
      <c r="THH4762" s="917"/>
      <c r="THI4762" s="917"/>
      <c r="THJ4762" s="917"/>
      <c r="THK4762" s="917"/>
      <c r="THL4762" s="917"/>
      <c r="THM4762" s="917"/>
      <c r="THN4762" s="917"/>
      <c r="THO4762" s="917"/>
      <c r="THP4762" s="917"/>
      <c r="THQ4762" s="917"/>
      <c r="THR4762" s="917"/>
      <c r="THS4762" s="917"/>
      <c r="THT4762" s="917"/>
      <c r="THU4762" s="917" t="s">
        <v>78</v>
      </c>
      <c r="THV4762" s="917"/>
      <c r="THW4762" s="917"/>
      <c r="THX4762" s="917"/>
      <c r="THY4762" s="917"/>
      <c r="THZ4762" s="917"/>
      <c r="TIA4762" s="917"/>
      <c r="TIB4762" s="917"/>
      <c r="TIC4762" s="917"/>
      <c r="TID4762" s="917"/>
      <c r="TIE4762" s="917"/>
      <c r="TIF4762" s="917"/>
      <c r="TIG4762" s="917"/>
      <c r="TIH4762" s="917"/>
      <c r="TII4762" s="917"/>
      <c r="TIJ4762" s="917"/>
      <c r="TIK4762" s="917"/>
      <c r="TIL4762" s="917"/>
      <c r="TIM4762" s="917"/>
      <c r="TIN4762" s="917"/>
      <c r="TIO4762" s="917"/>
      <c r="TIP4762" s="917"/>
      <c r="TIQ4762" s="917"/>
      <c r="TIR4762" s="917"/>
      <c r="TIS4762" s="917"/>
      <c r="TIT4762" s="917"/>
      <c r="TIU4762" s="917"/>
      <c r="TIV4762" s="917"/>
      <c r="TIW4762" s="917"/>
      <c r="TIX4762" s="917"/>
      <c r="TIY4762" s="917"/>
      <c r="TIZ4762" s="917"/>
      <c r="TJA4762" s="917" t="s">
        <v>78</v>
      </c>
      <c r="TJB4762" s="917"/>
      <c r="TJC4762" s="917"/>
      <c r="TJD4762" s="917"/>
      <c r="TJE4762" s="917"/>
      <c r="TJF4762" s="917"/>
      <c r="TJG4762" s="917"/>
      <c r="TJH4762" s="917"/>
      <c r="TJI4762" s="917"/>
      <c r="TJJ4762" s="917"/>
      <c r="TJK4762" s="917"/>
      <c r="TJL4762" s="917"/>
      <c r="TJM4762" s="917"/>
      <c r="TJN4762" s="917"/>
      <c r="TJO4762" s="917"/>
      <c r="TJP4762" s="917"/>
      <c r="TJQ4762" s="917"/>
      <c r="TJR4762" s="917"/>
      <c r="TJS4762" s="917"/>
      <c r="TJT4762" s="917"/>
      <c r="TJU4762" s="917"/>
      <c r="TJV4762" s="917"/>
      <c r="TJW4762" s="917"/>
      <c r="TJX4762" s="917"/>
      <c r="TJY4762" s="917"/>
      <c r="TJZ4762" s="917"/>
      <c r="TKA4762" s="917"/>
      <c r="TKB4762" s="917"/>
      <c r="TKC4762" s="917"/>
      <c r="TKD4762" s="917"/>
      <c r="TKE4762" s="917"/>
      <c r="TKF4762" s="917"/>
      <c r="TKG4762" s="917" t="s">
        <v>78</v>
      </c>
      <c r="TKH4762" s="917"/>
      <c r="TKI4762" s="917"/>
      <c r="TKJ4762" s="917"/>
      <c r="TKK4762" s="917"/>
      <c r="TKL4762" s="917"/>
      <c r="TKM4762" s="917"/>
      <c r="TKN4762" s="917"/>
      <c r="TKO4762" s="917"/>
      <c r="TKP4762" s="917"/>
      <c r="TKQ4762" s="917"/>
      <c r="TKR4762" s="917"/>
      <c r="TKS4762" s="917"/>
      <c r="TKT4762" s="917"/>
      <c r="TKU4762" s="917"/>
      <c r="TKV4762" s="917"/>
      <c r="TKW4762" s="917"/>
      <c r="TKX4762" s="917"/>
      <c r="TKY4762" s="917"/>
      <c r="TKZ4762" s="917"/>
      <c r="TLA4762" s="917"/>
      <c r="TLB4762" s="917"/>
      <c r="TLC4762" s="917"/>
      <c r="TLD4762" s="917"/>
      <c r="TLE4762" s="917"/>
      <c r="TLF4762" s="917"/>
      <c r="TLG4762" s="917"/>
      <c r="TLH4762" s="917"/>
      <c r="TLI4762" s="917"/>
      <c r="TLJ4762" s="917"/>
      <c r="TLK4762" s="917"/>
      <c r="TLL4762" s="917"/>
      <c r="TLM4762" s="917" t="s">
        <v>78</v>
      </c>
      <c r="TLN4762" s="917"/>
      <c r="TLO4762" s="917"/>
      <c r="TLP4762" s="917"/>
      <c r="TLQ4762" s="917"/>
      <c r="TLR4762" s="917"/>
      <c r="TLS4762" s="917"/>
      <c r="TLT4762" s="917"/>
      <c r="TLU4762" s="917"/>
      <c r="TLV4762" s="917"/>
      <c r="TLW4762" s="917"/>
      <c r="TLX4762" s="917"/>
      <c r="TLY4762" s="917"/>
      <c r="TLZ4762" s="917"/>
      <c r="TMA4762" s="917"/>
      <c r="TMB4762" s="917"/>
      <c r="TMC4762" s="917"/>
      <c r="TMD4762" s="917"/>
      <c r="TME4762" s="917"/>
      <c r="TMF4762" s="917"/>
      <c r="TMG4762" s="917"/>
      <c r="TMH4762" s="917"/>
      <c r="TMI4762" s="917"/>
      <c r="TMJ4762" s="917"/>
      <c r="TMK4762" s="917"/>
      <c r="TML4762" s="917"/>
      <c r="TMM4762" s="917"/>
      <c r="TMN4762" s="917"/>
      <c r="TMO4762" s="917"/>
      <c r="TMP4762" s="917"/>
      <c r="TMQ4762" s="917"/>
      <c r="TMR4762" s="917"/>
      <c r="TMS4762" s="917" t="s">
        <v>78</v>
      </c>
      <c r="TMT4762" s="917"/>
      <c r="TMU4762" s="917"/>
      <c r="TMV4762" s="917"/>
      <c r="TMW4762" s="917"/>
      <c r="TMX4762" s="917"/>
      <c r="TMY4762" s="917"/>
      <c r="TMZ4762" s="917"/>
      <c r="TNA4762" s="917"/>
      <c r="TNB4762" s="917"/>
      <c r="TNC4762" s="917"/>
      <c r="TND4762" s="917"/>
      <c r="TNE4762" s="917"/>
      <c r="TNF4762" s="917"/>
      <c r="TNG4762" s="917"/>
      <c r="TNH4762" s="917"/>
      <c r="TNI4762" s="917"/>
      <c r="TNJ4762" s="917"/>
      <c r="TNK4762" s="917"/>
      <c r="TNL4762" s="917"/>
      <c r="TNM4762" s="917"/>
      <c r="TNN4762" s="917"/>
      <c r="TNO4762" s="917"/>
      <c r="TNP4762" s="917"/>
      <c r="TNQ4762" s="917"/>
      <c r="TNR4762" s="917"/>
      <c r="TNS4762" s="917"/>
      <c r="TNT4762" s="917"/>
      <c r="TNU4762" s="917"/>
      <c r="TNV4762" s="917"/>
      <c r="TNW4762" s="917"/>
      <c r="TNX4762" s="917"/>
      <c r="TNY4762" s="917" t="s">
        <v>78</v>
      </c>
      <c r="TNZ4762" s="917"/>
      <c r="TOA4762" s="917"/>
      <c r="TOB4762" s="917"/>
      <c r="TOC4762" s="917"/>
      <c r="TOD4762" s="917"/>
      <c r="TOE4762" s="917"/>
      <c r="TOF4762" s="917"/>
      <c r="TOG4762" s="917"/>
      <c r="TOH4762" s="917"/>
      <c r="TOI4762" s="917"/>
      <c r="TOJ4762" s="917"/>
      <c r="TOK4762" s="917"/>
      <c r="TOL4762" s="917"/>
      <c r="TOM4762" s="917"/>
      <c r="TON4762" s="917"/>
      <c r="TOO4762" s="917"/>
      <c r="TOP4762" s="917"/>
      <c r="TOQ4762" s="917"/>
      <c r="TOR4762" s="917"/>
      <c r="TOS4762" s="917"/>
      <c r="TOT4762" s="917"/>
      <c r="TOU4762" s="917"/>
      <c r="TOV4762" s="917"/>
      <c r="TOW4762" s="917"/>
      <c r="TOX4762" s="917"/>
      <c r="TOY4762" s="917"/>
      <c r="TOZ4762" s="917"/>
      <c r="TPA4762" s="917"/>
      <c r="TPB4762" s="917"/>
      <c r="TPC4762" s="917"/>
      <c r="TPD4762" s="917"/>
      <c r="TPE4762" s="917" t="s">
        <v>78</v>
      </c>
      <c r="TPF4762" s="917"/>
      <c r="TPG4762" s="917"/>
      <c r="TPH4762" s="917"/>
      <c r="TPI4762" s="917"/>
      <c r="TPJ4762" s="917"/>
      <c r="TPK4762" s="917"/>
      <c r="TPL4762" s="917"/>
      <c r="TPM4762" s="917"/>
      <c r="TPN4762" s="917"/>
      <c r="TPO4762" s="917"/>
      <c r="TPP4762" s="917"/>
      <c r="TPQ4762" s="917"/>
      <c r="TPR4762" s="917"/>
      <c r="TPS4762" s="917"/>
      <c r="TPT4762" s="917"/>
      <c r="TPU4762" s="917"/>
      <c r="TPV4762" s="917"/>
      <c r="TPW4762" s="917"/>
      <c r="TPX4762" s="917"/>
      <c r="TPY4762" s="917"/>
      <c r="TPZ4762" s="917"/>
      <c r="TQA4762" s="917"/>
      <c r="TQB4762" s="917"/>
      <c r="TQC4762" s="917"/>
      <c r="TQD4762" s="917"/>
      <c r="TQE4762" s="917"/>
      <c r="TQF4762" s="917"/>
      <c r="TQG4762" s="917"/>
      <c r="TQH4762" s="917"/>
      <c r="TQI4762" s="917"/>
      <c r="TQJ4762" s="917"/>
      <c r="TQK4762" s="917" t="s">
        <v>78</v>
      </c>
      <c r="TQL4762" s="917"/>
      <c r="TQM4762" s="917"/>
      <c r="TQN4762" s="917"/>
      <c r="TQO4762" s="917"/>
      <c r="TQP4762" s="917"/>
      <c r="TQQ4762" s="917"/>
      <c r="TQR4762" s="917"/>
      <c r="TQS4762" s="917"/>
      <c r="TQT4762" s="917"/>
      <c r="TQU4762" s="917"/>
      <c r="TQV4762" s="917"/>
      <c r="TQW4762" s="917"/>
      <c r="TQX4762" s="917"/>
      <c r="TQY4762" s="917"/>
      <c r="TQZ4762" s="917"/>
      <c r="TRA4762" s="917"/>
      <c r="TRB4762" s="917"/>
      <c r="TRC4762" s="917"/>
      <c r="TRD4762" s="917"/>
      <c r="TRE4762" s="917"/>
      <c r="TRF4762" s="917"/>
      <c r="TRG4762" s="917"/>
      <c r="TRH4762" s="917"/>
      <c r="TRI4762" s="917"/>
      <c r="TRJ4762" s="917"/>
      <c r="TRK4762" s="917"/>
      <c r="TRL4762" s="917"/>
      <c r="TRM4762" s="917"/>
      <c r="TRN4762" s="917"/>
      <c r="TRO4762" s="917"/>
      <c r="TRP4762" s="917"/>
      <c r="TRQ4762" s="917" t="s">
        <v>78</v>
      </c>
      <c r="TRR4762" s="917"/>
      <c r="TRS4762" s="917"/>
      <c r="TRT4762" s="917"/>
      <c r="TRU4762" s="917"/>
      <c r="TRV4762" s="917"/>
      <c r="TRW4762" s="917"/>
      <c r="TRX4762" s="917"/>
      <c r="TRY4762" s="917"/>
      <c r="TRZ4762" s="917"/>
      <c r="TSA4762" s="917"/>
      <c r="TSB4762" s="917"/>
      <c r="TSC4762" s="917"/>
      <c r="TSD4762" s="917"/>
      <c r="TSE4762" s="917"/>
      <c r="TSF4762" s="917"/>
      <c r="TSG4762" s="917"/>
      <c r="TSH4762" s="917"/>
      <c r="TSI4762" s="917"/>
      <c r="TSJ4762" s="917"/>
      <c r="TSK4762" s="917"/>
      <c r="TSL4762" s="917"/>
      <c r="TSM4762" s="917"/>
      <c r="TSN4762" s="917"/>
      <c r="TSO4762" s="917"/>
      <c r="TSP4762" s="917"/>
      <c r="TSQ4762" s="917"/>
      <c r="TSR4762" s="917"/>
      <c r="TSS4762" s="917"/>
      <c r="TST4762" s="917"/>
      <c r="TSU4762" s="917"/>
      <c r="TSV4762" s="917"/>
      <c r="TSW4762" s="917" t="s">
        <v>78</v>
      </c>
      <c r="TSX4762" s="917"/>
      <c r="TSY4762" s="917"/>
      <c r="TSZ4762" s="917"/>
      <c r="TTA4762" s="917"/>
      <c r="TTB4762" s="917"/>
      <c r="TTC4762" s="917"/>
      <c r="TTD4762" s="917"/>
      <c r="TTE4762" s="917"/>
      <c r="TTF4762" s="917"/>
      <c r="TTG4762" s="917"/>
      <c r="TTH4762" s="917"/>
      <c r="TTI4762" s="917"/>
      <c r="TTJ4762" s="917"/>
      <c r="TTK4762" s="917"/>
      <c r="TTL4762" s="917"/>
      <c r="TTM4762" s="917"/>
      <c r="TTN4762" s="917"/>
      <c r="TTO4762" s="917"/>
      <c r="TTP4762" s="917"/>
      <c r="TTQ4762" s="917"/>
      <c r="TTR4762" s="917"/>
      <c r="TTS4762" s="917"/>
      <c r="TTT4762" s="917"/>
      <c r="TTU4762" s="917"/>
      <c r="TTV4762" s="917"/>
      <c r="TTW4762" s="917"/>
      <c r="TTX4762" s="917"/>
      <c r="TTY4762" s="917"/>
      <c r="TTZ4762" s="917"/>
      <c r="TUA4762" s="917"/>
      <c r="TUB4762" s="917"/>
      <c r="TUC4762" s="917" t="s">
        <v>78</v>
      </c>
      <c r="TUD4762" s="917"/>
      <c r="TUE4762" s="917"/>
      <c r="TUF4762" s="917"/>
      <c r="TUG4762" s="917"/>
      <c r="TUH4762" s="917"/>
      <c r="TUI4762" s="917"/>
      <c r="TUJ4762" s="917"/>
      <c r="TUK4762" s="917"/>
      <c r="TUL4762" s="917"/>
      <c r="TUM4762" s="917"/>
      <c r="TUN4762" s="917"/>
      <c r="TUO4762" s="917"/>
      <c r="TUP4762" s="917"/>
      <c r="TUQ4762" s="917"/>
      <c r="TUR4762" s="917"/>
      <c r="TUS4762" s="917"/>
      <c r="TUT4762" s="917"/>
      <c r="TUU4762" s="917"/>
      <c r="TUV4762" s="917"/>
      <c r="TUW4762" s="917"/>
      <c r="TUX4762" s="917"/>
      <c r="TUY4762" s="917"/>
      <c r="TUZ4762" s="917"/>
      <c r="TVA4762" s="917"/>
      <c r="TVB4762" s="917"/>
      <c r="TVC4762" s="917"/>
      <c r="TVD4762" s="917"/>
      <c r="TVE4762" s="917"/>
      <c r="TVF4762" s="917"/>
      <c r="TVG4762" s="917"/>
      <c r="TVH4762" s="917"/>
      <c r="TVI4762" s="917" t="s">
        <v>78</v>
      </c>
      <c r="TVJ4762" s="917"/>
      <c r="TVK4762" s="917"/>
      <c r="TVL4762" s="917"/>
      <c r="TVM4762" s="917"/>
      <c r="TVN4762" s="917"/>
      <c r="TVO4762" s="917"/>
      <c r="TVP4762" s="917"/>
      <c r="TVQ4762" s="917"/>
      <c r="TVR4762" s="917"/>
      <c r="TVS4762" s="917"/>
      <c r="TVT4762" s="917"/>
      <c r="TVU4762" s="917"/>
      <c r="TVV4762" s="917"/>
      <c r="TVW4762" s="917"/>
      <c r="TVX4762" s="917"/>
      <c r="TVY4762" s="917"/>
      <c r="TVZ4762" s="917"/>
      <c r="TWA4762" s="917"/>
      <c r="TWB4762" s="917"/>
      <c r="TWC4762" s="917"/>
      <c r="TWD4762" s="917"/>
      <c r="TWE4762" s="917"/>
      <c r="TWF4762" s="917"/>
      <c r="TWG4762" s="917"/>
      <c r="TWH4762" s="917"/>
      <c r="TWI4762" s="917"/>
      <c r="TWJ4762" s="917"/>
      <c r="TWK4762" s="917"/>
      <c r="TWL4762" s="917"/>
      <c r="TWM4762" s="917"/>
      <c r="TWN4762" s="917"/>
      <c r="TWO4762" s="917" t="s">
        <v>78</v>
      </c>
      <c r="TWP4762" s="917"/>
      <c r="TWQ4762" s="917"/>
      <c r="TWR4762" s="917"/>
      <c r="TWS4762" s="917"/>
      <c r="TWT4762" s="917"/>
      <c r="TWU4762" s="917"/>
      <c r="TWV4762" s="917"/>
      <c r="TWW4762" s="917"/>
      <c r="TWX4762" s="917"/>
      <c r="TWY4762" s="917"/>
      <c r="TWZ4762" s="917"/>
      <c r="TXA4762" s="917"/>
      <c r="TXB4762" s="917"/>
      <c r="TXC4762" s="917"/>
      <c r="TXD4762" s="917"/>
      <c r="TXE4762" s="917"/>
      <c r="TXF4762" s="917"/>
      <c r="TXG4762" s="917"/>
      <c r="TXH4762" s="917"/>
      <c r="TXI4762" s="917"/>
      <c r="TXJ4762" s="917"/>
      <c r="TXK4762" s="917"/>
      <c r="TXL4762" s="917"/>
      <c r="TXM4762" s="917"/>
      <c r="TXN4762" s="917"/>
      <c r="TXO4762" s="917"/>
      <c r="TXP4762" s="917"/>
      <c r="TXQ4762" s="917"/>
      <c r="TXR4762" s="917"/>
      <c r="TXS4762" s="917"/>
      <c r="TXT4762" s="917"/>
      <c r="TXU4762" s="917" t="s">
        <v>78</v>
      </c>
      <c r="TXV4762" s="917"/>
      <c r="TXW4762" s="917"/>
      <c r="TXX4762" s="917"/>
      <c r="TXY4762" s="917"/>
      <c r="TXZ4762" s="917"/>
      <c r="TYA4762" s="917"/>
      <c r="TYB4762" s="917"/>
      <c r="TYC4762" s="917"/>
      <c r="TYD4762" s="917"/>
      <c r="TYE4762" s="917"/>
      <c r="TYF4762" s="917"/>
      <c r="TYG4762" s="917"/>
      <c r="TYH4762" s="917"/>
      <c r="TYI4762" s="917"/>
      <c r="TYJ4762" s="917"/>
      <c r="TYK4762" s="917"/>
      <c r="TYL4762" s="917"/>
      <c r="TYM4762" s="917"/>
      <c r="TYN4762" s="917"/>
      <c r="TYO4762" s="917"/>
      <c r="TYP4762" s="917"/>
      <c r="TYQ4762" s="917"/>
      <c r="TYR4762" s="917"/>
      <c r="TYS4762" s="917"/>
      <c r="TYT4762" s="917"/>
      <c r="TYU4762" s="917"/>
      <c r="TYV4762" s="917"/>
      <c r="TYW4762" s="917"/>
      <c r="TYX4762" s="917"/>
      <c r="TYY4762" s="917"/>
      <c r="TYZ4762" s="917"/>
      <c r="TZA4762" s="917" t="s">
        <v>78</v>
      </c>
      <c r="TZB4762" s="917"/>
      <c r="TZC4762" s="917"/>
      <c r="TZD4762" s="917"/>
      <c r="TZE4762" s="917"/>
      <c r="TZF4762" s="917"/>
      <c r="TZG4762" s="917"/>
      <c r="TZH4762" s="917"/>
      <c r="TZI4762" s="917"/>
      <c r="TZJ4762" s="917"/>
      <c r="TZK4762" s="917"/>
      <c r="TZL4762" s="917"/>
      <c r="TZM4762" s="917"/>
      <c r="TZN4762" s="917"/>
      <c r="TZO4762" s="917"/>
      <c r="TZP4762" s="917"/>
      <c r="TZQ4762" s="917"/>
      <c r="TZR4762" s="917"/>
      <c r="TZS4762" s="917"/>
      <c r="TZT4762" s="917"/>
      <c r="TZU4762" s="917"/>
      <c r="TZV4762" s="917"/>
      <c r="TZW4762" s="917"/>
      <c r="TZX4762" s="917"/>
      <c r="TZY4762" s="917"/>
      <c r="TZZ4762" s="917"/>
      <c r="UAA4762" s="917"/>
      <c r="UAB4762" s="917"/>
      <c r="UAC4762" s="917"/>
      <c r="UAD4762" s="917"/>
      <c r="UAE4762" s="917"/>
      <c r="UAF4762" s="917"/>
      <c r="UAG4762" s="917" t="s">
        <v>78</v>
      </c>
      <c r="UAH4762" s="917"/>
      <c r="UAI4762" s="917"/>
      <c r="UAJ4762" s="917"/>
      <c r="UAK4762" s="917"/>
      <c r="UAL4762" s="917"/>
      <c r="UAM4762" s="917"/>
      <c r="UAN4762" s="917"/>
      <c r="UAO4762" s="917"/>
      <c r="UAP4762" s="917"/>
      <c r="UAQ4762" s="917"/>
      <c r="UAR4762" s="917"/>
      <c r="UAS4762" s="917"/>
      <c r="UAT4762" s="917"/>
      <c r="UAU4762" s="917"/>
      <c r="UAV4762" s="917"/>
      <c r="UAW4762" s="917"/>
      <c r="UAX4762" s="917"/>
      <c r="UAY4762" s="917"/>
      <c r="UAZ4762" s="917"/>
      <c r="UBA4762" s="917"/>
      <c r="UBB4762" s="917"/>
      <c r="UBC4762" s="917"/>
      <c r="UBD4762" s="917"/>
      <c r="UBE4762" s="917"/>
      <c r="UBF4762" s="917"/>
      <c r="UBG4762" s="917"/>
      <c r="UBH4762" s="917"/>
      <c r="UBI4762" s="917"/>
      <c r="UBJ4762" s="917"/>
      <c r="UBK4762" s="917"/>
      <c r="UBL4762" s="917"/>
      <c r="UBM4762" s="917" t="s">
        <v>78</v>
      </c>
      <c r="UBN4762" s="917"/>
      <c r="UBO4762" s="917"/>
      <c r="UBP4762" s="917"/>
      <c r="UBQ4762" s="917"/>
      <c r="UBR4762" s="917"/>
      <c r="UBS4762" s="917"/>
      <c r="UBT4762" s="917"/>
      <c r="UBU4762" s="917"/>
      <c r="UBV4762" s="917"/>
      <c r="UBW4762" s="917"/>
      <c r="UBX4762" s="917"/>
      <c r="UBY4762" s="917"/>
      <c r="UBZ4762" s="917"/>
      <c r="UCA4762" s="917"/>
      <c r="UCB4762" s="917"/>
      <c r="UCC4762" s="917"/>
      <c r="UCD4762" s="917"/>
      <c r="UCE4762" s="917"/>
      <c r="UCF4762" s="917"/>
      <c r="UCG4762" s="917"/>
      <c r="UCH4762" s="917"/>
      <c r="UCI4762" s="917"/>
      <c r="UCJ4762" s="917"/>
      <c r="UCK4762" s="917"/>
      <c r="UCL4762" s="917"/>
      <c r="UCM4762" s="917"/>
      <c r="UCN4762" s="917"/>
      <c r="UCO4762" s="917"/>
      <c r="UCP4762" s="917"/>
      <c r="UCQ4762" s="917"/>
      <c r="UCR4762" s="917"/>
      <c r="UCS4762" s="917" t="s">
        <v>78</v>
      </c>
      <c r="UCT4762" s="917"/>
      <c r="UCU4762" s="917"/>
      <c r="UCV4762" s="917"/>
      <c r="UCW4762" s="917"/>
      <c r="UCX4762" s="917"/>
      <c r="UCY4762" s="917"/>
      <c r="UCZ4762" s="917"/>
      <c r="UDA4762" s="917"/>
      <c r="UDB4762" s="917"/>
      <c r="UDC4762" s="917"/>
      <c r="UDD4762" s="917"/>
      <c r="UDE4762" s="917"/>
      <c r="UDF4762" s="917"/>
      <c r="UDG4762" s="917"/>
      <c r="UDH4762" s="917"/>
      <c r="UDI4762" s="917"/>
      <c r="UDJ4762" s="917"/>
      <c r="UDK4762" s="917"/>
      <c r="UDL4762" s="917"/>
      <c r="UDM4762" s="917"/>
      <c r="UDN4762" s="917"/>
      <c r="UDO4762" s="917"/>
      <c r="UDP4762" s="917"/>
      <c r="UDQ4762" s="917"/>
      <c r="UDR4762" s="917"/>
      <c r="UDS4762" s="917"/>
      <c r="UDT4762" s="917"/>
      <c r="UDU4762" s="917"/>
      <c r="UDV4762" s="917"/>
      <c r="UDW4762" s="917"/>
      <c r="UDX4762" s="917"/>
      <c r="UDY4762" s="917" t="s">
        <v>78</v>
      </c>
      <c r="UDZ4762" s="917"/>
      <c r="UEA4762" s="917"/>
      <c r="UEB4762" s="917"/>
      <c r="UEC4762" s="917"/>
      <c r="UED4762" s="917"/>
      <c r="UEE4762" s="917"/>
      <c r="UEF4762" s="917"/>
      <c r="UEG4762" s="917"/>
      <c r="UEH4762" s="917"/>
      <c r="UEI4762" s="917"/>
      <c r="UEJ4762" s="917"/>
      <c r="UEK4762" s="917"/>
      <c r="UEL4762" s="917"/>
      <c r="UEM4762" s="917"/>
      <c r="UEN4762" s="917"/>
      <c r="UEO4762" s="917"/>
      <c r="UEP4762" s="917"/>
      <c r="UEQ4762" s="917"/>
      <c r="UER4762" s="917"/>
      <c r="UES4762" s="917"/>
      <c r="UET4762" s="917"/>
      <c r="UEU4762" s="917"/>
      <c r="UEV4762" s="917"/>
      <c r="UEW4762" s="917"/>
      <c r="UEX4762" s="917"/>
      <c r="UEY4762" s="917"/>
      <c r="UEZ4762" s="917"/>
      <c r="UFA4762" s="917"/>
      <c r="UFB4762" s="917"/>
      <c r="UFC4762" s="917"/>
      <c r="UFD4762" s="917"/>
      <c r="UFE4762" s="917" t="s">
        <v>78</v>
      </c>
      <c r="UFF4762" s="917"/>
      <c r="UFG4762" s="917"/>
      <c r="UFH4762" s="917"/>
      <c r="UFI4762" s="917"/>
      <c r="UFJ4762" s="917"/>
      <c r="UFK4762" s="917"/>
      <c r="UFL4762" s="917"/>
      <c r="UFM4762" s="917"/>
      <c r="UFN4762" s="917"/>
      <c r="UFO4762" s="917"/>
      <c r="UFP4762" s="917"/>
      <c r="UFQ4762" s="917"/>
      <c r="UFR4762" s="917"/>
      <c r="UFS4762" s="917"/>
      <c r="UFT4762" s="917"/>
      <c r="UFU4762" s="917"/>
      <c r="UFV4762" s="917"/>
      <c r="UFW4762" s="917"/>
      <c r="UFX4762" s="917"/>
      <c r="UFY4762" s="917"/>
      <c r="UFZ4762" s="917"/>
      <c r="UGA4762" s="917"/>
      <c r="UGB4762" s="917"/>
      <c r="UGC4762" s="917"/>
      <c r="UGD4762" s="917"/>
      <c r="UGE4762" s="917"/>
      <c r="UGF4762" s="917"/>
      <c r="UGG4762" s="917"/>
      <c r="UGH4762" s="917"/>
      <c r="UGI4762" s="917"/>
      <c r="UGJ4762" s="917"/>
      <c r="UGK4762" s="917" t="s">
        <v>78</v>
      </c>
      <c r="UGL4762" s="917"/>
      <c r="UGM4762" s="917"/>
      <c r="UGN4762" s="917"/>
      <c r="UGO4762" s="917"/>
      <c r="UGP4762" s="917"/>
      <c r="UGQ4762" s="917"/>
      <c r="UGR4762" s="917"/>
      <c r="UGS4762" s="917"/>
      <c r="UGT4762" s="917"/>
      <c r="UGU4762" s="917"/>
      <c r="UGV4762" s="917"/>
      <c r="UGW4762" s="917"/>
      <c r="UGX4762" s="917"/>
      <c r="UGY4762" s="917"/>
      <c r="UGZ4762" s="917"/>
      <c r="UHA4762" s="917"/>
      <c r="UHB4762" s="917"/>
      <c r="UHC4762" s="917"/>
      <c r="UHD4762" s="917"/>
      <c r="UHE4762" s="917"/>
      <c r="UHF4762" s="917"/>
      <c r="UHG4762" s="917"/>
      <c r="UHH4762" s="917"/>
      <c r="UHI4762" s="917"/>
      <c r="UHJ4762" s="917"/>
      <c r="UHK4762" s="917"/>
      <c r="UHL4762" s="917"/>
      <c r="UHM4762" s="917"/>
      <c r="UHN4762" s="917"/>
      <c r="UHO4762" s="917"/>
      <c r="UHP4762" s="917"/>
      <c r="UHQ4762" s="917" t="s">
        <v>78</v>
      </c>
      <c r="UHR4762" s="917"/>
      <c r="UHS4762" s="917"/>
      <c r="UHT4762" s="917"/>
      <c r="UHU4762" s="917"/>
      <c r="UHV4762" s="917"/>
      <c r="UHW4762" s="917"/>
      <c r="UHX4762" s="917"/>
      <c r="UHY4762" s="917"/>
      <c r="UHZ4762" s="917"/>
      <c r="UIA4762" s="917"/>
      <c r="UIB4762" s="917"/>
      <c r="UIC4762" s="917"/>
      <c r="UID4762" s="917"/>
      <c r="UIE4762" s="917"/>
      <c r="UIF4762" s="917"/>
      <c r="UIG4762" s="917"/>
      <c r="UIH4762" s="917"/>
      <c r="UII4762" s="917"/>
      <c r="UIJ4762" s="917"/>
      <c r="UIK4762" s="917"/>
      <c r="UIL4762" s="917"/>
      <c r="UIM4762" s="917"/>
      <c r="UIN4762" s="917"/>
      <c r="UIO4762" s="917"/>
      <c r="UIP4762" s="917"/>
      <c r="UIQ4762" s="917"/>
      <c r="UIR4762" s="917"/>
      <c r="UIS4762" s="917"/>
      <c r="UIT4762" s="917"/>
      <c r="UIU4762" s="917"/>
      <c r="UIV4762" s="917"/>
      <c r="UIW4762" s="917" t="s">
        <v>78</v>
      </c>
      <c r="UIX4762" s="917"/>
      <c r="UIY4762" s="917"/>
      <c r="UIZ4762" s="917"/>
      <c r="UJA4762" s="917"/>
      <c r="UJB4762" s="917"/>
      <c r="UJC4762" s="917"/>
      <c r="UJD4762" s="917"/>
      <c r="UJE4762" s="917"/>
      <c r="UJF4762" s="917"/>
      <c r="UJG4762" s="917"/>
      <c r="UJH4762" s="917"/>
      <c r="UJI4762" s="917"/>
      <c r="UJJ4762" s="917"/>
      <c r="UJK4762" s="917"/>
      <c r="UJL4762" s="917"/>
      <c r="UJM4762" s="917"/>
      <c r="UJN4762" s="917"/>
      <c r="UJO4762" s="917"/>
      <c r="UJP4762" s="917"/>
      <c r="UJQ4762" s="917"/>
      <c r="UJR4762" s="917"/>
      <c r="UJS4762" s="917"/>
      <c r="UJT4762" s="917"/>
      <c r="UJU4762" s="917"/>
      <c r="UJV4762" s="917"/>
      <c r="UJW4762" s="917"/>
      <c r="UJX4762" s="917"/>
      <c r="UJY4762" s="917"/>
      <c r="UJZ4762" s="917"/>
      <c r="UKA4762" s="917"/>
      <c r="UKB4762" s="917"/>
      <c r="UKC4762" s="917" t="s">
        <v>78</v>
      </c>
      <c r="UKD4762" s="917"/>
      <c r="UKE4762" s="917"/>
      <c r="UKF4762" s="917"/>
      <c r="UKG4762" s="917"/>
      <c r="UKH4762" s="917"/>
      <c r="UKI4762" s="917"/>
      <c r="UKJ4762" s="917"/>
      <c r="UKK4762" s="917"/>
      <c r="UKL4762" s="917"/>
      <c r="UKM4762" s="917"/>
      <c r="UKN4762" s="917"/>
      <c r="UKO4762" s="917"/>
      <c r="UKP4762" s="917"/>
      <c r="UKQ4762" s="917"/>
      <c r="UKR4762" s="917"/>
      <c r="UKS4762" s="917"/>
      <c r="UKT4762" s="917"/>
      <c r="UKU4762" s="917"/>
      <c r="UKV4762" s="917"/>
      <c r="UKW4762" s="917"/>
      <c r="UKX4762" s="917"/>
      <c r="UKY4762" s="917"/>
      <c r="UKZ4762" s="917"/>
      <c r="ULA4762" s="917"/>
      <c r="ULB4762" s="917"/>
      <c r="ULC4762" s="917"/>
      <c r="ULD4762" s="917"/>
      <c r="ULE4762" s="917"/>
      <c r="ULF4762" s="917"/>
      <c r="ULG4762" s="917"/>
      <c r="ULH4762" s="917"/>
      <c r="ULI4762" s="917" t="s">
        <v>78</v>
      </c>
      <c r="ULJ4762" s="917"/>
      <c r="ULK4762" s="917"/>
      <c r="ULL4762" s="917"/>
      <c r="ULM4762" s="917"/>
      <c r="ULN4762" s="917"/>
      <c r="ULO4762" s="917"/>
      <c r="ULP4762" s="917"/>
      <c r="ULQ4762" s="917"/>
      <c r="ULR4762" s="917"/>
      <c r="ULS4762" s="917"/>
      <c r="ULT4762" s="917"/>
      <c r="ULU4762" s="917"/>
      <c r="ULV4762" s="917"/>
      <c r="ULW4762" s="917"/>
      <c r="ULX4762" s="917"/>
      <c r="ULY4762" s="917"/>
      <c r="ULZ4762" s="917"/>
      <c r="UMA4762" s="917"/>
      <c r="UMB4762" s="917"/>
      <c r="UMC4762" s="917"/>
      <c r="UMD4762" s="917"/>
      <c r="UME4762" s="917"/>
      <c r="UMF4762" s="917"/>
      <c r="UMG4762" s="917"/>
      <c r="UMH4762" s="917"/>
      <c r="UMI4762" s="917"/>
      <c r="UMJ4762" s="917"/>
      <c r="UMK4762" s="917"/>
      <c r="UML4762" s="917"/>
      <c r="UMM4762" s="917"/>
      <c r="UMN4762" s="917"/>
      <c r="UMO4762" s="917" t="s">
        <v>78</v>
      </c>
      <c r="UMP4762" s="917"/>
      <c r="UMQ4762" s="917"/>
      <c r="UMR4762" s="917"/>
      <c r="UMS4762" s="917"/>
      <c r="UMT4762" s="917"/>
      <c r="UMU4762" s="917"/>
      <c r="UMV4762" s="917"/>
      <c r="UMW4762" s="917"/>
      <c r="UMX4762" s="917"/>
      <c r="UMY4762" s="917"/>
      <c r="UMZ4762" s="917"/>
      <c r="UNA4762" s="917"/>
      <c r="UNB4762" s="917"/>
      <c r="UNC4762" s="917"/>
      <c r="UND4762" s="917"/>
      <c r="UNE4762" s="917"/>
      <c r="UNF4762" s="917"/>
      <c r="UNG4762" s="917"/>
      <c r="UNH4762" s="917"/>
      <c r="UNI4762" s="917"/>
      <c r="UNJ4762" s="917"/>
      <c r="UNK4762" s="917"/>
      <c r="UNL4762" s="917"/>
      <c r="UNM4762" s="917"/>
      <c r="UNN4762" s="917"/>
      <c r="UNO4762" s="917"/>
      <c r="UNP4762" s="917"/>
      <c r="UNQ4762" s="917"/>
      <c r="UNR4762" s="917"/>
      <c r="UNS4762" s="917"/>
      <c r="UNT4762" s="917"/>
      <c r="UNU4762" s="917" t="s">
        <v>78</v>
      </c>
      <c r="UNV4762" s="917"/>
      <c r="UNW4762" s="917"/>
      <c r="UNX4762" s="917"/>
      <c r="UNY4762" s="917"/>
      <c r="UNZ4762" s="917"/>
      <c r="UOA4762" s="917"/>
      <c r="UOB4762" s="917"/>
      <c r="UOC4762" s="917"/>
      <c r="UOD4762" s="917"/>
      <c r="UOE4762" s="917"/>
      <c r="UOF4762" s="917"/>
      <c r="UOG4762" s="917"/>
      <c r="UOH4762" s="917"/>
      <c r="UOI4762" s="917"/>
      <c r="UOJ4762" s="917"/>
      <c r="UOK4762" s="917"/>
      <c r="UOL4762" s="917"/>
      <c r="UOM4762" s="917"/>
      <c r="UON4762" s="917"/>
      <c r="UOO4762" s="917"/>
      <c r="UOP4762" s="917"/>
      <c r="UOQ4762" s="917"/>
      <c r="UOR4762" s="917"/>
      <c r="UOS4762" s="917"/>
      <c r="UOT4762" s="917"/>
      <c r="UOU4762" s="917"/>
      <c r="UOV4762" s="917"/>
      <c r="UOW4762" s="917"/>
      <c r="UOX4762" s="917"/>
      <c r="UOY4762" s="917"/>
      <c r="UOZ4762" s="917"/>
      <c r="UPA4762" s="917" t="s">
        <v>78</v>
      </c>
      <c r="UPB4762" s="917"/>
      <c r="UPC4762" s="917"/>
      <c r="UPD4762" s="917"/>
      <c r="UPE4762" s="917"/>
      <c r="UPF4762" s="917"/>
      <c r="UPG4762" s="917"/>
      <c r="UPH4762" s="917"/>
      <c r="UPI4762" s="917"/>
      <c r="UPJ4762" s="917"/>
      <c r="UPK4762" s="917"/>
      <c r="UPL4762" s="917"/>
      <c r="UPM4762" s="917"/>
      <c r="UPN4762" s="917"/>
      <c r="UPO4762" s="917"/>
      <c r="UPP4762" s="917"/>
      <c r="UPQ4762" s="917"/>
      <c r="UPR4762" s="917"/>
      <c r="UPS4762" s="917"/>
      <c r="UPT4762" s="917"/>
      <c r="UPU4762" s="917"/>
      <c r="UPV4762" s="917"/>
      <c r="UPW4762" s="917"/>
      <c r="UPX4762" s="917"/>
      <c r="UPY4762" s="917"/>
      <c r="UPZ4762" s="917"/>
      <c r="UQA4762" s="917"/>
      <c r="UQB4762" s="917"/>
      <c r="UQC4762" s="917"/>
      <c r="UQD4762" s="917"/>
      <c r="UQE4762" s="917"/>
      <c r="UQF4762" s="917"/>
      <c r="UQG4762" s="917" t="s">
        <v>78</v>
      </c>
      <c r="UQH4762" s="917"/>
      <c r="UQI4762" s="917"/>
      <c r="UQJ4762" s="917"/>
      <c r="UQK4762" s="917"/>
      <c r="UQL4762" s="917"/>
      <c r="UQM4762" s="917"/>
      <c r="UQN4762" s="917"/>
      <c r="UQO4762" s="917"/>
      <c r="UQP4762" s="917"/>
      <c r="UQQ4762" s="917"/>
      <c r="UQR4762" s="917"/>
      <c r="UQS4762" s="917"/>
      <c r="UQT4762" s="917"/>
      <c r="UQU4762" s="917"/>
      <c r="UQV4762" s="917"/>
      <c r="UQW4762" s="917"/>
      <c r="UQX4762" s="917"/>
      <c r="UQY4762" s="917"/>
      <c r="UQZ4762" s="917"/>
      <c r="URA4762" s="917"/>
      <c r="URB4762" s="917"/>
      <c r="URC4762" s="917"/>
      <c r="URD4762" s="917"/>
      <c r="URE4762" s="917"/>
      <c r="URF4762" s="917"/>
      <c r="URG4762" s="917"/>
      <c r="URH4762" s="917"/>
      <c r="URI4762" s="917"/>
      <c r="URJ4762" s="917"/>
      <c r="URK4762" s="917"/>
      <c r="URL4762" s="917"/>
      <c r="URM4762" s="917" t="s">
        <v>78</v>
      </c>
      <c r="URN4762" s="917"/>
      <c r="URO4762" s="917"/>
      <c r="URP4762" s="917"/>
      <c r="URQ4762" s="917"/>
      <c r="URR4762" s="917"/>
      <c r="URS4762" s="917"/>
      <c r="URT4762" s="917"/>
      <c r="URU4762" s="917"/>
      <c r="URV4762" s="917"/>
      <c r="URW4762" s="917"/>
      <c r="URX4762" s="917"/>
      <c r="URY4762" s="917"/>
      <c r="URZ4762" s="917"/>
      <c r="USA4762" s="917"/>
      <c r="USB4762" s="917"/>
      <c r="USC4762" s="917"/>
      <c r="USD4762" s="917"/>
      <c r="USE4762" s="917"/>
      <c r="USF4762" s="917"/>
      <c r="USG4762" s="917"/>
      <c r="USH4762" s="917"/>
      <c r="USI4762" s="917"/>
      <c r="USJ4762" s="917"/>
      <c r="USK4762" s="917"/>
      <c r="USL4762" s="917"/>
      <c r="USM4762" s="917"/>
      <c r="USN4762" s="917"/>
      <c r="USO4762" s="917"/>
      <c r="USP4762" s="917"/>
      <c r="USQ4762" s="917"/>
      <c r="USR4762" s="917"/>
      <c r="USS4762" s="917" t="s">
        <v>78</v>
      </c>
      <c r="UST4762" s="917"/>
      <c r="USU4762" s="917"/>
      <c r="USV4762" s="917"/>
      <c r="USW4762" s="917"/>
      <c r="USX4762" s="917"/>
      <c r="USY4762" s="917"/>
      <c r="USZ4762" s="917"/>
      <c r="UTA4762" s="917"/>
      <c r="UTB4762" s="917"/>
      <c r="UTC4762" s="917"/>
      <c r="UTD4762" s="917"/>
      <c r="UTE4762" s="917"/>
      <c r="UTF4762" s="917"/>
      <c r="UTG4762" s="917"/>
      <c r="UTH4762" s="917"/>
      <c r="UTI4762" s="917"/>
      <c r="UTJ4762" s="917"/>
      <c r="UTK4762" s="917"/>
      <c r="UTL4762" s="917"/>
      <c r="UTM4762" s="917"/>
      <c r="UTN4762" s="917"/>
      <c r="UTO4762" s="917"/>
      <c r="UTP4762" s="917"/>
      <c r="UTQ4762" s="917"/>
      <c r="UTR4762" s="917"/>
      <c r="UTS4762" s="917"/>
      <c r="UTT4762" s="917"/>
      <c r="UTU4762" s="917"/>
      <c r="UTV4762" s="917"/>
      <c r="UTW4762" s="917"/>
      <c r="UTX4762" s="917"/>
      <c r="UTY4762" s="917" t="s">
        <v>78</v>
      </c>
      <c r="UTZ4762" s="917"/>
      <c r="UUA4762" s="917"/>
      <c r="UUB4762" s="917"/>
      <c r="UUC4762" s="917"/>
      <c r="UUD4762" s="917"/>
      <c r="UUE4762" s="917"/>
      <c r="UUF4762" s="917"/>
      <c r="UUG4762" s="917"/>
      <c r="UUH4762" s="917"/>
      <c r="UUI4762" s="917"/>
      <c r="UUJ4762" s="917"/>
      <c r="UUK4762" s="917"/>
      <c r="UUL4762" s="917"/>
      <c r="UUM4762" s="917"/>
      <c r="UUN4762" s="917"/>
      <c r="UUO4762" s="917"/>
      <c r="UUP4762" s="917"/>
      <c r="UUQ4762" s="917"/>
      <c r="UUR4762" s="917"/>
      <c r="UUS4762" s="917"/>
      <c r="UUT4762" s="917"/>
      <c r="UUU4762" s="917"/>
      <c r="UUV4762" s="917"/>
      <c r="UUW4762" s="917"/>
      <c r="UUX4762" s="917"/>
      <c r="UUY4762" s="917"/>
      <c r="UUZ4762" s="917"/>
      <c r="UVA4762" s="917"/>
      <c r="UVB4762" s="917"/>
      <c r="UVC4762" s="917"/>
      <c r="UVD4762" s="917"/>
      <c r="UVE4762" s="917" t="s">
        <v>78</v>
      </c>
      <c r="UVF4762" s="917"/>
      <c r="UVG4762" s="917"/>
      <c r="UVH4762" s="917"/>
      <c r="UVI4762" s="917"/>
      <c r="UVJ4762" s="917"/>
      <c r="UVK4762" s="917"/>
      <c r="UVL4762" s="917"/>
      <c r="UVM4762" s="917"/>
      <c r="UVN4762" s="917"/>
      <c r="UVO4762" s="917"/>
      <c r="UVP4762" s="917"/>
      <c r="UVQ4762" s="917"/>
      <c r="UVR4762" s="917"/>
      <c r="UVS4762" s="917"/>
      <c r="UVT4762" s="917"/>
      <c r="UVU4762" s="917"/>
      <c r="UVV4762" s="917"/>
      <c r="UVW4762" s="917"/>
      <c r="UVX4762" s="917"/>
      <c r="UVY4762" s="917"/>
      <c r="UVZ4762" s="917"/>
      <c r="UWA4762" s="917"/>
      <c r="UWB4762" s="917"/>
      <c r="UWC4762" s="917"/>
      <c r="UWD4762" s="917"/>
      <c r="UWE4762" s="917"/>
      <c r="UWF4762" s="917"/>
      <c r="UWG4762" s="917"/>
      <c r="UWH4762" s="917"/>
      <c r="UWI4762" s="917"/>
      <c r="UWJ4762" s="917"/>
      <c r="UWK4762" s="917" t="s">
        <v>78</v>
      </c>
      <c r="UWL4762" s="917"/>
      <c r="UWM4762" s="917"/>
      <c r="UWN4762" s="917"/>
      <c r="UWO4762" s="917"/>
      <c r="UWP4762" s="917"/>
      <c r="UWQ4762" s="917"/>
      <c r="UWR4762" s="917"/>
      <c r="UWS4762" s="917"/>
      <c r="UWT4762" s="917"/>
      <c r="UWU4762" s="917"/>
      <c r="UWV4762" s="917"/>
      <c r="UWW4762" s="917"/>
      <c r="UWX4762" s="917"/>
      <c r="UWY4762" s="917"/>
      <c r="UWZ4762" s="917"/>
      <c r="UXA4762" s="917"/>
      <c r="UXB4762" s="917"/>
      <c r="UXC4762" s="917"/>
      <c r="UXD4762" s="917"/>
      <c r="UXE4762" s="917"/>
      <c r="UXF4762" s="917"/>
      <c r="UXG4762" s="917"/>
      <c r="UXH4762" s="917"/>
      <c r="UXI4762" s="917"/>
      <c r="UXJ4762" s="917"/>
      <c r="UXK4762" s="917"/>
      <c r="UXL4762" s="917"/>
      <c r="UXM4762" s="917"/>
      <c r="UXN4762" s="917"/>
      <c r="UXO4762" s="917"/>
      <c r="UXP4762" s="917"/>
      <c r="UXQ4762" s="917" t="s">
        <v>78</v>
      </c>
      <c r="UXR4762" s="917"/>
      <c r="UXS4762" s="917"/>
      <c r="UXT4762" s="917"/>
      <c r="UXU4762" s="917"/>
      <c r="UXV4762" s="917"/>
      <c r="UXW4762" s="917"/>
      <c r="UXX4762" s="917"/>
      <c r="UXY4762" s="917"/>
      <c r="UXZ4762" s="917"/>
      <c r="UYA4762" s="917"/>
      <c r="UYB4762" s="917"/>
      <c r="UYC4762" s="917"/>
      <c r="UYD4762" s="917"/>
      <c r="UYE4762" s="917"/>
      <c r="UYF4762" s="917"/>
      <c r="UYG4762" s="917"/>
      <c r="UYH4762" s="917"/>
      <c r="UYI4762" s="917"/>
      <c r="UYJ4762" s="917"/>
      <c r="UYK4762" s="917"/>
      <c r="UYL4762" s="917"/>
      <c r="UYM4762" s="917"/>
      <c r="UYN4762" s="917"/>
      <c r="UYO4762" s="917"/>
      <c r="UYP4762" s="917"/>
      <c r="UYQ4762" s="917"/>
      <c r="UYR4762" s="917"/>
      <c r="UYS4762" s="917"/>
      <c r="UYT4762" s="917"/>
      <c r="UYU4762" s="917"/>
      <c r="UYV4762" s="917"/>
      <c r="UYW4762" s="917" t="s">
        <v>78</v>
      </c>
      <c r="UYX4762" s="917"/>
      <c r="UYY4762" s="917"/>
      <c r="UYZ4762" s="917"/>
      <c r="UZA4762" s="917"/>
      <c r="UZB4762" s="917"/>
      <c r="UZC4762" s="917"/>
      <c r="UZD4762" s="917"/>
      <c r="UZE4762" s="917"/>
      <c r="UZF4762" s="917"/>
      <c r="UZG4762" s="917"/>
      <c r="UZH4762" s="917"/>
      <c r="UZI4762" s="917"/>
      <c r="UZJ4762" s="917"/>
      <c r="UZK4762" s="917"/>
      <c r="UZL4762" s="917"/>
      <c r="UZM4762" s="917"/>
      <c r="UZN4762" s="917"/>
      <c r="UZO4762" s="917"/>
      <c r="UZP4762" s="917"/>
      <c r="UZQ4762" s="917"/>
      <c r="UZR4762" s="917"/>
      <c r="UZS4762" s="917"/>
      <c r="UZT4762" s="917"/>
      <c r="UZU4762" s="917"/>
      <c r="UZV4762" s="917"/>
      <c r="UZW4762" s="917"/>
      <c r="UZX4762" s="917"/>
      <c r="UZY4762" s="917"/>
      <c r="UZZ4762" s="917"/>
      <c r="VAA4762" s="917"/>
      <c r="VAB4762" s="917"/>
      <c r="VAC4762" s="917" t="s">
        <v>78</v>
      </c>
      <c r="VAD4762" s="917"/>
      <c r="VAE4762" s="917"/>
      <c r="VAF4762" s="917"/>
      <c r="VAG4762" s="917"/>
      <c r="VAH4762" s="917"/>
      <c r="VAI4762" s="917"/>
      <c r="VAJ4762" s="917"/>
      <c r="VAK4762" s="917"/>
      <c r="VAL4762" s="917"/>
      <c r="VAM4762" s="917"/>
      <c r="VAN4762" s="917"/>
      <c r="VAO4762" s="917"/>
      <c r="VAP4762" s="917"/>
      <c r="VAQ4762" s="917"/>
      <c r="VAR4762" s="917"/>
      <c r="VAS4762" s="917"/>
      <c r="VAT4762" s="917"/>
      <c r="VAU4762" s="917"/>
      <c r="VAV4762" s="917"/>
      <c r="VAW4762" s="917"/>
      <c r="VAX4762" s="917"/>
      <c r="VAY4762" s="917"/>
      <c r="VAZ4762" s="917"/>
      <c r="VBA4762" s="917"/>
      <c r="VBB4762" s="917"/>
      <c r="VBC4762" s="917"/>
      <c r="VBD4762" s="917"/>
      <c r="VBE4762" s="917"/>
      <c r="VBF4762" s="917"/>
      <c r="VBG4762" s="917"/>
      <c r="VBH4762" s="917"/>
      <c r="VBI4762" s="917" t="s">
        <v>78</v>
      </c>
      <c r="VBJ4762" s="917"/>
      <c r="VBK4762" s="917"/>
      <c r="VBL4762" s="917"/>
      <c r="VBM4762" s="917"/>
      <c r="VBN4762" s="917"/>
      <c r="VBO4762" s="917"/>
      <c r="VBP4762" s="917"/>
      <c r="VBQ4762" s="917"/>
      <c r="VBR4762" s="917"/>
      <c r="VBS4762" s="917"/>
      <c r="VBT4762" s="917"/>
      <c r="VBU4762" s="917"/>
      <c r="VBV4762" s="917"/>
      <c r="VBW4762" s="917"/>
      <c r="VBX4762" s="917"/>
      <c r="VBY4762" s="917"/>
      <c r="VBZ4762" s="917"/>
      <c r="VCA4762" s="917"/>
      <c r="VCB4762" s="917"/>
      <c r="VCC4762" s="917"/>
      <c r="VCD4762" s="917"/>
      <c r="VCE4762" s="917"/>
      <c r="VCF4762" s="917"/>
      <c r="VCG4762" s="917"/>
      <c r="VCH4762" s="917"/>
      <c r="VCI4762" s="917"/>
      <c r="VCJ4762" s="917"/>
      <c r="VCK4762" s="917"/>
      <c r="VCL4762" s="917"/>
      <c r="VCM4762" s="917"/>
      <c r="VCN4762" s="917"/>
      <c r="VCO4762" s="917" t="s">
        <v>78</v>
      </c>
      <c r="VCP4762" s="917"/>
      <c r="VCQ4762" s="917"/>
      <c r="VCR4762" s="917"/>
      <c r="VCS4762" s="917"/>
      <c r="VCT4762" s="917"/>
      <c r="VCU4762" s="917"/>
      <c r="VCV4762" s="917"/>
      <c r="VCW4762" s="917"/>
      <c r="VCX4762" s="917"/>
      <c r="VCY4762" s="917"/>
      <c r="VCZ4762" s="917"/>
      <c r="VDA4762" s="917"/>
      <c r="VDB4762" s="917"/>
      <c r="VDC4762" s="917"/>
      <c r="VDD4762" s="917"/>
      <c r="VDE4762" s="917"/>
      <c r="VDF4762" s="917"/>
      <c r="VDG4762" s="917"/>
      <c r="VDH4762" s="917"/>
      <c r="VDI4762" s="917"/>
      <c r="VDJ4762" s="917"/>
      <c r="VDK4762" s="917"/>
      <c r="VDL4762" s="917"/>
      <c r="VDM4762" s="917"/>
      <c r="VDN4762" s="917"/>
      <c r="VDO4762" s="917"/>
      <c r="VDP4762" s="917"/>
      <c r="VDQ4762" s="917"/>
      <c r="VDR4762" s="917"/>
      <c r="VDS4762" s="917"/>
      <c r="VDT4762" s="917"/>
      <c r="VDU4762" s="917" t="s">
        <v>78</v>
      </c>
      <c r="VDV4762" s="917"/>
      <c r="VDW4762" s="917"/>
      <c r="VDX4762" s="917"/>
      <c r="VDY4762" s="917"/>
      <c r="VDZ4762" s="917"/>
      <c r="VEA4762" s="917"/>
      <c r="VEB4762" s="917"/>
      <c r="VEC4762" s="917"/>
      <c r="VED4762" s="917"/>
      <c r="VEE4762" s="917"/>
      <c r="VEF4762" s="917"/>
      <c r="VEG4762" s="917"/>
      <c r="VEH4762" s="917"/>
      <c r="VEI4762" s="917"/>
      <c r="VEJ4762" s="917"/>
      <c r="VEK4762" s="917"/>
      <c r="VEL4762" s="917"/>
      <c r="VEM4762" s="917"/>
      <c r="VEN4762" s="917"/>
      <c r="VEO4762" s="917"/>
      <c r="VEP4762" s="917"/>
      <c r="VEQ4762" s="917"/>
      <c r="VER4762" s="917"/>
      <c r="VES4762" s="917"/>
      <c r="VET4762" s="917"/>
      <c r="VEU4762" s="917"/>
      <c r="VEV4762" s="917"/>
      <c r="VEW4762" s="917"/>
      <c r="VEX4762" s="917"/>
      <c r="VEY4762" s="917"/>
      <c r="VEZ4762" s="917"/>
      <c r="VFA4762" s="917" t="s">
        <v>78</v>
      </c>
      <c r="VFB4762" s="917"/>
      <c r="VFC4762" s="917"/>
      <c r="VFD4762" s="917"/>
      <c r="VFE4762" s="917"/>
      <c r="VFF4762" s="917"/>
      <c r="VFG4762" s="917"/>
      <c r="VFH4762" s="917"/>
      <c r="VFI4762" s="917"/>
      <c r="VFJ4762" s="917"/>
      <c r="VFK4762" s="917"/>
      <c r="VFL4762" s="917"/>
      <c r="VFM4762" s="917"/>
      <c r="VFN4762" s="917"/>
      <c r="VFO4762" s="917"/>
      <c r="VFP4762" s="917"/>
      <c r="VFQ4762" s="917"/>
      <c r="VFR4762" s="917"/>
      <c r="VFS4762" s="917"/>
      <c r="VFT4762" s="917"/>
      <c r="VFU4762" s="917"/>
      <c r="VFV4762" s="917"/>
      <c r="VFW4762" s="917"/>
      <c r="VFX4762" s="917"/>
      <c r="VFY4762" s="917"/>
      <c r="VFZ4762" s="917"/>
      <c r="VGA4762" s="917"/>
      <c r="VGB4762" s="917"/>
      <c r="VGC4762" s="917"/>
      <c r="VGD4762" s="917"/>
      <c r="VGE4762" s="917"/>
      <c r="VGF4762" s="917"/>
      <c r="VGG4762" s="917" t="s">
        <v>78</v>
      </c>
      <c r="VGH4762" s="917"/>
      <c r="VGI4762" s="917"/>
      <c r="VGJ4762" s="917"/>
      <c r="VGK4762" s="917"/>
      <c r="VGL4762" s="917"/>
      <c r="VGM4762" s="917"/>
      <c r="VGN4762" s="917"/>
      <c r="VGO4762" s="917"/>
      <c r="VGP4762" s="917"/>
      <c r="VGQ4762" s="917"/>
      <c r="VGR4762" s="917"/>
      <c r="VGS4762" s="917"/>
      <c r="VGT4762" s="917"/>
      <c r="VGU4762" s="917"/>
      <c r="VGV4762" s="917"/>
      <c r="VGW4762" s="917"/>
      <c r="VGX4762" s="917"/>
      <c r="VGY4762" s="917"/>
      <c r="VGZ4762" s="917"/>
      <c r="VHA4762" s="917"/>
      <c r="VHB4762" s="917"/>
      <c r="VHC4762" s="917"/>
      <c r="VHD4762" s="917"/>
      <c r="VHE4762" s="917"/>
      <c r="VHF4762" s="917"/>
      <c r="VHG4762" s="917"/>
      <c r="VHH4762" s="917"/>
      <c r="VHI4762" s="917"/>
      <c r="VHJ4762" s="917"/>
      <c r="VHK4762" s="917"/>
      <c r="VHL4762" s="917"/>
      <c r="VHM4762" s="917" t="s">
        <v>78</v>
      </c>
      <c r="VHN4762" s="917"/>
      <c r="VHO4762" s="917"/>
      <c r="VHP4762" s="917"/>
      <c r="VHQ4762" s="917"/>
      <c r="VHR4762" s="917"/>
      <c r="VHS4762" s="917"/>
      <c r="VHT4762" s="917"/>
      <c r="VHU4762" s="917"/>
      <c r="VHV4762" s="917"/>
      <c r="VHW4762" s="917"/>
      <c r="VHX4762" s="917"/>
      <c r="VHY4762" s="917"/>
      <c r="VHZ4762" s="917"/>
      <c r="VIA4762" s="917"/>
      <c r="VIB4762" s="917"/>
      <c r="VIC4762" s="917"/>
      <c r="VID4762" s="917"/>
      <c r="VIE4762" s="917"/>
      <c r="VIF4762" s="917"/>
      <c r="VIG4762" s="917"/>
      <c r="VIH4762" s="917"/>
      <c r="VII4762" s="917"/>
      <c r="VIJ4762" s="917"/>
      <c r="VIK4762" s="917"/>
      <c r="VIL4762" s="917"/>
      <c r="VIM4762" s="917"/>
      <c r="VIN4762" s="917"/>
      <c r="VIO4762" s="917"/>
      <c r="VIP4762" s="917"/>
      <c r="VIQ4762" s="917"/>
      <c r="VIR4762" s="917"/>
      <c r="VIS4762" s="917" t="s">
        <v>78</v>
      </c>
      <c r="VIT4762" s="917"/>
      <c r="VIU4762" s="917"/>
      <c r="VIV4762" s="917"/>
      <c r="VIW4762" s="917"/>
      <c r="VIX4762" s="917"/>
      <c r="VIY4762" s="917"/>
      <c r="VIZ4762" s="917"/>
      <c r="VJA4762" s="917"/>
      <c r="VJB4762" s="917"/>
      <c r="VJC4762" s="917"/>
      <c r="VJD4762" s="917"/>
      <c r="VJE4762" s="917"/>
      <c r="VJF4762" s="917"/>
      <c r="VJG4762" s="917"/>
      <c r="VJH4762" s="917"/>
      <c r="VJI4762" s="917"/>
      <c r="VJJ4762" s="917"/>
      <c r="VJK4762" s="917"/>
      <c r="VJL4762" s="917"/>
      <c r="VJM4762" s="917"/>
      <c r="VJN4762" s="917"/>
      <c r="VJO4762" s="917"/>
      <c r="VJP4762" s="917"/>
      <c r="VJQ4762" s="917"/>
      <c r="VJR4762" s="917"/>
      <c r="VJS4762" s="917"/>
      <c r="VJT4762" s="917"/>
      <c r="VJU4762" s="917"/>
      <c r="VJV4762" s="917"/>
      <c r="VJW4762" s="917"/>
      <c r="VJX4762" s="917"/>
      <c r="VJY4762" s="917" t="s">
        <v>78</v>
      </c>
      <c r="VJZ4762" s="917"/>
      <c r="VKA4762" s="917"/>
      <c r="VKB4762" s="917"/>
      <c r="VKC4762" s="917"/>
      <c r="VKD4762" s="917"/>
      <c r="VKE4762" s="917"/>
      <c r="VKF4762" s="917"/>
      <c r="VKG4762" s="917"/>
      <c r="VKH4762" s="917"/>
      <c r="VKI4762" s="917"/>
      <c r="VKJ4762" s="917"/>
      <c r="VKK4762" s="917"/>
      <c r="VKL4762" s="917"/>
      <c r="VKM4762" s="917"/>
      <c r="VKN4762" s="917"/>
      <c r="VKO4762" s="917"/>
      <c r="VKP4762" s="917"/>
      <c r="VKQ4762" s="917"/>
      <c r="VKR4762" s="917"/>
      <c r="VKS4762" s="917"/>
      <c r="VKT4762" s="917"/>
      <c r="VKU4762" s="917"/>
      <c r="VKV4762" s="917"/>
      <c r="VKW4762" s="917"/>
      <c r="VKX4762" s="917"/>
      <c r="VKY4762" s="917"/>
      <c r="VKZ4762" s="917"/>
      <c r="VLA4762" s="917"/>
      <c r="VLB4762" s="917"/>
      <c r="VLC4762" s="917"/>
      <c r="VLD4762" s="917"/>
      <c r="VLE4762" s="917" t="s">
        <v>78</v>
      </c>
      <c r="VLF4762" s="917"/>
      <c r="VLG4762" s="917"/>
      <c r="VLH4762" s="917"/>
      <c r="VLI4762" s="917"/>
      <c r="VLJ4762" s="917"/>
      <c r="VLK4762" s="917"/>
      <c r="VLL4762" s="917"/>
      <c r="VLM4762" s="917"/>
      <c r="VLN4762" s="917"/>
      <c r="VLO4762" s="917"/>
      <c r="VLP4762" s="917"/>
      <c r="VLQ4762" s="917"/>
      <c r="VLR4762" s="917"/>
      <c r="VLS4762" s="917"/>
      <c r="VLT4762" s="917"/>
      <c r="VLU4762" s="917"/>
      <c r="VLV4762" s="917"/>
      <c r="VLW4762" s="917"/>
      <c r="VLX4762" s="917"/>
      <c r="VLY4762" s="917"/>
      <c r="VLZ4762" s="917"/>
      <c r="VMA4762" s="917"/>
      <c r="VMB4762" s="917"/>
      <c r="VMC4762" s="917"/>
      <c r="VMD4762" s="917"/>
      <c r="VME4762" s="917"/>
      <c r="VMF4762" s="917"/>
      <c r="VMG4762" s="917"/>
      <c r="VMH4762" s="917"/>
      <c r="VMI4762" s="917"/>
      <c r="VMJ4762" s="917"/>
      <c r="VMK4762" s="917" t="s">
        <v>78</v>
      </c>
      <c r="VML4762" s="917"/>
      <c r="VMM4762" s="917"/>
      <c r="VMN4762" s="917"/>
      <c r="VMO4762" s="917"/>
      <c r="VMP4762" s="917"/>
      <c r="VMQ4762" s="917"/>
      <c r="VMR4762" s="917"/>
      <c r="VMS4762" s="917"/>
      <c r="VMT4762" s="917"/>
      <c r="VMU4762" s="917"/>
      <c r="VMV4762" s="917"/>
      <c r="VMW4762" s="917"/>
      <c r="VMX4762" s="917"/>
      <c r="VMY4762" s="917"/>
      <c r="VMZ4762" s="917"/>
      <c r="VNA4762" s="917"/>
      <c r="VNB4762" s="917"/>
      <c r="VNC4762" s="917"/>
      <c r="VND4762" s="917"/>
      <c r="VNE4762" s="917"/>
      <c r="VNF4762" s="917"/>
      <c r="VNG4762" s="917"/>
      <c r="VNH4762" s="917"/>
      <c r="VNI4762" s="917"/>
      <c r="VNJ4762" s="917"/>
      <c r="VNK4762" s="917"/>
      <c r="VNL4762" s="917"/>
      <c r="VNM4762" s="917"/>
      <c r="VNN4762" s="917"/>
      <c r="VNO4762" s="917"/>
      <c r="VNP4762" s="917"/>
      <c r="VNQ4762" s="917" t="s">
        <v>78</v>
      </c>
      <c r="VNR4762" s="917"/>
      <c r="VNS4762" s="917"/>
      <c r="VNT4762" s="917"/>
      <c r="VNU4762" s="917"/>
      <c r="VNV4762" s="917"/>
      <c r="VNW4762" s="917"/>
      <c r="VNX4762" s="917"/>
      <c r="VNY4762" s="917"/>
      <c r="VNZ4762" s="917"/>
      <c r="VOA4762" s="917"/>
      <c r="VOB4762" s="917"/>
      <c r="VOC4762" s="917"/>
      <c r="VOD4762" s="917"/>
      <c r="VOE4762" s="917"/>
      <c r="VOF4762" s="917"/>
      <c r="VOG4762" s="917"/>
      <c r="VOH4762" s="917"/>
      <c r="VOI4762" s="917"/>
      <c r="VOJ4762" s="917"/>
      <c r="VOK4762" s="917"/>
      <c r="VOL4762" s="917"/>
      <c r="VOM4762" s="917"/>
      <c r="VON4762" s="917"/>
      <c r="VOO4762" s="917"/>
      <c r="VOP4762" s="917"/>
      <c r="VOQ4762" s="917"/>
      <c r="VOR4762" s="917"/>
      <c r="VOS4762" s="917"/>
      <c r="VOT4762" s="917"/>
      <c r="VOU4762" s="917"/>
      <c r="VOV4762" s="917"/>
      <c r="VOW4762" s="917" t="s">
        <v>78</v>
      </c>
      <c r="VOX4762" s="917"/>
      <c r="VOY4762" s="917"/>
      <c r="VOZ4762" s="917"/>
      <c r="VPA4762" s="917"/>
      <c r="VPB4762" s="917"/>
      <c r="VPC4762" s="917"/>
      <c r="VPD4762" s="917"/>
      <c r="VPE4762" s="917"/>
      <c r="VPF4762" s="917"/>
      <c r="VPG4762" s="917"/>
      <c r="VPH4762" s="917"/>
      <c r="VPI4762" s="917"/>
      <c r="VPJ4762" s="917"/>
      <c r="VPK4762" s="917"/>
      <c r="VPL4762" s="917"/>
      <c r="VPM4762" s="917"/>
      <c r="VPN4762" s="917"/>
      <c r="VPO4762" s="917"/>
      <c r="VPP4762" s="917"/>
      <c r="VPQ4762" s="917"/>
      <c r="VPR4762" s="917"/>
      <c r="VPS4762" s="917"/>
      <c r="VPT4762" s="917"/>
      <c r="VPU4762" s="917"/>
      <c r="VPV4762" s="917"/>
      <c r="VPW4762" s="917"/>
      <c r="VPX4762" s="917"/>
      <c r="VPY4762" s="917"/>
      <c r="VPZ4762" s="917"/>
      <c r="VQA4762" s="917"/>
      <c r="VQB4762" s="917"/>
      <c r="VQC4762" s="917" t="s">
        <v>78</v>
      </c>
      <c r="VQD4762" s="917"/>
      <c r="VQE4762" s="917"/>
      <c r="VQF4762" s="917"/>
      <c r="VQG4762" s="917"/>
      <c r="VQH4762" s="917"/>
      <c r="VQI4762" s="917"/>
      <c r="VQJ4762" s="917"/>
      <c r="VQK4762" s="917"/>
      <c r="VQL4762" s="917"/>
      <c r="VQM4762" s="917"/>
      <c r="VQN4762" s="917"/>
      <c r="VQO4762" s="917"/>
      <c r="VQP4762" s="917"/>
      <c r="VQQ4762" s="917"/>
      <c r="VQR4762" s="917"/>
      <c r="VQS4762" s="917"/>
      <c r="VQT4762" s="917"/>
      <c r="VQU4762" s="917"/>
      <c r="VQV4762" s="917"/>
      <c r="VQW4762" s="917"/>
      <c r="VQX4762" s="917"/>
      <c r="VQY4762" s="917"/>
      <c r="VQZ4762" s="917"/>
      <c r="VRA4762" s="917"/>
      <c r="VRB4762" s="917"/>
      <c r="VRC4762" s="917"/>
      <c r="VRD4762" s="917"/>
      <c r="VRE4762" s="917"/>
      <c r="VRF4762" s="917"/>
      <c r="VRG4762" s="917"/>
      <c r="VRH4762" s="917"/>
      <c r="VRI4762" s="917" t="s">
        <v>78</v>
      </c>
      <c r="VRJ4762" s="917"/>
      <c r="VRK4762" s="917"/>
      <c r="VRL4762" s="917"/>
      <c r="VRM4762" s="917"/>
      <c r="VRN4762" s="917"/>
      <c r="VRO4762" s="917"/>
      <c r="VRP4762" s="917"/>
      <c r="VRQ4762" s="917"/>
      <c r="VRR4762" s="917"/>
      <c r="VRS4762" s="917"/>
      <c r="VRT4762" s="917"/>
      <c r="VRU4762" s="917"/>
      <c r="VRV4762" s="917"/>
      <c r="VRW4762" s="917"/>
      <c r="VRX4762" s="917"/>
      <c r="VRY4762" s="917"/>
      <c r="VRZ4762" s="917"/>
      <c r="VSA4762" s="917"/>
      <c r="VSB4762" s="917"/>
      <c r="VSC4762" s="917"/>
      <c r="VSD4762" s="917"/>
      <c r="VSE4762" s="917"/>
      <c r="VSF4762" s="917"/>
      <c r="VSG4762" s="917"/>
      <c r="VSH4762" s="917"/>
      <c r="VSI4762" s="917"/>
      <c r="VSJ4762" s="917"/>
      <c r="VSK4762" s="917"/>
      <c r="VSL4762" s="917"/>
      <c r="VSM4762" s="917"/>
      <c r="VSN4762" s="917"/>
      <c r="VSO4762" s="917" t="s">
        <v>78</v>
      </c>
      <c r="VSP4762" s="917"/>
      <c r="VSQ4762" s="917"/>
      <c r="VSR4762" s="917"/>
      <c r="VSS4762" s="917"/>
      <c r="VST4762" s="917"/>
      <c r="VSU4762" s="917"/>
      <c r="VSV4762" s="917"/>
      <c r="VSW4762" s="917"/>
      <c r="VSX4762" s="917"/>
      <c r="VSY4762" s="917"/>
      <c r="VSZ4762" s="917"/>
      <c r="VTA4762" s="917"/>
      <c r="VTB4762" s="917"/>
      <c r="VTC4762" s="917"/>
      <c r="VTD4762" s="917"/>
      <c r="VTE4762" s="917"/>
      <c r="VTF4762" s="917"/>
      <c r="VTG4762" s="917"/>
      <c r="VTH4762" s="917"/>
      <c r="VTI4762" s="917"/>
      <c r="VTJ4762" s="917"/>
      <c r="VTK4762" s="917"/>
      <c r="VTL4762" s="917"/>
      <c r="VTM4762" s="917"/>
      <c r="VTN4762" s="917"/>
      <c r="VTO4762" s="917"/>
      <c r="VTP4762" s="917"/>
      <c r="VTQ4762" s="917"/>
      <c r="VTR4762" s="917"/>
      <c r="VTS4762" s="917"/>
      <c r="VTT4762" s="917"/>
      <c r="VTU4762" s="917" t="s">
        <v>78</v>
      </c>
      <c r="VTV4762" s="917"/>
      <c r="VTW4762" s="917"/>
      <c r="VTX4762" s="917"/>
      <c r="VTY4762" s="917"/>
      <c r="VTZ4762" s="917"/>
      <c r="VUA4762" s="917"/>
      <c r="VUB4762" s="917"/>
      <c r="VUC4762" s="917"/>
      <c r="VUD4762" s="917"/>
      <c r="VUE4762" s="917"/>
      <c r="VUF4762" s="917"/>
      <c r="VUG4762" s="917"/>
      <c r="VUH4762" s="917"/>
      <c r="VUI4762" s="917"/>
      <c r="VUJ4762" s="917"/>
      <c r="VUK4762" s="917"/>
      <c r="VUL4762" s="917"/>
      <c r="VUM4762" s="917"/>
      <c r="VUN4762" s="917"/>
      <c r="VUO4762" s="917"/>
      <c r="VUP4762" s="917"/>
      <c r="VUQ4762" s="917"/>
      <c r="VUR4762" s="917"/>
      <c r="VUS4762" s="917"/>
      <c r="VUT4762" s="917"/>
      <c r="VUU4762" s="917"/>
      <c r="VUV4762" s="917"/>
      <c r="VUW4762" s="917"/>
      <c r="VUX4762" s="917"/>
      <c r="VUY4762" s="917"/>
      <c r="VUZ4762" s="917"/>
      <c r="VVA4762" s="917" t="s">
        <v>78</v>
      </c>
      <c r="VVB4762" s="917"/>
      <c r="VVC4762" s="917"/>
      <c r="VVD4762" s="917"/>
      <c r="VVE4762" s="917"/>
      <c r="VVF4762" s="917"/>
      <c r="VVG4762" s="917"/>
      <c r="VVH4762" s="917"/>
      <c r="VVI4762" s="917"/>
      <c r="VVJ4762" s="917"/>
      <c r="VVK4762" s="917"/>
      <c r="VVL4762" s="917"/>
      <c r="VVM4762" s="917"/>
      <c r="VVN4762" s="917"/>
      <c r="VVO4762" s="917"/>
      <c r="VVP4762" s="917"/>
      <c r="VVQ4762" s="917"/>
      <c r="VVR4762" s="917"/>
      <c r="VVS4762" s="917"/>
      <c r="VVT4762" s="917"/>
      <c r="VVU4762" s="917"/>
      <c r="VVV4762" s="917"/>
      <c r="VVW4762" s="917"/>
      <c r="VVX4762" s="917"/>
      <c r="VVY4762" s="917"/>
      <c r="VVZ4762" s="917"/>
      <c r="VWA4762" s="917"/>
      <c r="VWB4762" s="917"/>
      <c r="VWC4762" s="917"/>
      <c r="VWD4762" s="917"/>
      <c r="VWE4762" s="917"/>
      <c r="VWF4762" s="917"/>
      <c r="VWG4762" s="917" t="s">
        <v>78</v>
      </c>
      <c r="VWH4762" s="917"/>
      <c r="VWI4762" s="917"/>
      <c r="VWJ4762" s="917"/>
      <c r="VWK4762" s="917"/>
      <c r="VWL4762" s="917"/>
      <c r="VWM4762" s="917"/>
      <c r="VWN4762" s="917"/>
      <c r="VWO4762" s="917"/>
      <c r="VWP4762" s="917"/>
      <c r="VWQ4762" s="917"/>
      <c r="VWR4762" s="917"/>
      <c r="VWS4762" s="917"/>
      <c r="VWT4762" s="917"/>
      <c r="VWU4762" s="917"/>
      <c r="VWV4762" s="917"/>
      <c r="VWW4762" s="917"/>
      <c r="VWX4762" s="917"/>
      <c r="VWY4762" s="917"/>
      <c r="VWZ4762" s="917"/>
      <c r="VXA4762" s="917"/>
      <c r="VXB4762" s="917"/>
      <c r="VXC4762" s="917"/>
      <c r="VXD4762" s="917"/>
      <c r="VXE4762" s="917"/>
      <c r="VXF4762" s="917"/>
      <c r="VXG4762" s="917"/>
      <c r="VXH4762" s="917"/>
      <c r="VXI4762" s="917"/>
      <c r="VXJ4762" s="917"/>
      <c r="VXK4762" s="917"/>
      <c r="VXL4762" s="917"/>
      <c r="VXM4762" s="917" t="s">
        <v>78</v>
      </c>
      <c r="VXN4762" s="917"/>
      <c r="VXO4762" s="917"/>
      <c r="VXP4762" s="917"/>
      <c r="VXQ4762" s="917"/>
      <c r="VXR4762" s="917"/>
      <c r="VXS4762" s="917"/>
      <c r="VXT4762" s="917"/>
      <c r="VXU4762" s="917"/>
      <c r="VXV4762" s="917"/>
      <c r="VXW4762" s="917"/>
      <c r="VXX4762" s="917"/>
      <c r="VXY4762" s="917"/>
      <c r="VXZ4762" s="917"/>
      <c r="VYA4762" s="917"/>
      <c r="VYB4762" s="917"/>
      <c r="VYC4762" s="917"/>
      <c r="VYD4762" s="917"/>
      <c r="VYE4762" s="917"/>
      <c r="VYF4762" s="917"/>
      <c r="VYG4762" s="917"/>
      <c r="VYH4762" s="917"/>
      <c r="VYI4762" s="917"/>
      <c r="VYJ4762" s="917"/>
      <c r="VYK4762" s="917"/>
      <c r="VYL4762" s="917"/>
      <c r="VYM4762" s="917"/>
      <c r="VYN4762" s="917"/>
      <c r="VYO4762" s="917"/>
      <c r="VYP4762" s="917"/>
      <c r="VYQ4762" s="917"/>
      <c r="VYR4762" s="917"/>
      <c r="VYS4762" s="917" t="s">
        <v>78</v>
      </c>
      <c r="VYT4762" s="917"/>
      <c r="VYU4762" s="917"/>
      <c r="VYV4762" s="917"/>
      <c r="VYW4762" s="917"/>
      <c r="VYX4762" s="917"/>
      <c r="VYY4762" s="917"/>
      <c r="VYZ4762" s="917"/>
      <c r="VZA4762" s="917"/>
      <c r="VZB4762" s="917"/>
      <c r="VZC4762" s="917"/>
      <c r="VZD4762" s="917"/>
      <c r="VZE4762" s="917"/>
      <c r="VZF4762" s="917"/>
      <c r="VZG4762" s="917"/>
      <c r="VZH4762" s="917"/>
      <c r="VZI4762" s="917"/>
      <c r="VZJ4762" s="917"/>
      <c r="VZK4762" s="917"/>
      <c r="VZL4762" s="917"/>
      <c r="VZM4762" s="917"/>
      <c r="VZN4762" s="917"/>
      <c r="VZO4762" s="917"/>
      <c r="VZP4762" s="917"/>
      <c r="VZQ4762" s="917"/>
      <c r="VZR4762" s="917"/>
      <c r="VZS4762" s="917"/>
      <c r="VZT4762" s="917"/>
      <c r="VZU4762" s="917"/>
      <c r="VZV4762" s="917"/>
      <c r="VZW4762" s="917"/>
      <c r="VZX4762" s="917"/>
      <c r="VZY4762" s="917" t="s">
        <v>78</v>
      </c>
      <c r="VZZ4762" s="917"/>
      <c r="WAA4762" s="917"/>
      <c r="WAB4762" s="917"/>
      <c r="WAC4762" s="917"/>
      <c r="WAD4762" s="917"/>
      <c r="WAE4762" s="917"/>
      <c r="WAF4762" s="917"/>
      <c r="WAG4762" s="917"/>
      <c r="WAH4762" s="917"/>
      <c r="WAI4762" s="917"/>
      <c r="WAJ4762" s="917"/>
      <c r="WAK4762" s="917"/>
      <c r="WAL4762" s="917"/>
      <c r="WAM4762" s="917"/>
      <c r="WAN4762" s="917"/>
      <c r="WAO4762" s="917"/>
      <c r="WAP4762" s="917"/>
      <c r="WAQ4762" s="917"/>
      <c r="WAR4762" s="917"/>
      <c r="WAS4762" s="917"/>
      <c r="WAT4762" s="917"/>
      <c r="WAU4762" s="917"/>
      <c r="WAV4762" s="917"/>
      <c r="WAW4762" s="917"/>
      <c r="WAX4762" s="917"/>
      <c r="WAY4762" s="917"/>
      <c r="WAZ4762" s="917"/>
      <c r="WBA4762" s="917"/>
      <c r="WBB4762" s="917"/>
      <c r="WBC4762" s="917"/>
      <c r="WBD4762" s="917"/>
      <c r="WBE4762" s="917" t="s">
        <v>78</v>
      </c>
      <c r="WBF4762" s="917"/>
      <c r="WBG4762" s="917"/>
      <c r="WBH4762" s="917"/>
      <c r="WBI4762" s="917"/>
      <c r="WBJ4762" s="917"/>
      <c r="WBK4762" s="917"/>
      <c r="WBL4762" s="917"/>
      <c r="WBM4762" s="917"/>
      <c r="WBN4762" s="917"/>
      <c r="WBO4762" s="917"/>
      <c r="WBP4762" s="917"/>
      <c r="WBQ4762" s="917"/>
      <c r="WBR4762" s="917"/>
      <c r="WBS4762" s="917"/>
      <c r="WBT4762" s="917"/>
      <c r="WBU4762" s="917"/>
      <c r="WBV4762" s="917"/>
      <c r="WBW4762" s="917"/>
      <c r="WBX4762" s="917"/>
      <c r="WBY4762" s="917"/>
      <c r="WBZ4762" s="917"/>
      <c r="WCA4762" s="917"/>
      <c r="WCB4762" s="917"/>
      <c r="WCC4762" s="917"/>
      <c r="WCD4762" s="917"/>
      <c r="WCE4762" s="917"/>
      <c r="WCF4762" s="917"/>
      <c r="WCG4762" s="917"/>
      <c r="WCH4762" s="917"/>
      <c r="WCI4762" s="917"/>
      <c r="WCJ4762" s="917"/>
      <c r="WCK4762" s="917" t="s">
        <v>78</v>
      </c>
      <c r="WCL4762" s="917"/>
      <c r="WCM4762" s="917"/>
      <c r="WCN4762" s="917"/>
      <c r="WCO4762" s="917"/>
      <c r="WCP4762" s="917"/>
      <c r="WCQ4762" s="917"/>
      <c r="WCR4762" s="917"/>
      <c r="WCS4762" s="917"/>
      <c r="WCT4762" s="917"/>
      <c r="WCU4762" s="917"/>
      <c r="WCV4762" s="917"/>
      <c r="WCW4762" s="917"/>
      <c r="WCX4762" s="917"/>
      <c r="WCY4762" s="917"/>
      <c r="WCZ4762" s="917"/>
      <c r="WDA4762" s="917"/>
      <c r="WDB4762" s="917"/>
      <c r="WDC4762" s="917"/>
      <c r="WDD4762" s="917"/>
      <c r="WDE4762" s="917"/>
      <c r="WDF4762" s="917"/>
      <c r="WDG4762" s="917"/>
      <c r="WDH4762" s="917"/>
      <c r="WDI4762" s="917"/>
      <c r="WDJ4762" s="917"/>
      <c r="WDK4762" s="917"/>
      <c r="WDL4762" s="917"/>
      <c r="WDM4762" s="917"/>
      <c r="WDN4762" s="917"/>
      <c r="WDO4762" s="917"/>
      <c r="WDP4762" s="917"/>
      <c r="WDQ4762" s="917" t="s">
        <v>78</v>
      </c>
      <c r="WDR4762" s="917"/>
      <c r="WDS4762" s="917"/>
      <c r="WDT4762" s="917"/>
      <c r="WDU4762" s="917"/>
      <c r="WDV4762" s="917"/>
      <c r="WDW4762" s="917"/>
      <c r="WDX4762" s="917"/>
      <c r="WDY4762" s="917"/>
      <c r="WDZ4762" s="917"/>
      <c r="WEA4762" s="917"/>
      <c r="WEB4762" s="917"/>
      <c r="WEC4762" s="917"/>
      <c r="WED4762" s="917"/>
      <c r="WEE4762" s="917"/>
      <c r="WEF4762" s="917"/>
      <c r="WEG4762" s="917"/>
      <c r="WEH4762" s="917"/>
      <c r="WEI4762" s="917"/>
      <c r="WEJ4762" s="917"/>
      <c r="WEK4762" s="917"/>
      <c r="WEL4762" s="917"/>
      <c r="WEM4762" s="917"/>
      <c r="WEN4762" s="917"/>
      <c r="WEO4762" s="917"/>
      <c r="WEP4762" s="917"/>
      <c r="WEQ4762" s="917"/>
      <c r="WER4762" s="917"/>
      <c r="WES4762" s="917"/>
      <c r="WET4762" s="917"/>
      <c r="WEU4762" s="917"/>
      <c r="WEV4762" s="917"/>
      <c r="WEW4762" s="917" t="s">
        <v>78</v>
      </c>
      <c r="WEX4762" s="917"/>
      <c r="WEY4762" s="917"/>
      <c r="WEZ4762" s="917"/>
      <c r="WFA4762" s="917"/>
      <c r="WFB4762" s="917"/>
      <c r="WFC4762" s="917"/>
      <c r="WFD4762" s="917"/>
      <c r="WFE4762" s="917"/>
      <c r="WFF4762" s="917"/>
      <c r="WFG4762" s="917"/>
      <c r="WFH4762" s="917"/>
      <c r="WFI4762" s="917"/>
      <c r="WFJ4762" s="917"/>
      <c r="WFK4762" s="917"/>
      <c r="WFL4762" s="917"/>
      <c r="WFM4762" s="917"/>
      <c r="WFN4762" s="917"/>
      <c r="WFO4762" s="917"/>
      <c r="WFP4762" s="917"/>
      <c r="WFQ4762" s="917"/>
      <c r="WFR4762" s="917"/>
      <c r="WFS4762" s="917"/>
      <c r="WFT4762" s="917"/>
      <c r="WFU4762" s="917"/>
      <c r="WFV4762" s="917"/>
      <c r="WFW4762" s="917"/>
      <c r="WFX4762" s="917"/>
      <c r="WFY4762" s="917"/>
      <c r="WFZ4762" s="917"/>
      <c r="WGA4762" s="917"/>
      <c r="WGB4762" s="917"/>
      <c r="WGC4762" s="917" t="s">
        <v>78</v>
      </c>
      <c r="WGD4762" s="917"/>
      <c r="WGE4762" s="917"/>
      <c r="WGF4762" s="917"/>
      <c r="WGG4762" s="917"/>
      <c r="WGH4762" s="917"/>
      <c r="WGI4762" s="917"/>
      <c r="WGJ4762" s="917"/>
      <c r="WGK4762" s="917"/>
      <c r="WGL4762" s="917"/>
      <c r="WGM4762" s="917"/>
      <c r="WGN4762" s="917"/>
      <c r="WGO4762" s="917"/>
      <c r="WGP4762" s="917"/>
      <c r="WGQ4762" s="917"/>
      <c r="WGR4762" s="917"/>
      <c r="WGS4762" s="917"/>
      <c r="WGT4762" s="917"/>
      <c r="WGU4762" s="917"/>
      <c r="WGV4762" s="917"/>
      <c r="WGW4762" s="917"/>
      <c r="WGX4762" s="917"/>
      <c r="WGY4762" s="917"/>
      <c r="WGZ4762" s="917"/>
      <c r="WHA4762" s="917"/>
      <c r="WHB4762" s="917"/>
      <c r="WHC4762" s="917"/>
      <c r="WHD4762" s="917"/>
      <c r="WHE4762" s="917"/>
      <c r="WHF4762" s="917"/>
      <c r="WHG4762" s="917"/>
      <c r="WHH4762" s="917"/>
      <c r="WHI4762" s="917" t="s">
        <v>78</v>
      </c>
      <c r="WHJ4762" s="917"/>
      <c r="WHK4762" s="917"/>
      <c r="WHL4762" s="917"/>
      <c r="WHM4762" s="917"/>
      <c r="WHN4762" s="917"/>
      <c r="WHO4762" s="917"/>
      <c r="WHP4762" s="917"/>
      <c r="WHQ4762" s="917"/>
      <c r="WHR4762" s="917"/>
      <c r="WHS4762" s="917"/>
      <c r="WHT4762" s="917"/>
      <c r="WHU4762" s="917"/>
      <c r="WHV4762" s="917"/>
      <c r="WHW4762" s="917"/>
      <c r="WHX4762" s="917"/>
      <c r="WHY4762" s="917"/>
      <c r="WHZ4762" s="917"/>
      <c r="WIA4762" s="917"/>
      <c r="WIB4762" s="917"/>
      <c r="WIC4762" s="917"/>
      <c r="WID4762" s="917"/>
      <c r="WIE4762" s="917"/>
      <c r="WIF4762" s="917"/>
      <c r="WIG4762" s="917"/>
      <c r="WIH4762" s="917"/>
      <c r="WII4762" s="917"/>
      <c r="WIJ4762" s="917"/>
      <c r="WIK4762" s="917"/>
      <c r="WIL4762" s="917"/>
      <c r="WIM4762" s="917"/>
      <c r="WIN4762" s="917"/>
      <c r="WIO4762" s="917" t="s">
        <v>78</v>
      </c>
      <c r="WIP4762" s="917"/>
      <c r="WIQ4762" s="917"/>
      <c r="WIR4762" s="917"/>
      <c r="WIS4762" s="917"/>
      <c r="WIT4762" s="917"/>
      <c r="WIU4762" s="917"/>
      <c r="WIV4762" s="917"/>
      <c r="WIW4762" s="917"/>
      <c r="WIX4762" s="917"/>
      <c r="WIY4762" s="917"/>
      <c r="WIZ4762" s="917"/>
      <c r="WJA4762" s="917"/>
      <c r="WJB4762" s="917"/>
      <c r="WJC4762" s="917"/>
      <c r="WJD4762" s="917"/>
      <c r="WJE4762" s="917"/>
      <c r="WJF4762" s="917"/>
      <c r="WJG4762" s="917"/>
      <c r="WJH4762" s="917"/>
      <c r="WJI4762" s="917"/>
      <c r="WJJ4762" s="917"/>
      <c r="WJK4762" s="917"/>
      <c r="WJL4762" s="917"/>
      <c r="WJM4762" s="917"/>
      <c r="WJN4762" s="917"/>
      <c r="WJO4762" s="917"/>
      <c r="WJP4762" s="917"/>
      <c r="WJQ4762" s="917"/>
      <c r="WJR4762" s="917"/>
      <c r="WJS4762" s="917"/>
      <c r="WJT4762" s="917"/>
      <c r="WJU4762" s="917" t="s">
        <v>78</v>
      </c>
      <c r="WJV4762" s="917"/>
      <c r="WJW4762" s="917"/>
      <c r="WJX4762" s="917"/>
      <c r="WJY4762" s="917"/>
      <c r="WJZ4762" s="917"/>
      <c r="WKA4762" s="917"/>
      <c r="WKB4762" s="917"/>
      <c r="WKC4762" s="917"/>
      <c r="WKD4762" s="917"/>
      <c r="WKE4762" s="917"/>
      <c r="WKF4762" s="917"/>
      <c r="WKG4762" s="917"/>
      <c r="WKH4762" s="917"/>
      <c r="WKI4762" s="917"/>
      <c r="WKJ4762" s="917"/>
      <c r="WKK4762" s="917"/>
      <c r="WKL4762" s="917"/>
      <c r="WKM4762" s="917"/>
      <c r="WKN4762" s="917"/>
      <c r="WKO4762" s="917"/>
      <c r="WKP4762" s="917"/>
      <c r="WKQ4762" s="917"/>
      <c r="WKR4762" s="917"/>
      <c r="WKS4762" s="917"/>
      <c r="WKT4762" s="917"/>
      <c r="WKU4762" s="917"/>
      <c r="WKV4762" s="917"/>
      <c r="WKW4762" s="917"/>
      <c r="WKX4762" s="917"/>
      <c r="WKY4762" s="917"/>
      <c r="WKZ4762" s="917"/>
      <c r="WLA4762" s="917" t="s">
        <v>78</v>
      </c>
      <c r="WLB4762" s="917"/>
      <c r="WLC4762" s="917"/>
      <c r="WLD4762" s="917"/>
      <c r="WLE4762" s="917"/>
      <c r="WLF4762" s="917"/>
      <c r="WLG4762" s="917"/>
      <c r="WLH4762" s="917"/>
      <c r="WLI4762" s="917"/>
      <c r="WLJ4762" s="917"/>
      <c r="WLK4762" s="917"/>
      <c r="WLL4762" s="917"/>
      <c r="WLM4762" s="917"/>
      <c r="WLN4762" s="917"/>
      <c r="WLO4762" s="917"/>
      <c r="WLP4762" s="917"/>
      <c r="WLQ4762" s="917"/>
      <c r="WLR4762" s="917"/>
      <c r="WLS4762" s="917"/>
      <c r="WLT4762" s="917"/>
      <c r="WLU4762" s="917"/>
      <c r="WLV4762" s="917"/>
      <c r="WLW4762" s="917"/>
      <c r="WLX4762" s="917"/>
      <c r="WLY4762" s="917"/>
      <c r="WLZ4762" s="917"/>
      <c r="WMA4762" s="917"/>
      <c r="WMB4762" s="917"/>
      <c r="WMC4762" s="917"/>
      <c r="WMD4762" s="917"/>
      <c r="WME4762" s="917"/>
      <c r="WMF4762" s="917"/>
      <c r="WMG4762" s="917" t="s">
        <v>78</v>
      </c>
      <c r="WMH4762" s="917"/>
      <c r="WMI4762" s="917"/>
      <c r="WMJ4762" s="917"/>
      <c r="WMK4762" s="917"/>
      <c r="WML4762" s="917"/>
      <c r="WMM4762" s="917"/>
      <c r="WMN4762" s="917"/>
      <c r="WMO4762" s="917"/>
      <c r="WMP4762" s="917"/>
      <c r="WMQ4762" s="917"/>
      <c r="WMR4762" s="917"/>
      <c r="WMS4762" s="917"/>
      <c r="WMT4762" s="917"/>
      <c r="WMU4762" s="917"/>
      <c r="WMV4762" s="917"/>
      <c r="WMW4762" s="917"/>
      <c r="WMX4762" s="917"/>
      <c r="WMY4762" s="917"/>
      <c r="WMZ4762" s="917"/>
      <c r="WNA4762" s="917"/>
      <c r="WNB4762" s="917"/>
      <c r="WNC4762" s="917"/>
      <c r="WND4762" s="917"/>
      <c r="WNE4762" s="917"/>
      <c r="WNF4762" s="917"/>
      <c r="WNG4762" s="917"/>
      <c r="WNH4762" s="917"/>
      <c r="WNI4762" s="917"/>
      <c r="WNJ4762" s="917"/>
      <c r="WNK4762" s="917"/>
      <c r="WNL4762" s="917"/>
      <c r="WNM4762" s="917" t="s">
        <v>78</v>
      </c>
      <c r="WNN4762" s="917"/>
      <c r="WNO4762" s="917"/>
      <c r="WNP4762" s="917"/>
      <c r="WNQ4762" s="917"/>
      <c r="WNR4762" s="917"/>
      <c r="WNS4762" s="917"/>
      <c r="WNT4762" s="917"/>
      <c r="WNU4762" s="917"/>
      <c r="WNV4762" s="917"/>
      <c r="WNW4762" s="917"/>
      <c r="WNX4762" s="917"/>
      <c r="WNY4762" s="917"/>
      <c r="WNZ4762" s="917"/>
      <c r="WOA4762" s="917"/>
      <c r="WOB4762" s="917"/>
      <c r="WOC4762" s="917"/>
      <c r="WOD4762" s="917"/>
      <c r="WOE4762" s="917"/>
      <c r="WOF4762" s="917"/>
      <c r="WOG4762" s="917"/>
      <c r="WOH4762" s="917"/>
      <c r="WOI4762" s="917"/>
      <c r="WOJ4762" s="917"/>
      <c r="WOK4762" s="917"/>
      <c r="WOL4762" s="917"/>
      <c r="WOM4762" s="917"/>
      <c r="WON4762" s="917"/>
      <c r="WOO4762" s="917"/>
      <c r="WOP4762" s="917"/>
      <c r="WOQ4762" s="917"/>
      <c r="WOR4762" s="917"/>
      <c r="WOS4762" s="917" t="s">
        <v>78</v>
      </c>
      <c r="WOT4762" s="917"/>
      <c r="WOU4762" s="917"/>
      <c r="WOV4762" s="917"/>
      <c r="WOW4762" s="917"/>
      <c r="WOX4762" s="917"/>
      <c r="WOY4762" s="917"/>
      <c r="WOZ4762" s="917"/>
      <c r="WPA4762" s="917"/>
      <c r="WPB4762" s="917"/>
      <c r="WPC4762" s="917"/>
      <c r="WPD4762" s="917"/>
      <c r="WPE4762" s="917"/>
      <c r="WPF4762" s="917"/>
      <c r="WPG4762" s="917"/>
      <c r="WPH4762" s="917"/>
      <c r="WPI4762" s="917"/>
      <c r="WPJ4762" s="917"/>
      <c r="WPK4762" s="917"/>
      <c r="WPL4762" s="917"/>
      <c r="WPM4762" s="917"/>
      <c r="WPN4762" s="917"/>
      <c r="WPO4762" s="917"/>
      <c r="WPP4762" s="917"/>
      <c r="WPQ4762" s="917"/>
      <c r="WPR4762" s="917"/>
      <c r="WPS4762" s="917"/>
      <c r="WPT4762" s="917"/>
      <c r="WPU4762" s="917"/>
      <c r="WPV4762" s="917"/>
      <c r="WPW4762" s="917"/>
      <c r="WPX4762" s="917"/>
      <c r="WPY4762" s="917" t="s">
        <v>78</v>
      </c>
      <c r="WPZ4762" s="917"/>
      <c r="WQA4762" s="917"/>
      <c r="WQB4762" s="917"/>
      <c r="WQC4762" s="917"/>
      <c r="WQD4762" s="917"/>
      <c r="WQE4762" s="917"/>
      <c r="WQF4762" s="917"/>
      <c r="WQG4762" s="917"/>
      <c r="WQH4762" s="917"/>
      <c r="WQI4762" s="917"/>
      <c r="WQJ4762" s="917"/>
      <c r="WQK4762" s="917"/>
      <c r="WQL4762" s="917"/>
      <c r="WQM4762" s="917"/>
      <c r="WQN4762" s="917"/>
      <c r="WQO4762" s="917"/>
      <c r="WQP4762" s="917"/>
      <c r="WQQ4762" s="917"/>
      <c r="WQR4762" s="917"/>
      <c r="WQS4762" s="917"/>
      <c r="WQT4762" s="917"/>
      <c r="WQU4762" s="917"/>
      <c r="WQV4762" s="917"/>
      <c r="WQW4762" s="917"/>
      <c r="WQX4762" s="917"/>
      <c r="WQY4762" s="917"/>
      <c r="WQZ4762" s="917"/>
      <c r="WRA4762" s="917"/>
      <c r="WRB4762" s="917"/>
      <c r="WRC4762" s="917"/>
      <c r="WRD4762" s="917"/>
      <c r="WRE4762" s="917" t="s">
        <v>78</v>
      </c>
      <c r="WRF4762" s="917"/>
      <c r="WRG4762" s="917"/>
      <c r="WRH4762" s="917"/>
      <c r="WRI4762" s="917"/>
      <c r="WRJ4762" s="917"/>
      <c r="WRK4762" s="917"/>
      <c r="WRL4762" s="917"/>
      <c r="WRM4762" s="917"/>
      <c r="WRN4762" s="917"/>
      <c r="WRO4762" s="917"/>
      <c r="WRP4762" s="917"/>
      <c r="WRQ4762" s="917"/>
      <c r="WRR4762" s="917"/>
      <c r="WRS4762" s="917"/>
      <c r="WRT4762" s="917"/>
      <c r="WRU4762" s="917"/>
      <c r="WRV4762" s="917"/>
      <c r="WRW4762" s="917"/>
      <c r="WRX4762" s="917"/>
      <c r="WRY4762" s="917"/>
      <c r="WRZ4762" s="917"/>
      <c r="WSA4762" s="917"/>
      <c r="WSB4762" s="917"/>
      <c r="WSC4762" s="917"/>
      <c r="WSD4762" s="917"/>
      <c r="WSE4762" s="917"/>
      <c r="WSF4762" s="917"/>
      <c r="WSG4762" s="917"/>
      <c r="WSH4762" s="917"/>
      <c r="WSI4762" s="917"/>
      <c r="WSJ4762" s="917"/>
      <c r="WSK4762" s="917" t="s">
        <v>78</v>
      </c>
      <c r="WSL4762" s="917"/>
      <c r="WSM4762" s="917"/>
      <c r="WSN4762" s="917"/>
      <c r="WSO4762" s="917"/>
      <c r="WSP4762" s="917"/>
      <c r="WSQ4762" s="917"/>
      <c r="WSR4762" s="917"/>
      <c r="WSS4762" s="917"/>
      <c r="WST4762" s="917"/>
      <c r="WSU4762" s="917"/>
      <c r="WSV4762" s="917"/>
      <c r="WSW4762" s="917"/>
      <c r="WSX4762" s="917"/>
      <c r="WSY4762" s="917"/>
      <c r="WSZ4762" s="917"/>
      <c r="WTA4762" s="917"/>
      <c r="WTB4762" s="917"/>
      <c r="WTC4762" s="917"/>
      <c r="WTD4762" s="917"/>
      <c r="WTE4762" s="917"/>
      <c r="WTF4762" s="917"/>
      <c r="WTG4762" s="917"/>
      <c r="WTH4762" s="917"/>
      <c r="WTI4762" s="917"/>
      <c r="WTJ4762" s="917"/>
      <c r="WTK4762" s="917"/>
      <c r="WTL4762" s="917"/>
      <c r="WTM4762" s="917"/>
      <c r="WTN4762" s="917"/>
      <c r="WTO4762" s="917"/>
      <c r="WTP4762" s="917"/>
      <c r="WTQ4762" s="917" t="s">
        <v>78</v>
      </c>
      <c r="WTR4762" s="917"/>
      <c r="WTS4762" s="917"/>
      <c r="WTT4762" s="917"/>
      <c r="WTU4762" s="917"/>
      <c r="WTV4762" s="917"/>
      <c r="WTW4762" s="917"/>
      <c r="WTX4762" s="917"/>
      <c r="WTY4762" s="917"/>
      <c r="WTZ4762" s="917"/>
      <c r="WUA4762" s="917"/>
      <c r="WUB4762" s="917"/>
      <c r="WUC4762" s="917"/>
      <c r="WUD4762" s="917"/>
      <c r="WUE4762" s="917"/>
      <c r="WUF4762" s="917"/>
      <c r="WUG4762" s="917"/>
      <c r="WUH4762" s="917"/>
      <c r="WUI4762" s="917"/>
      <c r="WUJ4762" s="917"/>
      <c r="WUK4762" s="917"/>
      <c r="WUL4762" s="917"/>
      <c r="WUM4762" s="917"/>
      <c r="WUN4762" s="917"/>
      <c r="WUO4762" s="917"/>
      <c r="WUP4762" s="917"/>
      <c r="WUQ4762" s="917"/>
      <c r="WUR4762" s="917"/>
      <c r="WUS4762" s="917"/>
      <c r="WUT4762" s="917"/>
      <c r="WUU4762" s="917"/>
      <c r="WUV4762" s="917"/>
      <c r="WUW4762" s="917" t="s">
        <v>78</v>
      </c>
      <c r="WUX4762" s="917"/>
      <c r="WUY4762" s="917"/>
      <c r="WUZ4762" s="917"/>
      <c r="WVA4762" s="917"/>
      <c r="WVB4762" s="917"/>
      <c r="WVC4762" s="917"/>
      <c r="WVD4762" s="917"/>
      <c r="WVE4762" s="917"/>
      <c r="WVF4762" s="917"/>
      <c r="WVG4762" s="917"/>
      <c r="WVH4762" s="917"/>
      <c r="WVI4762" s="917"/>
      <c r="WVJ4762" s="917"/>
      <c r="WVK4762" s="917"/>
      <c r="WVL4762" s="917"/>
      <c r="WVM4762" s="917"/>
      <c r="WVN4762" s="917"/>
      <c r="WVO4762" s="917"/>
      <c r="WVP4762" s="917"/>
      <c r="WVQ4762" s="917"/>
      <c r="WVR4762" s="917"/>
      <c r="WVS4762" s="917"/>
      <c r="WVT4762" s="917"/>
      <c r="WVU4762" s="917"/>
      <c r="WVV4762" s="917"/>
      <c r="WVW4762" s="917"/>
      <c r="WVX4762" s="917"/>
      <c r="WVY4762" s="917"/>
      <c r="WVZ4762" s="917"/>
      <c r="WWA4762" s="917"/>
      <c r="WWB4762" s="917"/>
      <c r="WWC4762" s="917" t="s">
        <v>78</v>
      </c>
      <c r="WWD4762" s="917"/>
      <c r="WWE4762" s="917"/>
      <c r="WWF4762" s="917"/>
      <c r="WWG4762" s="917"/>
      <c r="WWH4762" s="917"/>
      <c r="WWI4762" s="917"/>
      <c r="WWJ4762" s="917"/>
      <c r="WWK4762" s="917"/>
      <c r="WWL4762" s="917"/>
      <c r="WWM4762" s="917"/>
      <c r="WWN4762" s="917"/>
      <c r="WWO4762" s="917"/>
      <c r="WWP4762" s="917"/>
      <c r="WWQ4762" s="917"/>
      <c r="WWR4762" s="917"/>
      <c r="WWS4762" s="917"/>
      <c r="WWT4762" s="917"/>
      <c r="WWU4762" s="917"/>
      <c r="WWV4762" s="917"/>
      <c r="WWW4762" s="917"/>
      <c r="WWX4762" s="917"/>
      <c r="WWY4762" s="917"/>
      <c r="WWZ4762" s="917"/>
      <c r="WXA4762" s="917"/>
      <c r="WXB4762" s="917"/>
      <c r="WXC4762" s="917"/>
      <c r="WXD4762" s="917"/>
      <c r="WXE4762" s="917"/>
      <c r="WXF4762" s="917"/>
      <c r="WXG4762" s="917"/>
      <c r="WXH4762" s="917"/>
      <c r="WXI4762" s="917" t="s">
        <v>78</v>
      </c>
      <c r="WXJ4762" s="917"/>
      <c r="WXK4762" s="917"/>
      <c r="WXL4762" s="917"/>
      <c r="WXM4762" s="917"/>
      <c r="WXN4762" s="917"/>
      <c r="WXO4762" s="917"/>
      <c r="WXP4762" s="917"/>
      <c r="WXQ4762" s="917"/>
      <c r="WXR4762" s="917"/>
      <c r="WXS4762" s="917"/>
      <c r="WXT4762" s="917"/>
      <c r="WXU4762" s="917"/>
      <c r="WXV4762" s="917"/>
      <c r="WXW4762" s="917"/>
      <c r="WXX4762" s="917"/>
      <c r="WXY4762" s="917"/>
      <c r="WXZ4762" s="917"/>
      <c r="WYA4762" s="917"/>
      <c r="WYB4762" s="917"/>
      <c r="WYC4762" s="917"/>
      <c r="WYD4762" s="917"/>
      <c r="WYE4762" s="917"/>
      <c r="WYF4762" s="917"/>
      <c r="WYG4762" s="917"/>
      <c r="WYH4762" s="917"/>
      <c r="WYI4762" s="917"/>
      <c r="WYJ4762" s="917"/>
      <c r="WYK4762" s="917"/>
      <c r="WYL4762" s="917"/>
      <c r="WYM4762" s="917"/>
      <c r="WYN4762" s="917"/>
      <c r="WYO4762" s="917" t="s">
        <v>78</v>
      </c>
      <c r="WYP4762" s="917"/>
      <c r="WYQ4762" s="917"/>
      <c r="WYR4762" s="917"/>
      <c r="WYS4762" s="917"/>
      <c r="WYT4762" s="917"/>
      <c r="WYU4762" s="917"/>
      <c r="WYV4762" s="917"/>
      <c r="WYW4762" s="917"/>
      <c r="WYX4762" s="917"/>
      <c r="WYY4762" s="917"/>
      <c r="WYZ4762" s="917"/>
      <c r="WZA4762" s="917"/>
      <c r="WZB4762" s="917"/>
      <c r="WZC4762" s="917"/>
      <c r="WZD4762" s="917"/>
      <c r="WZE4762" s="917"/>
      <c r="WZF4762" s="917"/>
      <c r="WZG4762" s="917"/>
      <c r="WZH4762" s="917"/>
      <c r="WZI4762" s="917"/>
      <c r="WZJ4762" s="917"/>
      <c r="WZK4762" s="917"/>
      <c r="WZL4762" s="917"/>
      <c r="WZM4762" s="917"/>
      <c r="WZN4762" s="917"/>
      <c r="WZO4762" s="917"/>
      <c r="WZP4762" s="917"/>
      <c r="WZQ4762" s="917"/>
      <c r="WZR4762" s="917"/>
      <c r="WZS4762" s="917"/>
      <c r="WZT4762" s="917"/>
      <c r="WZU4762" s="917" t="s">
        <v>78</v>
      </c>
      <c r="WZV4762" s="917"/>
      <c r="WZW4762" s="917"/>
      <c r="WZX4762" s="917"/>
      <c r="WZY4762" s="917"/>
      <c r="WZZ4762" s="917"/>
      <c r="XAA4762" s="917"/>
      <c r="XAB4762" s="917"/>
      <c r="XAC4762" s="917"/>
      <c r="XAD4762" s="917"/>
      <c r="XAE4762" s="917"/>
      <c r="XAF4762" s="917"/>
      <c r="XAG4762" s="917"/>
      <c r="XAH4762" s="917"/>
      <c r="XAI4762" s="917"/>
      <c r="XAJ4762" s="917"/>
      <c r="XAK4762" s="917"/>
      <c r="XAL4762" s="917"/>
      <c r="XAM4762" s="917"/>
      <c r="XAN4762" s="917"/>
      <c r="XAO4762" s="917"/>
      <c r="XAP4762" s="917"/>
      <c r="XAQ4762" s="917"/>
      <c r="XAR4762" s="917"/>
      <c r="XAS4762" s="917"/>
      <c r="XAT4762" s="917"/>
      <c r="XAU4762" s="917"/>
      <c r="XAV4762" s="917"/>
      <c r="XAW4762" s="917"/>
      <c r="XAX4762" s="917"/>
      <c r="XAY4762" s="917"/>
      <c r="XAZ4762" s="917"/>
      <c r="XBA4762" s="917" t="s">
        <v>78</v>
      </c>
      <c r="XBB4762" s="917"/>
      <c r="XBC4762" s="917"/>
      <c r="XBD4762" s="917"/>
      <c r="XBE4762" s="917"/>
      <c r="XBF4762" s="917"/>
      <c r="XBG4762" s="917"/>
      <c r="XBH4762" s="917"/>
      <c r="XBI4762" s="917"/>
      <c r="XBJ4762" s="917"/>
      <c r="XBK4762" s="917"/>
      <c r="XBL4762" s="917"/>
      <c r="XBM4762" s="917"/>
      <c r="XBN4762" s="917"/>
      <c r="XBO4762" s="917"/>
      <c r="XBP4762" s="917"/>
      <c r="XBQ4762" s="917"/>
      <c r="XBR4762" s="917"/>
      <c r="XBS4762" s="917"/>
      <c r="XBT4762" s="917"/>
      <c r="XBU4762" s="917"/>
      <c r="XBV4762" s="917"/>
      <c r="XBW4762" s="917"/>
      <c r="XBX4762" s="917"/>
      <c r="XBY4762" s="917"/>
      <c r="XBZ4762" s="917"/>
      <c r="XCA4762" s="917"/>
      <c r="XCB4762" s="917"/>
      <c r="XCC4762" s="917"/>
      <c r="XCD4762" s="917"/>
      <c r="XCE4762" s="917"/>
      <c r="XCF4762" s="917"/>
      <c r="XCG4762" s="917" t="s">
        <v>78</v>
      </c>
      <c r="XCH4762" s="917"/>
      <c r="XCI4762" s="917"/>
      <c r="XCJ4762" s="917"/>
      <c r="XCK4762" s="917"/>
      <c r="XCL4762" s="917"/>
      <c r="XCM4762" s="917"/>
      <c r="XCN4762" s="917"/>
      <c r="XCO4762" s="917"/>
      <c r="XCP4762" s="917"/>
      <c r="XCQ4762" s="917"/>
      <c r="XCR4762" s="917"/>
      <c r="XCS4762" s="917"/>
      <c r="XCT4762" s="917"/>
      <c r="XCU4762" s="917"/>
      <c r="XCV4762" s="917"/>
      <c r="XCW4762" s="917"/>
      <c r="XCX4762" s="917"/>
      <c r="XCY4762" s="917"/>
      <c r="XCZ4762" s="917"/>
      <c r="XDA4762" s="917"/>
      <c r="XDB4762" s="917"/>
      <c r="XDC4762" s="917"/>
      <c r="XDD4762" s="917"/>
      <c r="XDE4762" s="917"/>
      <c r="XDF4762" s="917"/>
      <c r="XDG4762" s="917"/>
      <c r="XDH4762" s="917"/>
      <c r="XDI4762" s="917"/>
      <c r="XDJ4762" s="917"/>
      <c r="XDK4762" s="917"/>
      <c r="XDL4762" s="917"/>
      <c r="XDM4762" s="917" t="s">
        <v>78</v>
      </c>
      <c r="XDN4762" s="917"/>
      <c r="XDO4762" s="917"/>
      <c r="XDP4762" s="917"/>
      <c r="XDQ4762" s="917"/>
      <c r="XDR4762" s="917"/>
      <c r="XDS4762" s="917"/>
      <c r="XDT4762" s="917"/>
      <c r="XDU4762" s="917"/>
      <c r="XDV4762" s="917"/>
      <c r="XDW4762" s="917"/>
      <c r="XDX4762" s="917"/>
      <c r="XDY4762" s="917"/>
      <c r="XDZ4762" s="917"/>
      <c r="XEA4762" s="917"/>
      <c r="XEB4762" s="917"/>
      <c r="XEC4762" s="917"/>
      <c r="XED4762" s="917"/>
      <c r="XEE4762" s="917"/>
      <c r="XEF4762" s="917"/>
      <c r="XEG4762" s="917"/>
      <c r="XEH4762" s="917"/>
      <c r="XEI4762" s="917"/>
      <c r="XEJ4762" s="917"/>
      <c r="XEK4762" s="917"/>
      <c r="XEL4762" s="917"/>
      <c r="XEM4762" s="917"/>
      <c r="XEN4762" s="917"/>
      <c r="XEO4762" s="917"/>
      <c r="XEP4762" s="917"/>
      <c r="XEQ4762" s="917"/>
      <c r="XER4762" s="917"/>
    </row>
    <row r="4763" spans="2:16372" hidden="1">
      <c r="B4763" s="19"/>
      <c r="C4763" s="19"/>
      <c r="D4763" s="19"/>
      <c r="E4763" s="19"/>
      <c r="F4763" s="19"/>
      <c r="G4763" s="19"/>
      <c r="H4763" s="19"/>
      <c r="I4763" s="19"/>
      <c r="J4763" s="19"/>
      <c r="K4763" s="421"/>
      <c r="L4763" s="23"/>
      <c r="M4763" s="19"/>
      <c r="N4763" s="19"/>
      <c r="O4763" s="19"/>
      <c r="P4763" s="19"/>
      <c r="Q4763" s="19"/>
      <c r="AC4763" s="30"/>
      <c r="BI4763" s="30"/>
      <c r="CO4763" s="30"/>
      <c r="DU4763" s="30"/>
      <c r="FA4763" s="30"/>
      <c r="GG4763" s="30"/>
      <c r="HM4763" s="30"/>
      <c r="IS4763" s="30"/>
      <c r="JY4763" s="30"/>
      <c r="LE4763" s="30"/>
      <c r="MK4763" s="30"/>
      <c r="NQ4763" s="30"/>
      <c r="OW4763" s="30"/>
      <c r="QC4763" s="30"/>
      <c r="RI4763" s="30"/>
      <c r="SO4763" s="30"/>
      <c r="TU4763" s="30"/>
      <c r="VA4763" s="30"/>
      <c r="WG4763" s="30"/>
      <c r="XM4763" s="30"/>
      <c r="YS4763" s="30"/>
      <c r="ZY4763" s="30"/>
      <c r="ABE4763" s="30"/>
      <c r="ACK4763" s="30"/>
      <c r="ADQ4763" s="30"/>
      <c r="AEW4763" s="30"/>
      <c r="AGC4763" s="30"/>
      <c r="AHI4763" s="30"/>
      <c r="AIO4763" s="30"/>
      <c r="AJU4763" s="30"/>
      <c r="ALA4763" s="30"/>
      <c r="AMG4763" s="30"/>
      <c r="ANM4763" s="30"/>
      <c r="AOS4763" s="30"/>
      <c r="APY4763" s="30"/>
      <c r="ARE4763" s="30"/>
      <c r="ASK4763" s="30"/>
      <c r="ATQ4763" s="30"/>
      <c r="AUW4763" s="30"/>
      <c r="AWC4763" s="30"/>
      <c r="AXI4763" s="30"/>
      <c r="AYO4763" s="30"/>
      <c r="AZU4763" s="30"/>
      <c r="BBA4763" s="30"/>
      <c r="BCG4763" s="30"/>
      <c r="BDM4763" s="30"/>
      <c r="BES4763" s="30"/>
      <c r="BFY4763" s="30"/>
      <c r="BHE4763" s="30"/>
      <c r="BIK4763" s="30"/>
      <c r="BJQ4763" s="30"/>
      <c r="BKW4763" s="30"/>
      <c r="BMC4763" s="30"/>
      <c r="BNI4763" s="30"/>
      <c r="BOO4763" s="30"/>
      <c r="BPU4763" s="30"/>
      <c r="BRA4763" s="30"/>
      <c r="BSG4763" s="30"/>
      <c r="BTM4763" s="30"/>
      <c r="BUS4763" s="30"/>
      <c r="BVY4763" s="30"/>
      <c r="BXE4763" s="30"/>
      <c r="BYK4763" s="30"/>
      <c r="BZQ4763" s="30"/>
      <c r="CAW4763" s="30"/>
      <c r="CCC4763" s="30"/>
      <c r="CDI4763" s="30"/>
      <c r="CEO4763" s="30"/>
      <c r="CFU4763" s="30"/>
      <c r="CHA4763" s="30"/>
      <c r="CIG4763" s="30"/>
      <c r="CJM4763" s="30"/>
      <c r="CKS4763" s="30"/>
      <c r="CLY4763" s="30"/>
      <c r="CNE4763" s="30"/>
      <c r="COK4763" s="30"/>
      <c r="CPQ4763" s="30"/>
      <c r="CQW4763" s="30"/>
      <c r="CSC4763" s="30"/>
      <c r="CTI4763" s="30"/>
      <c r="CUO4763" s="30"/>
      <c r="CVU4763" s="30"/>
      <c r="CXA4763" s="30"/>
      <c r="CYG4763" s="30"/>
      <c r="CZM4763" s="30"/>
      <c r="DAS4763" s="30"/>
      <c r="DBY4763" s="30"/>
      <c r="DDE4763" s="30"/>
      <c r="DEK4763" s="30"/>
      <c r="DFQ4763" s="30"/>
      <c r="DGW4763" s="30"/>
      <c r="DIC4763" s="30"/>
      <c r="DJI4763" s="30"/>
      <c r="DKO4763" s="30"/>
      <c r="DLU4763" s="30"/>
      <c r="DNA4763" s="30"/>
      <c r="DOG4763" s="30"/>
      <c r="DPM4763" s="30"/>
      <c r="DQS4763" s="30"/>
      <c r="DRY4763" s="30"/>
      <c r="DTE4763" s="30"/>
      <c r="DUK4763" s="30"/>
      <c r="DVQ4763" s="30"/>
      <c r="DWW4763" s="30"/>
      <c r="DYC4763" s="30"/>
      <c r="DZI4763" s="30"/>
      <c r="EAO4763" s="30"/>
      <c r="EBU4763" s="30"/>
      <c r="EDA4763" s="30"/>
      <c r="EEG4763" s="30"/>
      <c r="EFM4763" s="30"/>
      <c r="EGS4763" s="30"/>
      <c r="EHY4763" s="30"/>
      <c r="EJE4763" s="30"/>
      <c r="EKK4763" s="30"/>
      <c r="ELQ4763" s="30"/>
      <c r="EMW4763" s="30"/>
      <c r="EOC4763" s="30"/>
      <c r="EPI4763" s="30"/>
      <c r="EQO4763" s="30"/>
      <c r="ERU4763" s="30"/>
      <c r="ETA4763" s="30"/>
      <c r="EUG4763" s="30"/>
      <c r="EVM4763" s="30"/>
      <c r="EWS4763" s="30"/>
      <c r="EXY4763" s="30"/>
      <c r="EZE4763" s="30"/>
      <c r="FAK4763" s="30"/>
      <c r="FBQ4763" s="30"/>
      <c r="FCW4763" s="30"/>
      <c r="FEC4763" s="30"/>
      <c r="FFI4763" s="30"/>
      <c r="FGO4763" s="30"/>
      <c r="FHU4763" s="30"/>
      <c r="FJA4763" s="30"/>
      <c r="FKG4763" s="30"/>
      <c r="FLM4763" s="30"/>
      <c r="FMS4763" s="30"/>
      <c r="FNY4763" s="30"/>
      <c r="FPE4763" s="30"/>
      <c r="FQK4763" s="30"/>
      <c r="FRQ4763" s="30"/>
      <c r="FSW4763" s="30"/>
      <c r="FUC4763" s="30"/>
      <c r="FVI4763" s="30"/>
      <c r="FWO4763" s="30"/>
      <c r="FXU4763" s="30"/>
      <c r="FZA4763" s="30"/>
      <c r="GAG4763" s="30"/>
      <c r="GBM4763" s="30"/>
      <c r="GCS4763" s="30"/>
      <c r="GDY4763" s="30"/>
      <c r="GFE4763" s="30"/>
      <c r="GGK4763" s="30"/>
      <c r="GHQ4763" s="30"/>
      <c r="GIW4763" s="30"/>
      <c r="GKC4763" s="30"/>
      <c r="GLI4763" s="30"/>
      <c r="GMO4763" s="30"/>
      <c r="GNU4763" s="30"/>
      <c r="GPA4763" s="30"/>
      <c r="GQG4763" s="30"/>
      <c r="GRM4763" s="30"/>
      <c r="GSS4763" s="30"/>
      <c r="GTY4763" s="30"/>
      <c r="GVE4763" s="30"/>
      <c r="GWK4763" s="30"/>
      <c r="GXQ4763" s="30"/>
      <c r="GYW4763" s="30"/>
      <c r="HAC4763" s="30"/>
      <c r="HBI4763" s="30"/>
      <c r="HCO4763" s="30"/>
      <c r="HDU4763" s="30"/>
      <c r="HFA4763" s="30"/>
      <c r="HGG4763" s="30"/>
      <c r="HHM4763" s="30"/>
      <c r="HIS4763" s="30"/>
      <c r="HJY4763" s="30"/>
      <c r="HLE4763" s="30"/>
      <c r="HMK4763" s="30"/>
      <c r="HNQ4763" s="30"/>
      <c r="HOW4763" s="30"/>
      <c r="HQC4763" s="30"/>
      <c r="HRI4763" s="30"/>
      <c r="HSO4763" s="30"/>
      <c r="HTU4763" s="30"/>
      <c r="HVA4763" s="30"/>
      <c r="HWG4763" s="30"/>
      <c r="HXM4763" s="30"/>
      <c r="HYS4763" s="30"/>
      <c r="HZY4763" s="30"/>
      <c r="IBE4763" s="30"/>
      <c r="ICK4763" s="30"/>
      <c r="IDQ4763" s="30"/>
      <c r="IEW4763" s="30"/>
      <c r="IGC4763" s="30"/>
      <c r="IHI4763" s="30"/>
      <c r="IIO4763" s="30"/>
      <c r="IJU4763" s="30"/>
      <c r="ILA4763" s="30"/>
      <c r="IMG4763" s="30"/>
      <c r="INM4763" s="30"/>
      <c r="IOS4763" s="30"/>
      <c r="IPY4763" s="30"/>
      <c r="IRE4763" s="30"/>
      <c r="ISK4763" s="30"/>
      <c r="ITQ4763" s="30"/>
      <c r="IUW4763" s="30"/>
      <c r="IWC4763" s="30"/>
      <c r="IXI4763" s="30"/>
      <c r="IYO4763" s="30"/>
      <c r="IZU4763" s="30"/>
      <c r="JBA4763" s="30"/>
      <c r="JCG4763" s="30"/>
      <c r="JDM4763" s="30"/>
      <c r="JES4763" s="30"/>
      <c r="JFY4763" s="30"/>
      <c r="JHE4763" s="30"/>
      <c r="JIK4763" s="30"/>
      <c r="JJQ4763" s="30"/>
      <c r="JKW4763" s="30"/>
      <c r="JMC4763" s="30"/>
      <c r="JNI4763" s="30"/>
      <c r="JOO4763" s="30"/>
      <c r="JPU4763" s="30"/>
      <c r="JRA4763" s="30"/>
      <c r="JSG4763" s="30"/>
      <c r="JTM4763" s="30"/>
      <c r="JUS4763" s="30"/>
      <c r="JVY4763" s="30"/>
      <c r="JXE4763" s="30"/>
      <c r="JYK4763" s="30"/>
      <c r="JZQ4763" s="30"/>
      <c r="KAW4763" s="30"/>
      <c r="KCC4763" s="30"/>
      <c r="KDI4763" s="30"/>
      <c r="KEO4763" s="30"/>
      <c r="KFU4763" s="30"/>
      <c r="KHA4763" s="30"/>
      <c r="KIG4763" s="30"/>
      <c r="KJM4763" s="30"/>
      <c r="KKS4763" s="30"/>
      <c r="KLY4763" s="30"/>
      <c r="KNE4763" s="30"/>
      <c r="KOK4763" s="30"/>
      <c r="KPQ4763" s="30"/>
      <c r="KQW4763" s="30"/>
      <c r="KSC4763" s="30"/>
      <c r="KTI4763" s="30"/>
      <c r="KUO4763" s="30"/>
      <c r="KVU4763" s="30"/>
      <c r="KXA4763" s="30"/>
      <c r="KYG4763" s="30"/>
      <c r="KZM4763" s="30"/>
      <c r="LAS4763" s="30"/>
      <c r="LBY4763" s="30"/>
      <c r="LDE4763" s="30"/>
      <c r="LEK4763" s="30"/>
      <c r="LFQ4763" s="30"/>
      <c r="LGW4763" s="30"/>
      <c r="LIC4763" s="30"/>
      <c r="LJI4763" s="30"/>
      <c r="LKO4763" s="30"/>
      <c r="LLU4763" s="30"/>
      <c r="LNA4763" s="30"/>
      <c r="LOG4763" s="30"/>
      <c r="LPM4763" s="30"/>
      <c r="LQS4763" s="30"/>
      <c r="LRY4763" s="30"/>
      <c r="LTE4763" s="30"/>
      <c r="LUK4763" s="30"/>
      <c r="LVQ4763" s="30"/>
      <c r="LWW4763" s="30"/>
      <c r="LYC4763" s="30"/>
      <c r="LZI4763" s="30"/>
      <c r="MAO4763" s="30"/>
      <c r="MBU4763" s="30"/>
      <c r="MDA4763" s="30"/>
      <c r="MEG4763" s="30"/>
      <c r="MFM4763" s="30"/>
      <c r="MGS4763" s="30"/>
      <c r="MHY4763" s="30"/>
      <c r="MJE4763" s="30"/>
      <c r="MKK4763" s="30"/>
      <c r="MLQ4763" s="30"/>
      <c r="MMW4763" s="30"/>
      <c r="MOC4763" s="30"/>
      <c r="MPI4763" s="30"/>
      <c r="MQO4763" s="30"/>
      <c r="MRU4763" s="30"/>
      <c r="MTA4763" s="30"/>
      <c r="MUG4763" s="30"/>
      <c r="MVM4763" s="30"/>
      <c r="MWS4763" s="30"/>
      <c r="MXY4763" s="30"/>
      <c r="MZE4763" s="30"/>
      <c r="NAK4763" s="30"/>
      <c r="NBQ4763" s="30"/>
      <c r="NCW4763" s="30"/>
      <c r="NEC4763" s="30"/>
      <c r="NFI4763" s="30"/>
      <c r="NGO4763" s="30"/>
      <c r="NHU4763" s="30"/>
      <c r="NJA4763" s="30"/>
      <c r="NKG4763" s="30"/>
      <c r="NLM4763" s="30"/>
      <c r="NMS4763" s="30"/>
      <c r="NNY4763" s="30"/>
      <c r="NPE4763" s="30"/>
      <c r="NQK4763" s="30"/>
      <c r="NRQ4763" s="30"/>
      <c r="NSW4763" s="30"/>
      <c r="NUC4763" s="30"/>
      <c r="NVI4763" s="30"/>
      <c r="NWO4763" s="30"/>
      <c r="NXU4763" s="30"/>
      <c r="NZA4763" s="30"/>
      <c r="OAG4763" s="30"/>
      <c r="OBM4763" s="30"/>
      <c r="OCS4763" s="30"/>
      <c r="ODY4763" s="30"/>
      <c r="OFE4763" s="30"/>
      <c r="OGK4763" s="30"/>
      <c r="OHQ4763" s="30"/>
      <c r="OIW4763" s="30"/>
      <c r="OKC4763" s="30"/>
      <c r="OLI4763" s="30"/>
      <c r="OMO4763" s="30"/>
      <c r="ONU4763" s="30"/>
      <c r="OPA4763" s="30"/>
      <c r="OQG4763" s="30"/>
      <c r="ORM4763" s="30"/>
      <c r="OSS4763" s="30"/>
      <c r="OTY4763" s="30"/>
      <c r="OVE4763" s="30"/>
      <c r="OWK4763" s="30"/>
      <c r="OXQ4763" s="30"/>
      <c r="OYW4763" s="30"/>
      <c r="PAC4763" s="30"/>
      <c r="PBI4763" s="30"/>
      <c r="PCO4763" s="30"/>
      <c r="PDU4763" s="30"/>
      <c r="PFA4763" s="30"/>
      <c r="PGG4763" s="30"/>
      <c r="PHM4763" s="30"/>
      <c r="PIS4763" s="30"/>
      <c r="PJY4763" s="30"/>
      <c r="PLE4763" s="30"/>
      <c r="PMK4763" s="30"/>
      <c r="PNQ4763" s="30"/>
      <c r="POW4763" s="30"/>
      <c r="PQC4763" s="30"/>
      <c r="PRI4763" s="30"/>
      <c r="PSO4763" s="30"/>
      <c r="PTU4763" s="30"/>
      <c r="PVA4763" s="30"/>
      <c r="PWG4763" s="30"/>
      <c r="PXM4763" s="30"/>
      <c r="PYS4763" s="30"/>
      <c r="PZY4763" s="30"/>
      <c r="QBE4763" s="30"/>
      <c r="QCK4763" s="30"/>
      <c r="QDQ4763" s="30"/>
      <c r="QEW4763" s="30"/>
      <c r="QGC4763" s="30"/>
      <c r="QHI4763" s="30"/>
      <c r="QIO4763" s="30"/>
      <c r="QJU4763" s="30"/>
      <c r="QLA4763" s="30"/>
      <c r="QMG4763" s="30"/>
      <c r="QNM4763" s="30"/>
      <c r="QOS4763" s="30"/>
      <c r="QPY4763" s="30"/>
      <c r="QRE4763" s="30"/>
      <c r="QSK4763" s="30"/>
      <c r="QTQ4763" s="30"/>
      <c r="QUW4763" s="30"/>
      <c r="QWC4763" s="30"/>
      <c r="QXI4763" s="30"/>
      <c r="QYO4763" s="30"/>
      <c r="QZU4763" s="30"/>
      <c r="RBA4763" s="30"/>
      <c r="RCG4763" s="30"/>
      <c r="RDM4763" s="30"/>
      <c r="RES4763" s="30"/>
      <c r="RFY4763" s="30"/>
      <c r="RHE4763" s="30"/>
      <c r="RIK4763" s="30"/>
      <c r="RJQ4763" s="30"/>
      <c r="RKW4763" s="30"/>
      <c r="RMC4763" s="30"/>
      <c r="RNI4763" s="30"/>
      <c r="ROO4763" s="30"/>
      <c r="RPU4763" s="30"/>
      <c r="RRA4763" s="30"/>
      <c r="RSG4763" s="30"/>
      <c r="RTM4763" s="30"/>
      <c r="RUS4763" s="30"/>
      <c r="RVY4763" s="30"/>
      <c r="RXE4763" s="30"/>
      <c r="RYK4763" s="30"/>
      <c r="RZQ4763" s="30"/>
      <c r="SAW4763" s="30"/>
      <c r="SCC4763" s="30"/>
      <c r="SDI4763" s="30"/>
      <c r="SEO4763" s="30"/>
      <c r="SFU4763" s="30"/>
      <c r="SHA4763" s="30"/>
      <c r="SIG4763" s="30"/>
      <c r="SJM4763" s="30"/>
      <c r="SKS4763" s="30"/>
      <c r="SLY4763" s="30"/>
      <c r="SNE4763" s="30"/>
      <c r="SOK4763" s="30"/>
      <c r="SPQ4763" s="30"/>
      <c r="SQW4763" s="30"/>
      <c r="SSC4763" s="30"/>
      <c r="STI4763" s="30"/>
      <c r="SUO4763" s="30"/>
      <c r="SVU4763" s="30"/>
      <c r="SXA4763" s="30"/>
      <c r="SYG4763" s="30"/>
      <c r="SZM4763" s="30"/>
      <c r="TAS4763" s="30"/>
      <c r="TBY4763" s="30"/>
      <c r="TDE4763" s="30"/>
      <c r="TEK4763" s="30"/>
      <c r="TFQ4763" s="30"/>
      <c r="TGW4763" s="30"/>
      <c r="TIC4763" s="30"/>
      <c r="TJI4763" s="30"/>
      <c r="TKO4763" s="30"/>
      <c r="TLU4763" s="30"/>
      <c r="TNA4763" s="30"/>
      <c r="TOG4763" s="30"/>
      <c r="TPM4763" s="30"/>
      <c r="TQS4763" s="30"/>
      <c r="TRY4763" s="30"/>
      <c r="TTE4763" s="30"/>
      <c r="TUK4763" s="30"/>
      <c r="TVQ4763" s="30"/>
      <c r="TWW4763" s="30"/>
      <c r="TYC4763" s="30"/>
      <c r="TZI4763" s="30"/>
      <c r="UAO4763" s="30"/>
      <c r="UBU4763" s="30"/>
      <c r="UDA4763" s="30"/>
      <c r="UEG4763" s="30"/>
      <c r="UFM4763" s="30"/>
      <c r="UGS4763" s="30"/>
      <c r="UHY4763" s="30"/>
      <c r="UJE4763" s="30"/>
      <c r="UKK4763" s="30"/>
      <c r="ULQ4763" s="30"/>
      <c r="UMW4763" s="30"/>
      <c r="UOC4763" s="30"/>
      <c r="UPI4763" s="30"/>
      <c r="UQO4763" s="30"/>
      <c r="URU4763" s="30"/>
      <c r="UTA4763" s="30"/>
      <c r="UUG4763" s="30"/>
      <c r="UVM4763" s="30"/>
      <c r="UWS4763" s="30"/>
      <c r="UXY4763" s="30"/>
      <c r="UZE4763" s="30"/>
      <c r="VAK4763" s="30"/>
      <c r="VBQ4763" s="30"/>
      <c r="VCW4763" s="30"/>
      <c r="VEC4763" s="30"/>
      <c r="VFI4763" s="30"/>
      <c r="VGO4763" s="30"/>
      <c r="VHU4763" s="30"/>
      <c r="VJA4763" s="30"/>
      <c r="VKG4763" s="30"/>
      <c r="VLM4763" s="30"/>
      <c r="VMS4763" s="30"/>
      <c r="VNY4763" s="30"/>
      <c r="VPE4763" s="30"/>
      <c r="VQK4763" s="30"/>
      <c r="VRQ4763" s="30"/>
      <c r="VSW4763" s="30"/>
      <c r="VUC4763" s="30"/>
      <c r="VVI4763" s="30"/>
      <c r="VWO4763" s="30"/>
      <c r="VXU4763" s="30"/>
      <c r="VZA4763" s="30"/>
      <c r="WAG4763" s="30"/>
      <c r="WBM4763" s="30"/>
      <c r="WCS4763" s="30"/>
      <c r="WDY4763" s="30"/>
      <c r="WFE4763" s="30"/>
      <c r="WGK4763" s="30"/>
      <c r="WHQ4763" s="30"/>
      <c r="WIW4763" s="30"/>
      <c r="WKC4763" s="30"/>
      <c r="WLI4763" s="30"/>
      <c r="WMO4763" s="30"/>
      <c r="WNU4763" s="30"/>
      <c r="WPA4763" s="30"/>
      <c r="WQG4763" s="30"/>
      <c r="WRM4763" s="30"/>
      <c r="WSS4763" s="30"/>
      <c r="WTY4763" s="30"/>
      <c r="WVE4763" s="30"/>
      <c r="WWK4763" s="30"/>
      <c r="WXQ4763" s="30"/>
      <c r="WYW4763" s="30"/>
      <c r="XAC4763" s="30"/>
      <c r="XBI4763" s="30"/>
      <c r="XCO4763" s="30"/>
      <c r="XDU4763" s="30"/>
    </row>
    <row r="4764" spans="2:16372" hidden="1">
      <c r="B4764" s="19"/>
      <c r="C4764" s="19"/>
      <c r="D4764" s="19"/>
      <c r="E4764" s="19"/>
      <c r="F4764" s="19"/>
      <c r="G4764" s="19"/>
      <c r="H4764" s="19"/>
      <c r="I4764" s="19"/>
      <c r="J4764" s="19"/>
      <c r="K4764" s="421"/>
      <c r="L4764" s="23"/>
      <c r="M4764" s="19"/>
      <c r="N4764" s="19"/>
      <c r="O4764" s="19"/>
      <c r="P4764" s="19"/>
      <c r="Q4764" s="19"/>
      <c r="AC4764" s="919"/>
      <c r="AD4764" s="918"/>
      <c r="AE4764" s="918"/>
      <c r="AF4764" s="918"/>
      <c r="AG4764" s="918"/>
      <c r="AH4764" s="918"/>
      <c r="AI4764" s="918"/>
      <c r="AJ4764" s="918"/>
      <c r="AK4764" s="918"/>
      <c r="AL4764" s="918"/>
      <c r="AM4764" s="918"/>
      <c r="AN4764" s="918"/>
      <c r="AP4764" s="918"/>
      <c r="AQ4764" s="918"/>
      <c r="AR4764" s="918"/>
      <c r="AS4764" s="918"/>
      <c r="AT4764" s="918"/>
      <c r="AU4764" s="918"/>
      <c r="AV4764" s="918"/>
      <c r="AW4764" s="918"/>
      <c r="AX4764" s="918"/>
      <c r="AY4764" s="918"/>
      <c r="BA4764" s="913" t="s">
        <v>1</v>
      </c>
      <c r="BB4764" s="31"/>
      <c r="BC4764" s="909" t="s">
        <v>0</v>
      </c>
      <c r="BD4764" s="909"/>
      <c r="BE4764" s="909"/>
      <c r="BF4764" s="909"/>
      <c r="BG4764" s="909"/>
      <c r="BH4764" s="909"/>
      <c r="BI4764" s="907" t="s">
        <v>79</v>
      </c>
      <c r="BJ4764" s="909" t="s">
        <v>68</v>
      </c>
      <c r="BK4764" s="910" t="s">
        <v>75</v>
      </c>
      <c r="BL4764" s="911"/>
      <c r="BM4764" s="911"/>
      <c r="BN4764" s="911"/>
      <c r="BO4764" s="911"/>
      <c r="BP4764" s="911"/>
      <c r="BQ4764" s="911"/>
      <c r="BR4764" s="911"/>
      <c r="BS4764" s="911"/>
      <c r="BT4764" s="911"/>
      <c r="BU4764" s="32"/>
      <c r="BV4764" s="911" t="s">
        <v>74</v>
      </c>
      <c r="BW4764" s="911"/>
      <c r="BX4764" s="911"/>
      <c r="BY4764" s="911"/>
      <c r="BZ4764" s="911"/>
      <c r="CA4764" s="911"/>
      <c r="CB4764" s="911"/>
      <c r="CC4764" s="911"/>
      <c r="CD4764" s="911"/>
      <c r="CE4764" s="912"/>
      <c r="CG4764" s="913" t="s">
        <v>1</v>
      </c>
      <c r="CH4764" s="31"/>
      <c r="CI4764" s="909" t="s">
        <v>0</v>
      </c>
      <c r="CJ4764" s="909"/>
      <c r="CK4764" s="909"/>
      <c r="CL4764" s="909"/>
      <c r="CM4764" s="909"/>
      <c r="CN4764" s="909"/>
      <c r="CO4764" s="907" t="s">
        <v>79</v>
      </c>
      <c r="CP4764" s="909" t="s">
        <v>68</v>
      </c>
      <c r="CQ4764" s="910" t="s">
        <v>75</v>
      </c>
      <c r="CR4764" s="911"/>
      <c r="CS4764" s="911"/>
      <c r="CT4764" s="911"/>
      <c r="CU4764" s="911"/>
      <c r="CV4764" s="911"/>
      <c r="CW4764" s="911"/>
      <c r="CX4764" s="911"/>
      <c r="CY4764" s="911"/>
      <c r="CZ4764" s="911"/>
      <c r="DA4764" s="32"/>
      <c r="DB4764" s="911" t="s">
        <v>74</v>
      </c>
      <c r="DC4764" s="911"/>
      <c r="DD4764" s="911"/>
      <c r="DE4764" s="911"/>
      <c r="DF4764" s="911"/>
      <c r="DG4764" s="911"/>
      <c r="DH4764" s="911"/>
      <c r="DI4764" s="911"/>
      <c r="DJ4764" s="911"/>
      <c r="DK4764" s="912"/>
      <c r="DM4764" s="913" t="s">
        <v>1</v>
      </c>
      <c r="DN4764" s="31"/>
      <c r="DO4764" s="909" t="s">
        <v>0</v>
      </c>
      <c r="DP4764" s="909"/>
      <c r="DQ4764" s="909"/>
      <c r="DR4764" s="909"/>
      <c r="DS4764" s="909"/>
      <c r="DT4764" s="909"/>
      <c r="DU4764" s="907" t="s">
        <v>79</v>
      </c>
      <c r="DV4764" s="909" t="s">
        <v>68</v>
      </c>
      <c r="DW4764" s="910" t="s">
        <v>75</v>
      </c>
      <c r="DX4764" s="911"/>
      <c r="DY4764" s="911"/>
      <c r="DZ4764" s="911"/>
      <c r="EA4764" s="911"/>
      <c r="EB4764" s="911"/>
      <c r="EC4764" s="911"/>
      <c r="ED4764" s="911"/>
      <c r="EE4764" s="911"/>
      <c r="EF4764" s="911"/>
      <c r="EG4764" s="32"/>
      <c r="EH4764" s="911" t="s">
        <v>74</v>
      </c>
      <c r="EI4764" s="911"/>
      <c r="EJ4764" s="911"/>
      <c r="EK4764" s="911"/>
      <c r="EL4764" s="911"/>
      <c r="EM4764" s="911"/>
      <c r="EN4764" s="911"/>
      <c r="EO4764" s="911"/>
      <c r="EP4764" s="911"/>
      <c r="EQ4764" s="912"/>
      <c r="ES4764" s="913" t="s">
        <v>1</v>
      </c>
      <c r="ET4764" s="31"/>
      <c r="EU4764" s="909" t="s">
        <v>0</v>
      </c>
      <c r="EV4764" s="909"/>
      <c r="EW4764" s="909"/>
      <c r="EX4764" s="909"/>
      <c r="EY4764" s="909"/>
      <c r="EZ4764" s="909"/>
      <c r="FA4764" s="907" t="s">
        <v>79</v>
      </c>
      <c r="FB4764" s="909" t="s">
        <v>68</v>
      </c>
      <c r="FC4764" s="910" t="s">
        <v>75</v>
      </c>
      <c r="FD4764" s="911"/>
      <c r="FE4764" s="911"/>
      <c r="FF4764" s="911"/>
      <c r="FG4764" s="911"/>
      <c r="FH4764" s="911"/>
      <c r="FI4764" s="911"/>
      <c r="FJ4764" s="911"/>
      <c r="FK4764" s="911"/>
      <c r="FL4764" s="911"/>
      <c r="FM4764" s="32"/>
      <c r="FN4764" s="911" t="s">
        <v>74</v>
      </c>
      <c r="FO4764" s="911"/>
      <c r="FP4764" s="911"/>
      <c r="FQ4764" s="911"/>
      <c r="FR4764" s="911"/>
      <c r="FS4764" s="911"/>
      <c r="FT4764" s="911"/>
      <c r="FU4764" s="911"/>
      <c r="FV4764" s="911"/>
      <c r="FW4764" s="912"/>
      <c r="FY4764" s="913" t="s">
        <v>1</v>
      </c>
      <c r="FZ4764" s="31"/>
      <c r="GA4764" s="909" t="s">
        <v>0</v>
      </c>
      <c r="GB4764" s="909"/>
      <c r="GC4764" s="909"/>
      <c r="GD4764" s="909"/>
      <c r="GE4764" s="909"/>
      <c r="GF4764" s="909"/>
      <c r="GG4764" s="907" t="s">
        <v>79</v>
      </c>
      <c r="GH4764" s="909" t="s">
        <v>68</v>
      </c>
      <c r="GI4764" s="910" t="s">
        <v>75</v>
      </c>
      <c r="GJ4764" s="911"/>
      <c r="GK4764" s="911"/>
      <c r="GL4764" s="911"/>
      <c r="GM4764" s="911"/>
      <c r="GN4764" s="911"/>
      <c r="GO4764" s="911"/>
      <c r="GP4764" s="911"/>
      <c r="GQ4764" s="911"/>
      <c r="GR4764" s="911"/>
      <c r="GS4764" s="32"/>
      <c r="GT4764" s="911" t="s">
        <v>74</v>
      </c>
      <c r="GU4764" s="911"/>
      <c r="GV4764" s="911"/>
      <c r="GW4764" s="911"/>
      <c r="GX4764" s="911"/>
      <c r="GY4764" s="911"/>
      <c r="GZ4764" s="911"/>
      <c r="HA4764" s="911"/>
      <c r="HB4764" s="911"/>
      <c r="HC4764" s="912"/>
      <c r="HE4764" s="913" t="s">
        <v>1</v>
      </c>
      <c r="HF4764" s="31"/>
      <c r="HG4764" s="909" t="s">
        <v>0</v>
      </c>
      <c r="HH4764" s="909"/>
      <c r="HI4764" s="909"/>
      <c r="HJ4764" s="909"/>
      <c r="HK4764" s="909"/>
      <c r="HL4764" s="909"/>
      <c r="HM4764" s="907" t="s">
        <v>79</v>
      </c>
      <c r="HN4764" s="909" t="s">
        <v>68</v>
      </c>
      <c r="HO4764" s="910" t="s">
        <v>75</v>
      </c>
      <c r="HP4764" s="911"/>
      <c r="HQ4764" s="911"/>
      <c r="HR4764" s="911"/>
      <c r="HS4764" s="911"/>
      <c r="HT4764" s="911"/>
      <c r="HU4764" s="911"/>
      <c r="HV4764" s="911"/>
      <c r="HW4764" s="911"/>
      <c r="HX4764" s="911"/>
      <c r="HY4764" s="32"/>
      <c r="HZ4764" s="911" t="s">
        <v>74</v>
      </c>
      <c r="IA4764" s="911"/>
      <c r="IB4764" s="911"/>
      <c r="IC4764" s="911"/>
      <c r="ID4764" s="911"/>
      <c r="IE4764" s="911"/>
      <c r="IF4764" s="911"/>
      <c r="IG4764" s="911"/>
      <c r="IH4764" s="911"/>
      <c r="II4764" s="912"/>
      <c r="IK4764" s="913" t="s">
        <v>1</v>
      </c>
      <c r="IL4764" s="31"/>
      <c r="IM4764" s="909" t="s">
        <v>0</v>
      </c>
      <c r="IN4764" s="909"/>
      <c r="IO4764" s="909"/>
      <c r="IP4764" s="909"/>
      <c r="IQ4764" s="909"/>
      <c r="IR4764" s="909"/>
      <c r="IS4764" s="907" t="s">
        <v>79</v>
      </c>
      <c r="IT4764" s="909" t="s">
        <v>68</v>
      </c>
      <c r="IU4764" s="910" t="s">
        <v>75</v>
      </c>
      <c r="IV4764" s="911"/>
      <c r="IW4764" s="911"/>
      <c r="IX4764" s="911"/>
      <c r="IY4764" s="911"/>
      <c r="IZ4764" s="911"/>
      <c r="JA4764" s="911"/>
      <c r="JB4764" s="911"/>
      <c r="JC4764" s="911"/>
      <c r="JD4764" s="911"/>
      <c r="JE4764" s="32"/>
      <c r="JF4764" s="911" t="s">
        <v>74</v>
      </c>
      <c r="JG4764" s="911"/>
      <c r="JH4764" s="911"/>
      <c r="JI4764" s="911"/>
      <c r="JJ4764" s="911"/>
      <c r="JK4764" s="911"/>
      <c r="JL4764" s="911"/>
      <c r="JM4764" s="911"/>
      <c r="JN4764" s="911"/>
      <c r="JO4764" s="912"/>
      <c r="JQ4764" s="913" t="s">
        <v>1</v>
      </c>
      <c r="JR4764" s="31"/>
      <c r="JS4764" s="909" t="s">
        <v>0</v>
      </c>
      <c r="JT4764" s="909"/>
      <c r="JU4764" s="909"/>
      <c r="JV4764" s="909"/>
      <c r="JW4764" s="909"/>
      <c r="JX4764" s="909"/>
      <c r="JY4764" s="907" t="s">
        <v>79</v>
      </c>
      <c r="JZ4764" s="909" t="s">
        <v>68</v>
      </c>
      <c r="KA4764" s="910" t="s">
        <v>75</v>
      </c>
      <c r="KB4764" s="911"/>
      <c r="KC4764" s="911"/>
      <c r="KD4764" s="911"/>
      <c r="KE4764" s="911"/>
      <c r="KF4764" s="911"/>
      <c r="KG4764" s="911"/>
      <c r="KH4764" s="911"/>
      <c r="KI4764" s="911"/>
      <c r="KJ4764" s="911"/>
      <c r="KK4764" s="32"/>
      <c r="KL4764" s="911" t="s">
        <v>74</v>
      </c>
      <c r="KM4764" s="911"/>
      <c r="KN4764" s="911"/>
      <c r="KO4764" s="911"/>
      <c r="KP4764" s="911"/>
      <c r="KQ4764" s="911"/>
      <c r="KR4764" s="911"/>
      <c r="KS4764" s="911"/>
      <c r="KT4764" s="911"/>
      <c r="KU4764" s="912"/>
      <c r="KW4764" s="913" t="s">
        <v>1</v>
      </c>
      <c r="KX4764" s="31"/>
      <c r="KY4764" s="909" t="s">
        <v>0</v>
      </c>
      <c r="KZ4764" s="909"/>
      <c r="LA4764" s="909"/>
      <c r="LB4764" s="909"/>
      <c r="LC4764" s="909"/>
      <c r="LD4764" s="909"/>
      <c r="LE4764" s="907" t="s">
        <v>79</v>
      </c>
      <c r="LF4764" s="909" t="s">
        <v>68</v>
      </c>
      <c r="LG4764" s="910" t="s">
        <v>75</v>
      </c>
      <c r="LH4764" s="911"/>
      <c r="LI4764" s="911"/>
      <c r="LJ4764" s="911"/>
      <c r="LK4764" s="911"/>
      <c r="LL4764" s="911"/>
      <c r="LM4764" s="911"/>
      <c r="LN4764" s="911"/>
      <c r="LO4764" s="911"/>
      <c r="LP4764" s="911"/>
      <c r="LQ4764" s="32"/>
      <c r="LR4764" s="911" t="s">
        <v>74</v>
      </c>
      <c r="LS4764" s="911"/>
      <c r="LT4764" s="911"/>
      <c r="LU4764" s="911"/>
      <c r="LV4764" s="911"/>
      <c r="LW4764" s="911"/>
      <c r="LX4764" s="911"/>
      <c r="LY4764" s="911"/>
      <c r="LZ4764" s="911"/>
      <c r="MA4764" s="912"/>
      <c r="MC4764" s="913" t="s">
        <v>1</v>
      </c>
      <c r="MD4764" s="31"/>
      <c r="ME4764" s="909" t="s">
        <v>0</v>
      </c>
      <c r="MF4764" s="909"/>
      <c r="MG4764" s="909"/>
      <c r="MH4764" s="909"/>
      <c r="MI4764" s="909"/>
      <c r="MJ4764" s="909"/>
      <c r="MK4764" s="907" t="s">
        <v>79</v>
      </c>
      <c r="ML4764" s="909" t="s">
        <v>68</v>
      </c>
      <c r="MM4764" s="910" t="s">
        <v>75</v>
      </c>
      <c r="MN4764" s="911"/>
      <c r="MO4764" s="911"/>
      <c r="MP4764" s="911"/>
      <c r="MQ4764" s="911"/>
      <c r="MR4764" s="911"/>
      <c r="MS4764" s="911"/>
      <c r="MT4764" s="911"/>
      <c r="MU4764" s="911"/>
      <c r="MV4764" s="911"/>
      <c r="MW4764" s="32"/>
      <c r="MX4764" s="911" t="s">
        <v>74</v>
      </c>
      <c r="MY4764" s="911"/>
      <c r="MZ4764" s="911"/>
      <c r="NA4764" s="911"/>
      <c r="NB4764" s="911"/>
      <c r="NC4764" s="911"/>
      <c r="ND4764" s="911"/>
      <c r="NE4764" s="911"/>
      <c r="NF4764" s="911"/>
      <c r="NG4764" s="912"/>
      <c r="NI4764" s="913" t="s">
        <v>1</v>
      </c>
      <c r="NJ4764" s="31"/>
      <c r="NK4764" s="909" t="s">
        <v>0</v>
      </c>
      <c r="NL4764" s="909"/>
      <c r="NM4764" s="909"/>
      <c r="NN4764" s="909"/>
      <c r="NO4764" s="909"/>
      <c r="NP4764" s="909"/>
      <c r="NQ4764" s="907" t="s">
        <v>79</v>
      </c>
      <c r="NR4764" s="909" t="s">
        <v>68</v>
      </c>
      <c r="NS4764" s="910" t="s">
        <v>75</v>
      </c>
      <c r="NT4764" s="911"/>
      <c r="NU4764" s="911"/>
      <c r="NV4764" s="911"/>
      <c r="NW4764" s="911"/>
      <c r="NX4764" s="911"/>
      <c r="NY4764" s="911"/>
      <c r="NZ4764" s="911"/>
      <c r="OA4764" s="911"/>
      <c r="OB4764" s="911"/>
      <c r="OC4764" s="32"/>
      <c r="OD4764" s="911" t="s">
        <v>74</v>
      </c>
      <c r="OE4764" s="911"/>
      <c r="OF4764" s="911"/>
      <c r="OG4764" s="911"/>
      <c r="OH4764" s="911"/>
      <c r="OI4764" s="911"/>
      <c r="OJ4764" s="911"/>
      <c r="OK4764" s="911"/>
      <c r="OL4764" s="911"/>
      <c r="OM4764" s="912"/>
      <c r="OO4764" s="913" t="s">
        <v>1</v>
      </c>
      <c r="OP4764" s="31"/>
      <c r="OQ4764" s="909" t="s">
        <v>0</v>
      </c>
      <c r="OR4764" s="909"/>
      <c r="OS4764" s="909"/>
      <c r="OT4764" s="909"/>
      <c r="OU4764" s="909"/>
      <c r="OV4764" s="909"/>
      <c r="OW4764" s="907" t="s">
        <v>79</v>
      </c>
      <c r="OX4764" s="909" t="s">
        <v>68</v>
      </c>
      <c r="OY4764" s="910" t="s">
        <v>75</v>
      </c>
      <c r="OZ4764" s="911"/>
      <c r="PA4764" s="911"/>
      <c r="PB4764" s="911"/>
      <c r="PC4764" s="911"/>
      <c r="PD4764" s="911"/>
      <c r="PE4764" s="911"/>
      <c r="PF4764" s="911"/>
      <c r="PG4764" s="911"/>
      <c r="PH4764" s="911"/>
      <c r="PI4764" s="32"/>
      <c r="PJ4764" s="911" t="s">
        <v>74</v>
      </c>
      <c r="PK4764" s="911"/>
      <c r="PL4764" s="911"/>
      <c r="PM4764" s="911"/>
      <c r="PN4764" s="911"/>
      <c r="PO4764" s="911"/>
      <c r="PP4764" s="911"/>
      <c r="PQ4764" s="911"/>
      <c r="PR4764" s="911"/>
      <c r="PS4764" s="912"/>
      <c r="PU4764" s="913" t="s">
        <v>1</v>
      </c>
      <c r="PV4764" s="31"/>
      <c r="PW4764" s="909" t="s">
        <v>0</v>
      </c>
      <c r="PX4764" s="909"/>
      <c r="PY4764" s="909"/>
      <c r="PZ4764" s="909"/>
      <c r="QA4764" s="909"/>
      <c r="QB4764" s="909"/>
      <c r="QC4764" s="907" t="s">
        <v>79</v>
      </c>
      <c r="QD4764" s="909" t="s">
        <v>68</v>
      </c>
      <c r="QE4764" s="910" t="s">
        <v>75</v>
      </c>
      <c r="QF4764" s="911"/>
      <c r="QG4764" s="911"/>
      <c r="QH4764" s="911"/>
      <c r="QI4764" s="911"/>
      <c r="QJ4764" s="911"/>
      <c r="QK4764" s="911"/>
      <c r="QL4764" s="911"/>
      <c r="QM4764" s="911"/>
      <c r="QN4764" s="911"/>
      <c r="QO4764" s="32"/>
      <c r="QP4764" s="911" t="s">
        <v>74</v>
      </c>
      <c r="QQ4764" s="911"/>
      <c r="QR4764" s="911"/>
      <c r="QS4764" s="911"/>
      <c r="QT4764" s="911"/>
      <c r="QU4764" s="911"/>
      <c r="QV4764" s="911"/>
      <c r="QW4764" s="911"/>
      <c r="QX4764" s="911"/>
      <c r="QY4764" s="912"/>
      <c r="RA4764" s="913" t="s">
        <v>1</v>
      </c>
      <c r="RB4764" s="31"/>
      <c r="RC4764" s="909" t="s">
        <v>0</v>
      </c>
      <c r="RD4764" s="909"/>
      <c r="RE4764" s="909"/>
      <c r="RF4764" s="909"/>
      <c r="RG4764" s="909"/>
      <c r="RH4764" s="909"/>
      <c r="RI4764" s="907" t="s">
        <v>79</v>
      </c>
      <c r="RJ4764" s="909" t="s">
        <v>68</v>
      </c>
      <c r="RK4764" s="910" t="s">
        <v>75</v>
      </c>
      <c r="RL4764" s="911"/>
      <c r="RM4764" s="911"/>
      <c r="RN4764" s="911"/>
      <c r="RO4764" s="911"/>
      <c r="RP4764" s="911"/>
      <c r="RQ4764" s="911"/>
      <c r="RR4764" s="911"/>
      <c r="RS4764" s="911"/>
      <c r="RT4764" s="911"/>
      <c r="RU4764" s="32"/>
      <c r="RV4764" s="911" t="s">
        <v>74</v>
      </c>
      <c r="RW4764" s="911"/>
      <c r="RX4764" s="911"/>
      <c r="RY4764" s="911"/>
      <c r="RZ4764" s="911"/>
      <c r="SA4764" s="911"/>
      <c r="SB4764" s="911"/>
      <c r="SC4764" s="911"/>
      <c r="SD4764" s="911"/>
      <c r="SE4764" s="912"/>
      <c r="SG4764" s="913" t="s">
        <v>1</v>
      </c>
      <c r="SH4764" s="31"/>
      <c r="SI4764" s="909" t="s">
        <v>0</v>
      </c>
      <c r="SJ4764" s="909"/>
      <c r="SK4764" s="909"/>
      <c r="SL4764" s="909"/>
      <c r="SM4764" s="909"/>
      <c r="SN4764" s="909"/>
      <c r="SO4764" s="907" t="s">
        <v>79</v>
      </c>
      <c r="SP4764" s="909" t="s">
        <v>68</v>
      </c>
      <c r="SQ4764" s="910" t="s">
        <v>75</v>
      </c>
      <c r="SR4764" s="911"/>
      <c r="SS4764" s="911"/>
      <c r="ST4764" s="911"/>
      <c r="SU4764" s="911"/>
      <c r="SV4764" s="911"/>
      <c r="SW4764" s="911"/>
      <c r="SX4764" s="911"/>
      <c r="SY4764" s="911"/>
      <c r="SZ4764" s="911"/>
      <c r="TA4764" s="32"/>
      <c r="TB4764" s="911" t="s">
        <v>74</v>
      </c>
      <c r="TC4764" s="911"/>
      <c r="TD4764" s="911"/>
      <c r="TE4764" s="911"/>
      <c r="TF4764" s="911"/>
      <c r="TG4764" s="911"/>
      <c r="TH4764" s="911"/>
      <c r="TI4764" s="911"/>
      <c r="TJ4764" s="911"/>
      <c r="TK4764" s="912"/>
      <c r="TM4764" s="913" t="s">
        <v>1</v>
      </c>
      <c r="TN4764" s="31"/>
      <c r="TO4764" s="909" t="s">
        <v>0</v>
      </c>
      <c r="TP4764" s="909"/>
      <c r="TQ4764" s="909"/>
      <c r="TR4764" s="909"/>
      <c r="TS4764" s="909"/>
      <c r="TT4764" s="909"/>
      <c r="TU4764" s="907" t="s">
        <v>79</v>
      </c>
      <c r="TV4764" s="909" t="s">
        <v>68</v>
      </c>
      <c r="TW4764" s="910" t="s">
        <v>75</v>
      </c>
      <c r="TX4764" s="911"/>
      <c r="TY4764" s="911"/>
      <c r="TZ4764" s="911"/>
      <c r="UA4764" s="911"/>
      <c r="UB4764" s="911"/>
      <c r="UC4764" s="911"/>
      <c r="UD4764" s="911"/>
      <c r="UE4764" s="911"/>
      <c r="UF4764" s="911"/>
      <c r="UG4764" s="32"/>
      <c r="UH4764" s="911" t="s">
        <v>74</v>
      </c>
      <c r="UI4764" s="911"/>
      <c r="UJ4764" s="911"/>
      <c r="UK4764" s="911"/>
      <c r="UL4764" s="911"/>
      <c r="UM4764" s="911"/>
      <c r="UN4764" s="911"/>
      <c r="UO4764" s="911"/>
      <c r="UP4764" s="911"/>
      <c r="UQ4764" s="912"/>
      <c r="US4764" s="913" t="s">
        <v>1</v>
      </c>
      <c r="UT4764" s="31"/>
      <c r="UU4764" s="909" t="s">
        <v>0</v>
      </c>
      <c r="UV4764" s="909"/>
      <c r="UW4764" s="909"/>
      <c r="UX4764" s="909"/>
      <c r="UY4764" s="909"/>
      <c r="UZ4764" s="909"/>
      <c r="VA4764" s="907" t="s">
        <v>79</v>
      </c>
      <c r="VB4764" s="909" t="s">
        <v>68</v>
      </c>
      <c r="VC4764" s="910" t="s">
        <v>75</v>
      </c>
      <c r="VD4764" s="911"/>
      <c r="VE4764" s="911"/>
      <c r="VF4764" s="911"/>
      <c r="VG4764" s="911"/>
      <c r="VH4764" s="911"/>
      <c r="VI4764" s="911"/>
      <c r="VJ4764" s="911"/>
      <c r="VK4764" s="911"/>
      <c r="VL4764" s="911"/>
      <c r="VM4764" s="32"/>
      <c r="VN4764" s="911" t="s">
        <v>74</v>
      </c>
      <c r="VO4764" s="911"/>
      <c r="VP4764" s="911"/>
      <c r="VQ4764" s="911"/>
      <c r="VR4764" s="911"/>
      <c r="VS4764" s="911"/>
      <c r="VT4764" s="911"/>
      <c r="VU4764" s="911"/>
      <c r="VV4764" s="911"/>
      <c r="VW4764" s="912"/>
      <c r="VY4764" s="913" t="s">
        <v>1</v>
      </c>
      <c r="VZ4764" s="31"/>
      <c r="WA4764" s="909" t="s">
        <v>0</v>
      </c>
      <c r="WB4764" s="909"/>
      <c r="WC4764" s="909"/>
      <c r="WD4764" s="909"/>
      <c r="WE4764" s="909"/>
      <c r="WF4764" s="909"/>
      <c r="WG4764" s="907" t="s">
        <v>79</v>
      </c>
      <c r="WH4764" s="909" t="s">
        <v>68</v>
      </c>
      <c r="WI4764" s="910" t="s">
        <v>75</v>
      </c>
      <c r="WJ4764" s="911"/>
      <c r="WK4764" s="911"/>
      <c r="WL4764" s="911"/>
      <c r="WM4764" s="911"/>
      <c r="WN4764" s="911"/>
      <c r="WO4764" s="911"/>
      <c r="WP4764" s="911"/>
      <c r="WQ4764" s="911"/>
      <c r="WR4764" s="911"/>
      <c r="WS4764" s="32"/>
      <c r="WT4764" s="911" t="s">
        <v>74</v>
      </c>
      <c r="WU4764" s="911"/>
      <c r="WV4764" s="911"/>
      <c r="WW4764" s="911"/>
      <c r="WX4764" s="911"/>
      <c r="WY4764" s="911"/>
      <c r="WZ4764" s="911"/>
      <c r="XA4764" s="911"/>
      <c r="XB4764" s="911"/>
      <c r="XC4764" s="912"/>
      <c r="XE4764" s="913" t="s">
        <v>1</v>
      </c>
      <c r="XF4764" s="31"/>
      <c r="XG4764" s="909" t="s">
        <v>0</v>
      </c>
      <c r="XH4764" s="909"/>
      <c r="XI4764" s="909"/>
      <c r="XJ4764" s="909"/>
      <c r="XK4764" s="909"/>
      <c r="XL4764" s="909"/>
      <c r="XM4764" s="907" t="s">
        <v>79</v>
      </c>
      <c r="XN4764" s="909" t="s">
        <v>68</v>
      </c>
      <c r="XO4764" s="910" t="s">
        <v>75</v>
      </c>
      <c r="XP4764" s="911"/>
      <c r="XQ4764" s="911"/>
      <c r="XR4764" s="911"/>
      <c r="XS4764" s="911"/>
      <c r="XT4764" s="911"/>
      <c r="XU4764" s="911"/>
      <c r="XV4764" s="911"/>
      <c r="XW4764" s="911"/>
      <c r="XX4764" s="911"/>
      <c r="XY4764" s="32"/>
      <c r="XZ4764" s="911" t="s">
        <v>74</v>
      </c>
      <c r="YA4764" s="911"/>
      <c r="YB4764" s="911"/>
      <c r="YC4764" s="911"/>
      <c r="YD4764" s="911"/>
      <c r="YE4764" s="911"/>
      <c r="YF4764" s="911"/>
      <c r="YG4764" s="911"/>
      <c r="YH4764" s="911"/>
      <c r="YI4764" s="912"/>
      <c r="YK4764" s="913" t="s">
        <v>1</v>
      </c>
      <c r="YL4764" s="31"/>
      <c r="YM4764" s="909" t="s">
        <v>0</v>
      </c>
      <c r="YN4764" s="909"/>
      <c r="YO4764" s="909"/>
      <c r="YP4764" s="909"/>
      <c r="YQ4764" s="909"/>
      <c r="YR4764" s="909"/>
      <c r="YS4764" s="907" t="s">
        <v>79</v>
      </c>
      <c r="YT4764" s="909" t="s">
        <v>68</v>
      </c>
      <c r="YU4764" s="910" t="s">
        <v>75</v>
      </c>
      <c r="YV4764" s="911"/>
      <c r="YW4764" s="911"/>
      <c r="YX4764" s="911"/>
      <c r="YY4764" s="911"/>
      <c r="YZ4764" s="911"/>
      <c r="ZA4764" s="911"/>
      <c r="ZB4764" s="911"/>
      <c r="ZC4764" s="911"/>
      <c r="ZD4764" s="911"/>
      <c r="ZE4764" s="32"/>
      <c r="ZF4764" s="911" t="s">
        <v>74</v>
      </c>
      <c r="ZG4764" s="911"/>
      <c r="ZH4764" s="911"/>
      <c r="ZI4764" s="911"/>
      <c r="ZJ4764" s="911"/>
      <c r="ZK4764" s="911"/>
      <c r="ZL4764" s="911"/>
      <c r="ZM4764" s="911"/>
      <c r="ZN4764" s="911"/>
      <c r="ZO4764" s="912"/>
      <c r="ZQ4764" s="913" t="s">
        <v>1</v>
      </c>
      <c r="ZR4764" s="31"/>
      <c r="ZS4764" s="909" t="s">
        <v>0</v>
      </c>
      <c r="ZT4764" s="909"/>
      <c r="ZU4764" s="909"/>
      <c r="ZV4764" s="909"/>
      <c r="ZW4764" s="909"/>
      <c r="ZX4764" s="909"/>
      <c r="ZY4764" s="907" t="s">
        <v>79</v>
      </c>
      <c r="ZZ4764" s="909" t="s">
        <v>68</v>
      </c>
      <c r="AAA4764" s="910" t="s">
        <v>75</v>
      </c>
      <c r="AAB4764" s="911"/>
      <c r="AAC4764" s="911"/>
      <c r="AAD4764" s="911"/>
      <c r="AAE4764" s="911"/>
      <c r="AAF4764" s="911"/>
      <c r="AAG4764" s="911"/>
      <c r="AAH4764" s="911"/>
      <c r="AAI4764" s="911"/>
      <c r="AAJ4764" s="911"/>
      <c r="AAK4764" s="32"/>
      <c r="AAL4764" s="911" t="s">
        <v>74</v>
      </c>
      <c r="AAM4764" s="911"/>
      <c r="AAN4764" s="911"/>
      <c r="AAO4764" s="911"/>
      <c r="AAP4764" s="911"/>
      <c r="AAQ4764" s="911"/>
      <c r="AAR4764" s="911"/>
      <c r="AAS4764" s="911"/>
      <c r="AAT4764" s="911"/>
      <c r="AAU4764" s="912"/>
      <c r="AAW4764" s="913" t="s">
        <v>1</v>
      </c>
      <c r="AAX4764" s="31"/>
      <c r="AAY4764" s="909" t="s">
        <v>0</v>
      </c>
      <c r="AAZ4764" s="909"/>
      <c r="ABA4764" s="909"/>
      <c r="ABB4764" s="909"/>
      <c r="ABC4764" s="909"/>
      <c r="ABD4764" s="909"/>
      <c r="ABE4764" s="907" t="s">
        <v>79</v>
      </c>
      <c r="ABF4764" s="909" t="s">
        <v>68</v>
      </c>
      <c r="ABG4764" s="910" t="s">
        <v>75</v>
      </c>
      <c r="ABH4764" s="911"/>
      <c r="ABI4764" s="911"/>
      <c r="ABJ4764" s="911"/>
      <c r="ABK4764" s="911"/>
      <c r="ABL4764" s="911"/>
      <c r="ABM4764" s="911"/>
      <c r="ABN4764" s="911"/>
      <c r="ABO4764" s="911"/>
      <c r="ABP4764" s="911"/>
      <c r="ABQ4764" s="32"/>
      <c r="ABR4764" s="911" t="s">
        <v>74</v>
      </c>
      <c r="ABS4764" s="911"/>
      <c r="ABT4764" s="911"/>
      <c r="ABU4764" s="911"/>
      <c r="ABV4764" s="911"/>
      <c r="ABW4764" s="911"/>
      <c r="ABX4764" s="911"/>
      <c r="ABY4764" s="911"/>
      <c r="ABZ4764" s="911"/>
      <c r="ACA4764" s="912"/>
      <c r="ACC4764" s="913" t="s">
        <v>1</v>
      </c>
      <c r="ACD4764" s="31"/>
      <c r="ACE4764" s="909" t="s">
        <v>0</v>
      </c>
      <c r="ACF4764" s="909"/>
      <c r="ACG4764" s="909"/>
      <c r="ACH4764" s="909"/>
      <c r="ACI4764" s="909"/>
      <c r="ACJ4764" s="909"/>
      <c r="ACK4764" s="907" t="s">
        <v>79</v>
      </c>
      <c r="ACL4764" s="909" t="s">
        <v>68</v>
      </c>
      <c r="ACM4764" s="910" t="s">
        <v>75</v>
      </c>
      <c r="ACN4764" s="911"/>
      <c r="ACO4764" s="911"/>
      <c r="ACP4764" s="911"/>
      <c r="ACQ4764" s="911"/>
      <c r="ACR4764" s="911"/>
      <c r="ACS4764" s="911"/>
      <c r="ACT4764" s="911"/>
      <c r="ACU4764" s="911"/>
      <c r="ACV4764" s="911"/>
      <c r="ACW4764" s="32"/>
      <c r="ACX4764" s="911" t="s">
        <v>74</v>
      </c>
      <c r="ACY4764" s="911"/>
      <c r="ACZ4764" s="911"/>
      <c r="ADA4764" s="911"/>
      <c r="ADB4764" s="911"/>
      <c r="ADC4764" s="911"/>
      <c r="ADD4764" s="911"/>
      <c r="ADE4764" s="911"/>
      <c r="ADF4764" s="911"/>
      <c r="ADG4764" s="912"/>
      <c r="ADI4764" s="913" t="s">
        <v>1</v>
      </c>
      <c r="ADJ4764" s="31"/>
      <c r="ADK4764" s="909" t="s">
        <v>0</v>
      </c>
      <c r="ADL4764" s="909"/>
      <c r="ADM4764" s="909"/>
      <c r="ADN4764" s="909"/>
      <c r="ADO4764" s="909"/>
      <c r="ADP4764" s="909"/>
      <c r="ADQ4764" s="907" t="s">
        <v>79</v>
      </c>
      <c r="ADR4764" s="909" t="s">
        <v>68</v>
      </c>
      <c r="ADS4764" s="910" t="s">
        <v>75</v>
      </c>
      <c r="ADT4764" s="911"/>
      <c r="ADU4764" s="911"/>
      <c r="ADV4764" s="911"/>
      <c r="ADW4764" s="911"/>
      <c r="ADX4764" s="911"/>
      <c r="ADY4764" s="911"/>
      <c r="ADZ4764" s="911"/>
      <c r="AEA4764" s="911"/>
      <c r="AEB4764" s="911"/>
      <c r="AEC4764" s="32"/>
      <c r="AED4764" s="911" t="s">
        <v>74</v>
      </c>
      <c r="AEE4764" s="911"/>
      <c r="AEF4764" s="911"/>
      <c r="AEG4764" s="911"/>
      <c r="AEH4764" s="911"/>
      <c r="AEI4764" s="911"/>
      <c r="AEJ4764" s="911"/>
      <c r="AEK4764" s="911"/>
      <c r="AEL4764" s="911"/>
      <c r="AEM4764" s="912"/>
      <c r="AEO4764" s="913" t="s">
        <v>1</v>
      </c>
      <c r="AEP4764" s="31"/>
      <c r="AEQ4764" s="909" t="s">
        <v>0</v>
      </c>
      <c r="AER4764" s="909"/>
      <c r="AES4764" s="909"/>
      <c r="AET4764" s="909"/>
      <c r="AEU4764" s="909"/>
      <c r="AEV4764" s="909"/>
      <c r="AEW4764" s="907" t="s">
        <v>79</v>
      </c>
      <c r="AEX4764" s="909" t="s">
        <v>68</v>
      </c>
      <c r="AEY4764" s="910" t="s">
        <v>75</v>
      </c>
      <c r="AEZ4764" s="911"/>
      <c r="AFA4764" s="911"/>
      <c r="AFB4764" s="911"/>
      <c r="AFC4764" s="911"/>
      <c r="AFD4764" s="911"/>
      <c r="AFE4764" s="911"/>
      <c r="AFF4764" s="911"/>
      <c r="AFG4764" s="911"/>
      <c r="AFH4764" s="911"/>
      <c r="AFI4764" s="32"/>
      <c r="AFJ4764" s="911" t="s">
        <v>74</v>
      </c>
      <c r="AFK4764" s="911"/>
      <c r="AFL4764" s="911"/>
      <c r="AFM4764" s="911"/>
      <c r="AFN4764" s="911"/>
      <c r="AFO4764" s="911"/>
      <c r="AFP4764" s="911"/>
      <c r="AFQ4764" s="911"/>
      <c r="AFR4764" s="911"/>
      <c r="AFS4764" s="912"/>
      <c r="AFU4764" s="913" t="s">
        <v>1</v>
      </c>
      <c r="AFV4764" s="31"/>
      <c r="AFW4764" s="909" t="s">
        <v>0</v>
      </c>
      <c r="AFX4764" s="909"/>
      <c r="AFY4764" s="909"/>
      <c r="AFZ4764" s="909"/>
      <c r="AGA4764" s="909"/>
      <c r="AGB4764" s="909"/>
      <c r="AGC4764" s="907" t="s">
        <v>79</v>
      </c>
      <c r="AGD4764" s="909" t="s">
        <v>68</v>
      </c>
      <c r="AGE4764" s="910" t="s">
        <v>75</v>
      </c>
      <c r="AGF4764" s="911"/>
      <c r="AGG4764" s="911"/>
      <c r="AGH4764" s="911"/>
      <c r="AGI4764" s="911"/>
      <c r="AGJ4764" s="911"/>
      <c r="AGK4764" s="911"/>
      <c r="AGL4764" s="911"/>
      <c r="AGM4764" s="911"/>
      <c r="AGN4764" s="911"/>
      <c r="AGO4764" s="32"/>
      <c r="AGP4764" s="911" t="s">
        <v>74</v>
      </c>
      <c r="AGQ4764" s="911"/>
      <c r="AGR4764" s="911"/>
      <c r="AGS4764" s="911"/>
      <c r="AGT4764" s="911"/>
      <c r="AGU4764" s="911"/>
      <c r="AGV4764" s="911"/>
      <c r="AGW4764" s="911"/>
      <c r="AGX4764" s="911"/>
      <c r="AGY4764" s="912"/>
      <c r="AHA4764" s="913" t="s">
        <v>1</v>
      </c>
      <c r="AHB4764" s="31"/>
      <c r="AHC4764" s="909" t="s">
        <v>0</v>
      </c>
      <c r="AHD4764" s="909"/>
      <c r="AHE4764" s="909"/>
      <c r="AHF4764" s="909"/>
      <c r="AHG4764" s="909"/>
      <c r="AHH4764" s="909"/>
      <c r="AHI4764" s="907" t="s">
        <v>79</v>
      </c>
      <c r="AHJ4764" s="909" t="s">
        <v>68</v>
      </c>
      <c r="AHK4764" s="910" t="s">
        <v>75</v>
      </c>
      <c r="AHL4764" s="911"/>
      <c r="AHM4764" s="911"/>
      <c r="AHN4764" s="911"/>
      <c r="AHO4764" s="911"/>
      <c r="AHP4764" s="911"/>
      <c r="AHQ4764" s="911"/>
      <c r="AHR4764" s="911"/>
      <c r="AHS4764" s="911"/>
      <c r="AHT4764" s="911"/>
      <c r="AHU4764" s="32"/>
      <c r="AHV4764" s="911" t="s">
        <v>74</v>
      </c>
      <c r="AHW4764" s="911"/>
      <c r="AHX4764" s="911"/>
      <c r="AHY4764" s="911"/>
      <c r="AHZ4764" s="911"/>
      <c r="AIA4764" s="911"/>
      <c r="AIB4764" s="911"/>
      <c r="AIC4764" s="911"/>
      <c r="AID4764" s="911"/>
      <c r="AIE4764" s="912"/>
      <c r="AIG4764" s="913" t="s">
        <v>1</v>
      </c>
      <c r="AIH4764" s="31"/>
      <c r="AII4764" s="909" t="s">
        <v>0</v>
      </c>
      <c r="AIJ4764" s="909"/>
      <c r="AIK4764" s="909"/>
      <c r="AIL4764" s="909"/>
      <c r="AIM4764" s="909"/>
      <c r="AIN4764" s="909"/>
      <c r="AIO4764" s="907" t="s">
        <v>79</v>
      </c>
      <c r="AIP4764" s="909" t="s">
        <v>68</v>
      </c>
      <c r="AIQ4764" s="910" t="s">
        <v>75</v>
      </c>
      <c r="AIR4764" s="911"/>
      <c r="AIS4764" s="911"/>
      <c r="AIT4764" s="911"/>
      <c r="AIU4764" s="911"/>
      <c r="AIV4764" s="911"/>
      <c r="AIW4764" s="911"/>
      <c r="AIX4764" s="911"/>
      <c r="AIY4764" s="911"/>
      <c r="AIZ4764" s="911"/>
      <c r="AJA4764" s="32"/>
      <c r="AJB4764" s="911" t="s">
        <v>74</v>
      </c>
      <c r="AJC4764" s="911"/>
      <c r="AJD4764" s="911"/>
      <c r="AJE4764" s="911"/>
      <c r="AJF4764" s="911"/>
      <c r="AJG4764" s="911"/>
      <c r="AJH4764" s="911"/>
      <c r="AJI4764" s="911"/>
      <c r="AJJ4764" s="911"/>
      <c r="AJK4764" s="912"/>
      <c r="AJM4764" s="913" t="s">
        <v>1</v>
      </c>
      <c r="AJN4764" s="31"/>
      <c r="AJO4764" s="909" t="s">
        <v>0</v>
      </c>
      <c r="AJP4764" s="909"/>
      <c r="AJQ4764" s="909"/>
      <c r="AJR4764" s="909"/>
      <c r="AJS4764" s="909"/>
      <c r="AJT4764" s="909"/>
      <c r="AJU4764" s="907" t="s">
        <v>79</v>
      </c>
      <c r="AJV4764" s="909" t="s">
        <v>68</v>
      </c>
      <c r="AJW4764" s="910" t="s">
        <v>75</v>
      </c>
      <c r="AJX4764" s="911"/>
      <c r="AJY4764" s="911"/>
      <c r="AJZ4764" s="911"/>
      <c r="AKA4764" s="911"/>
      <c r="AKB4764" s="911"/>
      <c r="AKC4764" s="911"/>
      <c r="AKD4764" s="911"/>
      <c r="AKE4764" s="911"/>
      <c r="AKF4764" s="911"/>
      <c r="AKG4764" s="32"/>
      <c r="AKH4764" s="911" t="s">
        <v>74</v>
      </c>
      <c r="AKI4764" s="911"/>
      <c r="AKJ4764" s="911"/>
      <c r="AKK4764" s="911"/>
      <c r="AKL4764" s="911"/>
      <c r="AKM4764" s="911"/>
      <c r="AKN4764" s="911"/>
      <c r="AKO4764" s="911"/>
      <c r="AKP4764" s="911"/>
      <c r="AKQ4764" s="912"/>
      <c r="AKS4764" s="913" t="s">
        <v>1</v>
      </c>
      <c r="AKT4764" s="31"/>
      <c r="AKU4764" s="909" t="s">
        <v>0</v>
      </c>
      <c r="AKV4764" s="909"/>
      <c r="AKW4764" s="909"/>
      <c r="AKX4764" s="909"/>
      <c r="AKY4764" s="909"/>
      <c r="AKZ4764" s="909"/>
      <c r="ALA4764" s="907" t="s">
        <v>79</v>
      </c>
      <c r="ALB4764" s="909" t="s">
        <v>68</v>
      </c>
      <c r="ALC4764" s="910" t="s">
        <v>75</v>
      </c>
      <c r="ALD4764" s="911"/>
      <c r="ALE4764" s="911"/>
      <c r="ALF4764" s="911"/>
      <c r="ALG4764" s="911"/>
      <c r="ALH4764" s="911"/>
      <c r="ALI4764" s="911"/>
      <c r="ALJ4764" s="911"/>
      <c r="ALK4764" s="911"/>
      <c r="ALL4764" s="911"/>
      <c r="ALM4764" s="32"/>
      <c r="ALN4764" s="911" t="s">
        <v>74</v>
      </c>
      <c r="ALO4764" s="911"/>
      <c r="ALP4764" s="911"/>
      <c r="ALQ4764" s="911"/>
      <c r="ALR4764" s="911"/>
      <c r="ALS4764" s="911"/>
      <c r="ALT4764" s="911"/>
      <c r="ALU4764" s="911"/>
      <c r="ALV4764" s="911"/>
      <c r="ALW4764" s="912"/>
      <c r="ALY4764" s="913" t="s">
        <v>1</v>
      </c>
      <c r="ALZ4764" s="31"/>
      <c r="AMA4764" s="909" t="s">
        <v>0</v>
      </c>
      <c r="AMB4764" s="909"/>
      <c r="AMC4764" s="909"/>
      <c r="AMD4764" s="909"/>
      <c r="AME4764" s="909"/>
      <c r="AMF4764" s="909"/>
      <c r="AMG4764" s="907" t="s">
        <v>79</v>
      </c>
      <c r="AMH4764" s="909" t="s">
        <v>68</v>
      </c>
      <c r="AMI4764" s="910" t="s">
        <v>75</v>
      </c>
      <c r="AMJ4764" s="911"/>
      <c r="AMK4764" s="911"/>
      <c r="AML4764" s="911"/>
      <c r="AMM4764" s="911"/>
      <c r="AMN4764" s="911"/>
      <c r="AMO4764" s="911"/>
      <c r="AMP4764" s="911"/>
      <c r="AMQ4764" s="911"/>
      <c r="AMR4764" s="911"/>
      <c r="AMS4764" s="32"/>
      <c r="AMT4764" s="911" t="s">
        <v>74</v>
      </c>
      <c r="AMU4764" s="911"/>
      <c r="AMV4764" s="911"/>
      <c r="AMW4764" s="911"/>
      <c r="AMX4764" s="911"/>
      <c r="AMY4764" s="911"/>
      <c r="AMZ4764" s="911"/>
      <c r="ANA4764" s="911"/>
      <c r="ANB4764" s="911"/>
      <c r="ANC4764" s="912"/>
      <c r="ANE4764" s="913" t="s">
        <v>1</v>
      </c>
      <c r="ANF4764" s="31"/>
      <c r="ANG4764" s="909" t="s">
        <v>0</v>
      </c>
      <c r="ANH4764" s="909"/>
      <c r="ANI4764" s="909"/>
      <c r="ANJ4764" s="909"/>
      <c r="ANK4764" s="909"/>
      <c r="ANL4764" s="909"/>
      <c r="ANM4764" s="907" t="s">
        <v>79</v>
      </c>
      <c r="ANN4764" s="909" t="s">
        <v>68</v>
      </c>
      <c r="ANO4764" s="910" t="s">
        <v>75</v>
      </c>
      <c r="ANP4764" s="911"/>
      <c r="ANQ4764" s="911"/>
      <c r="ANR4764" s="911"/>
      <c r="ANS4764" s="911"/>
      <c r="ANT4764" s="911"/>
      <c r="ANU4764" s="911"/>
      <c r="ANV4764" s="911"/>
      <c r="ANW4764" s="911"/>
      <c r="ANX4764" s="911"/>
      <c r="ANY4764" s="32"/>
      <c r="ANZ4764" s="911" t="s">
        <v>74</v>
      </c>
      <c r="AOA4764" s="911"/>
      <c r="AOB4764" s="911"/>
      <c r="AOC4764" s="911"/>
      <c r="AOD4764" s="911"/>
      <c r="AOE4764" s="911"/>
      <c r="AOF4764" s="911"/>
      <c r="AOG4764" s="911"/>
      <c r="AOH4764" s="911"/>
      <c r="AOI4764" s="912"/>
      <c r="AOK4764" s="913" t="s">
        <v>1</v>
      </c>
      <c r="AOL4764" s="31"/>
      <c r="AOM4764" s="909" t="s">
        <v>0</v>
      </c>
      <c r="AON4764" s="909"/>
      <c r="AOO4764" s="909"/>
      <c r="AOP4764" s="909"/>
      <c r="AOQ4764" s="909"/>
      <c r="AOR4764" s="909"/>
      <c r="AOS4764" s="907" t="s">
        <v>79</v>
      </c>
      <c r="AOT4764" s="909" t="s">
        <v>68</v>
      </c>
      <c r="AOU4764" s="910" t="s">
        <v>75</v>
      </c>
      <c r="AOV4764" s="911"/>
      <c r="AOW4764" s="911"/>
      <c r="AOX4764" s="911"/>
      <c r="AOY4764" s="911"/>
      <c r="AOZ4764" s="911"/>
      <c r="APA4764" s="911"/>
      <c r="APB4764" s="911"/>
      <c r="APC4764" s="911"/>
      <c r="APD4764" s="911"/>
      <c r="APE4764" s="32"/>
      <c r="APF4764" s="911" t="s">
        <v>74</v>
      </c>
      <c r="APG4764" s="911"/>
      <c r="APH4764" s="911"/>
      <c r="API4764" s="911"/>
      <c r="APJ4764" s="911"/>
      <c r="APK4764" s="911"/>
      <c r="APL4764" s="911"/>
      <c r="APM4764" s="911"/>
      <c r="APN4764" s="911"/>
      <c r="APO4764" s="912"/>
      <c r="APQ4764" s="913" t="s">
        <v>1</v>
      </c>
      <c r="APR4764" s="31"/>
      <c r="APS4764" s="909" t="s">
        <v>0</v>
      </c>
      <c r="APT4764" s="909"/>
      <c r="APU4764" s="909"/>
      <c r="APV4764" s="909"/>
      <c r="APW4764" s="909"/>
      <c r="APX4764" s="909"/>
      <c r="APY4764" s="907" t="s">
        <v>79</v>
      </c>
      <c r="APZ4764" s="909" t="s">
        <v>68</v>
      </c>
      <c r="AQA4764" s="910" t="s">
        <v>75</v>
      </c>
      <c r="AQB4764" s="911"/>
      <c r="AQC4764" s="911"/>
      <c r="AQD4764" s="911"/>
      <c r="AQE4764" s="911"/>
      <c r="AQF4764" s="911"/>
      <c r="AQG4764" s="911"/>
      <c r="AQH4764" s="911"/>
      <c r="AQI4764" s="911"/>
      <c r="AQJ4764" s="911"/>
      <c r="AQK4764" s="32"/>
      <c r="AQL4764" s="911" t="s">
        <v>74</v>
      </c>
      <c r="AQM4764" s="911"/>
      <c r="AQN4764" s="911"/>
      <c r="AQO4764" s="911"/>
      <c r="AQP4764" s="911"/>
      <c r="AQQ4764" s="911"/>
      <c r="AQR4764" s="911"/>
      <c r="AQS4764" s="911"/>
      <c r="AQT4764" s="911"/>
      <c r="AQU4764" s="912"/>
      <c r="AQW4764" s="913" t="s">
        <v>1</v>
      </c>
      <c r="AQX4764" s="31"/>
      <c r="AQY4764" s="909" t="s">
        <v>0</v>
      </c>
      <c r="AQZ4764" s="909"/>
      <c r="ARA4764" s="909"/>
      <c r="ARB4764" s="909"/>
      <c r="ARC4764" s="909"/>
      <c r="ARD4764" s="909"/>
      <c r="ARE4764" s="907" t="s">
        <v>79</v>
      </c>
      <c r="ARF4764" s="909" t="s">
        <v>68</v>
      </c>
      <c r="ARG4764" s="910" t="s">
        <v>75</v>
      </c>
      <c r="ARH4764" s="911"/>
      <c r="ARI4764" s="911"/>
      <c r="ARJ4764" s="911"/>
      <c r="ARK4764" s="911"/>
      <c r="ARL4764" s="911"/>
      <c r="ARM4764" s="911"/>
      <c r="ARN4764" s="911"/>
      <c r="ARO4764" s="911"/>
      <c r="ARP4764" s="911"/>
      <c r="ARQ4764" s="32"/>
      <c r="ARR4764" s="911" t="s">
        <v>74</v>
      </c>
      <c r="ARS4764" s="911"/>
      <c r="ART4764" s="911"/>
      <c r="ARU4764" s="911"/>
      <c r="ARV4764" s="911"/>
      <c r="ARW4764" s="911"/>
      <c r="ARX4764" s="911"/>
      <c r="ARY4764" s="911"/>
      <c r="ARZ4764" s="911"/>
      <c r="ASA4764" s="912"/>
      <c r="ASC4764" s="913" t="s">
        <v>1</v>
      </c>
      <c r="ASD4764" s="31"/>
      <c r="ASE4764" s="909" t="s">
        <v>0</v>
      </c>
      <c r="ASF4764" s="909"/>
      <c r="ASG4764" s="909"/>
      <c r="ASH4764" s="909"/>
      <c r="ASI4764" s="909"/>
      <c r="ASJ4764" s="909"/>
      <c r="ASK4764" s="907" t="s">
        <v>79</v>
      </c>
      <c r="ASL4764" s="909" t="s">
        <v>68</v>
      </c>
      <c r="ASM4764" s="910" t="s">
        <v>75</v>
      </c>
      <c r="ASN4764" s="911"/>
      <c r="ASO4764" s="911"/>
      <c r="ASP4764" s="911"/>
      <c r="ASQ4764" s="911"/>
      <c r="ASR4764" s="911"/>
      <c r="ASS4764" s="911"/>
      <c r="AST4764" s="911"/>
      <c r="ASU4764" s="911"/>
      <c r="ASV4764" s="911"/>
      <c r="ASW4764" s="32"/>
      <c r="ASX4764" s="911" t="s">
        <v>74</v>
      </c>
      <c r="ASY4764" s="911"/>
      <c r="ASZ4764" s="911"/>
      <c r="ATA4764" s="911"/>
      <c r="ATB4764" s="911"/>
      <c r="ATC4764" s="911"/>
      <c r="ATD4764" s="911"/>
      <c r="ATE4764" s="911"/>
      <c r="ATF4764" s="911"/>
      <c r="ATG4764" s="912"/>
      <c r="ATI4764" s="913" t="s">
        <v>1</v>
      </c>
      <c r="ATJ4764" s="31"/>
      <c r="ATK4764" s="909" t="s">
        <v>0</v>
      </c>
      <c r="ATL4764" s="909"/>
      <c r="ATM4764" s="909"/>
      <c r="ATN4764" s="909"/>
      <c r="ATO4764" s="909"/>
      <c r="ATP4764" s="909"/>
      <c r="ATQ4764" s="907" t="s">
        <v>79</v>
      </c>
      <c r="ATR4764" s="909" t="s">
        <v>68</v>
      </c>
      <c r="ATS4764" s="910" t="s">
        <v>75</v>
      </c>
      <c r="ATT4764" s="911"/>
      <c r="ATU4764" s="911"/>
      <c r="ATV4764" s="911"/>
      <c r="ATW4764" s="911"/>
      <c r="ATX4764" s="911"/>
      <c r="ATY4764" s="911"/>
      <c r="ATZ4764" s="911"/>
      <c r="AUA4764" s="911"/>
      <c r="AUB4764" s="911"/>
      <c r="AUC4764" s="32"/>
      <c r="AUD4764" s="911" t="s">
        <v>74</v>
      </c>
      <c r="AUE4764" s="911"/>
      <c r="AUF4764" s="911"/>
      <c r="AUG4764" s="911"/>
      <c r="AUH4764" s="911"/>
      <c r="AUI4764" s="911"/>
      <c r="AUJ4764" s="911"/>
      <c r="AUK4764" s="911"/>
      <c r="AUL4764" s="911"/>
      <c r="AUM4764" s="912"/>
      <c r="AUO4764" s="913" t="s">
        <v>1</v>
      </c>
      <c r="AUP4764" s="31"/>
      <c r="AUQ4764" s="909" t="s">
        <v>0</v>
      </c>
      <c r="AUR4764" s="909"/>
      <c r="AUS4764" s="909"/>
      <c r="AUT4764" s="909"/>
      <c r="AUU4764" s="909"/>
      <c r="AUV4764" s="909"/>
      <c r="AUW4764" s="907" t="s">
        <v>79</v>
      </c>
      <c r="AUX4764" s="909" t="s">
        <v>68</v>
      </c>
      <c r="AUY4764" s="910" t="s">
        <v>75</v>
      </c>
      <c r="AUZ4764" s="911"/>
      <c r="AVA4764" s="911"/>
      <c r="AVB4764" s="911"/>
      <c r="AVC4764" s="911"/>
      <c r="AVD4764" s="911"/>
      <c r="AVE4764" s="911"/>
      <c r="AVF4764" s="911"/>
      <c r="AVG4764" s="911"/>
      <c r="AVH4764" s="911"/>
      <c r="AVI4764" s="32"/>
      <c r="AVJ4764" s="911" t="s">
        <v>74</v>
      </c>
      <c r="AVK4764" s="911"/>
      <c r="AVL4764" s="911"/>
      <c r="AVM4764" s="911"/>
      <c r="AVN4764" s="911"/>
      <c r="AVO4764" s="911"/>
      <c r="AVP4764" s="911"/>
      <c r="AVQ4764" s="911"/>
      <c r="AVR4764" s="911"/>
      <c r="AVS4764" s="912"/>
      <c r="AVU4764" s="913" t="s">
        <v>1</v>
      </c>
      <c r="AVV4764" s="31"/>
      <c r="AVW4764" s="909" t="s">
        <v>0</v>
      </c>
      <c r="AVX4764" s="909"/>
      <c r="AVY4764" s="909"/>
      <c r="AVZ4764" s="909"/>
      <c r="AWA4764" s="909"/>
      <c r="AWB4764" s="909"/>
      <c r="AWC4764" s="907" t="s">
        <v>79</v>
      </c>
      <c r="AWD4764" s="909" t="s">
        <v>68</v>
      </c>
      <c r="AWE4764" s="910" t="s">
        <v>75</v>
      </c>
      <c r="AWF4764" s="911"/>
      <c r="AWG4764" s="911"/>
      <c r="AWH4764" s="911"/>
      <c r="AWI4764" s="911"/>
      <c r="AWJ4764" s="911"/>
      <c r="AWK4764" s="911"/>
      <c r="AWL4764" s="911"/>
      <c r="AWM4764" s="911"/>
      <c r="AWN4764" s="911"/>
      <c r="AWO4764" s="32"/>
      <c r="AWP4764" s="911" t="s">
        <v>74</v>
      </c>
      <c r="AWQ4764" s="911"/>
      <c r="AWR4764" s="911"/>
      <c r="AWS4764" s="911"/>
      <c r="AWT4764" s="911"/>
      <c r="AWU4764" s="911"/>
      <c r="AWV4764" s="911"/>
      <c r="AWW4764" s="911"/>
      <c r="AWX4764" s="911"/>
      <c r="AWY4764" s="912"/>
      <c r="AXA4764" s="913" t="s">
        <v>1</v>
      </c>
      <c r="AXB4764" s="31"/>
      <c r="AXC4764" s="909" t="s">
        <v>0</v>
      </c>
      <c r="AXD4764" s="909"/>
      <c r="AXE4764" s="909"/>
      <c r="AXF4764" s="909"/>
      <c r="AXG4764" s="909"/>
      <c r="AXH4764" s="909"/>
      <c r="AXI4764" s="907" t="s">
        <v>79</v>
      </c>
      <c r="AXJ4764" s="909" t="s">
        <v>68</v>
      </c>
      <c r="AXK4764" s="910" t="s">
        <v>75</v>
      </c>
      <c r="AXL4764" s="911"/>
      <c r="AXM4764" s="911"/>
      <c r="AXN4764" s="911"/>
      <c r="AXO4764" s="911"/>
      <c r="AXP4764" s="911"/>
      <c r="AXQ4764" s="911"/>
      <c r="AXR4764" s="911"/>
      <c r="AXS4764" s="911"/>
      <c r="AXT4764" s="911"/>
      <c r="AXU4764" s="32"/>
      <c r="AXV4764" s="911" t="s">
        <v>74</v>
      </c>
      <c r="AXW4764" s="911"/>
      <c r="AXX4764" s="911"/>
      <c r="AXY4764" s="911"/>
      <c r="AXZ4764" s="911"/>
      <c r="AYA4764" s="911"/>
      <c r="AYB4764" s="911"/>
      <c r="AYC4764" s="911"/>
      <c r="AYD4764" s="911"/>
      <c r="AYE4764" s="912"/>
      <c r="AYG4764" s="913" t="s">
        <v>1</v>
      </c>
      <c r="AYH4764" s="31"/>
      <c r="AYI4764" s="909" t="s">
        <v>0</v>
      </c>
      <c r="AYJ4764" s="909"/>
      <c r="AYK4764" s="909"/>
      <c r="AYL4764" s="909"/>
      <c r="AYM4764" s="909"/>
      <c r="AYN4764" s="909"/>
      <c r="AYO4764" s="907" t="s">
        <v>79</v>
      </c>
      <c r="AYP4764" s="909" t="s">
        <v>68</v>
      </c>
      <c r="AYQ4764" s="910" t="s">
        <v>75</v>
      </c>
      <c r="AYR4764" s="911"/>
      <c r="AYS4764" s="911"/>
      <c r="AYT4764" s="911"/>
      <c r="AYU4764" s="911"/>
      <c r="AYV4764" s="911"/>
      <c r="AYW4764" s="911"/>
      <c r="AYX4764" s="911"/>
      <c r="AYY4764" s="911"/>
      <c r="AYZ4764" s="911"/>
      <c r="AZA4764" s="32"/>
      <c r="AZB4764" s="911" t="s">
        <v>74</v>
      </c>
      <c r="AZC4764" s="911"/>
      <c r="AZD4764" s="911"/>
      <c r="AZE4764" s="911"/>
      <c r="AZF4764" s="911"/>
      <c r="AZG4764" s="911"/>
      <c r="AZH4764" s="911"/>
      <c r="AZI4764" s="911"/>
      <c r="AZJ4764" s="911"/>
      <c r="AZK4764" s="912"/>
      <c r="AZM4764" s="913" t="s">
        <v>1</v>
      </c>
      <c r="AZN4764" s="31"/>
      <c r="AZO4764" s="909" t="s">
        <v>0</v>
      </c>
      <c r="AZP4764" s="909"/>
      <c r="AZQ4764" s="909"/>
      <c r="AZR4764" s="909"/>
      <c r="AZS4764" s="909"/>
      <c r="AZT4764" s="909"/>
      <c r="AZU4764" s="907" t="s">
        <v>79</v>
      </c>
      <c r="AZV4764" s="909" t="s">
        <v>68</v>
      </c>
      <c r="AZW4764" s="910" t="s">
        <v>75</v>
      </c>
      <c r="AZX4764" s="911"/>
      <c r="AZY4764" s="911"/>
      <c r="AZZ4764" s="911"/>
      <c r="BAA4764" s="911"/>
      <c r="BAB4764" s="911"/>
      <c r="BAC4764" s="911"/>
      <c r="BAD4764" s="911"/>
      <c r="BAE4764" s="911"/>
      <c r="BAF4764" s="911"/>
      <c r="BAG4764" s="32"/>
      <c r="BAH4764" s="911" t="s">
        <v>74</v>
      </c>
      <c r="BAI4764" s="911"/>
      <c r="BAJ4764" s="911"/>
      <c r="BAK4764" s="911"/>
      <c r="BAL4764" s="911"/>
      <c r="BAM4764" s="911"/>
      <c r="BAN4764" s="911"/>
      <c r="BAO4764" s="911"/>
      <c r="BAP4764" s="911"/>
      <c r="BAQ4764" s="912"/>
      <c r="BAS4764" s="913" t="s">
        <v>1</v>
      </c>
      <c r="BAT4764" s="31"/>
      <c r="BAU4764" s="909" t="s">
        <v>0</v>
      </c>
      <c r="BAV4764" s="909"/>
      <c r="BAW4764" s="909"/>
      <c r="BAX4764" s="909"/>
      <c r="BAY4764" s="909"/>
      <c r="BAZ4764" s="909"/>
      <c r="BBA4764" s="907" t="s">
        <v>79</v>
      </c>
      <c r="BBB4764" s="909" t="s">
        <v>68</v>
      </c>
      <c r="BBC4764" s="910" t="s">
        <v>75</v>
      </c>
      <c r="BBD4764" s="911"/>
      <c r="BBE4764" s="911"/>
      <c r="BBF4764" s="911"/>
      <c r="BBG4764" s="911"/>
      <c r="BBH4764" s="911"/>
      <c r="BBI4764" s="911"/>
      <c r="BBJ4764" s="911"/>
      <c r="BBK4764" s="911"/>
      <c r="BBL4764" s="911"/>
      <c r="BBM4764" s="32"/>
      <c r="BBN4764" s="911" t="s">
        <v>74</v>
      </c>
      <c r="BBO4764" s="911"/>
      <c r="BBP4764" s="911"/>
      <c r="BBQ4764" s="911"/>
      <c r="BBR4764" s="911"/>
      <c r="BBS4764" s="911"/>
      <c r="BBT4764" s="911"/>
      <c r="BBU4764" s="911"/>
      <c r="BBV4764" s="911"/>
      <c r="BBW4764" s="912"/>
      <c r="BBY4764" s="913" t="s">
        <v>1</v>
      </c>
      <c r="BBZ4764" s="31"/>
      <c r="BCA4764" s="909" t="s">
        <v>0</v>
      </c>
      <c r="BCB4764" s="909"/>
      <c r="BCC4764" s="909"/>
      <c r="BCD4764" s="909"/>
      <c r="BCE4764" s="909"/>
      <c r="BCF4764" s="909"/>
      <c r="BCG4764" s="907" t="s">
        <v>79</v>
      </c>
      <c r="BCH4764" s="909" t="s">
        <v>68</v>
      </c>
      <c r="BCI4764" s="910" t="s">
        <v>75</v>
      </c>
      <c r="BCJ4764" s="911"/>
      <c r="BCK4764" s="911"/>
      <c r="BCL4764" s="911"/>
      <c r="BCM4764" s="911"/>
      <c r="BCN4764" s="911"/>
      <c r="BCO4764" s="911"/>
      <c r="BCP4764" s="911"/>
      <c r="BCQ4764" s="911"/>
      <c r="BCR4764" s="911"/>
      <c r="BCS4764" s="32"/>
      <c r="BCT4764" s="911" t="s">
        <v>74</v>
      </c>
      <c r="BCU4764" s="911"/>
      <c r="BCV4764" s="911"/>
      <c r="BCW4764" s="911"/>
      <c r="BCX4764" s="911"/>
      <c r="BCY4764" s="911"/>
      <c r="BCZ4764" s="911"/>
      <c r="BDA4764" s="911"/>
      <c r="BDB4764" s="911"/>
      <c r="BDC4764" s="912"/>
      <c r="BDE4764" s="913" t="s">
        <v>1</v>
      </c>
      <c r="BDF4764" s="31"/>
      <c r="BDG4764" s="909" t="s">
        <v>0</v>
      </c>
      <c r="BDH4764" s="909"/>
      <c r="BDI4764" s="909"/>
      <c r="BDJ4764" s="909"/>
      <c r="BDK4764" s="909"/>
      <c r="BDL4764" s="909"/>
      <c r="BDM4764" s="907" t="s">
        <v>79</v>
      </c>
      <c r="BDN4764" s="909" t="s">
        <v>68</v>
      </c>
      <c r="BDO4764" s="910" t="s">
        <v>75</v>
      </c>
      <c r="BDP4764" s="911"/>
      <c r="BDQ4764" s="911"/>
      <c r="BDR4764" s="911"/>
      <c r="BDS4764" s="911"/>
      <c r="BDT4764" s="911"/>
      <c r="BDU4764" s="911"/>
      <c r="BDV4764" s="911"/>
      <c r="BDW4764" s="911"/>
      <c r="BDX4764" s="911"/>
      <c r="BDY4764" s="32"/>
      <c r="BDZ4764" s="911" t="s">
        <v>74</v>
      </c>
      <c r="BEA4764" s="911"/>
      <c r="BEB4764" s="911"/>
      <c r="BEC4764" s="911"/>
      <c r="BED4764" s="911"/>
      <c r="BEE4764" s="911"/>
      <c r="BEF4764" s="911"/>
      <c r="BEG4764" s="911"/>
      <c r="BEH4764" s="911"/>
      <c r="BEI4764" s="912"/>
      <c r="BEK4764" s="913" t="s">
        <v>1</v>
      </c>
      <c r="BEL4764" s="31"/>
      <c r="BEM4764" s="909" t="s">
        <v>0</v>
      </c>
      <c r="BEN4764" s="909"/>
      <c r="BEO4764" s="909"/>
      <c r="BEP4764" s="909"/>
      <c r="BEQ4764" s="909"/>
      <c r="BER4764" s="909"/>
      <c r="BES4764" s="907" t="s">
        <v>79</v>
      </c>
      <c r="BET4764" s="909" t="s">
        <v>68</v>
      </c>
      <c r="BEU4764" s="910" t="s">
        <v>75</v>
      </c>
      <c r="BEV4764" s="911"/>
      <c r="BEW4764" s="911"/>
      <c r="BEX4764" s="911"/>
      <c r="BEY4764" s="911"/>
      <c r="BEZ4764" s="911"/>
      <c r="BFA4764" s="911"/>
      <c r="BFB4764" s="911"/>
      <c r="BFC4764" s="911"/>
      <c r="BFD4764" s="911"/>
      <c r="BFE4764" s="32"/>
      <c r="BFF4764" s="911" t="s">
        <v>74</v>
      </c>
      <c r="BFG4764" s="911"/>
      <c r="BFH4764" s="911"/>
      <c r="BFI4764" s="911"/>
      <c r="BFJ4764" s="911"/>
      <c r="BFK4764" s="911"/>
      <c r="BFL4764" s="911"/>
      <c r="BFM4764" s="911"/>
      <c r="BFN4764" s="911"/>
      <c r="BFO4764" s="912"/>
      <c r="BFQ4764" s="913" t="s">
        <v>1</v>
      </c>
      <c r="BFR4764" s="31"/>
      <c r="BFS4764" s="909" t="s">
        <v>0</v>
      </c>
      <c r="BFT4764" s="909"/>
      <c r="BFU4764" s="909"/>
      <c r="BFV4764" s="909"/>
      <c r="BFW4764" s="909"/>
      <c r="BFX4764" s="909"/>
      <c r="BFY4764" s="907" t="s">
        <v>79</v>
      </c>
      <c r="BFZ4764" s="909" t="s">
        <v>68</v>
      </c>
      <c r="BGA4764" s="910" t="s">
        <v>75</v>
      </c>
      <c r="BGB4764" s="911"/>
      <c r="BGC4764" s="911"/>
      <c r="BGD4764" s="911"/>
      <c r="BGE4764" s="911"/>
      <c r="BGF4764" s="911"/>
      <c r="BGG4764" s="911"/>
      <c r="BGH4764" s="911"/>
      <c r="BGI4764" s="911"/>
      <c r="BGJ4764" s="911"/>
      <c r="BGK4764" s="32"/>
      <c r="BGL4764" s="911" t="s">
        <v>74</v>
      </c>
      <c r="BGM4764" s="911"/>
      <c r="BGN4764" s="911"/>
      <c r="BGO4764" s="911"/>
      <c r="BGP4764" s="911"/>
      <c r="BGQ4764" s="911"/>
      <c r="BGR4764" s="911"/>
      <c r="BGS4764" s="911"/>
      <c r="BGT4764" s="911"/>
      <c r="BGU4764" s="912"/>
      <c r="BGW4764" s="913" t="s">
        <v>1</v>
      </c>
      <c r="BGX4764" s="31"/>
      <c r="BGY4764" s="909" t="s">
        <v>0</v>
      </c>
      <c r="BGZ4764" s="909"/>
      <c r="BHA4764" s="909"/>
      <c r="BHB4764" s="909"/>
      <c r="BHC4764" s="909"/>
      <c r="BHD4764" s="909"/>
      <c r="BHE4764" s="907" t="s">
        <v>79</v>
      </c>
      <c r="BHF4764" s="909" t="s">
        <v>68</v>
      </c>
      <c r="BHG4764" s="910" t="s">
        <v>75</v>
      </c>
      <c r="BHH4764" s="911"/>
      <c r="BHI4764" s="911"/>
      <c r="BHJ4764" s="911"/>
      <c r="BHK4764" s="911"/>
      <c r="BHL4764" s="911"/>
      <c r="BHM4764" s="911"/>
      <c r="BHN4764" s="911"/>
      <c r="BHO4764" s="911"/>
      <c r="BHP4764" s="911"/>
      <c r="BHQ4764" s="32"/>
      <c r="BHR4764" s="911" t="s">
        <v>74</v>
      </c>
      <c r="BHS4764" s="911"/>
      <c r="BHT4764" s="911"/>
      <c r="BHU4764" s="911"/>
      <c r="BHV4764" s="911"/>
      <c r="BHW4764" s="911"/>
      <c r="BHX4764" s="911"/>
      <c r="BHY4764" s="911"/>
      <c r="BHZ4764" s="911"/>
      <c r="BIA4764" s="912"/>
      <c r="BIC4764" s="913" t="s">
        <v>1</v>
      </c>
      <c r="BID4764" s="31"/>
      <c r="BIE4764" s="909" t="s">
        <v>0</v>
      </c>
      <c r="BIF4764" s="909"/>
      <c r="BIG4764" s="909"/>
      <c r="BIH4764" s="909"/>
      <c r="BII4764" s="909"/>
      <c r="BIJ4764" s="909"/>
      <c r="BIK4764" s="907" t="s">
        <v>79</v>
      </c>
      <c r="BIL4764" s="909" t="s">
        <v>68</v>
      </c>
      <c r="BIM4764" s="910" t="s">
        <v>75</v>
      </c>
      <c r="BIN4764" s="911"/>
      <c r="BIO4764" s="911"/>
      <c r="BIP4764" s="911"/>
      <c r="BIQ4764" s="911"/>
      <c r="BIR4764" s="911"/>
      <c r="BIS4764" s="911"/>
      <c r="BIT4764" s="911"/>
      <c r="BIU4764" s="911"/>
      <c r="BIV4764" s="911"/>
      <c r="BIW4764" s="32"/>
      <c r="BIX4764" s="911" t="s">
        <v>74</v>
      </c>
      <c r="BIY4764" s="911"/>
      <c r="BIZ4764" s="911"/>
      <c r="BJA4764" s="911"/>
      <c r="BJB4764" s="911"/>
      <c r="BJC4764" s="911"/>
      <c r="BJD4764" s="911"/>
      <c r="BJE4764" s="911"/>
      <c r="BJF4764" s="911"/>
      <c r="BJG4764" s="912"/>
      <c r="BJI4764" s="913" t="s">
        <v>1</v>
      </c>
      <c r="BJJ4764" s="31"/>
      <c r="BJK4764" s="909" t="s">
        <v>0</v>
      </c>
      <c r="BJL4764" s="909"/>
      <c r="BJM4764" s="909"/>
      <c r="BJN4764" s="909"/>
      <c r="BJO4764" s="909"/>
      <c r="BJP4764" s="909"/>
      <c r="BJQ4764" s="907" t="s">
        <v>79</v>
      </c>
      <c r="BJR4764" s="909" t="s">
        <v>68</v>
      </c>
      <c r="BJS4764" s="910" t="s">
        <v>75</v>
      </c>
      <c r="BJT4764" s="911"/>
      <c r="BJU4764" s="911"/>
      <c r="BJV4764" s="911"/>
      <c r="BJW4764" s="911"/>
      <c r="BJX4764" s="911"/>
      <c r="BJY4764" s="911"/>
      <c r="BJZ4764" s="911"/>
      <c r="BKA4764" s="911"/>
      <c r="BKB4764" s="911"/>
      <c r="BKC4764" s="32"/>
      <c r="BKD4764" s="911" t="s">
        <v>74</v>
      </c>
      <c r="BKE4764" s="911"/>
      <c r="BKF4764" s="911"/>
      <c r="BKG4764" s="911"/>
      <c r="BKH4764" s="911"/>
      <c r="BKI4764" s="911"/>
      <c r="BKJ4764" s="911"/>
      <c r="BKK4764" s="911"/>
      <c r="BKL4764" s="911"/>
      <c r="BKM4764" s="912"/>
      <c r="BKO4764" s="913" t="s">
        <v>1</v>
      </c>
      <c r="BKP4764" s="31"/>
      <c r="BKQ4764" s="909" t="s">
        <v>0</v>
      </c>
      <c r="BKR4764" s="909"/>
      <c r="BKS4764" s="909"/>
      <c r="BKT4764" s="909"/>
      <c r="BKU4764" s="909"/>
      <c r="BKV4764" s="909"/>
      <c r="BKW4764" s="907" t="s">
        <v>79</v>
      </c>
      <c r="BKX4764" s="909" t="s">
        <v>68</v>
      </c>
      <c r="BKY4764" s="910" t="s">
        <v>75</v>
      </c>
      <c r="BKZ4764" s="911"/>
      <c r="BLA4764" s="911"/>
      <c r="BLB4764" s="911"/>
      <c r="BLC4764" s="911"/>
      <c r="BLD4764" s="911"/>
      <c r="BLE4764" s="911"/>
      <c r="BLF4764" s="911"/>
      <c r="BLG4764" s="911"/>
      <c r="BLH4764" s="911"/>
      <c r="BLI4764" s="32"/>
      <c r="BLJ4764" s="911" t="s">
        <v>74</v>
      </c>
      <c r="BLK4764" s="911"/>
      <c r="BLL4764" s="911"/>
      <c r="BLM4764" s="911"/>
      <c r="BLN4764" s="911"/>
      <c r="BLO4764" s="911"/>
      <c r="BLP4764" s="911"/>
      <c r="BLQ4764" s="911"/>
      <c r="BLR4764" s="911"/>
      <c r="BLS4764" s="912"/>
      <c r="BLU4764" s="913" t="s">
        <v>1</v>
      </c>
      <c r="BLV4764" s="31"/>
      <c r="BLW4764" s="909" t="s">
        <v>0</v>
      </c>
      <c r="BLX4764" s="909"/>
      <c r="BLY4764" s="909"/>
      <c r="BLZ4764" s="909"/>
      <c r="BMA4764" s="909"/>
      <c r="BMB4764" s="909"/>
      <c r="BMC4764" s="907" t="s">
        <v>79</v>
      </c>
      <c r="BMD4764" s="909" t="s">
        <v>68</v>
      </c>
      <c r="BME4764" s="910" t="s">
        <v>75</v>
      </c>
      <c r="BMF4764" s="911"/>
      <c r="BMG4764" s="911"/>
      <c r="BMH4764" s="911"/>
      <c r="BMI4764" s="911"/>
      <c r="BMJ4764" s="911"/>
      <c r="BMK4764" s="911"/>
      <c r="BML4764" s="911"/>
      <c r="BMM4764" s="911"/>
      <c r="BMN4764" s="911"/>
      <c r="BMO4764" s="32"/>
      <c r="BMP4764" s="911" t="s">
        <v>74</v>
      </c>
      <c r="BMQ4764" s="911"/>
      <c r="BMR4764" s="911"/>
      <c r="BMS4764" s="911"/>
      <c r="BMT4764" s="911"/>
      <c r="BMU4764" s="911"/>
      <c r="BMV4764" s="911"/>
      <c r="BMW4764" s="911"/>
      <c r="BMX4764" s="911"/>
      <c r="BMY4764" s="912"/>
      <c r="BNA4764" s="913" t="s">
        <v>1</v>
      </c>
      <c r="BNB4764" s="31"/>
      <c r="BNC4764" s="909" t="s">
        <v>0</v>
      </c>
      <c r="BND4764" s="909"/>
      <c r="BNE4764" s="909"/>
      <c r="BNF4764" s="909"/>
      <c r="BNG4764" s="909"/>
      <c r="BNH4764" s="909"/>
      <c r="BNI4764" s="907" t="s">
        <v>79</v>
      </c>
      <c r="BNJ4764" s="909" t="s">
        <v>68</v>
      </c>
      <c r="BNK4764" s="910" t="s">
        <v>75</v>
      </c>
      <c r="BNL4764" s="911"/>
      <c r="BNM4764" s="911"/>
      <c r="BNN4764" s="911"/>
      <c r="BNO4764" s="911"/>
      <c r="BNP4764" s="911"/>
      <c r="BNQ4764" s="911"/>
      <c r="BNR4764" s="911"/>
      <c r="BNS4764" s="911"/>
      <c r="BNT4764" s="911"/>
      <c r="BNU4764" s="32"/>
      <c r="BNV4764" s="911" t="s">
        <v>74</v>
      </c>
      <c r="BNW4764" s="911"/>
      <c r="BNX4764" s="911"/>
      <c r="BNY4764" s="911"/>
      <c r="BNZ4764" s="911"/>
      <c r="BOA4764" s="911"/>
      <c r="BOB4764" s="911"/>
      <c r="BOC4764" s="911"/>
      <c r="BOD4764" s="911"/>
      <c r="BOE4764" s="912"/>
      <c r="BOG4764" s="913" t="s">
        <v>1</v>
      </c>
      <c r="BOH4764" s="31"/>
      <c r="BOI4764" s="909" t="s">
        <v>0</v>
      </c>
      <c r="BOJ4764" s="909"/>
      <c r="BOK4764" s="909"/>
      <c r="BOL4764" s="909"/>
      <c r="BOM4764" s="909"/>
      <c r="BON4764" s="909"/>
      <c r="BOO4764" s="907" t="s">
        <v>79</v>
      </c>
      <c r="BOP4764" s="909" t="s">
        <v>68</v>
      </c>
      <c r="BOQ4764" s="910" t="s">
        <v>75</v>
      </c>
      <c r="BOR4764" s="911"/>
      <c r="BOS4764" s="911"/>
      <c r="BOT4764" s="911"/>
      <c r="BOU4764" s="911"/>
      <c r="BOV4764" s="911"/>
      <c r="BOW4764" s="911"/>
      <c r="BOX4764" s="911"/>
      <c r="BOY4764" s="911"/>
      <c r="BOZ4764" s="911"/>
      <c r="BPA4764" s="32"/>
      <c r="BPB4764" s="911" t="s">
        <v>74</v>
      </c>
      <c r="BPC4764" s="911"/>
      <c r="BPD4764" s="911"/>
      <c r="BPE4764" s="911"/>
      <c r="BPF4764" s="911"/>
      <c r="BPG4764" s="911"/>
      <c r="BPH4764" s="911"/>
      <c r="BPI4764" s="911"/>
      <c r="BPJ4764" s="911"/>
      <c r="BPK4764" s="912"/>
      <c r="BPM4764" s="913" t="s">
        <v>1</v>
      </c>
      <c r="BPN4764" s="31"/>
      <c r="BPO4764" s="909" t="s">
        <v>0</v>
      </c>
      <c r="BPP4764" s="909"/>
      <c r="BPQ4764" s="909"/>
      <c r="BPR4764" s="909"/>
      <c r="BPS4764" s="909"/>
      <c r="BPT4764" s="909"/>
      <c r="BPU4764" s="907" t="s">
        <v>79</v>
      </c>
      <c r="BPV4764" s="909" t="s">
        <v>68</v>
      </c>
      <c r="BPW4764" s="910" t="s">
        <v>75</v>
      </c>
      <c r="BPX4764" s="911"/>
      <c r="BPY4764" s="911"/>
      <c r="BPZ4764" s="911"/>
      <c r="BQA4764" s="911"/>
      <c r="BQB4764" s="911"/>
      <c r="BQC4764" s="911"/>
      <c r="BQD4764" s="911"/>
      <c r="BQE4764" s="911"/>
      <c r="BQF4764" s="911"/>
      <c r="BQG4764" s="32"/>
      <c r="BQH4764" s="911" t="s">
        <v>74</v>
      </c>
      <c r="BQI4764" s="911"/>
      <c r="BQJ4764" s="911"/>
      <c r="BQK4764" s="911"/>
      <c r="BQL4764" s="911"/>
      <c r="BQM4764" s="911"/>
      <c r="BQN4764" s="911"/>
      <c r="BQO4764" s="911"/>
      <c r="BQP4764" s="911"/>
      <c r="BQQ4764" s="912"/>
      <c r="BQS4764" s="913" t="s">
        <v>1</v>
      </c>
      <c r="BQT4764" s="31"/>
      <c r="BQU4764" s="909" t="s">
        <v>0</v>
      </c>
      <c r="BQV4764" s="909"/>
      <c r="BQW4764" s="909"/>
      <c r="BQX4764" s="909"/>
      <c r="BQY4764" s="909"/>
      <c r="BQZ4764" s="909"/>
      <c r="BRA4764" s="907" t="s">
        <v>79</v>
      </c>
      <c r="BRB4764" s="909" t="s">
        <v>68</v>
      </c>
      <c r="BRC4764" s="910" t="s">
        <v>75</v>
      </c>
      <c r="BRD4764" s="911"/>
      <c r="BRE4764" s="911"/>
      <c r="BRF4764" s="911"/>
      <c r="BRG4764" s="911"/>
      <c r="BRH4764" s="911"/>
      <c r="BRI4764" s="911"/>
      <c r="BRJ4764" s="911"/>
      <c r="BRK4764" s="911"/>
      <c r="BRL4764" s="911"/>
      <c r="BRM4764" s="32"/>
      <c r="BRN4764" s="911" t="s">
        <v>74</v>
      </c>
      <c r="BRO4764" s="911"/>
      <c r="BRP4764" s="911"/>
      <c r="BRQ4764" s="911"/>
      <c r="BRR4764" s="911"/>
      <c r="BRS4764" s="911"/>
      <c r="BRT4764" s="911"/>
      <c r="BRU4764" s="911"/>
      <c r="BRV4764" s="911"/>
      <c r="BRW4764" s="912"/>
      <c r="BRY4764" s="913" t="s">
        <v>1</v>
      </c>
      <c r="BRZ4764" s="31"/>
      <c r="BSA4764" s="909" t="s">
        <v>0</v>
      </c>
      <c r="BSB4764" s="909"/>
      <c r="BSC4764" s="909"/>
      <c r="BSD4764" s="909"/>
      <c r="BSE4764" s="909"/>
      <c r="BSF4764" s="909"/>
      <c r="BSG4764" s="907" t="s">
        <v>79</v>
      </c>
      <c r="BSH4764" s="909" t="s">
        <v>68</v>
      </c>
      <c r="BSI4764" s="910" t="s">
        <v>75</v>
      </c>
      <c r="BSJ4764" s="911"/>
      <c r="BSK4764" s="911"/>
      <c r="BSL4764" s="911"/>
      <c r="BSM4764" s="911"/>
      <c r="BSN4764" s="911"/>
      <c r="BSO4764" s="911"/>
      <c r="BSP4764" s="911"/>
      <c r="BSQ4764" s="911"/>
      <c r="BSR4764" s="911"/>
      <c r="BSS4764" s="32"/>
      <c r="BST4764" s="911" t="s">
        <v>74</v>
      </c>
      <c r="BSU4764" s="911"/>
      <c r="BSV4764" s="911"/>
      <c r="BSW4764" s="911"/>
      <c r="BSX4764" s="911"/>
      <c r="BSY4764" s="911"/>
      <c r="BSZ4764" s="911"/>
      <c r="BTA4764" s="911"/>
      <c r="BTB4764" s="911"/>
      <c r="BTC4764" s="912"/>
      <c r="BTE4764" s="913" t="s">
        <v>1</v>
      </c>
      <c r="BTF4764" s="31"/>
      <c r="BTG4764" s="909" t="s">
        <v>0</v>
      </c>
      <c r="BTH4764" s="909"/>
      <c r="BTI4764" s="909"/>
      <c r="BTJ4764" s="909"/>
      <c r="BTK4764" s="909"/>
      <c r="BTL4764" s="909"/>
      <c r="BTM4764" s="907" t="s">
        <v>79</v>
      </c>
      <c r="BTN4764" s="909" t="s">
        <v>68</v>
      </c>
      <c r="BTO4764" s="910" t="s">
        <v>75</v>
      </c>
      <c r="BTP4764" s="911"/>
      <c r="BTQ4764" s="911"/>
      <c r="BTR4764" s="911"/>
      <c r="BTS4764" s="911"/>
      <c r="BTT4764" s="911"/>
      <c r="BTU4764" s="911"/>
      <c r="BTV4764" s="911"/>
      <c r="BTW4764" s="911"/>
      <c r="BTX4764" s="911"/>
      <c r="BTY4764" s="32"/>
      <c r="BTZ4764" s="911" t="s">
        <v>74</v>
      </c>
      <c r="BUA4764" s="911"/>
      <c r="BUB4764" s="911"/>
      <c r="BUC4764" s="911"/>
      <c r="BUD4764" s="911"/>
      <c r="BUE4764" s="911"/>
      <c r="BUF4764" s="911"/>
      <c r="BUG4764" s="911"/>
      <c r="BUH4764" s="911"/>
      <c r="BUI4764" s="912"/>
      <c r="BUK4764" s="913" t="s">
        <v>1</v>
      </c>
      <c r="BUL4764" s="31"/>
      <c r="BUM4764" s="909" t="s">
        <v>0</v>
      </c>
      <c r="BUN4764" s="909"/>
      <c r="BUO4764" s="909"/>
      <c r="BUP4764" s="909"/>
      <c r="BUQ4764" s="909"/>
      <c r="BUR4764" s="909"/>
      <c r="BUS4764" s="907" t="s">
        <v>79</v>
      </c>
      <c r="BUT4764" s="909" t="s">
        <v>68</v>
      </c>
      <c r="BUU4764" s="910" t="s">
        <v>75</v>
      </c>
      <c r="BUV4764" s="911"/>
      <c r="BUW4764" s="911"/>
      <c r="BUX4764" s="911"/>
      <c r="BUY4764" s="911"/>
      <c r="BUZ4764" s="911"/>
      <c r="BVA4764" s="911"/>
      <c r="BVB4764" s="911"/>
      <c r="BVC4764" s="911"/>
      <c r="BVD4764" s="911"/>
      <c r="BVE4764" s="32"/>
      <c r="BVF4764" s="911" t="s">
        <v>74</v>
      </c>
      <c r="BVG4764" s="911"/>
      <c r="BVH4764" s="911"/>
      <c r="BVI4764" s="911"/>
      <c r="BVJ4764" s="911"/>
      <c r="BVK4764" s="911"/>
      <c r="BVL4764" s="911"/>
      <c r="BVM4764" s="911"/>
      <c r="BVN4764" s="911"/>
      <c r="BVO4764" s="912"/>
      <c r="BVQ4764" s="913" t="s">
        <v>1</v>
      </c>
      <c r="BVR4764" s="31"/>
      <c r="BVS4764" s="909" t="s">
        <v>0</v>
      </c>
      <c r="BVT4764" s="909"/>
      <c r="BVU4764" s="909"/>
      <c r="BVV4764" s="909"/>
      <c r="BVW4764" s="909"/>
      <c r="BVX4764" s="909"/>
      <c r="BVY4764" s="907" t="s">
        <v>79</v>
      </c>
      <c r="BVZ4764" s="909" t="s">
        <v>68</v>
      </c>
      <c r="BWA4764" s="910" t="s">
        <v>75</v>
      </c>
      <c r="BWB4764" s="911"/>
      <c r="BWC4764" s="911"/>
      <c r="BWD4764" s="911"/>
      <c r="BWE4764" s="911"/>
      <c r="BWF4764" s="911"/>
      <c r="BWG4764" s="911"/>
      <c r="BWH4764" s="911"/>
      <c r="BWI4764" s="911"/>
      <c r="BWJ4764" s="911"/>
      <c r="BWK4764" s="32"/>
      <c r="BWL4764" s="911" t="s">
        <v>74</v>
      </c>
      <c r="BWM4764" s="911"/>
      <c r="BWN4764" s="911"/>
      <c r="BWO4764" s="911"/>
      <c r="BWP4764" s="911"/>
      <c r="BWQ4764" s="911"/>
      <c r="BWR4764" s="911"/>
      <c r="BWS4764" s="911"/>
      <c r="BWT4764" s="911"/>
      <c r="BWU4764" s="912"/>
      <c r="BWW4764" s="913" t="s">
        <v>1</v>
      </c>
      <c r="BWX4764" s="31"/>
      <c r="BWY4764" s="909" t="s">
        <v>0</v>
      </c>
      <c r="BWZ4764" s="909"/>
      <c r="BXA4764" s="909"/>
      <c r="BXB4764" s="909"/>
      <c r="BXC4764" s="909"/>
      <c r="BXD4764" s="909"/>
      <c r="BXE4764" s="907" t="s">
        <v>79</v>
      </c>
      <c r="BXF4764" s="909" t="s">
        <v>68</v>
      </c>
      <c r="BXG4764" s="910" t="s">
        <v>75</v>
      </c>
      <c r="BXH4764" s="911"/>
      <c r="BXI4764" s="911"/>
      <c r="BXJ4764" s="911"/>
      <c r="BXK4764" s="911"/>
      <c r="BXL4764" s="911"/>
      <c r="BXM4764" s="911"/>
      <c r="BXN4764" s="911"/>
      <c r="BXO4764" s="911"/>
      <c r="BXP4764" s="911"/>
      <c r="BXQ4764" s="32"/>
      <c r="BXR4764" s="911" t="s">
        <v>74</v>
      </c>
      <c r="BXS4764" s="911"/>
      <c r="BXT4764" s="911"/>
      <c r="BXU4764" s="911"/>
      <c r="BXV4764" s="911"/>
      <c r="BXW4764" s="911"/>
      <c r="BXX4764" s="911"/>
      <c r="BXY4764" s="911"/>
      <c r="BXZ4764" s="911"/>
      <c r="BYA4764" s="912"/>
      <c r="BYC4764" s="913" t="s">
        <v>1</v>
      </c>
      <c r="BYD4764" s="31"/>
      <c r="BYE4764" s="909" t="s">
        <v>0</v>
      </c>
      <c r="BYF4764" s="909"/>
      <c r="BYG4764" s="909"/>
      <c r="BYH4764" s="909"/>
      <c r="BYI4764" s="909"/>
      <c r="BYJ4764" s="909"/>
      <c r="BYK4764" s="907" t="s">
        <v>79</v>
      </c>
      <c r="BYL4764" s="909" t="s">
        <v>68</v>
      </c>
      <c r="BYM4764" s="910" t="s">
        <v>75</v>
      </c>
      <c r="BYN4764" s="911"/>
      <c r="BYO4764" s="911"/>
      <c r="BYP4764" s="911"/>
      <c r="BYQ4764" s="911"/>
      <c r="BYR4764" s="911"/>
      <c r="BYS4764" s="911"/>
      <c r="BYT4764" s="911"/>
      <c r="BYU4764" s="911"/>
      <c r="BYV4764" s="911"/>
      <c r="BYW4764" s="32"/>
      <c r="BYX4764" s="911" t="s">
        <v>74</v>
      </c>
      <c r="BYY4764" s="911"/>
      <c r="BYZ4764" s="911"/>
      <c r="BZA4764" s="911"/>
      <c r="BZB4764" s="911"/>
      <c r="BZC4764" s="911"/>
      <c r="BZD4764" s="911"/>
      <c r="BZE4764" s="911"/>
      <c r="BZF4764" s="911"/>
      <c r="BZG4764" s="912"/>
      <c r="BZI4764" s="913" t="s">
        <v>1</v>
      </c>
      <c r="BZJ4764" s="31"/>
      <c r="BZK4764" s="909" t="s">
        <v>0</v>
      </c>
      <c r="BZL4764" s="909"/>
      <c r="BZM4764" s="909"/>
      <c r="BZN4764" s="909"/>
      <c r="BZO4764" s="909"/>
      <c r="BZP4764" s="909"/>
      <c r="BZQ4764" s="907" t="s">
        <v>79</v>
      </c>
      <c r="BZR4764" s="909" t="s">
        <v>68</v>
      </c>
      <c r="BZS4764" s="910" t="s">
        <v>75</v>
      </c>
      <c r="BZT4764" s="911"/>
      <c r="BZU4764" s="911"/>
      <c r="BZV4764" s="911"/>
      <c r="BZW4764" s="911"/>
      <c r="BZX4764" s="911"/>
      <c r="BZY4764" s="911"/>
      <c r="BZZ4764" s="911"/>
      <c r="CAA4764" s="911"/>
      <c r="CAB4764" s="911"/>
      <c r="CAC4764" s="32"/>
      <c r="CAD4764" s="911" t="s">
        <v>74</v>
      </c>
      <c r="CAE4764" s="911"/>
      <c r="CAF4764" s="911"/>
      <c r="CAG4764" s="911"/>
      <c r="CAH4764" s="911"/>
      <c r="CAI4764" s="911"/>
      <c r="CAJ4764" s="911"/>
      <c r="CAK4764" s="911"/>
      <c r="CAL4764" s="911"/>
      <c r="CAM4764" s="912"/>
      <c r="CAO4764" s="913" t="s">
        <v>1</v>
      </c>
      <c r="CAP4764" s="31"/>
      <c r="CAQ4764" s="909" t="s">
        <v>0</v>
      </c>
      <c r="CAR4764" s="909"/>
      <c r="CAS4764" s="909"/>
      <c r="CAT4764" s="909"/>
      <c r="CAU4764" s="909"/>
      <c r="CAV4764" s="909"/>
      <c r="CAW4764" s="907" t="s">
        <v>79</v>
      </c>
      <c r="CAX4764" s="909" t="s">
        <v>68</v>
      </c>
      <c r="CAY4764" s="910" t="s">
        <v>75</v>
      </c>
      <c r="CAZ4764" s="911"/>
      <c r="CBA4764" s="911"/>
      <c r="CBB4764" s="911"/>
      <c r="CBC4764" s="911"/>
      <c r="CBD4764" s="911"/>
      <c r="CBE4764" s="911"/>
      <c r="CBF4764" s="911"/>
      <c r="CBG4764" s="911"/>
      <c r="CBH4764" s="911"/>
      <c r="CBI4764" s="32"/>
      <c r="CBJ4764" s="911" t="s">
        <v>74</v>
      </c>
      <c r="CBK4764" s="911"/>
      <c r="CBL4764" s="911"/>
      <c r="CBM4764" s="911"/>
      <c r="CBN4764" s="911"/>
      <c r="CBO4764" s="911"/>
      <c r="CBP4764" s="911"/>
      <c r="CBQ4764" s="911"/>
      <c r="CBR4764" s="911"/>
      <c r="CBS4764" s="912"/>
      <c r="CBU4764" s="913" t="s">
        <v>1</v>
      </c>
      <c r="CBV4764" s="31"/>
      <c r="CBW4764" s="909" t="s">
        <v>0</v>
      </c>
      <c r="CBX4764" s="909"/>
      <c r="CBY4764" s="909"/>
      <c r="CBZ4764" s="909"/>
      <c r="CCA4764" s="909"/>
      <c r="CCB4764" s="909"/>
      <c r="CCC4764" s="907" t="s">
        <v>79</v>
      </c>
      <c r="CCD4764" s="909" t="s">
        <v>68</v>
      </c>
      <c r="CCE4764" s="910" t="s">
        <v>75</v>
      </c>
      <c r="CCF4764" s="911"/>
      <c r="CCG4764" s="911"/>
      <c r="CCH4764" s="911"/>
      <c r="CCI4764" s="911"/>
      <c r="CCJ4764" s="911"/>
      <c r="CCK4764" s="911"/>
      <c r="CCL4764" s="911"/>
      <c r="CCM4764" s="911"/>
      <c r="CCN4764" s="911"/>
      <c r="CCO4764" s="32"/>
      <c r="CCP4764" s="911" t="s">
        <v>74</v>
      </c>
      <c r="CCQ4764" s="911"/>
      <c r="CCR4764" s="911"/>
      <c r="CCS4764" s="911"/>
      <c r="CCT4764" s="911"/>
      <c r="CCU4764" s="911"/>
      <c r="CCV4764" s="911"/>
      <c r="CCW4764" s="911"/>
      <c r="CCX4764" s="911"/>
      <c r="CCY4764" s="912"/>
      <c r="CDA4764" s="913" t="s">
        <v>1</v>
      </c>
      <c r="CDB4764" s="31"/>
      <c r="CDC4764" s="909" t="s">
        <v>0</v>
      </c>
      <c r="CDD4764" s="909"/>
      <c r="CDE4764" s="909"/>
      <c r="CDF4764" s="909"/>
      <c r="CDG4764" s="909"/>
      <c r="CDH4764" s="909"/>
      <c r="CDI4764" s="907" t="s">
        <v>79</v>
      </c>
      <c r="CDJ4764" s="909" t="s">
        <v>68</v>
      </c>
      <c r="CDK4764" s="910" t="s">
        <v>75</v>
      </c>
      <c r="CDL4764" s="911"/>
      <c r="CDM4764" s="911"/>
      <c r="CDN4764" s="911"/>
      <c r="CDO4764" s="911"/>
      <c r="CDP4764" s="911"/>
      <c r="CDQ4764" s="911"/>
      <c r="CDR4764" s="911"/>
      <c r="CDS4764" s="911"/>
      <c r="CDT4764" s="911"/>
      <c r="CDU4764" s="32"/>
      <c r="CDV4764" s="911" t="s">
        <v>74</v>
      </c>
      <c r="CDW4764" s="911"/>
      <c r="CDX4764" s="911"/>
      <c r="CDY4764" s="911"/>
      <c r="CDZ4764" s="911"/>
      <c r="CEA4764" s="911"/>
      <c r="CEB4764" s="911"/>
      <c r="CEC4764" s="911"/>
      <c r="CED4764" s="911"/>
      <c r="CEE4764" s="912"/>
      <c r="CEG4764" s="913" t="s">
        <v>1</v>
      </c>
      <c r="CEH4764" s="31"/>
      <c r="CEI4764" s="909" t="s">
        <v>0</v>
      </c>
      <c r="CEJ4764" s="909"/>
      <c r="CEK4764" s="909"/>
      <c r="CEL4764" s="909"/>
      <c r="CEM4764" s="909"/>
      <c r="CEN4764" s="909"/>
      <c r="CEO4764" s="907" t="s">
        <v>79</v>
      </c>
      <c r="CEP4764" s="909" t="s">
        <v>68</v>
      </c>
      <c r="CEQ4764" s="910" t="s">
        <v>75</v>
      </c>
      <c r="CER4764" s="911"/>
      <c r="CES4764" s="911"/>
      <c r="CET4764" s="911"/>
      <c r="CEU4764" s="911"/>
      <c r="CEV4764" s="911"/>
      <c r="CEW4764" s="911"/>
      <c r="CEX4764" s="911"/>
      <c r="CEY4764" s="911"/>
      <c r="CEZ4764" s="911"/>
      <c r="CFA4764" s="32"/>
      <c r="CFB4764" s="911" t="s">
        <v>74</v>
      </c>
      <c r="CFC4764" s="911"/>
      <c r="CFD4764" s="911"/>
      <c r="CFE4764" s="911"/>
      <c r="CFF4764" s="911"/>
      <c r="CFG4764" s="911"/>
      <c r="CFH4764" s="911"/>
      <c r="CFI4764" s="911"/>
      <c r="CFJ4764" s="911"/>
      <c r="CFK4764" s="912"/>
      <c r="CFM4764" s="913" t="s">
        <v>1</v>
      </c>
      <c r="CFN4764" s="31"/>
      <c r="CFO4764" s="909" t="s">
        <v>0</v>
      </c>
      <c r="CFP4764" s="909"/>
      <c r="CFQ4764" s="909"/>
      <c r="CFR4764" s="909"/>
      <c r="CFS4764" s="909"/>
      <c r="CFT4764" s="909"/>
      <c r="CFU4764" s="907" t="s">
        <v>79</v>
      </c>
      <c r="CFV4764" s="909" t="s">
        <v>68</v>
      </c>
      <c r="CFW4764" s="910" t="s">
        <v>75</v>
      </c>
      <c r="CFX4764" s="911"/>
      <c r="CFY4764" s="911"/>
      <c r="CFZ4764" s="911"/>
      <c r="CGA4764" s="911"/>
      <c r="CGB4764" s="911"/>
      <c r="CGC4764" s="911"/>
      <c r="CGD4764" s="911"/>
      <c r="CGE4764" s="911"/>
      <c r="CGF4764" s="911"/>
      <c r="CGG4764" s="32"/>
      <c r="CGH4764" s="911" t="s">
        <v>74</v>
      </c>
      <c r="CGI4764" s="911"/>
      <c r="CGJ4764" s="911"/>
      <c r="CGK4764" s="911"/>
      <c r="CGL4764" s="911"/>
      <c r="CGM4764" s="911"/>
      <c r="CGN4764" s="911"/>
      <c r="CGO4764" s="911"/>
      <c r="CGP4764" s="911"/>
      <c r="CGQ4764" s="912"/>
      <c r="CGS4764" s="913" t="s">
        <v>1</v>
      </c>
      <c r="CGT4764" s="31"/>
      <c r="CGU4764" s="909" t="s">
        <v>0</v>
      </c>
      <c r="CGV4764" s="909"/>
      <c r="CGW4764" s="909"/>
      <c r="CGX4764" s="909"/>
      <c r="CGY4764" s="909"/>
      <c r="CGZ4764" s="909"/>
      <c r="CHA4764" s="907" t="s">
        <v>79</v>
      </c>
      <c r="CHB4764" s="909" t="s">
        <v>68</v>
      </c>
      <c r="CHC4764" s="910" t="s">
        <v>75</v>
      </c>
      <c r="CHD4764" s="911"/>
      <c r="CHE4764" s="911"/>
      <c r="CHF4764" s="911"/>
      <c r="CHG4764" s="911"/>
      <c r="CHH4764" s="911"/>
      <c r="CHI4764" s="911"/>
      <c r="CHJ4764" s="911"/>
      <c r="CHK4764" s="911"/>
      <c r="CHL4764" s="911"/>
      <c r="CHM4764" s="32"/>
      <c r="CHN4764" s="911" t="s">
        <v>74</v>
      </c>
      <c r="CHO4764" s="911"/>
      <c r="CHP4764" s="911"/>
      <c r="CHQ4764" s="911"/>
      <c r="CHR4764" s="911"/>
      <c r="CHS4764" s="911"/>
      <c r="CHT4764" s="911"/>
      <c r="CHU4764" s="911"/>
      <c r="CHV4764" s="911"/>
      <c r="CHW4764" s="912"/>
      <c r="CHY4764" s="913" t="s">
        <v>1</v>
      </c>
      <c r="CHZ4764" s="31"/>
      <c r="CIA4764" s="909" t="s">
        <v>0</v>
      </c>
      <c r="CIB4764" s="909"/>
      <c r="CIC4764" s="909"/>
      <c r="CID4764" s="909"/>
      <c r="CIE4764" s="909"/>
      <c r="CIF4764" s="909"/>
      <c r="CIG4764" s="907" t="s">
        <v>79</v>
      </c>
      <c r="CIH4764" s="909" t="s">
        <v>68</v>
      </c>
      <c r="CII4764" s="910" t="s">
        <v>75</v>
      </c>
      <c r="CIJ4764" s="911"/>
      <c r="CIK4764" s="911"/>
      <c r="CIL4764" s="911"/>
      <c r="CIM4764" s="911"/>
      <c r="CIN4764" s="911"/>
      <c r="CIO4764" s="911"/>
      <c r="CIP4764" s="911"/>
      <c r="CIQ4764" s="911"/>
      <c r="CIR4764" s="911"/>
      <c r="CIS4764" s="32"/>
      <c r="CIT4764" s="911" t="s">
        <v>74</v>
      </c>
      <c r="CIU4764" s="911"/>
      <c r="CIV4764" s="911"/>
      <c r="CIW4764" s="911"/>
      <c r="CIX4764" s="911"/>
      <c r="CIY4764" s="911"/>
      <c r="CIZ4764" s="911"/>
      <c r="CJA4764" s="911"/>
      <c r="CJB4764" s="911"/>
      <c r="CJC4764" s="912"/>
      <c r="CJE4764" s="913" t="s">
        <v>1</v>
      </c>
      <c r="CJF4764" s="31"/>
      <c r="CJG4764" s="909" t="s">
        <v>0</v>
      </c>
      <c r="CJH4764" s="909"/>
      <c r="CJI4764" s="909"/>
      <c r="CJJ4764" s="909"/>
      <c r="CJK4764" s="909"/>
      <c r="CJL4764" s="909"/>
      <c r="CJM4764" s="907" t="s">
        <v>79</v>
      </c>
      <c r="CJN4764" s="909" t="s">
        <v>68</v>
      </c>
      <c r="CJO4764" s="910" t="s">
        <v>75</v>
      </c>
      <c r="CJP4764" s="911"/>
      <c r="CJQ4764" s="911"/>
      <c r="CJR4764" s="911"/>
      <c r="CJS4764" s="911"/>
      <c r="CJT4764" s="911"/>
      <c r="CJU4764" s="911"/>
      <c r="CJV4764" s="911"/>
      <c r="CJW4764" s="911"/>
      <c r="CJX4764" s="911"/>
      <c r="CJY4764" s="32"/>
      <c r="CJZ4764" s="911" t="s">
        <v>74</v>
      </c>
      <c r="CKA4764" s="911"/>
      <c r="CKB4764" s="911"/>
      <c r="CKC4764" s="911"/>
      <c r="CKD4764" s="911"/>
      <c r="CKE4764" s="911"/>
      <c r="CKF4764" s="911"/>
      <c r="CKG4764" s="911"/>
      <c r="CKH4764" s="911"/>
      <c r="CKI4764" s="912"/>
      <c r="CKK4764" s="913" t="s">
        <v>1</v>
      </c>
      <c r="CKL4764" s="31"/>
      <c r="CKM4764" s="909" t="s">
        <v>0</v>
      </c>
      <c r="CKN4764" s="909"/>
      <c r="CKO4764" s="909"/>
      <c r="CKP4764" s="909"/>
      <c r="CKQ4764" s="909"/>
      <c r="CKR4764" s="909"/>
      <c r="CKS4764" s="907" t="s">
        <v>79</v>
      </c>
      <c r="CKT4764" s="909" t="s">
        <v>68</v>
      </c>
      <c r="CKU4764" s="910" t="s">
        <v>75</v>
      </c>
      <c r="CKV4764" s="911"/>
      <c r="CKW4764" s="911"/>
      <c r="CKX4764" s="911"/>
      <c r="CKY4764" s="911"/>
      <c r="CKZ4764" s="911"/>
      <c r="CLA4764" s="911"/>
      <c r="CLB4764" s="911"/>
      <c r="CLC4764" s="911"/>
      <c r="CLD4764" s="911"/>
      <c r="CLE4764" s="32"/>
      <c r="CLF4764" s="911" t="s">
        <v>74</v>
      </c>
      <c r="CLG4764" s="911"/>
      <c r="CLH4764" s="911"/>
      <c r="CLI4764" s="911"/>
      <c r="CLJ4764" s="911"/>
      <c r="CLK4764" s="911"/>
      <c r="CLL4764" s="911"/>
      <c r="CLM4764" s="911"/>
      <c r="CLN4764" s="911"/>
      <c r="CLO4764" s="912"/>
      <c r="CLQ4764" s="913" t="s">
        <v>1</v>
      </c>
      <c r="CLR4764" s="31"/>
      <c r="CLS4764" s="909" t="s">
        <v>0</v>
      </c>
      <c r="CLT4764" s="909"/>
      <c r="CLU4764" s="909"/>
      <c r="CLV4764" s="909"/>
      <c r="CLW4764" s="909"/>
      <c r="CLX4764" s="909"/>
      <c r="CLY4764" s="907" t="s">
        <v>79</v>
      </c>
      <c r="CLZ4764" s="909" t="s">
        <v>68</v>
      </c>
      <c r="CMA4764" s="910" t="s">
        <v>75</v>
      </c>
      <c r="CMB4764" s="911"/>
      <c r="CMC4764" s="911"/>
      <c r="CMD4764" s="911"/>
      <c r="CME4764" s="911"/>
      <c r="CMF4764" s="911"/>
      <c r="CMG4764" s="911"/>
      <c r="CMH4764" s="911"/>
      <c r="CMI4764" s="911"/>
      <c r="CMJ4764" s="911"/>
      <c r="CMK4764" s="32"/>
      <c r="CML4764" s="911" t="s">
        <v>74</v>
      </c>
      <c r="CMM4764" s="911"/>
      <c r="CMN4764" s="911"/>
      <c r="CMO4764" s="911"/>
      <c r="CMP4764" s="911"/>
      <c r="CMQ4764" s="911"/>
      <c r="CMR4764" s="911"/>
      <c r="CMS4764" s="911"/>
      <c r="CMT4764" s="911"/>
      <c r="CMU4764" s="912"/>
      <c r="CMW4764" s="913" t="s">
        <v>1</v>
      </c>
      <c r="CMX4764" s="31"/>
      <c r="CMY4764" s="909" t="s">
        <v>0</v>
      </c>
      <c r="CMZ4764" s="909"/>
      <c r="CNA4764" s="909"/>
      <c r="CNB4764" s="909"/>
      <c r="CNC4764" s="909"/>
      <c r="CND4764" s="909"/>
      <c r="CNE4764" s="907" t="s">
        <v>79</v>
      </c>
      <c r="CNF4764" s="909" t="s">
        <v>68</v>
      </c>
      <c r="CNG4764" s="910" t="s">
        <v>75</v>
      </c>
      <c r="CNH4764" s="911"/>
      <c r="CNI4764" s="911"/>
      <c r="CNJ4764" s="911"/>
      <c r="CNK4764" s="911"/>
      <c r="CNL4764" s="911"/>
      <c r="CNM4764" s="911"/>
      <c r="CNN4764" s="911"/>
      <c r="CNO4764" s="911"/>
      <c r="CNP4764" s="911"/>
      <c r="CNQ4764" s="32"/>
      <c r="CNR4764" s="911" t="s">
        <v>74</v>
      </c>
      <c r="CNS4764" s="911"/>
      <c r="CNT4764" s="911"/>
      <c r="CNU4764" s="911"/>
      <c r="CNV4764" s="911"/>
      <c r="CNW4764" s="911"/>
      <c r="CNX4764" s="911"/>
      <c r="CNY4764" s="911"/>
      <c r="CNZ4764" s="911"/>
      <c r="COA4764" s="912"/>
      <c r="COC4764" s="913" t="s">
        <v>1</v>
      </c>
      <c r="COD4764" s="31"/>
      <c r="COE4764" s="909" t="s">
        <v>0</v>
      </c>
      <c r="COF4764" s="909"/>
      <c r="COG4764" s="909"/>
      <c r="COH4764" s="909"/>
      <c r="COI4764" s="909"/>
      <c r="COJ4764" s="909"/>
      <c r="COK4764" s="907" t="s">
        <v>79</v>
      </c>
      <c r="COL4764" s="909" t="s">
        <v>68</v>
      </c>
      <c r="COM4764" s="910" t="s">
        <v>75</v>
      </c>
      <c r="CON4764" s="911"/>
      <c r="COO4764" s="911"/>
      <c r="COP4764" s="911"/>
      <c r="COQ4764" s="911"/>
      <c r="COR4764" s="911"/>
      <c r="COS4764" s="911"/>
      <c r="COT4764" s="911"/>
      <c r="COU4764" s="911"/>
      <c r="COV4764" s="911"/>
      <c r="COW4764" s="32"/>
      <c r="COX4764" s="911" t="s">
        <v>74</v>
      </c>
      <c r="COY4764" s="911"/>
      <c r="COZ4764" s="911"/>
      <c r="CPA4764" s="911"/>
      <c r="CPB4764" s="911"/>
      <c r="CPC4764" s="911"/>
      <c r="CPD4764" s="911"/>
      <c r="CPE4764" s="911"/>
      <c r="CPF4764" s="911"/>
      <c r="CPG4764" s="912"/>
      <c r="CPI4764" s="913" t="s">
        <v>1</v>
      </c>
      <c r="CPJ4764" s="31"/>
      <c r="CPK4764" s="909" t="s">
        <v>0</v>
      </c>
      <c r="CPL4764" s="909"/>
      <c r="CPM4764" s="909"/>
      <c r="CPN4764" s="909"/>
      <c r="CPO4764" s="909"/>
      <c r="CPP4764" s="909"/>
      <c r="CPQ4764" s="907" t="s">
        <v>79</v>
      </c>
      <c r="CPR4764" s="909" t="s">
        <v>68</v>
      </c>
      <c r="CPS4764" s="910" t="s">
        <v>75</v>
      </c>
      <c r="CPT4764" s="911"/>
      <c r="CPU4764" s="911"/>
      <c r="CPV4764" s="911"/>
      <c r="CPW4764" s="911"/>
      <c r="CPX4764" s="911"/>
      <c r="CPY4764" s="911"/>
      <c r="CPZ4764" s="911"/>
      <c r="CQA4764" s="911"/>
      <c r="CQB4764" s="911"/>
      <c r="CQC4764" s="32"/>
      <c r="CQD4764" s="911" t="s">
        <v>74</v>
      </c>
      <c r="CQE4764" s="911"/>
      <c r="CQF4764" s="911"/>
      <c r="CQG4764" s="911"/>
      <c r="CQH4764" s="911"/>
      <c r="CQI4764" s="911"/>
      <c r="CQJ4764" s="911"/>
      <c r="CQK4764" s="911"/>
      <c r="CQL4764" s="911"/>
      <c r="CQM4764" s="912"/>
      <c r="CQO4764" s="913" t="s">
        <v>1</v>
      </c>
      <c r="CQP4764" s="31"/>
      <c r="CQQ4764" s="909" t="s">
        <v>0</v>
      </c>
      <c r="CQR4764" s="909"/>
      <c r="CQS4764" s="909"/>
      <c r="CQT4764" s="909"/>
      <c r="CQU4764" s="909"/>
      <c r="CQV4764" s="909"/>
      <c r="CQW4764" s="907" t="s">
        <v>79</v>
      </c>
      <c r="CQX4764" s="909" t="s">
        <v>68</v>
      </c>
      <c r="CQY4764" s="910" t="s">
        <v>75</v>
      </c>
      <c r="CQZ4764" s="911"/>
      <c r="CRA4764" s="911"/>
      <c r="CRB4764" s="911"/>
      <c r="CRC4764" s="911"/>
      <c r="CRD4764" s="911"/>
      <c r="CRE4764" s="911"/>
      <c r="CRF4764" s="911"/>
      <c r="CRG4764" s="911"/>
      <c r="CRH4764" s="911"/>
      <c r="CRI4764" s="32"/>
      <c r="CRJ4764" s="911" t="s">
        <v>74</v>
      </c>
      <c r="CRK4764" s="911"/>
      <c r="CRL4764" s="911"/>
      <c r="CRM4764" s="911"/>
      <c r="CRN4764" s="911"/>
      <c r="CRO4764" s="911"/>
      <c r="CRP4764" s="911"/>
      <c r="CRQ4764" s="911"/>
      <c r="CRR4764" s="911"/>
      <c r="CRS4764" s="912"/>
      <c r="CRU4764" s="913" t="s">
        <v>1</v>
      </c>
      <c r="CRV4764" s="31"/>
      <c r="CRW4764" s="909" t="s">
        <v>0</v>
      </c>
      <c r="CRX4764" s="909"/>
      <c r="CRY4764" s="909"/>
      <c r="CRZ4764" s="909"/>
      <c r="CSA4764" s="909"/>
      <c r="CSB4764" s="909"/>
      <c r="CSC4764" s="907" t="s">
        <v>79</v>
      </c>
      <c r="CSD4764" s="909" t="s">
        <v>68</v>
      </c>
      <c r="CSE4764" s="910" t="s">
        <v>75</v>
      </c>
      <c r="CSF4764" s="911"/>
      <c r="CSG4764" s="911"/>
      <c r="CSH4764" s="911"/>
      <c r="CSI4764" s="911"/>
      <c r="CSJ4764" s="911"/>
      <c r="CSK4764" s="911"/>
      <c r="CSL4764" s="911"/>
      <c r="CSM4764" s="911"/>
      <c r="CSN4764" s="911"/>
      <c r="CSO4764" s="32"/>
      <c r="CSP4764" s="911" t="s">
        <v>74</v>
      </c>
      <c r="CSQ4764" s="911"/>
      <c r="CSR4764" s="911"/>
      <c r="CSS4764" s="911"/>
      <c r="CST4764" s="911"/>
      <c r="CSU4764" s="911"/>
      <c r="CSV4764" s="911"/>
      <c r="CSW4764" s="911"/>
      <c r="CSX4764" s="911"/>
      <c r="CSY4764" s="912"/>
      <c r="CTA4764" s="913" t="s">
        <v>1</v>
      </c>
      <c r="CTB4764" s="31"/>
      <c r="CTC4764" s="909" t="s">
        <v>0</v>
      </c>
      <c r="CTD4764" s="909"/>
      <c r="CTE4764" s="909"/>
      <c r="CTF4764" s="909"/>
      <c r="CTG4764" s="909"/>
      <c r="CTH4764" s="909"/>
      <c r="CTI4764" s="907" t="s">
        <v>79</v>
      </c>
      <c r="CTJ4764" s="909" t="s">
        <v>68</v>
      </c>
      <c r="CTK4764" s="910" t="s">
        <v>75</v>
      </c>
      <c r="CTL4764" s="911"/>
      <c r="CTM4764" s="911"/>
      <c r="CTN4764" s="911"/>
      <c r="CTO4764" s="911"/>
      <c r="CTP4764" s="911"/>
      <c r="CTQ4764" s="911"/>
      <c r="CTR4764" s="911"/>
      <c r="CTS4764" s="911"/>
      <c r="CTT4764" s="911"/>
      <c r="CTU4764" s="32"/>
      <c r="CTV4764" s="911" t="s">
        <v>74</v>
      </c>
      <c r="CTW4764" s="911"/>
      <c r="CTX4764" s="911"/>
      <c r="CTY4764" s="911"/>
      <c r="CTZ4764" s="911"/>
      <c r="CUA4764" s="911"/>
      <c r="CUB4764" s="911"/>
      <c r="CUC4764" s="911"/>
      <c r="CUD4764" s="911"/>
      <c r="CUE4764" s="912"/>
      <c r="CUG4764" s="913" t="s">
        <v>1</v>
      </c>
      <c r="CUH4764" s="31"/>
      <c r="CUI4764" s="909" t="s">
        <v>0</v>
      </c>
      <c r="CUJ4764" s="909"/>
      <c r="CUK4764" s="909"/>
      <c r="CUL4764" s="909"/>
      <c r="CUM4764" s="909"/>
      <c r="CUN4764" s="909"/>
      <c r="CUO4764" s="907" t="s">
        <v>79</v>
      </c>
      <c r="CUP4764" s="909" t="s">
        <v>68</v>
      </c>
      <c r="CUQ4764" s="910" t="s">
        <v>75</v>
      </c>
      <c r="CUR4764" s="911"/>
      <c r="CUS4764" s="911"/>
      <c r="CUT4764" s="911"/>
      <c r="CUU4764" s="911"/>
      <c r="CUV4764" s="911"/>
      <c r="CUW4764" s="911"/>
      <c r="CUX4764" s="911"/>
      <c r="CUY4764" s="911"/>
      <c r="CUZ4764" s="911"/>
      <c r="CVA4764" s="32"/>
      <c r="CVB4764" s="911" t="s">
        <v>74</v>
      </c>
      <c r="CVC4764" s="911"/>
      <c r="CVD4764" s="911"/>
      <c r="CVE4764" s="911"/>
      <c r="CVF4764" s="911"/>
      <c r="CVG4764" s="911"/>
      <c r="CVH4764" s="911"/>
      <c r="CVI4764" s="911"/>
      <c r="CVJ4764" s="911"/>
      <c r="CVK4764" s="912"/>
      <c r="CVM4764" s="913" t="s">
        <v>1</v>
      </c>
      <c r="CVN4764" s="31"/>
      <c r="CVO4764" s="909" t="s">
        <v>0</v>
      </c>
      <c r="CVP4764" s="909"/>
      <c r="CVQ4764" s="909"/>
      <c r="CVR4764" s="909"/>
      <c r="CVS4764" s="909"/>
      <c r="CVT4764" s="909"/>
      <c r="CVU4764" s="907" t="s">
        <v>79</v>
      </c>
      <c r="CVV4764" s="909" t="s">
        <v>68</v>
      </c>
      <c r="CVW4764" s="910" t="s">
        <v>75</v>
      </c>
      <c r="CVX4764" s="911"/>
      <c r="CVY4764" s="911"/>
      <c r="CVZ4764" s="911"/>
      <c r="CWA4764" s="911"/>
      <c r="CWB4764" s="911"/>
      <c r="CWC4764" s="911"/>
      <c r="CWD4764" s="911"/>
      <c r="CWE4764" s="911"/>
      <c r="CWF4764" s="911"/>
      <c r="CWG4764" s="32"/>
      <c r="CWH4764" s="911" t="s">
        <v>74</v>
      </c>
      <c r="CWI4764" s="911"/>
      <c r="CWJ4764" s="911"/>
      <c r="CWK4764" s="911"/>
      <c r="CWL4764" s="911"/>
      <c r="CWM4764" s="911"/>
      <c r="CWN4764" s="911"/>
      <c r="CWO4764" s="911"/>
      <c r="CWP4764" s="911"/>
      <c r="CWQ4764" s="912"/>
      <c r="CWS4764" s="913" t="s">
        <v>1</v>
      </c>
      <c r="CWT4764" s="31"/>
      <c r="CWU4764" s="909" t="s">
        <v>0</v>
      </c>
      <c r="CWV4764" s="909"/>
      <c r="CWW4764" s="909"/>
      <c r="CWX4764" s="909"/>
      <c r="CWY4764" s="909"/>
      <c r="CWZ4764" s="909"/>
      <c r="CXA4764" s="907" t="s">
        <v>79</v>
      </c>
      <c r="CXB4764" s="909" t="s">
        <v>68</v>
      </c>
      <c r="CXC4764" s="910" t="s">
        <v>75</v>
      </c>
      <c r="CXD4764" s="911"/>
      <c r="CXE4764" s="911"/>
      <c r="CXF4764" s="911"/>
      <c r="CXG4764" s="911"/>
      <c r="CXH4764" s="911"/>
      <c r="CXI4764" s="911"/>
      <c r="CXJ4764" s="911"/>
      <c r="CXK4764" s="911"/>
      <c r="CXL4764" s="911"/>
      <c r="CXM4764" s="32"/>
      <c r="CXN4764" s="911" t="s">
        <v>74</v>
      </c>
      <c r="CXO4764" s="911"/>
      <c r="CXP4764" s="911"/>
      <c r="CXQ4764" s="911"/>
      <c r="CXR4764" s="911"/>
      <c r="CXS4764" s="911"/>
      <c r="CXT4764" s="911"/>
      <c r="CXU4764" s="911"/>
      <c r="CXV4764" s="911"/>
      <c r="CXW4764" s="912"/>
      <c r="CXY4764" s="913" t="s">
        <v>1</v>
      </c>
      <c r="CXZ4764" s="31"/>
      <c r="CYA4764" s="909" t="s">
        <v>0</v>
      </c>
      <c r="CYB4764" s="909"/>
      <c r="CYC4764" s="909"/>
      <c r="CYD4764" s="909"/>
      <c r="CYE4764" s="909"/>
      <c r="CYF4764" s="909"/>
      <c r="CYG4764" s="907" t="s">
        <v>79</v>
      </c>
      <c r="CYH4764" s="909" t="s">
        <v>68</v>
      </c>
      <c r="CYI4764" s="910" t="s">
        <v>75</v>
      </c>
      <c r="CYJ4764" s="911"/>
      <c r="CYK4764" s="911"/>
      <c r="CYL4764" s="911"/>
      <c r="CYM4764" s="911"/>
      <c r="CYN4764" s="911"/>
      <c r="CYO4764" s="911"/>
      <c r="CYP4764" s="911"/>
      <c r="CYQ4764" s="911"/>
      <c r="CYR4764" s="911"/>
      <c r="CYS4764" s="32"/>
      <c r="CYT4764" s="911" t="s">
        <v>74</v>
      </c>
      <c r="CYU4764" s="911"/>
      <c r="CYV4764" s="911"/>
      <c r="CYW4764" s="911"/>
      <c r="CYX4764" s="911"/>
      <c r="CYY4764" s="911"/>
      <c r="CYZ4764" s="911"/>
      <c r="CZA4764" s="911"/>
      <c r="CZB4764" s="911"/>
      <c r="CZC4764" s="912"/>
      <c r="CZE4764" s="913" t="s">
        <v>1</v>
      </c>
      <c r="CZF4764" s="31"/>
      <c r="CZG4764" s="909" t="s">
        <v>0</v>
      </c>
      <c r="CZH4764" s="909"/>
      <c r="CZI4764" s="909"/>
      <c r="CZJ4764" s="909"/>
      <c r="CZK4764" s="909"/>
      <c r="CZL4764" s="909"/>
      <c r="CZM4764" s="907" t="s">
        <v>79</v>
      </c>
      <c r="CZN4764" s="909" t="s">
        <v>68</v>
      </c>
      <c r="CZO4764" s="910" t="s">
        <v>75</v>
      </c>
      <c r="CZP4764" s="911"/>
      <c r="CZQ4764" s="911"/>
      <c r="CZR4764" s="911"/>
      <c r="CZS4764" s="911"/>
      <c r="CZT4764" s="911"/>
      <c r="CZU4764" s="911"/>
      <c r="CZV4764" s="911"/>
      <c r="CZW4764" s="911"/>
      <c r="CZX4764" s="911"/>
      <c r="CZY4764" s="32"/>
      <c r="CZZ4764" s="911" t="s">
        <v>74</v>
      </c>
      <c r="DAA4764" s="911"/>
      <c r="DAB4764" s="911"/>
      <c r="DAC4764" s="911"/>
      <c r="DAD4764" s="911"/>
      <c r="DAE4764" s="911"/>
      <c r="DAF4764" s="911"/>
      <c r="DAG4764" s="911"/>
      <c r="DAH4764" s="911"/>
      <c r="DAI4764" s="912"/>
      <c r="DAK4764" s="913" t="s">
        <v>1</v>
      </c>
      <c r="DAL4764" s="31"/>
      <c r="DAM4764" s="909" t="s">
        <v>0</v>
      </c>
      <c r="DAN4764" s="909"/>
      <c r="DAO4764" s="909"/>
      <c r="DAP4764" s="909"/>
      <c r="DAQ4764" s="909"/>
      <c r="DAR4764" s="909"/>
      <c r="DAS4764" s="907" t="s">
        <v>79</v>
      </c>
      <c r="DAT4764" s="909" t="s">
        <v>68</v>
      </c>
      <c r="DAU4764" s="910" t="s">
        <v>75</v>
      </c>
      <c r="DAV4764" s="911"/>
      <c r="DAW4764" s="911"/>
      <c r="DAX4764" s="911"/>
      <c r="DAY4764" s="911"/>
      <c r="DAZ4764" s="911"/>
      <c r="DBA4764" s="911"/>
      <c r="DBB4764" s="911"/>
      <c r="DBC4764" s="911"/>
      <c r="DBD4764" s="911"/>
      <c r="DBE4764" s="32"/>
      <c r="DBF4764" s="911" t="s">
        <v>74</v>
      </c>
      <c r="DBG4764" s="911"/>
      <c r="DBH4764" s="911"/>
      <c r="DBI4764" s="911"/>
      <c r="DBJ4764" s="911"/>
      <c r="DBK4764" s="911"/>
      <c r="DBL4764" s="911"/>
      <c r="DBM4764" s="911"/>
      <c r="DBN4764" s="911"/>
      <c r="DBO4764" s="912"/>
      <c r="DBQ4764" s="913" t="s">
        <v>1</v>
      </c>
      <c r="DBR4764" s="31"/>
      <c r="DBS4764" s="909" t="s">
        <v>0</v>
      </c>
      <c r="DBT4764" s="909"/>
      <c r="DBU4764" s="909"/>
      <c r="DBV4764" s="909"/>
      <c r="DBW4764" s="909"/>
      <c r="DBX4764" s="909"/>
      <c r="DBY4764" s="907" t="s">
        <v>79</v>
      </c>
      <c r="DBZ4764" s="909" t="s">
        <v>68</v>
      </c>
      <c r="DCA4764" s="910" t="s">
        <v>75</v>
      </c>
      <c r="DCB4764" s="911"/>
      <c r="DCC4764" s="911"/>
      <c r="DCD4764" s="911"/>
      <c r="DCE4764" s="911"/>
      <c r="DCF4764" s="911"/>
      <c r="DCG4764" s="911"/>
      <c r="DCH4764" s="911"/>
      <c r="DCI4764" s="911"/>
      <c r="DCJ4764" s="911"/>
      <c r="DCK4764" s="32"/>
      <c r="DCL4764" s="911" t="s">
        <v>74</v>
      </c>
      <c r="DCM4764" s="911"/>
      <c r="DCN4764" s="911"/>
      <c r="DCO4764" s="911"/>
      <c r="DCP4764" s="911"/>
      <c r="DCQ4764" s="911"/>
      <c r="DCR4764" s="911"/>
      <c r="DCS4764" s="911"/>
      <c r="DCT4764" s="911"/>
      <c r="DCU4764" s="912"/>
      <c r="DCW4764" s="913" t="s">
        <v>1</v>
      </c>
      <c r="DCX4764" s="31"/>
      <c r="DCY4764" s="909" t="s">
        <v>0</v>
      </c>
      <c r="DCZ4764" s="909"/>
      <c r="DDA4764" s="909"/>
      <c r="DDB4764" s="909"/>
      <c r="DDC4764" s="909"/>
      <c r="DDD4764" s="909"/>
      <c r="DDE4764" s="907" t="s">
        <v>79</v>
      </c>
      <c r="DDF4764" s="909" t="s">
        <v>68</v>
      </c>
      <c r="DDG4764" s="910" t="s">
        <v>75</v>
      </c>
      <c r="DDH4764" s="911"/>
      <c r="DDI4764" s="911"/>
      <c r="DDJ4764" s="911"/>
      <c r="DDK4764" s="911"/>
      <c r="DDL4764" s="911"/>
      <c r="DDM4764" s="911"/>
      <c r="DDN4764" s="911"/>
      <c r="DDO4764" s="911"/>
      <c r="DDP4764" s="911"/>
      <c r="DDQ4764" s="32"/>
      <c r="DDR4764" s="911" t="s">
        <v>74</v>
      </c>
      <c r="DDS4764" s="911"/>
      <c r="DDT4764" s="911"/>
      <c r="DDU4764" s="911"/>
      <c r="DDV4764" s="911"/>
      <c r="DDW4764" s="911"/>
      <c r="DDX4764" s="911"/>
      <c r="DDY4764" s="911"/>
      <c r="DDZ4764" s="911"/>
      <c r="DEA4764" s="912"/>
      <c r="DEC4764" s="913" t="s">
        <v>1</v>
      </c>
      <c r="DED4764" s="31"/>
      <c r="DEE4764" s="909" t="s">
        <v>0</v>
      </c>
      <c r="DEF4764" s="909"/>
      <c r="DEG4764" s="909"/>
      <c r="DEH4764" s="909"/>
      <c r="DEI4764" s="909"/>
      <c r="DEJ4764" s="909"/>
      <c r="DEK4764" s="907" t="s">
        <v>79</v>
      </c>
      <c r="DEL4764" s="909" t="s">
        <v>68</v>
      </c>
      <c r="DEM4764" s="910" t="s">
        <v>75</v>
      </c>
      <c r="DEN4764" s="911"/>
      <c r="DEO4764" s="911"/>
      <c r="DEP4764" s="911"/>
      <c r="DEQ4764" s="911"/>
      <c r="DER4764" s="911"/>
      <c r="DES4764" s="911"/>
      <c r="DET4764" s="911"/>
      <c r="DEU4764" s="911"/>
      <c r="DEV4764" s="911"/>
      <c r="DEW4764" s="32"/>
      <c r="DEX4764" s="911" t="s">
        <v>74</v>
      </c>
      <c r="DEY4764" s="911"/>
      <c r="DEZ4764" s="911"/>
      <c r="DFA4764" s="911"/>
      <c r="DFB4764" s="911"/>
      <c r="DFC4764" s="911"/>
      <c r="DFD4764" s="911"/>
      <c r="DFE4764" s="911"/>
      <c r="DFF4764" s="911"/>
      <c r="DFG4764" s="912"/>
      <c r="DFI4764" s="913" t="s">
        <v>1</v>
      </c>
      <c r="DFJ4764" s="31"/>
      <c r="DFK4764" s="909" t="s">
        <v>0</v>
      </c>
      <c r="DFL4764" s="909"/>
      <c r="DFM4764" s="909"/>
      <c r="DFN4764" s="909"/>
      <c r="DFO4764" s="909"/>
      <c r="DFP4764" s="909"/>
      <c r="DFQ4764" s="907" t="s">
        <v>79</v>
      </c>
      <c r="DFR4764" s="909" t="s">
        <v>68</v>
      </c>
      <c r="DFS4764" s="910" t="s">
        <v>75</v>
      </c>
      <c r="DFT4764" s="911"/>
      <c r="DFU4764" s="911"/>
      <c r="DFV4764" s="911"/>
      <c r="DFW4764" s="911"/>
      <c r="DFX4764" s="911"/>
      <c r="DFY4764" s="911"/>
      <c r="DFZ4764" s="911"/>
      <c r="DGA4764" s="911"/>
      <c r="DGB4764" s="911"/>
      <c r="DGC4764" s="32"/>
      <c r="DGD4764" s="911" t="s">
        <v>74</v>
      </c>
      <c r="DGE4764" s="911"/>
      <c r="DGF4764" s="911"/>
      <c r="DGG4764" s="911"/>
      <c r="DGH4764" s="911"/>
      <c r="DGI4764" s="911"/>
      <c r="DGJ4764" s="911"/>
      <c r="DGK4764" s="911"/>
      <c r="DGL4764" s="911"/>
      <c r="DGM4764" s="912"/>
      <c r="DGO4764" s="913" t="s">
        <v>1</v>
      </c>
      <c r="DGP4764" s="31"/>
      <c r="DGQ4764" s="909" t="s">
        <v>0</v>
      </c>
      <c r="DGR4764" s="909"/>
      <c r="DGS4764" s="909"/>
      <c r="DGT4764" s="909"/>
      <c r="DGU4764" s="909"/>
      <c r="DGV4764" s="909"/>
      <c r="DGW4764" s="907" t="s">
        <v>79</v>
      </c>
      <c r="DGX4764" s="909" t="s">
        <v>68</v>
      </c>
      <c r="DGY4764" s="910" t="s">
        <v>75</v>
      </c>
      <c r="DGZ4764" s="911"/>
      <c r="DHA4764" s="911"/>
      <c r="DHB4764" s="911"/>
      <c r="DHC4764" s="911"/>
      <c r="DHD4764" s="911"/>
      <c r="DHE4764" s="911"/>
      <c r="DHF4764" s="911"/>
      <c r="DHG4764" s="911"/>
      <c r="DHH4764" s="911"/>
      <c r="DHI4764" s="32"/>
      <c r="DHJ4764" s="911" t="s">
        <v>74</v>
      </c>
      <c r="DHK4764" s="911"/>
      <c r="DHL4764" s="911"/>
      <c r="DHM4764" s="911"/>
      <c r="DHN4764" s="911"/>
      <c r="DHO4764" s="911"/>
      <c r="DHP4764" s="911"/>
      <c r="DHQ4764" s="911"/>
      <c r="DHR4764" s="911"/>
      <c r="DHS4764" s="912"/>
      <c r="DHU4764" s="913" t="s">
        <v>1</v>
      </c>
      <c r="DHV4764" s="31"/>
      <c r="DHW4764" s="909" t="s">
        <v>0</v>
      </c>
      <c r="DHX4764" s="909"/>
      <c r="DHY4764" s="909"/>
      <c r="DHZ4764" s="909"/>
      <c r="DIA4764" s="909"/>
      <c r="DIB4764" s="909"/>
      <c r="DIC4764" s="907" t="s">
        <v>79</v>
      </c>
      <c r="DID4764" s="909" t="s">
        <v>68</v>
      </c>
      <c r="DIE4764" s="910" t="s">
        <v>75</v>
      </c>
      <c r="DIF4764" s="911"/>
      <c r="DIG4764" s="911"/>
      <c r="DIH4764" s="911"/>
      <c r="DII4764" s="911"/>
      <c r="DIJ4764" s="911"/>
      <c r="DIK4764" s="911"/>
      <c r="DIL4764" s="911"/>
      <c r="DIM4764" s="911"/>
      <c r="DIN4764" s="911"/>
      <c r="DIO4764" s="32"/>
      <c r="DIP4764" s="911" t="s">
        <v>74</v>
      </c>
      <c r="DIQ4764" s="911"/>
      <c r="DIR4764" s="911"/>
      <c r="DIS4764" s="911"/>
      <c r="DIT4764" s="911"/>
      <c r="DIU4764" s="911"/>
      <c r="DIV4764" s="911"/>
      <c r="DIW4764" s="911"/>
      <c r="DIX4764" s="911"/>
      <c r="DIY4764" s="912"/>
      <c r="DJA4764" s="913" t="s">
        <v>1</v>
      </c>
      <c r="DJB4764" s="31"/>
      <c r="DJC4764" s="909" t="s">
        <v>0</v>
      </c>
      <c r="DJD4764" s="909"/>
      <c r="DJE4764" s="909"/>
      <c r="DJF4764" s="909"/>
      <c r="DJG4764" s="909"/>
      <c r="DJH4764" s="909"/>
      <c r="DJI4764" s="907" t="s">
        <v>79</v>
      </c>
      <c r="DJJ4764" s="909" t="s">
        <v>68</v>
      </c>
      <c r="DJK4764" s="910" t="s">
        <v>75</v>
      </c>
      <c r="DJL4764" s="911"/>
      <c r="DJM4764" s="911"/>
      <c r="DJN4764" s="911"/>
      <c r="DJO4764" s="911"/>
      <c r="DJP4764" s="911"/>
      <c r="DJQ4764" s="911"/>
      <c r="DJR4764" s="911"/>
      <c r="DJS4764" s="911"/>
      <c r="DJT4764" s="911"/>
      <c r="DJU4764" s="32"/>
      <c r="DJV4764" s="911" t="s">
        <v>74</v>
      </c>
      <c r="DJW4764" s="911"/>
      <c r="DJX4764" s="911"/>
      <c r="DJY4764" s="911"/>
      <c r="DJZ4764" s="911"/>
      <c r="DKA4764" s="911"/>
      <c r="DKB4764" s="911"/>
      <c r="DKC4764" s="911"/>
      <c r="DKD4764" s="911"/>
      <c r="DKE4764" s="912"/>
      <c r="DKG4764" s="913" t="s">
        <v>1</v>
      </c>
      <c r="DKH4764" s="31"/>
      <c r="DKI4764" s="909" t="s">
        <v>0</v>
      </c>
      <c r="DKJ4764" s="909"/>
      <c r="DKK4764" s="909"/>
      <c r="DKL4764" s="909"/>
      <c r="DKM4764" s="909"/>
      <c r="DKN4764" s="909"/>
      <c r="DKO4764" s="907" t="s">
        <v>79</v>
      </c>
      <c r="DKP4764" s="909" t="s">
        <v>68</v>
      </c>
      <c r="DKQ4764" s="910" t="s">
        <v>75</v>
      </c>
      <c r="DKR4764" s="911"/>
      <c r="DKS4764" s="911"/>
      <c r="DKT4764" s="911"/>
      <c r="DKU4764" s="911"/>
      <c r="DKV4764" s="911"/>
      <c r="DKW4764" s="911"/>
      <c r="DKX4764" s="911"/>
      <c r="DKY4764" s="911"/>
      <c r="DKZ4764" s="911"/>
      <c r="DLA4764" s="32"/>
      <c r="DLB4764" s="911" t="s">
        <v>74</v>
      </c>
      <c r="DLC4764" s="911"/>
      <c r="DLD4764" s="911"/>
      <c r="DLE4764" s="911"/>
      <c r="DLF4764" s="911"/>
      <c r="DLG4764" s="911"/>
      <c r="DLH4764" s="911"/>
      <c r="DLI4764" s="911"/>
      <c r="DLJ4764" s="911"/>
      <c r="DLK4764" s="912"/>
      <c r="DLM4764" s="913" t="s">
        <v>1</v>
      </c>
      <c r="DLN4764" s="31"/>
      <c r="DLO4764" s="909" t="s">
        <v>0</v>
      </c>
      <c r="DLP4764" s="909"/>
      <c r="DLQ4764" s="909"/>
      <c r="DLR4764" s="909"/>
      <c r="DLS4764" s="909"/>
      <c r="DLT4764" s="909"/>
      <c r="DLU4764" s="907" t="s">
        <v>79</v>
      </c>
      <c r="DLV4764" s="909" t="s">
        <v>68</v>
      </c>
      <c r="DLW4764" s="910" t="s">
        <v>75</v>
      </c>
      <c r="DLX4764" s="911"/>
      <c r="DLY4764" s="911"/>
      <c r="DLZ4764" s="911"/>
      <c r="DMA4764" s="911"/>
      <c r="DMB4764" s="911"/>
      <c r="DMC4764" s="911"/>
      <c r="DMD4764" s="911"/>
      <c r="DME4764" s="911"/>
      <c r="DMF4764" s="911"/>
      <c r="DMG4764" s="32"/>
      <c r="DMH4764" s="911" t="s">
        <v>74</v>
      </c>
      <c r="DMI4764" s="911"/>
      <c r="DMJ4764" s="911"/>
      <c r="DMK4764" s="911"/>
      <c r="DML4764" s="911"/>
      <c r="DMM4764" s="911"/>
      <c r="DMN4764" s="911"/>
      <c r="DMO4764" s="911"/>
      <c r="DMP4764" s="911"/>
      <c r="DMQ4764" s="912"/>
      <c r="DMS4764" s="913" t="s">
        <v>1</v>
      </c>
      <c r="DMT4764" s="31"/>
      <c r="DMU4764" s="909" t="s">
        <v>0</v>
      </c>
      <c r="DMV4764" s="909"/>
      <c r="DMW4764" s="909"/>
      <c r="DMX4764" s="909"/>
      <c r="DMY4764" s="909"/>
      <c r="DMZ4764" s="909"/>
      <c r="DNA4764" s="907" t="s">
        <v>79</v>
      </c>
      <c r="DNB4764" s="909" t="s">
        <v>68</v>
      </c>
      <c r="DNC4764" s="910" t="s">
        <v>75</v>
      </c>
      <c r="DND4764" s="911"/>
      <c r="DNE4764" s="911"/>
      <c r="DNF4764" s="911"/>
      <c r="DNG4764" s="911"/>
      <c r="DNH4764" s="911"/>
      <c r="DNI4764" s="911"/>
      <c r="DNJ4764" s="911"/>
      <c r="DNK4764" s="911"/>
      <c r="DNL4764" s="911"/>
      <c r="DNM4764" s="32"/>
      <c r="DNN4764" s="911" t="s">
        <v>74</v>
      </c>
      <c r="DNO4764" s="911"/>
      <c r="DNP4764" s="911"/>
      <c r="DNQ4764" s="911"/>
      <c r="DNR4764" s="911"/>
      <c r="DNS4764" s="911"/>
      <c r="DNT4764" s="911"/>
      <c r="DNU4764" s="911"/>
      <c r="DNV4764" s="911"/>
      <c r="DNW4764" s="912"/>
      <c r="DNY4764" s="913" t="s">
        <v>1</v>
      </c>
      <c r="DNZ4764" s="31"/>
      <c r="DOA4764" s="909" t="s">
        <v>0</v>
      </c>
      <c r="DOB4764" s="909"/>
      <c r="DOC4764" s="909"/>
      <c r="DOD4764" s="909"/>
      <c r="DOE4764" s="909"/>
      <c r="DOF4764" s="909"/>
      <c r="DOG4764" s="907" t="s">
        <v>79</v>
      </c>
      <c r="DOH4764" s="909" t="s">
        <v>68</v>
      </c>
      <c r="DOI4764" s="910" t="s">
        <v>75</v>
      </c>
      <c r="DOJ4764" s="911"/>
      <c r="DOK4764" s="911"/>
      <c r="DOL4764" s="911"/>
      <c r="DOM4764" s="911"/>
      <c r="DON4764" s="911"/>
      <c r="DOO4764" s="911"/>
      <c r="DOP4764" s="911"/>
      <c r="DOQ4764" s="911"/>
      <c r="DOR4764" s="911"/>
      <c r="DOS4764" s="32"/>
      <c r="DOT4764" s="911" t="s">
        <v>74</v>
      </c>
      <c r="DOU4764" s="911"/>
      <c r="DOV4764" s="911"/>
      <c r="DOW4764" s="911"/>
      <c r="DOX4764" s="911"/>
      <c r="DOY4764" s="911"/>
      <c r="DOZ4764" s="911"/>
      <c r="DPA4764" s="911"/>
      <c r="DPB4764" s="911"/>
      <c r="DPC4764" s="912"/>
      <c r="DPE4764" s="913" t="s">
        <v>1</v>
      </c>
      <c r="DPF4764" s="31"/>
      <c r="DPG4764" s="909" t="s">
        <v>0</v>
      </c>
      <c r="DPH4764" s="909"/>
      <c r="DPI4764" s="909"/>
      <c r="DPJ4764" s="909"/>
      <c r="DPK4764" s="909"/>
      <c r="DPL4764" s="909"/>
      <c r="DPM4764" s="907" t="s">
        <v>79</v>
      </c>
      <c r="DPN4764" s="909" t="s">
        <v>68</v>
      </c>
      <c r="DPO4764" s="910" t="s">
        <v>75</v>
      </c>
      <c r="DPP4764" s="911"/>
      <c r="DPQ4764" s="911"/>
      <c r="DPR4764" s="911"/>
      <c r="DPS4764" s="911"/>
      <c r="DPT4764" s="911"/>
      <c r="DPU4764" s="911"/>
      <c r="DPV4764" s="911"/>
      <c r="DPW4764" s="911"/>
      <c r="DPX4764" s="911"/>
      <c r="DPY4764" s="32"/>
      <c r="DPZ4764" s="911" t="s">
        <v>74</v>
      </c>
      <c r="DQA4764" s="911"/>
      <c r="DQB4764" s="911"/>
      <c r="DQC4764" s="911"/>
      <c r="DQD4764" s="911"/>
      <c r="DQE4764" s="911"/>
      <c r="DQF4764" s="911"/>
      <c r="DQG4764" s="911"/>
      <c r="DQH4764" s="911"/>
      <c r="DQI4764" s="912"/>
      <c r="DQK4764" s="913" t="s">
        <v>1</v>
      </c>
      <c r="DQL4764" s="31"/>
      <c r="DQM4764" s="909" t="s">
        <v>0</v>
      </c>
      <c r="DQN4764" s="909"/>
      <c r="DQO4764" s="909"/>
      <c r="DQP4764" s="909"/>
      <c r="DQQ4764" s="909"/>
      <c r="DQR4764" s="909"/>
      <c r="DQS4764" s="907" t="s">
        <v>79</v>
      </c>
      <c r="DQT4764" s="909" t="s">
        <v>68</v>
      </c>
      <c r="DQU4764" s="910" t="s">
        <v>75</v>
      </c>
      <c r="DQV4764" s="911"/>
      <c r="DQW4764" s="911"/>
      <c r="DQX4764" s="911"/>
      <c r="DQY4764" s="911"/>
      <c r="DQZ4764" s="911"/>
      <c r="DRA4764" s="911"/>
      <c r="DRB4764" s="911"/>
      <c r="DRC4764" s="911"/>
      <c r="DRD4764" s="911"/>
      <c r="DRE4764" s="32"/>
      <c r="DRF4764" s="911" t="s">
        <v>74</v>
      </c>
      <c r="DRG4764" s="911"/>
      <c r="DRH4764" s="911"/>
      <c r="DRI4764" s="911"/>
      <c r="DRJ4764" s="911"/>
      <c r="DRK4764" s="911"/>
      <c r="DRL4764" s="911"/>
      <c r="DRM4764" s="911"/>
      <c r="DRN4764" s="911"/>
      <c r="DRO4764" s="912"/>
      <c r="DRQ4764" s="913" t="s">
        <v>1</v>
      </c>
      <c r="DRR4764" s="31"/>
      <c r="DRS4764" s="909" t="s">
        <v>0</v>
      </c>
      <c r="DRT4764" s="909"/>
      <c r="DRU4764" s="909"/>
      <c r="DRV4764" s="909"/>
      <c r="DRW4764" s="909"/>
      <c r="DRX4764" s="909"/>
      <c r="DRY4764" s="907" t="s">
        <v>79</v>
      </c>
      <c r="DRZ4764" s="909" t="s">
        <v>68</v>
      </c>
      <c r="DSA4764" s="910" t="s">
        <v>75</v>
      </c>
      <c r="DSB4764" s="911"/>
      <c r="DSC4764" s="911"/>
      <c r="DSD4764" s="911"/>
      <c r="DSE4764" s="911"/>
      <c r="DSF4764" s="911"/>
      <c r="DSG4764" s="911"/>
      <c r="DSH4764" s="911"/>
      <c r="DSI4764" s="911"/>
      <c r="DSJ4764" s="911"/>
      <c r="DSK4764" s="32"/>
      <c r="DSL4764" s="911" t="s">
        <v>74</v>
      </c>
      <c r="DSM4764" s="911"/>
      <c r="DSN4764" s="911"/>
      <c r="DSO4764" s="911"/>
      <c r="DSP4764" s="911"/>
      <c r="DSQ4764" s="911"/>
      <c r="DSR4764" s="911"/>
      <c r="DSS4764" s="911"/>
      <c r="DST4764" s="911"/>
      <c r="DSU4764" s="912"/>
      <c r="DSW4764" s="913" t="s">
        <v>1</v>
      </c>
      <c r="DSX4764" s="31"/>
      <c r="DSY4764" s="909" t="s">
        <v>0</v>
      </c>
      <c r="DSZ4764" s="909"/>
      <c r="DTA4764" s="909"/>
      <c r="DTB4764" s="909"/>
      <c r="DTC4764" s="909"/>
      <c r="DTD4764" s="909"/>
      <c r="DTE4764" s="907" t="s">
        <v>79</v>
      </c>
      <c r="DTF4764" s="909" t="s">
        <v>68</v>
      </c>
      <c r="DTG4764" s="910" t="s">
        <v>75</v>
      </c>
      <c r="DTH4764" s="911"/>
      <c r="DTI4764" s="911"/>
      <c r="DTJ4764" s="911"/>
      <c r="DTK4764" s="911"/>
      <c r="DTL4764" s="911"/>
      <c r="DTM4764" s="911"/>
      <c r="DTN4764" s="911"/>
      <c r="DTO4764" s="911"/>
      <c r="DTP4764" s="911"/>
      <c r="DTQ4764" s="32"/>
      <c r="DTR4764" s="911" t="s">
        <v>74</v>
      </c>
      <c r="DTS4764" s="911"/>
      <c r="DTT4764" s="911"/>
      <c r="DTU4764" s="911"/>
      <c r="DTV4764" s="911"/>
      <c r="DTW4764" s="911"/>
      <c r="DTX4764" s="911"/>
      <c r="DTY4764" s="911"/>
      <c r="DTZ4764" s="911"/>
      <c r="DUA4764" s="912"/>
      <c r="DUC4764" s="913" t="s">
        <v>1</v>
      </c>
      <c r="DUD4764" s="31"/>
      <c r="DUE4764" s="909" t="s">
        <v>0</v>
      </c>
      <c r="DUF4764" s="909"/>
      <c r="DUG4764" s="909"/>
      <c r="DUH4764" s="909"/>
      <c r="DUI4764" s="909"/>
      <c r="DUJ4764" s="909"/>
      <c r="DUK4764" s="907" t="s">
        <v>79</v>
      </c>
      <c r="DUL4764" s="909" t="s">
        <v>68</v>
      </c>
      <c r="DUM4764" s="910" t="s">
        <v>75</v>
      </c>
      <c r="DUN4764" s="911"/>
      <c r="DUO4764" s="911"/>
      <c r="DUP4764" s="911"/>
      <c r="DUQ4764" s="911"/>
      <c r="DUR4764" s="911"/>
      <c r="DUS4764" s="911"/>
      <c r="DUT4764" s="911"/>
      <c r="DUU4764" s="911"/>
      <c r="DUV4764" s="911"/>
      <c r="DUW4764" s="32"/>
      <c r="DUX4764" s="911" t="s">
        <v>74</v>
      </c>
      <c r="DUY4764" s="911"/>
      <c r="DUZ4764" s="911"/>
      <c r="DVA4764" s="911"/>
      <c r="DVB4764" s="911"/>
      <c r="DVC4764" s="911"/>
      <c r="DVD4764" s="911"/>
      <c r="DVE4764" s="911"/>
      <c r="DVF4764" s="911"/>
      <c r="DVG4764" s="912"/>
      <c r="DVI4764" s="913" t="s">
        <v>1</v>
      </c>
      <c r="DVJ4764" s="31"/>
      <c r="DVK4764" s="909" t="s">
        <v>0</v>
      </c>
      <c r="DVL4764" s="909"/>
      <c r="DVM4764" s="909"/>
      <c r="DVN4764" s="909"/>
      <c r="DVO4764" s="909"/>
      <c r="DVP4764" s="909"/>
      <c r="DVQ4764" s="907" t="s">
        <v>79</v>
      </c>
      <c r="DVR4764" s="909" t="s">
        <v>68</v>
      </c>
      <c r="DVS4764" s="910" t="s">
        <v>75</v>
      </c>
      <c r="DVT4764" s="911"/>
      <c r="DVU4764" s="911"/>
      <c r="DVV4764" s="911"/>
      <c r="DVW4764" s="911"/>
      <c r="DVX4764" s="911"/>
      <c r="DVY4764" s="911"/>
      <c r="DVZ4764" s="911"/>
      <c r="DWA4764" s="911"/>
      <c r="DWB4764" s="911"/>
      <c r="DWC4764" s="32"/>
      <c r="DWD4764" s="911" t="s">
        <v>74</v>
      </c>
      <c r="DWE4764" s="911"/>
      <c r="DWF4764" s="911"/>
      <c r="DWG4764" s="911"/>
      <c r="DWH4764" s="911"/>
      <c r="DWI4764" s="911"/>
      <c r="DWJ4764" s="911"/>
      <c r="DWK4764" s="911"/>
      <c r="DWL4764" s="911"/>
      <c r="DWM4764" s="912"/>
      <c r="DWO4764" s="913" t="s">
        <v>1</v>
      </c>
      <c r="DWP4764" s="31"/>
      <c r="DWQ4764" s="909" t="s">
        <v>0</v>
      </c>
      <c r="DWR4764" s="909"/>
      <c r="DWS4764" s="909"/>
      <c r="DWT4764" s="909"/>
      <c r="DWU4764" s="909"/>
      <c r="DWV4764" s="909"/>
      <c r="DWW4764" s="907" t="s">
        <v>79</v>
      </c>
      <c r="DWX4764" s="909" t="s">
        <v>68</v>
      </c>
      <c r="DWY4764" s="910" t="s">
        <v>75</v>
      </c>
      <c r="DWZ4764" s="911"/>
      <c r="DXA4764" s="911"/>
      <c r="DXB4764" s="911"/>
      <c r="DXC4764" s="911"/>
      <c r="DXD4764" s="911"/>
      <c r="DXE4764" s="911"/>
      <c r="DXF4764" s="911"/>
      <c r="DXG4764" s="911"/>
      <c r="DXH4764" s="911"/>
      <c r="DXI4764" s="32"/>
      <c r="DXJ4764" s="911" t="s">
        <v>74</v>
      </c>
      <c r="DXK4764" s="911"/>
      <c r="DXL4764" s="911"/>
      <c r="DXM4764" s="911"/>
      <c r="DXN4764" s="911"/>
      <c r="DXO4764" s="911"/>
      <c r="DXP4764" s="911"/>
      <c r="DXQ4764" s="911"/>
      <c r="DXR4764" s="911"/>
      <c r="DXS4764" s="912"/>
      <c r="DXU4764" s="913" t="s">
        <v>1</v>
      </c>
      <c r="DXV4764" s="31"/>
      <c r="DXW4764" s="909" t="s">
        <v>0</v>
      </c>
      <c r="DXX4764" s="909"/>
      <c r="DXY4764" s="909"/>
      <c r="DXZ4764" s="909"/>
      <c r="DYA4764" s="909"/>
      <c r="DYB4764" s="909"/>
      <c r="DYC4764" s="907" t="s">
        <v>79</v>
      </c>
      <c r="DYD4764" s="909" t="s">
        <v>68</v>
      </c>
      <c r="DYE4764" s="910" t="s">
        <v>75</v>
      </c>
      <c r="DYF4764" s="911"/>
      <c r="DYG4764" s="911"/>
      <c r="DYH4764" s="911"/>
      <c r="DYI4764" s="911"/>
      <c r="DYJ4764" s="911"/>
      <c r="DYK4764" s="911"/>
      <c r="DYL4764" s="911"/>
      <c r="DYM4764" s="911"/>
      <c r="DYN4764" s="911"/>
      <c r="DYO4764" s="32"/>
      <c r="DYP4764" s="911" t="s">
        <v>74</v>
      </c>
      <c r="DYQ4764" s="911"/>
      <c r="DYR4764" s="911"/>
      <c r="DYS4764" s="911"/>
      <c r="DYT4764" s="911"/>
      <c r="DYU4764" s="911"/>
      <c r="DYV4764" s="911"/>
      <c r="DYW4764" s="911"/>
      <c r="DYX4764" s="911"/>
      <c r="DYY4764" s="912"/>
      <c r="DZA4764" s="913" t="s">
        <v>1</v>
      </c>
      <c r="DZB4764" s="31"/>
      <c r="DZC4764" s="909" t="s">
        <v>0</v>
      </c>
      <c r="DZD4764" s="909"/>
      <c r="DZE4764" s="909"/>
      <c r="DZF4764" s="909"/>
      <c r="DZG4764" s="909"/>
      <c r="DZH4764" s="909"/>
      <c r="DZI4764" s="907" t="s">
        <v>79</v>
      </c>
      <c r="DZJ4764" s="909" t="s">
        <v>68</v>
      </c>
      <c r="DZK4764" s="910" t="s">
        <v>75</v>
      </c>
      <c r="DZL4764" s="911"/>
      <c r="DZM4764" s="911"/>
      <c r="DZN4764" s="911"/>
      <c r="DZO4764" s="911"/>
      <c r="DZP4764" s="911"/>
      <c r="DZQ4764" s="911"/>
      <c r="DZR4764" s="911"/>
      <c r="DZS4764" s="911"/>
      <c r="DZT4764" s="911"/>
      <c r="DZU4764" s="32"/>
      <c r="DZV4764" s="911" t="s">
        <v>74</v>
      </c>
      <c r="DZW4764" s="911"/>
      <c r="DZX4764" s="911"/>
      <c r="DZY4764" s="911"/>
      <c r="DZZ4764" s="911"/>
      <c r="EAA4764" s="911"/>
      <c r="EAB4764" s="911"/>
      <c r="EAC4764" s="911"/>
      <c r="EAD4764" s="911"/>
      <c r="EAE4764" s="912"/>
      <c r="EAG4764" s="913" t="s">
        <v>1</v>
      </c>
      <c r="EAH4764" s="31"/>
      <c r="EAI4764" s="909" t="s">
        <v>0</v>
      </c>
      <c r="EAJ4764" s="909"/>
      <c r="EAK4764" s="909"/>
      <c r="EAL4764" s="909"/>
      <c r="EAM4764" s="909"/>
      <c r="EAN4764" s="909"/>
      <c r="EAO4764" s="907" t="s">
        <v>79</v>
      </c>
      <c r="EAP4764" s="909" t="s">
        <v>68</v>
      </c>
      <c r="EAQ4764" s="910" t="s">
        <v>75</v>
      </c>
      <c r="EAR4764" s="911"/>
      <c r="EAS4764" s="911"/>
      <c r="EAT4764" s="911"/>
      <c r="EAU4764" s="911"/>
      <c r="EAV4764" s="911"/>
      <c r="EAW4764" s="911"/>
      <c r="EAX4764" s="911"/>
      <c r="EAY4764" s="911"/>
      <c r="EAZ4764" s="911"/>
      <c r="EBA4764" s="32"/>
      <c r="EBB4764" s="911" t="s">
        <v>74</v>
      </c>
      <c r="EBC4764" s="911"/>
      <c r="EBD4764" s="911"/>
      <c r="EBE4764" s="911"/>
      <c r="EBF4764" s="911"/>
      <c r="EBG4764" s="911"/>
      <c r="EBH4764" s="911"/>
      <c r="EBI4764" s="911"/>
      <c r="EBJ4764" s="911"/>
      <c r="EBK4764" s="912"/>
      <c r="EBM4764" s="913" t="s">
        <v>1</v>
      </c>
      <c r="EBN4764" s="31"/>
      <c r="EBO4764" s="909" t="s">
        <v>0</v>
      </c>
      <c r="EBP4764" s="909"/>
      <c r="EBQ4764" s="909"/>
      <c r="EBR4764" s="909"/>
      <c r="EBS4764" s="909"/>
      <c r="EBT4764" s="909"/>
      <c r="EBU4764" s="907" t="s">
        <v>79</v>
      </c>
      <c r="EBV4764" s="909" t="s">
        <v>68</v>
      </c>
      <c r="EBW4764" s="910" t="s">
        <v>75</v>
      </c>
      <c r="EBX4764" s="911"/>
      <c r="EBY4764" s="911"/>
      <c r="EBZ4764" s="911"/>
      <c r="ECA4764" s="911"/>
      <c r="ECB4764" s="911"/>
      <c r="ECC4764" s="911"/>
      <c r="ECD4764" s="911"/>
      <c r="ECE4764" s="911"/>
      <c r="ECF4764" s="911"/>
      <c r="ECG4764" s="32"/>
      <c r="ECH4764" s="911" t="s">
        <v>74</v>
      </c>
      <c r="ECI4764" s="911"/>
      <c r="ECJ4764" s="911"/>
      <c r="ECK4764" s="911"/>
      <c r="ECL4764" s="911"/>
      <c r="ECM4764" s="911"/>
      <c r="ECN4764" s="911"/>
      <c r="ECO4764" s="911"/>
      <c r="ECP4764" s="911"/>
      <c r="ECQ4764" s="912"/>
      <c r="ECS4764" s="913" t="s">
        <v>1</v>
      </c>
      <c r="ECT4764" s="31"/>
      <c r="ECU4764" s="909" t="s">
        <v>0</v>
      </c>
      <c r="ECV4764" s="909"/>
      <c r="ECW4764" s="909"/>
      <c r="ECX4764" s="909"/>
      <c r="ECY4764" s="909"/>
      <c r="ECZ4764" s="909"/>
      <c r="EDA4764" s="907" t="s">
        <v>79</v>
      </c>
      <c r="EDB4764" s="909" t="s">
        <v>68</v>
      </c>
      <c r="EDC4764" s="910" t="s">
        <v>75</v>
      </c>
      <c r="EDD4764" s="911"/>
      <c r="EDE4764" s="911"/>
      <c r="EDF4764" s="911"/>
      <c r="EDG4764" s="911"/>
      <c r="EDH4764" s="911"/>
      <c r="EDI4764" s="911"/>
      <c r="EDJ4764" s="911"/>
      <c r="EDK4764" s="911"/>
      <c r="EDL4764" s="911"/>
      <c r="EDM4764" s="32"/>
      <c r="EDN4764" s="911" t="s">
        <v>74</v>
      </c>
      <c r="EDO4764" s="911"/>
      <c r="EDP4764" s="911"/>
      <c r="EDQ4764" s="911"/>
      <c r="EDR4764" s="911"/>
      <c r="EDS4764" s="911"/>
      <c r="EDT4764" s="911"/>
      <c r="EDU4764" s="911"/>
      <c r="EDV4764" s="911"/>
      <c r="EDW4764" s="912"/>
      <c r="EDY4764" s="913" t="s">
        <v>1</v>
      </c>
      <c r="EDZ4764" s="31"/>
      <c r="EEA4764" s="909" t="s">
        <v>0</v>
      </c>
      <c r="EEB4764" s="909"/>
      <c r="EEC4764" s="909"/>
      <c r="EED4764" s="909"/>
      <c r="EEE4764" s="909"/>
      <c r="EEF4764" s="909"/>
      <c r="EEG4764" s="907" t="s">
        <v>79</v>
      </c>
      <c r="EEH4764" s="909" t="s">
        <v>68</v>
      </c>
      <c r="EEI4764" s="910" t="s">
        <v>75</v>
      </c>
      <c r="EEJ4764" s="911"/>
      <c r="EEK4764" s="911"/>
      <c r="EEL4764" s="911"/>
      <c r="EEM4764" s="911"/>
      <c r="EEN4764" s="911"/>
      <c r="EEO4764" s="911"/>
      <c r="EEP4764" s="911"/>
      <c r="EEQ4764" s="911"/>
      <c r="EER4764" s="911"/>
      <c r="EES4764" s="32"/>
      <c r="EET4764" s="911" t="s">
        <v>74</v>
      </c>
      <c r="EEU4764" s="911"/>
      <c r="EEV4764" s="911"/>
      <c r="EEW4764" s="911"/>
      <c r="EEX4764" s="911"/>
      <c r="EEY4764" s="911"/>
      <c r="EEZ4764" s="911"/>
      <c r="EFA4764" s="911"/>
      <c r="EFB4764" s="911"/>
      <c r="EFC4764" s="912"/>
      <c r="EFE4764" s="913" t="s">
        <v>1</v>
      </c>
      <c r="EFF4764" s="31"/>
      <c r="EFG4764" s="909" t="s">
        <v>0</v>
      </c>
      <c r="EFH4764" s="909"/>
      <c r="EFI4764" s="909"/>
      <c r="EFJ4764" s="909"/>
      <c r="EFK4764" s="909"/>
      <c r="EFL4764" s="909"/>
      <c r="EFM4764" s="907" t="s">
        <v>79</v>
      </c>
      <c r="EFN4764" s="909" t="s">
        <v>68</v>
      </c>
      <c r="EFO4764" s="910" t="s">
        <v>75</v>
      </c>
      <c r="EFP4764" s="911"/>
      <c r="EFQ4764" s="911"/>
      <c r="EFR4764" s="911"/>
      <c r="EFS4764" s="911"/>
      <c r="EFT4764" s="911"/>
      <c r="EFU4764" s="911"/>
      <c r="EFV4764" s="911"/>
      <c r="EFW4764" s="911"/>
      <c r="EFX4764" s="911"/>
      <c r="EFY4764" s="32"/>
      <c r="EFZ4764" s="911" t="s">
        <v>74</v>
      </c>
      <c r="EGA4764" s="911"/>
      <c r="EGB4764" s="911"/>
      <c r="EGC4764" s="911"/>
      <c r="EGD4764" s="911"/>
      <c r="EGE4764" s="911"/>
      <c r="EGF4764" s="911"/>
      <c r="EGG4764" s="911"/>
      <c r="EGH4764" s="911"/>
      <c r="EGI4764" s="912"/>
      <c r="EGK4764" s="913" t="s">
        <v>1</v>
      </c>
      <c r="EGL4764" s="31"/>
      <c r="EGM4764" s="909" t="s">
        <v>0</v>
      </c>
      <c r="EGN4764" s="909"/>
      <c r="EGO4764" s="909"/>
      <c r="EGP4764" s="909"/>
      <c r="EGQ4764" s="909"/>
      <c r="EGR4764" s="909"/>
      <c r="EGS4764" s="907" t="s">
        <v>79</v>
      </c>
      <c r="EGT4764" s="909" t="s">
        <v>68</v>
      </c>
      <c r="EGU4764" s="910" t="s">
        <v>75</v>
      </c>
      <c r="EGV4764" s="911"/>
      <c r="EGW4764" s="911"/>
      <c r="EGX4764" s="911"/>
      <c r="EGY4764" s="911"/>
      <c r="EGZ4764" s="911"/>
      <c r="EHA4764" s="911"/>
      <c r="EHB4764" s="911"/>
      <c r="EHC4764" s="911"/>
      <c r="EHD4764" s="911"/>
      <c r="EHE4764" s="32"/>
      <c r="EHF4764" s="911" t="s">
        <v>74</v>
      </c>
      <c r="EHG4764" s="911"/>
      <c r="EHH4764" s="911"/>
      <c r="EHI4764" s="911"/>
      <c r="EHJ4764" s="911"/>
      <c r="EHK4764" s="911"/>
      <c r="EHL4764" s="911"/>
      <c r="EHM4764" s="911"/>
      <c r="EHN4764" s="911"/>
      <c r="EHO4764" s="912"/>
      <c r="EHQ4764" s="913" t="s">
        <v>1</v>
      </c>
      <c r="EHR4764" s="31"/>
      <c r="EHS4764" s="909" t="s">
        <v>0</v>
      </c>
      <c r="EHT4764" s="909"/>
      <c r="EHU4764" s="909"/>
      <c r="EHV4764" s="909"/>
      <c r="EHW4764" s="909"/>
      <c r="EHX4764" s="909"/>
      <c r="EHY4764" s="907" t="s">
        <v>79</v>
      </c>
      <c r="EHZ4764" s="909" t="s">
        <v>68</v>
      </c>
      <c r="EIA4764" s="910" t="s">
        <v>75</v>
      </c>
      <c r="EIB4764" s="911"/>
      <c r="EIC4764" s="911"/>
      <c r="EID4764" s="911"/>
      <c r="EIE4764" s="911"/>
      <c r="EIF4764" s="911"/>
      <c r="EIG4764" s="911"/>
      <c r="EIH4764" s="911"/>
      <c r="EII4764" s="911"/>
      <c r="EIJ4764" s="911"/>
      <c r="EIK4764" s="32"/>
      <c r="EIL4764" s="911" t="s">
        <v>74</v>
      </c>
      <c r="EIM4764" s="911"/>
      <c r="EIN4764" s="911"/>
      <c r="EIO4764" s="911"/>
      <c r="EIP4764" s="911"/>
      <c r="EIQ4764" s="911"/>
      <c r="EIR4764" s="911"/>
      <c r="EIS4764" s="911"/>
      <c r="EIT4764" s="911"/>
      <c r="EIU4764" s="912"/>
      <c r="EIW4764" s="913" t="s">
        <v>1</v>
      </c>
      <c r="EIX4764" s="31"/>
      <c r="EIY4764" s="909" t="s">
        <v>0</v>
      </c>
      <c r="EIZ4764" s="909"/>
      <c r="EJA4764" s="909"/>
      <c r="EJB4764" s="909"/>
      <c r="EJC4764" s="909"/>
      <c r="EJD4764" s="909"/>
      <c r="EJE4764" s="907" t="s">
        <v>79</v>
      </c>
      <c r="EJF4764" s="909" t="s">
        <v>68</v>
      </c>
      <c r="EJG4764" s="910" t="s">
        <v>75</v>
      </c>
      <c r="EJH4764" s="911"/>
      <c r="EJI4764" s="911"/>
      <c r="EJJ4764" s="911"/>
      <c r="EJK4764" s="911"/>
      <c r="EJL4764" s="911"/>
      <c r="EJM4764" s="911"/>
      <c r="EJN4764" s="911"/>
      <c r="EJO4764" s="911"/>
      <c r="EJP4764" s="911"/>
      <c r="EJQ4764" s="32"/>
      <c r="EJR4764" s="911" t="s">
        <v>74</v>
      </c>
      <c r="EJS4764" s="911"/>
      <c r="EJT4764" s="911"/>
      <c r="EJU4764" s="911"/>
      <c r="EJV4764" s="911"/>
      <c r="EJW4764" s="911"/>
      <c r="EJX4764" s="911"/>
      <c r="EJY4764" s="911"/>
      <c r="EJZ4764" s="911"/>
      <c r="EKA4764" s="912"/>
      <c r="EKC4764" s="913" t="s">
        <v>1</v>
      </c>
      <c r="EKD4764" s="31"/>
      <c r="EKE4764" s="909" t="s">
        <v>0</v>
      </c>
      <c r="EKF4764" s="909"/>
      <c r="EKG4764" s="909"/>
      <c r="EKH4764" s="909"/>
      <c r="EKI4764" s="909"/>
      <c r="EKJ4764" s="909"/>
      <c r="EKK4764" s="907" t="s">
        <v>79</v>
      </c>
      <c r="EKL4764" s="909" t="s">
        <v>68</v>
      </c>
      <c r="EKM4764" s="910" t="s">
        <v>75</v>
      </c>
      <c r="EKN4764" s="911"/>
      <c r="EKO4764" s="911"/>
      <c r="EKP4764" s="911"/>
      <c r="EKQ4764" s="911"/>
      <c r="EKR4764" s="911"/>
      <c r="EKS4764" s="911"/>
      <c r="EKT4764" s="911"/>
      <c r="EKU4764" s="911"/>
      <c r="EKV4764" s="911"/>
      <c r="EKW4764" s="32"/>
      <c r="EKX4764" s="911" t="s">
        <v>74</v>
      </c>
      <c r="EKY4764" s="911"/>
      <c r="EKZ4764" s="911"/>
      <c r="ELA4764" s="911"/>
      <c r="ELB4764" s="911"/>
      <c r="ELC4764" s="911"/>
      <c r="ELD4764" s="911"/>
      <c r="ELE4764" s="911"/>
      <c r="ELF4764" s="911"/>
      <c r="ELG4764" s="912"/>
      <c r="ELI4764" s="913" t="s">
        <v>1</v>
      </c>
      <c r="ELJ4764" s="31"/>
      <c r="ELK4764" s="909" t="s">
        <v>0</v>
      </c>
      <c r="ELL4764" s="909"/>
      <c r="ELM4764" s="909"/>
      <c r="ELN4764" s="909"/>
      <c r="ELO4764" s="909"/>
      <c r="ELP4764" s="909"/>
      <c r="ELQ4764" s="907" t="s">
        <v>79</v>
      </c>
      <c r="ELR4764" s="909" t="s">
        <v>68</v>
      </c>
      <c r="ELS4764" s="910" t="s">
        <v>75</v>
      </c>
      <c r="ELT4764" s="911"/>
      <c r="ELU4764" s="911"/>
      <c r="ELV4764" s="911"/>
      <c r="ELW4764" s="911"/>
      <c r="ELX4764" s="911"/>
      <c r="ELY4764" s="911"/>
      <c r="ELZ4764" s="911"/>
      <c r="EMA4764" s="911"/>
      <c r="EMB4764" s="911"/>
      <c r="EMC4764" s="32"/>
      <c r="EMD4764" s="911" t="s">
        <v>74</v>
      </c>
      <c r="EME4764" s="911"/>
      <c r="EMF4764" s="911"/>
      <c r="EMG4764" s="911"/>
      <c r="EMH4764" s="911"/>
      <c r="EMI4764" s="911"/>
      <c r="EMJ4764" s="911"/>
      <c r="EMK4764" s="911"/>
      <c r="EML4764" s="911"/>
      <c r="EMM4764" s="912"/>
      <c r="EMO4764" s="913" t="s">
        <v>1</v>
      </c>
      <c r="EMP4764" s="31"/>
      <c r="EMQ4764" s="909" t="s">
        <v>0</v>
      </c>
      <c r="EMR4764" s="909"/>
      <c r="EMS4764" s="909"/>
      <c r="EMT4764" s="909"/>
      <c r="EMU4764" s="909"/>
      <c r="EMV4764" s="909"/>
      <c r="EMW4764" s="907" t="s">
        <v>79</v>
      </c>
      <c r="EMX4764" s="909" t="s">
        <v>68</v>
      </c>
      <c r="EMY4764" s="910" t="s">
        <v>75</v>
      </c>
      <c r="EMZ4764" s="911"/>
      <c r="ENA4764" s="911"/>
      <c r="ENB4764" s="911"/>
      <c r="ENC4764" s="911"/>
      <c r="END4764" s="911"/>
      <c r="ENE4764" s="911"/>
      <c r="ENF4764" s="911"/>
      <c r="ENG4764" s="911"/>
      <c r="ENH4764" s="911"/>
      <c r="ENI4764" s="32"/>
      <c r="ENJ4764" s="911" t="s">
        <v>74</v>
      </c>
      <c r="ENK4764" s="911"/>
      <c r="ENL4764" s="911"/>
      <c r="ENM4764" s="911"/>
      <c r="ENN4764" s="911"/>
      <c r="ENO4764" s="911"/>
      <c r="ENP4764" s="911"/>
      <c r="ENQ4764" s="911"/>
      <c r="ENR4764" s="911"/>
      <c r="ENS4764" s="912"/>
      <c r="ENU4764" s="913" t="s">
        <v>1</v>
      </c>
      <c r="ENV4764" s="31"/>
      <c r="ENW4764" s="909" t="s">
        <v>0</v>
      </c>
      <c r="ENX4764" s="909"/>
      <c r="ENY4764" s="909"/>
      <c r="ENZ4764" s="909"/>
      <c r="EOA4764" s="909"/>
      <c r="EOB4764" s="909"/>
      <c r="EOC4764" s="907" t="s">
        <v>79</v>
      </c>
      <c r="EOD4764" s="909" t="s">
        <v>68</v>
      </c>
      <c r="EOE4764" s="910" t="s">
        <v>75</v>
      </c>
      <c r="EOF4764" s="911"/>
      <c r="EOG4764" s="911"/>
      <c r="EOH4764" s="911"/>
      <c r="EOI4764" s="911"/>
      <c r="EOJ4764" s="911"/>
      <c r="EOK4764" s="911"/>
      <c r="EOL4764" s="911"/>
      <c r="EOM4764" s="911"/>
      <c r="EON4764" s="911"/>
      <c r="EOO4764" s="32"/>
      <c r="EOP4764" s="911" t="s">
        <v>74</v>
      </c>
      <c r="EOQ4764" s="911"/>
      <c r="EOR4764" s="911"/>
      <c r="EOS4764" s="911"/>
      <c r="EOT4764" s="911"/>
      <c r="EOU4764" s="911"/>
      <c r="EOV4764" s="911"/>
      <c r="EOW4764" s="911"/>
      <c r="EOX4764" s="911"/>
      <c r="EOY4764" s="912"/>
      <c r="EPA4764" s="913" t="s">
        <v>1</v>
      </c>
      <c r="EPB4764" s="31"/>
      <c r="EPC4764" s="909" t="s">
        <v>0</v>
      </c>
      <c r="EPD4764" s="909"/>
      <c r="EPE4764" s="909"/>
      <c r="EPF4764" s="909"/>
      <c r="EPG4764" s="909"/>
      <c r="EPH4764" s="909"/>
      <c r="EPI4764" s="907" t="s">
        <v>79</v>
      </c>
      <c r="EPJ4764" s="909" t="s">
        <v>68</v>
      </c>
      <c r="EPK4764" s="910" t="s">
        <v>75</v>
      </c>
      <c r="EPL4764" s="911"/>
      <c r="EPM4764" s="911"/>
      <c r="EPN4764" s="911"/>
      <c r="EPO4764" s="911"/>
      <c r="EPP4764" s="911"/>
      <c r="EPQ4764" s="911"/>
      <c r="EPR4764" s="911"/>
      <c r="EPS4764" s="911"/>
      <c r="EPT4764" s="911"/>
      <c r="EPU4764" s="32"/>
      <c r="EPV4764" s="911" t="s">
        <v>74</v>
      </c>
      <c r="EPW4764" s="911"/>
      <c r="EPX4764" s="911"/>
      <c r="EPY4764" s="911"/>
      <c r="EPZ4764" s="911"/>
      <c r="EQA4764" s="911"/>
      <c r="EQB4764" s="911"/>
      <c r="EQC4764" s="911"/>
      <c r="EQD4764" s="911"/>
      <c r="EQE4764" s="912"/>
      <c r="EQG4764" s="913" t="s">
        <v>1</v>
      </c>
      <c r="EQH4764" s="31"/>
      <c r="EQI4764" s="909" t="s">
        <v>0</v>
      </c>
      <c r="EQJ4764" s="909"/>
      <c r="EQK4764" s="909"/>
      <c r="EQL4764" s="909"/>
      <c r="EQM4764" s="909"/>
      <c r="EQN4764" s="909"/>
      <c r="EQO4764" s="907" t="s">
        <v>79</v>
      </c>
      <c r="EQP4764" s="909" t="s">
        <v>68</v>
      </c>
      <c r="EQQ4764" s="910" t="s">
        <v>75</v>
      </c>
      <c r="EQR4764" s="911"/>
      <c r="EQS4764" s="911"/>
      <c r="EQT4764" s="911"/>
      <c r="EQU4764" s="911"/>
      <c r="EQV4764" s="911"/>
      <c r="EQW4764" s="911"/>
      <c r="EQX4764" s="911"/>
      <c r="EQY4764" s="911"/>
      <c r="EQZ4764" s="911"/>
      <c r="ERA4764" s="32"/>
      <c r="ERB4764" s="911" t="s">
        <v>74</v>
      </c>
      <c r="ERC4764" s="911"/>
      <c r="ERD4764" s="911"/>
      <c r="ERE4764" s="911"/>
      <c r="ERF4764" s="911"/>
      <c r="ERG4764" s="911"/>
      <c r="ERH4764" s="911"/>
      <c r="ERI4764" s="911"/>
      <c r="ERJ4764" s="911"/>
      <c r="ERK4764" s="912"/>
      <c r="ERM4764" s="913" t="s">
        <v>1</v>
      </c>
      <c r="ERN4764" s="31"/>
      <c r="ERO4764" s="909" t="s">
        <v>0</v>
      </c>
      <c r="ERP4764" s="909"/>
      <c r="ERQ4764" s="909"/>
      <c r="ERR4764" s="909"/>
      <c r="ERS4764" s="909"/>
      <c r="ERT4764" s="909"/>
      <c r="ERU4764" s="907" t="s">
        <v>79</v>
      </c>
      <c r="ERV4764" s="909" t="s">
        <v>68</v>
      </c>
      <c r="ERW4764" s="910" t="s">
        <v>75</v>
      </c>
      <c r="ERX4764" s="911"/>
      <c r="ERY4764" s="911"/>
      <c r="ERZ4764" s="911"/>
      <c r="ESA4764" s="911"/>
      <c r="ESB4764" s="911"/>
      <c r="ESC4764" s="911"/>
      <c r="ESD4764" s="911"/>
      <c r="ESE4764" s="911"/>
      <c r="ESF4764" s="911"/>
      <c r="ESG4764" s="32"/>
      <c r="ESH4764" s="911" t="s">
        <v>74</v>
      </c>
      <c r="ESI4764" s="911"/>
      <c r="ESJ4764" s="911"/>
      <c r="ESK4764" s="911"/>
      <c r="ESL4764" s="911"/>
      <c r="ESM4764" s="911"/>
      <c r="ESN4764" s="911"/>
      <c r="ESO4764" s="911"/>
      <c r="ESP4764" s="911"/>
      <c r="ESQ4764" s="912"/>
      <c r="ESS4764" s="913" t="s">
        <v>1</v>
      </c>
      <c r="EST4764" s="31"/>
      <c r="ESU4764" s="909" t="s">
        <v>0</v>
      </c>
      <c r="ESV4764" s="909"/>
      <c r="ESW4764" s="909"/>
      <c r="ESX4764" s="909"/>
      <c r="ESY4764" s="909"/>
      <c r="ESZ4764" s="909"/>
      <c r="ETA4764" s="907" t="s">
        <v>79</v>
      </c>
      <c r="ETB4764" s="909" t="s">
        <v>68</v>
      </c>
      <c r="ETC4764" s="910" t="s">
        <v>75</v>
      </c>
      <c r="ETD4764" s="911"/>
      <c r="ETE4764" s="911"/>
      <c r="ETF4764" s="911"/>
      <c r="ETG4764" s="911"/>
      <c r="ETH4764" s="911"/>
      <c r="ETI4764" s="911"/>
      <c r="ETJ4764" s="911"/>
      <c r="ETK4764" s="911"/>
      <c r="ETL4764" s="911"/>
      <c r="ETM4764" s="32"/>
      <c r="ETN4764" s="911" t="s">
        <v>74</v>
      </c>
      <c r="ETO4764" s="911"/>
      <c r="ETP4764" s="911"/>
      <c r="ETQ4764" s="911"/>
      <c r="ETR4764" s="911"/>
      <c r="ETS4764" s="911"/>
      <c r="ETT4764" s="911"/>
      <c r="ETU4764" s="911"/>
      <c r="ETV4764" s="911"/>
      <c r="ETW4764" s="912"/>
      <c r="ETY4764" s="913" t="s">
        <v>1</v>
      </c>
      <c r="ETZ4764" s="31"/>
      <c r="EUA4764" s="909" t="s">
        <v>0</v>
      </c>
      <c r="EUB4764" s="909"/>
      <c r="EUC4764" s="909"/>
      <c r="EUD4764" s="909"/>
      <c r="EUE4764" s="909"/>
      <c r="EUF4764" s="909"/>
      <c r="EUG4764" s="907" t="s">
        <v>79</v>
      </c>
      <c r="EUH4764" s="909" t="s">
        <v>68</v>
      </c>
      <c r="EUI4764" s="910" t="s">
        <v>75</v>
      </c>
      <c r="EUJ4764" s="911"/>
      <c r="EUK4764" s="911"/>
      <c r="EUL4764" s="911"/>
      <c r="EUM4764" s="911"/>
      <c r="EUN4764" s="911"/>
      <c r="EUO4764" s="911"/>
      <c r="EUP4764" s="911"/>
      <c r="EUQ4764" s="911"/>
      <c r="EUR4764" s="911"/>
      <c r="EUS4764" s="32"/>
      <c r="EUT4764" s="911" t="s">
        <v>74</v>
      </c>
      <c r="EUU4764" s="911"/>
      <c r="EUV4764" s="911"/>
      <c r="EUW4764" s="911"/>
      <c r="EUX4764" s="911"/>
      <c r="EUY4764" s="911"/>
      <c r="EUZ4764" s="911"/>
      <c r="EVA4764" s="911"/>
      <c r="EVB4764" s="911"/>
      <c r="EVC4764" s="912"/>
      <c r="EVE4764" s="913" t="s">
        <v>1</v>
      </c>
      <c r="EVF4764" s="31"/>
      <c r="EVG4764" s="909" t="s">
        <v>0</v>
      </c>
      <c r="EVH4764" s="909"/>
      <c r="EVI4764" s="909"/>
      <c r="EVJ4764" s="909"/>
      <c r="EVK4764" s="909"/>
      <c r="EVL4764" s="909"/>
      <c r="EVM4764" s="907" t="s">
        <v>79</v>
      </c>
      <c r="EVN4764" s="909" t="s">
        <v>68</v>
      </c>
      <c r="EVO4764" s="910" t="s">
        <v>75</v>
      </c>
      <c r="EVP4764" s="911"/>
      <c r="EVQ4764" s="911"/>
      <c r="EVR4764" s="911"/>
      <c r="EVS4764" s="911"/>
      <c r="EVT4764" s="911"/>
      <c r="EVU4764" s="911"/>
      <c r="EVV4764" s="911"/>
      <c r="EVW4764" s="911"/>
      <c r="EVX4764" s="911"/>
      <c r="EVY4764" s="32"/>
      <c r="EVZ4764" s="911" t="s">
        <v>74</v>
      </c>
      <c r="EWA4764" s="911"/>
      <c r="EWB4764" s="911"/>
      <c r="EWC4764" s="911"/>
      <c r="EWD4764" s="911"/>
      <c r="EWE4764" s="911"/>
      <c r="EWF4764" s="911"/>
      <c r="EWG4764" s="911"/>
      <c r="EWH4764" s="911"/>
      <c r="EWI4764" s="912"/>
      <c r="EWK4764" s="913" t="s">
        <v>1</v>
      </c>
      <c r="EWL4764" s="31"/>
      <c r="EWM4764" s="909" t="s">
        <v>0</v>
      </c>
      <c r="EWN4764" s="909"/>
      <c r="EWO4764" s="909"/>
      <c r="EWP4764" s="909"/>
      <c r="EWQ4764" s="909"/>
      <c r="EWR4764" s="909"/>
      <c r="EWS4764" s="907" t="s">
        <v>79</v>
      </c>
      <c r="EWT4764" s="909" t="s">
        <v>68</v>
      </c>
      <c r="EWU4764" s="910" t="s">
        <v>75</v>
      </c>
      <c r="EWV4764" s="911"/>
      <c r="EWW4764" s="911"/>
      <c r="EWX4764" s="911"/>
      <c r="EWY4764" s="911"/>
      <c r="EWZ4764" s="911"/>
      <c r="EXA4764" s="911"/>
      <c r="EXB4764" s="911"/>
      <c r="EXC4764" s="911"/>
      <c r="EXD4764" s="911"/>
      <c r="EXE4764" s="32"/>
      <c r="EXF4764" s="911" t="s">
        <v>74</v>
      </c>
      <c r="EXG4764" s="911"/>
      <c r="EXH4764" s="911"/>
      <c r="EXI4764" s="911"/>
      <c r="EXJ4764" s="911"/>
      <c r="EXK4764" s="911"/>
      <c r="EXL4764" s="911"/>
      <c r="EXM4764" s="911"/>
      <c r="EXN4764" s="911"/>
      <c r="EXO4764" s="912"/>
      <c r="EXQ4764" s="913" t="s">
        <v>1</v>
      </c>
      <c r="EXR4764" s="31"/>
      <c r="EXS4764" s="909" t="s">
        <v>0</v>
      </c>
      <c r="EXT4764" s="909"/>
      <c r="EXU4764" s="909"/>
      <c r="EXV4764" s="909"/>
      <c r="EXW4764" s="909"/>
      <c r="EXX4764" s="909"/>
      <c r="EXY4764" s="907" t="s">
        <v>79</v>
      </c>
      <c r="EXZ4764" s="909" t="s">
        <v>68</v>
      </c>
      <c r="EYA4764" s="910" t="s">
        <v>75</v>
      </c>
      <c r="EYB4764" s="911"/>
      <c r="EYC4764" s="911"/>
      <c r="EYD4764" s="911"/>
      <c r="EYE4764" s="911"/>
      <c r="EYF4764" s="911"/>
      <c r="EYG4764" s="911"/>
      <c r="EYH4764" s="911"/>
      <c r="EYI4764" s="911"/>
      <c r="EYJ4764" s="911"/>
      <c r="EYK4764" s="32"/>
      <c r="EYL4764" s="911" t="s">
        <v>74</v>
      </c>
      <c r="EYM4764" s="911"/>
      <c r="EYN4764" s="911"/>
      <c r="EYO4764" s="911"/>
      <c r="EYP4764" s="911"/>
      <c r="EYQ4764" s="911"/>
      <c r="EYR4764" s="911"/>
      <c r="EYS4764" s="911"/>
      <c r="EYT4764" s="911"/>
      <c r="EYU4764" s="912"/>
      <c r="EYW4764" s="913" t="s">
        <v>1</v>
      </c>
      <c r="EYX4764" s="31"/>
      <c r="EYY4764" s="909" t="s">
        <v>0</v>
      </c>
      <c r="EYZ4764" s="909"/>
      <c r="EZA4764" s="909"/>
      <c r="EZB4764" s="909"/>
      <c r="EZC4764" s="909"/>
      <c r="EZD4764" s="909"/>
      <c r="EZE4764" s="907" t="s">
        <v>79</v>
      </c>
      <c r="EZF4764" s="909" t="s">
        <v>68</v>
      </c>
      <c r="EZG4764" s="910" t="s">
        <v>75</v>
      </c>
      <c r="EZH4764" s="911"/>
      <c r="EZI4764" s="911"/>
      <c r="EZJ4764" s="911"/>
      <c r="EZK4764" s="911"/>
      <c r="EZL4764" s="911"/>
      <c r="EZM4764" s="911"/>
      <c r="EZN4764" s="911"/>
      <c r="EZO4764" s="911"/>
      <c r="EZP4764" s="911"/>
      <c r="EZQ4764" s="32"/>
      <c r="EZR4764" s="911" t="s">
        <v>74</v>
      </c>
      <c r="EZS4764" s="911"/>
      <c r="EZT4764" s="911"/>
      <c r="EZU4764" s="911"/>
      <c r="EZV4764" s="911"/>
      <c r="EZW4764" s="911"/>
      <c r="EZX4764" s="911"/>
      <c r="EZY4764" s="911"/>
      <c r="EZZ4764" s="911"/>
      <c r="FAA4764" s="912"/>
      <c r="FAC4764" s="913" t="s">
        <v>1</v>
      </c>
      <c r="FAD4764" s="31"/>
      <c r="FAE4764" s="909" t="s">
        <v>0</v>
      </c>
      <c r="FAF4764" s="909"/>
      <c r="FAG4764" s="909"/>
      <c r="FAH4764" s="909"/>
      <c r="FAI4764" s="909"/>
      <c r="FAJ4764" s="909"/>
      <c r="FAK4764" s="907" t="s">
        <v>79</v>
      </c>
      <c r="FAL4764" s="909" t="s">
        <v>68</v>
      </c>
      <c r="FAM4764" s="910" t="s">
        <v>75</v>
      </c>
      <c r="FAN4764" s="911"/>
      <c r="FAO4764" s="911"/>
      <c r="FAP4764" s="911"/>
      <c r="FAQ4764" s="911"/>
      <c r="FAR4764" s="911"/>
      <c r="FAS4764" s="911"/>
      <c r="FAT4764" s="911"/>
      <c r="FAU4764" s="911"/>
      <c r="FAV4764" s="911"/>
      <c r="FAW4764" s="32"/>
      <c r="FAX4764" s="911" t="s">
        <v>74</v>
      </c>
      <c r="FAY4764" s="911"/>
      <c r="FAZ4764" s="911"/>
      <c r="FBA4764" s="911"/>
      <c r="FBB4764" s="911"/>
      <c r="FBC4764" s="911"/>
      <c r="FBD4764" s="911"/>
      <c r="FBE4764" s="911"/>
      <c r="FBF4764" s="911"/>
      <c r="FBG4764" s="912"/>
      <c r="FBI4764" s="913" t="s">
        <v>1</v>
      </c>
      <c r="FBJ4764" s="31"/>
      <c r="FBK4764" s="909" t="s">
        <v>0</v>
      </c>
      <c r="FBL4764" s="909"/>
      <c r="FBM4764" s="909"/>
      <c r="FBN4764" s="909"/>
      <c r="FBO4764" s="909"/>
      <c r="FBP4764" s="909"/>
      <c r="FBQ4764" s="907" t="s">
        <v>79</v>
      </c>
      <c r="FBR4764" s="909" t="s">
        <v>68</v>
      </c>
      <c r="FBS4764" s="910" t="s">
        <v>75</v>
      </c>
      <c r="FBT4764" s="911"/>
      <c r="FBU4764" s="911"/>
      <c r="FBV4764" s="911"/>
      <c r="FBW4764" s="911"/>
      <c r="FBX4764" s="911"/>
      <c r="FBY4764" s="911"/>
      <c r="FBZ4764" s="911"/>
      <c r="FCA4764" s="911"/>
      <c r="FCB4764" s="911"/>
      <c r="FCC4764" s="32"/>
      <c r="FCD4764" s="911" t="s">
        <v>74</v>
      </c>
      <c r="FCE4764" s="911"/>
      <c r="FCF4764" s="911"/>
      <c r="FCG4764" s="911"/>
      <c r="FCH4764" s="911"/>
      <c r="FCI4764" s="911"/>
      <c r="FCJ4764" s="911"/>
      <c r="FCK4764" s="911"/>
      <c r="FCL4764" s="911"/>
      <c r="FCM4764" s="912"/>
      <c r="FCO4764" s="913" t="s">
        <v>1</v>
      </c>
      <c r="FCP4764" s="31"/>
      <c r="FCQ4764" s="909" t="s">
        <v>0</v>
      </c>
      <c r="FCR4764" s="909"/>
      <c r="FCS4764" s="909"/>
      <c r="FCT4764" s="909"/>
      <c r="FCU4764" s="909"/>
      <c r="FCV4764" s="909"/>
      <c r="FCW4764" s="907" t="s">
        <v>79</v>
      </c>
      <c r="FCX4764" s="909" t="s">
        <v>68</v>
      </c>
      <c r="FCY4764" s="910" t="s">
        <v>75</v>
      </c>
      <c r="FCZ4764" s="911"/>
      <c r="FDA4764" s="911"/>
      <c r="FDB4764" s="911"/>
      <c r="FDC4764" s="911"/>
      <c r="FDD4764" s="911"/>
      <c r="FDE4764" s="911"/>
      <c r="FDF4764" s="911"/>
      <c r="FDG4764" s="911"/>
      <c r="FDH4764" s="911"/>
      <c r="FDI4764" s="32"/>
      <c r="FDJ4764" s="911" t="s">
        <v>74</v>
      </c>
      <c r="FDK4764" s="911"/>
      <c r="FDL4764" s="911"/>
      <c r="FDM4764" s="911"/>
      <c r="FDN4764" s="911"/>
      <c r="FDO4764" s="911"/>
      <c r="FDP4764" s="911"/>
      <c r="FDQ4764" s="911"/>
      <c r="FDR4764" s="911"/>
      <c r="FDS4764" s="912"/>
      <c r="FDU4764" s="913" t="s">
        <v>1</v>
      </c>
      <c r="FDV4764" s="31"/>
      <c r="FDW4764" s="909" t="s">
        <v>0</v>
      </c>
      <c r="FDX4764" s="909"/>
      <c r="FDY4764" s="909"/>
      <c r="FDZ4764" s="909"/>
      <c r="FEA4764" s="909"/>
      <c r="FEB4764" s="909"/>
      <c r="FEC4764" s="907" t="s">
        <v>79</v>
      </c>
      <c r="FED4764" s="909" t="s">
        <v>68</v>
      </c>
      <c r="FEE4764" s="910" t="s">
        <v>75</v>
      </c>
      <c r="FEF4764" s="911"/>
      <c r="FEG4764" s="911"/>
      <c r="FEH4764" s="911"/>
      <c r="FEI4764" s="911"/>
      <c r="FEJ4764" s="911"/>
      <c r="FEK4764" s="911"/>
      <c r="FEL4764" s="911"/>
      <c r="FEM4764" s="911"/>
      <c r="FEN4764" s="911"/>
      <c r="FEO4764" s="32"/>
      <c r="FEP4764" s="911" t="s">
        <v>74</v>
      </c>
      <c r="FEQ4764" s="911"/>
      <c r="FER4764" s="911"/>
      <c r="FES4764" s="911"/>
      <c r="FET4764" s="911"/>
      <c r="FEU4764" s="911"/>
      <c r="FEV4764" s="911"/>
      <c r="FEW4764" s="911"/>
      <c r="FEX4764" s="911"/>
      <c r="FEY4764" s="912"/>
      <c r="FFA4764" s="913" t="s">
        <v>1</v>
      </c>
      <c r="FFB4764" s="31"/>
      <c r="FFC4764" s="909" t="s">
        <v>0</v>
      </c>
      <c r="FFD4764" s="909"/>
      <c r="FFE4764" s="909"/>
      <c r="FFF4764" s="909"/>
      <c r="FFG4764" s="909"/>
      <c r="FFH4764" s="909"/>
      <c r="FFI4764" s="907" t="s">
        <v>79</v>
      </c>
      <c r="FFJ4764" s="909" t="s">
        <v>68</v>
      </c>
      <c r="FFK4764" s="910" t="s">
        <v>75</v>
      </c>
      <c r="FFL4764" s="911"/>
      <c r="FFM4764" s="911"/>
      <c r="FFN4764" s="911"/>
      <c r="FFO4764" s="911"/>
      <c r="FFP4764" s="911"/>
      <c r="FFQ4764" s="911"/>
      <c r="FFR4764" s="911"/>
      <c r="FFS4764" s="911"/>
      <c r="FFT4764" s="911"/>
      <c r="FFU4764" s="32"/>
      <c r="FFV4764" s="911" t="s">
        <v>74</v>
      </c>
      <c r="FFW4764" s="911"/>
      <c r="FFX4764" s="911"/>
      <c r="FFY4764" s="911"/>
      <c r="FFZ4764" s="911"/>
      <c r="FGA4764" s="911"/>
      <c r="FGB4764" s="911"/>
      <c r="FGC4764" s="911"/>
      <c r="FGD4764" s="911"/>
      <c r="FGE4764" s="912"/>
      <c r="FGG4764" s="913" t="s">
        <v>1</v>
      </c>
      <c r="FGH4764" s="31"/>
      <c r="FGI4764" s="909" t="s">
        <v>0</v>
      </c>
      <c r="FGJ4764" s="909"/>
      <c r="FGK4764" s="909"/>
      <c r="FGL4764" s="909"/>
      <c r="FGM4764" s="909"/>
      <c r="FGN4764" s="909"/>
      <c r="FGO4764" s="907" t="s">
        <v>79</v>
      </c>
      <c r="FGP4764" s="909" t="s">
        <v>68</v>
      </c>
      <c r="FGQ4764" s="910" t="s">
        <v>75</v>
      </c>
      <c r="FGR4764" s="911"/>
      <c r="FGS4764" s="911"/>
      <c r="FGT4764" s="911"/>
      <c r="FGU4764" s="911"/>
      <c r="FGV4764" s="911"/>
      <c r="FGW4764" s="911"/>
      <c r="FGX4764" s="911"/>
      <c r="FGY4764" s="911"/>
      <c r="FGZ4764" s="911"/>
      <c r="FHA4764" s="32"/>
      <c r="FHB4764" s="911" t="s">
        <v>74</v>
      </c>
      <c r="FHC4764" s="911"/>
      <c r="FHD4764" s="911"/>
      <c r="FHE4764" s="911"/>
      <c r="FHF4764" s="911"/>
      <c r="FHG4764" s="911"/>
      <c r="FHH4764" s="911"/>
      <c r="FHI4764" s="911"/>
      <c r="FHJ4764" s="911"/>
      <c r="FHK4764" s="912"/>
      <c r="FHM4764" s="913" t="s">
        <v>1</v>
      </c>
      <c r="FHN4764" s="31"/>
      <c r="FHO4764" s="909" t="s">
        <v>0</v>
      </c>
      <c r="FHP4764" s="909"/>
      <c r="FHQ4764" s="909"/>
      <c r="FHR4764" s="909"/>
      <c r="FHS4764" s="909"/>
      <c r="FHT4764" s="909"/>
      <c r="FHU4764" s="907" t="s">
        <v>79</v>
      </c>
      <c r="FHV4764" s="909" t="s">
        <v>68</v>
      </c>
      <c r="FHW4764" s="910" t="s">
        <v>75</v>
      </c>
      <c r="FHX4764" s="911"/>
      <c r="FHY4764" s="911"/>
      <c r="FHZ4764" s="911"/>
      <c r="FIA4764" s="911"/>
      <c r="FIB4764" s="911"/>
      <c r="FIC4764" s="911"/>
      <c r="FID4764" s="911"/>
      <c r="FIE4764" s="911"/>
      <c r="FIF4764" s="911"/>
      <c r="FIG4764" s="32"/>
      <c r="FIH4764" s="911" t="s">
        <v>74</v>
      </c>
      <c r="FII4764" s="911"/>
      <c r="FIJ4764" s="911"/>
      <c r="FIK4764" s="911"/>
      <c r="FIL4764" s="911"/>
      <c r="FIM4764" s="911"/>
      <c r="FIN4764" s="911"/>
      <c r="FIO4764" s="911"/>
      <c r="FIP4764" s="911"/>
      <c r="FIQ4764" s="912"/>
      <c r="FIS4764" s="913" t="s">
        <v>1</v>
      </c>
      <c r="FIT4764" s="31"/>
      <c r="FIU4764" s="909" t="s">
        <v>0</v>
      </c>
      <c r="FIV4764" s="909"/>
      <c r="FIW4764" s="909"/>
      <c r="FIX4764" s="909"/>
      <c r="FIY4764" s="909"/>
      <c r="FIZ4764" s="909"/>
      <c r="FJA4764" s="907" t="s">
        <v>79</v>
      </c>
      <c r="FJB4764" s="909" t="s">
        <v>68</v>
      </c>
      <c r="FJC4764" s="910" t="s">
        <v>75</v>
      </c>
      <c r="FJD4764" s="911"/>
      <c r="FJE4764" s="911"/>
      <c r="FJF4764" s="911"/>
      <c r="FJG4764" s="911"/>
      <c r="FJH4764" s="911"/>
      <c r="FJI4764" s="911"/>
      <c r="FJJ4764" s="911"/>
      <c r="FJK4764" s="911"/>
      <c r="FJL4764" s="911"/>
      <c r="FJM4764" s="32"/>
      <c r="FJN4764" s="911" t="s">
        <v>74</v>
      </c>
      <c r="FJO4764" s="911"/>
      <c r="FJP4764" s="911"/>
      <c r="FJQ4764" s="911"/>
      <c r="FJR4764" s="911"/>
      <c r="FJS4764" s="911"/>
      <c r="FJT4764" s="911"/>
      <c r="FJU4764" s="911"/>
      <c r="FJV4764" s="911"/>
      <c r="FJW4764" s="912"/>
      <c r="FJY4764" s="913" t="s">
        <v>1</v>
      </c>
      <c r="FJZ4764" s="31"/>
      <c r="FKA4764" s="909" t="s">
        <v>0</v>
      </c>
      <c r="FKB4764" s="909"/>
      <c r="FKC4764" s="909"/>
      <c r="FKD4764" s="909"/>
      <c r="FKE4764" s="909"/>
      <c r="FKF4764" s="909"/>
      <c r="FKG4764" s="907" t="s">
        <v>79</v>
      </c>
      <c r="FKH4764" s="909" t="s">
        <v>68</v>
      </c>
      <c r="FKI4764" s="910" t="s">
        <v>75</v>
      </c>
      <c r="FKJ4764" s="911"/>
      <c r="FKK4764" s="911"/>
      <c r="FKL4764" s="911"/>
      <c r="FKM4764" s="911"/>
      <c r="FKN4764" s="911"/>
      <c r="FKO4764" s="911"/>
      <c r="FKP4764" s="911"/>
      <c r="FKQ4764" s="911"/>
      <c r="FKR4764" s="911"/>
      <c r="FKS4764" s="32"/>
      <c r="FKT4764" s="911" t="s">
        <v>74</v>
      </c>
      <c r="FKU4764" s="911"/>
      <c r="FKV4764" s="911"/>
      <c r="FKW4764" s="911"/>
      <c r="FKX4764" s="911"/>
      <c r="FKY4764" s="911"/>
      <c r="FKZ4764" s="911"/>
      <c r="FLA4764" s="911"/>
      <c r="FLB4764" s="911"/>
      <c r="FLC4764" s="912"/>
      <c r="FLE4764" s="913" t="s">
        <v>1</v>
      </c>
      <c r="FLF4764" s="31"/>
      <c r="FLG4764" s="909" t="s">
        <v>0</v>
      </c>
      <c r="FLH4764" s="909"/>
      <c r="FLI4764" s="909"/>
      <c r="FLJ4764" s="909"/>
      <c r="FLK4764" s="909"/>
      <c r="FLL4764" s="909"/>
      <c r="FLM4764" s="907" t="s">
        <v>79</v>
      </c>
      <c r="FLN4764" s="909" t="s">
        <v>68</v>
      </c>
      <c r="FLO4764" s="910" t="s">
        <v>75</v>
      </c>
      <c r="FLP4764" s="911"/>
      <c r="FLQ4764" s="911"/>
      <c r="FLR4764" s="911"/>
      <c r="FLS4764" s="911"/>
      <c r="FLT4764" s="911"/>
      <c r="FLU4764" s="911"/>
      <c r="FLV4764" s="911"/>
      <c r="FLW4764" s="911"/>
      <c r="FLX4764" s="911"/>
      <c r="FLY4764" s="32"/>
      <c r="FLZ4764" s="911" t="s">
        <v>74</v>
      </c>
      <c r="FMA4764" s="911"/>
      <c r="FMB4764" s="911"/>
      <c r="FMC4764" s="911"/>
      <c r="FMD4764" s="911"/>
      <c r="FME4764" s="911"/>
      <c r="FMF4764" s="911"/>
      <c r="FMG4764" s="911"/>
      <c r="FMH4764" s="911"/>
      <c r="FMI4764" s="912"/>
      <c r="FMK4764" s="913" t="s">
        <v>1</v>
      </c>
      <c r="FML4764" s="31"/>
      <c r="FMM4764" s="909" t="s">
        <v>0</v>
      </c>
      <c r="FMN4764" s="909"/>
      <c r="FMO4764" s="909"/>
      <c r="FMP4764" s="909"/>
      <c r="FMQ4764" s="909"/>
      <c r="FMR4764" s="909"/>
      <c r="FMS4764" s="907" t="s">
        <v>79</v>
      </c>
      <c r="FMT4764" s="909" t="s">
        <v>68</v>
      </c>
      <c r="FMU4764" s="910" t="s">
        <v>75</v>
      </c>
      <c r="FMV4764" s="911"/>
      <c r="FMW4764" s="911"/>
      <c r="FMX4764" s="911"/>
      <c r="FMY4764" s="911"/>
      <c r="FMZ4764" s="911"/>
      <c r="FNA4764" s="911"/>
      <c r="FNB4764" s="911"/>
      <c r="FNC4764" s="911"/>
      <c r="FND4764" s="911"/>
      <c r="FNE4764" s="32"/>
      <c r="FNF4764" s="911" t="s">
        <v>74</v>
      </c>
      <c r="FNG4764" s="911"/>
      <c r="FNH4764" s="911"/>
      <c r="FNI4764" s="911"/>
      <c r="FNJ4764" s="911"/>
      <c r="FNK4764" s="911"/>
      <c r="FNL4764" s="911"/>
      <c r="FNM4764" s="911"/>
      <c r="FNN4764" s="911"/>
      <c r="FNO4764" s="912"/>
      <c r="FNQ4764" s="913" t="s">
        <v>1</v>
      </c>
      <c r="FNR4764" s="31"/>
      <c r="FNS4764" s="909" t="s">
        <v>0</v>
      </c>
      <c r="FNT4764" s="909"/>
      <c r="FNU4764" s="909"/>
      <c r="FNV4764" s="909"/>
      <c r="FNW4764" s="909"/>
      <c r="FNX4764" s="909"/>
      <c r="FNY4764" s="907" t="s">
        <v>79</v>
      </c>
      <c r="FNZ4764" s="909" t="s">
        <v>68</v>
      </c>
      <c r="FOA4764" s="910" t="s">
        <v>75</v>
      </c>
      <c r="FOB4764" s="911"/>
      <c r="FOC4764" s="911"/>
      <c r="FOD4764" s="911"/>
      <c r="FOE4764" s="911"/>
      <c r="FOF4764" s="911"/>
      <c r="FOG4764" s="911"/>
      <c r="FOH4764" s="911"/>
      <c r="FOI4764" s="911"/>
      <c r="FOJ4764" s="911"/>
      <c r="FOK4764" s="32"/>
      <c r="FOL4764" s="911" t="s">
        <v>74</v>
      </c>
      <c r="FOM4764" s="911"/>
      <c r="FON4764" s="911"/>
      <c r="FOO4764" s="911"/>
      <c r="FOP4764" s="911"/>
      <c r="FOQ4764" s="911"/>
      <c r="FOR4764" s="911"/>
      <c r="FOS4764" s="911"/>
      <c r="FOT4764" s="911"/>
      <c r="FOU4764" s="912"/>
      <c r="FOW4764" s="913" t="s">
        <v>1</v>
      </c>
      <c r="FOX4764" s="31"/>
      <c r="FOY4764" s="909" t="s">
        <v>0</v>
      </c>
      <c r="FOZ4764" s="909"/>
      <c r="FPA4764" s="909"/>
      <c r="FPB4764" s="909"/>
      <c r="FPC4764" s="909"/>
      <c r="FPD4764" s="909"/>
      <c r="FPE4764" s="907" t="s">
        <v>79</v>
      </c>
      <c r="FPF4764" s="909" t="s">
        <v>68</v>
      </c>
      <c r="FPG4764" s="910" t="s">
        <v>75</v>
      </c>
      <c r="FPH4764" s="911"/>
      <c r="FPI4764" s="911"/>
      <c r="FPJ4764" s="911"/>
      <c r="FPK4764" s="911"/>
      <c r="FPL4764" s="911"/>
      <c r="FPM4764" s="911"/>
      <c r="FPN4764" s="911"/>
      <c r="FPO4764" s="911"/>
      <c r="FPP4764" s="911"/>
      <c r="FPQ4764" s="32"/>
      <c r="FPR4764" s="911" t="s">
        <v>74</v>
      </c>
      <c r="FPS4764" s="911"/>
      <c r="FPT4764" s="911"/>
      <c r="FPU4764" s="911"/>
      <c r="FPV4764" s="911"/>
      <c r="FPW4764" s="911"/>
      <c r="FPX4764" s="911"/>
      <c r="FPY4764" s="911"/>
      <c r="FPZ4764" s="911"/>
      <c r="FQA4764" s="912"/>
      <c r="FQC4764" s="913" t="s">
        <v>1</v>
      </c>
      <c r="FQD4764" s="31"/>
      <c r="FQE4764" s="909" t="s">
        <v>0</v>
      </c>
      <c r="FQF4764" s="909"/>
      <c r="FQG4764" s="909"/>
      <c r="FQH4764" s="909"/>
      <c r="FQI4764" s="909"/>
      <c r="FQJ4764" s="909"/>
      <c r="FQK4764" s="907" t="s">
        <v>79</v>
      </c>
      <c r="FQL4764" s="909" t="s">
        <v>68</v>
      </c>
      <c r="FQM4764" s="910" t="s">
        <v>75</v>
      </c>
      <c r="FQN4764" s="911"/>
      <c r="FQO4764" s="911"/>
      <c r="FQP4764" s="911"/>
      <c r="FQQ4764" s="911"/>
      <c r="FQR4764" s="911"/>
      <c r="FQS4764" s="911"/>
      <c r="FQT4764" s="911"/>
      <c r="FQU4764" s="911"/>
      <c r="FQV4764" s="911"/>
      <c r="FQW4764" s="32"/>
      <c r="FQX4764" s="911" t="s">
        <v>74</v>
      </c>
      <c r="FQY4764" s="911"/>
      <c r="FQZ4764" s="911"/>
      <c r="FRA4764" s="911"/>
      <c r="FRB4764" s="911"/>
      <c r="FRC4764" s="911"/>
      <c r="FRD4764" s="911"/>
      <c r="FRE4764" s="911"/>
      <c r="FRF4764" s="911"/>
      <c r="FRG4764" s="912"/>
      <c r="FRI4764" s="913" t="s">
        <v>1</v>
      </c>
      <c r="FRJ4764" s="31"/>
      <c r="FRK4764" s="909" t="s">
        <v>0</v>
      </c>
      <c r="FRL4764" s="909"/>
      <c r="FRM4764" s="909"/>
      <c r="FRN4764" s="909"/>
      <c r="FRO4764" s="909"/>
      <c r="FRP4764" s="909"/>
      <c r="FRQ4764" s="907" t="s">
        <v>79</v>
      </c>
      <c r="FRR4764" s="909" t="s">
        <v>68</v>
      </c>
      <c r="FRS4764" s="910" t="s">
        <v>75</v>
      </c>
      <c r="FRT4764" s="911"/>
      <c r="FRU4764" s="911"/>
      <c r="FRV4764" s="911"/>
      <c r="FRW4764" s="911"/>
      <c r="FRX4764" s="911"/>
      <c r="FRY4764" s="911"/>
      <c r="FRZ4764" s="911"/>
      <c r="FSA4764" s="911"/>
      <c r="FSB4764" s="911"/>
      <c r="FSC4764" s="32"/>
      <c r="FSD4764" s="911" t="s">
        <v>74</v>
      </c>
      <c r="FSE4764" s="911"/>
      <c r="FSF4764" s="911"/>
      <c r="FSG4764" s="911"/>
      <c r="FSH4764" s="911"/>
      <c r="FSI4764" s="911"/>
      <c r="FSJ4764" s="911"/>
      <c r="FSK4764" s="911"/>
      <c r="FSL4764" s="911"/>
      <c r="FSM4764" s="912"/>
      <c r="FSO4764" s="913" t="s">
        <v>1</v>
      </c>
      <c r="FSP4764" s="31"/>
      <c r="FSQ4764" s="909" t="s">
        <v>0</v>
      </c>
      <c r="FSR4764" s="909"/>
      <c r="FSS4764" s="909"/>
      <c r="FST4764" s="909"/>
      <c r="FSU4764" s="909"/>
      <c r="FSV4764" s="909"/>
      <c r="FSW4764" s="907" t="s">
        <v>79</v>
      </c>
      <c r="FSX4764" s="909" t="s">
        <v>68</v>
      </c>
      <c r="FSY4764" s="910" t="s">
        <v>75</v>
      </c>
      <c r="FSZ4764" s="911"/>
      <c r="FTA4764" s="911"/>
      <c r="FTB4764" s="911"/>
      <c r="FTC4764" s="911"/>
      <c r="FTD4764" s="911"/>
      <c r="FTE4764" s="911"/>
      <c r="FTF4764" s="911"/>
      <c r="FTG4764" s="911"/>
      <c r="FTH4764" s="911"/>
      <c r="FTI4764" s="32"/>
      <c r="FTJ4764" s="911" t="s">
        <v>74</v>
      </c>
      <c r="FTK4764" s="911"/>
      <c r="FTL4764" s="911"/>
      <c r="FTM4764" s="911"/>
      <c r="FTN4764" s="911"/>
      <c r="FTO4764" s="911"/>
      <c r="FTP4764" s="911"/>
      <c r="FTQ4764" s="911"/>
      <c r="FTR4764" s="911"/>
      <c r="FTS4764" s="912"/>
      <c r="FTU4764" s="913" t="s">
        <v>1</v>
      </c>
      <c r="FTV4764" s="31"/>
      <c r="FTW4764" s="909" t="s">
        <v>0</v>
      </c>
      <c r="FTX4764" s="909"/>
      <c r="FTY4764" s="909"/>
      <c r="FTZ4764" s="909"/>
      <c r="FUA4764" s="909"/>
      <c r="FUB4764" s="909"/>
      <c r="FUC4764" s="907" t="s">
        <v>79</v>
      </c>
      <c r="FUD4764" s="909" t="s">
        <v>68</v>
      </c>
      <c r="FUE4764" s="910" t="s">
        <v>75</v>
      </c>
      <c r="FUF4764" s="911"/>
      <c r="FUG4764" s="911"/>
      <c r="FUH4764" s="911"/>
      <c r="FUI4764" s="911"/>
      <c r="FUJ4764" s="911"/>
      <c r="FUK4764" s="911"/>
      <c r="FUL4764" s="911"/>
      <c r="FUM4764" s="911"/>
      <c r="FUN4764" s="911"/>
      <c r="FUO4764" s="32"/>
      <c r="FUP4764" s="911" t="s">
        <v>74</v>
      </c>
      <c r="FUQ4764" s="911"/>
      <c r="FUR4764" s="911"/>
      <c r="FUS4764" s="911"/>
      <c r="FUT4764" s="911"/>
      <c r="FUU4764" s="911"/>
      <c r="FUV4764" s="911"/>
      <c r="FUW4764" s="911"/>
      <c r="FUX4764" s="911"/>
      <c r="FUY4764" s="912"/>
      <c r="FVA4764" s="913" t="s">
        <v>1</v>
      </c>
      <c r="FVB4764" s="31"/>
      <c r="FVC4764" s="909" t="s">
        <v>0</v>
      </c>
      <c r="FVD4764" s="909"/>
      <c r="FVE4764" s="909"/>
      <c r="FVF4764" s="909"/>
      <c r="FVG4764" s="909"/>
      <c r="FVH4764" s="909"/>
      <c r="FVI4764" s="907" t="s">
        <v>79</v>
      </c>
      <c r="FVJ4764" s="909" t="s">
        <v>68</v>
      </c>
      <c r="FVK4764" s="910" t="s">
        <v>75</v>
      </c>
      <c r="FVL4764" s="911"/>
      <c r="FVM4764" s="911"/>
      <c r="FVN4764" s="911"/>
      <c r="FVO4764" s="911"/>
      <c r="FVP4764" s="911"/>
      <c r="FVQ4764" s="911"/>
      <c r="FVR4764" s="911"/>
      <c r="FVS4764" s="911"/>
      <c r="FVT4764" s="911"/>
      <c r="FVU4764" s="32"/>
      <c r="FVV4764" s="911" t="s">
        <v>74</v>
      </c>
      <c r="FVW4764" s="911"/>
      <c r="FVX4764" s="911"/>
      <c r="FVY4764" s="911"/>
      <c r="FVZ4764" s="911"/>
      <c r="FWA4764" s="911"/>
      <c r="FWB4764" s="911"/>
      <c r="FWC4764" s="911"/>
      <c r="FWD4764" s="911"/>
      <c r="FWE4764" s="912"/>
      <c r="FWG4764" s="913" t="s">
        <v>1</v>
      </c>
      <c r="FWH4764" s="31"/>
      <c r="FWI4764" s="909" t="s">
        <v>0</v>
      </c>
      <c r="FWJ4764" s="909"/>
      <c r="FWK4764" s="909"/>
      <c r="FWL4764" s="909"/>
      <c r="FWM4764" s="909"/>
      <c r="FWN4764" s="909"/>
      <c r="FWO4764" s="907" t="s">
        <v>79</v>
      </c>
      <c r="FWP4764" s="909" t="s">
        <v>68</v>
      </c>
      <c r="FWQ4764" s="910" t="s">
        <v>75</v>
      </c>
      <c r="FWR4764" s="911"/>
      <c r="FWS4764" s="911"/>
      <c r="FWT4764" s="911"/>
      <c r="FWU4764" s="911"/>
      <c r="FWV4764" s="911"/>
      <c r="FWW4764" s="911"/>
      <c r="FWX4764" s="911"/>
      <c r="FWY4764" s="911"/>
      <c r="FWZ4764" s="911"/>
      <c r="FXA4764" s="32"/>
      <c r="FXB4764" s="911" t="s">
        <v>74</v>
      </c>
      <c r="FXC4764" s="911"/>
      <c r="FXD4764" s="911"/>
      <c r="FXE4764" s="911"/>
      <c r="FXF4764" s="911"/>
      <c r="FXG4764" s="911"/>
      <c r="FXH4764" s="911"/>
      <c r="FXI4764" s="911"/>
      <c r="FXJ4764" s="911"/>
      <c r="FXK4764" s="912"/>
      <c r="FXM4764" s="913" t="s">
        <v>1</v>
      </c>
      <c r="FXN4764" s="31"/>
      <c r="FXO4764" s="909" t="s">
        <v>0</v>
      </c>
      <c r="FXP4764" s="909"/>
      <c r="FXQ4764" s="909"/>
      <c r="FXR4764" s="909"/>
      <c r="FXS4764" s="909"/>
      <c r="FXT4764" s="909"/>
      <c r="FXU4764" s="907" t="s">
        <v>79</v>
      </c>
      <c r="FXV4764" s="909" t="s">
        <v>68</v>
      </c>
      <c r="FXW4764" s="910" t="s">
        <v>75</v>
      </c>
      <c r="FXX4764" s="911"/>
      <c r="FXY4764" s="911"/>
      <c r="FXZ4764" s="911"/>
      <c r="FYA4764" s="911"/>
      <c r="FYB4764" s="911"/>
      <c r="FYC4764" s="911"/>
      <c r="FYD4764" s="911"/>
      <c r="FYE4764" s="911"/>
      <c r="FYF4764" s="911"/>
      <c r="FYG4764" s="32"/>
      <c r="FYH4764" s="911" t="s">
        <v>74</v>
      </c>
      <c r="FYI4764" s="911"/>
      <c r="FYJ4764" s="911"/>
      <c r="FYK4764" s="911"/>
      <c r="FYL4764" s="911"/>
      <c r="FYM4764" s="911"/>
      <c r="FYN4764" s="911"/>
      <c r="FYO4764" s="911"/>
      <c r="FYP4764" s="911"/>
      <c r="FYQ4764" s="912"/>
      <c r="FYS4764" s="913" t="s">
        <v>1</v>
      </c>
      <c r="FYT4764" s="31"/>
      <c r="FYU4764" s="909" t="s">
        <v>0</v>
      </c>
      <c r="FYV4764" s="909"/>
      <c r="FYW4764" s="909"/>
      <c r="FYX4764" s="909"/>
      <c r="FYY4764" s="909"/>
      <c r="FYZ4764" s="909"/>
      <c r="FZA4764" s="907" t="s">
        <v>79</v>
      </c>
      <c r="FZB4764" s="909" t="s">
        <v>68</v>
      </c>
      <c r="FZC4764" s="910" t="s">
        <v>75</v>
      </c>
      <c r="FZD4764" s="911"/>
      <c r="FZE4764" s="911"/>
      <c r="FZF4764" s="911"/>
      <c r="FZG4764" s="911"/>
      <c r="FZH4764" s="911"/>
      <c r="FZI4764" s="911"/>
      <c r="FZJ4764" s="911"/>
      <c r="FZK4764" s="911"/>
      <c r="FZL4764" s="911"/>
      <c r="FZM4764" s="32"/>
      <c r="FZN4764" s="911" t="s">
        <v>74</v>
      </c>
      <c r="FZO4764" s="911"/>
      <c r="FZP4764" s="911"/>
      <c r="FZQ4764" s="911"/>
      <c r="FZR4764" s="911"/>
      <c r="FZS4764" s="911"/>
      <c r="FZT4764" s="911"/>
      <c r="FZU4764" s="911"/>
      <c r="FZV4764" s="911"/>
      <c r="FZW4764" s="912"/>
      <c r="FZY4764" s="913" t="s">
        <v>1</v>
      </c>
      <c r="FZZ4764" s="31"/>
      <c r="GAA4764" s="909" t="s">
        <v>0</v>
      </c>
      <c r="GAB4764" s="909"/>
      <c r="GAC4764" s="909"/>
      <c r="GAD4764" s="909"/>
      <c r="GAE4764" s="909"/>
      <c r="GAF4764" s="909"/>
      <c r="GAG4764" s="907" t="s">
        <v>79</v>
      </c>
      <c r="GAH4764" s="909" t="s">
        <v>68</v>
      </c>
      <c r="GAI4764" s="910" t="s">
        <v>75</v>
      </c>
      <c r="GAJ4764" s="911"/>
      <c r="GAK4764" s="911"/>
      <c r="GAL4764" s="911"/>
      <c r="GAM4764" s="911"/>
      <c r="GAN4764" s="911"/>
      <c r="GAO4764" s="911"/>
      <c r="GAP4764" s="911"/>
      <c r="GAQ4764" s="911"/>
      <c r="GAR4764" s="911"/>
      <c r="GAS4764" s="32"/>
      <c r="GAT4764" s="911" t="s">
        <v>74</v>
      </c>
      <c r="GAU4764" s="911"/>
      <c r="GAV4764" s="911"/>
      <c r="GAW4764" s="911"/>
      <c r="GAX4764" s="911"/>
      <c r="GAY4764" s="911"/>
      <c r="GAZ4764" s="911"/>
      <c r="GBA4764" s="911"/>
      <c r="GBB4764" s="911"/>
      <c r="GBC4764" s="912"/>
      <c r="GBE4764" s="913" t="s">
        <v>1</v>
      </c>
      <c r="GBF4764" s="31"/>
      <c r="GBG4764" s="909" t="s">
        <v>0</v>
      </c>
      <c r="GBH4764" s="909"/>
      <c r="GBI4764" s="909"/>
      <c r="GBJ4764" s="909"/>
      <c r="GBK4764" s="909"/>
      <c r="GBL4764" s="909"/>
      <c r="GBM4764" s="907" t="s">
        <v>79</v>
      </c>
      <c r="GBN4764" s="909" t="s">
        <v>68</v>
      </c>
      <c r="GBO4764" s="910" t="s">
        <v>75</v>
      </c>
      <c r="GBP4764" s="911"/>
      <c r="GBQ4764" s="911"/>
      <c r="GBR4764" s="911"/>
      <c r="GBS4764" s="911"/>
      <c r="GBT4764" s="911"/>
      <c r="GBU4764" s="911"/>
      <c r="GBV4764" s="911"/>
      <c r="GBW4764" s="911"/>
      <c r="GBX4764" s="911"/>
      <c r="GBY4764" s="32"/>
      <c r="GBZ4764" s="911" t="s">
        <v>74</v>
      </c>
      <c r="GCA4764" s="911"/>
      <c r="GCB4764" s="911"/>
      <c r="GCC4764" s="911"/>
      <c r="GCD4764" s="911"/>
      <c r="GCE4764" s="911"/>
      <c r="GCF4764" s="911"/>
      <c r="GCG4764" s="911"/>
      <c r="GCH4764" s="911"/>
      <c r="GCI4764" s="912"/>
      <c r="GCK4764" s="913" t="s">
        <v>1</v>
      </c>
      <c r="GCL4764" s="31"/>
      <c r="GCM4764" s="909" t="s">
        <v>0</v>
      </c>
      <c r="GCN4764" s="909"/>
      <c r="GCO4764" s="909"/>
      <c r="GCP4764" s="909"/>
      <c r="GCQ4764" s="909"/>
      <c r="GCR4764" s="909"/>
      <c r="GCS4764" s="907" t="s">
        <v>79</v>
      </c>
      <c r="GCT4764" s="909" t="s">
        <v>68</v>
      </c>
      <c r="GCU4764" s="910" t="s">
        <v>75</v>
      </c>
      <c r="GCV4764" s="911"/>
      <c r="GCW4764" s="911"/>
      <c r="GCX4764" s="911"/>
      <c r="GCY4764" s="911"/>
      <c r="GCZ4764" s="911"/>
      <c r="GDA4764" s="911"/>
      <c r="GDB4764" s="911"/>
      <c r="GDC4764" s="911"/>
      <c r="GDD4764" s="911"/>
      <c r="GDE4764" s="32"/>
      <c r="GDF4764" s="911" t="s">
        <v>74</v>
      </c>
      <c r="GDG4764" s="911"/>
      <c r="GDH4764" s="911"/>
      <c r="GDI4764" s="911"/>
      <c r="GDJ4764" s="911"/>
      <c r="GDK4764" s="911"/>
      <c r="GDL4764" s="911"/>
      <c r="GDM4764" s="911"/>
      <c r="GDN4764" s="911"/>
      <c r="GDO4764" s="912"/>
      <c r="GDQ4764" s="913" t="s">
        <v>1</v>
      </c>
      <c r="GDR4764" s="31"/>
      <c r="GDS4764" s="909" t="s">
        <v>0</v>
      </c>
      <c r="GDT4764" s="909"/>
      <c r="GDU4764" s="909"/>
      <c r="GDV4764" s="909"/>
      <c r="GDW4764" s="909"/>
      <c r="GDX4764" s="909"/>
      <c r="GDY4764" s="907" t="s">
        <v>79</v>
      </c>
      <c r="GDZ4764" s="909" t="s">
        <v>68</v>
      </c>
      <c r="GEA4764" s="910" t="s">
        <v>75</v>
      </c>
      <c r="GEB4764" s="911"/>
      <c r="GEC4764" s="911"/>
      <c r="GED4764" s="911"/>
      <c r="GEE4764" s="911"/>
      <c r="GEF4764" s="911"/>
      <c r="GEG4764" s="911"/>
      <c r="GEH4764" s="911"/>
      <c r="GEI4764" s="911"/>
      <c r="GEJ4764" s="911"/>
      <c r="GEK4764" s="32"/>
      <c r="GEL4764" s="911" t="s">
        <v>74</v>
      </c>
      <c r="GEM4764" s="911"/>
      <c r="GEN4764" s="911"/>
      <c r="GEO4764" s="911"/>
      <c r="GEP4764" s="911"/>
      <c r="GEQ4764" s="911"/>
      <c r="GER4764" s="911"/>
      <c r="GES4764" s="911"/>
      <c r="GET4764" s="911"/>
      <c r="GEU4764" s="912"/>
      <c r="GEW4764" s="913" t="s">
        <v>1</v>
      </c>
      <c r="GEX4764" s="31"/>
      <c r="GEY4764" s="909" t="s">
        <v>0</v>
      </c>
      <c r="GEZ4764" s="909"/>
      <c r="GFA4764" s="909"/>
      <c r="GFB4764" s="909"/>
      <c r="GFC4764" s="909"/>
      <c r="GFD4764" s="909"/>
      <c r="GFE4764" s="907" t="s">
        <v>79</v>
      </c>
      <c r="GFF4764" s="909" t="s">
        <v>68</v>
      </c>
      <c r="GFG4764" s="910" t="s">
        <v>75</v>
      </c>
      <c r="GFH4764" s="911"/>
      <c r="GFI4764" s="911"/>
      <c r="GFJ4764" s="911"/>
      <c r="GFK4764" s="911"/>
      <c r="GFL4764" s="911"/>
      <c r="GFM4764" s="911"/>
      <c r="GFN4764" s="911"/>
      <c r="GFO4764" s="911"/>
      <c r="GFP4764" s="911"/>
      <c r="GFQ4764" s="32"/>
      <c r="GFR4764" s="911" t="s">
        <v>74</v>
      </c>
      <c r="GFS4764" s="911"/>
      <c r="GFT4764" s="911"/>
      <c r="GFU4764" s="911"/>
      <c r="GFV4764" s="911"/>
      <c r="GFW4764" s="911"/>
      <c r="GFX4764" s="911"/>
      <c r="GFY4764" s="911"/>
      <c r="GFZ4764" s="911"/>
      <c r="GGA4764" s="912"/>
      <c r="GGC4764" s="913" t="s">
        <v>1</v>
      </c>
      <c r="GGD4764" s="31"/>
      <c r="GGE4764" s="909" t="s">
        <v>0</v>
      </c>
      <c r="GGF4764" s="909"/>
      <c r="GGG4764" s="909"/>
      <c r="GGH4764" s="909"/>
      <c r="GGI4764" s="909"/>
      <c r="GGJ4764" s="909"/>
      <c r="GGK4764" s="907" t="s">
        <v>79</v>
      </c>
      <c r="GGL4764" s="909" t="s">
        <v>68</v>
      </c>
      <c r="GGM4764" s="910" t="s">
        <v>75</v>
      </c>
      <c r="GGN4764" s="911"/>
      <c r="GGO4764" s="911"/>
      <c r="GGP4764" s="911"/>
      <c r="GGQ4764" s="911"/>
      <c r="GGR4764" s="911"/>
      <c r="GGS4764" s="911"/>
      <c r="GGT4764" s="911"/>
      <c r="GGU4764" s="911"/>
      <c r="GGV4764" s="911"/>
      <c r="GGW4764" s="32"/>
      <c r="GGX4764" s="911" t="s">
        <v>74</v>
      </c>
      <c r="GGY4764" s="911"/>
      <c r="GGZ4764" s="911"/>
      <c r="GHA4764" s="911"/>
      <c r="GHB4764" s="911"/>
      <c r="GHC4764" s="911"/>
      <c r="GHD4764" s="911"/>
      <c r="GHE4764" s="911"/>
      <c r="GHF4764" s="911"/>
      <c r="GHG4764" s="912"/>
      <c r="GHI4764" s="913" t="s">
        <v>1</v>
      </c>
      <c r="GHJ4764" s="31"/>
      <c r="GHK4764" s="909" t="s">
        <v>0</v>
      </c>
      <c r="GHL4764" s="909"/>
      <c r="GHM4764" s="909"/>
      <c r="GHN4764" s="909"/>
      <c r="GHO4764" s="909"/>
      <c r="GHP4764" s="909"/>
      <c r="GHQ4764" s="907" t="s">
        <v>79</v>
      </c>
      <c r="GHR4764" s="909" t="s">
        <v>68</v>
      </c>
      <c r="GHS4764" s="910" t="s">
        <v>75</v>
      </c>
      <c r="GHT4764" s="911"/>
      <c r="GHU4764" s="911"/>
      <c r="GHV4764" s="911"/>
      <c r="GHW4764" s="911"/>
      <c r="GHX4764" s="911"/>
      <c r="GHY4764" s="911"/>
      <c r="GHZ4764" s="911"/>
      <c r="GIA4764" s="911"/>
      <c r="GIB4764" s="911"/>
      <c r="GIC4764" s="32"/>
      <c r="GID4764" s="911" t="s">
        <v>74</v>
      </c>
      <c r="GIE4764" s="911"/>
      <c r="GIF4764" s="911"/>
      <c r="GIG4764" s="911"/>
      <c r="GIH4764" s="911"/>
      <c r="GII4764" s="911"/>
      <c r="GIJ4764" s="911"/>
      <c r="GIK4764" s="911"/>
      <c r="GIL4764" s="911"/>
      <c r="GIM4764" s="912"/>
      <c r="GIO4764" s="913" t="s">
        <v>1</v>
      </c>
      <c r="GIP4764" s="31"/>
      <c r="GIQ4764" s="909" t="s">
        <v>0</v>
      </c>
      <c r="GIR4764" s="909"/>
      <c r="GIS4764" s="909"/>
      <c r="GIT4764" s="909"/>
      <c r="GIU4764" s="909"/>
      <c r="GIV4764" s="909"/>
      <c r="GIW4764" s="907" t="s">
        <v>79</v>
      </c>
      <c r="GIX4764" s="909" t="s">
        <v>68</v>
      </c>
      <c r="GIY4764" s="910" t="s">
        <v>75</v>
      </c>
      <c r="GIZ4764" s="911"/>
      <c r="GJA4764" s="911"/>
      <c r="GJB4764" s="911"/>
      <c r="GJC4764" s="911"/>
      <c r="GJD4764" s="911"/>
      <c r="GJE4764" s="911"/>
      <c r="GJF4764" s="911"/>
      <c r="GJG4764" s="911"/>
      <c r="GJH4764" s="911"/>
      <c r="GJI4764" s="32"/>
      <c r="GJJ4764" s="911" t="s">
        <v>74</v>
      </c>
      <c r="GJK4764" s="911"/>
      <c r="GJL4764" s="911"/>
      <c r="GJM4764" s="911"/>
      <c r="GJN4764" s="911"/>
      <c r="GJO4764" s="911"/>
      <c r="GJP4764" s="911"/>
      <c r="GJQ4764" s="911"/>
      <c r="GJR4764" s="911"/>
      <c r="GJS4764" s="912"/>
      <c r="GJU4764" s="913" t="s">
        <v>1</v>
      </c>
      <c r="GJV4764" s="31"/>
      <c r="GJW4764" s="909" t="s">
        <v>0</v>
      </c>
      <c r="GJX4764" s="909"/>
      <c r="GJY4764" s="909"/>
      <c r="GJZ4764" s="909"/>
      <c r="GKA4764" s="909"/>
      <c r="GKB4764" s="909"/>
      <c r="GKC4764" s="907" t="s">
        <v>79</v>
      </c>
      <c r="GKD4764" s="909" t="s">
        <v>68</v>
      </c>
      <c r="GKE4764" s="910" t="s">
        <v>75</v>
      </c>
      <c r="GKF4764" s="911"/>
      <c r="GKG4764" s="911"/>
      <c r="GKH4764" s="911"/>
      <c r="GKI4764" s="911"/>
      <c r="GKJ4764" s="911"/>
      <c r="GKK4764" s="911"/>
      <c r="GKL4764" s="911"/>
      <c r="GKM4764" s="911"/>
      <c r="GKN4764" s="911"/>
      <c r="GKO4764" s="32"/>
      <c r="GKP4764" s="911" t="s">
        <v>74</v>
      </c>
      <c r="GKQ4764" s="911"/>
      <c r="GKR4764" s="911"/>
      <c r="GKS4764" s="911"/>
      <c r="GKT4764" s="911"/>
      <c r="GKU4764" s="911"/>
      <c r="GKV4764" s="911"/>
      <c r="GKW4764" s="911"/>
      <c r="GKX4764" s="911"/>
      <c r="GKY4764" s="912"/>
      <c r="GLA4764" s="913" t="s">
        <v>1</v>
      </c>
      <c r="GLB4764" s="31"/>
      <c r="GLC4764" s="909" t="s">
        <v>0</v>
      </c>
      <c r="GLD4764" s="909"/>
      <c r="GLE4764" s="909"/>
      <c r="GLF4764" s="909"/>
      <c r="GLG4764" s="909"/>
      <c r="GLH4764" s="909"/>
      <c r="GLI4764" s="907" t="s">
        <v>79</v>
      </c>
      <c r="GLJ4764" s="909" t="s">
        <v>68</v>
      </c>
      <c r="GLK4764" s="910" t="s">
        <v>75</v>
      </c>
      <c r="GLL4764" s="911"/>
      <c r="GLM4764" s="911"/>
      <c r="GLN4764" s="911"/>
      <c r="GLO4764" s="911"/>
      <c r="GLP4764" s="911"/>
      <c r="GLQ4764" s="911"/>
      <c r="GLR4764" s="911"/>
      <c r="GLS4764" s="911"/>
      <c r="GLT4764" s="911"/>
      <c r="GLU4764" s="32"/>
      <c r="GLV4764" s="911" t="s">
        <v>74</v>
      </c>
      <c r="GLW4764" s="911"/>
      <c r="GLX4764" s="911"/>
      <c r="GLY4764" s="911"/>
      <c r="GLZ4764" s="911"/>
      <c r="GMA4764" s="911"/>
      <c r="GMB4764" s="911"/>
      <c r="GMC4764" s="911"/>
      <c r="GMD4764" s="911"/>
      <c r="GME4764" s="912"/>
      <c r="GMG4764" s="913" t="s">
        <v>1</v>
      </c>
      <c r="GMH4764" s="31"/>
      <c r="GMI4764" s="909" t="s">
        <v>0</v>
      </c>
      <c r="GMJ4764" s="909"/>
      <c r="GMK4764" s="909"/>
      <c r="GML4764" s="909"/>
      <c r="GMM4764" s="909"/>
      <c r="GMN4764" s="909"/>
      <c r="GMO4764" s="907" t="s">
        <v>79</v>
      </c>
      <c r="GMP4764" s="909" t="s">
        <v>68</v>
      </c>
      <c r="GMQ4764" s="910" t="s">
        <v>75</v>
      </c>
      <c r="GMR4764" s="911"/>
      <c r="GMS4764" s="911"/>
      <c r="GMT4764" s="911"/>
      <c r="GMU4764" s="911"/>
      <c r="GMV4764" s="911"/>
      <c r="GMW4764" s="911"/>
      <c r="GMX4764" s="911"/>
      <c r="GMY4764" s="911"/>
      <c r="GMZ4764" s="911"/>
      <c r="GNA4764" s="32"/>
      <c r="GNB4764" s="911" t="s">
        <v>74</v>
      </c>
      <c r="GNC4764" s="911"/>
      <c r="GND4764" s="911"/>
      <c r="GNE4764" s="911"/>
      <c r="GNF4764" s="911"/>
      <c r="GNG4764" s="911"/>
      <c r="GNH4764" s="911"/>
      <c r="GNI4764" s="911"/>
      <c r="GNJ4764" s="911"/>
      <c r="GNK4764" s="912"/>
      <c r="GNM4764" s="913" t="s">
        <v>1</v>
      </c>
      <c r="GNN4764" s="31"/>
      <c r="GNO4764" s="909" t="s">
        <v>0</v>
      </c>
      <c r="GNP4764" s="909"/>
      <c r="GNQ4764" s="909"/>
      <c r="GNR4764" s="909"/>
      <c r="GNS4764" s="909"/>
      <c r="GNT4764" s="909"/>
      <c r="GNU4764" s="907" t="s">
        <v>79</v>
      </c>
      <c r="GNV4764" s="909" t="s">
        <v>68</v>
      </c>
      <c r="GNW4764" s="910" t="s">
        <v>75</v>
      </c>
      <c r="GNX4764" s="911"/>
      <c r="GNY4764" s="911"/>
      <c r="GNZ4764" s="911"/>
      <c r="GOA4764" s="911"/>
      <c r="GOB4764" s="911"/>
      <c r="GOC4764" s="911"/>
      <c r="GOD4764" s="911"/>
      <c r="GOE4764" s="911"/>
      <c r="GOF4764" s="911"/>
      <c r="GOG4764" s="32"/>
      <c r="GOH4764" s="911" t="s">
        <v>74</v>
      </c>
      <c r="GOI4764" s="911"/>
      <c r="GOJ4764" s="911"/>
      <c r="GOK4764" s="911"/>
      <c r="GOL4764" s="911"/>
      <c r="GOM4764" s="911"/>
      <c r="GON4764" s="911"/>
      <c r="GOO4764" s="911"/>
      <c r="GOP4764" s="911"/>
      <c r="GOQ4764" s="912"/>
      <c r="GOS4764" s="913" t="s">
        <v>1</v>
      </c>
      <c r="GOT4764" s="31"/>
      <c r="GOU4764" s="909" t="s">
        <v>0</v>
      </c>
      <c r="GOV4764" s="909"/>
      <c r="GOW4764" s="909"/>
      <c r="GOX4764" s="909"/>
      <c r="GOY4764" s="909"/>
      <c r="GOZ4764" s="909"/>
      <c r="GPA4764" s="907" t="s">
        <v>79</v>
      </c>
      <c r="GPB4764" s="909" t="s">
        <v>68</v>
      </c>
      <c r="GPC4764" s="910" t="s">
        <v>75</v>
      </c>
      <c r="GPD4764" s="911"/>
      <c r="GPE4764" s="911"/>
      <c r="GPF4764" s="911"/>
      <c r="GPG4764" s="911"/>
      <c r="GPH4764" s="911"/>
      <c r="GPI4764" s="911"/>
      <c r="GPJ4764" s="911"/>
      <c r="GPK4764" s="911"/>
      <c r="GPL4764" s="911"/>
      <c r="GPM4764" s="32"/>
      <c r="GPN4764" s="911" t="s">
        <v>74</v>
      </c>
      <c r="GPO4764" s="911"/>
      <c r="GPP4764" s="911"/>
      <c r="GPQ4764" s="911"/>
      <c r="GPR4764" s="911"/>
      <c r="GPS4764" s="911"/>
      <c r="GPT4764" s="911"/>
      <c r="GPU4764" s="911"/>
      <c r="GPV4764" s="911"/>
      <c r="GPW4764" s="912"/>
      <c r="GPY4764" s="913" t="s">
        <v>1</v>
      </c>
      <c r="GPZ4764" s="31"/>
      <c r="GQA4764" s="909" t="s">
        <v>0</v>
      </c>
      <c r="GQB4764" s="909"/>
      <c r="GQC4764" s="909"/>
      <c r="GQD4764" s="909"/>
      <c r="GQE4764" s="909"/>
      <c r="GQF4764" s="909"/>
      <c r="GQG4764" s="907" t="s">
        <v>79</v>
      </c>
      <c r="GQH4764" s="909" t="s">
        <v>68</v>
      </c>
      <c r="GQI4764" s="910" t="s">
        <v>75</v>
      </c>
      <c r="GQJ4764" s="911"/>
      <c r="GQK4764" s="911"/>
      <c r="GQL4764" s="911"/>
      <c r="GQM4764" s="911"/>
      <c r="GQN4764" s="911"/>
      <c r="GQO4764" s="911"/>
      <c r="GQP4764" s="911"/>
      <c r="GQQ4764" s="911"/>
      <c r="GQR4764" s="911"/>
      <c r="GQS4764" s="32"/>
      <c r="GQT4764" s="911" t="s">
        <v>74</v>
      </c>
      <c r="GQU4764" s="911"/>
      <c r="GQV4764" s="911"/>
      <c r="GQW4764" s="911"/>
      <c r="GQX4764" s="911"/>
      <c r="GQY4764" s="911"/>
      <c r="GQZ4764" s="911"/>
      <c r="GRA4764" s="911"/>
      <c r="GRB4764" s="911"/>
      <c r="GRC4764" s="912"/>
      <c r="GRE4764" s="913" t="s">
        <v>1</v>
      </c>
      <c r="GRF4764" s="31"/>
      <c r="GRG4764" s="909" t="s">
        <v>0</v>
      </c>
      <c r="GRH4764" s="909"/>
      <c r="GRI4764" s="909"/>
      <c r="GRJ4764" s="909"/>
      <c r="GRK4764" s="909"/>
      <c r="GRL4764" s="909"/>
      <c r="GRM4764" s="907" t="s">
        <v>79</v>
      </c>
      <c r="GRN4764" s="909" t="s">
        <v>68</v>
      </c>
      <c r="GRO4764" s="910" t="s">
        <v>75</v>
      </c>
      <c r="GRP4764" s="911"/>
      <c r="GRQ4764" s="911"/>
      <c r="GRR4764" s="911"/>
      <c r="GRS4764" s="911"/>
      <c r="GRT4764" s="911"/>
      <c r="GRU4764" s="911"/>
      <c r="GRV4764" s="911"/>
      <c r="GRW4764" s="911"/>
      <c r="GRX4764" s="911"/>
      <c r="GRY4764" s="32"/>
      <c r="GRZ4764" s="911" t="s">
        <v>74</v>
      </c>
      <c r="GSA4764" s="911"/>
      <c r="GSB4764" s="911"/>
      <c r="GSC4764" s="911"/>
      <c r="GSD4764" s="911"/>
      <c r="GSE4764" s="911"/>
      <c r="GSF4764" s="911"/>
      <c r="GSG4764" s="911"/>
      <c r="GSH4764" s="911"/>
      <c r="GSI4764" s="912"/>
      <c r="GSK4764" s="913" t="s">
        <v>1</v>
      </c>
      <c r="GSL4764" s="31"/>
      <c r="GSM4764" s="909" t="s">
        <v>0</v>
      </c>
      <c r="GSN4764" s="909"/>
      <c r="GSO4764" s="909"/>
      <c r="GSP4764" s="909"/>
      <c r="GSQ4764" s="909"/>
      <c r="GSR4764" s="909"/>
      <c r="GSS4764" s="907" t="s">
        <v>79</v>
      </c>
      <c r="GST4764" s="909" t="s">
        <v>68</v>
      </c>
      <c r="GSU4764" s="910" t="s">
        <v>75</v>
      </c>
      <c r="GSV4764" s="911"/>
      <c r="GSW4764" s="911"/>
      <c r="GSX4764" s="911"/>
      <c r="GSY4764" s="911"/>
      <c r="GSZ4764" s="911"/>
      <c r="GTA4764" s="911"/>
      <c r="GTB4764" s="911"/>
      <c r="GTC4764" s="911"/>
      <c r="GTD4764" s="911"/>
      <c r="GTE4764" s="32"/>
      <c r="GTF4764" s="911" t="s">
        <v>74</v>
      </c>
      <c r="GTG4764" s="911"/>
      <c r="GTH4764" s="911"/>
      <c r="GTI4764" s="911"/>
      <c r="GTJ4764" s="911"/>
      <c r="GTK4764" s="911"/>
      <c r="GTL4764" s="911"/>
      <c r="GTM4764" s="911"/>
      <c r="GTN4764" s="911"/>
      <c r="GTO4764" s="912"/>
      <c r="GTQ4764" s="913" t="s">
        <v>1</v>
      </c>
      <c r="GTR4764" s="31"/>
      <c r="GTS4764" s="909" t="s">
        <v>0</v>
      </c>
      <c r="GTT4764" s="909"/>
      <c r="GTU4764" s="909"/>
      <c r="GTV4764" s="909"/>
      <c r="GTW4764" s="909"/>
      <c r="GTX4764" s="909"/>
      <c r="GTY4764" s="907" t="s">
        <v>79</v>
      </c>
      <c r="GTZ4764" s="909" t="s">
        <v>68</v>
      </c>
      <c r="GUA4764" s="910" t="s">
        <v>75</v>
      </c>
      <c r="GUB4764" s="911"/>
      <c r="GUC4764" s="911"/>
      <c r="GUD4764" s="911"/>
      <c r="GUE4764" s="911"/>
      <c r="GUF4764" s="911"/>
      <c r="GUG4764" s="911"/>
      <c r="GUH4764" s="911"/>
      <c r="GUI4764" s="911"/>
      <c r="GUJ4764" s="911"/>
      <c r="GUK4764" s="32"/>
      <c r="GUL4764" s="911" t="s">
        <v>74</v>
      </c>
      <c r="GUM4764" s="911"/>
      <c r="GUN4764" s="911"/>
      <c r="GUO4764" s="911"/>
      <c r="GUP4764" s="911"/>
      <c r="GUQ4764" s="911"/>
      <c r="GUR4764" s="911"/>
      <c r="GUS4764" s="911"/>
      <c r="GUT4764" s="911"/>
      <c r="GUU4764" s="912"/>
      <c r="GUW4764" s="913" t="s">
        <v>1</v>
      </c>
      <c r="GUX4764" s="31"/>
      <c r="GUY4764" s="909" t="s">
        <v>0</v>
      </c>
      <c r="GUZ4764" s="909"/>
      <c r="GVA4764" s="909"/>
      <c r="GVB4764" s="909"/>
      <c r="GVC4764" s="909"/>
      <c r="GVD4764" s="909"/>
      <c r="GVE4764" s="907" t="s">
        <v>79</v>
      </c>
      <c r="GVF4764" s="909" t="s">
        <v>68</v>
      </c>
      <c r="GVG4764" s="910" t="s">
        <v>75</v>
      </c>
      <c r="GVH4764" s="911"/>
      <c r="GVI4764" s="911"/>
      <c r="GVJ4764" s="911"/>
      <c r="GVK4764" s="911"/>
      <c r="GVL4764" s="911"/>
      <c r="GVM4764" s="911"/>
      <c r="GVN4764" s="911"/>
      <c r="GVO4764" s="911"/>
      <c r="GVP4764" s="911"/>
      <c r="GVQ4764" s="32"/>
      <c r="GVR4764" s="911" t="s">
        <v>74</v>
      </c>
      <c r="GVS4764" s="911"/>
      <c r="GVT4764" s="911"/>
      <c r="GVU4764" s="911"/>
      <c r="GVV4764" s="911"/>
      <c r="GVW4764" s="911"/>
      <c r="GVX4764" s="911"/>
      <c r="GVY4764" s="911"/>
      <c r="GVZ4764" s="911"/>
      <c r="GWA4764" s="912"/>
      <c r="GWC4764" s="913" t="s">
        <v>1</v>
      </c>
      <c r="GWD4764" s="31"/>
      <c r="GWE4764" s="909" t="s">
        <v>0</v>
      </c>
      <c r="GWF4764" s="909"/>
      <c r="GWG4764" s="909"/>
      <c r="GWH4764" s="909"/>
      <c r="GWI4764" s="909"/>
      <c r="GWJ4764" s="909"/>
      <c r="GWK4764" s="907" t="s">
        <v>79</v>
      </c>
      <c r="GWL4764" s="909" t="s">
        <v>68</v>
      </c>
      <c r="GWM4764" s="910" t="s">
        <v>75</v>
      </c>
      <c r="GWN4764" s="911"/>
      <c r="GWO4764" s="911"/>
      <c r="GWP4764" s="911"/>
      <c r="GWQ4764" s="911"/>
      <c r="GWR4764" s="911"/>
      <c r="GWS4764" s="911"/>
      <c r="GWT4764" s="911"/>
      <c r="GWU4764" s="911"/>
      <c r="GWV4764" s="911"/>
      <c r="GWW4764" s="32"/>
      <c r="GWX4764" s="911" t="s">
        <v>74</v>
      </c>
      <c r="GWY4764" s="911"/>
      <c r="GWZ4764" s="911"/>
      <c r="GXA4764" s="911"/>
      <c r="GXB4764" s="911"/>
      <c r="GXC4764" s="911"/>
      <c r="GXD4764" s="911"/>
      <c r="GXE4764" s="911"/>
      <c r="GXF4764" s="911"/>
      <c r="GXG4764" s="912"/>
      <c r="GXI4764" s="913" t="s">
        <v>1</v>
      </c>
      <c r="GXJ4764" s="31"/>
      <c r="GXK4764" s="909" t="s">
        <v>0</v>
      </c>
      <c r="GXL4764" s="909"/>
      <c r="GXM4764" s="909"/>
      <c r="GXN4764" s="909"/>
      <c r="GXO4764" s="909"/>
      <c r="GXP4764" s="909"/>
      <c r="GXQ4764" s="907" t="s">
        <v>79</v>
      </c>
      <c r="GXR4764" s="909" t="s">
        <v>68</v>
      </c>
      <c r="GXS4764" s="910" t="s">
        <v>75</v>
      </c>
      <c r="GXT4764" s="911"/>
      <c r="GXU4764" s="911"/>
      <c r="GXV4764" s="911"/>
      <c r="GXW4764" s="911"/>
      <c r="GXX4764" s="911"/>
      <c r="GXY4764" s="911"/>
      <c r="GXZ4764" s="911"/>
      <c r="GYA4764" s="911"/>
      <c r="GYB4764" s="911"/>
      <c r="GYC4764" s="32"/>
      <c r="GYD4764" s="911" t="s">
        <v>74</v>
      </c>
      <c r="GYE4764" s="911"/>
      <c r="GYF4764" s="911"/>
      <c r="GYG4764" s="911"/>
      <c r="GYH4764" s="911"/>
      <c r="GYI4764" s="911"/>
      <c r="GYJ4764" s="911"/>
      <c r="GYK4764" s="911"/>
      <c r="GYL4764" s="911"/>
      <c r="GYM4764" s="912"/>
      <c r="GYO4764" s="913" t="s">
        <v>1</v>
      </c>
      <c r="GYP4764" s="31"/>
      <c r="GYQ4764" s="909" t="s">
        <v>0</v>
      </c>
      <c r="GYR4764" s="909"/>
      <c r="GYS4764" s="909"/>
      <c r="GYT4764" s="909"/>
      <c r="GYU4764" s="909"/>
      <c r="GYV4764" s="909"/>
      <c r="GYW4764" s="907" t="s">
        <v>79</v>
      </c>
      <c r="GYX4764" s="909" t="s">
        <v>68</v>
      </c>
      <c r="GYY4764" s="910" t="s">
        <v>75</v>
      </c>
      <c r="GYZ4764" s="911"/>
      <c r="GZA4764" s="911"/>
      <c r="GZB4764" s="911"/>
      <c r="GZC4764" s="911"/>
      <c r="GZD4764" s="911"/>
      <c r="GZE4764" s="911"/>
      <c r="GZF4764" s="911"/>
      <c r="GZG4764" s="911"/>
      <c r="GZH4764" s="911"/>
      <c r="GZI4764" s="32"/>
      <c r="GZJ4764" s="911" t="s">
        <v>74</v>
      </c>
      <c r="GZK4764" s="911"/>
      <c r="GZL4764" s="911"/>
      <c r="GZM4764" s="911"/>
      <c r="GZN4764" s="911"/>
      <c r="GZO4764" s="911"/>
      <c r="GZP4764" s="911"/>
      <c r="GZQ4764" s="911"/>
      <c r="GZR4764" s="911"/>
      <c r="GZS4764" s="912"/>
      <c r="GZU4764" s="913" t="s">
        <v>1</v>
      </c>
      <c r="GZV4764" s="31"/>
      <c r="GZW4764" s="909" t="s">
        <v>0</v>
      </c>
      <c r="GZX4764" s="909"/>
      <c r="GZY4764" s="909"/>
      <c r="GZZ4764" s="909"/>
      <c r="HAA4764" s="909"/>
      <c r="HAB4764" s="909"/>
      <c r="HAC4764" s="907" t="s">
        <v>79</v>
      </c>
      <c r="HAD4764" s="909" t="s">
        <v>68</v>
      </c>
      <c r="HAE4764" s="910" t="s">
        <v>75</v>
      </c>
      <c r="HAF4764" s="911"/>
      <c r="HAG4764" s="911"/>
      <c r="HAH4764" s="911"/>
      <c r="HAI4764" s="911"/>
      <c r="HAJ4764" s="911"/>
      <c r="HAK4764" s="911"/>
      <c r="HAL4764" s="911"/>
      <c r="HAM4764" s="911"/>
      <c r="HAN4764" s="911"/>
      <c r="HAO4764" s="32"/>
      <c r="HAP4764" s="911" t="s">
        <v>74</v>
      </c>
      <c r="HAQ4764" s="911"/>
      <c r="HAR4764" s="911"/>
      <c r="HAS4764" s="911"/>
      <c r="HAT4764" s="911"/>
      <c r="HAU4764" s="911"/>
      <c r="HAV4764" s="911"/>
      <c r="HAW4764" s="911"/>
      <c r="HAX4764" s="911"/>
      <c r="HAY4764" s="912"/>
      <c r="HBA4764" s="913" t="s">
        <v>1</v>
      </c>
      <c r="HBB4764" s="31"/>
      <c r="HBC4764" s="909" t="s">
        <v>0</v>
      </c>
      <c r="HBD4764" s="909"/>
      <c r="HBE4764" s="909"/>
      <c r="HBF4764" s="909"/>
      <c r="HBG4764" s="909"/>
      <c r="HBH4764" s="909"/>
      <c r="HBI4764" s="907" t="s">
        <v>79</v>
      </c>
      <c r="HBJ4764" s="909" t="s">
        <v>68</v>
      </c>
      <c r="HBK4764" s="910" t="s">
        <v>75</v>
      </c>
      <c r="HBL4764" s="911"/>
      <c r="HBM4764" s="911"/>
      <c r="HBN4764" s="911"/>
      <c r="HBO4764" s="911"/>
      <c r="HBP4764" s="911"/>
      <c r="HBQ4764" s="911"/>
      <c r="HBR4764" s="911"/>
      <c r="HBS4764" s="911"/>
      <c r="HBT4764" s="911"/>
      <c r="HBU4764" s="32"/>
      <c r="HBV4764" s="911" t="s">
        <v>74</v>
      </c>
      <c r="HBW4764" s="911"/>
      <c r="HBX4764" s="911"/>
      <c r="HBY4764" s="911"/>
      <c r="HBZ4764" s="911"/>
      <c r="HCA4764" s="911"/>
      <c r="HCB4764" s="911"/>
      <c r="HCC4764" s="911"/>
      <c r="HCD4764" s="911"/>
      <c r="HCE4764" s="912"/>
      <c r="HCG4764" s="913" t="s">
        <v>1</v>
      </c>
      <c r="HCH4764" s="31"/>
      <c r="HCI4764" s="909" t="s">
        <v>0</v>
      </c>
      <c r="HCJ4764" s="909"/>
      <c r="HCK4764" s="909"/>
      <c r="HCL4764" s="909"/>
      <c r="HCM4764" s="909"/>
      <c r="HCN4764" s="909"/>
      <c r="HCO4764" s="907" t="s">
        <v>79</v>
      </c>
      <c r="HCP4764" s="909" t="s">
        <v>68</v>
      </c>
      <c r="HCQ4764" s="910" t="s">
        <v>75</v>
      </c>
      <c r="HCR4764" s="911"/>
      <c r="HCS4764" s="911"/>
      <c r="HCT4764" s="911"/>
      <c r="HCU4764" s="911"/>
      <c r="HCV4764" s="911"/>
      <c r="HCW4764" s="911"/>
      <c r="HCX4764" s="911"/>
      <c r="HCY4764" s="911"/>
      <c r="HCZ4764" s="911"/>
      <c r="HDA4764" s="32"/>
      <c r="HDB4764" s="911" t="s">
        <v>74</v>
      </c>
      <c r="HDC4764" s="911"/>
      <c r="HDD4764" s="911"/>
      <c r="HDE4764" s="911"/>
      <c r="HDF4764" s="911"/>
      <c r="HDG4764" s="911"/>
      <c r="HDH4764" s="911"/>
      <c r="HDI4764" s="911"/>
      <c r="HDJ4764" s="911"/>
      <c r="HDK4764" s="912"/>
      <c r="HDM4764" s="913" t="s">
        <v>1</v>
      </c>
      <c r="HDN4764" s="31"/>
      <c r="HDO4764" s="909" t="s">
        <v>0</v>
      </c>
      <c r="HDP4764" s="909"/>
      <c r="HDQ4764" s="909"/>
      <c r="HDR4764" s="909"/>
      <c r="HDS4764" s="909"/>
      <c r="HDT4764" s="909"/>
      <c r="HDU4764" s="907" t="s">
        <v>79</v>
      </c>
      <c r="HDV4764" s="909" t="s">
        <v>68</v>
      </c>
      <c r="HDW4764" s="910" t="s">
        <v>75</v>
      </c>
      <c r="HDX4764" s="911"/>
      <c r="HDY4764" s="911"/>
      <c r="HDZ4764" s="911"/>
      <c r="HEA4764" s="911"/>
      <c r="HEB4764" s="911"/>
      <c r="HEC4764" s="911"/>
      <c r="HED4764" s="911"/>
      <c r="HEE4764" s="911"/>
      <c r="HEF4764" s="911"/>
      <c r="HEG4764" s="32"/>
      <c r="HEH4764" s="911" t="s">
        <v>74</v>
      </c>
      <c r="HEI4764" s="911"/>
      <c r="HEJ4764" s="911"/>
      <c r="HEK4764" s="911"/>
      <c r="HEL4764" s="911"/>
      <c r="HEM4764" s="911"/>
      <c r="HEN4764" s="911"/>
      <c r="HEO4764" s="911"/>
      <c r="HEP4764" s="911"/>
      <c r="HEQ4764" s="912"/>
      <c r="HES4764" s="913" t="s">
        <v>1</v>
      </c>
      <c r="HET4764" s="31"/>
      <c r="HEU4764" s="909" t="s">
        <v>0</v>
      </c>
      <c r="HEV4764" s="909"/>
      <c r="HEW4764" s="909"/>
      <c r="HEX4764" s="909"/>
      <c r="HEY4764" s="909"/>
      <c r="HEZ4764" s="909"/>
      <c r="HFA4764" s="907" t="s">
        <v>79</v>
      </c>
      <c r="HFB4764" s="909" t="s">
        <v>68</v>
      </c>
      <c r="HFC4764" s="910" t="s">
        <v>75</v>
      </c>
      <c r="HFD4764" s="911"/>
      <c r="HFE4764" s="911"/>
      <c r="HFF4764" s="911"/>
      <c r="HFG4764" s="911"/>
      <c r="HFH4764" s="911"/>
      <c r="HFI4764" s="911"/>
      <c r="HFJ4764" s="911"/>
      <c r="HFK4764" s="911"/>
      <c r="HFL4764" s="911"/>
      <c r="HFM4764" s="32"/>
      <c r="HFN4764" s="911" t="s">
        <v>74</v>
      </c>
      <c r="HFO4764" s="911"/>
      <c r="HFP4764" s="911"/>
      <c r="HFQ4764" s="911"/>
      <c r="HFR4764" s="911"/>
      <c r="HFS4764" s="911"/>
      <c r="HFT4764" s="911"/>
      <c r="HFU4764" s="911"/>
      <c r="HFV4764" s="911"/>
      <c r="HFW4764" s="912"/>
      <c r="HFY4764" s="913" t="s">
        <v>1</v>
      </c>
      <c r="HFZ4764" s="31"/>
      <c r="HGA4764" s="909" t="s">
        <v>0</v>
      </c>
      <c r="HGB4764" s="909"/>
      <c r="HGC4764" s="909"/>
      <c r="HGD4764" s="909"/>
      <c r="HGE4764" s="909"/>
      <c r="HGF4764" s="909"/>
      <c r="HGG4764" s="907" t="s">
        <v>79</v>
      </c>
      <c r="HGH4764" s="909" t="s">
        <v>68</v>
      </c>
      <c r="HGI4764" s="910" t="s">
        <v>75</v>
      </c>
      <c r="HGJ4764" s="911"/>
      <c r="HGK4764" s="911"/>
      <c r="HGL4764" s="911"/>
      <c r="HGM4764" s="911"/>
      <c r="HGN4764" s="911"/>
      <c r="HGO4764" s="911"/>
      <c r="HGP4764" s="911"/>
      <c r="HGQ4764" s="911"/>
      <c r="HGR4764" s="911"/>
      <c r="HGS4764" s="32"/>
      <c r="HGT4764" s="911" t="s">
        <v>74</v>
      </c>
      <c r="HGU4764" s="911"/>
      <c r="HGV4764" s="911"/>
      <c r="HGW4764" s="911"/>
      <c r="HGX4764" s="911"/>
      <c r="HGY4764" s="911"/>
      <c r="HGZ4764" s="911"/>
      <c r="HHA4764" s="911"/>
      <c r="HHB4764" s="911"/>
      <c r="HHC4764" s="912"/>
      <c r="HHE4764" s="913" t="s">
        <v>1</v>
      </c>
      <c r="HHF4764" s="31"/>
      <c r="HHG4764" s="909" t="s">
        <v>0</v>
      </c>
      <c r="HHH4764" s="909"/>
      <c r="HHI4764" s="909"/>
      <c r="HHJ4764" s="909"/>
      <c r="HHK4764" s="909"/>
      <c r="HHL4764" s="909"/>
      <c r="HHM4764" s="907" t="s">
        <v>79</v>
      </c>
      <c r="HHN4764" s="909" t="s">
        <v>68</v>
      </c>
      <c r="HHO4764" s="910" t="s">
        <v>75</v>
      </c>
      <c r="HHP4764" s="911"/>
      <c r="HHQ4764" s="911"/>
      <c r="HHR4764" s="911"/>
      <c r="HHS4764" s="911"/>
      <c r="HHT4764" s="911"/>
      <c r="HHU4764" s="911"/>
      <c r="HHV4764" s="911"/>
      <c r="HHW4764" s="911"/>
      <c r="HHX4764" s="911"/>
      <c r="HHY4764" s="32"/>
      <c r="HHZ4764" s="911" t="s">
        <v>74</v>
      </c>
      <c r="HIA4764" s="911"/>
      <c r="HIB4764" s="911"/>
      <c r="HIC4764" s="911"/>
      <c r="HID4764" s="911"/>
      <c r="HIE4764" s="911"/>
      <c r="HIF4764" s="911"/>
      <c r="HIG4764" s="911"/>
      <c r="HIH4764" s="911"/>
      <c r="HII4764" s="912"/>
      <c r="HIK4764" s="913" t="s">
        <v>1</v>
      </c>
      <c r="HIL4764" s="31"/>
      <c r="HIM4764" s="909" t="s">
        <v>0</v>
      </c>
      <c r="HIN4764" s="909"/>
      <c r="HIO4764" s="909"/>
      <c r="HIP4764" s="909"/>
      <c r="HIQ4764" s="909"/>
      <c r="HIR4764" s="909"/>
      <c r="HIS4764" s="907" t="s">
        <v>79</v>
      </c>
      <c r="HIT4764" s="909" t="s">
        <v>68</v>
      </c>
      <c r="HIU4764" s="910" t="s">
        <v>75</v>
      </c>
      <c r="HIV4764" s="911"/>
      <c r="HIW4764" s="911"/>
      <c r="HIX4764" s="911"/>
      <c r="HIY4764" s="911"/>
      <c r="HIZ4764" s="911"/>
      <c r="HJA4764" s="911"/>
      <c r="HJB4764" s="911"/>
      <c r="HJC4764" s="911"/>
      <c r="HJD4764" s="911"/>
      <c r="HJE4764" s="32"/>
      <c r="HJF4764" s="911" t="s">
        <v>74</v>
      </c>
      <c r="HJG4764" s="911"/>
      <c r="HJH4764" s="911"/>
      <c r="HJI4764" s="911"/>
      <c r="HJJ4764" s="911"/>
      <c r="HJK4764" s="911"/>
      <c r="HJL4764" s="911"/>
      <c r="HJM4764" s="911"/>
      <c r="HJN4764" s="911"/>
      <c r="HJO4764" s="912"/>
      <c r="HJQ4764" s="913" t="s">
        <v>1</v>
      </c>
      <c r="HJR4764" s="31"/>
      <c r="HJS4764" s="909" t="s">
        <v>0</v>
      </c>
      <c r="HJT4764" s="909"/>
      <c r="HJU4764" s="909"/>
      <c r="HJV4764" s="909"/>
      <c r="HJW4764" s="909"/>
      <c r="HJX4764" s="909"/>
      <c r="HJY4764" s="907" t="s">
        <v>79</v>
      </c>
      <c r="HJZ4764" s="909" t="s">
        <v>68</v>
      </c>
      <c r="HKA4764" s="910" t="s">
        <v>75</v>
      </c>
      <c r="HKB4764" s="911"/>
      <c r="HKC4764" s="911"/>
      <c r="HKD4764" s="911"/>
      <c r="HKE4764" s="911"/>
      <c r="HKF4764" s="911"/>
      <c r="HKG4764" s="911"/>
      <c r="HKH4764" s="911"/>
      <c r="HKI4764" s="911"/>
      <c r="HKJ4764" s="911"/>
      <c r="HKK4764" s="32"/>
      <c r="HKL4764" s="911" t="s">
        <v>74</v>
      </c>
      <c r="HKM4764" s="911"/>
      <c r="HKN4764" s="911"/>
      <c r="HKO4764" s="911"/>
      <c r="HKP4764" s="911"/>
      <c r="HKQ4764" s="911"/>
      <c r="HKR4764" s="911"/>
      <c r="HKS4764" s="911"/>
      <c r="HKT4764" s="911"/>
      <c r="HKU4764" s="912"/>
      <c r="HKW4764" s="913" t="s">
        <v>1</v>
      </c>
      <c r="HKX4764" s="31"/>
      <c r="HKY4764" s="909" t="s">
        <v>0</v>
      </c>
      <c r="HKZ4764" s="909"/>
      <c r="HLA4764" s="909"/>
      <c r="HLB4764" s="909"/>
      <c r="HLC4764" s="909"/>
      <c r="HLD4764" s="909"/>
      <c r="HLE4764" s="907" t="s">
        <v>79</v>
      </c>
      <c r="HLF4764" s="909" t="s">
        <v>68</v>
      </c>
      <c r="HLG4764" s="910" t="s">
        <v>75</v>
      </c>
      <c r="HLH4764" s="911"/>
      <c r="HLI4764" s="911"/>
      <c r="HLJ4764" s="911"/>
      <c r="HLK4764" s="911"/>
      <c r="HLL4764" s="911"/>
      <c r="HLM4764" s="911"/>
      <c r="HLN4764" s="911"/>
      <c r="HLO4764" s="911"/>
      <c r="HLP4764" s="911"/>
      <c r="HLQ4764" s="32"/>
      <c r="HLR4764" s="911" t="s">
        <v>74</v>
      </c>
      <c r="HLS4764" s="911"/>
      <c r="HLT4764" s="911"/>
      <c r="HLU4764" s="911"/>
      <c r="HLV4764" s="911"/>
      <c r="HLW4764" s="911"/>
      <c r="HLX4764" s="911"/>
      <c r="HLY4764" s="911"/>
      <c r="HLZ4764" s="911"/>
      <c r="HMA4764" s="912"/>
      <c r="HMC4764" s="913" t="s">
        <v>1</v>
      </c>
      <c r="HMD4764" s="31"/>
      <c r="HME4764" s="909" t="s">
        <v>0</v>
      </c>
      <c r="HMF4764" s="909"/>
      <c r="HMG4764" s="909"/>
      <c r="HMH4764" s="909"/>
      <c r="HMI4764" s="909"/>
      <c r="HMJ4764" s="909"/>
      <c r="HMK4764" s="907" t="s">
        <v>79</v>
      </c>
      <c r="HML4764" s="909" t="s">
        <v>68</v>
      </c>
      <c r="HMM4764" s="910" t="s">
        <v>75</v>
      </c>
      <c r="HMN4764" s="911"/>
      <c r="HMO4764" s="911"/>
      <c r="HMP4764" s="911"/>
      <c r="HMQ4764" s="911"/>
      <c r="HMR4764" s="911"/>
      <c r="HMS4764" s="911"/>
      <c r="HMT4764" s="911"/>
      <c r="HMU4764" s="911"/>
      <c r="HMV4764" s="911"/>
      <c r="HMW4764" s="32"/>
      <c r="HMX4764" s="911" t="s">
        <v>74</v>
      </c>
      <c r="HMY4764" s="911"/>
      <c r="HMZ4764" s="911"/>
      <c r="HNA4764" s="911"/>
      <c r="HNB4764" s="911"/>
      <c r="HNC4764" s="911"/>
      <c r="HND4764" s="911"/>
      <c r="HNE4764" s="911"/>
      <c r="HNF4764" s="911"/>
      <c r="HNG4764" s="912"/>
      <c r="HNI4764" s="913" t="s">
        <v>1</v>
      </c>
      <c r="HNJ4764" s="31"/>
      <c r="HNK4764" s="909" t="s">
        <v>0</v>
      </c>
      <c r="HNL4764" s="909"/>
      <c r="HNM4764" s="909"/>
      <c r="HNN4764" s="909"/>
      <c r="HNO4764" s="909"/>
      <c r="HNP4764" s="909"/>
      <c r="HNQ4764" s="907" t="s">
        <v>79</v>
      </c>
      <c r="HNR4764" s="909" t="s">
        <v>68</v>
      </c>
      <c r="HNS4764" s="910" t="s">
        <v>75</v>
      </c>
      <c r="HNT4764" s="911"/>
      <c r="HNU4764" s="911"/>
      <c r="HNV4764" s="911"/>
      <c r="HNW4764" s="911"/>
      <c r="HNX4764" s="911"/>
      <c r="HNY4764" s="911"/>
      <c r="HNZ4764" s="911"/>
      <c r="HOA4764" s="911"/>
      <c r="HOB4764" s="911"/>
      <c r="HOC4764" s="32"/>
      <c r="HOD4764" s="911" t="s">
        <v>74</v>
      </c>
      <c r="HOE4764" s="911"/>
      <c r="HOF4764" s="911"/>
      <c r="HOG4764" s="911"/>
      <c r="HOH4764" s="911"/>
      <c r="HOI4764" s="911"/>
      <c r="HOJ4764" s="911"/>
      <c r="HOK4764" s="911"/>
      <c r="HOL4764" s="911"/>
      <c r="HOM4764" s="912"/>
      <c r="HOO4764" s="913" t="s">
        <v>1</v>
      </c>
      <c r="HOP4764" s="31"/>
      <c r="HOQ4764" s="909" t="s">
        <v>0</v>
      </c>
      <c r="HOR4764" s="909"/>
      <c r="HOS4764" s="909"/>
      <c r="HOT4764" s="909"/>
      <c r="HOU4764" s="909"/>
      <c r="HOV4764" s="909"/>
      <c r="HOW4764" s="907" t="s">
        <v>79</v>
      </c>
      <c r="HOX4764" s="909" t="s">
        <v>68</v>
      </c>
      <c r="HOY4764" s="910" t="s">
        <v>75</v>
      </c>
      <c r="HOZ4764" s="911"/>
      <c r="HPA4764" s="911"/>
      <c r="HPB4764" s="911"/>
      <c r="HPC4764" s="911"/>
      <c r="HPD4764" s="911"/>
      <c r="HPE4764" s="911"/>
      <c r="HPF4764" s="911"/>
      <c r="HPG4764" s="911"/>
      <c r="HPH4764" s="911"/>
      <c r="HPI4764" s="32"/>
      <c r="HPJ4764" s="911" t="s">
        <v>74</v>
      </c>
      <c r="HPK4764" s="911"/>
      <c r="HPL4764" s="911"/>
      <c r="HPM4764" s="911"/>
      <c r="HPN4764" s="911"/>
      <c r="HPO4764" s="911"/>
      <c r="HPP4764" s="911"/>
      <c r="HPQ4764" s="911"/>
      <c r="HPR4764" s="911"/>
      <c r="HPS4764" s="912"/>
      <c r="HPU4764" s="913" t="s">
        <v>1</v>
      </c>
      <c r="HPV4764" s="31"/>
      <c r="HPW4764" s="909" t="s">
        <v>0</v>
      </c>
      <c r="HPX4764" s="909"/>
      <c r="HPY4764" s="909"/>
      <c r="HPZ4764" s="909"/>
      <c r="HQA4764" s="909"/>
      <c r="HQB4764" s="909"/>
      <c r="HQC4764" s="907" t="s">
        <v>79</v>
      </c>
      <c r="HQD4764" s="909" t="s">
        <v>68</v>
      </c>
      <c r="HQE4764" s="910" t="s">
        <v>75</v>
      </c>
      <c r="HQF4764" s="911"/>
      <c r="HQG4764" s="911"/>
      <c r="HQH4764" s="911"/>
      <c r="HQI4764" s="911"/>
      <c r="HQJ4764" s="911"/>
      <c r="HQK4764" s="911"/>
      <c r="HQL4764" s="911"/>
      <c r="HQM4764" s="911"/>
      <c r="HQN4764" s="911"/>
      <c r="HQO4764" s="32"/>
      <c r="HQP4764" s="911" t="s">
        <v>74</v>
      </c>
      <c r="HQQ4764" s="911"/>
      <c r="HQR4764" s="911"/>
      <c r="HQS4764" s="911"/>
      <c r="HQT4764" s="911"/>
      <c r="HQU4764" s="911"/>
      <c r="HQV4764" s="911"/>
      <c r="HQW4764" s="911"/>
      <c r="HQX4764" s="911"/>
      <c r="HQY4764" s="912"/>
      <c r="HRA4764" s="913" t="s">
        <v>1</v>
      </c>
      <c r="HRB4764" s="31"/>
      <c r="HRC4764" s="909" t="s">
        <v>0</v>
      </c>
      <c r="HRD4764" s="909"/>
      <c r="HRE4764" s="909"/>
      <c r="HRF4764" s="909"/>
      <c r="HRG4764" s="909"/>
      <c r="HRH4764" s="909"/>
      <c r="HRI4764" s="907" t="s">
        <v>79</v>
      </c>
      <c r="HRJ4764" s="909" t="s">
        <v>68</v>
      </c>
      <c r="HRK4764" s="910" t="s">
        <v>75</v>
      </c>
      <c r="HRL4764" s="911"/>
      <c r="HRM4764" s="911"/>
      <c r="HRN4764" s="911"/>
      <c r="HRO4764" s="911"/>
      <c r="HRP4764" s="911"/>
      <c r="HRQ4764" s="911"/>
      <c r="HRR4764" s="911"/>
      <c r="HRS4764" s="911"/>
      <c r="HRT4764" s="911"/>
      <c r="HRU4764" s="32"/>
      <c r="HRV4764" s="911" t="s">
        <v>74</v>
      </c>
      <c r="HRW4764" s="911"/>
      <c r="HRX4764" s="911"/>
      <c r="HRY4764" s="911"/>
      <c r="HRZ4764" s="911"/>
      <c r="HSA4764" s="911"/>
      <c r="HSB4764" s="911"/>
      <c r="HSC4764" s="911"/>
      <c r="HSD4764" s="911"/>
      <c r="HSE4764" s="912"/>
      <c r="HSG4764" s="913" t="s">
        <v>1</v>
      </c>
      <c r="HSH4764" s="31"/>
      <c r="HSI4764" s="909" t="s">
        <v>0</v>
      </c>
      <c r="HSJ4764" s="909"/>
      <c r="HSK4764" s="909"/>
      <c r="HSL4764" s="909"/>
      <c r="HSM4764" s="909"/>
      <c r="HSN4764" s="909"/>
      <c r="HSO4764" s="907" t="s">
        <v>79</v>
      </c>
      <c r="HSP4764" s="909" t="s">
        <v>68</v>
      </c>
      <c r="HSQ4764" s="910" t="s">
        <v>75</v>
      </c>
      <c r="HSR4764" s="911"/>
      <c r="HSS4764" s="911"/>
      <c r="HST4764" s="911"/>
      <c r="HSU4764" s="911"/>
      <c r="HSV4764" s="911"/>
      <c r="HSW4764" s="911"/>
      <c r="HSX4764" s="911"/>
      <c r="HSY4764" s="911"/>
      <c r="HSZ4764" s="911"/>
      <c r="HTA4764" s="32"/>
      <c r="HTB4764" s="911" t="s">
        <v>74</v>
      </c>
      <c r="HTC4764" s="911"/>
      <c r="HTD4764" s="911"/>
      <c r="HTE4764" s="911"/>
      <c r="HTF4764" s="911"/>
      <c r="HTG4764" s="911"/>
      <c r="HTH4764" s="911"/>
      <c r="HTI4764" s="911"/>
      <c r="HTJ4764" s="911"/>
      <c r="HTK4764" s="912"/>
      <c r="HTM4764" s="913" t="s">
        <v>1</v>
      </c>
      <c r="HTN4764" s="31"/>
      <c r="HTO4764" s="909" t="s">
        <v>0</v>
      </c>
      <c r="HTP4764" s="909"/>
      <c r="HTQ4764" s="909"/>
      <c r="HTR4764" s="909"/>
      <c r="HTS4764" s="909"/>
      <c r="HTT4764" s="909"/>
      <c r="HTU4764" s="907" t="s">
        <v>79</v>
      </c>
      <c r="HTV4764" s="909" t="s">
        <v>68</v>
      </c>
      <c r="HTW4764" s="910" t="s">
        <v>75</v>
      </c>
      <c r="HTX4764" s="911"/>
      <c r="HTY4764" s="911"/>
      <c r="HTZ4764" s="911"/>
      <c r="HUA4764" s="911"/>
      <c r="HUB4764" s="911"/>
      <c r="HUC4764" s="911"/>
      <c r="HUD4764" s="911"/>
      <c r="HUE4764" s="911"/>
      <c r="HUF4764" s="911"/>
      <c r="HUG4764" s="32"/>
      <c r="HUH4764" s="911" t="s">
        <v>74</v>
      </c>
      <c r="HUI4764" s="911"/>
      <c r="HUJ4764" s="911"/>
      <c r="HUK4764" s="911"/>
      <c r="HUL4764" s="911"/>
      <c r="HUM4764" s="911"/>
      <c r="HUN4764" s="911"/>
      <c r="HUO4764" s="911"/>
      <c r="HUP4764" s="911"/>
      <c r="HUQ4764" s="912"/>
      <c r="HUS4764" s="913" t="s">
        <v>1</v>
      </c>
      <c r="HUT4764" s="31"/>
      <c r="HUU4764" s="909" t="s">
        <v>0</v>
      </c>
      <c r="HUV4764" s="909"/>
      <c r="HUW4764" s="909"/>
      <c r="HUX4764" s="909"/>
      <c r="HUY4764" s="909"/>
      <c r="HUZ4764" s="909"/>
      <c r="HVA4764" s="907" t="s">
        <v>79</v>
      </c>
      <c r="HVB4764" s="909" t="s">
        <v>68</v>
      </c>
      <c r="HVC4764" s="910" t="s">
        <v>75</v>
      </c>
      <c r="HVD4764" s="911"/>
      <c r="HVE4764" s="911"/>
      <c r="HVF4764" s="911"/>
      <c r="HVG4764" s="911"/>
      <c r="HVH4764" s="911"/>
      <c r="HVI4764" s="911"/>
      <c r="HVJ4764" s="911"/>
      <c r="HVK4764" s="911"/>
      <c r="HVL4764" s="911"/>
      <c r="HVM4764" s="32"/>
      <c r="HVN4764" s="911" t="s">
        <v>74</v>
      </c>
      <c r="HVO4764" s="911"/>
      <c r="HVP4764" s="911"/>
      <c r="HVQ4764" s="911"/>
      <c r="HVR4764" s="911"/>
      <c r="HVS4764" s="911"/>
      <c r="HVT4764" s="911"/>
      <c r="HVU4764" s="911"/>
      <c r="HVV4764" s="911"/>
      <c r="HVW4764" s="912"/>
      <c r="HVY4764" s="913" t="s">
        <v>1</v>
      </c>
      <c r="HVZ4764" s="31"/>
      <c r="HWA4764" s="909" t="s">
        <v>0</v>
      </c>
      <c r="HWB4764" s="909"/>
      <c r="HWC4764" s="909"/>
      <c r="HWD4764" s="909"/>
      <c r="HWE4764" s="909"/>
      <c r="HWF4764" s="909"/>
      <c r="HWG4764" s="907" t="s">
        <v>79</v>
      </c>
      <c r="HWH4764" s="909" t="s">
        <v>68</v>
      </c>
      <c r="HWI4764" s="910" t="s">
        <v>75</v>
      </c>
      <c r="HWJ4764" s="911"/>
      <c r="HWK4764" s="911"/>
      <c r="HWL4764" s="911"/>
      <c r="HWM4764" s="911"/>
      <c r="HWN4764" s="911"/>
      <c r="HWO4764" s="911"/>
      <c r="HWP4764" s="911"/>
      <c r="HWQ4764" s="911"/>
      <c r="HWR4764" s="911"/>
      <c r="HWS4764" s="32"/>
      <c r="HWT4764" s="911" t="s">
        <v>74</v>
      </c>
      <c r="HWU4764" s="911"/>
      <c r="HWV4764" s="911"/>
      <c r="HWW4764" s="911"/>
      <c r="HWX4764" s="911"/>
      <c r="HWY4764" s="911"/>
      <c r="HWZ4764" s="911"/>
      <c r="HXA4764" s="911"/>
      <c r="HXB4764" s="911"/>
      <c r="HXC4764" s="912"/>
      <c r="HXE4764" s="913" t="s">
        <v>1</v>
      </c>
      <c r="HXF4764" s="31"/>
      <c r="HXG4764" s="909" t="s">
        <v>0</v>
      </c>
      <c r="HXH4764" s="909"/>
      <c r="HXI4764" s="909"/>
      <c r="HXJ4764" s="909"/>
      <c r="HXK4764" s="909"/>
      <c r="HXL4764" s="909"/>
      <c r="HXM4764" s="907" t="s">
        <v>79</v>
      </c>
      <c r="HXN4764" s="909" t="s">
        <v>68</v>
      </c>
      <c r="HXO4764" s="910" t="s">
        <v>75</v>
      </c>
      <c r="HXP4764" s="911"/>
      <c r="HXQ4764" s="911"/>
      <c r="HXR4764" s="911"/>
      <c r="HXS4764" s="911"/>
      <c r="HXT4764" s="911"/>
      <c r="HXU4764" s="911"/>
      <c r="HXV4764" s="911"/>
      <c r="HXW4764" s="911"/>
      <c r="HXX4764" s="911"/>
      <c r="HXY4764" s="32"/>
      <c r="HXZ4764" s="911" t="s">
        <v>74</v>
      </c>
      <c r="HYA4764" s="911"/>
      <c r="HYB4764" s="911"/>
      <c r="HYC4764" s="911"/>
      <c r="HYD4764" s="911"/>
      <c r="HYE4764" s="911"/>
      <c r="HYF4764" s="911"/>
      <c r="HYG4764" s="911"/>
      <c r="HYH4764" s="911"/>
      <c r="HYI4764" s="912"/>
      <c r="HYK4764" s="913" t="s">
        <v>1</v>
      </c>
      <c r="HYL4764" s="31"/>
      <c r="HYM4764" s="909" t="s">
        <v>0</v>
      </c>
      <c r="HYN4764" s="909"/>
      <c r="HYO4764" s="909"/>
      <c r="HYP4764" s="909"/>
      <c r="HYQ4764" s="909"/>
      <c r="HYR4764" s="909"/>
      <c r="HYS4764" s="907" t="s">
        <v>79</v>
      </c>
      <c r="HYT4764" s="909" t="s">
        <v>68</v>
      </c>
      <c r="HYU4764" s="910" t="s">
        <v>75</v>
      </c>
      <c r="HYV4764" s="911"/>
      <c r="HYW4764" s="911"/>
      <c r="HYX4764" s="911"/>
      <c r="HYY4764" s="911"/>
      <c r="HYZ4764" s="911"/>
      <c r="HZA4764" s="911"/>
      <c r="HZB4764" s="911"/>
      <c r="HZC4764" s="911"/>
      <c r="HZD4764" s="911"/>
      <c r="HZE4764" s="32"/>
      <c r="HZF4764" s="911" t="s">
        <v>74</v>
      </c>
      <c r="HZG4764" s="911"/>
      <c r="HZH4764" s="911"/>
      <c r="HZI4764" s="911"/>
      <c r="HZJ4764" s="911"/>
      <c r="HZK4764" s="911"/>
      <c r="HZL4764" s="911"/>
      <c r="HZM4764" s="911"/>
      <c r="HZN4764" s="911"/>
      <c r="HZO4764" s="912"/>
      <c r="HZQ4764" s="913" t="s">
        <v>1</v>
      </c>
      <c r="HZR4764" s="31"/>
      <c r="HZS4764" s="909" t="s">
        <v>0</v>
      </c>
      <c r="HZT4764" s="909"/>
      <c r="HZU4764" s="909"/>
      <c r="HZV4764" s="909"/>
      <c r="HZW4764" s="909"/>
      <c r="HZX4764" s="909"/>
      <c r="HZY4764" s="907" t="s">
        <v>79</v>
      </c>
      <c r="HZZ4764" s="909" t="s">
        <v>68</v>
      </c>
      <c r="IAA4764" s="910" t="s">
        <v>75</v>
      </c>
      <c r="IAB4764" s="911"/>
      <c r="IAC4764" s="911"/>
      <c r="IAD4764" s="911"/>
      <c r="IAE4764" s="911"/>
      <c r="IAF4764" s="911"/>
      <c r="IAG4764" s="911"/>
      <c r="IAH4764" s="911"/>
      <c r="IAI4764" s="911"/>
      <c r="IAJ4764" s="911"/>
      <c r="IAK4764" s="32"/>
      <c r="IAL4764" s="911" t="s">
        <v>74</v>
      </c>
      <c r="IAM4764" s="911"/>
      <c r="IAN4764" s="911"/>
      <c r="IAO4764" s="911"/>
      <c r="IAP4764" s="911"/>
      <c r="IAQ4764" s="911"/>
      <c r="IAR4764" s="911"/>
      <c r="IAS4764" s="911"/>
      <c r="IAT4764" s="911"/>
      <c r="IAU4764" s="912"/>
      <c r="IAW4764" s="913" t="s">
        <v>1</v>
      </c>
      <c r="IAX4764" s="31"/>
      <c r="IAY4764" s="909" t="s">
        <v>0</v>
      </c>
      <c r="IAZ4764" s="909"/>
      <c r="IBA4764" s="909"/>
      <c r="IBB4764" s="909"/>
      <c r="IBC4764" s="909"/>
      <c r="IBD4764" s="909"/>
      <c r="IBE4764" s="907" t="s">
        <v>79</v>
      </c>
      <c r="IBF4764" s="909" t="s">
        <v>68</v>
      </c>
      <c r="IBG4764" s="910" t="s">
        <v>75</v>
      </c>
      <c r="IBH4764" s="911"/>
      <c r="IBI4764" s="911"/>
      <c r="IBJ4764" s="911"/>
      <c r="IBK4764" s="911"/>
      <c r="IBL4764" s="911"/>
      <c r="IBM4764" s="911"/>
      <c r="IBN4764" s="911"/>
      <c r="IBO4764" s="911"/>
      <c r="IBP4764" s="911"/>
      <c r="IBQ4764" s="32"/>
      <c r="IBR4764" s="911" t="s">
        <v>74</v>
      </c>
      <c r="IBS4764" s="911"/>
      <c r="IBT4764" s="911"/>
      <c r="IBU4764" s="911"/>
      <c r="IBV4764" s="911"/>
      <c r="IBW4764" s="911"/>
      <c r="IBX4764" s="911"/>
      <c r="IBY4764" s="911"/>
      <c r="IBZ4764" s="911"/>
      <c r="ICA4764" s="912"/>
      <c r="ICC4764" s="913" t="s">
        <v>1</v>
      </c>
      <c r="ICD4764" s="31"/>
      <c r="ICE4764" s="909" t="s">
        <v>0</v>
      </c>
      <c r="ICF4764" s="909"/>
      <c r="ICG4764" s="909"/>
      <c r="ICH4764" s="909"/>
      <c r="ICI4764" s="909"/>
      <c r="ICJ4764" s="909"/>
      <c r="ICK4764" s="907" t="s">
        <v>79</v>
      </c>
      <c r="ICL4764" s="909" t="s">
        <v>68</v>
      </c>
      <c r="ICM4764" s="910" t="s">
        <v>75</v>
      </c>
      <c r="ICN4764" s="911"/>
      <c r="ICO4764" s="911"/>
      <c r="ICP4764" s="911"/>
      <c r="ICQ4764" s="911"/>
      <c r="ICR4764" s="911"/>
      <c r="ICS4764" s="911"/>
      <c r="ICT4764" s="911"/>
      <c r="ICU4764" s="911"/>
      <c r="ICV4764" s="911"/>
      <c r="ICW4764" s="32"/>
      <c r="ICX4764" s="911" t="s">
        <v>74</v>
      </c>
      <c r="ICY4764" s="911"/>
      <c r="ICZ4764" s="911"/>
      <c r="IDA4764" s="911"/>
      <c r="IDB4764" s="911"/>
      <c r="IDC4764" s="911"/>
      <c r="IDD4764" s="911"/>
      <c r="IDE4764" s="911"/>
      <c r="IDF4764" s="911"/>
      <c r="IDG4764" s="912"/>
      <c r="IDI4764" s="913" t="s">
        <v>1</v>
      </c>
      <c r="IDJ4764" s="31"/>
      <c r="IDK4764" s="909" t="s">
        <v>0</v>
      </c>
      <c r="IDL4764" s="909"/>
      <c r="IDM4764" s="909"/>
      <c r="IDN4764" s="909"/>
      <c r="IDO4764" s="909"/>
      <c r="IDP4764" s="909"/>
      <c r="IDQ4764" s="907" t="s">
        <v>79</v>
      </c>
      <c r="IDR4764" s="909" t="s">
        <v>68</v>
      </c>
      <c r="IDS4764" s="910" t="s">
        <v>75</v>
      </c>
      <c r="IDT4764" s="911"/>
      <c r="IDU4764" s="911"/>
      <c r="IDV4764" s="911"/>
      <c r="IDW4764" s="911"/>
      <c r="IDX4764" s="911"/>
      <c r="IDY4764" s="911"/>
      <c r="IDZ4764" s="911"/>
      <c r="IEA4764" s="911"/>
      <c r="IEB4764" s="911"/>
      <c r="IEC4764" s="32"/>
      <c r="IED4764" s="911" t="s">
        <v>74</v>
      </c>
      <c r="IEE4764" s="911"/>
      <c r="IEF4764" s="911"/>
      <c r="IEG4764" s="911"/>
      <c r="IEH4764" s="911"/>
      <c r="IEI4764" s="911"/>
      <c r="IEJ4764" s="911"/>
      <c r="IEK4764" s="911"/>
      <c r="IEL4764" s="911"/>
      <c r="IEM4764" s="912"/>
      <c r="IEO4764" s="913" t="s">
        <v>1</v>
      </c>
      <c r="IEP4764" s="31"/>
      <c r="IEQ4764" s="909" t="s">
        <v>0</v>
      </c>
      <c r="IER4764" s="909"/>
      <c r="IES4764" s="909"/>
      <c r="IET4764" s="909"/>
      <c r="IEU4764" s="909"/>
      <c r="IEV4764" s="909"/>
      <c r="IEW4764" s="907" t="s">
        <v>79</v>
      </c>
      <c r="IEX4764" s="909" t="s">
        <v>68</v>
      </c>
      <c r="IEY4764" s="910" t="s">
        <v>75</v>
      </c>
      <c r="IEZ4764" s="911"/>
      <c r="IFA4764" s="911"/>
      <c r="IFB4764" s="911"/>
      <c r="IFC4764" s="911"/>
      <c r="IFD4764" s="911"/>
      <c r="IFE4764" s="911"/>
      <c r="IFF4764" s="911"/>
      <c r="IFG4764" s="911"/>
      <c r="IFH4764" s="911"/>
      <c r="IFI4764" s="32"/>
      <c r="IFJ4764" s="911" t="s">
        <v>74</v>
      </c>
      <c r="IFK4764" s="911"/>
      <c r="IFL4764" s="911"/>
      <c r="IFM4764" s="911"/>
      <c r="IFN4764" s="911"/>
      <c r="IFO4764" s="911"/>
      <c r="IFP4764" s="911"/>
      <c r="IFQ4764" s="911"/>
      <c r="IFR4764" s="911"/>
      <c r="IFS4764" s="912"/>
      <c r="IFU4764" s="913" t="s">
        <v>1</v>
      </c>
      <c r="IFV4764" s="31"/>
      <c r="IFW4764" s="909" t="s">
        <v>0</v>
      </c>
      <c r="IFX4764" s="909"/>
      <c r="IFY4764" s="909"/>
      <c r="IFZ4764" s="909"/>
      <c r="IGA4764" s="909"/>
      <c r="IGB4764" s="909"/>
      <c r="IGC4764" s="907" t="s">
        <v>79</v>
      </c>
      <c r="IGD4764" s="909" t="s">
        <v>68</v>
      </c>
      <c r="IGE4764" s="910" t="s">
        <v>75</v>
      </c>
      <c r="IGF4764" s="911"/>
      <c r="IGG4764" s="911"/>
      <c r="IGH4764" s="911"/>
      <c r="IGI4764" s="911"/>
      <c r="IGJ4764" s="911"/>
      <c r="IGK4764" s="911"/>
      <c r="IGL4764" s="911"/>
      <c r="IGM4764" s="911"/>
      <c r="IGN4764" s="911"/>
      <c r="IGO4764" s="32"/>
      <c r="IGP4764" s="911" t="s">
        <v>74</v>
      </c>
      <c r="IGQ4764" s="911"/>
      <c r="IGR4764" s="911"/>
      <c r="IGS4764" s="911"/>
      <c r="IGT4764" s="911"/>
      <c r="IGU4764" s="911"/>
      <c r="IGV4764" s="911"/>
      <c r="IGW4764" s="911"/>
      <c r="IGX4764" s="911"/>
      <c r="IGY4764" s="912"/>
      <c r="IHA4764" s="913" t="s">
        <v>1</v>
      </c>
      <c r="IHB4764" s="31"/>
      <c r="IHC4764" s="909" t="s">
        <v>0</v>
      </c>
      <c r="IHD4764" s="909"/>
      <c r="IHE4764" s="909"/>
      <c r="IHF4764" s="909"/>
      <c r="IHG4764" s="909"/>
      <c r="IHH4764" s="909"/>
      <c r="IHI4764" s="907" t="s">
        <v>79</v>
      </c>
      <c r="IHJ4764" s="909" t="s">
        <v>68</v>
      </c>
      <c r="IHK4764" s="910" t="s">
        <v>75</v>
      </c>
      <c r="IHL4764" s="911"/>
      <c r="IHM4764" s="911"/>
      <c r="IHN4764" s="911"/>
      <c r="IHO4764" s="911"/>
      <c r="IHP4764" s="911"/>
      <c r="IHQ4764" s="911"/>
      <c r="IHR4764" s="911"/>
      <c r="IHS4764" s="911"/>
      <c r="IHT4764" s="911"/>
      <c r="IHU4764" s="32"/>
      <c r="IHV4764" s="911" t="s">
        <v>74</v>
      </c>
      <c r="IHW4764" s="911"/>
      <c r="IHX4764" s="911"/>
      <c r="IHY4764" s="911"/>
      <c r="IHZ4764" s="911"/>
      <c r="IIA4764" s="911"/>
      <c r="IIB4764" s="911"/>
      <c r="IIC4764" s="911"/>
      <c r="IID4764" s="911"/>
      <c r="IIE4764" s="912"/>
      <c r="IIG4764" s="913" t="s">
        <v>1</v>
      </c>
      <c r="IIH4764" s="31"/>
      <c r="III4764" s="909" t="s">
        <v>0</v>
      </c>
      <c r="IIJ4764" s="909"/>
      <c r="IIK4764" s="909"/>
      <c r="IIL4764" s="909"/>
      <c r="IIM4764" s="909"/>
      <c r="IIN4764" s="909"/>
      <c r="IIO4764" s="907" t="s">
        <v>79</v>
      </c>
      <c r="IIP4764" s="909" t="s">
        <v>68</v>
      </c>
      <c r="IIQ4764" s="910" t="s">
        <v>75</v>
      </c>
      <c r="IIR4764" s="911"/>
      <c r="IIS4764" s="911"/>
      <c r="IIT4764" s="911"/>
      <c r="IIU4764" s="911"/>
      <c r="IIV4764" s="911"/>
      <c r="IIW4764" s="911"/>
      <c r="IIX4764" s="911"/>
      <c r="IIY4764" s="911"/>
      <c r="IIZ4764" s="911"/>
      <c r="IJA4764" s="32"/>
      <c r="IJB4764" s="911" t="s">
        <v>74</v>
      </c>
      <c r="IJC4764" s="911"/>
      <c r="IJD4764" s="911"/>
      <c r="IJE4764" s="911"/>
      <c r="IJF4764" s="911"/>
      <c r="IJG4764" s="911"/>
      <c r="IJH4764" s="911"/>
      <c r="IJI4764" s="911"/>
      <c r="IJJ4764" s="911"/>
      <c r="IJK4764" s="912"/>
      <c r="IJM4764" s="913" t="s">
        <v>1</v>
      </c>
      <c r="IJN4764" s="31"/>
      <c r="IJO4764" s="909" t="s">
        <v>0</v>
      </c>
      <c r="IJP4764" s="909"/>
      <c r="IJQ4764" s="909"/>
      <c r="IJR4764" s="909"/>
      <c r="IJS4764" s="909"/>
      <c r="IJT4764" s="909"/>
      <c r="IJU4764" s="907" t="s">
        <v>79</v>
      </c>
      <c r="IJV4764" s="909" t="s">
        <v>68</v>
      </c>
      <c r="IJW4764" s="910" t="s">
        <v>75</v>
      </c>
      <c r="IJX4764" s="911"/>
      <c r="IJY4764" s="911"/>
      <c r="IJZ4764" s="911"/>
      <c r="IKA4764" s="911"/>
      <c r="IKB4764" s="911"/>
      <c r="IKC4764" s="911"/>
      <c r="IKD4764" s="911"/>
      <c r="IKE4764" s="911"/>
      <c r="IKF4764" s="911"/>
      <c r="IKG4764" s="32"/>
      <c r="IKH4764" s="911" t="s">
        <v>74</v>
      </c>
      <c r="IKI4764" s="911"/>
      <c r="IKJ4764" s="911"/>
      <c r="IKK4764" s="911"/>
      <c r="IKL4764" s="911"/>
      <c r="IKM4764" s="911"/>
      <c r="IKN4764" s="911"/>
      <c r="IKO4764" s="911"/>
      <c r="IKP4764" s="911"/>
      <c r="IKQ4764" s="912"/>
      <c r="IKS4764" s="913" t="s">
        <v>1</v>
      </c>
      <c r="IKT4764" s="31"/>
      <c r="IKU4764" s="909" t="s">
        <v>0</v>
      </c>
      <c r="IKV4764" s="909"/>
      <c r="IKW4764" s="909"/>
      <c r="IKX4764" s="909"/>
      <c r="IKY4764" s="909"/>
      <c r="IKZ4764" s="909"/>
      <c r="ILA4764" s="907" t="s">
        <v>79</v>
      </c>
      <c r="ILB4764" s="909" t="s">
        <v>68</v>
      </c>
      <c r="ILC4764" s="910" t="s">
        <v>75</v>
      </c>
      <c r="ILD4764" s="911"/>
      <c r="ILE4764" s="911"/>
      <c r="ILF4764" s="911"/>
      <c r="ILG4764" s="911"/>
      <c r="ILH4764" s="911"/>
      <c r="ILI4764" s="911"/>
      <c r="ILJ4764" s="911"/>
      <c r="ILK4764" s="911"/>
      <c r="ILL4764" s="911"/>
      <c r="ILM4764" s="32"/>
      <c r="ILN4764" s="911" t="s">
        <v>74</v>
      </c>
      <c r="ILO4764" s="911"/>
      <c r="ILP4764" s="911"/>
      <c r="ILQ4764" s="911"/>
      <c r="ILR4764" s="911"/>
      <c r="ILS4764" s="911"/>
      <c r="ILT4764" s="911"/>
      <c r="ILU4764" s="911"/>
      <c r="ILV4764" s="911"/>
      <c r="ILW4764" s="912"/>
      <c r="ILY4764" s="913" t="s">
        <v>1</v>
      </c>
      <c r="ILZ4764" s="31"/>
      <c r="IMA4764" s="909" t="s">
        <v>0</v>
      </c>
      <c r="IMB4764" s="909"/>
      <c r="IMC4764" s="909"/>
      <c r="IMD4764" s="909"/>
      <c r="IME4764" s="909"/>
      <c r="IMF4764" s="909"/>
      <c r="IMG4764" s="907" t="s">
        <v>79</v>
      </c>
      <c r="IMH4764" s="909" t="s">
        <v>68</v>
      </c>
      <c r="IMI4764" s="910" t="s">
        <v>75</v>
      </c>
      <c r="IMJ4764" s="911"/>
      <c r="IMK4764" s="911"/>
      <c r="IML4764" s="911"/>
      <c r="IMM4764" s="911"/>
      <c r="IMN4764" s="911"/>
      <c r="IMO4764" s="911"/>
      <c r="IMP4764" s="911"/>
      <c r="IMQ4764" s="911"/>
      <c r="IMR4764" s="911"/>
      <c r="IMS4764" s="32"/>
      <c r="IMT4764" s="911" t="s">
        <v>74</v>
      </c>
      <c r="IMU4764" s="911"/>
      <c r="IMV4764" s="911"/>
      <c r="IMW4764" s="911"/>
      <c r="IMX4764" s="911"/>
      <c r="IMY4764" s="911"/>
      <c r="IMZ4764" s="911"/>
      <c r="INA4764" s="911"/>
      <c r="INB4764" s="911"/>
      <c r="INC4764" s="912"/>
      <c r="INE4764" s="913" t="s">
        <v>1</v>
      </c>
      <c r="INF4764" s="31"/>
      <c r="ING4764" s="909" t="s">
        <v>0</v>
      </c>
      <c r="INH4764" s="909"/>
      <c r="INI4764" s="909"/>
      <c r="INJ4764" s="909"/>
      <c r="INK4764" s="909"/>
      <c r="INL4764" s="909"/>
      <c r="INM4764" s="907" t="s">
        <v>79</v>
      </c>
      <c r="INN4764" s="909" t="s">
        <v>68</v>
      </c>
      <c r="INO4764" s="910" t="s">
        <v>75</v>
      </c>
      <c r="INP4764" s="911"/>
      <c r="INQ4764" s="911"/>
      <c r="INR4764" s="911"/>
      <c r="INS4764" s="911"/>
      <c r="INT4764" s="911"/>
      <c r="INU4764" s="911"/>
      <c r="INV4764" s="911"/>
      <c r="INW4764" s="911"/>
      <c r="INX4764" s="911"/>
      <c r="INY4764" s="32"/>
      <c r="INZ4764" s="911" t="s">
        <v>74</v>
      </c>
      <c r="IOA4764" s="911"/>
      <c r="IOB4764" s="911"/>
      <c r="IOC4764" s="911"/>
      <c r="IOD4764" s="911"/>
      <c r="IOE4764" s="911"/>
      <c r="IOF4764" s="911"/>
      <c r="IOG4764" s="911"/>
      <c r="IOH4764" s="911"/>
      <c r="IOI4764" s="912"/>
      <c r="IOK4764" s="913" t="s">
        <v>1</v>
      </c>
      <c r="IOL4764" s="31"/>
      <c r="IOM4764" s="909" t="s">
        <v>0</v>
      </c>
      <c r="ION4764" s="909"/>
      <c r="IOO4764" s="909"/>
      <c r="IOP4764" s="909"/>
      <c r="IOQ4764" s="909"/>
      <c r="IOR4764" s="909"/>
      <c r="IOS4764" s="907" t="s">
        <v>79</v>
      </c>
      <c r="IOT4764" s="909" t="s">
        <v>68</v>
      </c>
      <c r="IOU4764" s="910" t="s">
        <v>75</v>
      </c>
      <c r="IOV4764" s="911"/>
      <c r="IOW4764" s="911"/>
      <c r="IOX4764" s="911"/>
      <c r="IOY4764" s="911"/>
      <c r="IOZ4764" s="911"/>
      <c r="IPA4764" s="911"/>
      <c r="IPB4764" s="911"/>
      <c r="IPC4764" s="911"/>
      <c r="IPD4764" s="911"/>
      <c r="IPE4764" s="32"/>
      <c r="IPF4764" s="911" t="s">
        <v>74</v>
      </c>
      <c r="IPG4764" s="911"/>
      <c r="IPH4764" s="911"/>
      <c r="IPI4764" s="911"/>
      <c r="IPJ4764" s="911"/>
      <c r="IPK4764" s="911"/>
      <c r="IPL4764" s="911"/>
      <c r="IPM4764" s="911"/>
      <c r="IPN4764" s="911"/>
      <c r="IPO4764" s="912"/>
      <c r="IPQ4764" s="913" t="s">
        <v>1</v>
      </c>
      <c r="IPR4764" s="31"/>
      <c r="IPS4764" s="909" t="s">
        <v>0</v>
      </c>
      <c r="IPT4764" s="909"/>
      <c r="IPU4764" s="909"/>
      <c r="IPV4764" s="909"/>
      <c r="IPW4764" s="909"/>
      <c r="IPX4764" s="909"/>
      <c r="IPY4764" s="907" t="s">
        <v>79</v>
      </c>
      <c r="IPZ4764" s="909" t="s">
        <v>68</v>
      </c>
      <c r="IQA4764" s="910" t="s">
        <v>75</v>
      </c>
      <c r="IQB4764" s="911"/>
      <c r="IQC4764" s="911"/>
      <c r="IQD4764" s="911"/>
      <c r="IQE4764" s="911"/>
      <c r="IQF4764" s="911"/>
      <c r="IQG4764" s="911"/>
      <c r="IQH4764" s="911"/>
      <c r="IQI4764" s="911"/>
      <c r="IQJ4764" s="911"/>
      <c r="IQK4764" s="32"/>
      <c r="IQL4764" s="911" t="s">
        <v>74</v>
      </c>
      <c r="IQM4764" s="911"/>
      <c r="IQN4764" s="911"/>
      <c r="IQO4764" s="911"/>
      <c r="IQP4764" s="911"/>
      <c r="IQQ4764" s="911"/>
      <c r="IQR4764" s="911"/>
      <c r="IQS4764" s="911"/>
      <c r="IQT4764" s="911"/>
      <c r="IQU4764" s="912"/>
      <c r="IQW4764" s="913" t="s">
        <v>1</v>
      </c>
      <c r="IQX4764" s="31"/>
      <c r="IQY4764" s="909" t="s">
        <v>0</v>
      </c>
      <c r="IQZ4764" s="909"/>
      <c r="IRA4764" s="909"/>
      <c r="IRB4764" s="909"/>
      <c r="IRC4764" s="909"/>
      <c r="IRD4764" s="909"/>
      <c r="IRE4764" s="907" t="s">
        <v>79</v>
      </c>
      <c r="IRF4764" s="909" t="s">
        <v>68</v>
      </c>
      <c r="IRG4764" s="910" t="s">
        <v>75</v>
      </c>
      <c r="IRH4764" s="911"/>
      <c r="IRI4764" s="911"/>
      <c r="IRJ4764" s="911"/>
      <c r="IRK4764" s="911"/>
      <c r="IRL4764" s="911"/>
      <c r="IRM4764" s="911"/>
      <c r="IRN4764" s="911"/>
      <c r="IRO4764" s="911"/>
      <c r="IRP4764" s="911"/>
      <c r="IRQ4764" s="32"/>
      <c r="IRR4764" s="911" t="s">
        <v>74</v>
      </c>
      <c r="IRS4764" s="911"/>
      <c r="IRT4764" s="911"/>
      <c r="IRU4764" s="911"/>
      <c r="IRV4764" s="911"/>
      <c r="IRW4764" s="911"/>
      <c r="IRX4764" s="911"/>
      <c r="IRY4764" s="911"/>
      <c r="IRZ4764" s="911"/>
      <c r="ISA4764" s="912"/>
      <c r="ISC4764" s="913" t="s">
        <v>1</v>
      </c>
      <c r="ISD4764" s="31"/>
      <c r="ISE4764" s="909" t="s">
        <v>0</v>
      </c>
      <c r="ISF4764" s="909"/>
      <c r="ISG4764" s="909"/>
      <c r="ISH4764" s="909"/>
      <c r="ISI4764" s="909"/>
      <c r="ISJ4764" s="909"/>
      <c r="ISK4764" s="907" t="s">
        <v>79</v>
      </c>
      <c r="ISL4764" s="909" t="s">
        <v>68</v>
      </c>
      <c r="ISM4764" s="910" t="s">
        <v>75</v>
      </c>
      <c r="ISN4764" s="911"/>
      <c r="ISO4764" s="911"/>
      <c r="ISP4764" s="911"/>
      <c r="ISQ4764" s="911"/>
      <c r="ISR4764" s="911"/>
      <c r="ISS4764" s="911"/>
      <c r="IST4764" s="911"/>
      <c r="ISU4764" s="911"/>
      <c r="ISV4764" s="911"/>
      <c r="ISW4764" s="32"/>
      <c r="ISX4764" s="911" t="s">
        <v>74</v>
      </c>
      <c r="ISY4764" s="911"/>
      <c r="ISZ4764" s="911"/>
      <c r="ITA4764" s="911"/>
      <c r="ITB4764" s="911"/>
      <c r="ITC4764" s="911"/>
      <c r="ITD4764" s="911"/>
      <c r="ITE4764" s="911"/>
      <c r="ITF4764" s="911"/>
      <c r="ITG4764" s="912"/>
      <c r="ITI4764" s="913" t="s">
        <v>1</v>
      </c>
      <c r="ITJ4764" s="31"/>
      <c r="ITK4764" s="909" t="s">
        <v>0</v>
      </c>
      <c r="ITL4764" s="909"/>
      <c r="ITM4764" s="909"/>
      <c r="ITN4764" s="909"/>
      <c r="ITO4764" s="909"/>
      <c r="ITP4764" s="909"/>
      <c r="ITQ4764" s="907" t="s">
        <v>79</v>
      </c>
      <c r="ITR4764" s="909" t="s">
        <v>68</v>
      </c>
      <c r="ITS4764" s="910" t="s">
        <v>75</v>
      </c>
      <c r="ITT4764" s="911"/>
      <c r="ITU4764" s="911"/>
      <c r="ITV4764" s="911"/>
      <c r="ITW4764" s="911"/>
      <c r="ITX4764" s="911"/>
      <c r="ITY4764" s="911"/>
      <c r="ITZ4764" s="911"/>
      <c r="IUA4764" s="911"/>
      <c r="IUB4764" s="911"/>
      <c r="IUC4764" s="32"/>
      <c r="IUD4764" s="911" t="s">
        <v>74</v>
      </c>
      <c r="IUE4764" s="911"/>
      <c r="IUF4764" s="911"/>
      <c r="IUG4764" s="911"/>
      <c r="IUH4764" s="911"/>
      <c r="IUI4764" s="911"/>
      <c r="IUJ4764" s="911"/>
      <c r="IUK4764" s="911"/>
      <c r="IUL4764" s="911"/>
      <c r="IUM4764" s="912"/>
      <c r="IUO4764" s="913" t="s">
        <v>1</v>
      </c>
      <c r="IUP4764" s="31"/>
      <c r="IUQ4764" s="909" t="s">
        <v>0</v>
      </c>
      <c r="IUR4764" s="909"/>
      <c r="IUS4764" s="909"/>
      <c r="IUT4764" s="909"/>
      <c r="IUU4764" s="909"/>
      <c r="IUV4764" s="909"/>
      <c r="IUW4764" s="907" t="s">
        <v>79</v>
      </c>
      <c r="IUX4764" s="909" t="s">
        <v>68</v>
      </c>
      <c r="IUY4764" s="910" t="s">
        <v>75</v>
      </c>
      <c r="IUZ4764" s="911"/>
      <c r="IVA4764" s="911"/>
      <c r="IVB4764" s="911"/>
      <c r="IVC4764" s="911"/>
      <c r="IVD4764" s="911"/>
      <c r="IVE4764" s="911"/>
      <c r="IVF4764" s="911"/>
      <c r="IVG4764" s="911"/>
      <c r="IVH4764" s="911"/>
      <c r="IVI4764" s="32"/>
      <c r="IVJ4764" s="911" t="s">
        <v>74</v>
      </c>
      <c r="IVK4764" s="911"/>
      <c r="IVL4764" s="911"/>
      <c r="IVM4764" s="911"/>
      <c r="IVN4764" s="911"/>
      <c r="IVO4764" s="911"/>
      <c r="IVP4764" s="911"/>
      <c r="IVQ4764" s="911"/>
      <c r="IVR4764" s="911"/>
      <c r="IVS4764" s="912"/>
      <c r="IVU4764" s="913" t="s">
        <v>1</v>
      </c>
      <c r="IVV4764" s="31"/>
      <c r="IVW4764" s="909" t="s">
        <v>0</v>
      </c>
      <c r="IVX4764" s="909"/>
      <c r="IVY4764" s="909"/>
      <c r="IVZ4764" s="909"/>
      <c r="IWA4764" s="909"/>
      <c r="IWB4764" s="909"/>
      <c r="IWC4764" s="907" t="s">
        <v>79</v>
      </c>
      <c r="IWD4764" s="909" t="s">
        <v>68</v>
      </c>
      <c r="IWE4764" s="910" t="s">
        <v>75</v>
      </c>
      <c r="IWF4764" s="911"/>
      <c r="IWG4764" s="911"/>
      <c r="IWH4764" s="911"/>
      <c r="IWI4764" s="911"/>
      <c r="IWJ4764" s="911"/>
      <c r="IWK4764" s="911"/>
      <c r="IWL4764" s="911"/>
      <c r="IWM4764" s="911"/>
      <c r="IWN4764" s="911"/>
      <c r="IWO4764" s="32"/>
      <c r="IWP4764" s="911" t="s">
        <v>74</v>
      </c>
      <c r="IWQ4764" s="911"/>
      <c r="IWR4764" s="911"/>
      <c r="IWS4764" s="911"/>
      <c r="IWT4764" s="911"/>
      <c r="IWU4764" s="911"/>
      <c r="IWV4764" s="911"/>
      <c r="IWW4764" s="911"/>
      <c r="IWX4764" s="911"/>
      <c r="IWY4764" s="912"/>
      <c r="IXA4764" s="913" t="s">
        <v>1</v>
      </c>
      <c r="IXB4764" s="31"/>
      <c r="IXC4764" s="909" t="s">
        <v>0</v>
      </c>
      <c r="IXD4764" s="909"/>
      <c r="IXE4764" s="909"/>
      <c r="IXF4764" s="909"/>
      <c r="IXG4764" s="909"/>
      <c r="IXH4764" s="909"/>
      <c r="IXI4764" s="907" t="s">
        <v>79</v>
      </c>
      <c r="IXJ4764" s="909" t="s">
        <v>68</v>
      </c>
      <c r="IXK4764" s="910" t="s">
        <v>75</v>
      </c>
      <c r="IXL4764" s="911"/>
      <c r="IXM4764" s="911"/>
      <c r="IXN4764" s="911"/>
      <c r="IXO4764" s="911"/>
      <c r="IXP4764" s="911"/>
      <c r="IXQ4764" s="911"/>
      <c r="IXR4764" s="911"/>
      <c r="IXS4764" s="911"/>
      <c r="IXT4764" s="911"/>
      <c r="IXU4764" s="32"/>
      <c r="IXV4764" s="911" t="s">
        <v>74</v>
      </c>
      <c r="IXW4764" s="911"/>
      <c r="IXX4764" s="911"/>
      <c r="IXY4764" s="911"/>
      <c r="IXZ4764" s="911"/>
      <c r="IYA4764" s="911"/>
      <c r="IYB4764" s="911"/>
      <c r="IYC4764" s="911"/>
      <c r="IYD4764" s="911"/>
      <c r="IYE4764" s="912"/>
      <c r="IYG4764" s="913" t="s">
        <v>1</v>
      </c>
      <c r="IYH4764" s="31"/>
      <c r="IYI4764" s="909" t="s">
        <v>0</v>
      </c>
      <c r="IYJ4764" s="909"/>
      <c r="IYK4764" s="909"/>
      <c r="IYL4764" s="909"/>
      <c r="IYM4764" s="909"/>
      <c r="IYN4764" s="909"/>
      <c r="IYO4764" s="907" t="s">
        <v>79</v>
      </c>
      <c r="IYP4764" s="909" t="s">
        <v>68</v>
      </c>
      <c r="IYQ4764" s="910" t="s">
        <v>75</v>
      </c>
      <c r="IYR4764" s="911"/>
      <c r="IYS4764" s="911"/>
      <c r="IYT4764" s="911"/>
      <c r="IYU4764" s="911"/>
      <c r="IYV4764" s="911"/>
      <c r="IYW4764" s="911"/>
      <c r="IYX4764" s="911"/>
      <c r="IYY4764" s="911"/>
      <c r="IYZ4764" s="911"/>
      <c r="IZA4764" s="32"/>
      <c r="IZB4764" s="911" t="s">
        <v>74</v>
      </c>
      <c r="IZC4764" s="911"/>
      <c r="IZD4764" s="911"/>
      <c r="IZE4764" s="911"/>
      <c r="IZF4764" s="911"/>
      <c r="IZG4764" s="911"/>
      <c r="IZH4764" s="911"/>
      <c r="IZI4764" s="911"/>
      <c r="IZJ4764" s="911"/>
      <c r="IZK4764" s="912"/>
      <c r="IZM4764" s="913" t="s">
        <v>1</v>
      </c>
      <c r="IZN4764" s="31"/>
      <c r="IZO4764" s="909" t="s">
        <v>0</v>
      </c>
      <c r="IZP4764" s="909"/>
      <c r="IZQ4764" s="909"/>
      <c r="IZR4764" s="909"/>
      <c r="IZS4764" s="909"/>
      <c r="IZT4764" s="909"/>
      <c r="IZU4764" s="907" t="s">
        <v>79</v>
      </c>
      <c r="IZV4764" s="909" t="s">
        <v>68</v>
      </c>
      <c r="IZW4764" s="910" t="s">
        <v>75</v>
      </c>
      <c r="IZX4764" s="911"/>
      <c r="IZY4764" s="911"/>
      <c r="IZZ4764" s="911"/>
      <c r="JAA4764" s="911"/>
      <c r="JAB4764" s="911"/>
      <c r="JAC4764" s="911"/>
      <c r="JAD4764" s="911"/>
      <c r="JAE4764" s="911"/>
      <c r="JAF4764" s="911"/>
      <c r="JAG4764" s="32"/>
      <c r="JAH4764" s="911" t="s">
        <v>74</v>
      </c>
      <c r="JAI4764" s="911"/>
      <c r="JAJ4764" s="911"/>
      <c r="JAK4764" s="911"/>
      <c r="JAL4764" s="911"/>
      <c r="JAM4764" s="911"/>
      <c r="JAN4764" s="911"/>
      <c r="JAO4764" s="911"/>
      <c r="JAP4764" s="911"/>
      <c r="JAQ4764" s="912"/>
      <c r="JAS4764" s="913" t="s">
        <v>1</v>
      </c>
      <c r="JAT4764" s="31"/>
      <c r="JAU4764" s="909" t="s">
        <v>0</v>
      </c>
      <c r="JAV4764" s="909"/>
      <c r="JAW4764" s="909"/>
      <c r="JAX4764" s="909"/>
      <c r="JAY4764" s="909"/>
      <c r="JAZ4764" s="909"/>
      <c r="JBA4764" s="907" t="s">
        <v>79</v>
      </c>
      <c r="JBB4764" s="909" t="s">
        <v>68</v>
      </c>
      <c r="JBC4764" s="910" t="s">
        <v>75</v>
      </c>
      <c r="JBD4764" s="911"/>
      <c r="JBE4764" s="911"/>
      <c r="JBF4764" s="911"/>
      <c r="JBG4764" s="911"/>
      <c r="JBH4764" s="911"/>
      <c r="JBI4764" s="911"/>
      <c r="JBJ4764" s="911"/>
      <c r="JBK4764" s="911"/>
      <c r="JBL4764" s="911"/>
      <c r="JBM4764" s="32"/>
      <c r="JBN4764" s="911" t="s">
        <v>74</v>
      </c>
      <c r="JBO4764" s="911"/>
      <c r="JBP4764" s="911"/>
      <c r="JBQ4764" s="911"/>
      <c r="JBR4764" s="911"/>
      <c r="JBS4764" s="911"/>
      <c r="JBT4764" s="911"/>
      <c r="JBU4764" s="911"/>
      <c r="JBV4764" s="911"/>
      <c r="JBW4764" s="912"/>
      <c r="JBY4764" s="913" t="s">
        <v>1</v>
      </c>
      <c r="JBZ4764" s="31"/>
      <c r="JCA4764" s="909" t="s">
        <v>0</v>
      </c>
      <c r="JCB4764" s="909"/>
      <c r="JCC4764" s="909"/>
      <c r="JCD4764" s="909"/>
      <c r="JCE4764" s="909"/>
      <c r="JCF4764" s="909"/>
      <c r="JCG4764" s="907" t="s">
        <v>79</v>
      </c>
      <c r="JCH4764" s="909" t="s">
        <v>68</v>
      </c>
      <c r="JCI4764" s="910" t="s">
        <v>75</v>
      </c>
      <c r="JCJ4764" s="911"/>
      <c r="JCK4764" s="911"/>
      <c r="JCL4764" s="911"/>
      <c r="JCM4764" s="911"/>
      <c r="JCN4764" s="911"/>
      <c r="JCO4764" s="911"/>
      <c r="JCP4764" s="911"/>
      <c r="JCQ4764" s="911"/>
      <c r="JCR4764" s="911"/>
      <c r="JCS4764" s="32"/>
      <c r="JCT4764" s="911" t="s">
        <v>74</v>
      </c>
      <c r="JCU4764" s="911"/>
      <c r="JCV4764" s="911"/>
      <c r="JCW4764" s="911"/>
      <c r="JCX4764" s="911"/>
      <c r="JCY4764" s="911"/>
      <c r="JCZ4764" s="911"/>
      <c r="JDA4764" s="911"/>
      <c r="JDB4764" s="911"/>
      <c r="JDC4764" s="912"/>
      <c r="JDE4764" s="913" t="s">
        <v>1</v>
      </c>
      <c r="JDF4764" s="31"/>
      <c r="JDG4764" s="909" t="s">
        <v>0</v>
      </c>
      <c r="JDH4764" s="909"/>
      <c r="JDI4764" s="909"/>
      <c r="JDJ4764" s="909"/>
      <c r="JDK4764" s="909"/>
      <c r="JDL4764" s="909"/>
      <c r="JDM4764" s="907" t="s">
        <v>79</v>
      </c>
      <c r="JDN4764" s="909" t="s">
        <v>68</v>
      </c>
      <c r="JDO4764" s="910" t="s">
        <v>75</v>
      </c>
      <c r="JDP4764" s="911"/>
      <c r="JDQ4764" s="911"/>
      <c r="JDR4764" s="911"/>
      <c r="JDS4764" s="911"/>
      <c r="JDT4764" s="911"/>
      <c r="JDU4764" s="911"/>
      <c r="JDV4764" s="911"/>
      <c r="JDW4764" s="911"/>
      <c r="JDX4764" s="911"/>
      <c r="JDY4764" s="32"/>
      <c r="JDZ4764" s="911" t="s">
        <v>74</v>
      </c>
      <c r="JEA4764" s="911"/>
      <c r="JEB4764" s="911"/>
      <c r="JEC4764" s="911"/>
      <c r="JED4764" s="911"/>
      <c r="JEE4764" s="911"/>
      <c r="JEF4764" s="911"/>
      <c r="JEG4764" s="911"/>
      <c r="JEH4764" s="911"/>
      <c r="JEI4764" s="912"/>
      <c r="JEK4764" s="913" t="s">
        <v>1</v>
      </c>
      <c r="JEL4764" s="31"/>
      <c r="JEM4764" s="909" t="s">
        <v>0</v>
      </c>
      <c r="JEN4764" s="909"/>
      <c r="JEO4764" s="909"/>
      <c r="JEP4764" s="909"/>
      <c r="JEQ4764" s="909"/>
      <c r="JER4764" s="909"/>
      <c r="JES4764" s="907" t="s">
        <v>79</v>
      </c>
      <c r="JET4764" s="909" t="s">
        <v>68</v>
      </c>
      <c r="JEU4764" s="910" t="s">
        <v>75</v>
      </c>
      <c r="JEV4764" s="911"/>
      <c r="JEW4764" s="911"/>
      <c r="JEX4764" s="911"/>
      <c r="JEY4764" s="911"/>
      <c r="JEZ4764" s="911"/>
      <c r="JFA4764" s="911"/>
      <c r="JFB4764" s="911"/>
      <c r="JFC4764" s="911"/>
      <c r="JFD4764" s="911"/>
      <c r="JFE4764" s="32"/>
      <c r="JFF4764" s="911" t="s">
        <v>74</v>
      </c>
      <c r="JFG4764" s="911"/>
      <c r="JFH4764" s="911"/>
      <c r="JFI4764" s="911"/>
      <c r="JFJ4764" s="911"/>
      <c r="JFK4764" s="911"/>
      <c r="JFL4764" s="911"/>
      <c r="JFM4764" s="911"/>
      <c r="JFN4764" s="911"/>
      <c r="JFO4764" s="912"/>
      <c r="JFQ4764" s="913" t="s">
        <v>1</v>
      </c>
      <c r="JFR4764" s="31"/>
      <c r="JFS4764" s="909" t="s">
        <v>0</v>
      </c>
      <c r="JFT4764" s="909"/>
      <c r="JFU4764" s="909"/>
      <c r="JFV4764" s="909"/>
      <c r="JFW4764" s="909"/>
      <c r="JFX4764" s="909"/>
      <c r="JFY4764" s="907" t="s">
        <v>79</v>
      </c>
      <c r="JFZ4764" s="909" t="s">
        <v>68</v>
      </c>
      <c r="JGA4764" s="910" t="s">
        <v>75</v>
      </c>
      <c r="JGB4764" s="911"/>
      <c r="JGC4764" s="911"/>
      <c r="JGD4764" s="911"/>
      <c r="JGE4764" s="911"/>
      <c r="JGF4764" s="911"/>
      <c r="JGG4764" s="911"/>
      <c r="JGH4764" s="911"/>
      <c r="JGI4764" s="911"/>
      <c r="JGJ4764" s="911"/>
      <c r="JGK4764" s="32"/>
      <c r="JGL4764" s="911" t="s">
        <v>74</v>
      </c>
      <c r="JGM4764" s="911"/>
      <c r="JGN4764" s="911"/>
      <c r="JGO4764" s="911"/>
      <c r="JGP4764" s="911"/>
      <c r="JGQ4764" s="911"/>
      <c r="JGR4764" s="911"/>
      <c r="JGS4764" s="911"/>
      <c r="JGT4764" s="911"/>
      <c r="JGU4764" s="912"/>
      <c r="JGW4764" s="913" t="s">
        <v>1</v>
      </c>
      <c r="JGX4764" s="31"/>
      <c r="JGY4764" s="909" t="s">
        <v>0</v>
      </c>
      <c r="JGZ4764" s="909"/>
      <c r="JHA4764" s="909"/>
      <c r="JHB4764" s="909"/>
      <c r="JHC4764" s="909"/>
      <c r="JHD4764" s="909"/>
      <c r="JHE4764" s="907" t="s">
        <v>79</v>
      </c>
      <c r="JHF4764" s="909" t="s">
        <v>68</v>
      </c>
      <c r="JHG4764" s="910" t="s">
        <v>75</v>
      </c>
      <c r="JHH4764" s="911"/>
      <c r="JHI4764" s="911"/>
      <c r="JHJ4764" s="911"/>
      <c r="JHK4764" s="911"/>
      <c r="JHL4764" s="911"/>
      <c r="JHM4764" s="911"/>
      <c r="JHN4764" s="911"/>
      <c r="JHO4764" s="911"/>
      <c r="JHP4764" s="911"/>
      <c r="JHQ4764" s="32"/>
      <c r="JHR4764" s="911" t="s">
        <v>74</v>
      </c>
      <c r="JHS4764" s="911"/>
      <c r="JHT4764" s="911"/>
      <c r="JHU4764" s="911"/>
      <c r="JHV4764" s="911"/>
      <c r="JHW4764" s="911"/>
      <c r="JHX4764" s="911"/>
      <c r="JHY4764" s="911"/>
      <c r="JHZ4764" s="911"/>
      <c r="JIA4764" s="912"/>
      <c r="JIC4764" s="913" t="s">
        <v>1</v>
      </c>
      <c r="JID4764" s="31"/>
      <c r="JIE4764" s="909" t="s">
        <v>0</v>
      </c>
      <c r="JIF4764" s="909"/>
      <c r="JIG4764" s="909"/>
      <c r="JIH4764" s="909"/>
      <c r="JII4764" s="909"/>
      <c r="JIJ4764" s="909"/>
      <c r="JIK4764" s="907" t="s">
        <v>79</v>
      </c>
      <c r="JIL4764" s="909" t="s">
        <v>68</v>
      </c>
      <c r="JIM4764" s="910" t="s">
        <v>75</v>
      </c>
      <c r="JIN4764" s="911"/>
      <c r="JIO4764" s="911"/>
      <c r="JIP4764" s="911"/>
      <c r="JIQ4764" s="911"/>
      <c r="JIR4764" s="911"/>
      <c r="JIS4764" s="911"/>
      <c r="JIT4764" s="911"/>
      <c r="JIU4764" s="911"/>
      <c r="JIV4764" s="911"/>
      <c r="JIW4764" s="32"/>
      <c r="JIX4764" s="911" t="s">
        <v>74</v>
      </c>
      <c r="JIY4764" s="911"/>
      <c r="JIZ4764" s="911"/>
      <c r="JJA4764" s="911"/>
      <c r="JJB4764" s="911"/>
      <c r="JJC4764" s="911"/>
      <c r="JJD4764" s="911"/>
      <c r="JJE4764" s="911"/>
      <c r="JJF4764" s="911"/>
      <c r="JJG4764" s="912"/>
      <c r="JJI4764" s="913" t="s">
        <v>1</v>
      </c>
      <c r="JJJ4764" s="31"/>
      <c r="JJK4764" s="909" t="s">
        <v>0</v>
      </c>
      <c r="JJL4764" s="909"/>
      <c r="JJM4764" s="909"/>
      <c r="JJN4764" s="909"/>
      <c r="JJO4764" s="909"/>
      <c r="JJP4764" s="909"/>
      <c r="JJQ4764" s="907" t="s">
        <v>79</v>
      </c>
      <c r="JJR4764" s="909" t="s">
        <v>68</v>
      </c>
      <c r="JJS4764" s="910" t="s">
        <v>75</v>
      </c>
      <c r="JJT4764" s="911"/>
      <c r="JJU4764" s="911"/>
      <c r="JJV4764" s="911"/>
      <c r="JJW4764" s="911"/>
      <c r="JJX4764" s="911"/>
      <c r="JJY4764" s="911"/>
      <c r="JJZ4764" s="911"/>
      <c r="JKA4764" s="911"/>
      <c r="JKB4764" s="911"/>
      <c r="JKC4764" s="32"/>
      <c r="JKD4764" s="911" t="s">
        <v>74</v>
      </c>
      <c r="JKE4764" s="911"/>
      <c r="JKF4764" s="911"/>
      <c r="JKG4764" s="911"/>
      <c r="JKH4764" s="911"/>
      <c r="JKI4764" s="911"/>
      <c r="JKJ4764" s="911"/>
      <c r="JKK4764" s="911"/>
      <c r="JKL4764" s="911"/>
      <c r="JKM4764" s="912"/>
      <c r="JKO4764" s="913" t="s">
        <v>1</v>
      </c>
      <c r="JKP4764" s="31"/>
      <c r="JKQ4764" s="909" t="s">
        <v>0</v>
      </c>
      <c r="JKR4764" s="909"/>
      <c r="JKS4764" s="909"/>
      <c r="JKT4764" s="909"/>
      <c r="JKU4764" s="909"/>
      <c r="JKV4764" s="909"/>
      <c r="JKW4764" s="907" t="s">
        <v>79</v>
      </c>
      <c r="JKX4764" s="909" t="s">
        <v>68</v>
      </c>
      <c r="JKY4764" s="910" t="s">
        <v>75</v>
      </c>
      <c r="JKZ4764" s="911"/>
      <c r="JLA4764" s="911"/>
      <c r="JLB4764" s="911"/>
      <c r="JLC4764" s="911"/>
      <c r="JLD4764" s="911"/>
      <c r="JLE4764" s="911"/>
      <c r="JLF4764" s="911"/>
      <c r="JLG4764" s="911"/>
      <c r="JLH4764" s="911"/>
      <c r="JLI4764" s="32"/>
      <c r="JLJ4764" s="911" t="s">
        <v>74</v>
      </c>
      <c r="JLK4764" s="911"/>
      <c r="JLL4764" s="911"/>
      <c r="JLM4764" s="911"/>
      <c r="JLN4764" s="911"/>
      <c r="JLO4764" s="911"/>
      <c r="JLP4764" s="911"/>
      <c r="JLQ4764" s="911"/>
      <c r="JLR4764" s="911"/>
      <c r="JLS4764" s="912"/>
      <c r="JLU4764" s="913" t="s">
        <v>1</v>
      </c>
      <c r="JLV4764" s="31"/>
      <c r="JLW4764" s="909" t="s">
        <v>0</v>
      </c>
      <c r="JLX4764" s="909"/>
      <c r="JLY4764" s="909"/>
      <c r="JLZ4764" s="909"/>
      <c r="JMA4764" s="909"/>
      <c r="JMB4764" s="909"/>
      <c r="JMC4764" s="907" t="s">
        <v>79</v>
      </c>
      <c r="JMD4764" s="909" t="s">
        <v>68</v>
      </c>
      <c r="JME4764" s="910" t="s">
        <v>75</v>
      </c>
      <c r="JMF4764" s="911"/>
      <c r="JMG4764" s="911"/>
      <c r="JMH4764" s="911"/>
      <c r="JMI4764" s="911"/>
      <c r="JMJ4764" s="911"/>
      <c r="JMK4764" s="911"/>
      <c r="JML4764" s="911"/>
      <c r="JMM4764" s="911"/>
      <c r="JMN4764" s="911"/>
      <c r="JMO4764" s="32"/>
      <c r="JMP4764" s="911" t="s">
        <v>74</v>
      </c>
      <c r="JMQ4764" s="911"/>
      <c r="JMR4764" s="911"/>
      <c r="JMS4764" s="911"/>
      <c r="JMT4764" s="911"/>
      <c r="JMU4764" s="911"/>
      <c r="JMV4764" s="911"/>
      <c r="JMW4764" s="911"/>
      <c r="JMX4764" s="911"/>
      <c r="JMY4764" s="912"/>
      <c r="JNA4764" s="913" t="s">
        <v>1</v>
      </c>
      <c r="JNB4764" s="31"/>
      <c r="JNC4764" s="909" t="s">
        <v>0</v>
      </c>
      <c r="JND4764" s="909"/>
      <c r="JNE4764" s="909"/>
      <c r="JNF4764" s="909"/>
      <c r="JNG4764" s="909"/>
      <c r="JNH4764" s="909"/>
      <c r="JNI4764" s="907" t="s">
        <v>79</v>
      </c>
      <c r="JNJ4764" s="909" t="s">
        <v>68</v>
      </c>
      <c r="JNK4764" s="910" t="s">
        <v>75</v>
      </c>
      <c r="JNL4764" s="911"/>
      <c r="JNM4764" s="911"/>
      <c r="JNN4764" s="911"/>
      <c r="JNO4764" s="911"/>
      <c r="JNP4764" s="911"/>
      <c r="JNQ4764" s="911"/>
      <c r="JNR4764" s="911"/>
      <c r="JNS4764" s="911"/>
      <c r="JNT4764" s="911"/>
      <c r="JNU4764" s="32"/>
      <c r="JNV4764" s="911" t="s">
        <v>74</v>
      </c>
      <c r="JNW4764" s="911"/>
      <c r="JNX4764" s="911"/>
      <c r="JNY4764" s="911"/>
      <c r="JNZ4764" s="911"/>
      <c r="JOA4764" s="911"/>
      <c r="JOB4764" s="911"/>
      <c r="JOC4764" s="911"/>
      <c r="JOD4764" s="911"/>
      <c r="JOE4764" s="912"/>
      <c r="JOG4764" s="913" t="s">
        <v>1</v>
      </c>
      <c r="JOH4764" s="31"/>
      <c r="JOI4764" s="909" t="s">
        <v>0</v>
      </c>
      <c r="JOJ4764" s="909"/>
      <c r="JOK4764" s="909"/>
      <c r="JOL4764" s="909"/>
      <c r="JOM4764" s="909"/>
      <c r="JON4764" s="909"/>
      <c r="JOO4764" s="907" t="s">
        <v>79</v>
      </c>
      <c r="JOP4764" s="909" t="s">
        <v>68</v>
      </c>
      <c r="JOQ4764" s="910" t="s">
        <v>75</v>
      </c>
      <c r="JOR4764" s="911"/>
      <c r="JOS4764" s="911"/>
      <c r="JOT4764" s="911"/>
      <c r="JOU4764" s="911"/>
      <c r="JOV4764" s="911"/>
      <c r="JOW4764" s="911"/>
      <c r="JOX4764" s="911"/>
      <c r="JOY4764" s="911"/>
      <c r="JOZ4764" s="911"/>
      <c r="JPA4764" s="32"/>
      <c r="JPB4764" s="911" t="s">
        <v>74</v>
      </c>
      <c r="JPC4764" s="911"/>
      <c r="JPD4764" s="911"/>
      <c r="JPE4764" s="911"/>
      <c r="JPF4764" s="911"/>
      <c r="JPG4764" s="911"/>
      <c r="JPH4764" s="911"/>
      <c r="JPI4764" s="911"/>
      <c r="JPJ4764" s="911"/>
      <c r="JPK4764" s="912"/>
      <c r="JPM4764" s="913" t="s">
        <v>1</v>
      </c>
      <c r="JPN4764" s="31"/>
      <c r="JPO4764" s="909" t="s">
        <v>0</v>
      </c>
      <c r="JPP4764" s="909"/>
      <c r="JPQ4764" s="909"/>
      <c r="JPR4764" s="909"/>
      <c r="JPS4764" s="909"/>
      <c r="JPT4764" s="909"/>
      <c r="JPU4764" s="907" t="s">
        <v>79</v>
      </c>
      <c r="JPV4764" s="909" t="s">
        <v>68</v>
      </c>
      <c r="JPW4764" s="910" t="s">
        <v>75</v>
      </c>
      <c r="JPX4764" s="911"/>
      <c r="JPY4764" s="911"/>
      <c r="JPZ4764" s="911"/>
      <c r="JQA4764" s="911"/>
      <c r="JQB4764" s="911"/>
      <c r="JQC4764" s="911"/>
      <c r="JQD4764" s="911"/>
      <c r="JQE4764" s="911"/>
      <c r="JQF4764" s="911"/>
      <c r="JQG4764" s="32"/>
      <c r="JQH4764" s="911" t="s">
        <v>74</v>
      </c>
      <c r="JQI4764" s="911"/>
      <c r="JQJ4764" s="911"/>
      <c r="JQK4764" s="911"/>
      <c r="JQL4764" s="911"/>
      <c r="JQM4764" s="911"/>
      <c r="JQN4764" s="911"/>
      <c r="JQO4764" s="911"/>
      <c r="JQP4764" s="911"/>
      <c r="JQQ4764" s="912"/>
      <c r="JQS4764" s="913" t="s">
        <v>1</v>
      </c>
      <c r="JQT4764" s="31"/>
      <c r="JQU4764" s="909" t="s">
        <v>0</v>
      </c>
      <c r="JQV4764" s="909"/>
      <c r="JQW4764" s="909"/>
      <c r="JQX4764" s="909"/>
      <c r="JQY4764" s="909"/>
      <c r="JQZ4764" s="909"/>
      <c r="JRA4764" s="907" t="s">
        <v>79</v>
      </c>
      <c r="JRB4764" s="909" t="s">
        <v>68</v>
      </c>
      <c r="JRC4764" s="910" t="s">
        <v>75</v>
      </c>
      <c r="JRD4764" s="911"/>
      <c r="JRE4764" s="911"/>
      <c r="JRF4764" s="911"/>
      <c r="JRG4764" s="911"/>
      <c r="JRH4764" s="911"/>
      <c r="JRI4764" s="911"/>
      <c r="JRJ4764" s="911"/>
      <c r="JRK4764" s="911"/>
      <c r="JRL4764" s="911"/>
      <c r="JRM4764" s="32"/>
      <c r="JRN4764" s="911" t="s">
        <v>74</v>
      </c>
      <c r="JRO4764" s="911"/>
      <c r="JRP4764" s="911"/>
      <c r="JRQ4764" s="911"/>
      <c r="JRR4764" s="911"/>
      <c r="JRS4764" s="911"/>
      <c r="JRT4764" s="911"/>
      <c r="JRU4764" s="911"/>
      <c r="JRV4764" s="911"/>
      <c r="JRW4764" s="912"/>
      <c r="JRY4764" s="913" t="s">
        <v>1</v>
      </c>
      <c r="JRZ4764" s="31"/>
      <c r="JSA4764" s="909" t="s">
        <v>0</v>
      </c>
      <c r="JSB4764" s="909"/>
      <c r="JSC4764" s="909"/>
      <c r="JSD4764" s="909"/>
      <c r="JSE4764" s="909"/>
      <c r="JSF4764" s="909"/>
      <c r="JSG4764" s="907" t="s">
        <v>79</v>
      </c>
      <c r="JSH4764" s="909" t="s">
        <v>68</v>
      </c>
      <c r="JSI4764" s="910" t="s">
        <v>75</v>
      </c>
      <c r="JSJ4764" s="911"/>
      <c r="JSK4764" s="911"/>
      <c r="JSL4764" s="911"/>
      <c r="JSM4764" s="911"/>
      <c r="JSN4764" s="911"/>
      <c r="JSO4764" s="911"/>
      <c r="JSP4764" s="911"/>
      <c r="JSQ4764" s="911"/>
      <c r="JSR4764" s="911"/>
      <c r="JSS4764" s="32"/>
      <c r="JST4764" s="911" t="s">
        <v>74</v>
      </c>
      <c r="JSU4764" s="911"/>
      <c r="JSV4764" s="911"/>
      <c r="JSW4764" s="911"/>
      <c r="JSX4764" s="911"/>
      <c r="JSY4764" s="911"/>
      <c r="JSZ4764" s="911"/>
      <c r="JTA4764" s="911"/>
      <c r="JTB4764" s="911"/>
      <c r="JTC4764" s="912"/>
      <c r="JTE4764" s="913" t="s">
        <v>1</v>
      </c>
      <c r="JTF4764" s="31"/>
      <c r="JTG4764" s="909" t="s">
        <v>0</v>
      </c>
      <c r="JTH4764" s="909"/>
      <c r="JTI4764" s="909"/>
      <c r="JTJ4764" s="909"/>
      <c r="JTK4764" s="909"/>
      <c r="JTL4764" s="909"/>
      <c r="JTM4764" s="907" t="s">
        <v>79</v>
      </c>
      <c r="JTN4764" s="909" t="s">
        <v>68</v>
      </c>
      <c r="JTO4764" s="910" t="s">
        <v>75</v>
      </c>
      <c r="JTP4764" s="911"/>
      <c r="JTQ4764" s="911"/>
      <c r="JTR4764" s="911"/>
      <c r="JTS4764" s="911"/>
      <c r="JTT4764" s="911"/>
      <c r="JTU4764" s="911"/>
      <c r="JTV4764" s="911"/>
      <c r="JTW4764" s="911"/>
      <c r="JTX4764" s="911"/>
      <c r="JTY4764" s="32"/>
      <c r="JTZ4764" s="911" t="s">
        <v>74</v>
      </c>
      <c r="JUA4764" s="911"/>
      <c r="JUB4764" s="911"/>
      <c r="JUC4764" s="911"/>
      <c r="JUD4764" s="911"/>
      <c r="JUE4764" s="911"/>
      <c r="JUF4764" s="911"/>
      <c r="JUG4764" s="911"/>
      <c r="JUH4764" s="911"/>
      <c r="JUI4764" s="912"/>
      <c r="JUK4764" s="913" t="s">
        <v>1</v>
      </c>
      <c r="JUL4764" s="31"/>
      <c r="JUM4764" s="909" t="s">
        <v>0</v>
      </c>
      <c r="JUN4764" s="909"/>
      <c r="JUO4764" s="909"/>
      <c r="JUP4764" s="909"/>
      <c r="JUQ4764" s="909"/>
      <c r="JUR4764" s="909"/>
      <c r="JUS4764" s="907" t="s">
        <v>79</v>
      </c>
      <c r="JUT4764" s="909" t="s">
        <v>68</v>
      </c>
      <c r="JUU4764" s="910" t="s">
        <v>75</v>
      </c>
      <c r="JUV4764" s="911"/>
      <c r="JUW4764" s="911"/>
      <c r="JUX4764" s="911"/>
      <c r="JUY4764" s="911"/>
      <c r="JUZ4764" s="911"/>
      <c r="JVA4764" s="911"/>
      <c r="JVB4764" s="911"/>
      <c r="JVC4764" s="911"/>
      <c r="JVD4764" s="911"/>
      <c r="JVE4764" s="32"/>
      <c r="JVF4764" s="911" t="s">
        <v>74</v>
      </c>
      <c r="JVG4764" s="911"/>
      <c r="JVH4764" s="911"/>
      <c r="JVI4764" s="911"/>
      <c r="JVJ4764" s="911"/>
      <c r="JVK4764" s="911"/>
      <c r="JVL4764" s="911"/>
      <c r="JVM4764" s="911"/>
      <c r="JVN4764" s="911"/>
      <c r="JVO4764" s="912"/>
      <c r="JVQ4764" s="913" t="s">
        <v>1</v>
      </c>
      <c r="JVR4764" s="31"/>
      <c r="JVS4764" s="909" t="s">
        <v>0</v>
      </c>
      <c r="JVT4764" s="909"/>
      <c r="JVU4764" s="909"/>
      <c r="JVV4764" s="909"/>
      <c r="JVW4764" s="909"/>
      <c r="JVX4764" s="909"/>
      <c r="JVY4764" s="907" t="s">
        <v>79</v>
      </c>
      <c r="JVZ4764" s="909" t="s">
        <v>68</v>
      </c>
      <c r="JWA4764" s="910" t="s">
        <v>75</v>
      </c>
      <c r="JWB4764" s="911"/>
      <c r="JWC4764" s="911"/>
      <c r="JWD4764" s="911"/>
      <c r="JWE4764" s="911"/>
      <c r="JWF4764" s="911"/>
      <c r="JWG4764" s="911"/>
      <c r="JWH4764" s="911"/>
      <c r="JWI4764" s="911"/>
      <c r="JWJ4764" s="911"/>
      <c r="JWK4764" s="32"/>
      <c r="JWL4764" s="911" t="s">
        <v>74</v>
      </c>
      <c r="JWM4764" s="911"/>
      <c r="JWN4764" s="911"/>
      <c r="JWO4764" s="911"/>
      <c r="JWP4764" s="911"/>
      <c r="JWQ4764" s="911"/>
      <c r="JWR4764" s="911"/>
      <c r="JWS4764" s="911"/>
      <c r="JWT4764" s="911"/>
      <c r="JWU4764" s="912"/>
      <c r="JWW4764" s="913" t="s">
        <v>1</v>
      </c>
      <c r="JWX4764" s="31"/>
      <c r="JWY4764" s="909" t="s">
        <v>0</v>
      </c>
      <c r="JWZ4764" s="909"/>
      <c r="JXA4764" s="909"/>
      <c r="JXB4764" s="909"/>
      <c r="JXC4764" s="909"/>
      <c r="JXD4764" s="909"/>
      <c r="JXE4764" s="907" t="s">
        <v>79</v>
      </c>
      <c r="JXF4764" s="909" t="s">
        <v>68</v>
      </c>
      <c r="JXG4764" s="910" t="s">
        <v>75</v>
      </c>
      <c r="JXH4764" s="911"/>
      <c r="JXI4764" s="911"/>
      <c r="JXJ4764" s="911"/>
      <c r="JXK4764" s="911"/>
      <c r="JXL4764" s="911"/>
      <c r="JXM4764" s="911"/>
      <c r="JXN4764" s="911"/>
      <c r="JXO4764" s="911"/>
      <c r="JXP4764" s="911"/>
      <c r="JXQ4764" s="32"/>
      <c r="JXR4764" s="911" t="s">
        <v>74</v>
      </c>
      <c r="JXS4764" s="911"/>
      <c r="JXT4764" s="911"/>
      <c r="JXU4764" s="911"/>
      <c r="JXV4764" s="911"/>
      <c r="JXW4764" s="911"/>
      <c r="JXX4764" s="911"/>
      <c r="JXY4764" s="911"/>
      <c r="JXZ4764" s="911"/>
      <c r="JYA4764" s="912"/>
      <c r="JYC4764" s="913" t="s">
        <v>1</v>
      </c>
      <c r="JYD4764" s="31"/>
      <c r="JYE4764" s="909" t="s">
        <v>0</v>
      </c>
      <c r="JYF4764" s="909"/>
      <c r="JYG4764" s="909"/>
      <c r="JYH4764" s="909"/>
      <c r="JYI4764" s="909"/>
      <c r="JYJ4764" s="909"/>
      <c r="JYK4764" s="907" t="s">
        <v>79</v>
      </c>
      <c r="JYL4764" s="909" t="s">
        <v>68</v>
      </c>
      <c r="JYM4764" s="910" t="s">
        <v>75</v>
      </c>
      <c r="JYN4764" s="911"/>
      <c r="JYO4764" s="911"/>
      <c r="JYP4764" s="911"/>
      <c r="JYQ4764" s="911"/>
      <c r="JYR4764" s="911"/>
      <c r="JYS4764" s="911"/>
      <c r="JYT4764" s="911"/>
      <c r="JYU4764" s="911"/>
      <c r="JYV4764" s="911"/>
      <c r="JYW4764" s="32"/>
      <c r="JYX4764" s="911" t="s">
        <v>74</v>
      </c>
      <c r="JYY4764" s="911"/>
      <c r="JYZ4764" s="911"/>
      <c r="JZA4764" s="911"/>
      <c r="JZB4764" s="911"/>
      <c r="JZC4764" s="911"/>
      <c r="JZD4764" s="911"/>
      <c r="JZE4764" s="911"/>
      <c r="JZF4764" s="911"/>
      <c r="JZG4764" s="912"/>
      <c r="JZI4764" s="913" t="s">
        <v>1</v>
      </c>
      <c r="JZJ4764" s="31"/>
      <c r="JZK4764" s="909" t="s">
        <v>0</v>
      </c>
      <c r="JZL4764" s="909"/>
      <c r="JZM4764" s="909"/>
      <c r="JZN4764" s="909"/>
      <c r="JZO4764" s="909"/>
      <c r="JZP4764" s="909"/>
      <c r="JZQ4764" s="907" t="s">
        <v>79</v>
      </c>
      <c r="JZR4764" s="909" t="s">
        <v>68</v>
      </c>
      <c r="JZS4764" s="910" t="s">
        <v>75</v>
      </c>
      <c r="JZT4764" s="911"/>
      <c r="JZU4764" s="911"/>
      <c r="JZV4764" s="911"/>
      <c r="JZW4764" s="911"/>
      <c r="JZX4764" s="911"/>
      <c r="JZY4764" s="911"/>
      <c r="JZZ4764" s="911"/>
      <c r="KAA4764" s="911"/>
      <c r="KAB4764" s="911"/>
      <c r="KAC4764" s="32"/>
      <c r="KAD4764" s="911" t="s">
        <v>74</v>
      </c>
      <c r="KAE4764" s="911"/>
      <c r="KAF4764" s="911"/>
      <c r="KAG4764" s="911"/>
      <c r="KAH4764" s="911"/>
      <c r="KAI4764" s="911"/>
      <c r="KAJ4764" s="911"/>
      <c r="KAK4764" s="911"/>
      <c r="KAL4764" s="911"/>
      <c r="KAM4764" s="912"/>
      <c r="KAO4764" s="913" t="s">
        <v>1</v>
      </c>
      <c r="KAP4764" s="31"/>
      <c r="KAQ4764" s="909" t="s">
        <v>0</v>
      </c>
      <c r="KAR4764" s="909"/>
      <c r="KAS4764" s="909"/>
      <c r="KAT4764" s="909"/>
      <c r="KAU4764" s="909"/>
      <c r="KAV4764" s="909"/>
      <c r="KAW4764" s="907" t="s">
        <v>79</v>
      </c>
      <c r="KAX4764" s="909" t="s">
        <v>68</v>
      </c>
      <c r="KAY4764" s="910" t="s">
        <v>75</v>
      </c>
      <c r="KAZ4764" s="911"/>
      <c r="KBA4764" s="911"/>
      <c r="KBB4764" s="911"/>
      <c r="KBC4764" s="911"/>
      <c r="KBD4764" s="911"/>
      <c r="KBE4764" s="911"/>
      <c r="KBF4764" s="911"/>
      <c r="KBG4764" s="911"/>
      <c r="KBH4764" s="911"/>
      <c r="KBI4764" s="32"/>
      <c r="KBJ4764" s="911" t="s">
        <v>74</v>
      </c>
      <c r="KBK4764" s="911"/>
      <c r="KBL4764" s="911"/>
      <c r="KBM4764" s="911"/>
      <c r="KBN4764" s="911"/>
      <c r="KBO4764" s="911"/>
      <c r="KBP4764" s="911"/>
      <c r="KBQ4764" s="911"/>
      <c r="KBR4764" s="911"/>
      <c r="KBS4764" s="912"/>
      <c r="KBU4764" s="913" t="s">
        <v>1</v>
      </c>
      <c r="KBV4764" s="31"/>
      <c r="KBW4764" s="909" t="s">
        <v>0</v>
      </c>
      <c r="KBX4764" s="909"/>
      <c r="KBY4764" s="909"/>
      <c r="KBZ4764" s="909"/>
      <c r="KCA4764" s="909"/>
      <c r="KCB4764" s="909"/>
      <c r="KCC4764" s="907" t="s">
        <v>79</v>
      </c>
      <c r="KCD4764" s="909" t="s">
        <v>68</v>
      </c>
      <c r="KCE4764" s="910" t="s">
        <v>75</v>
      </c>
      <c r="KCF4764" s="911"/>
      <c r="KCG4764" s="911"/>
      <c r="KCH4764" s="911"/>
      <c r="KCI4764" s="911"/>
      <c r="KCJ4764" s="911"/>
      <c r="KCK4764" s="911"/>
      <c r="KCL4764" s="911"/>
      <c r="KCM4764" s="911"/>
      <c r="KCN4764" s="911"/>
      <c r="KCO4764" s="32"/>
      <c r="KCP4764" s="911" t="s">
        <v>74</v>
      </c>
      <c r="KCQ4764" s="911"/>
      <c r="KCR4764" s="911"/>
      <c r="KCS4764" s="911"/>
      <c r="KCT4764" s="911"/>
      <c r="KCU4764" s="911"/>
      <c r="KCV4764" s="911"/>
      <c r="KCW4764" s="911"/>
      <c r="KCX4764" s="911"/>
      <c r="KCY4764" s="912"/>
      <c r="KDA4764" s="913" t="s">
        <v>1</v>
      </c>
      <c r="KDB4764" s="31"/>
      <c r="KDC4764" s="909" t="s">
        <v>0</v>
      </c>
      <c r="KDD4764" s="909"/>
      <c r="KDE4764" s="909"/>
      <c r="KDF4764" s="909"/>
      <c r="KDG4764" s="909"/>
      <c r="KDH4764" s="909"/>
      <c r="KDI4764" s="907" t="s">
        <v>79</v>
      </c>
      <c r="KDJ4764" s="909" t="s">
        <v>68</v>
      </c>
      <c r="KDK4764" s="910" t="s">
        <v>75</v>
      </c>
      <c r="KDL4764" s="911"/>
      <c r="KDM4764" s="911"/>
      <c r="KDN4764" s="911"/>
      <c r="KDO4764" s="911"/>
      <c r="KDP4764" s="911"/>
      <c r="KDQ4764" s="911"/>
      <c r="KDR4764" s="911"/>
      <c r="KDS4764" s="911"/>
      <c r="KDT4764" s="911"/>
      <c r="KDU4764" s="32"/>
      <c r="KDV4764" s="911" t="s">
        <v>74</v>
      </c>
      <c r="KDW4764" s="911"/>
      <c r="KDX4764" s="911"/>
      <c r="KDY4764" s="911"/>
      <c r="KDZ4764" s="911"/>
      <c r="KEA4764" s="911"/>
      <c r="KEB4764" s="911"/>
      <c r="KEC4764" s="911"/>
      <c r="KED4764" s="911"/>
      <c r="KEE4764" s="912"/>
      <c r="KEG4764" s="913" t="s">
        <v>1</v>
      </c>
      <c r="KEH4764" s="31"/>
      <c r="KEI4764" s="909" t="s">
        <v>0</v>
      </c>
      <c r="KEJ4764" s="909"/>
      <c r="KEK4764" s="909"/>
      <c r="KEL4764" s="909"/>
      <c r="KEM4764" s="909"/>
      <c r="KEN4764" s="909"/>
      <c r="KEO4764" s="907" t="s">
        <v>79</v>
      </c>
      <c r="KEP4764" s="909" t="s">
        <v>68</v>
      </c>
      <c r="KEQ4764" s="910" t="s">
        <v>75</v>
      </c>
      <c r="KER4764" s="911"/>
      <c r="KES4764" s="911"/>
      <c r="KET4764" s="911"/>
      <c r="KEU4764" s="911"/>
      <c r="KEV4764" s="911"/>
      <c r="KEW4764" s="911"/>
      <c r="KEX4764" s="911"/>
      <c r="KEY4764" s="911"/>
      <c r="KEZ4764" s="911"/>
      <c r="KFA4764" s="32"/>
      <c r="KFB4764" s="911" t="s">
        <v>74</v>
      </c>
      <c r="KFC4764" s="911"/>
      <c r="KFD4764" s="911"/>
      <c r="KFE4764" s="911"/>
      <c r="KFF4764" s="911"/>
      <c r="KFG4764" s="911"/>
      <c r="KFH4764" s="911"/>
      <c r="KFI4764" s="911"/>
      <c r="KFJ4764" s="911"/>
      <c r="KFK4764" s="912"/>
      <c r="KFM4764" s="913" t="s">
        <v>1</v>
      </c>
      <c r="KFN4764" s="31"/>
      <c r="KFO4764" s="909" t="s">
        <v>0</v>
      </c>
      <c r="KFP4764" s="909"/>
      <c r="KFQ4764" s="909"/>
      <c r="KFR4764" s="909"/>
      <c r="KFS4764" s="909"/>
      <c r="KFT4764" s="909"/>
      <c r="KFU4764" s="907" t="s">
        <v>79</v>
      </c>
      <c r="KFV4764" s="909" t="s">
        <v>68</v>
      </c>
      <c r="KFW4764" s="910" t="s">
        <v>75</v>
      </c>
      <c r="KFX4764" s="911"/>
      <c r="KFY4764" s="911"/>
      <c r="KFZ4764" s="911"/>
      <c r="KGA4764" s="911"/>
      <c r="KGB4764" s="911"/>
      <c r="KGC4764" s="911"/>
      <c r="KGD4764" s="911"/>
      <c r="KGE4764" s="911"/>
      <c r="KGF4764" s="911"/>
      <c r="KGG4764" s="32"/>
      <c r="KGH4764" s="911" t="s">
        <v>74</v>
      </c>
      <c r="KGI4764" s="911"/>
      <c r="KGJ4764" s="911"/>
      <c r="KGK4764" s="911"/>
      <c r="KGL4764" s="911"/>
      <c r="KGM4764" s="911"/>
      <c r="KGN4764" s="911"/>
      <c r="KGO4764" s="911"/>
      <c r="KGP4764" s="911"/>
      <c r="KGQ4764" s="912"/>
      <c r="KGS4764" s="913" t="s">
        <v>1</v>
      </c>
      <c r="KGT4764" s="31"/>
      <c r="KGU4764" s="909" t="s">
        <v>0</v>
      </c>
      <c r="KGV4764" s="909"/>
      <c r="KGW4764" s="909"/>
      <c r="KGX4764" s="909"/>
      <c r="KGY4764" s="909"/>
      <c r="KGZ4764" s="909"/>
      <c r="KHA4764" s="907" t="s">
        <v>79</v>
      </c>
      <c r="KHB4764" s="909" t="s">
        <v>68</v>
      </c>
      <c r="KHC4764" s="910" t="s">
        <v>75</v>
      </c>
      <c r="KHD4764" s="911"/>
      <c r="KHE4764" s="911"/>
      <c r="KHF4764" s="911"/>
      <c r="KHG4764" s="911"/>
      <c r="KHH4764" s="911"/>
      <c r="KHI4764" s="911"/>
      <c r="KHJ4764" s="911"/>
      <c r="KHK4764" s="911"/>
      <c r="KHL4764" s="911"/>
      <c r="KHM4764" s="32"/>
      <c r="KHN4764" s="911" t="s">
        <v>74</v>
      </c>
      <c r="KHO4764" s="911"/>
      <c r="KHP4764" s="911"/>
      <c r="KHQ4764" s="911"/>
      <c r="KHR4764" s="911"/>
      <c r="KHS4764" s="911"/>
      <c r="KHT4764" s="911"/>
      <c r="KHU4764" s="911"/>
      <c r="KHV4764" s="911"/>
      <c r="KHW4764" s="912"/>
      <c r="KHY4764" s="913" t="s">
        <v>1</v>
      </c>
      <c r="KHZ4764" s="31"/>
      <c r="KIA4764" s="909" t="s">
        <v>0</v>
      </c>
      <c r="KIB4764" s="909"/>
      <c r="KIC4764" s="909"/>
      <c r="KID4764" s="909"/>
      <c r="KIE4764" s="909"/>
      <c r="KIF4764" s="909"/>
      <c r="KIG4764" s="907" t="s">
        <v>79</v>
      </c>
      <c r="KIH4764" s="909" t="s">
        <v>68</v>
      </c>
      <c r="KII4764" s="910" t="s">
        <v>75</v>
      </c>
      <c r="KIJ4764" s="911"/>
      <c r="KIK4764" s="911"/>
      <c r="KIL4764" s="911"/>
      <c r="KIM4764" s="911"/>
      <c r="KIN4764" s="911"/>
      <c r="KIO4764" s="911"/>
      <c r="KIP4764" s="911"/>
      <c r="KIQ4764" s="911"/>
      <c r="KIR4764" s="911"/>
      <c r="KIS4764" s="32"/>
      <c r="KIT4764" s="911" t="s">
        <v>74</v>
      </c>
      <c r="KIU4764" s="911"/>
      <c r="KIV4764" s="911"/>
      <c r="KIW4764" s="911"/>
      <c r="KIX4764" s="911"/>
      <c r="KIY4764" s="911"/>
      <c r="KIZ4764" s="911"/>
      <c r="KJA4764" s="911"/>
      <c r="KJB4764" s="911"/>
      <c r="KJC4764" s="912"/>
      <c r="KJE4764" s="913" t="s">
        <v>1</v>
      </c>
      <c r="KJF4764" s="31"/>
      <c r="KJG4764" s="909" t="s">
        <v>0</v>
      </c>
      <c r="KJH4764" s="909"/>
      <c r="KJI4764" s="909"/>
      <c r="KJJ4764" s="909"/>
      <c r="KJK4764" s="909"/>
      <c r="KJL4764" s="909"/>
      <c r="KJM4764" s="907" t="s">
        <v>79</v>
      </c>
      <c r="KJN4764" s="909" t="s">
        <v>68</v>
      </c>
      <c r="KJO4764" s="910" t="s">
        <v>75</v>
      </c>
      <c r="KJP4764" s="911"/>
      <c r="KJQ4764" s="911"/>
      <c r="KJR4764" s="911"/>
      <c r="KJS4764" s="911"/>
      <c r="KJT4764" s="911"/>
      <c r="KJU4764" s="911"/>
      <c r="KJV4764" s="911"/>
      <c r="KJW4764" s="911"/>
      <c r="KJX4764" s="911"/>
      <c r="KJY4764" s="32"/>
      <c r="KJZ4764" s="911" t="s">
        <v>74</v>
      </c>
      <c r="KKA4764" s="911"/>
      <c r="KKB4764" s="911"/>
      <c r="KKC4764" s="911"/>
      <c r="KKD4764" s="911"/>
      <c r="KKE4764" s="911"/>
      <c r="KKF4764" s="911"/>
      <c r="KKG4764" s="911"/>
      <c r="KKH4764" s="911"/>
      <c r="KKI4764" s="912"/>
      <c r="KKK4764" s="913" t="s">
        <v>1</v>
      </c>
      <c r="KKL4764" s="31"/>
      <c r="KKM4764" s="909" t="s">
        <v>0</v>
      </c>
      <c r="KKN4764" s="909"/>
      <c r="KKO4764" s="909"/>
      <c r="KKP4764" s="909"/>
      <c r="KKQ4764" s="909"/>
      <c r="KKR4764" s="909"/>
      <c r="KKS4764" s="907" t="s">
        <v>79</v>
      </c>
      <c r="KKT4764" s="909" t="s">
        <v>68</v>
      </c>
      <c r="KKU4764" s="910" t="s">
        <v>75</v>
      </c>
      <c r="KKV4764" s="911"/>
      <c r="KKW4764" s="911"/>
      <c r="KKX4764" s="911"/>
      <c r="KKY4764" s="911"/>
      <c r="KKZ4764" s="911"/>
      <c r="KLA4764" s="911"/>
      <c r="KLB4764" s="911"/>
      <c r="KLC4764" s="911"/>
      <c r="KLD4764" s="911"/>
      <c r="KLE4764" s="32"/>
      <c r="KLF4764" s="911" t="s">
        <v>74</v>
      </c>
      <c r="KLG4764" s="911"/>
      <c r="KLH4764" s="911"/>
      <c r="KLI4764" s="911"/>
      <c r="KLJ4764" s="911"/>
      <c r="KLK4764" s="911"/>
      <c r="KLL4764" s="911"/>
      <c r="KLM4764" s="911"/>
      <c r="KLN4764" s="911"/>
      <c r="KLO4764" s="912"/>
      <c r="KLQ4764" s="913" t="s">
        <v>1</v>
      </c>
      <c r="KLR4764" s="31"/>
      <c r="KLS4764" s="909" t="s">
        <v>0</v>
      </c>
      <c r="KLT4764" s="909"/>
      <c r="KLU4764" s="909"/>
      <c r="KLV4764" s="909"/>
      <c r="KLW4764" s="909"/>
      <c r="KLX4764" s="909"/>
      <c r="KLY4764" s="907" t="s">
        <v>79</v>
      </c>
      <c r="KLZ4764" s="909" t="s">
        <v>68</v>
      </c>
      <c r="KMA4764" s="910" t="s">
        <v>75</v>
      </c>
      <c r="KMB4764" s="911"/>
      <c r="KMC4764" s="911"/>
      <c r="KMD4764" s="911"/>
      <c r="KME4764" s="911"/>
      <c r="KMF4764" s="911"/>
      <c r="KMG4764" s="911"/>
      <c r="KMH4764" s="911"/>
      <c r="KMI4764" s="911"/>
      <c r="KMJ4764" s="911"/>
      <c r="KMK4764" s="32"/>
      <c r="KML4764" s="911" t="s">
        <v>74</v>
      </c>
      <c r="KMM4764" s="911"/>
      <c r="KMN4764" s="911"/>
      <c r="KMO4764" s="911"/>
      <c r="KMP4764" s="911"/>
      <c r="KMQ4764" s="911"/>
      <c r="KMR4764" s="911"/>
      <c r="KMS4764" s="911"/>
      <c r="KMT4764" s="911"/>
      <c r="KMU4764" s="912"/>
      <c r="KMW4764" s="913" t="s">
        <v>1</v>
      </c>
      <c r="KMX4764" s="31"/>
      <c r="KMY4764" s="909" t="s">
        <v>0</v>
      </c>
      <c r="KMZ4764" s="909"/>
      <c r="KNA4764" s="909"/>
      <c r="KNB4764" s="909"/>
      <c r="KNC4764" s="909"/>
      <c r="KND4764" s="909"/>
      <c r="KNE4764" s="907" t="s">
        <v>79</v>
      </c>
      <c r="KNF4764" s="909" t="s">
        <v>68</v>
      </c>
      <c r="KNG4764" s="910" t="s">
        <v>75</v>
      </c>
      <c r="KNH4764" s="911"/>
      <c r="KNI4764" s="911"/>
      <c r="KNJ4764" s="911"/>
      <c r="KNK4764" s="911"/>
      <c r="KNL4764" s="911"/>
      <c r="KNM4764" s="911"/>
      <c r="KNN4764" s="911"/>
      <c r="KNO4764" s="911"/>
      <c r="KNP4764" s="911"/>
      <c r="KNQ4764" s="32"/>
      <c r="KNR4764" s="911" t="s">
        <v>74</v>
      </c>
      <c r="KNS4764" s="911"/>
      <c r="KNT4764" s="911"/>
      <c r="KNU4764" s="911"/>
      <c r="KNV4764" s="911"/>
      <c r="KNW4764" s="911"/>
      <c r="KNX4764" s="911"/>
      <c r="KNY4764" s="911"/>
      <c r="KNZ4764" s="911"/>
      <c r="KOA4764" s="912"/>
      <c r="KOC4764" s="913" t="s">
        <v>1</v>
      </c>
      <c r="KOD4764" s="31"/>
      <c r="KOE4764" s="909" t="s">
        <v>0</v>
      </c>
      <c r="KOF4764" s="909"/>
      <c r="KOG4764" s="909"/>
      <c r="KOH4764" s="909"/>
      <c r="KOI4764" s="909"/>
      <c r="KOJ4764" s="909"/>
      <c r="KOK4764" s="907" t="s">
        <v>79</v>
      </c>
      <c r="KOL4764" s="909" t="s">
        <v>68</v>
      </c>
      <c r="KOM4764" s="910" t="s">
        <v>75</v>
      </c>
      <c r="KON4764" s="911"/>
      <c r="KOO4764" s="911"/>
      <c r="KOP4764" s="911"/>
      <c r="KOQ4764" s="911"/>
      <c r="KOR4764" s="911"/>
      <c r="KOS4764" s="911"/>
      <c r="KOT4764" s="911"/>
      <c r="KOU4764" s="911"/>
      <c r="KOV4764" s="911"/>
      <c r="KOW4764" s="32"/>
      <c r="KOX4764" s="911" t="s">
        <v>74</v>
      </c>
      <c r="KOY4764" s="911"/>
      <c r="KOZ4764" s="911"/>
      <c r="KPA4764" s="911"/>
      <c r="KPB4764" s="911"/>
      <c r="KPC4764" s="911"/>
      <c r="KPD4764" s="911"/>
      <c r="KPE4764" s="911"/>
      <c r="KPF4764" s="911"/>
      <c r="KPG4764" s="912"/>
      <c r="KPI4764" s="913" t="s">
        <v>1</v>
      </c>
      <c r="KPJ4764" s="31"/>
      <c r="KPK4764" s="909" t="s">
        <v>0</v>
      </c>
      <c r="KPL4764" s="909"/>
      <c r="KPM4764" s="909"/>
      <c r="KPN4764" s="909"/>
      <c r="KPO4764" s="909"/>
      <c r="KPP4764" s="909"/>
      <c r="KPQ4764" s="907" t="s">
        <v>79</v>
      </c>
      <c r="KPR4764" s="909" t="s">
        <v>68</v>
      </c>
      <c r="KPS4764" s="910" t="s">
        <v>75</v>
      </c>
      <c r="KPT4764" s="911"/>
      <c r="KPU4764" s="911"/>
      <c r="KPV4764" s="911"/>
      <c r="KPW4764" s="911"/>
      <c r="KPX4764" s="911"/>
      <c r="KPY4764" s="911"/>
      <c r="KPZ4764" s="911"/>
      <c r="KQA4764" s="911"/>
      <c r="KQB4764" s="911"/>
      <c r="KQC4764" s="32"/>
      <c r="KQD4764" s="911" t="s">
        <v>74</v>
      </c>
      <c r="KQE4764" s="911"/>
      <c r="KQF4764" s="911"/>
      <c r="KQG4764" s="911"/>
      <c r="KQH4764" s="911"/>
      <c r="KQI4764" s="911"/>
      <c r="KQJ4764" s="911"/>
      <c r="KQK4764" s="911"/>
      <c r="KQL4764" s="911"/>
      <c r="KQM4764" s="912"/>
      <c r="KQO4764" s="913" t="s">
        <v>1</v>
      </c>
      <c r="KQP4764" s="31"/>
      <c r="KQQ4764" s="909" t="s">
        <v>0</v>
      </c>
      <c r="KQR4764" s="909"/>
      <c r="KQS4764" s="909"/>
      <c r="KQT4764" s="909"/>
      <c r="KQU4764" s="909"/>
      <c r="KQV4764" s="909"/>
      <c r="KQW4764" s="907" t="s">
        <v>79</v>
      </c>
      <c r="KQX4764" s="909" t="s">
        <v>68</v>
      </c>
      <c r="KQY4764" s="910" t="s">
        <v>75</v>
      </c>
      <c r="KQZ4764" s="911"/>
      <c r="KRA4764" s="911"/>
      <c r="KRB4764" s="911"/>
      <c r="KRC4764" s="911"/>
      <c r="KRD4764" s="911"/>
      <c r="KRE4764" s="911"/>
      <c r="KRF4764" s="911"/>
      <c r="KRG4764" s="911"/>
      <c r="KRH4764" s="911"/>
      <c r="KRI4764" s="32"/>
      <c r="KRJ4764" s="911" t="s">
        <v>74</v>
      </c>
      <c r="KRK4764" s="911"/>
      <c r="KRL4764" s="911"/>
      <c r="KRM4764" s="911"/>
      <c r="KRN4764" s="911"/>
      <c r="KRO4764" s="911"/>
      <c r="KRP4764" s="911"/>
      <c r="KRQ4764" s="911"/>
      <c r="KRR4764" s="911"/>
      <c r="KRS4764" s="912"/>
      <c r="KRU4764" s="913" t="s">
        <v>1</v>
      </c>
      <c r="KRV4764" s="31"/>
      <c r="KRW4764" s="909" t="s">
        <v>0</v>
      </c>
      <c r="KRX4764" s="909"/>
      <c r="KRY4764" s="909"/>
      <c r="KRZ4764" s="909"/>
      <c r="KSA4764" s="909"/>
      <c r="KSB4764" s="909"/>
      <c r="KSC4764" s="907" t="s">
        <v>79</v>
      </c>
      <c r="KSD4764" s="909" t="s">
        <v>68</v>
      </c>
      <c r="KSE4764" s="910" t="s">
        <v>75</v>
      </c>
      <c r="KSF4764" s="911"/>
      <c r="KSG4764" s="911"/>
      <c r="KSH4764" s="911"/>
      <c r="KSI4764" s="911"/>
      <c r="KSJ4764" s="911"/>
      <c r="KSK4764" s="911"/>
      <c r="KSL4764" s="911"/>
      <c r="KSM4764" s="911"/>
      <c r="KSN4764" s="911"/>
      <c r="KSO4764" s="32"/>
      <c r="KSP4764" s="911" t="s">
        <v>74</v>
      </c>
      <c r="KSQ4764" s="911"/>
      <c r="KSR4764" s="911"/>
      <c r="KSS4764" s="911"/>
      <c r="KST4764" s="911"/>
      <c r="KSU4764" s="911"/>
      <c r="KSV4764" s="911"/>
      <c r="KSW4764" s="911"/>
      <c r="KSX4764" s="911"/>
      <c r="KSY4764" s="912"/>
      <c r="KTA4764" s="913" t="s">
        <v>1</v>
      </c>
      <c r="KTB4764" s="31"/>
      <c r="KTC4764" s="909" t="s">
        <v>0</v>
      </c>
      <c r="KTD4764" s="909"/>
      <c r="KTE4764" s="909"/>
      <c r="KTF4764" s="909"/>
      <c r="KTG4764" s="909"/>
      <c r="KTH4764" s="909"/>
      <c r="KTI4764" s="907" t="s">
        <v>79</v>
      </c>
      <c r="KTJ4764" s="909" t="s">
        <v>68</v>
      </c>
      <c r="KTK4764" s="910" t="s">
        <v>75</v>
      </c>
      <c r="KTL4764" s="911"/>
      <c r="KTM4764" s="911"/>
      <c r="KTN4764" s="911"/>
      <c r="KTO4764" s="911"/>
      <c r="KTP4764" s="911"/>
      <c r="KTQ4764" s="911"/>
      <c r="KTR4764" s="911"/>
      <c r="KTS4764" s="911"/>
      <c r="KTT4764" s="911"/>
      <c r="KTU4764" s="32"/>
      <c r="KTV4764" s="911" t="s">
        <v>74</v>
      </c>
      <c r="KTW4764" s="911"/>
      <c r="KTX4764" s="911"/>
      <c r="KTY4764" s="911"/>
      <c r="KTZ4764" s="911"/>
      <c r="KUA4764" s="911"/>
      <c r="KUB4764" s="911"/>
      <c r="KUC4764" s="911"/>
      <c r="KUD4764" s="911"/>
      <c r="KUE4764" s="912"/>
      <c r="KUG4764" s="913" t="s">
        <v>1</v>
      </c>
      <c r="KUH4764" s="31"/>
      <c r="KUI4764" s="909" t="s">
        <v>0</v>
      </c>
      <c r="KUJ4764" s="909"/>
      <c r="KUK4764" s="909"/>
      <c r="KUL4764" s="909"/>
      <c r="KUM4764" s="909"/>
      <c r="KUN4764" s="909"/>
      <c r="KUO4764" s="907" t="s">
        <v>79</v>
      </c>
      <c r="KUP4764" s="909" t="s">
        <v>68</v>
      </c>
      <c r="KUQ4764" s="910" t="s">
        <v>75</v>
      </c>
      <c r="KUR4764" s="911"/>
      <c r="KUS4764" s="911"/>
      <c r="KUT4764" s="911"/>
      <c r="KUU4764" s="911"/>
      <c r="KUV4764" s="911"/>
      <c r="KUW4764" s="911"/>
      <c r="KUX4764" s="911"/>
      <c r="KUY4764" s="911"/>
      <c r="KUZ4764" s="911"/>
      <c r="KVA4764" s="32"/>
      <c r="KVB4764" s="911" t="s">
        <v>74</v>
      </c>
      <c r="KVC4764" s="911"/>
      <c r="KVD4764" s="911"/>
      <c r="KVE4764" s="911"/>
      <c r="KVF4764" s="911"/>
      <c r="KVG4764" s="911"/>
      <c r="KVH4764" s="911"/>
      <c r="KVI4764" s="911"/>
      <c r="KVJ4764" s="911"/>
      <c r="KVK4764" s="912"/>
      <c r="KVM4764" s="913" t="s">
        <v>1</v>
      </c>
      <c r="KVN4764" s="31"/>
      <c r="KVO4764" s="909" t="s">
        <v>0</v>
      </c>
      <c r="KVP4764" s="909"/>
      <c r="KVQ4764" s="909"/>
      <c r="KVR4764" s="909"/>
      <c r="KVS4764" s="909"/>
      <c r="KVT4764" s="909"/>
      <c r="KVU4764" s="907" t="s">
        <v>79</v>
      </c>
      <c r="KVV4764" s="909" t="s">
        <v>68</v>
      </c>
      <c r="KVW4764" s="910" t="s">
        <v>75</v>
      </c>
      <c r="KVX4764" s="911"/>
      <c r="KVY4764" s="911"/>
      <c r="KVZ4764" s="911"/>
      <c r="KWA4764" s="911"/>
      <c r="KWB4764" s="911"/>
      <c r="KWC4764" s="911"/>
      <c r="KWD4764" s="911"/>
      <c r="KWE4764" s="911"/>
      <c r="KWF4764" s="911"/>
      <c r="KWG4764" s="32"/>
      <c r="KWH4764" s="911" t="s">
        <v>74</v>
      </c>
      <c r="KWI4764" s="911"/>
      <c r="KWJ4764" s="911"/>
      <c r="KWK4764" s="911"/>
      <c r="KWL4764" s="911"/>
      <c r="KWM4764" s="911"/>
      <c r="KWN4764" s="911"/>
      <c r="KWO4764" s="911"/>
      <c r="KWP4764" s="911"/>
      <c r="KWQ4764" s="912"/>
      <c r="KWS4764" s="913" t="s">
        <v>1</v>
      </c>
      <c r="KWT4764" s="31"/>
      <c r="KWU4764" s="909" t="s">
        <v>0</v>
      </c>
      <c r="KWV4764" s="909"/>
      <c r="KWW4764" s="909"/>
      <c r="KWX4764" s="909"/>
      <c r="KWY4764" s="909"/>
      <c r="KWZ4764" s="909"/>
      <c r="KXA4764" s="907" t="s">
        <v>79</v>
      </c>
      <c r="KXB4764" s="909" t="s">
        <v>68</v>
      </c>
      <c r="KXC4764" s="910" t="s">
        <v>75</v>
      </c>
      <c r="KXD4764" s="911"/>
      <c r="KXE4764" s="911"/>
      <c r="KXF4764" s="911"/>
      <c r="KXG4764" s="911"/>
      <c r="KXH4764" s="911"/>
      <c r="KXI4764" s="911"/>
      <c r="KXJ4764" s="911"/>
      <c r="KXK4764" s="911"/>
      <c r="KXL4764" s="911"/>
      <c r="KXM4764" s="32"/>
      <c r="KXN4764" s="911" t="s">
        <v>74</v>
      </c>
      <c r="KXO4764" s="911"/>
      <c r="KXP4764" s="911"/>
      <c r="KXQ4764" s="911"/>
      <c r="KXR4764" s="911"/>
      <c r="KXS4764" s="911"/>
      <c r="KXT4764" s="911"/>
      <c r="KXU4764" s="911"/>
      <c r="KXV4764" s="911"/>
      <c r="KXW4764" s="912"/>
      <c r="KXY4764" s="913" t="s">
        <v>1</v>
      </c>
      <c r="KXZ4764" s="31"/>
      <c r="KYA4764" s="909" t="s">
        <v>0</v>
      </c>
      <c r="KYB4764" s="909"/>
      <c r="KYC4764" s="909"/>
      <c r="KYD4764" s="909"/>
      <c r="KYE4764" s="909"/>
      <c r="KYF4764" s="909"/>
      <c r="KYG4764" s="907" t="s">
        <v>79</v>
      </c>
      <c r="KYH4764" s="909" t="s">
        <v>68</v>
      </c>
      <c r="KYI4764" s="910" t="s">
        <v>75</v>
      </c>
      <c r="KYJ4764" s="911"/>
      <c r="KYK4764" s="911"/>
      <c r="KYL4764" s="911"/>
      <c r="KYM4764" s="911"/>
      <c r="KYN4764" s="911"/>
      <c r="KYO4764" s="911"/>
      <c r="KYP4764" s="911"/>
      <c r="KYQ4764" s="911"/>
      <c r="KYR4764" s="911"/>
      <c r="KYS4764" s="32"/>
      <c r="KYT4764" s="911" t="s">
        <v>74</v>
      </c>
      <c r="KYU4764" s="911"/>
      <c r="KYV4764" s="911"/>
      <c r="KYW4764" s="911"/>
      <c r="KYX4764" s="911"/>
      <c r="KYY4764" s="911"/>
      <c r="KYZ4764" s="911"/>
      <c r="KZA4764" s="911"/>
      <c r="KZB4764" s="911"/>
      <c r="KZC4764" s="912"/>
      <c r="KZE4764" s="913" t="s">
        <v>1</v>
      </c>
      <c r="KZF4764" s="31"/>
      <c r="KZG4764" s="909" t="s">
        <v>0</v>
      </c>
      <c r="KZH4764" s="909"/>
      <c r="KZI4764" s="909"/>
      <c r="KZJ4764" s="909"/>
      <c r="KZK4764" s="909"/>
      <c r="KZL4764" s="909"/>
      <c r="KZM4764" s="907" t="s">
        <v>79</v>
      </c>
      <c r="KZN4764" s="909" t="s">
        <v>68</v>
      </c>
      <c r="KZO4764" s="910" t="s">
        <v>75</v>
      </c>
      <c r="KZP4764" s="911"/>
      <c r="KZQ4764" s="911"/>
      <c r="KZR4764" s="911"/>
      <c r="KZS4764" s="911"/>
      <c r="KZT4764" s="911"/>
      <c r="KZU4764" s="911"/>
      <c r="KZV4764" s="911"/>
      <c r="KZW4764" s="911"/>
      <c r="KZX4764" s="911"/>
      <c r="KZY4764" s="32"/>
      <c r="KZZ4764" s="911" t="s">
        <v>74</v>
      </c>
      <c r="LAA4764" s="911"/>
      <c r="LAB4764" s="911"/>
      <c r="LAC4764" s="911"/>
      <c r="LAD4764" s="911"/>
      <c r="LAE4764" s="911"/>
      <c r="LAF4764" s="911"/>
      <c r="LAG4764" s="911"/>
      <c r="LAH4764" s="911"/>
      <c r="LAI4764" s="912"/>
      <c r="LAK4764" s="913" t="s">
        <v>1</v>
      </c>
      <c r="LAL4764" s="31"/>
      <c r="LAM4764" s="909" t="s">
        <v>0</v>
      </c>
      <c r="LAN4764" s="909"/>
      <c r="LAO4764" s="909"/>
      <c r="LAP4764" s="909"/>
      <c r="LAQ4764" s="909"/>
      <c r="LAR4764" s="909"/>
      <c r="LAS4764" s="907" t="s">
        <v>79</v>
      </c>
      <c r="LAT4764" s="909" t="s">
        <v>68</v>
      </c>
      <c r="LAU4764" s="910" t="s">
        <v>75</v>
      </c>
      <c r="LAV4764" s="911"/>
      <c r="LAW4764" s="911"/>
      <c r="LAX4764" s="911"/>
      <c r="LAY4764" s="911"/>
      <c r="LAZ4764" s="911"/>
      <c r="LBA4764" s="911"/>
      <c r="LBB4764" s="911"/>
      <c r="LBC4764" s="911"/>
      <c r="LBD4764" s="911"/>
      <c r="LBE4764" s="32"/>
      <c r="LBF4764" s="911" t="s">
        <v>74</v>
      </c>
      <c r="LBG4764" s="911"/>
      <c r="LBH4764" s="911"/>
      <c r="LBI4764" s="911"/>
      <c r="LBJ4764" s="911"/>
      <c r="LBK4764" s="911"/>
      <c r="LBL4764" s="911"/>
      <c r="LBM4764" s="911"/>
      <c r="LBN4764" s="911"/>
      <c r="LBO4764" s="912"/>
      <c r="LBQ4764" s="913" t="s">
        <v>1</v>
      </c>
      <c r="LBR4764" s="31"/>
      <c r="LBS4764" s="909" t="s">
        <v>0</v>
      </c>
      <c r="LBT4764" s="909"/>
      <c r="LBU4764" s="909"/>
      <c r="LBV4764" s="909"/>
      <c r="LBW4764" s="909"/>
      <c r="LBX4764" s="909"/>
      <c r="LBY4764" s="907" t="s">
        <v>79</v>
      </c>
      <c r="LBZ4764" s="909" t="s">
        <v>68</v>
      </c>
      <c r="LCA4764" s="910" t="s">
        <v>75</v>
      </c>
      <c r="LCB4764" s="911"/>
      <c r="LCC4764" s="911"/>
      <c r="LCD4764" s="911"/>
      <c r="LCE4764" s="911"/>
      <c r="LCF4764" s="911"/>
      <c r="LCG4764" s="911"/>
      <c r="LCH4764" s="911"/>
      <c r="LCI4764" s="911"/>
      <c r="LCJ4764" s="911"/>
      <c r="LCK4764" s="32"/>
      <c r="LCL4764" s="911" t="s">
        <v>74</v>
      </c>
      <c r="LCM4764" s="911"/>
      <c r="LCN4764" s="911"/>
      <c r="LCO4764" s="911"/>
      <c r="LCP4764" s="911"/>
      <c r="LCQ4764" s="911"/>
      <c r="LCR4764" s="911"/>
      <c r="LCS4764" s="911"/>
      <c r="LCT4764" s="911"/>
      <c r="LCU4764" s="912"/>
      <c r="LCW4764" s="913" t="s">
        <v>1</v>
      </c>
      <c r="LCX4764" s="31"/>
      <c r="LCY4764" s="909" t="s">
        <v>0</v>
      </c>
      <c r="LCZ4764" s="909"/>
      <c r="LDA4764" s="909"/>
      <c r="LDB4764" s="909"/>
      <c r="LDC4764" s="909"/>
      <c r="LDD4764" s="909"/>
      <c r="LDE4764" s="907" t="s">
        <v>79</v>
      </c>
      <c r="LDF4764" s="909" t="s">
        <v>68</v>
      </c>
      <c r="LDG4764" s="910" t="s">
        <v>75</v>
      </c>
      <c r="LDH4764" s="911"/>
      <c r="LDI4764" s="911"/>
      <c r="LDJ4764" s="911"/>
      <c r="LDK4764" s="911"/>
      <c r="LDL4764" s="911"/>
      <c r="LDM4764" s="911"/>
      <c r="LDN4764" s="911"/>
      <c r="LDO4764" s="911"/>
      <c r="LDP4764" s="911"/>
      <c r="LDQ4764" s="32"/>
      <c r="LDR4764" s="911" t="s">
        <v>74</v>
      </c>
      <c r="LDS4764" s="911"/>
      <c r="LDT4764" s="911"/>
      <c r="LDU4764" s="911"/>
      <c r="LDV4764" s="911"/>
      <c r="LDW4764" s="911"/>
      <c r="LDX4764" s="911"/>
      <c r="LDY4764" s="911"/>
      <c r="LDZ4764" s="911"/>
      <c r="LEA4764" s="912"/>
      <c r="LEC4764" s="913" t="s">
        <v>1</v>
      </c>
      <c r="LED4764" s="31"/>
      <c r="LEE4764" s="909" t="s">
        <v>0</v>
      </c>
      <c r="LEF4764" s="909"/>
      <c r="LEG4764" s="909"/>
      <c r="LEH4764" s="909"/>
      <c r="LEI4764" s="909"/>
      <c r="LEJ4764" s="909"/>
      <c r="LEK4764" s="907" t="s">
        <v>79</v>
      </c>
      <c r="LEL4764" s="909" t="s">
        <v>68</v>
      </c>
      <c r="LEM4764" s="910" t="s">
        <v>75</v>
      </c>
      <c r="LEN4764" s="911"/>
      <c r="LEO4764" s="911"/>
      <c r="LEP4764" s="911"/>
      <c r="LEQ4764" s="911"/>
      <c r="LER4764" s="911"/>
      <c r="LES4764" s="911"/>
      <c r="LET4764" s="911"/>
      <c r="LEU4764" s="911"/>
      <c r="LEV4764" s="911"/>
      <c r="LEW4764" s="32"/>
      <c r="LEX4764" s="911" t="s">
        <v>74</v>
      </c>
      <c r="LEY4764" s="911"/>
      <c r="LEZ4764" s="911"/>
      <c r="LFA4764" s="911"/>
      <c r="LFB4764" s="911"/>
      <c r="LFC4764" s="911"/>
      <c r="LFD4764" s="911"/>
      <c r="LFE4764" s="911"/>
      <c r="LFF4764" s="911"/>
      <c r="LFG4764" s="912"/>
      <c r="LFI4764" s="913" t="s">
        <v>1</v>
      </c>
      <c r="LFJ4764" s="31"/>
      <c r="LFK4764" s="909" t="s">
        <v>0</v>
      </c>
      <c r="LFL4764" s="909"/>
      <c r="LFM4764" s="909"/>
      <c r="LFN4764" s="909"/>
      <c r="LFO4764" s="909"/>
      <c r="LFP4764" s="909"/>
      <c r="LFQ4764" s="907" t="s">
        <v>79</v>
      </c>
      <c r="LFR4764" s="909" t="s">
        <v>68</v>
      </c>
      <c r="LFS4764" s="910" t="s">
        <v>75</v>
      </c>
      <c r="LFT4764" s="911"/>
      <c r="LFU4764" s="911"/>
      <c r="LFV4764" s="911"/>
      <c r="LFW4764" s="911"/>
      <c r="LFX4764" s="911"/>
      <c r="LFY4764" s="911"/>
      <c r="LFZ4764" s="911"/>
      <c r="LGA4764" s="911"/>
      <c r="LGB4764" s="911"/>
      <c r="LGC4764" s="32"/>
      <c r="LGD4764" s="911" t="s">
        <v>74</v>
      </c>
      <c r="LGE4764" s="911"/>
      <c r="LGF4764" s="911"/>
      <c r="LGG4764" s="911"/>
      <c r="LGH4764" s="911"/>
      <c r="LGI4764" s="911"/>
      <c r="LGJ4764" s="911"/>
      <c r="LGK4764" s="911"/>
      <c r="LGL4764" s="911"/>
      <c r="LGM4764" s="912"/>
      <c r="LGO4764" s="913" t="s">
        <v>1</v>
      </c>
      <c r="LGP4764" s="31"/>
      <c r="LGQ4764" s="909" t="s">
        <v>0</v>
      </c>
      <c r="LGR4764" s="909"/>
      <c r="LGS4764" s="909"/>
      <c r="LGT4764" s="909"/>
      <c r="LGU4764" s="909"/>
      <c r="LGV4764" s="909"/>
      <c r="LGW4764" s="907" t="s">
        <v>79</v>
      </c>
      <c r="LGX4764" s="909" t="s">
        <v>68</v>
      </c>
      <c r="LGY4764" s="910" t="s">
        <v>75</v>
      </c>
      <c r="LGZ4764" s="911"/>
      <c r="LHA4764" s="911"/>
      <c r="LHB4764" s="911"/>
      <c r="LHC4764" s="911"/>
      <c r="LHD4764" s="911"/>
      <c r="LHE4764" s="911"/>
      <c r="LHF4764" s="911"/>
      <c r="LHG4764" s="911"/>
      <c r="LHH4764" s="911"/>
      <c r="LHI4764" s="32"/>
      <c r="LHJ4764" s="911" t="s">
        <v>74</v>
      </c>
      <c r="LHK4764" s="911"/>
      <c r="LHL4764" s="911"/>
      <c r="LHM4764" s="911"/>
      <c r="LHN4764" s="911"/>
      <c r="LHO4764" s="911"/>
      <c r="LHP4764" s="911"/>
      <c r="LHQ4764" s="911"/>
      <c r="LHR4764" s="911"/>
      <c r="LHS4764" s="912"/>
      <c r="LHU4764" s="913" t="s">
        <v>1</v>
      </c>
      <c r="LHV4764" s="31"/>
      <c r="LHW4764" s="909" t="s">
        <v>0</v>
      </c>
      <c r="LHX4764" s="909"/>
      <c r="LHY4764" s="909"/>
      <c r="LHZ4764" s="909"/>
      <c r="LIA4764" s="909"/>
      <c r="LIB4764" s="909"/>
      <c r="LIC4764" s="907" t="s">
        <v>79</v>
      </c>
      <c r="LID4764" s="909" t="s">
        <v>68</v>
      </c>
      <c r="LIE4764" s="910" t="s">
        <v>75</v>
      </c>
      <c r="LIF4764" s="911"/>
      <c r="LIG4764" s="911"/>
      <c r="LIH4764" s="911"/>
      <c r="LII4764" s="911"/>
      <c r="LIJ4764" s="911"/>
      <c r="LIK4764" s="911"/>
      <c r="LIL4764" s="911"/>
      <c r="LIM4764" s="911"/>
      <c r="LIN4764" s="911"/>
      <c r="LIO4764" s="32"/>
      <c r="LIP4764" s="911" t="s">
        <v>74</v>
      </c>
      <c r="LIQ4764" s="911"/>
      <c r="LIR4764" s="911"/>
      <c r="LIS4764" s="911"/>
      <c r="LIT4764" s="911"/>
      <c r="LIU4764" s="911"/>
      <c r="LIV4764" s="911"/>
      <c r="LIW4764" s="911"/>
      <c r="LIX4764" s="911"/>
      <c r="LIY4764" s="912"/>
      <c r="LJA4764" s="913" t="s">
        <v>1</v>
      </c>
      <c r="LJB4764" s="31"/>
      <c r="LJC4764" s="909" t="s">
        <v>0</v>
      </c>
      <c r="LJD4764" s="909"/>
      <c r="LJE4764" s="909"/>
      <c r="LJF4764" s="909"/>
      <c r="LJG4764" s="909"/>
      <c r="LJH4764" s="909"/>
      <c r="LJI4764" s="907" t="s">
        <v>79</v>
      </c>
      <c r="LJJ4764" s="909" t="s">
        <v>68</v>
      </c>
      <c r="LJK4764" s="910" t="s">
        <v>75</v>
      </c>
      <c r="LJL4764" s="911"/>
      <c r="LJM4764" s="911"/>
      <c r="LJN4764" s="911"/>
      <c r="LJO4764" s="911"/>
      <c r="LJP4764" s="911"/>
      <c r="LJQ4764" s="911"/>
      <c r="LJR4764" s="911"/>
      <c r="LJS4764" s="911"/>
      <c r="LJT4764" s="911"/>
      <c r="LJU4764" s="32"/>
      <c r="LJV4764" s="911" t="s">
        <v>74</v>
      </c>
      <c r="LJW4764" s="911"/>
      <c r="LJX4764" s="911"/>
      <c r="LJY4764" s="911"/>
      <c r="LJZ4764" s="911"/>
      <c r="LKA4764" s="911"/>
      <c r="LKB4764" s="911"/>
      <c r="LKC4764" s="911"/>
      <c r="LKD4764" s="911"/>
      <c r="LKE4764" s="912"/>
      <c r="LKG4764" s="913" t="s">
        <v>1</v>
      </c>
      <c r="LKH4764" s="31"/>
      <c r="LKI4764" s="909" t="s">
        <v>0</v>
      </c>
      <c r="LKJ4764" s="909"/>
      <c r="LKK4764" s="909"/>
      <c r="LKL4764" s="909"/>
      <c r="LKM4764" s="909"/>
      <c r="LKN4764" s="909"/>
      <c r="LKO4764" s="907" t="s">
        <v>79</v>
      </c>
      <c r="LKP4764" s="909" t="s">
        <v>68</v>
      </c>
      <c r="LKQ4764" s="910" t="s">
        <v>75</v>
      </c>
      <c r="LKR4764" s="911"/>
      <c r="LKS4764" s="911"/>
      <c r="LKT4764" s="911"/>
      <c r="LKU4764" s="911"/>
      <c r="LKV4764" s="911"/>
      <c r="LKW4764" s="911"/>
      <c r="LKX4764" s="911"/>
      <c r="LKY4764" s="911"/>
      <c r="LKZ4764" s="911"/>
      <c r="LLA4764" s="32"/>
      <c r="LLB4764" s="911" t="s">
        <v>74</v>
      </c>
      <c r="LLC4764" s="911"/>
      <c r="LLD4764" s="911"/>
      <c r="LLE4764" s="911"/>
      <c r="LLF4764" s="911"/>
      <c r="LLG4764" s="911"/>
      <c r="LLH4764" s="911"/>
      <c r="LLI4764" s="911"/>
      <c r="LLJ4764" s="911"/>
      <c r="LLK4764" s="912"/>
      <c r="LLM4764" s="913" t="s">
        <v>1</v>
      </c>
      <c r="LLN4764" s="31"/>
      <c r="LLO4764" s="909" t="s">
        <v>0</v>
      </c>
      <c r="LLP4764" s="909"/>
      <c r="LLQ4764" s="909"/>
      <c r="LLR4764" s="909"/>
      <c r="LLS4764" s="909"/>
      <c r="LLT4764" s="909"/>
      <c r="LLU4764" s="907" t="s">
        <v>79</v>
      </c>
      <c r="LLV4764" s="909" t="s">
        <v>68</v>
      </c>
      <c r="LLW4764" s="910" t="s">
        <v>75</v>
      </c>
      <c r="LLX4764" s="911"/>
      <c r="LLY4764" s="911"/>
      <c r="LLZ4764" s="911"/>
      <c r="LMA4764" s="911"/>
      <c r="LMB4764" s="911"/>
      <c r="LMC4764" s="911"/>
      <c r="LMD4764" s="911"/>
      <c r="LME4764" s="911"/>
      <c r="LMF4764" s="911"/>
      <c r="LMG4764" s="32"/>
      <c r="LMH4764" s="911" t="s">
        <v>74</v>
      </c>
      <c r="LMI4764" s="911"/>
      <c r="LMJ4764" s="911"/>
      <c r="LMK4764" s="911"/>
      <c r="LML4764" s="911"/>
      <c r="LMM4764" s="911"/>
      <c r="LMN4764" s="911"/>
      <c r="LMO4764" s="911"/>
      <c r="LMP4764" s="911"/>
      <c r="LMQ4764" s="912"/>
      <c r="LMS4764" s="913" t="s">
        <v>1</v>
      </c>
      <c r="LMT4764" s="31"/>
      <c r="LMU4764" s="909" t="s">
        <v>0</v>
      </c>
      <c r="LMV4764" s="909"/>
      <c r="LMW4764" s="909"/>
      <c r="LMX4764" s="909"/>
      <c r="LMY4764" s="909"/>
      <c r="LMZ4764" s="909"/>
      <c r="LNA4764" s="907" t="s">
        <v>79</v>
      </c>
      <c r="LNB4764" s="909" t="s">
        <v>68</v>
      </c>
      <c r="LNC4764" s="910" t="s">
        <v>75</v>
      </c>
      <c r="LND4764" s="911"/>
      <c r="LNE4764" s="911"/>
      <c r="LNF4764" s="911"/>
      <c r="LNG4764" s="911"/>
      <c r="LNH4764" s="911"/>
      <c r="LNI4764" s="911"/>
      <c r="LNJ4764" s="911"/>
      <c r="LNK4764" s="911"/>
      <c r="LNL4764" s="911"/>
      <c r="LNM4764" s="32"/>
      <c r="LNN4764" s="911" t="s">
        <v>74</v>
      </c>
      <c r="LNO4764" s="911"/>
      <c r="LNP4764" s="911"/>
      <c r="LNQ4764" s="911"/>
      <c r="LNR4764" s="911"/>
      <c r="LNS4764" s="911"/>
      <c r="LNT4764" s="911"/>
      <c r="LNU4764" s="911"/>
      <c r="LNV4764" s="911"/>
      <c r="LNW4764" s="912"/>
      <c r="LNY4764" s="913" t="s">
        <v>1</v>
      </c>
      <c r="LNZ4764" s="31"/>
      <c r="LOA4764" s="909" t="s">
        <v>0</v>
      </c>
      <c r="LOB4764" s="909"/>
      <c r="LOC4764" s="909"/>
      <c r="LOD4764" s="909"/>
      <c r="LOE4764" s="909"/>
      <c r="LOF4764" s="909"/>
      <c r="LOG4764" s="907" t="s">
        <v>79</v>
      </c>
      <c r="LOH4764" s="909" t="s">
        <v>68</v>
      </c>
      <c r="LOI4764" s="910" t="s">
        <v>75</v>
      </c>
      <c r="LOJ4764" s="911"/>
      <c r="LOK4764" s="911"/>
      <c r="LOL4764" s="911"/>
      <c r="LOM4764" s="911"/>
      <c r="LON4764" s="911"/>
      <c r="LOO4764" s="911"/>
      <c r="LOP4764" s="911"/>
      <c r="LOQ4764" s="911"/>
      <c r="LOR4764" s="911"/>
      <c r="LOS4764" s="32"/>
      <c r="LOT4764" s="911" t="s">
        <v>74</v>
      </c>
      <c r="LOU4764" s="911"/>
      <c r="LOV4764" s="911"/>
      <c r="LOW4764" s="911"/>
      <c r="LOX4764" s="911"/>
      <c r="LOY4764" s="911"/>
      <c r="LOZ4764" s="911"/>
      <c r="LPA4764" s="911"/>
      <c r="LPB4764" s="911"/>
      <c r="LPC4764" s="912"/>
      <c r="LPE4764" s="913" t="s">
        <v>1</v>
      </c>
      <c r="LPF4764" s="31"/>
      <c r="LPG4764" s="909" t="s">
        <v>0</v>
      </c>
      <c r="LPH4764" s="909"/>
      <c r="LPI4764" s="909"/>
      <c r="LPJ4764" s="909"/>
      <c r="LPK4764" s="909"/>
      <c r="LPL4764" s="909"/>
      <c r="LPM4764" s="907" t="s">
        <v>79</v>
      </c>
      <c r="LPN4764" s="909" t="s">
        <v>68</v>
      </c>
      <c r="LPO4764" s="910" t="s">
        <v>75</v>
      </c>
      <c r="LPP4764" s="911"/>
      <c r="LPQ4764" s="911"/>
      <c r="LPR4764" s="911"/>
      <c r="LPS4764" s="911"/>
      <c r="LPT4764" s="911"/>
      <c r="LPU4764" s="911"/>
      <c r="LPV4764" s="911"/>
      <c r="LPW4764" s="911"/>
      <c r="LPX4764" s="911"/>
      <c r="LPY4764" s="32"/>
      <c r="LPZ4764" s="911" t="s">
        <v>74</v>
      </c>
      <c r="LQA4764" s="911"/>
      <c r="LQB4764" s="911"/>
      <c r="LQC4764" s="911"/>
      <c r="LQD4764" s="911"/>
      <c r="LQE4764" s="911"/>
      <c r="LQF4764" s="911"/>
      <c r="LQG4764" s="911"/>
      <c r="LQH4764" s="911"/>
      <c r="LQI4764" s="912"/>
      <c r="LQK4764" s="913" t="s">
        <v>1</v>
      </c>
      <c r="LQL4764" s="31"/>
      <c r="LQM4764" s="909" t="s">
        <v>0</v>
      </c>
      <c r="LQN4764" s="909"/>
      <c r="LQO4764" s="909"/>
      <c r="LQP4764" s="909"/>
      <c r="LQQ4764" s="909"/>
      <c r="LQR4764" s="909"/>
      <c r="LQS4764" s="907" t="s">
        <v>79</v>
      </c>
      <c r="LQT4764" s="909" t="s">
        <v>68</v>
      </c>
      <c r="LQU4764" s="910" t="s">
        <v>75</v>
      </c>
      <c r="LQV4764" s="911"/>
      <c r="LQW4764" s="911"/>
      <c r="LQX4764" s="911"/>
      <c r="LQY4764" s="911"/>
      <c r="LQZ4764" s="911"/>
      <c r="LRA4764" s="911"/>
      <c r="LRB4764" s="911"/>
      <c r="LRC4764" s="911"/>
      <c r="LRD4764" s="911"/>
      <c r="LRE4764" s="32"/>
      <c r="LRF4764" s="911" t="s">
        <v>74</v>
      </c>
      <c r="LRG4764" s="911"/>
      <c r="LRH4764" s="911"/>
      <c r="LRI4764" s="911"/>
      <c r="LRJ4764" s="911"/>
      <c r="LRK4764" s="911"/>
      <c r="LRL4764" s="911"/>
      <c r="LRM4764" s="911"/>
      <c r="LRN4764" s="911"/>
      <c r="LRO4764" s="912"/>
      <c r="LRQ4764" s="913" t="s">
        <v>1</v>
      </c>
      <c r="LRR4764" s="31"/>
      <c r="LRS4764" s="909" t="s">
        <v>0</v>
      </c>
      <c r="LRT4764" s="909"/>
      <c r="LRU4764" s="909"/>
      <c r="LRV4764" s="909"/>
      <c r="LRW4764" s="909"/>
      <c r="LRX4764" s="909"/>
      <c r="LRY4764" s="907" t="s">
        <v>79</v>
      </c>
      <c r="LRZ4764" s="909" t="s">
        <v>68</v>
      </c>
      <c r="LSA4764" s="910" t="s">
        <v>75</v>
      </c>
      <c r="LSB4764" s="911"/>
      <c r="LSC4764" s="911"/>
      <c r="LSD4764" s="911"/>
      <c r="LSE4764" s="911"/>
      <c r="LSF4764" s="911"/>
      <c r="LSG4764" s="911"/>
      <c r="LSH4764" s="911"/>
      <c r="LSI4764" s="911"/>
      <c r="LSJ4764" s="911"/>
      <c r="LSK4764" s="32"/>
      <c r="LSL4764" s="911" t="s">
        <v>74</v>
      </c>
      <c r="LSM4764" s="911"/>
      <c r="LSN4764" s="911"/>
      <c r="LSO4764" s="911"/>
      <c r="LSP4764" s="911"/>
      <c r="LSQ4764" s="911"/>
      <c r="LSR4764" s="911"/>
      <c r="LSS4764" s="911"/>
      <c r="LST4764" s="911"/>
      <c r="LSU4764" s="912"/>
      <c r="LSW4764" s="913" t="s">
        <v>1</v>
      </c>
      <c r="LSX4764" s="31"/>
      <c r="LSY4764" s="909" t="s">
        <v>0</v>
      </c>
      <c r="LSZ4764" s="909"/>
      <c r="LTA4764" s="909"/>
      <c r="LTB4764" s="909"/>
      <c r="LTC4764" s="909"/>
      <c r="LTD4764" s="909"/>
      <c r="LTE4764" s="907" t="s">
        <v>79</v>
      </c>
      <c r="LTF4764" s="909" t="s">
        <v>68</v>
      </c>
      <c r="LTG4764" s="910" t="s">
        <v>75</v>
      </c>
      <c r="LTH4764" s="911"/>
      <c r="LTI4764" s="911"/>
      <c r="LTJ4764" s="911"/>
      <c r="LTK4764" s="911"/>
      <c r="LTL4764" s="911"/>
      <c r="LTM4764" s="911"/>
      <c r="LTN4764" s="911"/>
      <c r="LTO4764" s="911"/>
      <c r="LTP4764" s="911"/>
      <c r="LTQ4764" s="32"/>
      <c r="LTR4764" s="911" t="s">
        <v>74</v>
      </c>
      <c r="LTS4764" s="911"/>
      <c r="LTT4764" s="911"/>
      <c r="LTU4764" s="911"/>
      <c r="LTV4764" s="911"/>
      <c r="LTW4764" s="911"/>
      <c r="LTX4764" s="911"/>
      <c r="LTY4764" s="911"/>
      <c r="LTZ4764" s="911"/>
      <c r="LUA4764" s="912"/>
      <c r="LUC4764" s="913" t="s">
        <v>1</v>
      </c>
      <c r="LUD4764" s="31"/>
      <c r="LUE4764" s="909" t="s">
        <v>0</v>
      </c>
      <c r="LUF4764" s="909"/>
      <c r="LUG4764" s="909"/>
      <c r="LUH4764" s="909"/>
      <c r="LUI4764" s="909"/>
      <c r="LUJ4764" s="909"/>
      <c r="LUK4764" s="907" t="s">
        <v>79</v>
      </c>
      <c r="LUL4764" s="909" t="s">
        <v>68</v>
      </c>
      <c r="LUM4764" s="910" t="s">
        <v>75</v>
      </c>
      <c r="LUN4764" s="911"/>
      <c r="LUO4764" s="911"/>
      <c r="LUP4764" s="911"/>
      <c r="LUQ4764" s="911"/>
      <c r="LUR4764" s="911"/>
      <c r="LUS4764" s="911"/>
      <c r="LUT4764" s="911"/>
      <c r="LUU4764" s="911"/>
      <c r="LUV4764" s="911"/>
      <c r="LUW4764" s="32"/>
      <c r="LUX4764" s="911" t="s">
        <v>74</v>
      </c>
      <c r="LUY4764" s="911"/>
      <c r="LUZ4764" s="911"/>
      <c r="LVA4764" s="911"/>
      <c r="LVB4764" s="911"/>
      <c r="LVC4764" s="911"/>
      <c r="LVD4764" s="911"/>
      <c r="LVE4764" s="911"/>
      <c r="LVF4764" s="911"/>
      <c r="LVG4764" s="912"/>
      <c r="LVI4764" s="913" t="s">
        <v>1</v>
      </c>
      <c r="LVJ4764" s="31"/>
      <c r="LVK4764" s="909" t="s">
        <v>0</v>
      </c>
      <c r="LVL4764" s="909"/>
      <c r="LVM4764" s="909"/>
      <c r="LVN4764" s="909"/>
      <c r="LVO4764" s="909"/>
      <c r="LVP4764" s="909"/>
      <c r="LVQ4764" s="907" t="s">
        <v>79</v>
      </c>
      <c r="LVR4764" s="909" t="s">
        <v>68</v>
      </c>
      <c r="LVS4764" s="910" t="s">
        <v>75</v>
      </c>
      <c r="LVT4764" s="911"/>
      <c r="LVU4764" s="911"/>
      <c r="LVV4764" s="911"/>
      <c r="LVW4764" s="911"/>
      <c r="LVX4764" s="911"/>
      <c r="LVY4764" s="911"/>
      <c r="LVZ4764" s="911"/>
      <c r="LWA4764" s="911"/>
      <c r="LWB4764" s="911"/>
      <c r="LWC4764" s="32"/>
      <c r="LWD4764" s="911" t="s">
        <v>74</v>
      </c>
      <c r="LWE4764" s="911"/>
      <c r="LWF4764" s="911"/>
      <c r="LWG4764" s="911"/>
      <c r="LWH4764" s="911"/>
      <c r="LWI4764" s="911"/>
      <c r="LWJ4764" s="911"/>
      <c r="LWK4764" s="911"/>
      <c r="LWL4764" s="911"/>
      <c r="LWM4764" s="912"/>
      <c r="LWO4764" s="913" t="s">
        <v>1</v>
      </c>
      <c r="LWP4764" s="31"/>
      <c r="LWQ4764" s="909" t="s">
        <v>0</v>
      </c>
      <c r="LWR4764" s="909"/>
      <c r="LWS4764" s="909"/>
      <c r="LWT4764" s="909"/>
      <c r="LWU4764" s="909"/>
      <c r="LWV4764" s="909"/>
      <c r="LWW4764" s="907" t="s">
        <v>79</v>
      </c>
      <c r="LWX4764" s="909" t="s">
        <v>68</v>
      </c>
      <c r="LWY4764" s="910" t="s">
        <v>75</v>
      </c>
      <c r="LWZ4764" s="911"/>
      <c r="LXA4764" s="911"/>
      <c r="LXB4764" s="911"/>
      <c r="LXC4764" s="911"/>
      <c r="LXD4764" s="911"/>
      <c r="LXE4764" s="911"/>
      <c r="LXF4764" s="911"/>
      <c r="LXG4764" s="911"/>
      <c r="LXH4764" s="911"/>
      <c r="LXI4764" s="32"/>
      <c r="LXJ4764" s="911" t="s">
        <v>74</v>
      </c>
      <c r="LXK4764" s="911"/>
      <c r="LXL4764" s="911"/>
      <c r="LXM4764" s="911"/>
      <c r="LXN4764" s="911"/>
      <c r="LXO4764" s="911"/>
      <c r="LXP4764" s="911"/>
      <c r="LXQ4764" s="911"/>
      <c r="LXR4764" s="911"/>
      <c r="LXS4764" s="912"/>
      <c r="LXU4764" s="913" t="s">
        <v>1</v>
      </c>
      <c r="LXV4764" s="31"/>
      <c r="LXW4764" s="909" t="s">
        <v>0</v>
      </c>
      <c r="LXX4764" s="909"/>
      <c r="LXY4764" s="909"/>
      <c r="LXZ4764" s="909"/>
      <c r="LYA4764" s="909"/>
      <c r="LYB4764" s="909"/>
      <c r="LYC4764" s="907" t="s">
        <v>79</v>
      </c>
      <c r="LYD4764" s="909" t="s">
        <v>68</v>
      </c>
      <c r="LYE4764" s="910" t="s">
        <v>75</v>
      </c>
      <c r="LYF4764" s="911"/>
      <c r="LYG4764" s="911"/>
      <c r="LYH4764" s="911"/>
      <c r="LYI4764" s="911"/>
      <c r="LYJ4764" s="911"/>
      <c r="LYK4764" s="911"/>
      <c r="LYL4764" s="911"/>
      <c r="LYM4764" s="911"/>
      <c r="LYN4764" s="911"/>
      <c r="LYO4764" s="32"/>
      <c r="LYP4764" s="911" t="s">
        <v>74</v>
      </c>
      <c r="LYQ4764" s="911"/>
      <c r="LYR4764" s="911"/>
      <c r="LYS4764" s="911"/>
      <c r="LYT4764" s="911"/>
      <c r="LYU4764" s="911"/>
      <c r="LYV4764" s="911"/>
      <c r="LYW4764" s="911"/>
      <c r="LYX4764" s="911"/>
      <c r="LYY4764" s="912"/>
      <c r="LZA4764" s="913" t="s">
        <v>1</v>
      </c>
      <c r="LZB4764" s="31"/>
      <c r="LZC4764" s="909" t="s">
        <v>0</v>
      </c>
      <c r="LZD4764" s="909"/>
      <c r="LZE4764" s="909"/>
      <c r="LZF4764" s="909"/>
      <c r="LZG4764" s="909"/>
      <c r="LZH4764" s="909"/>
      <c r="LZI4764" s="907" t="s">
        <v>79</v>
      </c>
      <c r="LZJ4764" s="909" t="s">
        <v>68</v>
      </c>
      <c r="LZK4764" s="910" t="s">
        <v>75</v>
      </c>
      <c r="LZL4764" s="911"/>
      <c r="LZM4764" s="911"/>
      <c r="LZN4764" s="911"/>
      <c r="LZO4764" s="911"/>
      <c r="LZP4764" s="911"/>
      <c r="LZQ4764" s="911"/>
      <c r="LZR4764" s="911"/>
      <c r="LZS4764" s="911"/>
      <c r="LZT4764" s="911"/>
      <c r="LZU4764" s="32"/>
      <c r="LZV4764" s="911" t="s">
        <v>74</v>
      </c>
      <c r="LZW4764" s="911"/>
      <c r="LZX4764" s="911"/>
      <c r="LZY4764" s="911"/>
      <c r="LZZ4764" s="911"/>
      <c r="MAA4764" s="911"/>
      <c r="MAB4764" s="911"/>
      <c r="MAC4764" s="911"/>
      <c r="MAD4764" s="911"/>
      <c r="MAE4764" s="912"/>
      <c r="MAG4764" s="913" t="s">
        <v>1</v>
      </c>
      <c r="MAH4764" s="31"/>
      <c r="MAI4764" s="909" t="s">
        <v>0</v>
      </c>
      <c r="MAJ4764" s="909"/>
      <c r="MAK4764" s="909"/>
      <c r="MAL4764" s="909"/>
      <c r="MAM4764" s="909"/>
      <c r="MAN4764" s="909"/>
      <c r="MAO4764" s="907" t="s">
        <v>79</v>
      </c>
      <c r="MAP4764" s="909" t="s">
        <v>68</v>
      </c>
      <c r="MAQ4764" s="910" t="s">
        <v>75</v>
      </c>
      <c r="MAR4764" s="911"/>
      <c r="MAS4764" s="911"/>
      <c r="MAT4764" s="911"/>
      <c r="MAU4764" s="911"/>
      <c r="MAV4764" s="911"/>
      <c r="MAW4764" s="911"/>
      <c r="MAX4764" s="911"/>
      <c r="MAY4764" s="911"/>
      <c r="MAZ4764" s="911"/>
      <c r="MBA4764" s="32"/>
      <c r="MBB4764" s="911" t="s">
        <v>74</v>
      </c>
      <c r="MBC4764" s="911"/>
      <c r="MBD4764" s="911"/>
      <c r="MBE4764" s="911"/>
      <c r="MBF4764" s="911"/>
      <c r="MBG4764" s="911"/>
      <c r="MBH4764" s="911"/>
      <c r="MBI4764" s="911"/>
      <c r="MBJ4764" s="911"/>
      <c r="MBK4764" s="912"/>
      <c r="MBM4764" s="913" t="s">
        <v>1</v>
      </c>
      <c r="MBN4764" s="31"/>
      <c r="MBO4764" s="909" t="s">
        <v>0</v>
      </c>
      <c r="MBP4764" s="909"/>
      <c r="MBQ4764" s="909"/>
      <c r="MBR4764" s="909"/>
      <c r="MBS4764" s="909"/>
      <c r="MBT4764" s="909"/>
      <c r="MBU4764" s="907" t="s">
        <v>79</v>
      </c>
      <c r="MBV4764" s="909" t="s">
        <v>68</v>
      </c>
      <c r="MBW4764" s="910" t="s">
        <v>75</v>
      </c>
      <c r="MBX4764" s="911"/>
      <c r="MBY4764" s="911"/>
      <c r="MBZ4764" s="911"/>
      <c r="MCA4764" s="911"/>
      <c r="MCB4764" s="911"/>
      <c r="MCC4764" s="911"/>
      <c r="MCD4764" s="911"/>
      <c r="MCE4764" s="911"/>
      <c r="MCF4764" s="911"/>
      <c r="MCG4764" s="32"/>
      <c r="MCH4764" s="911" t="s">
        <v>74</v>
      </c>
      <c r="MCI4764" s="911"/>
      <c r="MCJ4764" s="911"/>
      <c r="MCK4764" s="911"/>
      <c r="MCL4764" s="911"/>
      <c r="MCM4764" s="911"/>
      <c r="MCN4764" s="911"/>
      <c r="MCO4764" s="911"/>
      <c r="MCP4764" s="911"/>
      <c r="MCQ4764" s="912"/>
      <c r="MCS4764" s="913" t="s">
        <v>1</v>
      </c>
      <c r="MCT4764" s="31"/>
      <c r="MCU4764" s="909" t="s">
        <v>0</v>
      </c>
      <c r="MCV4764" s="909"/>
      <c r="MCW4764" s="909"/>
      <c r="MCX4764" s="909"/>
      <c r="MCY4764" s="909"/>
      <c r="MCZ4764" s="909"/>
      <c r="MDA4764" s="907" t="s">
        <v>79</v>
      </c>
      <c r="MDB4764" s="909" t="s">
        <v>68</v>
      </c>
      <c r="MDC4764" s="910" t="s">
        <v>75</v>
      </c>
      <c r="MDD4764" s="911"/>
      <c r="MDE4764" s="911"/>
      <c r="MDF4764" s="911"/>
      <c r="MDG4764" s="911"/>
      <c r="MDH4764" s="911"/>
      <c r="MDI4764" s="911"/>
      <c r="MDJ4764" s="911"/>
      <c r="MDK4764" s="911"/>
      <c r="MDL4764" s="911"/>
      <c r="MDM4764" s="32"/>
      <c r="MDN4764" s="911" t="s">
        <v>74</v>
      </c>
      <c r="MDO4764" s="911"/>
      <c r="MDP4764" s="911"/>
      <c r="MDQ4764" s="911"/>
      <c r="MDR4764" s="911"/>
      <c r="MDS4764" s="911"/>
      <c r="MDT4764" s="911"/>
      <c r="MDU4764" s="911"/>
      <c r="MDV4764" s="911"/>
      <c r="MDW4764" s="912"/>
      <c r="MDY4764" s="913" t="s">
        <v>1</v>
      </c>
      <c r="MDZ4764" s="31"/>
      <c r="MEA4764" s="909" t="s">
        <v>0</v>
      </c>
      <c r="MEB4764" s="909"/>
      <c r="MEC4764" s="909"/>
      <c r="MED4764" s="909"/>
      <c r="MEE4764" s="909"/>
      <c r="MEF4764" s="909"/>
      <c r="MEG4764" s="907" t="s">
        <v>79</v>
      </c>
      <c r="MEH4764" s="909" t="s">
        <v>68</v>
      </c>
      <c r="MEI4764" s="910" t="s">
        <v>75</v>
      </c>
      <c r="MEJ4764" s="911"/>
      <c r="MEK4764" s="911"/>
      <c r="MEL4764" s="911"/>
      <c r="MEM4764" s="911"/>
      <c r="MEN4764" s="911"/>
      <c r="MEO4764" s="911"/>
      <c r="MEP4764" s="911"/>
      <c r="MEQ4764" s="911"/>
      <c r="MER4764" s="911"/>
      <c r="MES4764" s="32"/>
      <c r="MET4764" s="911" t="s">
        <v>74</v>
      </c>
      <c r="MEU4764" s="911"/>
      <c r="MEV4764" s="911"/>
      <c r="MEW4764" s="911"/>
      <c r="MEX4764" s="911"/>
      <c r="MEY4764" s="911"/>
      <c r="MEZ4764" s="911"/>
      <c r="MFA4764" s="911"/>
      <c r="MFB4764" s="911"/>
      <c r="MFC4764" s="912"/>
      <c r="MFE4764" s="913" t="s">
        <v>1</v>
      </c>
      <c r="MFF4764" s="31"/>
      <c r="MFG4764" s="909" t="s">
        <v>0</v>
      </c>
      <c r="MFH4764" s="909"/>
      <c r="MFI4764" s="909"/>
      <c r="MFJ4764" s="909"/>
      <c r="MFK4764" s="909"/>
      <c r="MFL4764" s="909"/>
      <c r="MFM4764" s="907" t="s">
        <v>79</v>
      </c>
      <c r="MFN4764" s="909" t="s">
        <v>68</v>
      </c>
      <c r="MFO4764" s="910" t="s">
        <v>75</v>
      </c>
      <c r="MFP4764" s="911"/>
      <c r="MFQ4764" s="911"/>
      <c r="MFR4764" s="911"/>
      <c r="MFS4764" s="911"/>
      <c r="MFT4764" s="911"/>
      <c r="MFU4764" s="911"/>
      <c r="MFV4764" s="911"/>
      <c r="MFW4764" s="911"/>
      <c r="MFX4764" s="911"/>
      <c r="MFY4764" s="32"/>
      <c r="MFZ4764" s="911" t="s">
        <v>74</v>
      </c>
      <c r="MGA4764" s="911"/>
      <c r="MGB4764" s="911"/>
      <c r="MGC4764" s="911"/>
      <c r="MGD4764" s="911"/>
      <c r="MGE4764" s="911"/>
      <c r="MGF4764" s="911"/>
      <c r="MGG4764" s="911"/>
      <c r="MGH4764" s="911"/>
      <c r="MGI4764" s="912"/>
      <c r="MGK4764" s="913" t="s">
        <v>1</v>
      </c>
      <c r="MGL4764" s="31"/>
      <c r="MGM4764" s="909" t="s">
        <v>0</v>
      </c>
      <c r="MGN4764" s="909"/>
      <c r="MGO4764" s="909"/>
      <c r="MGP4764" s="909"/>
      <c r="MGQ4764" s="909"/>
      <c r="MGR4764" s="909"/>
      <c r="MGS4764" s="907" t="s">
        <v>79</v>
      </c>
      <c r="MGT4764" s="909" t="s">
        <v>68</v>
      </c>
      <c r="MGU4764" s="910" t="s">
        <v>75</v>
      </c>
      <c r="MGV4764" s="911"/>
      <c r="MGW4764" s="911"/>
      <c r="MGX4764" s="911"/>
      <c r="MGY4764" s="911"/>
      <c r="MGZ4764" s="911"/>
      <c r="MHA4764" s="911"/>
      <c r="MHB4764" s="911"/>
      <c r="MHC4764" s="911"/>
      <c r="MHD4764" s="911"/>
      <c r="MHE4764" s="32"/>
      <c r="MHF4764" s="911" t="s">
        <v>74</v>
      </c>
      <c r="MHG4764" s="911"/>
      <c r="MHH4764" s="911"/>
      <c r="MHI4764" s="911"/>
      <c r="MHJ4764" s="911"/>
      <c r="MHK4764" s="911"/>
      <c r="MHL4764" s="911"/>
      <c r="MHM4764" s="911"/>
      <c r="MHN4764" s="911"/>
      <c r="MHO4764" s="912"/>
      <c r="MHQ4764" s="913" t="s">
        <v>1</v>
      </c>
      <c r="MHR4764" s="31"/>
      <c r="MHS4764" s="909" t="s">
        <v>0</v>
      </c>
      <c r="MHT4764" s="909"/>
      <c r="MHU4764" s="909"/>
      <c r="MHV4764" s="909"/>
      <c r="MHW4764" s="909"/>
      <c r="MHX4764" s="909"/>
      <c r="MHY4764" s="907" t="s">
        <v>79</v>
      </c>
      <c r="MHZ4764" s="909" t="s">
        <v>68</v>
      </c>
      <c r="MIA4764" s="910" t="s">
        <v>75</v>
      </c>
      <c r="MIB4764" s="911"/>
      <c r="MIC4764" s="911"/>
      <c r="MID4764" s="911"/>
      <c r="MIE4764" s="911"/>
      <c r="MIF4764" s="911"/>
      <c r="MIG4764" s="911"/>
      <c r="MIH4764" s="911"/>
      <c r="MII4764" s="911"/>
      <c r="MIJ4764" s="911"/>
      <c r="MIK4764" s="32"/>
      <c r="MIL4764" s="911" t="s">
        <v>74</v>
      </c>
      <c r="MIM4764" s="911"/>
      <c r="MIN4764" s="911"/>
      <c r="MIO4764" s="911"/>
      <c r="MIP4764" s="911"/>
      <c r="MIQ4764" s="911"/>
      <c r="MIR4764" s="911"/>
      <c r="MIS4764" s="911"/>
      <c r="MIT4764" s="911"/>
      <c r="MIU4764" s="912"/>
      <c r="MIW4764" s="913" t="s">
        <v>1</v>
      </c>
      <c r="MIX4764" s="31"/>
      <c r="MIY4764" s="909" t="s">
        <v>0</v>
      </c>
      <c r="MIZ4764" s="909"/>
      <c r="MJA4764" s="909"/>
      <c r="MJB4764" s="909"/>
      <c r="MJC4764" s="909"/>
      <c r="MJD4764" s="909"/>
      <c r="MJE4764" s="907" t="s">
        <v>79</v>
      </c>
      <c r="MJF4764" s="909" t="s">
        <v>68</v>
      </c>
      <c r="MJG4764" s="910" t="s">
        <v>75</v>
      </c>
      <c r="MJH4764" s="911"/>
      <c r="MJI4764" s="911"/>
      <c r="MJJ4764" s="911"/>
      <c r="MJK4764" s="911"/>
      <c r="MJL4764" s="911"/>
      <c r="MJM4764" s="911"/>
      <c r="MJN4764" s="911"/>
      <c r="MJO4764" s="911"/>
      <c r="MJP4764" s="911"/>
      <c r="MJQ4764" s="32"/>
      <c r="MJR4764" s="911" t="s">
        <v>74</v>
      </c>
      <c r="MJS4764" s="911"/>
      <c r="MJT4764" s="911"/>
      <c r="MJU4764" s="911"/>
      <c r="MJV4764" s="911"/>
      <c r="MJW4764" s="911"/>
      <c r="MJX4764" s="911"/>
      <c r="MJY4764" s="911"/>
      <c r="MJZ4764" s="911"/>
      <c r="MKA4764" s="912"/>
      <c r="MKC4764" s="913" t="s">
        <v>1</v>
      </c>
      <c r="MKD4764" s="31"/>
      <c r="MKE4764" s="909" t="s">
        <v>0</v>
      </c>
      <c r="MKF4764" s="909"/>
      <c r="MKG4764" s="909"/>
      <c r="MKH4764" s="909"/>
      <c r="MKI4764" s="909"/>
      <c r="MKJ4764" s="909"/>
      <c r="MKK4764" s="907" t="s">
        <v>79</v>
      </c>
      <c r="MKL4764" s="909" t="s">
        <v>68</v>
      </c>
      <c r="MKM4764" s="910" t="s">
        <v>75</v>
      </c>
      <c r="MKN4764" s="911"/>
      <c r="MKO4764" s="911"/>
      <c r="MKP4764" s="911"/>
      <c r="MKQ4764" s="911"/>
      <c r="MKR4764" s="911"/>
      <c r="MKS4764" s="911"/>
      <c r="MKT4764" s="911"/>
      <c r="MKU4764" s="911"/>
      <c r="MKV4764" s="911"/>
      <c r="MKW4764" s="32"/>
      <c r="MKX4764" s="911" t="s">
        <v>74</v>
      </c>
      <c r="MKY4764" s="911"/>
      <c r="MKZ4764" s="911"/>
      <c r="MLA4764" s="911"/>
      <c r="MLB4764" s="911"/>
      <c r="MLC4764" s="911"/>
      <c r="MLD4764" s="911"/>
      <c r="MLE4764" s="911"/>
      <c r="MLF4764" s="911"/>
      <c r="MLG4764" s="912"/>
      <c r="MLI4764" s="913" t="s">
        <v>1</v>
      </c>
      <c r="MLJ4764" s="31"/>
      <c r="MLK4764" s="909" t="s">
        <v>0</v>
      </c>
      <c r="MLL4764" s="909"/>
      <c r="MLM4764" s="909"/>
      <c r="MLN4764" s="909"/>
      <c r="MLO4764" s="909"/>
      <c r="MLP4764" s="909"/>
      <c r="MLQ4764" s="907" t="s">
        <v>79</v>
      </c>
      <c r="MLR4764" s="909" t="s">
        <v>68</v>
      </c>
      <c r="MLS4764" s="910" t="s">
        <v>75</v>
      </c>
      <c r="MLT4764" s="911"/>
      <c r="MLU4764" s="911"/>
      <c r="MLV4764" s="911"/>
      <c r="MLW4764" s="911"/>
      <c r="MLX4764" s="911"/>
      <c r="MLY4764" s="911"/>
      <c r="MLZ4764" s="911"/>
      <c r="MMA4764" s="911"/>
      <c r="MMB4764" s="911"/>
      <c r="MMC4764" s="32"/>
      <c r="MMD4764" s="911" t="s">
        <v>74</v>
      </c>
      <c r="MME4764" s="911"/>
      <c r="MMF4764" s="911"/>
      <c r="MMG4764" s="911"/>
      <c r="MMH4764" s="911"/>
      <c r="MMI4764" s="911"/>
      <c r="MMJ4764" s="911"/>
      <c r="MMK4764" s="911"/>
      <c r="MML4764" s="911"/>
      <c r="MMM4764" s="912"/>
      <c r="MMO4764" s="913" t="s">
        <v>1</v>
      </c>
      <c r="MMP4764" s="31"/>
      <c r="MMQ4764" s="909" t="s">
        <v>0</v>
      </c>
      <c r="MMR4764" s="909"/>
      <c r="MMS4764" s="909"/>
      <c r="MMT4764" s="909"/>
      <c r="MMU4764" s="909"/>
      <c r="MMV4764" s="909"/>
      <c r="MMW4764" s="907" t="s">
        <v>79</v>
      </c>
      <c r="MMX4764" s="909" t="s">
        <v>68</v>
      </c>
      <c r="MMY4764" s="910" t="s">
        <v>75</v>
      </c>
      <c r="MMZ4764" s="911"/>
      <c r="MNA4764" s="911"/>
      <c r="MNB4764" s="911"/>
      <c r="MNC4764" s="911"/>
      <c r="MND4764" s="911"/>
      <c r="MNE4764" s="911"/>
      <c r="MNF4764" s="911"/>
      <c r="MNG4764" s="911"/>
      <c r="MNH4764" s="911"/>
      <c r="MNI4764" s="32"/>
      <c r="MNJ4764" s="911" t="s">
        <v>74</v>
      </c>
      <c r="MNK4764" s="911"/>
      <c r="MNL4764" s="911"/>
      <c r="MNM4764" s="911"/>
      <c r="MNN4764" s="911"/>
      <c r="MNO4764" s="911"/>
      <c r="MNP4764" s="911"/>
      <c r="MNQ4764" s="911"/>
      <c r="MNR4764" s="911"/>
      <c r="MNS4764" s="912"/>
      <c r="MNU4764" s="913" t="s">
        <v>1</v>
      </c>
      <c r="MNV4764" s="31"/>
      <c r="MNW4764" s="909" t="s">
        <v>0</v>
      </c>
      <c r="MNX4764" s="909"/>
      <c r="MNY4764" s="909"/>
      <c r="MNZ4764" s="909"/>
      <c r="MOA4764" s="909"/>
      <c r="MOB4764" s="909"/>
      <c r="MOC4764" s="907" t="s">
        <v>79</v>
      </c>
      <c r="MOD4764" s="909" t="s">
        <v>68</v>
      </c>
      <c r="MOE4764" s="910" t="s">
        <v>75</v>
      </c>
      <c r="MOF4764" s="911"/>
      <c r="MOG4764" s="911"/>
      <c r="MOH4764" s="911"/>
      <c r="MOI4764" s="911"/>
      <c r="MOJ4764" s="911"/>
      <c r="MOK4764" s="911"/>
      <c r="MOL4764" s="911"/>
      <c r="MOM4764" s="911"/>
      <c r="MON4764" s="911"/>
      <c r="MOO4764" s="32"/>
      <c r="MOP4764" s="911" t="s">
        <v>74</v>
      </c>
      <c r="MOQ4764" s="911"/>
      <c r="MOR4764" s="911"/>
      <c r="MOS4764" s="911"/>
      <c r="MOT4764" s="911"/>
      <c r="MOU4764" s="911"/>
      <c r="MOV4764" s="911"/>
      <c r="MOW4764" s="911"/>
      <c r="MOX4764" s="911"/>
      <c r="MOY4764" s="912"/>
      <c r="MPA4764" s="913" t="s">
        <v>1</v>
      </c>
      <c r="MPB4764" s="31"/>
      <c r="MPC4764" s="909" t="s">
        <v>0</v>
      </c>
      <c r="MPD4764" s="909"/>
      <c r="MPE4764" s="909"/>
      <c r="MPF4764" s="909"/>
      <c r="MPG4764" s="909"/>
      <c r="MPH4764" s="909"/>
      <c r="MPI4764" s="907" t="s">
        <v>79</v>
      </c>
      <c r="MPJ4764" s="909" t="s">
        <v>68</v>
      </c>
      <c r="MPK4764" s="910" t="s">
        <v>75</v>
      </c>
      <c r="MPL4764" s="911"/>
      <c r="MPM4764" s="911"/>
      <c r="MPN4764" s="911"/>
      <c r="MPO4764" s="911"/>
      <c r="MPP4764" s="911"/>
      <c r="MPQ4764" s="911"/>
      <c r="MPR4764" s="911"/>
      <c r="MPS4764" s="911"/>
      <c r="MPT4764" s="911"/>
      <c r="MPU4764" s="32"/>
      <c r="MPV4764" s="911" t="s">
        <v>74</v>
      </c>
      <c r="MPW4764" s="911"/>
      <c r="MPX4764" s="911"/>
      <c r="MPY4764" s="911"/>
      <c r="MPZ4764" s="911"/>
      <c r="MQA4764" s="911"/>
      <c r="MQB4764" s="911"/>
      <c r="MQC4764" s="911"/>
      <c r="MQD4764" s="911"/>
      <c r="MQE4764" s="912"/>
      <c r="MQG4764" s="913" t="s">
        <v>1</v>
      </c>
      <c r="MQH4764" s="31"/>
      <c r="MQI4764" s="909" t="s">
        <v>0</v>
      </c>
      <c r="MQJ4764" s="909"/>
      <c r="MQK4764" s="909"/>
      <c r="MQL4764" s="909"/>
      <c r="MQM4764" s="909"/>
      <c r="MQN4764" s="909"/>
      <c r="MQO4764" s="907" t="s">
        <v>79</v>
      </c>
      <c r="MQP4764" s="909" t="s">
        <v>68</v>
      </c>
      <c r="MQQ4764" s="910" t="s">
        <v>75</v>
      </c>
      <c r="MQR4764" s="911"/>
      <c r="MQS4764" s="911"/>
      <c r="MQT4764" s="911"/>
      <c r="MQU4764" s="911"/>
      <c r="MQV4764" s="911"/>
      <c r="MQW4764" s="911"/>
      <c r="MQX4764" s="911"/>
      <c r="MQY4764" s="911"/>
      <c r="MQZ4764" s="911"/>
      <c r="MRA4764" s="32"/>
      <c r="MRB4764" s="911" t="s">
        <v>74</v>
      </c>
      <c r="MRC4764" s="911"/>
      <c r="MRD4764" s="911"/>
      <c r="MRE4764" s="911"/>
      <c r="MRF4764" s="911"/>
      <c r="MRG4764" s="911"/>
      <c r="MRH4764" s="911"/>
      <c r="MRI4764" s="911"/>
      <c r="MRJ4764" s="911"/>
      <c r="MRK4764" s="912"/>
      <c r="MRM4764" s="913" t="s">
        <v>1</v>
      </c>
      <c r="MRN4764" s="31"/>
      <c r="MRO4764" s="909" t="s">
        <v>0</v>
      </c>
      <c r="MRP4764" s="909"/>
      <c r="MRQ4764" s="909"/>
      <c r="MRR4764" s="909"/>
      <c r="MRS4764" s="909"/>
      <c r="MRT4764" s="909"/>
      <c r="MRU4764" s="907" t="s">
        <v>79</v>
      </c>
      <c r="MRV4764" s="909" t="s">
        <v>68</v>
      </c>
      <c r="MRW4764" s="910" t="s">
        <v>75</v>
      </c>
      <c r="MRX4764" s="911"/>
      <c r="MRY4764" s="911"/>
      <c r="MRZ4764" s="911"/>
      <c r="MSA4764" s="911"/>
      <c r="MSB4764" s="911"/>
      <c r="MSC4764" s="911"/>
      <c r="MSD4764" s="911"/>
      <c r="MSE4764" s="911"/>
      <c r="MSF4764" s="911"/>
      <c r="MSG4764" s="32"/>
      <c r="MSH4764" s="911" t="s">
        <v>74</v>
      </c>
      <c r="MSI4764" s="911"/>
      <c r="MSJ4764" s="911"/>
      <c r="MSK4764" s="911"/>
      <c r="MSL4764" s="911"/>
      <c r="MSM4764" s="911"/>
      <c r="MSN4764" s="911"/>
      <c r="MSO4764" s="911"/>
      <c r="MSP4764" s="911"/>
      <c r="MSQ4764" s="912"/>
      <c r="MSS4764" s="913" t="s">
        <v>1</v>
      </c>
      <c r="MST4764" s="31"/>
      <c r="MSU4764" s="909" t="s">
        <v>0</v>
      </c>
      <c r="MSV4764" s="909"/>
      <c r="MSW4764" s="909"/>
      <c r="MSX4764" s="909"/>
      <c r="MSY4764" s="909"/>
      <c r="MSZ4764" s="909"/>
      <c r="MTA4764" s="907" t="s">
        <v>79</v>
      </c>
      <c r="MTB4764" s="909" t="s">
        <v>68</v>
      </c>
      <c r="MTC4764" s="910" t="s">
        <v>75</v>
      </c>
      <c r="MTD4764" s="911"/>
      <c r="MTE4764" s="911"/>
      <c r="MTF4764" s="911"/>
      <c r="MTG4764" s="911"/>
      <c r="MTH4764" s="911"/>
      <c r="MTI4764" s="911"/>
      <c r="MTJ4764" s="911"/>
      <c r="MTK4764" s="911"/>
      <c r="MTL4764" s="911"/>
      <c r="MTM4764" s="32"/>
      <c r="MTN4764" s="911" t="s">
        <v>74</v>
      </c>
      <c r="MTO4764" s="911"/>
      <c r="MTP4764" s="911"/>
      <c r="MTQ4764" s="911"/>
      <c r="MTR4764" s="911"/>
      <c r="MTS4764" s="911"/>
      <c r="MTT4764" s="911"/>
      <c r="MTU4764" s="911"/>
      <c r="MTV4764" s="911"/>
      <c r="MTW4764" s="912"/>
      <c r="MTY4764" s="913" t="s">
        <v>1</v>
      </c>
      <c r="MTZ4764" s="31"/>
      <c r="MUA4764" s="909" t="s">
        <v>0</v>
      </c>
      <c r="MUB4764" s="909"/>
      <c r="MUC4764" s="909"/>
      <c r="MUD4764" s="909"/>
      <c r="MUE4764" s="909"/>
      <c r="MUF4764" s="909"/>
      <c r="MUG4764" s="907" t="s">
        <v>79</v>
      </c>
      <c r="MUH4764" s="909" t="s">
        <v>68</v>
      </c>
      <c r="MUI4764" s="910" t="s">
        <v>75</v>
      </c>
      <c r="MUJ4764" s="911"/>
      <c r="MUK4764" s="911"/>
      <c r="MUL4764" s="911"/>
      <c r="MUM4764" s="911"/>
      <c r="MUN4764" s="911"/>
      <c r="MUO4764" s="911"/>
      <c r="MUP4764" s="911"/>
      <c r="MUQ4764" s="911"/>
      <c r="MUR4764" s="911"/>
      <c r="MUS4764" s="32"/>
      <c r="MUT4764" s="911" t="s">
        <v>74</v>
      </c>
      <c r="MUU4764" s="911"/>
      <c r="MUV4764" s="911"/>
      <c r="MUW4764" s="911"/>
      <c r="MUX4764" s="911"/>
      <c r="MUY4764" s="911"/>
      <c r="MUZ4764" s="911"/>
      <c r="MVA4764" s="911"/>
      <c r="MVB4764" s="911"/>
      <c r="MVC4764" s="912"/>
      <c r="MVE4764" s="913" t="s">
        <v>1</v>
      </c>
      <c r="MVF4764" s="31"/>
      <c r="MVG4764" s="909" t="s">
        <v>0</v>
      </c>
      <c r="MVH4764" s="909"/>
      <c r="MVI4764" s="909"/>
      <c r="MVJ4764" s="909"/>
      <c r="MVK4764" s="909"/>
      <c r="MVL4764" s="909"/>
      <c r="MVM4764" s="907" t="s">
        <v>79</v>
      </c>
      <c r="MVN4764" s="909" t="s">
        <v>68</v>
      </c>
      <c r="MVO4764" s="910" t="s">
        <v>75</v>
      </c>
      <c r="MVP4764" s="911"/>
      <c r="MVQ4764" s="911"/>
      <c r="MVR4764" s="911"/>
      <c r="MVS4764" s="911"/>
      <c r="MVT4764" s="911"/>
      <c r="MVU4764" s="911"/>
      <c r="MVV4764" s="911"/>
      <c r="MVW4764" s="911"/>
      <c r="MVX4764" s="911"/>
      <c r="MVY4764" s="32"/>
      <c r="MVZ4764" s="911" t="s">
        <v>74</v>
      </c>
      <c r="MWA4764" s="911"/>
      <c r="MWB4764" s="911"/>
      <c r="MWC4764" s="911"/>
      <c r="MWD4764" s="911"/>
      <c r="MWE4764" s="911"/>
      <c r="MWF4764" s="911"/>
      <c r="MWG4764" s="911"/>
      <c r="MWH4764" s="911"/>
      <c r="MWI4764" s="912"/>
      <c r="MWK4764" s="913" t="s">
        <v>1</v>
      </c>
      <c r="MWL4764" s="31"/>
      <c r="MWM4764" s="909" t="s">
        <v>0</v>
      </c>
      <c r="MWN4764" s="909"/>
      <c r="MWO4764" s="909"/>
      <c r="MWP4764" s="909"/>
      <c r="MWQ4764" s="909"/>
      <c r="MWR4764" s="909"/>
      <c r="MWS4764" s="907" t="s">
        <v>79</v>
      </c>
      <c r="MWT4764" s="909" t="s">
        <v>68</v>
      </c>
      <c r="MWU4764" s="910" t="s">
        <v>75</v>
      </c>
      <c r="MWV4764" s="911"/>
      <c r="MWW4764" s="911"/>
      <c r="MWX4764" s="911"/>
      <c r="MWY4764" s="911"/>
      <c r="MWZ4764" s="911"/>
      <c r="MXA4764" s="911"/>
      <c r="MXB4764" s="911"/>
      <c r="MXC4764" s="911"/>
      <c r="MXD4764" s="911"/>
      <c r="MXE4764" s="32"/>
      <c r="MXF4764" s="911" t="s">
        <v>74</v>
      </c>
      <c r="MXG4764" s="911"/>
      <c r="MXH4764" s="911"/>
      <c r="MXI4764" s="911"/>
      <c r="MXJ4764" s="911"/>
      <c r="MXK4764" s="911"/>
      <c r="MXL4764" s="911"/>
      <c r="MXM4764" s="911"/>
      <c r="MXN4764" s="911"/>
      <c r="MXO4764" s="912"/>
      <c r="MXQ4764" s="913" t="s">
        <v>1</v>
      </c>
      <c r="MXR4764" s="31"/>
      <c r="MXS4764" s="909" t="s">
        <v>0</v>
      </c>
      <c r="MXT4764" s="909"/>
      <c r="MXU4764" s="909"/>
      <c r="MXV4764" s="909"/>
      <c r="MXW4764" s="909"/>
      <c r="MXX4764" s="909"/>
      <c r="MXY4764" s="907" t="s">
        <v>79</v>
      </c>
      <c r="MXZ4764" s="909" t="s">
        <v>68</v>
      </c>
      <c r="MYA4764" s="910" t="s">
        <v>75</v>
      </c>
      <c r="MYB4764" s="911"/>
      <c r="MYC4764" s="911"/>
      <c r="MYD4764" s="911"/>
      <c r="MYE4764" s="911"/>
      <c r="MYF4764" s="911"/>
      <c r="MYG4764" s="911"/>
      <c r="MYH4764" s="911"/>
      <c r="MYI4764" s="911"/>
      <c r="MYJ4764" s="911"/>
      <c r="MYK4764" s="32"/>
      <c r="MYL4764" s="911" t="s">
        <v>74</v>
      </c>
      <c r="MYM4764" s="911"/>
      <c r="MYN4764" s="911"/>
      <c r="MYO4764" s="911"/>
      <c r="MYP4764" s="911"/>
      <c r="MYQ4764" s="911"/>
      <c r="MYR4764" s="911"/>
      <c r="MYS4764" s="911"/>
      <c r="MYT4764" s="911"/>
      <c r="MYU4764" s="912"/>
      <c r="MYW4764" s="913" t="s">
        <v>1</v>
      </c>
      <c r="MYX4764" s="31"/>
      <c r="MYY4764" s="909" t="s">
        <v>0</v>
      </c>
      <c r="MYZ4764" s="909"/>
      <c r="MZA4764" s="909"/>
      <c r="MZB4764" s="909"/>
      <c r="MZC4764" s="909"/>
      <c r="MZD4764" s="909"/>
      <c r="MZE4764" s="907" t="s">
        <v>79</v>
      </c>
      <c r="MZF4764" s="909" t="s">
        <v>68</v>
      </c>
      <c r="MZG4764" s="910" t="s">
        <v>75</v>
      </c>
      <c r="MZH4764" s="911"/>
      <c r="MZI4764" s="911"/>
      <c r="MZJ4764" s="911"/>
      <c r="MZK4764" s="911"/>
      <c r="MZL4764" s="911"/>
      <c r="MZM4764" s="911"/>
      <c r="MZN4764" s="911"/>
      <c r="MZO4764" s="911"/>
      <c r="MZP4764" s="911"/>
      <c r="MZQ4764" s="32"/>
      <c r="MZR4764" s="911" t="s">
        <v>74</v>
      </c>
      <c r="MZS4764" s="911"/>
      <c r="MZT4764" s="911"/>
      <c r="MZU4764" s="911"/>
      <c r="MZV4764" s="911"/>
      <c r="MZW4764" s="911"/>
      <c r="MZX4764" s="911"/>
      <c r="MZY4764" s="911"/>
      <c r="MZZ4764" s="911"/>
      <c r="NAA4764" s="912"/>
      <c r="NAC4764" s="913" t="s">
        <v>1</v>
      </c>
      <c r="NAD4764" s="31"/>
      <c r="NAE4764" s="909" t="s">
        <v>0</v>
      </c>
      <c r="NAF4764" s="909"/>
      <c r="NAG4764" s="909"/>
      <c r="NAH4764" s="909"/>
      <c r="NAI4764" s="909"/>
      <c r="NAJ4764" s="909"/>
      <c r="NAK4764" s="907" t="s">
        <v>79</v>
      </c>
      <c r="NAL4764" s="909" t="s">
        <v>68</v>
      </c>
      <c r="NAM4764" s="910" t="s">
        <v>75</v>
      </c>
      <c r="NAN4764" s="911"/>
      <c r="NAO4764" s="911"/>
      <c r="NAP4764" s="911"/>
      <c r="NAQ4764" s="911"/>
      <c r="NAR4764" s="911"/>
      <c r="NAS4764" s="911"/>
      <c r="NAT4764" s="911"/>
      <c r="NAU4764" s="911"/>
      <c r="NAV4764" s="911"/>
      <c r="NAW4764" s="32"/>
      <c r="NAX4764" s="911" t="s">
        <v>74</v>
      </c>
      <c r="NAY4764" s="911"/>
      <c r="NAZ4764" s="911"/>
      <c r="NBA4764" s="911"/>
      <c r="NBB4764" s="911"/>
      <c r="NBC4764" s="911"/>
      <c r="NBD4764" s="911"/>
      <c r="NBE4764" s="911"/>
      <c r="NBF4764" s="911"/>
      <c r="NBG4764" s="912"/>
      <c r="NBI4764" s="913" t="s">
        <v>1</v>
      </c>
      <c r="NBJ4764" s="31"/>
      <c r="NBK4764" s="909" t="s">
        <v>0</v>
      </c>
      <c r="NBL4764" s="909"/>
      <c r="NBM4764" s="909"/>
      <c r="NBN4764" s="909"/>
      <c r="NBO4764" s="909"/>
      <c r="NBP4764" s="909"/>
      <c r="NBQ4764" s="907" t="s">
        <v>79</v>
      </c>
      <c r="NBR4764" s="909" t="s">
        <v>68</v>
      </c>
      <c r="NBS4764" s="910" t="s">
        <v>75</v>
      </c>
      <c r="NBT4764" s="911"/>
      <c r="NBU4764" s="911"/>
      <c r="NBV4764" s="911"/>
      <c r="NBW4764" s="911"/>
      <c r="NBX4764" s="911"/>
      <c r="NBY4764" s="911"/>
      <c r="NBZ4764" s="911"/>
      <c r="NCA4764" s="911"/>
      <c r="NCB4764" s="911"/>
      <c r="NCC4764" s="32"/>
      <c r="NCD4764" s="911" t="s">
        <v>74</v>
      </c>
      <c r="NCE4764" s="911"/>
      <c r="NCF4764" s="911"/>
      <c r="NCG4764" s="911"/>
      <c r="NCH4764" s="911"/>
      <c r="NCI4764" s="911"/>
      <c r="NCJ4764" s="911"/>
      <c r="NCK4764" s="911"/>
      <c r="NCL4764" s="911"/>
      <c r="NCM4764" s="912"/>
      <c r="NCO4764" s="913" t="s">
        <v>1</v>
      </c>
      <c r="NCP4764" s="31"/>
      <c r="NCQ4764" s="909" t="s">
        <v>0</v>
      </c>
      <c r="NCR4764" s="909"/>
      <c r="NCS4764" s="909"/>
      <c r="NCT4764" s="909"/>
      <c r="NCU4764" s="909"/>
      <c r="NCV4764" s="909"/>
      <c r="NCW4764" s="907" t="s">
        <v>79</v>
      </c>
      <c r="NCX4764" s="909" t="s">
        <v>68</v>
      </c>
      <c r="NCY4764" s="910" t="s">
        <v>75</v>
      </c>
      <c r="NCZ4764" s="911"/>
      <c r="NDA4764" s="911"/>
      <c r="NDB4764" s="911"/>
      <c r="NDC4764" s="911"/>
      <c r="NDD4764" s="911"/>
      <c r="NDE4764" s="911"/>
      <c r="NDF4764" s="911"/>
      <c r="NDG4764" s="911"/>
      <c r="NDH4764" s="911"/>
      <c r="NDI4764" s="32"/>
      <c r="NDJ4764" s="911" t="s">
        <v>74</v>
      </c>
      <c r="NDK4764" s="911"/>
      <c r="NDL4764" s="911"/>
      <c r="NDM4764" s="911"/>
      <c r="NDN4764" s="911"/>
      <c r="NDO4764" s="911"/>
      <c r="NDP4764" s="911"/>
      <c r="NDQ4764" s="911"/>
      <c r="NDR4764" s="911"/>
      <c r="NDS4764" s="912"/>
      <c r="NDU4764" s="913" t="s">
        <v>1</v>
      </c>
      <c r="NDV4764" s="31"/>
      <c r="NDW4764" s="909" t="s">
        <v>0</v>
      </c>
      <c r="NDX4764" s="909"/>
      <c r="NDY4764" s="909"/>
      <c r="NDZ4764" s="909"/>
      <c r="NEA4764" s="909"/>
      <c r="NEB4764" s="909"/>
      <c r="NEC4764" s="907" t="s">
        <v>79</v>
      </c>
      <c r="NED4764" s="909" t="s">
        <v>68</v>
      </c>
      <c r="NEE4764" s="910" t="s">
        <v>75</v>
      </c>
      <c r="NEF4764" s="911"/>
      <c r="NEG4764" s="911"/>
      <c r="NEH4764" s="911"/>
      <c r="NEI4764" s="911"/>
      <c r="NEJ4764" s="911"/>
      <c r="NEK4764" s="911"/>
      <c r="NEL4764" s="911"/>
      <c r="NEM4764" s="911"/>
      <c r="NEN4764" s="911"/>
      <c r="NEO4764" s="32"/>
      <c r="NEP4764" s="911" t="s">
        <v>74</v>
      </c>
      <c r="NEQ4764" s="911"/>
      <c r="NER4764" s="911"/>
      <c r="NES4764" s="911"/>
      <c r="NET4764" s="911"/>
      <c r="NEU4764" s="911"/>
      <c r="NEV4764" s="911"/>
      <c r="NEW4764" s="911"/>
      <c r="NEX4764" s="911"/>
      <c r="NEY4764" s="912"/>
      <c r="NFA4764" s="913" t="s">
        <v>1</v>
      </c>
      <c r="NFB4764" s="31"/>
      <c r="NFC4764" s="909" t="s">
        <v>0</v>
      </c>
      <c r="NFD4764" s="909"/>
      <c r="NFE4764" s="909"/>
      <c r="NFF4764" s="909"/>
      <c r="NFG4764" s="909"/>
      <c r="NFH4764" s="909"/>
      <c r="NFI4764" s="907" t="s">
        <v>79</v>
      </c>
      <c r="NFJ4764" s="909" t="s">
        <v>68</v>
      </c>
      <c r="NFK4764" s="910" t="s">
        <v>75</v>
      </c>
      <c r="NFL4764" s="911"/>
      <c r="NFM4764" s="911"/>
      <c r="NFN4764" s="911"/>
      <c r="NFO4764" s="911"/>
      <c r="NFP4764" s="911"/>
      <c r="NFQ4764" s="911"/>
      <c r="NFR4764" s="911"/>
      <c r="NFS4764" s="911"/>
      <c r="NFT4764" s="911"/>
      <c r="NFU4764" s="32"/>
      <c r="NFV4764" s="911" t="s">
        <v>74</v>
      </c>
      <c r="NFW4764" s="911"/>
      <c r="NFX4764" s="911"/>
      <c r="NFY4764" s="911"/>
      <c r="NFZ4764" s="911"/>
      <c r="NGA4764" s="911"/>
      <c r="NGB4764" s="911"/>
      <c r="NGC4764" s="911"/>
      <c r="NGD4764" s="911"/>
      <c r="NGE4764" s="912"/>
      <c r="NGG4764" s="913" t="s">
        <v>1</v>
      </c>
      <c r="NGH4764" s="31"/>
      <c r="NGI4764" s="909" t="s">
        <v>0</v>
      </c>
      <c r="NGJ4764" s="909"/>
      <c r="NGK4764" s="909"/>
      <c r="NGL4764" s="909"/>
      <c r="NGM4764" s="909"/>
      <c r="NGN4764" s="909"/>
      <c r="NGO4764" s="907" t="s">
        <v>79</v>
      </c>
      <c r="NGP4764" s="909" t="s">
        <v>68</v>
      </c>
      <c r="NGQ4764" s="910" t="s">
        <v>75</v>
      </c>
      <c r="NGR4764" s="911"/>
      <c r="NGS4764" s="911"/>
      <c r="NGT4764" s="911"/>
      <c r="NGU4764" s="911"/>
      <c r="NGV4764" s="911"/>
      <c r="NGW4764" s="911"/>
      <c r="NGX4764" s="911"/>
      <c r="NGY4764" s="911"/>
      <c r="NGZ4764" s="911"/>
      <c r="NHA4764" s="32"/>
      <c r="NHB4764" s="911" t="s">
        <v>74</v>
      </c>
      <c r="NHC4764" s="911"/>
      <c r="NHD4764" s="911"/>
      <c r="NHE4764" s="911"/>
      <c r="NHF4764" s="911"/>
      <c r="NHG4764" s="911"/>
      <c r="NHH4764" s="911"/>
      <c r="NHI4764" s="911"/>
      <c r="NHJ4764" s="911"/>
      <c r="NHK4764" s="912"/>
      <c r="NHM4764" s="913" t="s">
        <v>1</v>
      </c>
      <c r="NHN4764" s="31"/>
      <c r="NHO4764" s="909" t="s">
        <v>0</v>
      </c>
      <c r="NHP4764" s="909"/>
      <c r="NHQ4764" s="909"/>
      <c r="NHR4764" s="909"/>
      <c r="NHS4764" s="909"/>
      <c r="NHT4764" s="909"/>
      <c r="NHU4764" s="907" t="s">
        <v>79</v>
      </c>
      <c r="NHV4764" s="909" t="s">
        <v>68</v>
      </c>
      <c r="NHW4764" s="910" t="s">
        <v>75</v>
      </c>
      <c r="NHX4764" s="911"/>
      <c r="NHY4764" s="911"/>
      <c r="NHZ4764" s="911"/>
      <c r="NIA4764" s="911"/>
      <c r="NIB4764" s="911"/>
      <c r="NIC4764" s="911"/>
      <c r="NID4764" s="911"/>
      <c r="NIE4764" s="911"/>
      <c r="NIF4764" s="911"/>
      <c r="NIG4764" s="32"/>
      <c r="NIH4764" s="911" t="s">
        <v>74</v>
      </c>
      <c r="NII4764" s="911"/>
      <c r="NIJ4764" s="911"/>
      <c r="NIK4764" s="911"/>
      <c r="NIL4764" s="911"/>
      <c r="NIM4764" s="911"/>
      <c r="NIN4764" s="911"/>
      <c r="NIO4764" s="911"/>
      <c r="NIP4764" s="911"/>
      <c r="NIQ4764" s="912"/>
      <c r="NIS4764" s="913" t="s">
        <v>1</v>
      </c>
      <c r="NIT4764" s="31"/>
      <c r="NIU4764" s="909" t="s">
        <v>0</v>
      </c>
      <c r="NIV4764" s="909"/>
      <c r="NIW4764" s="909"/>
      <c r="NIX4764" s="909"/>
      <c r="NIY4764" s="909"/>
      <c r="NIZ4764" s="909"/>
      <c r="NJA4764" s="907" t="s">
        <v>79</v>
      </c>
      <c r="NJB4764" s="909" t="s">
        <v>68</v>
      </c>
      <c r="NJC4764" s="910" t="s">
        <v>75</v>
      </c>
      <c r="NJD4764" s="911"/>
      <c r="NJE4764" s="911"/>
      <c r="NJF4764" s="911"/>
      <c r="NJG4764" s="911"/>
      <c r="NJH4764" s="911"/>
      <c r="NJI4764" s="911"/>
      <c r="NJJ4764" s="911"/>
      <c r="NJK4764" s="911"/>
      <c r="NJL4764" s="911"/>
      <c r="NJM4764" s="32"/>
      <c r="NJN4764" s="911" t="s">
        <v>74</v>
      </c>
      <c r="NJO4764" s="911"/>
      <c r="NJP4764" s="911"/>
      <c r="NJQ4764" s="911"/>
      <c r="NJR4764" s="911"/>
      <c r="NJS4764" s="911"/>
      <c r="NJT4764" s="911"/>
      <c r="NJU4764" s="911"/>
      <c r="NJV4764" s="911"/>
      <c r="NJW4764" s="912"/>
      <c r="NJY4764" s="913" t="s">
        <v>1</v>
      </c>
      <c r="NJZ4764" s="31"/>
      <c r="NKA4764" s="909" t="s">
        <v>0</v>
      </c>
      <c r="NKB4764" s="909"/>
      <c r="NKC4764" s="909"/>
      <c r="NKD4764" s="909"/>
      <c r="NKE4764" s="909"/>
      <c r="NKF4764" s="909"/>
      <c r="NKG4764" s="907" t="s">
        <v>79</v>
      </c>
      <c r="NKH4764" s="909" t="s">
        <v>68</v>
      </c>
      <c r="NKI4764" s="910" t="s">
        <v>75</v>
      </c>
      <c r="NKJ4764" s="911"/>
      <c r="NKK4764" s="911"/>
      <c r="NKL4764" s="911"/>
      <c r="NKM4764" s="911"/>
      <c r="NKN4764" s="911"/>
      <c r="NKO4764" s="911"/>
      <c r="NKP4764" s="911"/>
      <c r="NKQ4764" s="911"/>
      <c r="NKR4764" s="911"/>
      <c r="NKS4764" s="32"/>
      <c r="NKT4764" s="911" t="s">
        <v>74</v>
      </c>
      <c r="NKU4764" s="911"/>
      <c r="NKV4764" s="911"/>
      <c r="NKW4764" s="911"/>
      <c r="NKX4764" s="911"/>
      <c r="NKY4764" s="911"/>
      <c r="NKZ4764" s="911"/>
      <c r="NLA4764" s="911"/>
      <c r="NLB4764" s="911"/>
      <c r="NLC4764" s="912"/>
      <c r="NLE4764" s="913" t="s">
        <v>1</v>
      </c>
      <c r="NLF4764" s="31"/>
      <c r="NLG4764" s="909" t="s">
        <v>0</v>
      </c>
      <c r="NLH4764" s="909"/>
      <c r="NLI4764" s="909"/>
      <c r="NLJ4764" s="909"/>
      <c r="NLK4764" s="909"/>
      <c r="NLL4764" s="909"/>
      <c r="NLM4764" s="907" t="s">
        <v>79</v>
      </c>
      <c r="NLN4764" s="909" t="s">
        <v>68</v>
      </c>
      <c r="NLO4764" s="910" t="s">
        <v>75</v>
      </c>
      <c r="NLP4764" s="911"/>
      <c r="NLQ4764" s="911"/>
      <c r="NLR4764" s="911"/>
      <c r="NLS4764" s="911"/>
      <c r="NLT4764" s="911"/>
      <c r="NLU4764" s="911"/>
      <c r="NLV4764" s="911"/>
      <c r="NLW4764" s="911"/>
      <c r="NLX4764" s="911"/>
      <c r="NLY4764" s="32"/>
      <c r="NLZ4764" s="911" t="s">
        <v>74</v>
      </c>
      <c r="NMA4764" s="911"/>
      <c r="NMB4764" s="911"/>
      <c r="NMC4764" s="911"/>
      <c r="NMD4764" s="911"/>
      <c r="NME4764" s="911"/>
      <c r="NMF4764" s="911"/>
      <c r="NMG4764" s="911"/>
      <c r="NMH4764" s="911"/>
      <c r="NMI4764" s="912"/>
      <c r="NMK4764" s="913" t="s">
        <v>1</v>
      </c>
      <c r="NML4764" s="31"/>
      <c r="NMM4764" s="909" t="s">
        <v>0</v>
      </c>
      <c r="NMN4764" s="909"/>
      <c r="NMO4764" s="909"/>
      <c r="NMP4764" s="909"/>
      <c r="NMQ4764" s="909"/>
      <c r="NMR4764" s="909"/>
      <c r="NMS4764" s="907" t="s">
        <v>79</v>
      </c>
      <c r="NMT4764" s="909" t="s">
        <v>68</v>
      </c>
      <c r="NMU4764" s="910" t="s">
        <v>75</v>
      </c>
      <c r="NMV4764" s="911"/>
      <c r="NMW4764" s="911"/>
      <c r="NMX4764" s="911"/>
      <c r="NMY4764" s="911"/>
      <c r="NMZ4764" s="911"/>
      <c r="NNA4764" s="911"/>
      <c r="NNB4764" s="911"/>
      <c r="NNC4764" s="911"/>
      <c r="NND4764" s="911"/>
      <c r="NNE4764" s="32"/>
      <c r="NNF4764" s="911" t="s">
        <v>74</v>
      </c>
      <c r="NNG4764" s="911"/>
      <c r="NNH4764" s="911"/>
      <c r="NNI4764" s="911"/>
      <c r="NNJ4764" s="911"/>
      <c r="NNK4764" s="911"/>
      <c r="NNL4764" s="911"/>
      <c r="NNM4764" s="911"/>
      <c r="NNN4764" s="911"/>
      <c r="NNO4764" s="912"/>
      <c r="NNQ4764" s="913" t="s">
        <v>1</v>
      </c>
      <c r="NNR4764" s="31"/>
      <c r="NNS4764" s="909" t="s">
        <v>0</v>
      </c>
      <c r="NNT4764" s="909"/>
      <c r="NNU4764" s="909"/>
      <c r="NNV4764" s="909"/>
      <c r="NNW4764" s="909"/>
      <c r="NNX4764" s="909"/>
      <c r="NNY4764" s="907" t="s">
        <v>79</v>
      </c>
      <c r="NNZ4764" s="909" t="s">
        <v>68</v>
      </c>
      <c r="NOA4764" s="910" t="s">
        <v>75</v>
      </c>
      <c r="NOB4764" s="911"/>
      <c r="NOC4764" s="911"/>
      <c r="NOD4764" s="911"/>
      <c r="NOE4764" s="911"/>
      <c r="NOF4764" s="911"/>
      <c r="NOG4764" s="911"/>
      <c r="NOH4764" s="911"/>
      <c r="NOI4764" s="911"/>
      <c r="NOJ4764" s="911"/>
      <c r="NOK4764" s="32"/>
      <c r="NOL4764" s="911" t="s">
        <v>74</v>
      </c>
      <c r="NOM4764" s="911"/>
      <c r="NON4764" s="911"/>
      <c r="NOO4764" s="911"/>
      <c r="NOP4764" s="911"/>
      <c r="NOQ4764" s="911"/>
      <c r="NOR4764" s="911"/>
      <c r="NOS4764" s="911"/>
      <c r="NOT4764" s="911"/>
      <c r="NOU4764" s="912"/>
      <c r="NOW4764" s="913" t="s">
        <v>1</v>
      </c>
      <c r="NOX4764" s="31"/>
      <c r="NOY4764" s="909" t="s">
        <v>0</v>
      </c>
      <c r="NOZ4764" s="909"/>
      <c r="NPA4764" s="909"/>
      <c r="NPB4764" s="909"/>
      <c r="NPC4764" s="909"/>
      <c r="NPD4764" s="909"/>
      <c r="NPE4764" s="907" t="s">
        <v>79</v>
      </c>
      <c r="NPF4764" s="909" t="s">
        <v>68</v>
      </c>
      <c r="NPG4764" s="910" t="s">
        <v>75</v>
      </c>
      <c r="NPH4764" s="911"/>
      <c r="NPI4764" s="911"/>
      <c r="NPJ4764" s="911"/>
      <c r="NPK4764" s="911"/>
      <c r="NPL4764" s="911"/>
      <c r="NPM4764" s="911"/>
      <c r="NPN4764" s="911"/>
      <c r="NPO4764" s="911"/>
      <c r="NPP4764" s="911"/>
      <c r="NPQ4764" s="32"/>
      <c r="NPR4764" s="911" t="s">
        <v>74</v>
      </c>
      <c r="NPS4764" s="911"/>
      <c r="NPT4764" s="911"/>
      <c r="NPU4764" s="911"/>
      <c r="NPV4764" s="911"/>
      <c r="NPW4764" s="911"/>
      <c r="NPX4764" s="911"/>
      <c r="NPY4764" s="911"/>
      <c r="NPZ4764" s="911"/>
      <c r="NQA4764" s="912"/>
      <c r="NQC4764" s="913" t="s">
        <v>1</v>
      </c>
      <c r="NQD4764" s="31"/>
      <c r="NQE4764" s="909" t="s">
        <v>0</v>
      </c>
      <c r="NQF4764" s="909"/>
      <c r="NQG4764" s="909"/>
      <c r="NQH4764" s="909"/>
      <c r="NQI4764" s="909"/>
      <c r="NQJ4764" s="909"/>
      <c r="NQK4764" s="907" t="s">
        <v>79</v>
      </c>
      <c r="NQL4764" s="909" t="s">
        <v>68</v>
      </c>
      <c r="NQM4764" s="910" t="s">
        <v>75</v>
      </c>
      <c r="NQN4764" s="911"/>
      <c r="NQO4764" s="911"/>
      <c r="NQP4764" s="911"/>
      <c r="NQQ4764" s="911"/>
      <c r="NQR4764" s="911"/>
      <c r="NQS4764" s="911"/>
      <c r="NQT4764" s="911"/>
      <c r="NQU4764" s="911"/>
      <c r="NQV4764" s="911"/>
      <c r="NQW4764" s="32"/>
      <c r="NQX4764" s="911" t="s">
        <v>74</v>
      </c>
      <c r="NQY4764" s="911"/>
      <c r="NQZ4764" s="911"/>
      <c r="NRA4764" s="911"/>
      <c r="NRB4764" s="911"/>
      <c r="NRC4764" s="911"/>
      <c r="NRD4764" s="911"/>
      <c r="NRE4764" s="911"/>
      <c r="NRF4764" s="911"/>
      <c r="NRG4764" s="912"/>
      <c r="NRI4764" s="913" t="s">
        <v>1</v>
      </c>
      <c r="NRJ4764" s="31"/>
      <c r="NRK4764" s="909" t="s">
        <v>0</v>
      </c>
      <c r="NRL4764" s="909"/>
      <c r="NRM4764" s="909"/>
      <c r="NRN4764" s="909"/>
      <c r="NRO4764" s="909"/>
      <c r="NRP4764" s="909"/>
      <c r="NRQ4764" s="907" t="s">
        <v>79</v>
      </c>
      <c r="NRR4764" s="909" t="s">
        <v>68</v>
      </c>
      <c r="NRS4764" s="910" t="s">
        <v>75</v>
      </c>
      <c r="NRT4764" s="911"/>
      <c r="NRU4764" s="911"/>
      <c r="NRV4764" s="911"/>
      <c r="NRW4764" s="911"/>
      <c r="NRX4764" s="911"/>
      <c r="NRY4764" s="911"/>
      <c r="NRZ4764" s="911"/>
      <c r="NSA4764" s="911"/>
      <c r="NSB4764" s="911"/>
      <c r="NSC4764" s="32"/>
      <c r="NSD4764" s="911" t="s">
        <v>74</v>
      </c>
      <c r="NSE4764" s="911"/>
      <c r="NSF4764" s="911"/>
      <c r="NSG4764" s="911"/>
      <c r="NSH4764" s="911"/>
      <c r="NSI4764" s="911"/>
      <c r="NSJ4764" s="911"/>
      <c r="NSK4764" s="911"/>
      <c r="NSL4764" s="911"/>
      <c r="NSM4764" s="912"/>
      <c r="NSO4764" s="913" t="s">
        <v>1</v>
      </c>
      <c r="NSP4764" s="31"/>
      <c r="NSQ4764" s="909" t="s">
        <v>0</v>
      </c>
      <c r="NSR4764" s="909"/>
      <c r="NSS4764" s="909"/>
      <c r="NST4764" s="909"/>
      <c r="NSU4764" s="909"/>
      <c r="NSV4764" s="909"/>
      <c r="NSW4764" s="907" t="s">
        <v>79</v>
      </c>
      <c r="NSX4764" s="909" t="s">
        <v>68</v>
      </c>
      <c r="NSY4764" s="910" t="s">
        <v>75</v>
      </c>
      <c r="NSZ4764" s="911"/>
      <c r="NTA4764" s="911"/>
      <c r="NTB4764" s="911"/>
      <c r="NTC4764" s="911"/>
      <c r="NTD4764" s="911"/>
      <c r="NTE4764" s="911"/>
      <c r="NTF4764" s="911"/>
      <c r="NTG4764" s="911"/>
      <c r="NTH4764" s="911"/>
      <c r="NTI4764" s="32"/>
      <c r="NTJ4764" s="911" t="s">
        <v>74</v>
      </c>
      <c r="NTK4764" s="911"/>
      <c r="NTL4764" s="911"/>
      <c r="NTM4764" s="911"/>
      <c r="NTN4764" s="911"/>
      <c r="NTO4764" s="911"/>
      <c r="NTP4764" s="911"/>
      <c r="NTQ4764" s="911"/>
      <c r="NTR4764" s="911"/>
      <c r="NTS4764" s="912"/>
      <c r="NTU4764" s="913" t="s">
        <v>1</v>
      </c>
      <c r="NTV4764" s="31"/>
      <c r="NTW4764" s="909" t="s">
        <v>0</v>
      </c>
      <c r="NTX4764" s="909"/>
      <c r="NTY4764" s="909"/>
      <c r="NTZ4764" s="909"/>
      <c r="NUA4764" s="909"/>
      <c r="NUB4764" s="909"/>
      <c r="NUC4764" s="907" t="s">
        <v>79</v>
      </c>
      <c r="NUD4764" s="909" t="s">
        <v>68</v>
      </c>
      <c r="NUE4764" s="910" t="s">
        <v>75</v>
      </c>
      <c r="NUF4764" s="911"/>
      <c r="NUG4764" s="911"/>
      <c r="NUH4764" s="911"/>
      <c r="NUI4764" s="911"/>
      <c r="NUJ4764" s="911"/>
      <c r="NUK4764" s="911"/>
      <c r="NUL4764" s="911"/>
      <c r="NUM4764" s="911"/>
      <c r="NUN4764" s="911"/>
      <c r="NUO4764" s="32"/>
      <c r="NUP4764" s="911" t="s">
        <v>74</v>
      </c>
      <c r="NUQ4764" s="911"/>
      <c r="NUR4764" s="911"/>
      <c r="NUS4764" s="911"/>
      <c r="NUT4764" s="911"/>
      <c r="NUU4764" s="911"/>
      <c r="NUV4764" s="911"/>
      <c r="NUW4764" s="911"/>
      <c r="NUX4764" s="911"/>
      <c r="NUY4764" s="912"/>
      <c r="NVA4764" s="913" t="s">
        <v>1</v>
      </c>
      <c r="NVB4764" s="31"/>
      <c r="NVC4764" s="909" t="s">
        <v>0</v>
      </c>
      <c r="NVD4764" s="909"/>
      <c r="NVE4764" s="909"/>
      <c r="NVF4764" s="909"/>
      <c r="NVG4764" s="909"/>
      <c r="NVH4764" s="909"/>
      <c r="NVI4764" s="907" t="s">
        <v>79</v>
      </c>
      <c r="NVJ4764" s="909" t="s">
        <v>68</v>
      </c>
      <c r="NVK4764" s="910" t="s">
        <v>75</v>
      </c>
      <c r="NVL4764" s="911"/>
      <c r="NVM4764" s="911"/>
      <c r="NVN4764" s="911"/>
      <c r="NVO4764" s="911"/>
      <c r="NVP4764" s="911"/>
      <c r="NVQ4764" s="911"/>
      <c r="NVR4764" s="911"/>
      <c r="NVS4764" s="911"/>
      <c r="NVT4764" s="911"/>
      <c r="NVU4764" s="32"/>
      <c r="NVV4764" s="911" t="s">
        <v>74</v>
      </c>
      <c r="NVW4764" s="911"/>
      <c r="NVX4764" s="911"/>
      <c r="NVY4764" s="911"/>
      <c r="NVZ4764" s="911"/>
      <c r="NWA4764" s="911"/>
      <c r="NWB4764" s="911"/>
      <c r="NWC4764" s="911"/>
      <c r="NWD4764" s="911"/>
      <c r="NWE4764" s="912"/>
      <c r="NWG4764" s="913" t="s">
        <v>1</v>
      </c>
      <c r="NWH4764" s="31"/>
      <c r="NWI4764" s="909" t="s">
        <v>0</v>
      </c>
      <c r="NWJ4764" s="909"/>
      <c r="NWK4764" s="909"/>
      <c r="NWL4764" s="909"/>
      <c r="NWM4764" s="909"/>
      <c r="NWN4764" s="909"/>
      <c r="NWO4764" s="907" t="s">
        <v>79</v>
      </c>
      <c r="NWP4764" s="909" t="s">
        <v>68</v>
      </c>
      <c r="NWQ4764" s="910" t="s">
        <v>75</v>
      </c>
      <c r="NWR4764" s="911"/>
      <c r="NWS4764" s="911"/>
      <c r="NWT4764" s="911"/>
      <c r="NWU4764" s="911"/>
      <c r="NWV4764" s="911"/>
      <c r="NWW4764" s="911"/>
      <c r="NWX4764" s="911"/>
      <c r="NWY4764" s="911"/>
      <c r="NWZ4764" s="911"/>
      <c r="NXA4764" s="32"/>
      <c r="NXB4764" s="911" t="s">
        <v>74</v>
      </c>
      <c r="NXC4764" s="911"/>
      <c r="NXD4764" s="911"/>
      <c r="NXE4764" s="911"/>
      <c r="NXF4764" s="911"/>
      <c r="NXG4764" s="911"/>
      <c r="NXH4764" s="911"/>
      <c r="NXI4764" s="911"/>
      <c r="NXJ4764" s="911"/>
      <c r="NXK4764" s="912"/>
      <c r="NXM4764" s="913" t="s">
        <v>1</v>
      </c>
      <c r="NXN4764" s="31"/>
      <c r="NXO4764" s="909" t="s">
        <v>0</v>
      </c>
      <c r="NXP4764" s="909"/>
      <c r="NXQ4764" s="909"/>
      <c r="NXR4764" s="909"/>
      <c r="NXS4764" s="909"/>
      <c r="NXT4764" s="909"/>
      <c r="NXU4764" s="907" t="s">
        <v>79</v>
      </c>
      <c r="NXV4764" s="909" t="s">
        <v>68</v>
      </c>
      <c r="NXW4764" s="910" t="s">
        <v>75</v>
      </c>
      <c r="NXX4764" s="911"/>
      <c r="NXY4764" s="911"/>
      <c r="NXZ4764" s="911"/>
      <c r="NYA4764" s="911"/>
      <c r="NYB4764" s="911"/>
      <c r="NYC4764" s="911"/>
      <c r="NYD4764" s="911"/>
      <c r="NYE4764" s="911"/>
      <c r="NYF4764" s="911"/>
      <c r="NYG4764" s="32"/>
      <c r="NYH4764" s="911" t="s">
        <v>74</v>
      </c>
      <c r="NYI4764" s="911"/>
      <c r="NYJ4764" s="911"/>
      <c r="NYK4764" s="911"/>
      <c r="NYL4764" s="911"/>
      <c r="NYM4764" s="911"/>
      <c r="NYN4764" s="911"/>
      <c r="NYO4764" s="911"/>
      <c r="NYP4764" s="911"/>
      <c r="NYQ4764" s="912"/>
      <c r="NYS4764" s="913" t="s">
        <v>1</v>
      </c>
      <c r="NYT4764" s="31"/>
      <c r="NYU4764" s="909" t="s">
        <v>0</v>
      </c>
      <c r="NYV4764" s="909"/>
      <c r="NYW4764" s="909"/>
      <c r="NYX4764" s="909"/>
      <c r="NYY4764" s="909"/>
      <c r="NYZ4764" s="909"/>
      <c r="NZA4764" s="907" t="s">
        <v>79</v>
      </c>
      <c r="NZB4764" s="909" t="s">
        <v>68</v>
      </c>
      <c r="NZC4764" s="910" t="s">
        <v>75</v>
      </c>
      <c r="NZD4764" s="911"/>
      <c r="NZE4764" s="911"/>
      <c r="NZF4764" s="911"/>
      <c r="NZG4764" s="911"/>
      <c r="NZH4764" s="911"/>
      <c r="NZI4764" s="911"/>
      <c r="NZJ4764" s="911"/>
      <c r="NZK4764" s="911"/>
      <c r="NZL4764" s="911"/>
      <c r="NZM4764" s="32"/>
      <c r="NZN4764" s="911" t="s">
        <v>74</v>
      </c>
      <c r="NZO4764" s="911"/>
      <c r="NZP4764" s="911"/>
      <c r="NZQ4764" s="911"/>
      <c r="NZR4764" s="911"/>
      <c r="NZS4764" s="911"/>
      <c r="NZT4764" s="911"/>
      <c r="NZU4764" s="911"/>
      <c r="NZV4764" s="911"/>
      <c r="NZW4764" s="912"/>
      <c r="NZY4764" s="913" t="s">
        <v>1</v>
      </c>
      <c r="NZZ4764" s="31"/>
      <c r="OAA4764" s="909" t="s">
        <v>0</v>
      </c>
      <c r="OAB4764" s="909"/>
      <c r="OAC4764" s="909"/>
      <c r="OAD4764" s="909"/>
      <c r="OAE4764" s="909"/>
      <c r="OAF4764" s="909"/>
      <c r="OAG4764" s="907" t="s">
        <v>79</v>
      </c>
      <c r="OAH4764" s="909" t="s">
        <v>68</v>
      </c>
      <c r="OAI4764" s="910" t="s">
        <v>75</v>
      </c>
      <c r="OAJ4764" s="911"/>
      <c r="OAK4764" s="911"/>
      <c r="OAL4764" s="911"/>
      <c r="OAM4764" s="911"/>
      <c r="OAN4764" s="911"/>
      <c r="OAO4764" s="911"/>
      <c r="OAP4764" s="911"/>
      <c r="OAQ4764" s="911"/>
      <c r="OAR4764" s="911"/>
      <c r="OAS4764" s="32"/>
      <c r="OAT4764" s="911" t="s">
        <v>74</v>
      </c>
      <c r="OAU4764" s="911"/>
      <c r="OAV4764" s="911"/>
      <c r="OAW4764" s="911"/>
      <c r="OAX4764" s="911"/>
      <c r="OAY4764" s="911"/>
      <c r="OAZ4764" s="911"/>
      <c r="OBA4764" s="911"/>
      <c r="OBB4764" s="911"/>
      <c r="OBC4764" s="912"/>
      <c r="OBE4764" s="913" t="s">
        <v>1</v>
      </c>
      <c r="OBF4764" s="31"/>
      <c r="OBG4764" s="909" t="s">
        <v>0</v>
      </c>
      <c r="OBH4764" s="909"/>
      <c r="OBI4764" s="909"/>
      <c r="OBJ4764" s="909"/>
      <c r="OBK4764" s="909"/>
      <c r="OBL4764" s="909"/>
      <c r="OBM4764" s="907" t="s">
        <v>79</v>
      </c>
      <c r="OBN4764" s="909" t="s">
        <v>68</v>
      </c>
      <c r="OBO4764" s="910" t="s">
        <v>75</v>
      </c>
      <c r="OBP4764" s="911"/>
      <c r="OBQ4764" s="911"/>
      <c r="OBR4764" s="911"/>
      <c r="OBS4764" s="911"/>
      <c r="OBT4764" s="911"/>
      <c r="OBU4764" s="911"/>
      <c r="OBV4764" s="911"/>
      <c r="OBW4764" s="911"/>
      <c r="OBX4764" s="911"/>
      <c r="OBY4764" s="32"/>
      <c r="OBZ4764" s="911" t="s">
        <v>74</v>
      </c>
      <c r="OCA4764" s="911"/>
      <c r="OCB4764" s="911"/>
      <c r="OCC4764" s="911"/>
      <c r="OCD4764" s="911"/>
      <c r="OCE4764" s="911"/>
      <c r="OCF4764" s="911"/>
      <c r="OCG4764" s="911"/>
      <c r="OCH4764" s="911"/>
      <c r="OCI4764" s="912"/>
      <c r="OCK4764" s="913" t="s">
        <v>1</v>
      </c>
      <c r="OCL4764" s="31"/>
      <c r="OCM4764" s="909" t="s">
        <v>0</v>
      </c>
      <c r="OCN4764" s="909"/>
      <c r="OCO4764" s="909"/>
      <c r="OCP4764" s="909"/>
      <c r="OCQ4764" s="909"/>
      <c r="OCR4764" s="909"/>
      <c r="OCS4764" s="907" t="s">
        <v>79</v>
      </c>
      <c r="OCT4764" s="909" t="s">
        <v>68</v>
      </c>
      <c r="OCU4764" s="910" t="s">
        <v>75</v>
      </c>
      <c r="OCV4764" s="911"/>
      <c r="OCW4764" s="911"/>
      <c r="OCX4764" s="911"/>
      <c r="OCY4764" s="911"/>
      <c r="OCZ4764" s="911"/>
      <c r="ODA4764" s="911"/>
      <c r="ODB4764" s="911"/>
      <c r="ODC4764" s="911"/>
      <c r="ODD4764" s="911"/>
      <c r="ODE4764" s="32"/>
      <c r="ODF4764" s="911" t="s">
        <v>74</v>
      </c>
      <c r="ODG4764" s="911"/>
      <c r="ODH4764" s="911"/>
      <c r="ODI4764" s="911"/>
      <c r="ODJ4764" s="911"/>
      <c r="ODK4764" s="911"/>
      <c r="ODL4764" s="911"/>
      <c r="ODM4764" s="911"/>
      <c r="ODN4764" s="911"/>
      <c r="ODO4764" s="912"/>
      <c r="ODQ4764" s="913" t="s">
        <v>1</v>
      </c>
      <c r="ODR4764" s="31"/>
      <c r="ODS4764" s="909" t="s">
        <v>0</v>
      </c>
      <c r="ODT4764" s="909"/>
      <c r="ODU4764" s="909"/>
      <c r="ODV4764" s="909"/>
      <c r="ODW4764" s="909"/>
      <c r="ODX4764" s="909"/>
      <c r="ODY4764" s="907" t="s">
        <v>79</v>
      </c>
      <c r="ODZ4764" s="909" t="s">
        <v>68</v>
      </c>
      <c r="OEA4764" s="910" t="s">
        <v>75</v>
      </c>
      <c r="OEB4764" s="911"/>
      <c r="OEC4764" s="911"/>
      <c r="OED4764" s="911"/>
      <c r="OEE4764" s="911"/>
      <c r="OEF4764" s="911"/>
      <c r="OEG4764" s="911"/>
      <c r="OEH4764" s="911"/>
      <c r="OEI4764" s="911"/>
      <c r="OEJ4764" s="911"/>
      <c r="OEK4764" s="32"/>
      <c r="OEL4764" s="911" t="s">
        <v>74</v>
      </c>
      <c r="OEM4764" s="911"/>
      <c r="OEN4764" s="911"/>
      <c r="OEO4764" s="911"/>
      <c r="OEP4764" s="911"/>
      <c r="OEQ4764" s="911"/>
      <c r="OER4764" s="911"/>
      <c r="OES4764" s="911"/>
      <c r="OET4764" s="911"/>
      <c r="OEU4764" s="912"/>
      <c r="OEW4764" s="913" t="s">
        <v>1</v>
      </c>
      <c r="OEX4764" s="31"/>
      <c r="OEY4764" s="909" t="s">
        <v>0</v>
      </c>
      <c r="OEZ4764" s="909"/>
      <c r="OFA4764" s="909"/>
      <c r="OFB4764" s="909"/>
      <c r="OFC4764" s="909"/>
      <c r="OFD4764" s="909"/>
      <c r="OFE4764" s="907" t="s">
        <v>79</v>
      </c>
      <c r="OFF4764" s="909" t="s">
        <v>68</v>
      </c>
      <c r="OFG4764" s="910" t="s">
        <v>75</v>
      </c>
      <c r="OFH4764" s="911"/>
      <c r="OFI4764" s="911"/>
      <c r="OFJ4764" s="911"/>
      <c r="OFK4764" s="911"/>
      <c r="OFL4764" s="911"/>
      <c r="OFM4764" s="911"/>
      <c r="OFN4764" s="911"/>
      <c r="OFO4764" s="911"/>
      <c r="OFP4764" s="911"/>
      <c r="OFQ4764" s="32"/>
      <c r="OFR4764" s="911" t="s">
        <v>74</v>
      </c>
      <c r="OFS4764" s="911"/>
      <c r="OFT4764" s="911"/>
      <c r="OFU4764" s="911"/>
      <c r="OFV4764" s="911"/>
      <c r="OFW4764" s="911"/>
      <c r="OFX4764" s="911"/>
      <c r="OFY4764" s="911"/>
      <c r="OFZ4764" s="911"/>
      <c r="OGA4764" s="912"/>
      <c r="OGC4764" s="913" t="s">
        <v>1</v>
      </c>
      <c r="OGD4764" s="31"/>
      <c r="OGE4764" s="909" t="s">
        <v>0</v>
      </c>
      <c r="OGF4764" s="909"/>
      <c r="OGG4764" s="909"/>
      <c r="OGH4764" s="909"/>
      <c r="OGI4764" s="909"/>
      <c r="OGJ4764" s="909"/>
      <c r="OGK4764" s="907" t="s">
        <v>79</v>
      </c>
      <c r="OGL4764" s="909" t="s">
        <v>68</v>
      </c>
      <c r="OGM4764" s="910" t="s">
        <v>75</v>
      </c>
      <c r="OGN4764" s="911"/>
      <c r="OGO4764" s="911"/>
      <c r="OGP4764" s="911"/>
      <c r="OGQ4764" s="911"/>
      <c r="OGR4764" s="911"/>
      <c r="OGS4764" s="911"/>
      <c r="OGT4764" s="911"/>
      <c r="OGU4764" s="911"/>
      <c r="OGV4764" s="911"/>
      <c r="OGW4764" s="32"/>
      <c r="OGX4764" s="911" t="s">
        <v>74</v>
      </c>
      <c r="OGY4764" s="911"/>
      <c r="OGZ4764" s="911"/>
      <c r="OHA4764" s="911"/>
      <c r="OHB4764" s="911"/>
      <c r="OHC4764" s="911"/>
      <c r="OHD4764" s="911"/>
      <c r="OHE4764" s="911"/>
      <c r="OHF4764" s="911"/>
      <c r="OHG4764" s="912"/>
      <c r="OHI4764" s="913" t="s">
        <v>1</v>
      </c>
      <c r="OHJ4764" s="31"/>
      <c r="OHK4764" s="909" t="s">
        <v>0</v>
      </c>
      <c r="OHL4764" s="909"/>
      <c r="OHM4764" s="909"/>
      <c r="OHN4764" s="909"/>
      <c r="OHO4764" s="909"/>
      <c r="OHP4764" s="909"/>
      <c r="OHQ4764" s="907" t="s">
        <v>79</v>
      </c>
      <c r="OHR4764" s="909" t="s">
        <v>68</v>
      </c>
      <c r="OHS4764" s="910" t="s">
        <v>75</v>
      </c>
      <c r="OHT4764" s="911"/>
      <c r="OHU4764" s="911"/>
      <c r="OHV4764" s="911"/>
      <c r="OHW4764" s="911"/>
      <c r="OHX4764" s="911"/>
      <c r="OHY4764" s="911"/>
      <c r="OHZ4764" s="911"/>
      <c r="OIA4764" s="911"/>
      <c r="OIB4764" s="911"/>
      <c r="OIC4764" s="32"/>
      <c r="OID4764" s="911" t="s">
        <v>74</v>
      </c>
      <c r="OIE4764" s="911"/>
      <c r="OIF4764" s="911"/>
      <c r="OIG4764" s="911"/>
      <c r="OIH4764" s="911"/>
      <c r="OII4764" s="911"/>
      <c r="OIJ4764" s="911"/>
      <c r="OIK4764" s="911"/>
      <c r="OIL4764" s="911"/>
      <c r="OIM4764" s="912"/>
      <c r="OIO4764" s="913" t="s">
        <v>1</v>
      </c>
      <c r="OIP4764" s="31"/>
      <c r="OIQ4764" s="909" t="s">
        <v>0</v>
      </c>
      <c r="OIR4764" s="909"/>
      <c r="OIS4764" s="909"/>
      <c r="OIT4764" s="909"/>
      <c r="OIU4764" s="909"/>
      <c r="OIV4764" s="909"/>
      <c r="OIW4764" s="907" t="s">
        <v>79</v>
      </c>
      <c r="OIX4764" s="909" t="s">
        <v>68</v>
      </c>
      <c r="OIY4764" s="910" t="s">
        <v>75</v>
      </c>
      <c r="OIZ4764" s="911"/>
      <c r="OJA4764" s="911"/>
      <c r="OJB4764" s="911"/>
      <c r="OJC4764" s="911"/>
      <c r="OJD4764" s="911"/>
      <c r="OJE4764" s="911"/>
      <c r="OJF4764" s="911"/>
      <c r="OJG4764" s="911"/>
      <c r="OJH4764" s="911"/>
      <c r="OJI4764" s="32"/>
      <c r="OJJ4764" s="911" t="s">
        <v>74</v>
      </c>
      <c r="OJK4764" s="911"/>
      <c r="OJL4764" s="911"/>
      <c r="OJM4764" s="911"/>
      <c r="OJN4764" s="911"/>
      <c r="OJO4764" s="911"/>
      <c r="OJP4764" s="911"/>
      <c r="OJQ4764" s="911"/>
      <c r="OJR4764" s="911"/>
      <c r="OJS4764" s="912"/>
      <c r="OJU4764" s="913" t="s">
        <v>1</v>
      </c>
      <c r="OJV4764" s="31"/>
      <c r="OJW4764" s="909" t="s">
        <v>0</v>
      </c>
      <c r="OJX4764" s="909"/>
      <c r="OJY4764" s="909"/>
      <c r="OJZ4764" s="909"/>
      <c r="OKA4764" s="909"/>
      <c r="OKB4764" s="909"/>
      <c r="OKC4764" s="907" t="s">
        <v>79</v>
      </c>
      <c r="OKD4764" s="909" t="s">
        <v>68</v>
      </c>
      <c r="OKE4764" s="910" t="s">
        <v>75</v>
      </c>
      <c r="OKF4764" s="911"/>
      <c r="OKG4764" s="911"/>
      <c r="OKH4764" s="911"/>
      <c r="OKI4764" s="911"/>
      <c r="OKJ4764" s="911"/>
      <c r="OKK4764" s="911"/>
      <c r="OKL4764" s="911"/>
      <c r="OKM4764" s="911"/>
      <c r="OKN4764" s="911"/>
      <c r="OKO4764" s="32"/>
      <c r="OKP4764" s="911" t="s">
        <v>74</v>
      </c>
      <c r="OKQ4764" s="911"/>
      <c r="OKR4764" s="911"/>
      <c r="OKS4764" s="911"/>
      <c r="OKT4764" s="911"/>
      <c r="OKU4764" s="911"/>
      <c r="OKV4764" s="911"/>
      <c r="OKW4764" s="911"/>
      <c r="OKX4764" s="911"/>
      <c r="OKY4764" s="912"/>
      <c r="OLA4764" s="913" t="s">
        <v>1</v>
      </c>
      <c r="OLB4764" s="31"/>
      <c r="OLC4764" s="909" t="s">
        <v>0</v>
      </c>
      <c r="OLD4764" s="909"/>
      <c r="OLE4764" s="909"/>
      <c r="OLF4764" s="909"/>
      <c r="OLG4764" s="909"/>
      <c r="OLH4764" s="909"/>
      <c r="OLI4764" s="907" t="s">
        <v>79</v>
      </c>
      <c r="OLJ4764" s="909" t="s">
        <v>68</v>
      </c>
      <c r="OLK4764" s="910" t="s">
        <v>75</v>
      </c>
      <c r="OLL4764" s="911"/>
      <c r="OLM4764" s="911"/>
      <c r="OLN4764" s="911"/>
      <c r="OLO4764" s="911"/>
      <c r="OLP4764" s="911"/>
      <c r="OLQ4764" s="911"/>
      <c r="OLR4764" s="911"/>
      <c r="OLS4764" s="911"/>
      <c r="OLT4764" s="911"/>
      <c r="OLU4764" s="32"/>
      <c r="OLV4764" s="911" t="s">
        <v>74</v>
      </c>
      <c r="OLW4764" s="911"/>
      <c r="OLX4764" s="911"/>
      <c r="OLY4764" s="911"/>
      <c r="OLZ4764" s="911"/>
      <c r="OMA4764" s="911"/>
      <c r="OMB4764" s="911"/>
      <c r="OMC4764" s="911"/>
      <c r="OMD4764" s="911"/>
      <c r="OME4764" s="912"/>
      <c r="OMG4764" s="913" t="s">
        <v>1</v>
      </c>
      <c r="OMH4764" s="31"/>
      <c r="OMI4764" s="909" t="s">
        <v>0</v>
      </c>
      <c r="OMJ4764" s="909"/>
      <c r="OMK4764" s="909"/>
      <c r="OML4764" s="909"/>
      <c r="OMM4764" s="909"/>
      <c r="OMN4764" s="909"/>
      <c r="OMO4764" s="907" t="s">
        <v>79</v>
      </c>
      <c r="OMP4764" s="909" t="s">
        <v>68</v>
      </c>
      <c r="OMQ4764" s="910" t="s">
        <v>75</v>
      </c>
      <c r="OMR4764" s="911"/>
      <c r="OMS4764" s="911"/>
      <c r="OMT4764" s="911"/>
      <c r="OMU4764" s="911"/>
      <c r="OMV4764" s="911"/>
      <c r="OMW4764" s="911"/>
      <c r="OMX4764" s="911"/>
      <c r="OMY4764" s="911"/>
      <c r="OMZ4764" s="911"/>
      <c r="ONA4764" s="32"/>
      <c r="ONB4764" s="911" t="s">
        <v>74</v>
      </c>
      <c r="ONC4764" s="911"/>
      <c r="OND4764" s="911"/>
      <c r="ONE4764" s="911"/>
      <c r="ONF4764" s="911"/>
      <c r="ONG4764" s="911"/>
      <c r="ONH4764" s="911"/>
      <c r="ONI4764" s="911"/>
      <c r="ONJ4764" s="911"/>
      <c r="ONK4764" s="912"/>
      <c r="ONM4764" s="913" t="s">
        <v>1</v>
      </c>
      <c r="ONN4764" s="31"/>
      <c r="ONO4764" s="909" t="s">
        <v>0</v>
      </c>
      <c r="ONP4764" s="909"/>
      <c r="ONQ4764" s="909"/>
      <c r="ONR4764" s="909"/>
      <c r="ONS4764" s="909"/>
      <c r="ONT4764" s="909"/>
      <c r="ONU4764" s="907" t="s">
        <v>79</v>
      </c>
      <c r="ONV4764" s="909" t="s">
        <v>68</v>
      </c>
      <c r="ONW4764" s="910" t="s">
        <v>75</v>
      </c>
      <c r="ONX4764" s="911"/>
      <c r="ONY4764" s="911"/>
      <c r="ONZ4764" s="911"/>
      <c r="OOA4764" s="911"/>
      <c r="OOB4764" s="911"/>
      <c r="OOC4764" s="911"/>
      <c r="OOD4764" s="911"/>
      <c r="OOE4764" s="911"/>
      <c r="OOF4764" s="911"/>
      <c r="OOG4764" s="32"/>
      <c r="OOH4764" s="911" t="s">
        <v>74</v>
      </c>
      <c r="OOI4764" s="911"/>
      <c r="OOJ4764" s="911"/>
      <c r="OOK4764" s="911"/>
      <c r="OOL4764" s="911"/>
      <c r="OOM4764" s="911"/>
      <c r="OON4764" s="911"/>
      <c r="OOO4764" s="911"/>
      <c r="OOP4764" s="911"/>
      <c r="OOQ4764" s="912"/>
      <c r="OOS4764" s="913" t="s">
        <v>1</v>
      </c>
      <c r="OOT4764" s="31"/>
      <c r="OOU4764" s="909" t="s">
        <v>0</v>
      </c>
      <c r="OOV4764" s="909"/>
      <c r="OOW4764" s="909"/>
      <c r="OOX4764" s="909"/>
      <c r="OOY4764" s="909"/>
      <c r="OOZ4764" s="909"/>
      <c r="OPA4764" s="907" t="s">
        <v>79</v>
      </c>
      <c r="OPB4764" s="909" t="s">
        <v>68</v>
      </c>
      <c r="OPC4764" s="910" t="s">
        <v>75</v>
      </c>
      <c r="OPD4764" s="911"/>
      <c r="OPE4764" s="911"/>
      <c r="OPF4764" s="911"/>
      <c r="OPG4764" s="911"/>
      <c r="OPH4764" s="911"/>
      <c r="OPI4764" s="911"/>
      <c r="OPJ4764" s="911"/>
      <c r="OPK4764" s="911"/>
      <c r="OPL4764" s="911"/>
      <c r="OPM4764" s="32"/>
      <c r="OPN4764" s="911" t="s">
        <v>74</v>
      </c>
      <c r="OPO4764" s="911"/>
      <c r="OPP4764" s="911"/>
      <c r="OPQ4764" s="911"/>
      <c r="OPR4764" s="911"/>
      <c r="OPS4764" s="911"/>
      <c r="OPT4764" s="911"/>
      <c r="OPU4764" s="911"/>
      <c r="OPV4764" s="911"/>
      <c r="OPW4764" s="912"/>
      <c r="OPY4764" s="913" t="s">
        <v>1</v>
      </c>
      <c r="OPZ4764" s="31"/>
      <c r="OQA4764" s="909" t="s">
        <v>0</v>
      </c>
      <c r="OQB4764" s="909"/>
      <c r="OQC4764" s="909"/>
      <c r="OQD4764" s="909"/>
      <c r="OQE4764" s="909"/>
      <c r="OQF4764" s="909"/>
      <c r="OQG4764" s="907" t="s">
        <v>79</v>
      </c>
      <c r="OQH4764" s="909" t="s">
        <v>68</v>
      </c>
      <c r="OQI4764" s="910" t="s">
        <v>75</v>
      </c>
      <c r="OQJ4764" s="911"/>
      <c r="OQK4764" s="911"/>
      <c r="OQL4764" s="911"/>
      <c r="OQM4764" s="911"/>
      <c r="OQN4764" s="911"/>
      <c r="OQO4764" s="911"/>
      <c r="OQP4764" s="911"/>
      <c r="OQQ4764" s="911"/>
      <c r="OQR4764" s="911"/>
      <c r="OQS4764" s="32"/>
      <c r="OQT4764" s="911" t="s">
        <v>74</v>
      </c>
      <c r="OQU4764" s="911"/>
      <c r="OQV4764" s="911"/>
      <c r="OQW4764" s="911"/>
      <c r="OQX4764" s="911"/>
      <c r="OQY4764" s="911"/>
      <c r="OQZ4764" s="911"/>
      <c r="ORA4764" s="911"/>
      <c r="ORB4764" s="911"/>
      <c r="ORC4764" s="912"/>
      <c r="ORE4764" s="913" t="s">
        <v>1</v>
      </c>
      <c r="ORF4764" s="31"/>
      <c r="ORG4764" s="909" t="s">
        <v>0</v>
      </c>
      <c r="ORH4764" s="909"/>
      <c r="ORI4764" s="909"/>
      <c r="ORJ4764" s="909"/>
      <c r="ORK4764" s="909"/>
      <c r="ORL4764" s="909"/>
      <c r="ORM4764" s="907" t="s">
        <v>79</v>
      </c>
      <c r="ORN4764" s="909" t="s">
        <v>68</v>
      </c>
      <c r="ORO4764" s="910" t="s">
        <v>75</v>
      </c>
      <c r="ORP4764" s="911"/>
      <c r="ORQ4764" s="911"/>
      <c r="ORR4764" s="911"/>
      <c r="ORS4764" s="911"/>
      <c r="ORT4764" s="911"/>
      <c r="ORU4764" s="911"/>
      <c r="ORV4764" s="911"/>
      <c r="ORW4764" s="911"/>
      <c r="ORX4764" s="911"/>
      <c r="ORY4764" s="32"/>
      <c r="ORZ4764" s="911" t="s">
        <v>74</v>
      </c>
      <c r="OSA4764" s="911"/>
      <c r="OSB4764" s="911"/>
      <c r="OSC4764" s="911"/>
      <c r="OSD4764" s="911"/>
      <c r="OSE4764" s="911"/>
      <c r="OSF4764" s="911"/>
      <c r="OSG4764" s="911"/>
      <c r="OSH4764" s="911"/>
      <c r="OSI4764" s="912"/>
      <c r="OSK4764" s="913" t="s">
        <v>1</v>
      </c>
      <c r="OSL4764" s="31"/>
      <c r="OSM4764" s="909" t="s">
        <v>0</v>
      </c>
      <c r="OSN4764" s="909"/>
      <c r="OSO4764" s="909"/>
      <c r="OSP4764" s="909"/>
      <c r="OSQ4764" s="909"/>
      <c r="OSR4764" s="909"/>
      <c r="OSS4764" s="907" t="s">
        <v>79</v>
      </c>
      <c r="OST4764" s="909" t="s">
        <v>68</v>
      </c>
      <c r="OSU4764" s="910" t="s">
        <v>75</v>
      </c>
      <c r="OSV4764" s="911"/>
      <c r="OSW4764" s="911"/>
      <c r="OSX4764" s="911"/>
      <c r="OSY4764" s="911"/>
      <c r="OSZ4764" s="911"/>
      <c r="OTA4764" s="911"/>
      <c r="OTB4764" s="911"/>
      <c r="OTC4764" s="911"/>
      <c r="OTD4764" s="911"/>
      <c r="OTE4764" s="32"/>
      <c r="OTF4764" s="911" t="s">
        <v>74</v>
      </c>
      <c r="OTG4764" s="911"/>
      <c r="OTH4764" s="911"/>
      <c r="OTI4764" s="911"/>
      <c r="OTJ4764" s="911"/>
      <c r="OTK4764" s="911"/>
      <c r="OTL4764" s="911"/>
      <c r="OTM4764" s="911"/>
      <c r="OTN4764" s="911"/>
      <c r="OTO4764" s="912"/>
      <c r="OTQ4764" s="913" t="s">
        <v>1</v>
      </c>
      <c r="OTR4764" s="31"/>
      <c r="OTS4764" s="909" t="s">
        <v>0</v>
      </c>
      <c r="OTT4764" s="909"/>
      <c r="OTU4764" s="909"/>
      <c r="OTV4764" s="909"/>
      <c r="OTW4764" s="909"/>
      <c r="OTX4764" s="909"/>
      <c r="OTY4764" s="907" t="s">
        <v>79</v>
      </c>
      <c r="OTZ4764" s="909" t="s">
        <v>68</v>
      </c>
      <c r="OUA4764" s="910" t="s">
        <v>75</v>
      </c>
      <c r="OUB4764" s="911"/>
      <c r="OUC4764" s="911"/>
      <c r="OUD4764" s="911"/>
      <c r="OUE4764" s="911"/>
      <c r="OUF4764" s="911"/>
      <c r="OUG4764" s="911"/>
      <c r="OUH4764" s="911"/>
      <c r="OUI4764" s="911"/>
      <c r="OUJ4764" s="911"/>
      <c r="OUK4764" s="32"/>
      <c r="OUL4764" s="911" t="s">
        <v>74</v>
      </c>
      <c r="OUM4764" s="911"/>
      <c r="OUN4764" s="911"/>
      <c r="OUO4764" s="911"/>
      <c r="OUP4764" s="911"/>
      <c r="OUQ4764" s="911"/>
      <c r="OUR4764" s="911"/>
      <c r="OUS4764" s="911"/>
      <c r="OUT4764" s="911"/>
      <c r="OUU4764" s="912"/>
      <c r="OUW4764" s="913" t="s">
        <v>1</v>
      </c>
      <c r="OUX4764" s="31"/>
      <c r="OUY4764" s="909" t="s">
        <v>0</v>
      </c>
      <c r="OUZ4764" s="909"/>
      <c r="OVA4764" s="909"/>
      <c r="OVB4764" s="909"/>
      <c r="OVC4764" s="909"/>
      <c r="OVD4764" s="909"/>
      <c r="OVE4764" s="907" t="s">
        <v>79</v>
      </c>
      <c r="OVF4764" s="909" t="s">
        <v>68</v>
      </c>
      <c r="OVG4764" s="910" t="s">
        <v>75</v>
      </c>
      <c r="OVH4764" s="911"/>
      <c r="OVI4764" s="911"/>
      <c r="OVJ4764" s="911"/>
      <c r="OVK4764" s="911"/>
      <c r="OVL4764" s="911"/>
      <c r="OVM4764" s="911"/>
      <c r="OVN4764" s="911"/>
      <c r="OVO4764" s="911"/>
      <c r="OVP4764" s="911"/>
      <c r="OVQ4764" s="32"/>
      <c r="OVR4764" s="911" t="s">
        <v>74</v>
      </c>
      <c r="OVS4764" s="911"/>
      <c r="OVT4764" s="911"/>
      <c r="OVU4764" s="911"/>
      <c r="OVV4764" s="911"/>
      <c r="OVW4764" s="911"/>
      <c r="OVX4764" s="911"/>
      <c r="OVY4764" s="911"/>
      <c r="OVZ4764" s="911"/>
      <c r="OWA4764" s="912"/>
      <c r="OWC4764" s="913" t="s">
        <v>1</v>
      </c>
      <c r="OWD4764" s="31"/>
      <c r="OWE4764" s="909" t="s">
        <v>0</v>
      </c>
      <c r="OWF4764" s="909"/>
      <c r="OWG4764" s="909"/>
      <c r="OWH4764" s="909"/>
      <c r="OWI4764" s="909"/>
      <c r="OWJ4764" s="909"/>
      <c r="OWK4764" s="907" t="s">
        <v>79</v>
      </c>
      <c r="OWL4764" s="909" t="s">
        <v>68</v>
      </c>
      <c r="OWM4764" s="910" t="s">
        <v>75</v>
      </c>
      <c r="OWN4764" s="911"/>
      <c r="OWO4764" s="911"/>
      <c r="OWP4764" s="911"/>
      <c r="OWQ4764" s="911"/>
      <c r="OWR4764" s="911"/>
      <c r="OWS4764" s="911"/>
      <c r="OWT4764" s="911"/>
      <c r="OWU4764" s="911"/>
      <c r="OWV4764" s="911"/>
      <c r="OWW4764" s="32"/>
      <c r="OWX4764" s="911" t="s">
        <v>74</v>
      </c>
      <c r="OWY4764" s="911"/>
      <c r="OWZ4764" s="911"/>
      <c r="OXA4764" s="911"/>
      <c r="OXB4764" s="911"/>
      <c r="OXC4764" s="911"/>
      <c r="OXD4764" s="911"/>
      <c r="OXE4764" s="911"/>
      <c r="OXF4764" s="911"/>
      <c r="OXG4764" s="912"/>
      <c r="OXI4764" s="913" t="s">
        <v>1</v>
      </c>
      <c r="OXJ4764" s="31"/>
      <c r="OXK4764" s="909" t="s">
        <v>0</v>
      </c>
      <c r="OXL4764" s="909"/>
      <c r="OXM4764" s="909"/>
      <c r="OXN4764" s="909"/>
      <c r="OXO4764" s="909"/>
      <c r="OXP4764" s="909"/>
      <c r="OXQ4764" s="907" t="s">
        <v>79</v>
      </c>
      <c r="OXR4764" s="909" t="s">
        <v>68</v>
      </c>
      <c r="OXS4764" s="910" t="s">
        <v>75</v>
      </c>
      <c r="OXT4764" s="911"/>
      <c r="OXU4764" s="911"/>
      <c r="OXV4764" s="911"/>
      <c r="OXW4764" s="911"/>
      <c r="OXX4764" s="911"/>
      <c r="OXY4764" s="911"/>
      <c r="OXZ4764" s="911"/>
      <c r="OYA4764" s="911"/>
      <c r="OYB4764" s="911"/>
      <c r="OYC4764" s="32"/>
      <c r="OYD4764" s="911" t="s">
        <v>74</v>
      </c>
      <c r="OYE4764" s="911"/>
      <c r="OYF4764" s="911"/>
      <c r="OYG4764" s="911"/>
      <c r="OYH4764" s="911"/>
      <c r="OYI4764" s="911"/>
      <c r="OYJ4764" s="911"/>
      <c r="OYK4764" s="911"/>
      <c r="OYL4764" s="911"/>
      <c r="OYM4764" s="912"/>
      <c r="OYO4764" s="913" t="s">
        <v>1</v>
      </c>
      <c r="OYP4764" s="31"/>
      <c r="OYQ4764" s="909" t="s">
        <v>0</v>
      </c>
      <c r="OYR4764" s="909"/>
      <c r="OYS4764" s="909"/>
      <c r="OYT4764" s="909"/>
      <c r="OYU4764" s="909"/>
      <c r="OYV4764" s="909"/>
      <c r="OYW4764" s="907" t="s">
        <v>79</v>
      </c>
      <c r="OYX4764" s="909" t="s">
        <v>68</v>
      </c>
      <c r="OYY4764" s="910" t="s">
        <v>75</v>
      </c>
      <c r="OYZ4764" s="911"/>
      <c r="OZA4764" s="911"/>
      <c r="OZB4764" s="911"/>
      <c r="OZC4764" s="911"/>
      <c r="OZD4764" s="911"/>
      <c r="OZE4764" s="911"/>
      <c r="OZF4764" s="911"/>
      <c r="OZG4764" s="911"/>
      <c r="OZH4764" s="911"/>
      <c r="OZI4764" s="32"/>
      <c r="OZJ4764" s="911" t="s">
        <v>74</v>
      </c>
      <c r="OZK4764" s="911"/>
      <c r="OZL4764" s="911"/>
      <c r="OZM4764" s="911"/>
      <c r="OZN4764" s="911"/>
      <c r="OZO4764" s="911"/>
      <c r="OZP4764" s="911"/>
      <c r="OZQ4764" s="911"/>
      <c r="OZR4764" s="911"/>
      <c r="OZS4764" s="912"/>
      <c r="OZU4764" s="913" t="s">
        <v>1</v>
      </c>
      <c r="OZV4764" s="31"/>
      <c r="OZW4764" s="909" t="s">
        <v>0</v>
      </c>
      <c r="OZX4764" s="909"/>
      <c r="OZY4764" s="909"/>
      <c r="OZZ4764" s="909"/>
      <c r="PAA4764" s="909"/>
      <c r="PAB4764" s="909"/>
      <c r="PAC4764" s="907" t="s">
        <v>79</v>
      </c>
      <c r="PAD4764" s="909" t="s">
        <v>68</v>
      </c>
      <c r="PAE4764" s="910" t="s">
        <v>75</v>
      </c>
      <c r="PAF4764" s="911"/>
      <c r="PAG4764" s="911"/>
      <c r="PAH4764" s="911"/>
      <c r="PAI4764" s="911"/>
      <c r="PAJ4764" s="911"/>
      <c r="PAK4764" s="911"/>
      <c r="PAL4764" s="911"/>
      <c r="PAM4764" s="911"/>
      <c r="PAN4764" s="911"/>
      <c r="PAO4764" s="32"/>
      <c r="PAP4764" s="911" t="s">
        <v>74</v>
      </c>
      <c r="PAQ4764" s="911"/>
      <c r="PAR4764" s="911"/>
      <c r="PAS4764" s="911"/>
      <c r="PAT4764" s="911"/>
      <c r="PAU4764" s="911"/>
      <c r="PAV4764" s="911"/>
      <c r="PAW4764" s="911"/>
      <c r="PAX4764" s="911"/>
      <c r="PAY4764" s="912"/>
      <c r="PBA4764" s="913" t="s">
        <v>1</v>
      </c>
      <c r="PBB4764" s="31"/>
      <c r="PBC4764" s="909" t="s">
        <v>0</v>
      </c>
      <c r="PBD4764" s="909"/>
      <c r="PBE4764" s="909"/>
      <c r="PBF4764" s="909"/>
      <c r="PBG4764" s="909"/>
      <c r="PBH4764" s="909"/>
      <c r="PBI4764" s="907" t="s">
        <v>79</v>
      </c>
      <c r="PBJ4764" s="909" t="s">
        <v>68</v>
      </c>
      <c r="PBK4764" s="910" t="s">
        <v>75</v>
      </c>
      <c r="PBL4764" s="911"/>
      <c r="PBM4764" s="911"/>
      <c r="PBN4764" s="911"/>
      <c r="PBO4764" s="911"/>
      <c r="PBP4764" s="911"/>
      <c r="PBQ4764" s="911"/>
      <c r="PBR4764" s="911"/>
      <c r="PBS4764" s="911"/>
      <c r="PBT4764" s="911"/>
      <c r="PBU4764" s="32"/>
      <c r="PBV4764" s="911" t="s">
        <v>74</v>
      </c>
      <c r="PBW4764" s="911"/>
      <c r="PBX4764" s="911"/>
      <c r="PBY4764" s="911"/>
      <c r="PBZ4764" s="911"/>
      <c r="PCA4764" s="911"/>
      <c r="PCB4764" s="911"/>
      <c r="PCC4764" s="911"/>
      <c r="PCD4764" s="911"/>
      <c r="PCE4764" s="912"/>
      <c r="PCG4764" s="913" t="s">
        <v>1</v>
      </c>
      <c r="PCH4764" s="31"/>
      <c r="PCI4764" s="909" t="s">
        <v>0</v>
      </c>
      <c r="PCJ4764" s="909"/>
      <c r="PCK4764" s="909"/>
      <c r="PCL4764" s="909"/>
      <c r="PCM4764" s="909"/>
      <c r="PCN4764" s="909"/>
      <c r="PCO4764" s="907" t="s">
        <v>79</v>
      </c>
      <c r="PCP4764" s="909" t="s">
        <v>68</v>
      </c>
      <c r="PCQ4764" s="910" t="s">
        <v>75</v>
      </c>
      <c r="PCR4764" s="911"/>
      <c r="PCS4764" s="911"/>
      <c r="PCT4764" s="911"/>
      <c r="PCU4764" s="911"/>
      <c r="PCV4764" s="911"/>
      <c r="PCW4764" s="911"/>
      <c r="PCX4764" s="911"/>
      <c r="PCY4764" s="911"/>
      <c r="PCZ4764" s="911"/>
      <c r="PDA4764" s="32"/>
      <c r="PDB4764" s="911" t="s">
        <v>74</v>
      </c>
      <c r="PDC4764" s="911"/>
      <c r="PDD4764" s="911"/>
      <c r="PDE4764" s="911"/>
      <c r="PDF4764" s="911"/>
      <c r="PDG4764" s="911"/>
      <c r="PDH4764" s="911"/>
      <c r="PDI4764" s="911"/>
      <c r="PDJ4764" s="911"/>
      <c r="PDK4764" s="912"/>
      <c r="PDM4764" s="913" t="s">
        <v>1</v>
      </c>
      <c r="PDN4764" s="31"/>
      <c r="PDO4764" s="909" t="s">
        <v>0</v>
      </c>
      <c r="PDP4764" s="909"/>
      <c r="PDQ4764" s="909"/>
      <c r="PDR4764" s="909"/>
      <c r="PDS4764" s="909"/>
      <c r="PDT4764" s="909"/>
      <c r="PDU4764" s="907" t="s">
        <v>79</v>
      </c>
      <c r="PDV4764" s="909" t="s">
        <v>68</v>
      </c>
      <c r="PDW4764" s="910" t="s">
        <v>75</v>
      </c>
      <c r="PDX4764" s="911"/>
      <c r="PDY4764" s="911"/>
      <c r="PDZ4764" s="911"/>
      <c r="PEA4764" s="911"/>
      <c r="PEB4764" s="911"/>
      <c r="PEC4764" s="911"/>
      <c r="PED4764" s="911"/>
      <c r="PEE4764" s="911"/>
      <c r="PEF4764" s="911"/>
      <c r="PEG4764" s="32"/>
      <c r="PEH4764" s="911" t="s">
        <v>74</v>
      </c>
      <c r="PEI4764" s="911"/>
      <c r="PEJ4764" s="911"/>
      <c r="PEK4764" s="911"/>
      <c r="PEL4764" s="911"/>
      <c r="PEM4764" s="911"/>
      <c r="PEN4764" s="911"/>
      <c r="PEO4764" s="911"/>
      <c r="PEP4764" s="911"/>
      <c r="PEQ4764" s="912"/>
      <c r="PES4764" s="913" t="s">
        <v>1</v>
      </c>
      <c r="PET4764" s="31"/>
      <c r="PEU4764" s="909" t="s">
        <v>0</v>
      </c>
      <c r="PEV4764" s="909"/>
      <c r="PEW4764" s="909"/>
      <c r="PEX4764" s="909"/>
      <c r="PEY4764" s="909"/>
      <c r="PEZ4764" s="909"/>
      <c r="PFA4764" s="907" t="s">
        <v>79</v>
      </c>
      <c r="PFB4764" s="909" t="s">
        <v>68</v>
      </c>
      <c r="PFC4764" s="910" t="s">
        <v>75</v>
      </c>
      <c r="PFD4764" s="911"/>
      <c r="PFE4764" s="911"/>
      <c r="PFF4764" s="911"/>
      <c r="PFG4764" s="911"/>
      <c r="PFH4764" s="911"/>
      <c r="PFI4764" s="911"/>
      <c r="PFJ4764" s="911"/>
      <c r="PFK4764" s="911"/>
      <c r="PFL4764" s="911"/>
      <c r="PFM4764" s="32"/>
      <c r="PFN4764" s="911" t="s">
        <v>74</v>
      </c>
      <c r="PFO4764" s="911"/>
      <c r="PFP4764" s="911"/>
      <c r="PFQ4764" s="911"/>
      <c r="PFR4764" s="911"/>
      <c r="PFS4764" s="911"/>
      <c r="PFT4764" s="911"/>
      <c r="PFU4764" s="911"/>
      <c r="PFV4764" s="911"/>
      <c r="PFW4764" s="912"/>
      <c r="PFY4764" s="913" t="s">
        <v>1</v>
      </c>
      <c r="PFZ4764" s="31"/>
      <c r="PGA4764" s="909" t="s">
        <v>0</v>
      </c>
      <c r="PGB4764" s="909"/>
      <c r="PGC4764" s="909"/>
      <c r="PGD4764" s="909"/>
      <c r="PGE4764" s="909"/>
      <c r="PGF4764" s="909"/>
      <c r="PGG4764" s="907" t="s">
        <v>79</v>
      </c>
      <c r="PGH4764" s="909" t="s">
        <v>68</v>
      </c>
      <c r="PGI4764" s="910" t="s">
        <v>75</v>
      </c>
      <c r="PGJ4764" s="911"/>
      <c r="PGK4764" s="911"/>
      <c r="PGL4764" s="911"/>
      <c r="PGM4764" s="911"/>
      <c r="PGN4764" s="911"/>
      <c r="PGO4764" s="911"/>
      <c r="PGP4764" s="911"/>
      <c r="PGQ4764" s="911"/>
      <c r="PGR4764" s="911"/>
      <c r="PGS4764" s="32"/>
      <c r="PGT4764" s="911" t="s">
        <v>74</v>
      </c>
      <c r="PGU4764" s="911"/>
      <c r="PGV4764" s="911"/>
      <c r="PGW4764" s="911"/>
      <c r="PGX4764" s="911"/>
      <c r="PGY4764" s="911"/>
      <c r="PGZ4764" s="911"/>
      <c r="PHA4764" s="911"/>
      <c r="PHB4764" s="911"/>
      <c r="PHC4764" s="912"/>
      <c r="PHE4764" s="913" t="s">
        <v>1</v>
      </c>
      <c r="PHF4764" s="31"/>
      <c r="PHG4764" s="909" t="s">
        <v>0</v>
      </c>
      <c r="PHH4764" s="909"/>
      <c r="PHI4764" s="909"/>
      <c r="PHJ4764" s="909"/>
      <c r="PHK4764" s="909"/>
      <c r="PHL4764" s="909"/>
      <c r="PHM4764" s="907" t="s">
        <v>79</v>
      </c>
      <c r="PHN4764" s="909" t="s">
        <v>68</v>
      </c>
      <c r="PHO4764" s="910" t="s">
        <v>75</v>
      </c>
      <c r="PHP4764" s="911"/>
      <c r="PHQ4764" s="911"/>
      <c r="PHR4764" s="911"/>
      <c r="PHS4764" s="911"/>
      <c r="PHT4764" s="911"/>
      <c r="PHU4764" s="911"/>
      <c r="PHV4764" s="911"/>
      <c r="PHW4764" s="911"/>
      <c r="PHX4764" s="911"/>
      <c r="PHY4764" s="32"/>
      <c r="PHZ4764" s="911" t="s">
        <v>74</v>
      </c>
      <c r="PIA4764" s="911"/>
      <c r="PIB4764" s="911"/>
      <c r="PIC4764" s="911"/>
      <c r="PID4764" s="911"/>
      <c r="PIE4764" s="911"/>
      <c r="PIF4764" s="911"/>
      <c r="PIG4764" s="911"/>
      <c r="PIH4764" s="911"/>
      <c r="PII4764" s="912"/>
      <c r="PIK4764" s="913" t="s">
        <v>1</v>
      </c>
      <c r="PIL4764" s="31"/>
      <c r="PIM4764" s="909" t="s">
        <v>0</v>
      </c>
      <c r="PIN4764" s="909"/>
      <c r="PIO4764" s="909"/>
      <c r="PIP4764" s="909"/>
      <c r="PIQ4764" s="909"/>
      <c r="PIR4764" s="909"/>
      <c r="PIS4764" s="907" t="s">
        <v>79</v>
      </c>
      <c r="PIT4764" s="909" t="s">
        <v>68</v>
      </c>
      <c r="PIU4764" s="910" t="s">
        <v>75</v>
      </c>
      <c r="PIV4764" s="911"/>
      <c r="PIW4764" s="911"/>
      <c r="PIX4764" s="911"/>
      <c r="PIY4764" s="911"/>
      <c r="PIZ4764" s="911"/>
      <c r="PJA4764" s="911"/>
      <c r="PJB4764" s="911"/>
      <c r="PJC4764" s="911"/>
      <c r="PJD4764" s="911"/>
      <c r="PJE4764" s="32"/>
      <c r="PJF4764" s="911" t="s">
        <v>74</v>
      </c>
      <c r="PJG4764" s="911"/>
      <c r="PJH4764" s="911"/>
      <c r="PJI4764" s="911"/>
      <c r="PJJ4764" s="911"/>
      <c r="PJK4764" s="911"/>
      <c r="PJL4764" s="911"/>
      <c r="PJM4764" s="911"/>
      <c r="PJN4764" s="911"/>
      <c r="PJO4764" s="912"/>
      <c r="PJQ4764" s="913" t="s">
        <v>1</v>
      </c>
      <c r="PJR4764" s="31"/>
      <c r="PJS4764" s="909" t="s">
        <v>0</v>
      </c>
      <c r="PJT4764" s="909"/>
      <c r="PJU4764" s="909"/>
      <c r="PJV4764" s="909"/>
      <c r="PJW4764" s="909"/>
      <c r="PJX4764" s="909"/>
      <c r="PJY4764" s="907" t="s">
        <v>79</v>
      </c>
      <c r="PJZ4764" s="909" t="s">
        <v>68</v>
      </c>
      <c r="PKA4764" s="910" t="s">
        <v>75</v>
      </c>
      <c r="PKB4764" s="911"/>
      <c r="PKC4764" s="911"/>
      <c r="PKD4764" s="911"/>
      <c r="PKE4764" s="911"/>
      <c r="PKF4764" s="911"/>
      <c r="PKG4764" s="911"/>
      <c r="PKH4764" s="911"/>
      <c r="PKI4764" s="911"/>
      <c r="PKJ4764" s="911"/>
      <c r="PKK4764" s="32"/>
      <c r="PKL4764" s="911" t="s">
        <v>74</v>
      </c>
      <c r="PKM4764" s="911"/>
      <c r="PKN4764" s="911"/>
      <c r="PKO4764" s="911"/>
      <c r="PKP4764" s="911"/>
      <c r="PKQ4764" s="911"/>
      <c r="PKR4764" s="911"/>
      <c r="PKS4764" s="911"/>
      <c r="PKT4764" s="911"/>
      <c r="PKU4764" s="912"/>
      <c r="PKW4764" s="913" t="s">
        <v>1</v>
      </c>
      <c r="PKX4764" s="31"/>
      <c r="PKY4764" s="909" t="s">
        <v>0</v>
      </c>
      <c r="PKZ4764" s="909"/>
      <c r="PLA4764" s="909"/>
      <c r="PLB4764" s="909"/>
      <c r="PLC4764" s="909"/>
      <c r="PLD4764" s="909"/>
      <c r="PLE4764" s="907" t="s">
        <v>79</v>
      </c>
      <c r="PLF4764" s="909" t="s">
        <v>68</v>
      </c>
      <c r="PLG4764" s="910" t="s">
        <v>75</v>
      </c>
      <c r="PLH4764" s="911"/>
      <c r="PLI4764" s="911"/>
      <c r="PLJ4764" s="911"/>
      <c r="PLK4764" s="911"/>
      <c r="PLL4764" s="911"/>
      <c r="PLM4764" s="911"/>
      <c r="PLN4764" s="911"/>
      <c r="PLO4764" s="911"/>
      <c r="PLP4764" s="911"/>
      <c r="PLQ4764" s="32"/>
      <c r="PLR4764" s="911" t="s">
        <v>74</v>
      </c>
      <c r="PLS4764" s="911"/>
      <c r="PLT4764" s="911"/>
      <c r="PLU4764" s="911"/>
      <c r="PLV4764" s="911"/>
      <c r="PLW4764" s="911"/>
      <c r="PLX4764" s="911"/>
      <c r="PLY4764" s="911"/>
      <c r="PLZ4764" s="911"/>
      <c r="PMA4764" s="912"/>
      <c r="PMC4764" s="913" t="s">
        <v>1</v>
      </c>
      <c r="PMD4764" s="31"/>
      <c r="PME4764" s="909" t="s">
        <v>0</v>
      </c>
      <c r="PMF4764" s="909"/>
      <c r="PMG4764" s="909"/>
      <c r="PMH4764" s="909"/>
      <c r="PMI4764" s="909"/>
      <c r="PMJ4764" s="909"/>
      <c r="PMK4764" s="907" t="s">
        <v>79</v>
      </c>
      <c r="PML4764" s="909" t="s">
        <v>68</v>
      </c>
      <c r="PMM4764" s="910" t="s">
        <v>75</v>
      </c>
      <c r="PMN4764" s="911"/>
      <c r="PMO4764" s="911"/>
      <c r="PMP4764" s="911"/>
      <c r="PMQ4764" s="911"/>
      <c r="PMR4764" s="911"/>
      <c r="PMS4764" s="911"/>
      <c r="PMT4764" s="911"/>
      <c r="PMU4764" s="911"/>
      <c r="PMV4764" s="911"/>
      <c r="PMW4764" s="32"/>
      <c r="PMX4764" s="911" t="s">
        <v>74</v>
      </c>
      <c r="PMY4764" s="911"/>
      <c r="PMZ4764" s="911"/>
      <c r="PNA4764" s="911"/>
      <c r="PNB4764" s="911"/>
      <c r="PNC4764" s="911"/>
      <c r="PND4764" s="911"/>
      <c r="PNE4764" s="911"/>
      <c r="PNF4764" s="911"/>
      <c r="PNG4764" s="912"/>
      <c r="PNI4764" s="913" t="s">
        <v>1</v>
      </c>
      <c r="PNJ4764" s="31"/>
      <c r="PNK4764" s="909" t="s">
        <v>0</v>
      </c>
      <c r="PNL4764" s="909"/>
      <c r="PNM4764" s="909"/>
      <c r="PNN4764" s="909"/>
      <c r="PNO4764" s="909"/>
      <c r="PNP4764" s="909"/>
      <c r="PNQ4764" s="907" t="s">
        <v>79</v>
      </c>
      <c r="PNR4764" s="909" t="s">
        <v>68</v>
      </c>
      <c r="PNS4764" s="910" t="s">
        <v>75</v>
      </c>
      <c r="PNT4764" s="911"/>
      <c r="PNU4764" s="911"/>
      <c r="PNV4764" s="911"/>
      <c r="PNW4764" s="911"/>
      <c r="PNX4764" s="911"/>
      <c r="PNY4764" s="911"/>
      <c r="PNZ4764" s="911"/>
      <c r="POA4764" s="911"/>
      <c r="POB4764" s="911"/>
      <c r="POC4764" s="32"/>
      <c r="POD4764" s="911" t="s">
        <v>74</v>
      </c>
      <c r="POE4764" s="911"/>
      <c r="POF4764" s="911"/>
      <c r="POG4764" s="911"/>
      <c r="POH4764" s="911"/>
      <c r="POI4764" s="911"/>
      <c r="POJ4764" s="911"/>
      <c r="POK4764" s="911"/>
      <c r="POL4764" s="911"/>
      <c r="POM4764" s="912"/>
      <c r="POO4764" s="913" t="s">
        <v>1</v>
      </c>
      <c r="POP4764" s="31"/>
      <c r="POQ4764" s="909" t="s">
        <v>0</v>
      </c>
      <c r="POR4764" s="909"/>
      <c r="POS4764" s="909"/>
      <c r="POT4764" s="909"/>
      <c r="POU4764" s="909"/>
      <c r="POV4764" s="909"/>
      <c r="POW4764" s="907" t="s">
        <v>79</v>
      </c>
      <c r="POX4764" s="909" t="s">
        <v>68</v>
      </c>
      <c r="POY4764" s="910" t="s">
        <v>75</v>
      </c>
      <c r="POZ4764" s="911"/>
      <c r="PPA4764" s="911"/>
      <c r="PPB4764" s="911"/>
      <c r="PPC4764" s="911"/>
      <c r="PPD4764" s="911"/>
      <c r="PPE4764" s="911"/>
      <c r="PPF4764" s="911"/>
      <c r="PPG4764" s="911"/>
      <c r="PPH4764" s="911"/>
      <c r="PPI4764" s="32"/>
      <c r="PPJ4764" s="911" t="s">
        <v>74</v>
      </c>
      <c r="PPK4764" s="911"/>
      <c r="PPL4764" s="911"/>
      <c r="PPM4764" s="911"/>
      <c r="PPN4764" s="911"/>
      <c r="PPO4764" s="911"/>
      <c r="PPP4764" s="911"/>
      <c r="PPQ4764" s="911"/>
      <c r="PPR4764" s="911"/>
      <c r="PPS4764" s="912"/>
      <c r="PPU4764" s="913" t="s">
        <v>1</v>
      </c>
      <c r="PPV4764" s="31"/>
      <c r="PPW4764" s="909" t="s">
        <v>0</v>
      </c>
      <c r="PPX4764" s="909"/>
      <c r="PPY4764" s="909"/>
      <c r="PPZ4764" s="909"/>
      <c r="PQA4764" s="909"/>
      <c r="PQB4764" s="909"/>
      <c r="PQC4764" s="907" t="s">
        <v>79</v>
      </c>
      <c r="PQD4764" s="909" t="s">
        <v>68</v>
      </c>
      <c r="PQE4764" s="910" t="s">
        <v>75</v>
      </c>
      <c r="PQF4764" s="911"/>
      <c r="PQG4764" s="911"/>
      <c r="PQH4764" s="911"/>
      <c r="PQI4764" s="911"/>
      <c r="PQJ4764" s="911"/>
      <c r="PQK4764" s="911"/>
      <c r="PQL4764" s="911"/>
      <c r="PQM4764" s="911"/>
      <c r="PQN4764" s="911"/>
      <c r="PQO4764" s="32"/>
      <c r="PQP4764" s="911" t="s">
        <v>74</v>
      </c>
      <c r="PQQ4764" s="911"/>
      <c r="PQR4764" s="911"/>
      <c r="PQS4764" s="911"/>
      <c r="PQT4764" s="911"/>
      <c r="PQU4764" s="911"/>
      <c r="PQV4764" s="911"/>
      <c r="PQW4764" s="911"/>
      <c r="PQX4764" s="911"/>
      <c r="PQY4764" s="912"/>
      <c r="PRA4764" s="913" t="s">
        <v>1</v>
      </c>
      <c r="PRB4764" s="31"/>
      <c r="PRC4764" s="909" t="s">
        <v>0</v>
      </c>
      <c r="PRD4764" s="909"/>
      <c r="PRE4764" s="909"/>
      <c r="PRF4764" s="909"/>
      <c r="PRG4764" s="909"/>
      <c r="PRH4764" s="909"/>
      <c r="PRI4764" s="907" t="s">
        <v>79</v>
      </c>
      <c r="PRJ4764" s="909" t="s">
        <v>68</v>
      </c>
      <c r="PRK4764" s="910" t="s">
        <v>75</v>
      </c>
      <c r="PRL4764" s="911"/>
      <c r="PRM4764" s="911"/>
      <c r="PRN4764" s="911"/>
      <c r="PRO4764" s="911"/>
      <c r="PRP4764" s="911"/>
      <c r="PRQ4764" s="911"/>
      <c r="PRR4764" s="911"/>
      <c r="PRS4764" s="911"/>
      <c r="PRT4764" s="911"/>
      <c r="PRU4764" s="32"/>
      <c r="PRV4764" s="911" t="s">
        <v>74</v>
      </c>
      <c r="PRW4764" s="911"/>
      <c r="PRX4764" s="911"/>
      <c r="PRY4764" s="911"/>
      <c r="PRZ4764" s="911"/>
      <c r="PSA4764" s="911"/>
      <c r="PSB4764" s="911"/>
      <c r="PSC4764" s="911"/>
      <c r="PSD4764" s="911"/>
      <c r="PSE4764" s="912"/>
      <c r="PSG4764" s="913" t="s">
        <v>1</v>
      </c>
      <c r="PSH4764" s="31"/>
      <c r="PSI4764" s="909" t="s">
        <v>0</v>
      </c>
      <c r="PSJ4764" s="909"/>
      <c r="PSK4764" s="909"/>
      <c r="PSL4764" s="909"/>
      <c r="PSM4764" s="909"/>
      <c r="PSN4764" s="909"/>
      <c r="PSO4764" s="907" t="s">
        <v>79</v>
      </c>
      <c r="PSP4764" s="909" t="s">
        <v>68</v>
      </c>
      <c r="PSQ4764" s="910" t="s">
        <v>75</v>
      </c>
      <c r="PSR4764" s="911"/>
      <c r="PSS4764" s="911"/>
      <c r="PST4764" s="911"/>
      <c r="PSU4764" s="911"/>
      <c r="PSV4764" s="911"/>
      <c r="PSW4764" s="911"/>
      <c r="PSX4764" s="911"/>
      <c r="PSY4764" s="911"/>
      <c r="PSZ4764" s="911"/>
      <c r="PTA4764" s="32"/>
      <c r="PTB4764" s="911" t="s">
        <v>74</v>
      </c>
      <c r="PTC4764" s="911"/>
      <c r="PTD4764" s="911"/>
      <c r="PTE4764" s="911"/>
      <c r="PTF4764" s="911"/>
      <c r="PTG4764" s="911"/>
      <c r="PTH4764" s="911"/>
      <c r="PTI4764" s="911"/>
      <c r="PTJ4764" s="911"/>
      <c r="PTK4764" s="912"/>
      <c r="PTM4764" s="913" t="s">
        <v>1</v>
      </c>
      <c r="PTN4764" s="31"/>
      <c r="PTO4764" s="909" t="s">
        <v>0</v>
      </c>
      <c r="PTP4764" s="909"/>
      <c r="PTQ4764" s="909"/>
      <c r="PTR4764" s="909"/>
      <c r="PTS4764" s="909"/>
      <c r="PTT4764" s="909"/>
      <c r="PTU4764" s="907" t="s">
        <v>79</v>
      </c>
      <c r="PTV4764" s="909" t="s">
        <v>68</v>
      </c>
      <c r="PTW4764" s="910" t="s">
        <v>75</v>
      </c>
      <c r="PTX4764" s="911"/>
      <c r="PTY4764" s="911"/>
      <c r="PTZ4764" s="911"/>
      <c r="PUA4764" s="911"/>
      <c r="PUB4764" s="911"/>
      <c r="PUC4764" s="911"/>
      <c r="PUD4764" s="911"/>
      <c r="PUE4764" s="911"/>
      <c r="PUF4764" s="911"/>
      <c r="PUG4764" s="32"/>
      <c r="PUH4764" s="911" t="s">
        <v>74</v>
      </c>
      <c r="PUI4764" s="911"/>
      <c r="PUJ4764" s="911"/>
      <c r="PUK4764" s="911"/>
      <c r="PUL4764" s="911"/>
      <c r="PUM4764" s="911"/>
      <c r="PUN4764" s="911"/>
      <c r="PUO4764" s="911"/>
      <c r="PUP4764" s="911"/>
      <c r="PUQ4764" s="912"/>
      <c r="PUS4764" s="913" t="s">
        <v>1</v>
      </c>
      <c r="PUT4764" s="31"/>
      <c r="PUU4764" s="909" t="s">
        <v>0</v>
      </c>
      <c r="PUV4764" s="909"/>
      <c r="PUW4764" s="909"/>
      <c r="PUX4764" s="909"/>
      <c r="PUY4764" s="909"/>
      <c r="PUZ4764" s="909"/>
      <c r="PVA4764" s="907" t="s">
        <v>79</v>
      </c>
      <c r="PVB4764" s="909" t="s">
        <v>68</v>
      </c>
      <c r="PVC4764" s="910" t="s">
        <v>75</v>
      </c>
      <c r="PVD4764" s="911"/>
      <c r="PVE4764" s="911"/>
      <c r="PVF4764" s="911"/>
      <c r="PVG4764" s="911"/>
      <c r="PVH4764" s="911"/>
      <c r="PVI4764" s="911"/>
      <c r="PVJ4764" s="911"/>
      <c r="PVK4764" s="911"/>
      <c r="PVL4764" s="911"/>
      <c r="PVM4764" s="32"/>
      <c r="PVN4764" s="911" t="s">
        <v>74</v>
      </c>
      <c r="PVO4764" s="911"/>
      <c r="PVP4764" s="911"/>
      <c r="PVQ4764" s="911"/>
      <c r="PVR4764" s="911"/>
      <c r="PVS4764" s="911"/>
      <c r="PVT4764" s="911"/>
      <c r="PVU4764" s="911"/>
      <c r="PVV4764" s="911"/>
      <c r="PVW4764" s="912"/>
      <c r="PVY4764" s="913" t="s">
        <v>1</v>
      </c>
      <c r="PVZ4764" s="31"/>
      <c r="PWA4764" s="909" t="s">
        <v>0</v>
      </c>
      <c r="PWB4764" s="909"/>
      <c r="PWC4764" s="909"/>
      <c r="PWD4764" s="909"/>
      <c r="PWE4764" s="909"/>
      <c r="PWF4764" s="909"/>
      <c r="PWG4764" s="907" t="s">
        <v>79</v>
      </c>
      <c r="PWH4764" s="909" t="s">
        <v>68</v>
      </c>
      <c r="PWI4764" s="910" t="s">
        <v>75</v>
      </c>
      <c r="PWJ4764" s="911"/>
      <c r="PWK4764" s="911"/>
      <c r="PWL4764" s="911"/>
      <c r="PWM4764" s="911"/>
      <c r="PWN4764" s="911"/>
      <c r="PWO4764" s="911"/>
      <c r="PWP4764" s="911"/>
      <c r="PWQ4764" s="911"/>
      <c r="PWR4764" s="911"/>
      <c r="PWS4764" s="32"/>
      <c r="PWT4764" s="911" t="s">
        <v>74</v>
      </c>
      <c r="PWU4764" s="911"/>
      <c r="PWV4764" s="911"/>
      <c r="PWW4764" s="911"/>
      <c r="PWX4764" s="911"/>
      <c r="PWY4764" s="911"/>
      <c r="PWZ4764" s="911"/>
      <c r="PXA4764" s="911"/>
      <c r="PXB4764" s="911"/>
      <c r="PXC4764" s="912"/>
      <c r="PXE4764" s="913" t="s">
        <v>1</v>
      </c>
      <c r="PXF4764" s="31"/>
      <c r="PXG4764" s="909" t="s">
        <v>0</v>
      </c>
      <c r="PXH4764" s="909"/>
      <c r="PXI4764" s="909"/>
      <c r="PXJ4764" s="909"/>
      <c r="PXK4764" s="909"/>
      <c r="PXL4764" s="909"/>
      <c r="PXM4764" s="907" t="s">
        <v>79</v>
      </c>
      <c r="PXN4764" s="909" t="s">
        <v>68</v>
      </c>
      <c r="PXO4764" s="910" t="s">
        <v>75</v>
      </c>
      <c r="PXP4764" s="911"/>
      <c r="PXQ4764" s="911"/>
      <c r="PXR4764" s="911"/>
      <c r="PXS4764" s="911"/>
      <c r="PXT4764" s="911"/>
      <c r="PXU4764" s="911"/>
      <c r="PXV4764" s="911"/>
      <c r="PXW4764" s="911"/>
      <c r="PXX4764" s="911"/>
      <c r="PXY4764" s="32"/>
      <c r="PXZ4764" s="911" t="s">
        <v>74</v>
      </c>
      <c r="PYA4764" s="911"/>
      <c r="PYB4764" s="911"/>
      <c r="PYC4764" s="911"/>
      <c r="PYD4764" s="911"/>
      <c r="PYE4764" s="911"/>
      <c r="PYF4764" s="911"/>
      <c r="PYG4764" s="911"/>
      <c r="PYH4764" s="911"/>
      <c r="PYI4764" s="912"/>
      <c r="PYK4764" s="913" t="s">
        <v>1</v>
      </c>
      <c r="PYL4764" s="31"/>
      <c r="PYM4764" s="909" t="s">
        <v>0</v>
      </c>
      <c r="PYN4764" s="909"/>
      <c r="PYO4764" s="909"/>
      <c r="PYP4764" s="909"/>
      <c r="PYQ4764" s="909"/>
      <c r="PYR4764" s="909"/>
      <c r="PYS4764" s="907" t="s">
        <v>79</v>
      </c>
      <c r="PYT4764" s="909" t="s">
        <v>68</v>
      </c>
      <c r="PYU4764" s="910" t="s">
        <v>75</v>
      </c>
      <c r="PYV4764" s="911"/>
      <c r="PYW4764" s="911"/>
      <c r="PYX4764" s="911"/>
      <c r="PYY4764" s="911"/>
      <c r="PYZ4764" s="911"/>
      <c r="PZA4764" s="911"/>
      <c r="PZB4764" s="911"/>
      <c r="PZC4764" s="911"/>
      <c r="PZD4764" s="911"/>
      <c r="PZE4764" s="32"/>
      <c r="PZF4764" s="911" t="s">
        <v>74</v>
      </c>
      <c r="PZG4764" s="911"/>
      <c r="PZH4764" s="911"/>
      <c r="PZI4764" s="911"/>
      <c r="PZJ4764" s="911"/>
      <c r="PZK4764" s="911"/>
      <c r="PZL4764" s="911"/>
      <c r="PZM4764" s="911"/>
      <c r="PZN4764" s="911"/>
      <c r="PZO4764" s="912"/>
      <c r="PZQ4764" s="913" t="s">
        <v>1</v>
      </c>
      <c r="PZR4764" s="31"/>
      <c r="PZS4764" s="909" t="s">
        <v>0</v>
      </c>
      <c r="PZT4764" s="909"/>
      <c r="PZU4764" s="909"/>
      <c r="PZV4764" s="909"/>
      <c r="PZW4764" s="909"/>
      <c r="PZX4764" s="909"/>
      <c r="PZY4764" s="907" t="s">
        <v>79</v>
      </c>
      <c r="PZZ4764" s="909" t="s">
        <v>68</v>
      </c>
      <c r="QAA4764" s="910" t="s">
        <v>75</v>
      </c>
      <c r="QAB4764" s="911"/>
      <c r="QAC4764" s="911"/>
      <c r="QAD4764" s="911"/>
      <c r="QAE4764" s="911"/>
      <c r="QAF4764" s="911"/>
      <c r="QAG4764" s="911"/>
      <c r="QAH4764" s="911"/>
      <c r="QAI4764" s="911"/>
      <c r="QAJ4764" s="911"/>
      <c r="QAK4764" s="32"/>
      <c r="QAL4764" s="911" t="s">
        <v>74</v>
      </c>
      <c r="QAM4764" s="911"/>
      <c r="QAN4764" s="911"/>
      <c r="QAO4764" s="911"/>
      <c r="QAP4764" s="911"/>
      <c r="QAQ4764" s="911"/>
      <c r="QAR4764" s="911"/>
      <c r="QAS4764" s="911"/>
      <c r="QAT4764" s="911"/>
      <c r="QAU4764" s="912"/>
      <c r="QAW4764" s="913" t="s">
        <v>1</v>
      </c>
      <c r="QAX4764" s="31"/>
      <c r="QAY4764" s="909" t="s">
        <v>0</v>
      </c>
      <c r="QAZ4764" s="909"/>
      <c r="QBA4764" s="909"/>
      <c r="QBB4764" s="909"/>
      <c r="QBC4764" s="909"/>
      <c r="QBD4764" s="909"/>
      <c r="QBE4764" s="907" t="s">
        <v>79</v>
      </c>
      <c r="QBF4764" s="909" t="s">
        <v>68</v>
      </c>
      <c r="QBG4764" s="910" t="s">
        <v>75</v>
      </c>
      <c r="QBH4764" s="911"/>
      <c r="QBI4764" s="911"/>
      <c r="QBJ4764" s="911"/>
      <c r="QBK4764" s="911"/>
      <c r="QBL4764" s="911"/>
      <c r="QBM4764" s="911"/>
      <c r="QBN4764" s="911"/>
      <c r="QBO4764" s="911"/>
      <c r="QBP4764" s="911"/>
      <c r="QBQ4764" s="32"/>
      <c r="QBR4764" s="911" t="s">
        <v>74</v>
      </c>
      <c r="QBS4764" s="911"/>
      <c r="QBT4764" s="911"/>
      <c r="QBU4764" s="911"/>
      <c r="QBV4764" s="911"/>
      <c r="QBW4764" s="911"/>
      <c r="QBX4764" s="911"/>
      <c r="QBY4764" s="911"/>
      <c r="QBZ4764" s="911"/>
      <c r="QCA4764" s="912"/>
      <c r="QCC4764" s="913" t="s">
        <v>1</v>
      </c>
      <c r="QCD4764" s="31"/>
      <c r="QCE4764" s="909" t="s">
        <v>0</v>
      </c>
      <c r="QCF4764" s="909"/>
      <c r="QCG4764" s="909"/>
      <c r="QCH4764" s="909"/>
      <c r="QCI4764" s="909"/>
      <c r="QCJ4764" s="909"/>
      <c r="QCK4764" s="907" t="s">
        <v>79</v>
      </c>
      <c r="QCL4764" s="909" t="s">
        <v>68</v>
      </c>
      <c r="QCM4764" s="910" t="s">
        <v>75</v>
      </c>
      <c r="QCN4764" s="911"/>
      <c r="QCO4764" s="911"/>
      <c r="QCP4764" s="911"/>
      <c r="QCQ4764" s="911"/>
      <c r="QCR4764" s="911"/>
      <c r="QCS4764" s="911"/>
      <c r="QCT4764" s="911"/>
      <c r="QCU4764" s="911"/>
      <c r="QCV4764" s="911"/>
      <c r="QCW4764" s="32"/>
      <c r="QCX4764" s="911" t="s">
        <v>74</v>
      </c>
      <c r="QCY4764" s="911"/>
      <c r="QCZ4764" s="911"/>
      <c r="QDA4764" s="911"/>
      <c r="QDB4764" s="911"/>
      <c r="QDC4764" s="911"/>
      <c r="QDD4764" s="911"/>
      <c r="QDE4764" s="911"/>
      <c r="QDF4764" s="911"/>
      <c r="QDG4764" s="912"/>
      <c r="QDI4764" s="913" t="s">
        <v>1</v>
      </c>
      <c r="QDJ4764" s="31"/>
      <c r="QDK4764" s="909" t="s">
        <v>0</v>
      </c>
      <c r="QDL4764" s="909"/>
      <c r="QDM4764" s="909"/>
      <c r="QDN4764" s="909"/>
      <c r="QDO4764" s="909"/>
      <c r="QDP4764" s="909"/>
      <c r="QDQ4764" s="907" t="s">
        <v>79</v>
      </c>
      <c r="QDR4764" s="909" t="s">
        <v>68</v>
      </c>
      <c r="QDS4764" s="910" t="s">
        <v>75</v>
      </c>
      <c r="QDT4764" s="911"/>
      <c r="QDU4764" s="911"/>
      <c r="QDV4764" s="911"/>
      <c r="QDW4764" s="911"/>
      <c r="QDX4764" s="911"/>
      <c r="QDY4764" s="911"/>
      <c r="QDZ4764" s="911"/>
      <c r="QEA4764" s="911"/>
      <c r="QEB4764" s="911"/>
      <c r="QEC4764" s="32"/>
      <c r="QED4764" s="911" t="s">
        <v>74</v>
      </c>
      <c r="QEE4764" s="911"/>
      <c r="QEF4764" s="911"/>
      <c r="QEG4764" s="911"/>
      <c r="QEH4764" s="911"/>
      <c r="QEI4764" s="911"/>
      <c r="QEJ4764" s="911"/>
      <c r="QEK4764" s="911"/>
      <c r="QEL4764" s="911"/>
      <c r="QEM4764" s="912"/>
      <c r="QEO4764" s="913" t="s">
        <v>1</v>
      </c>
      <c r="QEP4764" s="31"/>
      <c r="QEQ4764" s="909" t="s">
        <v>0</v>
      </c>
      <c r="QER4764" s="909"/>
      <c r="QES4764" s="909"/>
      <c r="QET4764" s="909"/>
      <c r="QEU4764" s="909"/>
      <c r="QEV4764" s="909"/>
      <c r="QEW4764" s="907" t="s">
        <v>79</v>
      </c>
      <c r="QEX4764" s="909" t="s">
        <v>68</v>
      </c>
      <c r="QEY4764" s="910" t="s">
        <v>75</v>
      </c>
      <c r="QEZ4764" s="911"/>
      <c r="QFA4764" s="911"/>
      <c r="QFB4764" s="911"/>
      <c r="QFC4764" s="911"/>
      <c r="QFD4764" s="911"/>
      <c r="QFE4764" s="911"/>
      <c r="QFF4764" s="911"/>
      <c r="QFG4764" s="911"/>
      <c r="QFH4764" s="911"/>
      <c r="QFI4764" s="32"/>
      <c r="QFJ4764" s="911" t="s">
        <v>74</v>
      </c>
      <c r="QFK4764" s="911"/>
      <c r="QFL4764" s="911"/>
      <c r="QFM4764" s="911"/>
      <c r="QFN4764" s="911"/>
      <c r="QFO4764" s="911"/>
      <c r="QFP4764" s="911"/>
      <c r="QFQ4764" s="911"/>
      <c r="QFR4764" s="911"/>
      <c r="QFS4764" s="912"/>
      <c r="QFU4764" s="913" t="s">
        <v>1</v>
      </c>
      <c r="QFV4764" s="31"/>
      <c r="QFW4764" s="909" t="s">
        <v>0</v>
      </c>
      <c r="QFX4764" s="909"/>
      <c r="QFY4764" s="909"/>
      <c r="QFZ4764" s="909"/>
      <c r="QGA4764" s="909"/>
      <c r="QGB4764" s="909"/>
      <c r="QGC4764" s="907" t="s">
        <v>79</v>
      </c>
      <c r="QGD4764" s="909" t="s">
        <v>68</v>
      </c>
      <c r="QGE4764" s="910" t="s">
        <v>75</v>
      </c>
      <c r="QGF4764" s="911"/>
      <c r="QGG4764" s="911"/>
      <c r="QGH4764" s="911"/>
      <c r="QGI4764" s="911"/>
      <c r="QGJ4764" s="911"/>
      <c r="QGK4764" s="911"/>
      <c r="QGL4764" s="911"/>
      <c r="QGM4764" s="911"/>
      <c r="QGN4764" s="911"/>
      <c r="QGO4764" s="32"/>
      <c r="QGP4764" s="911" t="s">
        <v>74</v>
      </c>
      <c r="QGQ4764" s="911"/>
      <c r="QGR4764" s="911"/>
      <c r="QGS4764" s="911"/>
      <c r="QGT4764" s="911"/>
      <c r="QGU4764" s="911"/>
      <c r="QGV4764" s="911"/>
      <c r="QGW4764" s="911"/>
      <c r="QGX4764" s="911"/>
      <c r="QGY4764" s="912"/>
      <c r="QHA4764" s="913" t="s">
        <v>1</v>
      </c>
      <c r="QHB4764" s="31"/>
      <c r="QHC4764" s="909" t="s">
        <v>0</v>
      </c>
      <c r="QHD4764" s="909"/>
      <c r="QHE4764" s="909"/>
      <c r="QHF4764" s="909"/>
      <c r="QHG4764" s="909"/>
      <c r="QHH4764" s="909"/>
      <c r="QHI4764" s="907" t="s">
        <v>79</v>
      </c>
      <c r="QHJ4764" s="909" t="s">
        <v>68</v>
      </c>
      <c r="QHK4764" s="910" t="s">
        <v>75</v>
      </c>
      <c r="QHL4764" s="911"/>
      <c r="QHM4764" s="911"/>
      <c r="QHN4764" s="911"/>
      <c r="QHO4764" s="911"/>
      <c r="QHP4764" s="911"/>
      <c r="QHQ4764" s="911"/>
      <c r="QHR4764" s="911"/>
      <c r="QHS4764" s="911"/>
      <c r="QHT4764" s="911"/>
      <c r="QHU4764" s="32"/>
      <c r="QHV4764" s="911" t="s">
        <v>74</v>
      </c>
      <c r="QHW4764" s="911"/>
      <c r="QHX4764" s="911"/>
      <c r="QHY4764" s="911"/>
      <c r="QHZ4764" s="911"/>
      <c r="QIA4764" s="911"/>
      <c r="QIB4764" s="911"/>
      <c r="QIC4764" s="911"/>
      <c r="QID4764" s="911"/>
      <c r="QIE4764" s="912"/>
      <c r="QIG4764" s="913" t="s">
        <v>1</v>
      </c>
      <c r="QIH4764" s="31"/>
      <c r="QII4764" s="909" t="s">
        <v>0</v>
      </c>
      <c r="QIJ4764" s="909"/>
      <c r="QIK4764" s="909"/>
      <c r="QIL4764" s="909"/>
      <c r="QIM4764" s="909"/>
      <c r="QIN4764" s="909"/>
      <c r="QIO4764" s="907" t="s">
        <v>79</v>
      </c>
      <c r="QIP4764" s="909" t="s">
        <v>68</v>
      </c>
      <c r="QIQ4764" s="910" t="s">
        <v>75</v>
      </c>
      <c r="QIR4764" s="911"/>
      <c r="QIS4764" s="911"/>
      <c r="QIT4764" s="911"/>
      <c r="QIU4764" s="911"/>
      <c r="QIV4764" s="911"/>
      <c r="QIW4764" s="911"/>
      <c r="QIX4764" s="911"/>
      <c r="QIY4764" s="911"/>
      <c r="QIZ4764" s="911"/>
      <c r="QJA4764" s="32"/>
      <c r="QJB4764" s="911" t="s">
        <v>74</v>
      </c>
      <c r="QJC4764" s="911"/>
      <c r="QJD4764" s="911"/>
      <c r="QJE4764" s="911"/>
      <c r="QJF4764" s="911"/>
      <c r="QJG4764" s="911"/>
      <c r="QJH4764" s="911"/>
      <c r="QJI4764" s="911"/>
      <c r="QJJ4764" s="911"/>
      <c r="QJK4764" s="912"/>
      <c r="QJM4764" s="913" t="s">
        <v>1</v>
      </c>
      <c r="QJN4764" s="31"/>
      <c r="QJO4764" s="909" t="s">
        <v>0</v>
      </c>
      <c r="QJP4764" s="909"/>
      <c r="QJQ4764" s="909"/>
      <c r="QJR4764" s="909"/>
      <c r="QJS4764" s="909"/>
      <c r="QJT4764" s="909"/>
      <c r="QJU4764" s="907" t="s">
        <v>79</v>
      </c>
      <c r="QJV4764" s="909" t="s">
        <v>68</v>
      </c>
      <c r="QJW4764" s="910" t="s">
        <v>75</v>
      </c>
      <c r="QJX4764" s="911"/>
      <c r="QJY4764" s="911"/>
      <c r="QJZ4764" s="911"/>
      <c r="QKA4764" s="911"/>
      <c r="QKB4764" s="911"/>
      <c r="QKC4764" s="911"/>
      <c r="QKD4764" s="911"/>
      <c r="QKE4764" s="911"/>
      <c r="QKF4764" s="911"/>
      <c r="QKG4764" s="32"/>
      <c r="QKH4764" s="911" t="s">
        <v>74</v>
      </c>
      <c r="QKI4764" s="911"/>
      <c r="QKJ4764" s="911"/>
      <c r="QKK4764" s="911"/>
      <c r="QKL4764" s="911"/>
      <c r="QKM4764" s="911"/>
      <c r="QKN4764" s="911"/>
      <c r="QKO4764" s="911"/>
      <c r="QKP4764" s="911"/>
      <c r="QKQ4764" s="912"/>
      <c r="QKS4764" s="913" t="s">
        <v>1</v>
      </c>
      <c r="QKT4764" s="31"/>
      <c r="QKU4764" s="909" t="s">
        <v>0</v>
      </c>
      <c r="QKV4764" s="909"/>
      <c r="QKW4764" s="909"/>
      <c r="QKX4764" s="909"/>
      <c r="QKY4764" s="909"/>
      <c r="QKZ4764" s="909"/>
      <c r="QLA4764" s="907" t="s">
        <v>79</v>
      </c>
      <c r="QLB4764" s="909" t="s">
        <v>68</v>
      </c>
      <c r="QLC4764" s="910" t="s">
        <v>75</v>
      </c>
      <c r="QLD4764" s="911"/>
      <c r="QLE4764" s="911"/>
      <c r="QLF4764" s="911"/>
      <c r="QLG4764" s="911"/>
      <c r="QLH4764" s="911"/>
      <c r="QLI4764" s="911"/>
      <c r="QLJ4764" s="911"/>
      <c r="QLK4764" s="911"/>
      <c r="QLL4764" s="911"/>
      <c r="QLM4764" s="32"/>
      <c r="QLN4764" s="911" t="s">
        <v>74</v>
      </c>
      <c r="QLO4764" s="911"/>
      <c r="QLP4764" s="911"/>
      <c r="QLQ4764" s="911"/>
      <c r="QLR4764" s="911"/>
      <c r="QLS4764" s="911"/>
      <c r="QLT4764" s="911"/>
      <c r="QLU4764" s="911"/>
      <c r="QLV4764" s="911"/>
      <c r="QLW4764" s="912"/>
      <c r="QLY4764" s="913" t="s">
        <v>1</v>
      </c>
      <c r="QLZ4764" s="31"/>
      <c r="QMA4764" s="909" t="s">
        <v>0</v>
      </c>
      <c r="QMB4764" s="909"/>
      <c r="QMC4764" s="909"/>
      <c r="QMD4764" s="909"/>
      <c r="QME4764" s="909"/>
      <c r="QMF4764" s="909"/>
      <c r="QMG4764" s="907" t="s">
        <v>79</v>
      </c>
      <c r="QMH4764" s="909" t="s">
        <v>68</v>
      </c>
      <c r="QMI4764" s="910" t="s">
        <v>75</v>
      </c>
      <c r="QMJ4764" s="911"/>
      <c r="QMK4764" s="911"/>
      <c r="QML4764" s="911"/>
      <c r="QMM4764" s="911"/>
      <c r="QMN4764" s="911"/>
      <c r="QMO4764" s="911"/>
      <c r="QMP4764" s="911"/>
      <c r="QMQ4764" s="911"/>
      <c r="QMR4764" s="911"/>
      <c r="QMS4764" s="32"/>
      <c r="QMT4764" s="911" t="s">
        <v>74</v>
      </c>
      <c r="QMU4764" s="911"/>
      <c r="QMV4764" s="911"/>
      <c r="QMW4764" s="911"/>
      <c r="QMX4764" s="911"/>
      <c r="QMY4764" s="911"/>
      <c r="QMZ4764" s="911"/>
      <c r="QNA4764" s="911"/>
      <c r="QNB4764" s="911"/>
      <c r="QNC4764" s="912"/>
      <c r="QNE4764" s="913" t="s">
        <v>1</v>
      </c>
      <c r="QNF4764" s="31"/>
      <c r="QNG4764" s="909" t="s">
        <v>0</v>
      </c>
      <c r="QNH4764" s="909"/>
      <c r="QNI4764" s="909"/>
      <c r="QNJ4764" s="909"/>
      <c r="QNK4764" s="909"/>
      <c r="QNL4764" s="909"/>
      <c r="QNM4764" s="907" t="s">
        <v>79</v>
      </c>
      <c r="QNN4764" s="909" t="s">
        <v>68</v>
      </c>
      <c r="QNO4764" s="910" t="s">
        <v>75</v>
      </c>
      <c r="QNP4764" s="911"/>
      <c r="QNQ4764" s="911"/>
      <c r="QNR4764" s="911"/>
      <c r="QNS4764" s="911"/>
      <c r="QNT4764" s="911"/>
      <c r="QNU4764" s="911"/>
      <c r="QNV4764" s="911"/>
      <c r="QNW4764" s="911"/>
      <c r="QNX4764" s="911"/>
      <c r="QNY4764" s="32"/>
      <c r="QNZ4764" s="911" t="s">
        <v>74</v>
      </c>
      <c r="QOA4764" s="911"/>
      <c r="QOB4764" s="911"/>
      <c r="QOC4764" s="911"/>
      <c r="QOD4764" s="911"/>
      <c r="QOE4764" s="911"/>
      <c r="QOF4764" s="911"/>
      <c r="QOG4764" s="911"/>
      <c r="QOH4764" s="911"/>
      <c r="QOI4764" s="912"/>
      <c r="QOK4764" s="913" t="s">
        <v>1</v>
      </c>
      <c r="QOL4764" s="31"/>
      <c r="QOM4764" s="909" t="s">
        <v>0</v>
      </c>
      <c r="QON4764" s="909"/>
      <c r="QOO4764" s="909"/>
      <c r="QOP4764" s="909"/>
      <c r="QOQ4764" s="909"/>
      <c r="QOR4764" s="909"/>
      <c r="QOS4764" s="907" t="s">
        <v>79</v>
      </c>
      <c r="QOT4764" s="909" t="s">
        <v>68</v>
      </c>
      <c r="QOU4764" s="910" t="s">
        <v>75</v>
      </c>
      <c r="QOV4764" s="911"/>
      <c r="QOW4764" s="911"/>
      <c r="QOX4764" s="911"/>
      <c r="QOY4764" s="911"/>
      <c r="QOZ4764" s="911"/>
      <c r="QPA4764" s="911"/>
      <c r="QPB4764" s="911"/>
      <c r="QPC4764" s="911"/>
      <c r="QPD4764" s="911"/>
      <c r="QPE4764" s="32"/>
      <c r="QPF4764" s="911" t="s">
        <v>74</v>
      </c>
      <c r="QPG4764" s="911"/>
      <c r="QPH4764" s="911"/>
      <c r="QPI4764" s="911"/>
      <c r="QPJ4764" s="911"/>
      <c r="QPK4764" s="911"/>
      <c r="QPL4764" s="911"/>
      <c r="QPM4764" s="911"/>
      <c r="QPN4764" s="911"/>
      <c r="QPO4764" s="912"/>
      <c r="QPQ4764" s="913" t="s">
        <v>1</v>
      </c>
      <c r="QPR4764" s="31"/>
      <c r="QPS4764" s="909" t="s">
        <v>0</v>
      </c>
      <c r="QPT4764" s="909"/>
      <c r="QPU4764" s="909"/>
      <c r="QPV4764" s="909"/>
      <c r="QPW4764" s="909"/>
      <c r="QPX4764" s="909"/>
      <c r="QPY4764" s="907" t="s">
        <v>79</v>
      </c>
      <c r="QPZ4764" s="909" t="s">
        <v>68</v>
      </c>
      <c r="QQA4764" s="910" t="s">
        <v>75</v>
      </c>
      <c r="QQB4764" s="911"/>
      <c r="QQC4764" s="911"/>
      <c r="QQD4764" s="911"/>
      <c r="QQE4764" s="911"/>
      <c r="QQF4764" s="911"/>
      <c r="QQG4764" s="911"/>
      <c r="QQH4764" s="911"/>
      <c r="QQI4764" s="911"/>
      <c r="QQJ4764" s="911"/>
      <c r="QQK4764" s="32"/>
      <c r="QQL4764" s="911" t="s">
        <v>74</v>
      </c>
      <c r="QQM4764" s="911"/>
      <c r="QQN4764" s="911"/>
      <c r="QQO4764" s="911"/>
      <c r="QQP4764" s="911"/>
      <c r="QQQ4764" s="911"/>
      <c r="QQR4764" s="911"/>
      <c r="QQS4764" s="911"/>
      <c r="QQT4764" s="911"/>
      <c r="QQU4764" s="912"/>
      <c r="QQW4764" s="913" t="s">
        <v>1</v>
      </c>
      <c r="QQX4764" s="31"/>
      <c r="QQY4764" s="909" t="s">
        <v>0</v>
      </c>
      <c r="QQZ4764" s="909"/>
      <c r="QRA4764" s="909"/>
      <c r="QRB4764" s="909"/>
      <c r="QRC4764" s="909"/>
      <c r="QRD4764" s="909"/>
      <c r="QRE4764" s="907" t="s">
        <v>79</v>
      </c>
      <c r="QRF4764" s="909" t="s">
        <v>68</v>
      </c>
      <c r="QRG4764" s="910" t="s">
        <v>75</v>
      </c>
      <c r="QRH4764" s="911"/>
      <c r="QRI4764" s="911"/>
      <c r="QRJ4764" s="911"/>
      <c r="QRK4764" s="911"/>
      <c r="QRL4764" s="911"/>
      <c r="QRM4764" s="911"/>
      <c r="QRN4764" s="911"/>
      <c r="QRO4764" s="911"/>
      <c r="QRP4764" s="911"/>
      <c r="QRQ4764" s="32"/>
      <c r="QRR4764" s="911" t="s">
        <v>74</v>
      </c>
      <c r="QRS4764" s="911"/>
      <c r="QRT4764" s="911"/>
      <c r="QRU4764" s="911"/>
      <c r="QRV4764" s="911"/>
      <c r="QRW4764" s="911"/>
      <c r="QRX4764" s="911"/>
      <c r="QRY4764" s="911"/>
      <c r="QRZ4764" s="911"/>
      <c r="QSA4764" s="912"/>
      <c r="QSC4764" s="913" t="s">
        <v>1</v>
      </c>
      <c r="QSD4764" s="31"/>
      <c r="QSE4764" s="909" t="s">
        <v>0</v>
      </c>
      <c r="QSF4764" s="909"/>
      <c r="QSG4764" s="909"/>
      <c r="QSH4764" s="909"/>
      <c r="QSI4764" s="909"/>
      <c r="QSJ4764" s="909"/>
      <c r="QSK4764" s="907" t="s">
        <v>79</v>
      </c>
      <c r="QSL4764" s="909" t="s">
        <v>68</v>
      </c>
      <c r="QSM4764" s="910" t="s">
        <v>75</v>
      </c>
      <c r="QSN4764" s="911"/>
      <c r="QSO4764" s="911"/>
      <c r="QSP4764" s="911"/>
      <c r="QSQ4764" s="911"/>
      <c r="QSR4764" s="911"/>
      <c r="QSS4764" s="911"/>
      <c r="QST4764" s="911"/>
      <c r="QSU4764" s="911"/>
      <c r="QSV4764" s="911"/>
      <c r="QSW4764" s="32"/>
      <c r="QSX4764" s="911" t="s">
        <v>74</v>
      </c>
      <c r="QSY4764" s="911"/>
      <c r="QSZ4764" s="911"/>
      <c r="QTA4764" s="911"/>
      <c r="QTB4764" s="911"/>
      <c r="QTC4764" s="911"/>
      <c r="QTD4764" s="911"/>
      <c r="QTE4764" s="911"/>
      <c r="QTF4764" s="911"/>
      <c r="QTG4764" s="912"/>
      <c r="QTI4764" s="913" t="s">
        <v>1</v>
      </c>
      <c r="QTJ4764" s="31"/>
      <c r="QTK4764" s="909" t="s">
        <v>0</v>
      </c>
      <c r="QTL4764" s="909"/>
      <c r="QTM4764" s="909"/>
      <c r="QTN4764" s="909"/>
      <c r="QTO4764" s="909"/>
      <c r="QTP4764" s="909"/>
      <c r="QTQ4764" s="907" t="s">
        <v>79</v>
      </c>
      <c r="QTR4764" s="909" t="s">
        <v>68</v>
      </c>
      <c r="QTS4764" s="910" t="s">
        <v>75</v>
      </c>
      <c r="QTT4764" s="911"/>
      <c r="QTU4764" s="911"/>
      <c r="QTV4764" s="911"/>
      <c r="QTW4764" s="911"/>
      <c r="QTX4764" s="911"/>
      <c r="QTY4764" s="911"/>
      <c r="QTZ4764" s="911"/>
      <c r="QUA4764" s="911"/>
      <c r="QUB4764" s="911"/>
      <c r="QUC4764" s="32"/>
      <c r="QUD4764" s="911" t="s">
        <v>74</v>
      </c>
      <c r="QUE4764" s="911"/>
      <c r="QUF4764" s="911"/>
      <c r="QUG4764" s="911"/>
      <c r="QUH4764" s="911"/>
      <c r="QUI4764" s="911"/>
      <c r="QUJ4764" s="911"/>
      <c r="QUK4764" s="911"/>
      <c r="QUL4764" s="911"/>
      <c r="QUM4764" s="912"/>
      <c r="QUO4764" s="913" t="s">
        <v>1</v>
      </c>
      <c r="QUP4764" s="31"/>
      <c r="QUQ4764" s="909" t="s">
        <v>0</v>
      </c>
      <c r="QUR4764" s="909"/>
      <c r="QUS4764" s="909"/>
      <c r="QUT4764" s="909"/>
      <c r="QUU4764" s="909"/>
      <c r="QUV4764" s="909"/>
      <c r="QUW4764" s="907" t="s">
        <v>79</v>
      </c>
      <c r="QUX4764" s="909" t="s">
        <v>68</v>
      </c>
      <c r="QUY4764" s="910" t="s">
        <v>75</v>
      </c>
      <c r="QUZ4764" s="911"/>
      <c r="QVA4764" s="911"/>
      <c r="QVB4764" s="911"/>
      <c r="QVC4764" s="911"/>
      <c r="QVD4764" s="911"/>
      <c r="QVE4764" s="911"/>
      <c r="QVF4764" s="911"/>
      <c r="QVG4764" s="911"/>
      <c r="QVH4764" s="911"/>
      <c r="QVI4764" s="32"/>
      <c r="QVJ4764" s="911" t="s">
        <v>74</v>
      </c>
      <c r="QVK4764" s="911"/>
      <c r="QVL4764" s="911"/>
      <c r="QVM4764" s="911"/>
      <c r="QVN4764" s="911"/>
      <c r="QVO4764" s="911"/>
      <c r="QVP4764" s="911"/>
      <c r="QVQ4764" s="911"/>
      <c r="QVR4764" s="911"/>
      <c r="QVS4764" s="912"/>
      <c r="QVU4764" s="913" t="s">
        <v>1</v>
      </c>
      <c r="QVV4764" s="31"/>
      <c r="QVW4764" s="909" t="s">
        <v>0</v>
      </c>
      <c r="QVX4764" s="909"/>
      <c r="QVY4764" s="909"/>
      <c r="QVZ4764" s="909"/>
      <c r="QWA4764" s="909"/>
      <c r="QWB4764" s="909"/>
      <c r="QWC4764" s="907" t="s">
        <v>79</v>
      </c>
      <c r="QWD4764" s="909" t="s">
        <v>68</v>
      </c>
      <c r="QWE4764" s="910" t="s">
        <v>75</v>
      </c>
      <c r="QWF4764" s="911"/>
      <c r="QWG4764" s="911"/>
      <c r="QWH4764" s="911"/>
      <c r="QWI4764" s="911"/>
      <c r="QWJ4764" s="911"/>
      <c r="QWK4764" s="911"/>
      <c r="QWL4764" s="911"/>
      <c r="QWM4764" s="911"/>
      <c r="QWN4764" s="911"/>
      <c r="QWO4764" s="32"/>
      <c r="QWP4764" s="911" t="s">
        <v>74</v>
      </c>
      <c r="QWQ4764" s="911"/>
      <c r="QWR4764" s="911"/>
      <c r="QWS4764" s="911"/>
      <c r="QWT4764" s="911"/>
      <c r="QWU4764" s="911"/>
      <c r="QWV4764" s="911"/>
      <c r="QWW4764" s="911"/>
      <c r="QWX4764" s="911"/>
      <c r="QWY4764" s="912"/>
      <c r="QXA4764" s="913" t="s">
        <v>1</v>
      </c>
      <c r="QXB4764" s="31"/>
      <c r="QXC4764" s="909" t="s">
        <v>0</v>
      </c>
      <c r="QXD4764" s="909"/>
      <c r="QXE4764" s="909"/>
      <c r="QXF4764" s="909"/>
      <c r="QXG4764" s="909"/>
      <c r="QXH4764" s="909"/>
      <c r="QXI4764" s="907" t="s">
        <v>79</v>
      </c>
      <c r="QXJ4764" s="909" t="s">
        <v>68</v>
      </c>
      <c r="QXK4764" s="910" t="s">
        <v>75</v>
      </c>
      <c r="QXL4764" s="911"/>
      <c r="QXM4764" s="911"/>
      <c r="QXN4764" s="911"/>
      <c r="QXO4764" s="911"/>
      <c r="QXP4764" s="911"/>
      <c r="QXQ4764" s="911"/>
      <c r="QXR4764" s="911"/>
      <c r="QXS4764" s="911"/>
      <c r="QXT4764" s="911"/>
      <c r="QXU4764" s="32"/>
      <c r="QXV4764" s="911" t="s">
        <v>74</v>
      </c>
      <c r="QXW4764" s="911"/>
      <c r="QXX4764" s="911"/>
      <c r="QXY4764" s="911"/>
      <c r="QXZ4764" s="911"/>
      <c r="QYA4764" s="911"/>
      <c r="QYB4764" s="911"/>
      <c r="QYC4764" s="911"/>
      <c r="QYD4764" s="911"/>
      <c r="QYE4764" s="912"/>
      <c r="QYG4764" s="913" t="s">
        <v>1</v>
      </c>
      <c r="QYH4764" s="31"/>
      <c r="QYI4764" s="909" t="s">
        <v>0</v>
      </c>
      <c r="QYJ4764" s="909"/>
      <c r="QYK4764" s="909"/>
      <c r="QYL4764" s="909"/>
      <c r="QYM4764" s="909"/>
      <c r="QYN4764" s="909"/>
      <c r="QYO4764" s="907" t="s">
        <v>79</v>
      </c>
      <c r="QYP4764" s="909" t="s">
        <v>68</v>
      </c>
      <c r="QYQ4764" s="910" t="s">
        <v>75</v>
      </c>
      <c r="QYR4764" s="911"/>
      <c r="QYS4764" s="911"/>
      <c r="QYT4764" s="911"/>
      <c r="QYU4764" s="911"/>
      <c r="QYV4764" s="911"/>
      <c r="QYW4764" s="911"/>
      <c r="QYX4764" s="911"/>
      <c r="QYY4764" s="911"/>
      <c r="QYZ4764" s="911"/>
      <c r="QZA4764" s="32"/>
      <c r="QZB4764" s="911" t="s">
        <v>74</v>
      </c>
      <c r="QZC4764" s="911"/>
      <c r="QZD4764" s="911"/>
      <c r="QZE4764" s="911"/>
      <c r="QZF4764" s="911"/>
      <c r="QZG4764" s="911"/>
      <c r="QZH4764" s="911"/>
      <c r="QZI4764" s="911"/>
      <c r="QZJ4764" s="911"/>
      <c r="QZK4764" s="912"/>
      <c r="QZM4764" s="913" t="s">
        <v>1</v>
      </c>
      <c r="QZN4764" s="31"/>
      <c r="QZO4764" s="909" t="s">
        <v>0</v>
      </c>
      <c r="QZP4764" s="909"/>
      <c r="QZQ4764" s="909"/>
      <c r="QZR4764" s="909"/>
      <c r="QZS4764" s="909"/>
      <c r="QZT4764" s="909"/>
      <c r="QZU4764" s="907" t="s">
        <v>79</v>
      </c>
      <c r="QZV4764" s="909" t="s">
        <v>68</v>
      </c>
      <c r="QZW4764" s="910" t="s">
        <v>75</v>
      </c>
      <c r="QZX4764" s="911"/>
      <c r="QZY4764" s="911"/>
      <c r="QZZ4764" s="911"/>
      <c r="RAA4764" s="911"/>
      <c r="RAB4764" s="911"/>
      <c r="RAC4764" s="911"/>
      <c r="RAD4764" s="911"/>
      <c r="RAE4764" s="911"/>
      <c r="RAF4764" s="911"/>
      <c r="RAG4764" s="32"/>
      <c r="RAH4764" s="911" t="s">
        <v>74</v>
      </c>
      <c r="RAI4764" s="911"/>
      <c r="RAJ4764" s="911"/>
      <c r="RAK4764" s="911"/>
      <c r="RAL4764" s="911"/>
      <c r="RAM4764" s="911"/>
      <c r="RAN4764" s="911"/>
      <c r="RAO4764" s="911"/>
      <c r="RAP4764" s="911"/>
      <c r="RAQ4764" s="912"/>
      <c r="RAS4764" s="913" t="s">
        <v>1</v>
      </c>
      <c r="RAT4764" s="31"/>
      <c r="RAU4764" s="909" t="s">
        <v>0</v>
      </c>
      <c r="RAV4764" s="909"/>
      <c r="RAW4764" s="909"/>
      <c r="RAX4764" s="909"/>
      <c r="RAY4764" s="909"/>
      <c r="RAZ4764" s="909"/>
      <c r="RBA4764" s="907" t="s">
        <v>79</v>
      </c>
      <c r="RBB4764" s="909" t="s">
        <v>68</v>
      </c>
      <c r="RBC4764" s="910" t="s">
        <v>75</v>
      </c>
      <c r="RBD4764" s="911"/>
      <c r="RBE4764" s="911"/>
      <c r="RBF4764" s="911"/>
      <c r="RBG4764" s="911"/>
      <c r="RBH4764" s="911"/>
      <c r="RBI4764" s="911"/>
      <c r="RBJ4764" s="911"/>
      <c r="RBK4764" s="911"/>
      <c r="RBL4764" s="911"/>
      <c r="RBM4764" s="32"/>
      <c r="RBN4764" s="911" t="s">
        <v>74</v>
      </c>
      <c r="RBO4764" s="911"/>
      <c r="RBP4764" s="911"/>
      <c r="RBQ4764" s="911"/>
      <c r="RBR4764" s="911"/>
      <c r="RBS4764" s="911"/>
      <c r="RBT4764" s="911"/>
      <c r="RBU4764" s="911"/>
      <c r="RBV4764" s="911"/>
      <c r="RBW4764" s="912"/>
      <c r="RBY4764" s="913" t="s">
        <v>1</v>
      </c>
      <c r="RBZ4764" s="31"/>
      <c r="RCA4764" s="909" t="s">
        <v>0</v>
      </c>
      <c r="RCB4764" s="909"/>
      <c r="RCC4764" s="909"/>
      <c r="RCD4764" s="909"/>
      <c r="RCE4764" s="909"/>
      <c r="RCF4764" s="909"/>
      <c r="RCG4764" s="907" t="s">
        <v>79</v>
      </c>
      <c r="RCH4764" s="909" t="s">
        <v>68</v>
      </c>
      <c r="RCI4764" s="910" t="s">
        <v>75</v>
      </c>
      <c r="RCJ4764" s="911"/>
      <c r="RCK4764" s="911"/>
      <c r="RCL4764" s="911"/>
      <c r="RCM4764" s="911"/>
      <c r="RCN4764" s="911"/>
      <c r="RCO4764" s="911"/>
      <c r="RCP4764" s="911"/>
      <c r="RCQ4764" s="911"/>
      <c r="RCR4764" s="911"/>
      <c r="RCS4764" s="32"/>
      <c r="RCT4764" s="911" t="s">
        <v>74</v>
      </c>
      <c r="RCU4764" s="911"/>
      <c r="RCV4764" s="911"/>
      <c r="RCW4764" s="911"/>
      <c r="RCX4764" s="911"/>
      <c r="RCY4764" s="911"/>
      <c r="RCZ4764" s="911"/>
      <c r="RDA4764" s="911"/>
      <c r="RDB4764" s="911"/>
      <c r="RDC4764" s="912"/>
      <c r="RDE4764" s="913" t="s">
        <v>1</v>
      </c>
      <c r="RDF4764" s="31"/>
      <c r="RDG4764" s="909" t="s">
        <v>0</v>
      </c>
      <c r="RDH4764" s="909"/>
      <c r="RDI4764" s="909"/>
      <c r="RDJ4764" s="909"/>
      <c r="RDK4764" s="909"/>
      <c r="RDL4764" s="909"/>
      <c r="RDM4764" s="907" t="s">
        <v>79</v>
      </c>
      <c r="RDN4764" s="909" t="s">
        <v>68</v>
      </c>
      <c r="RDO4764" s="910" t="s">
        <v>75</v>
      </c>
      <c r="RDP4764" s="911"/>
      <c r="RDQ4764" s="911"/>
      <c r="RDR4764" s="911"/>
      <c r="RDS4764" s="911"/>
      <c r="RDT4764" s="911"/>
      <c r="RDU4764" s="911"/>
      <c r="RDV4764" s="911"/>
      <c r="RDW4764" s="911"/>
      <c r="RDX4764" s="911"/>
      <c r="RDY4764" s="32"/>
      <c r="RDZ4764" s="911" t="s">
        <v>74</v>
      </c>
      <c r="REA4764" s="911"/>
      <c r="REB4764" s="911"/>
      <c r="REC4764" s="911"/>
      <c r="RED4764" s="911"/>
      <c r="REE4764" s="911"/>
      <c r="REF4764" s="911"/>
      <c r="REG4764" s="911"/>
      <c r="REH4764" s="911"/>
      <c r="REI4764" s="912"/>
      <c r="REK4764" s="913" t="s">
        <v>1</v>
      </c>
      <c r="REL4764" s="31"/>
      <c r="REM4764" s="909" t="s">
        <v>0</v>
      </c>
      <c r="REN4764" s="909"/>
      <c r="REO4764" s="909"/>
      <c r="REP4764" s="909"/>
      <c r="REQ4764" s="909"/>
      <c r="RER4764" s="909"/>
      <c r="RES4764" s="907" t="s">
        <v>79</v>
      </c>
      <c r="RET4764" s="909" t="s">
        <v>68</v>
      </c>
      <c r="REU4764" s="910" t="s">
        <v>75</v>
      </c>
      <c r="REV4764" s="911"/>
      <c r="REW4764" s="911"/>
      <c r="REX4764" s="911"/>
      <c r="REY4764" s="911"/>
      <c r="REZ4764" s="911"/>
      <c r="RFA4764" s="911"/>
      <c r="RFB4764" s="911"/>
      <c r="RFC4764" s="911"/>
      <c r="RFD4764" s="911"/>
      <c r="RFE4764" s="32"/>
      <c r="RFF4764" s="911" t="s">
        <v>74</v>
      </c>
      <c r="RFG4764" s="911"/>
      <c r="RFH4764" s="911"/>
      <c r="RFI4764" s="911"/>
      <c r="RFJ4764" s="911"/>
      <c r="RFK4764" s="911"/>
      <c r="RFL4764" s="911"/>
      <c r="RFM4764" s="911"/>
      <c r="RFN4764" s="911"/>
      <c r="RFO4764" s="912"/>
      <c r="RFQ4764" s="913" t="s">
        <v>1</v>
      </c>
      <c r="RFR4764" s="31"/>
      <c r="RFS4764" s="909" t="s">
        <v>0</v>
      </c>
      <c r="RFT4764" s="909"/>
      <c r="RFU4764" s="909"/>
      <c r="RFV4764" s="909"/>
      <c r="RFW4764" s="909"/>
      <c r="RFX4764" s="909"/>
      <c r="RFY4764" s="907" t="s">
        <v>79</v>
      </c>
      <c r="RFZ4764" s="909" t="s">
        <v>68</v>
      </c>
      <c r="RGA4764" s="910" t="s">
        <v>75</v>
      </c>
      <c r="RGB4764" s="911"/>
      <c r="RGC4764" s="911"/>
      <c r="RGD4764" s="911"/>
      <c r="RGE4764" s="911"/>
      <c r="RGF4764" s="911"/>
      <c r="RGG4764" s="911"/>
      <c r="RGH4764" s="911"/>
      <c r="RGI4764" s="911"/>
      <c r="RGJ4764" s="911"/>
      <c r="RGK4764" s="32"/>
      <c r="RGL4764" s="911" t="s">
        <v>74</v>
      </c>
      <c r="RGM4764" s="911"/>
      <c r="RGN4764" s="911"/>
      <c r="RGO4764" s="911"/>
      <c r="RGP4764" s="911"/>
      <c r="RGQ4764" s="911"/>
      <c r="RGR4764" s="911"/>
      <c r="RGS4764" s="911"/>
      <c r="RGT4764" s="911"/>
      <c r="RGU4764" s="912"/>
      <c r="RGW4764" s="913" t="s">
        <v>1</v>
      </c>
      <c r="RGX4764" s="31"/>
      <c r="RGY4764" s="909" t="s">
        <v>0</v>
      </c>
      <c r="RGZ4764" s="909"/>
      <c r="RHA4764" s="909"/>
      <c r="RHB4764" s="909"/>
      <c r="RHC4764" s="909"/>
      <c r="RHD4764" s="909"/>
      <c r="RHE4764" s="907" t="s">
        <v>79</v>
      </c>
      <c r="RHF4764" s="909" t="s">
        <v>68</v>
      </c>
      <c r="RHG4764" s="910" t="s">
        <v>75</v>
      </c>
      <c r="RHH4764" s="911"/>
      <c r="RHI4764" s="911"/>
      <c r="RHJ4764" s="911"/>
      <c r="RHK4764" s="911"/>
      <c r="RHL4764" s="911"/>
      <c r="RHM4764" s="911"/>
      <c r="RHN4764" s="911"/>
      <c r="RHO4764" s="911"/>
      <c r="RHP4764" s="911"/>
      <c r="RHQ4764" s="32"/>
      <c r="RHR4764" s="911" t="s">
        <v>74</v>
      </c>
      <c r="RHS4764" s="911"/>
      <c r="RHT4764" s="911"/>
      <c r="RHU4764" s="911"/>
      <c r="RHV4764" s="911"/>
      <c r="RHW4764" s="911"/>
      <c r="RHX4764" s="911"/>
      <c r="RHY4764" s="911"/>
      <c r="RHZ4764" s="911"/>
      <c r="RIA4764" s="912"/>
      <c r="RIC4764" s="913" t="s">
        <v>1</v>
      </c>
      <c r="RID4764" s="31"/>
      <c r="RIE4764" s="909" t="s">
        <v>0</v>
      </c>
      <c r="RIF4764" s="909"/>
      <c r="RIG4764" s="909"/>
      <c r="RIH4764" s="909"/>
      <c r="RII4764" s="909"/>
      <c r="RIJ4764" s="909"/>
      <c r="RIK4764" s="907" t="s">
        <v>79</v>
      </c>
      <c r="RIL4764" s="909" t="s">
        <v>68</v>
      </c>
      <c r="RIM4764" s="910" t="s">
        <v>75</v>
      </c>
      <c r="RIN4764" s="911"/>
      <c r="RIO4764" s="911"/>
      <c r="RIP4764" s="911"/>
      <c r="RIQ4764" s="911"/>
      <c r="RIR4764" s="911"/>
      <c r="RIS4764" s="911"/>
      <c r="RIT4764" s="911"/>
      <c r="RIU4764" s="911"/>
      <c r="RIV4764" s="911"/>
      <c r="RIW4764" s="32"/>
      <c r="RIX4764" s="911" t="s">
        <v>74</v>
      </c>
      <c r="RIY4764" s="911"/>
      <c r="RIZ4764" s="911"/>
      <c r="RJA4764" s="911"/>
      <c r="RJB4764" s="911"/>
      <c r="RJC4764" s="911"/>
      <c r="RJD4764" s="911"/>
      <c r="RJE4764" s="911"/>
      <c r="RJF4764" s="911"/>
      <c r="RJG4764" s="912"/>
      <c r="RJI4764" s="913" t="s">
        <v>1</v>
      </c>
      <c r="RJJ4764" s="31"/>
      <c r="RJK4764" s="909" t="s">
        <v>0</v>
      </c>
      <c r="RJL4764" s="909"/>
      <c r="RJM4764" s="909"/>
      <c r="RJN4764" s="909"/>
      <c r="RJO4764" s="909"/>
      <c r="RJP4764" s="909"/>
      <c r="RJQ4764" s="907" t="s">
        <v>79</v>
      </c>
      <c r="RJR4764" s="909" t="s">
        <v>68</v>
      </c>
      <c r="RJS4764" s="910" t="s">
        <v>75</v>
      </c>
      <c r="RJT4764" s="911"/>
      <c r="RJU4764" s="911"/>
      <c r="RJV4764" s="911"/>
      <c r="RJW4764" s="911"/>
      <c r="RJX4764" s="911"/>
      <c r="RJY4764" s="911"/>
      <c r="RJZ4764" s="911"/>
      <c r="RKA4764" s="911"/>
      <c r="RKB4764" s="911"/>
      <c r="RKC4764" s="32"/>
      <c r="RKD4764" s="911" t="s">
        <v>74</v>
      </c>
      <c r="RKE4764" s="911"/>
      <c r="RKF4764" s="911"/>
      <c r="RKG4764" s="911"/>
      <c r="RKH4764" s="911"/>
      <c r="RKI4764" s="911"/>
      <c r="RKJ4764" s="911"/>
      <c r="RKK4764" s="911"/>
      <c r="RKL4764" s="911"/>
      <c r="RKM4764" s="912"/>
      <c r="RKO4764" s="913" t="s">
        <v>1</v>
      </c>
      <c r="RKP4764" s="31"/>
      <c r="RKQ4764" s="909" t="s">
        <v>0</v>
      </c>
      <c r="RKR4764" s="909"/>
      <c r="RKS4764" s="909"/>
      <c r="RKT4764" s="909"/>
      <c r="RKU4764" s="909"/>
      <c r="RKV4764" s="909"/>
      <c r="RKW4764" s="907" t="s">
        <v>79</v>
      </c>
      <c r="RKX4764" s="909" t="s">
        <v>68</v>
      </c>
      <c r="RKY4764" s="910" t="s">
        <v>75</v>
      </c>
      <c r="RKZ4764" s="911"/>
      <c r="RLA4764" s="911"/>
      <c r="RLB4764" s="911"/>
      <c r="RLC4764" s="911"/>
      <c r="RLD4764" s="911"/>
      <c r="RLE4764" s="911"/>
      <c r="RLF4764" s="911"/>
      <c r="RLG4764" s="911"/>
      <c r="RLH4764" s="911"/>
      <c r="RLI4764" s="32"/>
      <c r="RLJ4764" s="911" t="s">
        <v>74</v>
      </c>
      <c r="RLK4764" s="911"/>
      <c r="RLL4764" s="911"/>
      <c r="RLM4764" s="911"/>
      <c r="RLN4764" s="911"/>
      <c r="RLO4764" s="911"/>
      <c r="RLP4764" s="911"/>
      <c r="RLQ4764" s="911"/>
      <c r="RLR4764" s="911"/>
      <c r="RLS4764" s="912"/>
      <c r="RLU4764" s="913" t="s">
        <v>1</v>
      </c>
      <c r="RLV4764" s="31"/>
      <c r="RLW4764" s="909" t="s">
        <v>0</v>
      </c>
      <c r="RLX4764" s="909"/>
      <c r="RLY4764" s="909"/>
      <c r="RLZ4764" s="909"/>
      <c r="RMA4764" s="909"/>
      <c r="RMB4764" s="909"/>
      <c r="RMC4764" s="907" t="s">
        <v>79</v>
      </c>
      <c r="RMD4764" s="909" t="s">
        <v>68</v>
      </c>
      <c r="RME4764" s="910" t="s">
        <v>75</v>
      </c>
      <c r="RMF4764" s="911"/>
      <c r="RMG4764" s="911"/>
      <c r="RMH4764" s="911"/>
      <c r="RMI4764" s="911"/>
      <c r="RMJ4764" s="911"/>
      <c r="RMK4764" s="911"/>
      <c r="RML4764" s="911"/>
      <c r="RMM4764" s="911"/>
      <c r="RMN4764" s="911"/>
      <c r="RMO4764" s="32"/>
      <c r="RMP4764" s="911" t="s">
        <v>74</v>
      </c>
      <c r="RMQ4764" s="911"/>
      <c r="RMR4764" s="911"/>
      <c r="RMS4764" s="911"/>
      <c r="RMT4764" s="911"/>
      <c r="RMU4764" s="911"/>
      <c r="RMV4764" s="911"/>
      <c r="RMW4764" s="911"/>
      <c r="RMX4764" s="911"/>
      <c r="RMY4764" s="912"/>
      <c r="RNA4764" s="913" t="s">
        <v>1</v>
      </c>
      <c r="RNB4764" s="31"/>
      <c r="RNC4764" s="909" t="s">
        <v>0</v>
      </c>
      <c r="RND4764" s="909"/>
      <c r="RNE4764" s="909"/>
      <c r="RNF4764" s="909"/>
      <c r="RNG4764" s="909"/>
      <c r="RNH4764" s="909"/>
      <c r="RNI4764" s="907" t="s">
        <v>79</v>
      </c>
      <c r="RNJ4764" s="909" t="s">
        <v>68</v>
      </c>
      <c r="RNK4764" s="910" t="s">
        <v>75</v>
      </c>
      <c r="RNL4764" s="911"/>
      <c r="RNM4764" s="911"/>
      <c r="RNN4764" s="911"/>
      <c r="RNO4764" s="911"/>
      <c r="RNP4764" s="911"/>
      <c r="RNQ4764" s="911"/>
      <c r="RNR4764" s="911"/>
      <c r="RNS4764" s="911"/>
      <c r="RNT4764" s="911"/>
      <c r="RNU4764" s="32"/>
      <c r="RNV4764" s="911" t="s">
        <v>74</v>
      </c>
      <c r="RNW4764" s="911"/>
      <c r="RNX4764" s="911"/>
      <c r="RNY4764" s="911"/>
      <c r="RNZ4764" s="911"/>
      <c r="ROA4764" s="911"/>
      <c r="ROB4764" s="911"/>
      <c r="ROC4764" s="911"/>
      <c r="ROD4764" s="911"/>
      <c r="ROE4764" s="912"/>
      <c r="ROG4764" s="913" t="s">
        <v>1</v>
      </c>
      <c r="ROH4764" s="31"/>
      <c r="ROI4764" s="909" t="s">
        <v>0</v>
      </c>
      <c r="ROJ4764" s="909"/>
      <c r="ROK4764" s="909"/>
      <c r="ROL4764" s="909"/>
      <c r="ROM4764" s="909"/>
      <c r="RON4764" s="909"/>
      <c r="ROO4764" s="907" t="s">
        <v>79</v>
      </c>
      <c r="ROP4764" s="909" t="s">
        <v>68</v>
      </c>
      <c r="ROQ4764" s="910" t="s">
        <v>75</v>
      </c>
      <c r="ROR4764" s="911"/>
      <c r="ROS4764" s="911"/>
      <c r="ROT4764" s="911"/>
      <c r="ROU4764" s="911"/>
      <c r="ROV4764" s="911"/>
      <c r="ROW4764" s="911"/>
      <c r="ROX4764" s="911"/>
      <c r="ROY4764" s="911"/>
      <c r="ROZ4764" s="911"/>
      <c r="RPA4764" s="32"/>
      <c r="RPB4764" s="911" t="s">
        <v>74</v>
      </c>
      <c r="RPC4764" s="911"/>
      <c r="RPD4764" s="911"/>
      <c r="RPE4764" s="911"/>
      <c r="RPF4764" s="911"/>
      <c r="RPG4764" s="911"/>
      <c r="RPH4764" s="911"/>
      <c r="RPI4764" s="911"/>
      <c r="RPJ4764" s="911"/>
      <c r="RPK4764" s="912"/>
      <c r="RPM4764" s="913" t="s">
        <v>1</v>
      </c>
      <c r="RPN4764" s="31"/>
      <c r="RPO4764" s="909" t="s">
        <v>0</v>
      </c>
      <c r="RPP4764" s="909"/>
      <c r="RPQ4764" s="909"/>
      <c r="RPR4764" s="909"/>
      <c r="RPS4764" s="909"/>
      <c r="RPT4764" s="909"/>
      <c r="RPU4764" s="907" t="s">
        <v>79</v>
      </c>
      <c r="RPV4764" s="909" t="s">
        <v>68</v>
      </c>
      <c r="RPW4764" s="910" t="s">
        <v>75</v>
      </c>
      <c r="RPX4764" s="911"/>
      <c r="RPY4764" s="911"/>
      <c r="RPZ4764" s="911"/>
      <c r="RQA4764" s="911"/>
      <c r="RQB4764" s="911"/>
      <c r="RQC4764" s="911"/>
      <c r="RQD4764" s="911"/>
      <c r="RQE4764" s="911"/>
      <c r="RQF4764" s="911"/>
      <c r="RQG4764" s="32"/>
      <c r="RQH4764" s="911" t="s">
        <v>74</v>
      </c>
      <c r="RQI4764" s="911"/>
      <c r="RQJ4764" s="911"/>
      <c r="RQK4764" s="911"/>
      <c r="RQL4764" s="911"/>
      <c r="RQM4764" s="911"/>
      <c r="RQN4764" s="911"/>
      <c r="RQO4764" s="911"/>
      <c r="RQP4764" s="911"/>
      <c r="RQQ4764" s="912"/>
      <c r="RQS4764" s="913" t="s">
        <v>1</v>
      </c>
      <c r="RQT4764" s="31"/>
      <c r="RQU4764" s="909" t="s">
        <v>0</v>
      </c>
      <c r="RQV4764" s="909"/>
      <c r="RQW4764" s="909"/>
      <c r="RQX4764" s="909"/>
      <c r="RQY4764" s="909"/>
      <c r="RQZ4764" s="909"/>
      <c r="RRA4764" s="907" t="s">
        <v>79</v>
      </c>
      <c r="RRB4764" s="909" t="s">
        <v>68</v>
      </c>
      <c r="RRC4764" s="910" t="s">
        <v>75</v>
      </c>
      <c r="RRD4764" s="911"/>
      <c r="RRE4764" s="911"/>
      <c r="RRF4764" s="911"/>
      <c r="RRG4764" s="911"/>
      <c r="RRH4764" s="911"/>
      <c r="RRI4764" s="911"/>
      <c r="RRJ4764" s="911"/>
      <c r="RRK4764" s="911"/>
      <c r="RRL4764" s="911"/>
      <c r="RRM4764" s="32"/>
      <c r="RRN4764" s="911" t="s">
        <v>74</v>
      </c>
      <c r="RRO4764" s="911"/>
      <c r="RRP4764" s="911"/>
      <c r="RRQ4764" s="911"/>
      <c r="RRR4764" s="911"/>
      <c r="RRS4764" s="911"/>
      <c r="RRT4764" s="911"/>
      <c r="RRU4764" s="911"/>
      <c r="RRV4764" s="911"/>
      <c r="RRW4764" s="912"/>
      <c r="RRY4764" s="913" t="s">
        <v>1</v>
      </c>
      <c r="RRZ4764" s="31"/>
      <c r="RSA4764" s="909" t="s">
        <v>0</v>
      </c>
      <c r="RSB4764" s="909"/>
      <c r="RSC4764" s="909"/>
      <c r="RSD4764" s="909"/>
      <c r="RSE4764" s="909"/>
      <c r="RSF4764" s="909"/>
      <c r="RSG4764" s="907" t="s">
        <v>79</v>
      </c>
      <c r="RSH4764" s="909" t="s">
        <v>68</v>
      </c>
      <c r="RSI4764" s="910" t="s">
        <v>75</v>
      </c>
      <c r="RSJ4764" s="911"/>
      <c r="RSK4764" s="911"/>
      <c r="RSL4764" s="911"/>
      <c r="RSM4764" s="911"/>
      <c r="RSN4764" s="911"/>
      <c r="RSO4764" s="911"/>
      <c r="RSP4764" s="911"/>
      <c r="RSQ4764" s="911"/>
      <c r="RSR4764" s="911"/>
      <c r="RSS4764" s="32"/>
      <c r="RST4764" s="911" t="s">
        <v>74</v>
      </c>
      <c r="RSU4764" s="911"/>
      <c r="RSV4764" s="911"/>
      <c r="RSW4764" s="911"/>
      <c r="RSX4764" s="911"/>
      <c r="RSY4764" s="911"/>
      <c r="RSZ4764" s="911"/>
      <c r="RTA4764" s="911"/>
      <c r="RTB4764" s="911"/>
      <c r="RTC4764" s="912"/>
      <c r="RTE4764" s="913" t="s">
        <v>1</v>
      </c>
      <c r="RTF4764" s="31"/>
      <c r="RTG4764" s="909" t="s">
        <v>0</v>
      </c>
      <c r="RTH4764" s="909"/>
      <c r="RTI4764" s="909"/>
      <c r="RTJ4764" s="909"/>
      <c r="RTK4764" s="909"/>
      <c r="RTL4764" s="909"/>
      <c r="RTM4764" s="907" t="s">
        <v>79</v>
      </c>
      <c r="RTN4764" s="909" t="s">
        <v>68</v>
      </c>
      <c r="RTO4764" s="910" t="s">
        <v>75</v>
      </c>
      <c r="RTP4764" s="911"/>
      <c r="RTQ4764" s="911"/>
      <c r="RTR4764" s="911"/>
      <c r="RTS4764" s="911"/>
      <c r="RTT4764" s="911"/>
      <c r="RTU4764" s="911"/>
      <c r="RTV4764" s="911"/>
      <c r="RTW4764" s="911"/>
      <c r="RTX4764" s="911"/>
      <c r="RTY4764" s="32"/>
      <c r="RTZ4764" s="911" t="s">
        <v>74</v>
      </c>
      <c r="RUA4764" s="911"/>
      <c r="RUB4764" s="911"/>
      <c r="RUC4764" s="911"/>
      <c r="RUD4764" s="911"/>
      <c r="RUE4764" s="911"/>
      <c r="RUF4764" s="911"/>
      <c r="RUG4764" s="911"/>
      <c r="RUH4764" s="911"/>
      <c r="RUI4764" s="912"/>
      <c r="RUK4764" s="913" t="s">
        <v>1</v>
      </c>
      <c r="RUL4764" s="31"/>
      <c r="RUM4764" s="909" t="s">
        <v>0</v>
      </c>
      <c r="RUN4764" s="909"/>
      <c r="RUO4764" s="909"/>
      <c r="RUP4764" s="909"/>
      <c r="RUQ4764" s="909"/>
      <c r="RUR4764" s="909"/>
      <c r="RUS4764" s="907" t="s">
        <v>79</v>
      </c>
      <c r="RUT4764" s="909" t="s">
        <v>68</v>
      </c>
      <c r="RUU4764" s="910" t="s">
        <v>75</v>
      </c>
      <c r="RUV4764" s="911"/>
      <c r="RUW4764" s="911"/>
      <c r="RUX4764" s="911"/>
      <c r="RUY4764" s="911"/>
      <c r="RUZ4764" s="911"/>
      <c r="RVA4764" s="911"/>
      <c r="RVB4764" s="911"/>
      <c r="RVC4764" s="911"/>
      <c r="RVD4764" s="911"/>
      <c r="RVE4764" s="32"/>
      <c r="RVF4764" s="911" t="s">
        <v>74</v>
      </c>
      <c r="RVG4764" s="911"/>
      <c r="RVH4764" s="911"/>
      <c r="RVI4764" s="911"/>
      <c r="RVJ4764" s="911"/>
      <c r="RVK4764" s="911"/>
      <c r="RVL4764" s="911"/>
      <c r="RVM4764" s="911"/>
      <c r="RVN4764" s="911"/>
      <c r="RVO4764" s="912"/>
      <c r="RVQ4764" s="913" t="s">
        <v>1</v>
      </c>
      <c r="RVR4764" s="31"/>
      <c r="RVS4764" s="909" t="s">
        <v>0</v>
      </c>
      <c r="RVT4764" s="909"/>
      <c r="RVU4764" s="909"/>
      <c r="RVV4764" s="909"/>
      <c r="RVW4764" s="909"/>
      <c r="RVX4764" s="909"/>
      <c r="RVY4764" s="907" t="s">
        <v>79</v>
      </c>
      <c r="RVZ4764" s="909" t="s">
        <v>68</v>
      </c>
      <c r="RWA4764" s="910" t="s">
        <v>75</v>
      </c>
      <c r="RWB4764" s="911"/>
      <c r="RWC4764" s="911"/>
      <c r="RWD4764" s="911"/>
      <c r="RWE4764" s="911"/>
      <c r="RWF4764" s="911"/>
      <c r="RWG4764" s="911"/>
      <c r="RWH4764" s="911"/>
      <c r="RWI4764" s="911"/>
      <c r="RWJ4764" s="911"/>
      <c r="RWK4764" s="32"/>
      <c r="RWL4764" s="911" t="s">
        <v>74</v>
      </c>
      <c r="RWM4764" s="911"/>
      <c r="RWN4764" s="911"/>
      <c r="RWO4764" s="911"/>
      <c r="RWP4764" s="911"/>
      <c r="RWQ4764" s="911"/>
      <c r="RWR4764" s="911"/>
      <c r="RWS4764" s="911"/>
      <c r="RWT4764" s="911"/>
      <c r="RWU4764" s="912"/>
      <c r="RWW4764" s="913" t="s">
        <v>1</v>
      </c>
      <c r="RWX4764" s="31"/>
      <c r="RWY4764" s="909" t="s">
        <v>0</v>
      </c>
      <c r="RWZ4764" s="909"/>
      <c r="RXA4764" s="909"/>
      <c r="RXB4764" s="909"/>
      <c r="RXC4764" s="909"/>
      <c r="RXD4764" s="909"/>
      <c r="RXE4764" s="907" t="s">
        <v>79</v>
      </c>
      <c r="RXF4764" s="909" t="s">
        <v>68</v>
      </c>
      <c r="RXG4764" s="910" t="s">
        <v>75</v>
      </c>
      <c r="RXH4764" s="911"/>
      <c r="RXI4764" s="911"/>
      <c r="RXJ4764" s="911"/>
      <c r="RXK4764" s="911"/>
      <c r="RXL4764" s="911"/>
      <c r="RXM4764" s="911"/>
      <c r="RXN4764" s="911"/>
      <c r="RXO4764" s="911"/>
      <c r="RXP4764" s="911"/>
      <c r="RXQ4764" s="32"/>
      <c r="RXR4764" s="911" t="s">
        <v>74</v>
      </c>
      <c r="RXS4764" s="911"/>
      <c r="RXT4764" s="911"/>
      <c r="RXU4764" s="911"/>
      <c r="RXV4764" s="911"/>
      <c r="RXW4764" s="911"/>
      <c r="RXX4764" s="911"/>
      <c r="RXY4764" s="911"/>
      <c r="RXZ4764" s="911"/>
      <c r="RYA4764" s="912"/>
      <c r="RYC4764" s="913" t="s">
        <v>1</v>
      </c>
      <c r="RYD4764" s="31"/>
      <c r="RYE4764" s="909" t="s">
        <v>0</v>
      </c>
      <c r="RYF4764" s="909"/>
      <c r="RYG4764" s="909"/>
      <c r="RYH4764" s="909"/>
      <c r="RYI4764" s="909"/>
      <c r="RYJ4764" s="909"/>
      <c r="RYK4764" s="907" t="s">
        <v>79</v>
      </c>
      <c r="RYL4764" s="909" t="s">
        <v>68</v>
      </c>
      <c r="RYM4764" s="910" t="s">
        <v>75</v>
      </c>
      <c r="RYN4764" s="911"/>
      <c r="RYO4764" s="911"/>
      <c r="RYP4764" s="911"/>
      <c r="RYQ4764" s="911"/>
      <c r="RYR4764" s="911"/>
      <c r="RYS4764" s="911"/>
      <c r="RYT4764" s="911"/>
      <c r="RYU4764" s="911"/>
      <c r="RYV4764" s="911"/>
      <c r="RYW4764" s="32"/>
      <c r="RYX4764" s="911" t="s">
        <v>74</v>
      </c>
      <c r="RYY4764" s="911"/>
      <c r="RYZ4764" s="911"/>
      <c r="RZA4764" s="911"/>
      <c r="RZB4764" s="911"/>
      <c r="RZC4764" s="911"/>
      <c r="RZD4764" s="911"/>
      <c r="RZE4764" s="911"/>
      <c r="RZF4764" s="911"/>
      <c r="RZG4764" s="912"/>
      <c r="RZI4764" s="913" t="s">
        <v>1</v>
      </c>
      <c r="RZJ4764" s="31"/>
      <c r="RZK4764" s="909" t="s">
        <v>0</v>
      </c>
      <c r="RZL4764" s="909"/>
      <c r="RZM4764" s="909"/>
      <c r="RZN4764" s="909"/>
      <c r="RZO4764" s="909"/>
      <c r="RZP4764" s="909"/>
      <c r="RZQ4764" s="907" t="s">
        <v>79</v>
      </c>
      <c r="RZR4764" s="909" t="s">
        <v>68</v>
      </c>
      <c r="RZS4764" s="910" t="s">
        <v>75</v>
      </c>
      <c r="RZT4764" s="911"/>
      <c r="RZU4764" s="911"/>
      <c r="RZV4764" s="911"/>
      <c r="RZW4764" s="911"/>
      <c r="RZX4764" s="911"/>
      <c r="RZY4764" s="911"/>
      <c r="RZZ4764" s="911"/>
      <c r="SAA4764" s="911"/>
      <c r="SAB4764" s="911"/>
      <c r="SAC4764" s="32"/>
      <c r="SAD4764" s="911" t="s">
        <v>74</v>
      </c>
      <c r="SAE4764" s="911"/>
      <c r="SAF4764" s="911"/>
      <c r="SAG4764" s="911"/>
      <c r="SAH4764" s="911"/>
      <c r="SAI4764" s="911"/>
      <c r="SAJ4764" s="911"/>
      <c r="SAK4764" s="911"/>
      <c r="SAL4764" s="911"/>
      <c r="SAM4764" s="912"/>
      <c r="SAO4764" s="913" t="s">
        <v>1</v>
      </c>
      <c r="SAP4764" s="31"/>
      <c r="SAQ4764" s="909" t="s">
        <v>0</v>
      </c>
      <c r="SAR4764" s="909"/>
      <c r="SAS4764" s="909"/>
      <c r="SAT4764" s="909"/>
      <c r="SAU4764" s="909"/>
      <c r="SAV4764" s="909"/>
      <c r="SAW4764" s="907" t="s">
        <v>79</v>
      </c>
      <c r="SAX4764" s="909" t="s">
        <v>68</v>
      </c>
      <c r="SAY4764" s="910" t="s">
        <v>75</v>
      </c>
      <c r="SAZ4764" s="911"/>
      <c r="SBA4764" s="911"/>
      <c r="SBB4764" s="911"/>
      <c r="SBC4764" s="911"/>
      <c r="SBD4764" s="911"/>
      <c r="SBE4764" s="911"/>
      <c r="SBF4764" s="911"/>
      <c r="SBG4764" s="911"/>
      <c r="SBH4764" s="911"/>
      <c r="SBI4764" s="32"/>
      <c r="SBJ4764" s="911" t="s">
        <v>74</v>
      </c>
      <c r="SBK4764" s="911"/>
      <c r="SBL4764" s="911"/>
      <c r="SBM4764" s="911"/>
      <c r="SBN4764" s="911"/>
      <c r="SBO4764" s="911"/>
      <c r="SBP4764" s="911"/>
      <c r="SBQ4764" s="911"/>
      <c r="SBR4764" s="911"/>
      <c r="SBS4764" s="912"/>
      <c r="SBU4764" s="913" t="s">
        <v>1</v>
      </c>
      <c r="SBV4764" s="31"/>
      <c r="SBW4764" s="909" t="s">
        <v>0</v>
      </c>
      <c r="SBX4764" s="909"/>
      <c r="SBY4764" s="909"/>
      <c r="SBZ4764" s="909"/>
      <c r="SCA4764" s="909"/>
      <c r="SCB4764" s="909"/>
      <c r="SCC4764" s="907" t="s">
        <v>79</v>
      </c>
      <c r="SCD4764" s="909" t="s">
        <v>68</v>
      </c>
      <c r="SCE4764" s="910" t="s">
        <v>75</v>
      </c>
      <c r="SCF4764" s="911"/>
      <c r="SCG4764" s="911"/>
      <c r="SCH4764" s="911"/>
      <c r="SCI4764" s="911"/>
      <c r="SCJ4764" s="911"/>
      <c r="SCK4764" s="911"/>
      <c r="SCL4764" s="911"/>
      <c r="SCM4764" s="911"/>
      <c r="SCN4764" s="911"/>
      <c r="SCO4764" s="32"/>
      <c r="SCP4764" s="911" t="s">
        <v>74</v>
      </c>
      <c r="SCQ4764" s="911"/>
      <c r="SCR4764" s="911"/>
      <c r="SCS4764" s="911"/>
      <c r="SCT4764" s="911"/>
      <c r="SCU4764" s="911"/>
      <c r="SCV4764" s="911"/>
      <c r="SCW4764" s="911"/>
      <c r="SCX4764" s="911"/>
      <c r="SCY4764" s="912"/>
      <c r="SDA4764" s="913" t="s">
        <v>1</v>
      </c>
      <c r="SDB4764" s="31"/>
      <c r="SDC4764" s="909" t="s">
        <v>0</v>
      </c>
      <c r="SDD4764" s="909"/>
      <c r="SDE4764" s="909"/>
      <c r="SDF4764" s="909"/>
      <c r="SDG4764" s="909"/>
      <c r="SDH4764" s="909"/>
      <c r="SDI4764" s="907" t="s">
        <v>79</v>
      </c>
      <c r="SDJ4764" s="909" t="s">
        <v>68</v>
      </c>
      <c r="SDK4764" s="910" t="s">
        <v>75</v>
      </c>
      <c r="SDL4764" s="911"/>
      <c r="SDM4764" s="911"/>
      <c r="SDN4764" s="911"/>
      <c r="SDO4764" s="911"/>
      <c r="SDP4764" s="911"/>
      <c r="SDQ4764" s="911"/>
      <c r="SDR4764" s="911"/>
      <c r="SDS4764" s="911"/>
      <c r="SDT4764" s="911"/>
      <c r="SDU4764" s="32"/>
      <c r="SDV4764" s="911" t="s">
        <v>74</v>
      </c>
      <c r="SDW4764" s="911"/>
      <c r="SDX4764" s="911"/>
      <c r="SDY4764" s="911"/>
      <c r="SDZ4764" s="911"/>
      <c r="SEA4764" s="911"/>
      <c r="SEB4764" s="911"/>
      <c r="SEC4764" s="911"/>
      <c r="SED4764" s="911"/>
      <c r="SEE4764" s="912"/>
      <c r="SEG4764" s="913" t="s">
        <v>1</v>
      </c>
      <c r="SEH4764" s="31"/>
      <c r="SEI4764" s="909" t="s">
        <v>0</v>
      </c>
      <c r="SEJ4764" s="909"/>
      <c r="SEK4764" s="909"/>
      <c r="SEL4764" s="909"/>
      <c r="SEM4764" s="909"/>
      <c r="SEN4764" s="909"/>
      <c r="SEO4764" s="907" t="s">
        <v>79</v>
      </c>
      <c r="SEP4764" s="909" t="s">
        <v>68</v>
      </c>
      <c r="SEQ4764" s="910" t="s">
        <v>75</v>
      </c>
      <c r="SER4764" s="911"/>
      <c r="SES4764" s="911"/>
      <c r="SET4764" s="911"/>
      <c r="SEU4764" s="911"/>
      <c r="SEV4764" s="911"/>
      <c r="SEW4764" s="911"/>
      <c r="SEX4764" s="911"/>
      <c r="SEY4764" s="911"/>
      <c r="SEZ4764" s="911"/>
      <c r="SFA4764" s="32"/>
      <c r="SFB4764" s="911" t="s">
        <v>74</v>
      </c>
      <c r="SFC4764" s="911"/>
      <c r="SFD4764" s="911"/>
      <c r="SFE4764" s="911"/>
      <c r="SFF4764" s="911"/>
      <c r="SFG4764" s="911"/>
      <c r="SFH4764" s="911"/>
      <c r="SFI4764" s="911"/>
      <c r="SFJ4764" s="911"/>
      <c r="SFK4764" s="912"/>
      <c r="SFM4764" s="913" t="s">
        <v>1</v>
      </c>
      <c r="SFN4764" s="31"/>
      <c r="SFO4764" s="909" t="s">
        <v>0</v>
      </c>
      <c r="SFP4764" s="909"/>
      <c r="SFQ4764" s="909"/>
      <c r="SFR4764" s="909"/>
      <c r="SFS4764" s="909"/>
      <c r="SFT4764" s="909"/>
      <c r="SFU4764" s="907" t="s">
        <v>79</v>
      </c>
      <c r="SFV4764" s="909" t="s">
        <v>68</v>
      </c>
      <c r="SFW4764" s="910" t="s">
        <v>75</v>
      </c>
      <c r="SFX4764" s="911"/>
      <c r="SFY4764" s="911"/>
      <c r="SFZ4764" s="911"/>
      <c r="SGA4764" s="911"/>
      <c r="SGB4764" s="911"/>
      <c r="SGC4764" s="911"/>
      <c r="SGD4764" s="911"/>
      <c r="SGE4764" s="911"/>
      <c r="SGF4764" s="911"/>
      <c r="SGG4764" s="32"/>
      <c r="SGH4764" s="911" t="s">
        <v>74</v>
      </c>
      <c r="SGI4764" s="911"/>
      <c r="SGJ4764" s="911"/>
      <c r="SGK4764" s="911"/>
      <c r="SGL4764" s="911"/>
      <c r="SGM4764" s="911"/>
      <c r="SGN4764" s="911"/>
      <c r="SGO4764" s="911"/>
      <c r="SGP4764" s="911"/>
      <c r="SGQ4764" s="912"/>
      <c r="SGS4764" s="913" t="s">
        <v>1</v>
      </c>
      <c r="SGT4764" s="31"/>
      <c r="SGU4764" s="909" t="s">
        <v>0</v>
      </c>
      <c r="SGV4764" s="909"/>
      <c r="SGW4764" s="909"/>
      <c r="SGX4764" s="909"/>
      <c r="SGY4764" s="909"/>
      <c r="SGZ4764" s="909"/>
      <c r="SHA4764" s="907" t="s">
        <v>79</v>
      </c>
      <c r="SHB4764" s="909" t="s">
        <v>68</v>
      </c>
      <c r="SHC4764" s="910" t="s">
        <v>75</v>
      </c>
      <c r="SHD4764" s="911"/>
      <c r="SHE4764" s="911"/>
      <c r="SHF4764" s="911"/>
      <c r="SHG4764" s="911"/>
      <c r="SHH4764" s="911"/>
      <c r="SHI4764" s="911"/>
      <c r="SHJ4764" s="911"/>
      <c r="SHK4764" s="911"/>
      <c r="SHL4764" s="911"/>
      <c r="SHM4764" s="32"/>
      <c r="SHN4764" s="911" t="s">
        <v>74</v>
      </c>
      <c r="SHO4764" s="911"/>
      <c r="SHP4764" s="911"/>
      <c r="SHQ4764" s="911"/>
      <c r="SHR4764" s="911"/>
      <c r="SHS4764" s="911"/>
      <c r="SHT4764" s="911"/>
      <c r="SHU4764" s="911"/>
      <c r="SHV4764" s="911"/>
      <c r="SHW4764" s="912"/>
      <c r="SHY4764" s="913" t="s">
        <v>1</v>
      </c>
      <c r="SHZ4764" s="31"/>
      <c r="SIA4764" s="909" t="s">
        <v>0</v>
      </c>
      <c r="SIB4764" s="909"/>
      <c r="SIC4764" s="909"/>
      <c r="SID4764" s="909"/>
      <c r="SIE4764" s="909"/>
      <c r="SIF4764" s="909"/>
      <c r="SIG4764" s="907" t="s">
        <v>79</v>
      </c>
      <c r="SIH4764" s="909" t="s">
        <v>68</v>
      </c>
      <c r="SII4764" s="910" t="s">
        <v>75</v>
      </c>
      <c r="SIJ4764" s="911"/>
      <c r="SIK4764" s="911"/>
      <c r="SIL4764" s="911"/>
      <c r="SIM4764" s="911"/>
      <c r="SIN4764" s="911"/>
      <c r="SIO4764" s="911"/>
      <c r="SIP4764" s="911"/>
      <c r="SIQ4764" s="911"/>
      <c r="SIR4764" s="911"/>
      <c r="SIS4764" s="32"/>
      <c r="SIT4764" s="911" t="s">
        <v>74</v>
      </c>
      <c r="SIU4764" s="911"/>
      <c r="SIV4764" s="911"/>
      <c r="SIW4764" s="911"/>
      <c r="SIX4764" s="911"/>
      <c r="SIY4764" s="911"/>
      <c r="SIZ4764" s="911"/>
      <c r="SJA4764" s="911"/>
      <c r="SJB4764" s="911"/>
      <c r="SJC4764" s="912"/>
      <c r="SJE4764" s="913" t="s">
        <v>1</v>
      </c>
      <c r="SJF4764" s="31"/>
      <c r="SJG4764" s="909" t="s">
        <v>0</v>
      </c>
      <c r="SJH4764" s="909"/>
      <c r="SJI4764" s="909"/>
      <c r="SJJ4764" s="909"/>
      <c r="SJK4764" s="909"/>
      <c r="SJL4764" s="909"/>
      <c r="SJM4764" s="907" t="s">
        <v>79</v>
      </c>
      <c r="SJN4764" s="909" t="s">
        <v>68</v>
      </c>
      <c r="SJO4764" s="910" t="s">
        <v>75</v>
      </c>
      <c r="SJP4764" s="911"/>
      <c r="SJQ4764" s="911"/>
      <c r="SJR4764" s="911"/>
      <c r="SJS4764" s="911"/>
      <c r="SJT4764" s="911"/>
      <c r="SJU4764" s="911"/>
      <c r="SJV4764" s="911"/>
      <c r="SJW4764" s="911"/>
      <c r="SJX4764" s="911"/>
      <c r="SJY4764" s="32"/>
      <c r="SJZ4764" s="911" t="s">
        <v>74</v>
      </c>
      <c r="SKA4764" s="911"/>
      <c r="SKB4764" s="911"/>
      <c r="SKC4764" s="911"/>
      <c r="SKD4764" s="911"/>
      <c r="SKE4764" s="911"/>
      <c r="SKF4764" s="911"/>
      <c r="SKG4764" s="911"/>
      <c r="SKH4764" s="911"/>
      <c r="SKI4764" s="912"/>
      <c r="SKK4764" s="913" t="s">
        <v>1</v>
      </c>
      <c r="SKL4764" s="31"/>
      <c r="SKM4764" s="909" t="s">
        <v>0</v>
      </c>
      <c r="SKN4764" s="909"/>
      <c r="SKO4764" s="909"/>
      <c r="SKP4764" s="909"/>
      <c r="SKQ4764" s="909"/>
      <c r="SKR4764" s="909"/>
      <c r="SKS4764" s="907" t="s">
        <v>79</v>
      </c>
      <c r="SKT4764" s="909" t="s">
        <v>68</v>
      </c>
      <c r="SKU4764" s="910" t="s">
        <v>75</v>
      </c>
      <c r="SKV4764" s="911"/>
      <c r="SKW4764" s="911"/>
      <c r="SKX4764" s="911"/>
      <c r="SKY4764" s="911"/>
      <c r="SKZ4764" s="911"/>
      <c r="SLA4764" s="911"/>
      <c r="SLB4764" s="911"/>
      <c r="SLC4764" s="911"/>
      <c r="SLD4764" s="911"/>
      <c r="SLE4764" s="32"/>
      <c r="SLF4764" s="911" t="s">
        <v>74</v>
      </c>
      <c r="SLG4764" s="911"/>
      <c r="SLH4764" s="911"/>
      <c r="SLI4764" s="911"/>
      <c r="SLJ4764" s="911"/>
      <c r="SLK4764" s="911"/>
      <c r="SLL4764" s="911"/>
      <c r="SLM4764" s="911"/>
      <c r="SLN4764" s="911"/>
      <c r="SLO4764" s="912"/>
      <c r="SLQ4764" s="913" t="s">
        <v>1</v>
      </c>
      <c r="SLR4764" s="31"/>
      <c r="SLS4764" s="909" t="s">
        <v>0</v>
      </c>
      <c r="SLT4764" s="909"/>
      <c r="SLU4764" s="909"/>
      <c r="SLV4764" s="909"/>
      <c r="SLW4764" s="909"/>
      <c r="SLX4764" s="909"/>
      <c r="SLY4764" s="907" t="s">
        <v>79</v>
      </c>
      <c r="SLZ4764" s="909" t="s">
        <v>68</v>
      </c>
      <c r="SMA4764" s="910" t="s">
        <v>75</v>
      </c>
      <c r="SMB4764" s="911"/>
      <c r="SMC4764" s="911"/>
      <c r="SMD4764" s="911"/>
      <c r="SME4764" s="911"/>
      <c r="SMF4764" s="911"/>
      <c r="SMG4764" s="911"/>
      <c r="SMH4764" s="911"/>
      <c r="SMI4764" s="911"/>
      <c r="SMJ4764" s="911"/>
      <c r="SMK4764" s="32"/>
      <c r="SML4764" s="911" t="s">
        <v>74</v>
      </c>
      <c r="SMM4764" s="911"/>
      <c r="SMN4764" s="911"/>
      <c r="SMO4764" s="911"/>
      <c r="SMP4764" s="911"/>
      <c r="SMQ4764" s="911"/>
      <c r="SMR4764" s="911"/>
      <c r="SMS4764" s="911"/>
      <c r="SMT4764" s="911"/>
      <c r="SMU4764" s="912"/>
      <c r="SMW4764" s="913" t="s">
        <v>1</v>
      </c>
      <c r="SMX4764" s="31"/>
      <c r="SMY4764" s="909" t="s">
        <v>0</v>
      </c>
      <c r="SMZ4764" s="909"/>
      <c r="SNA4764" s="909"/>
      <c r="SNB4764" s="909"/>
      <c r="SNC4764" s="909"/>
      <c r="SND4764" s="909"/>
      <c r="SNE4764" s="907" t="s">
        <v>79</v>
      </c>
      <c r="SNF4764" s="909" t="s">
        <v>68</v>
      </c>
      <c r="SNG4764" s="910" t="s">
        <v>75</v>
      </c>
      <c r="SNH4764" s="911"/>
      <c r="SNI4764" s="911"/>
      <c r="SNJ4764" s="911"/>
      <c r="SNK4764" s="911"/>
      <c r="SNL4764" s="911"/>
      <c r="SNM4764" s="911"/>
      <c r="SNN4764" s="911"/>
      <c r="SNO4764" s="911"/>
      <c r="SNP4764" s="911"/>
      <c r="SNQ4764" s="32"/>
      <c r="SNR4764" s="911" t="s">
        <v>74</v>
      </c>
      <c r="SNS4764" s="911"/>
      <c r="SNT4764" s="911"/>
      <c r="SNU4764" s="911"/>
      <c r="SNV4764" s="911"/>
      <c r="SNW4764" s="911"/>
      <c r="SNX4764" s="911"/>
      <c r="SNY4764" s="911"/>
      <c r="SNZ4764" s="911"/>
      <c r="SOA4764" s="912"/>
      <c r="SOC4764" s="913" t="s">
        <v>1</v>
      </c>
      <c r="SOD4764" s="31"/>
      <c r="SOE4764" s="909" t="s">
        <v>0</v>
      </c>
      <c r="SOF4764" s="909"/>
      <c r="SOG4764" s="909"/>
      <c r="SOH4764" s="909"/>
      <c r="SOI4764" s="909"/>
      <c r="SOJ4764" s="909"/>
      <c r="SOK4764" s="907" t="s">
        <v>79</v>
      </c>
      <c r="SOL4764" s="909" t="s">
        <v>68</v>
      </c>
      <c r="SOM4764" s="910" t="s">
        <v>75</v>
      </c>
      <c r="SON4764" s="911"/>
      <c r="SOO4764" s="911"/>
      <c r="SOP4764" s="911"/>
      <c r="SOQ4764" s="911"/>
      <c r="SOR4764" s="911"/>
      <c r="SOS4764" s="911"/>
      <c r="SOT4764" s="911"/>
      <c r="SOU4764" s="911"/>
      <c r="SOV4764" s="911"/>
      <c r="SOW4764" s="32"/>
      <c r="SOX4764" s="911" t="s">
        <v>74</v>
      </c>
      <c r="SOY4764" s="911"/>
      <c r="SOZ4764" s="911"/>
      <c r="SPA4764" s="911"/>
      <c r="SPB4764" s="911"/>
      <c r="SPC4764" s="911"/>
      <c r="SPD4764" s="911"/>
      <c r="SPE4764" s="911"/>
      <c r="SPF4764" s="911"/>
      <c r="SPG4764" s="912"/>
      <c r="SPI4764" s="913" t="s">
        <v>1</v>
      </c>
      <c r="SPJ4764" s="31"/>
      <c r="SPK4764" s="909" t="s">
        <v>0</v>
      </c>
      <c r="SPL4764" s="909"/>
      <c r="SPM4764" s="909"/>
      <c r="SPN4764" s="909"/>
      <c r="SPO4764" s="909"/>
      <c r="SPP4764" s="909"/>
      <c r="SPQ4764" s="907" t="s">
        <v>79</v>
      </c>
      <c r="SPR4764" s="909" t="s">
        <v>68</v>
      </c>
      <c r="SPS4764" s="910" t="s">
        <v>75</v>
      </c>
      <c r="SPT4764" s="911"/>
      <c r="SPU4764" s="911"/>
      <c r="SPV4764" s="911"/>
      <c r="SPW4764" s="911"/>
      <c r="SPX4764" s="911"/>
      <c r="SPY4764" s="911"/>
      <c r="SPZ4764" s="911"/>
      <c r="SQA4764" s="911"/>
      <c r="SQB4764" s="911"/>
      <c r="SQC4764" s="32"/>
      <c r="SQD4764" s="911" t="s">
        <v>74</v>
      </c>
      <c r="SQE4764" s="911"/>
      <c r="SQF4764" s="911"/>
      <c r="SQG4764" s="911"/>
      <c r="SQH4764" s="911"/>
      <c r="SQI4764" s="911"/>
      <c r="SQJ4764" s="911"/>
      <c r="SQK4764" s="911"/>
      <c r="SQL4764" s="911"/>
      <c r="SQM4764" s="912"/>
      <c r="SQO4764" s="913" t="s">
        <v>1</v>
      </c>
      <c r="SQP4764" s="31"/>
      <c r="SQQ4764" s="909" t="s">
        <v>0</v>
      </c>
      <c r="SQR4764" s="909"/>
      <c r="SQS4764" s="909"/>
      <c r="SQT4764" s="909"/>
      <c r="SQU4764" s="909"/>
      <c r="SQV4764" s="909"/>
      <c r="SQW4764" s="907" t="s">
        <v>79</v>
      </c>
      <c r="SQX4764" s="909" t="s">
        <v>68</v>
      </c>
      <c r="SQY4764" s="910" t="s">
        <v>75</v>
      </c>
      <c r="SQZ4764" s="911"/>
      <c r="SRA4764" s="911"/>
      <c r="SRB4764" s="911"/>
      <c r="SRC4764" s="911"/>
      <c r="SRD4764" s="911"/>
      <c r="SRE4764" s="911"/>
      <c r="SRF4764" s="911"/>
      <c r="SRG4764" s="911"/>
      <c r="SRH4764" s="911"/>
      <c r="SRI4764" s="32"/>
      <c r="SRJ4764" s="911" t="s">
        <v>74</v>
      </c>
      <c r="SRK4764" s="911"/>
      <c r="SRL4764" s="911"/>
      <c r="SRM4764" s="911"/>
      <c r="SRN4764" s="911"/>
      <c r="SRO4764" s="911"/>
      <c r="SRP4764" s="911"/>
      <c r="SRQ4764" s="911"/>
      <c r="SRR4764" s="911"/>
      <c r="SRS4764" s="912"/>
      <c r="SRU4764" s="913" t="s">
        <v>1</v>
      </c>
      <c r="SRV4764" s="31"/>
      <c r="SRW4764" s="909" t="s">
        <v>0</v>
      </c>
      <c r="SRX4764" s="909"/>
      <c r="SRY4764" s="909"/>
      <c r="SRZ4764" s="909"/>
      <c r="SSA4764" s="909"/>
      <c r="SSB4764" s="909"/>
      <c r="SSC4764" s="907" t="s">
        <v>79</v>
      </c>
      <c r="SSD4764" s="909" t="s">
        <v>68</v>
      </c>
      <c r="SSE4764" s="910" t="s">
        <v>75</v>
      </c>
      <c r="SSF4764" s="911"/>
      <c r="SSG4764" s="911"/>
      <c r="SSH4764" s="911"/>
      <c r="SSI4764" s="911"/>
      <c r="SSJ4764" s="911"/>
      <c r="SSK4764" s="911"/>
      <c r="SSL4764" s="911"/>
      <c r="SSM4764" s="911"/>
      <c r="SSN4764" s="911"/>
      <c r="SSO4764" s="32"/>
      <c r="SSP4764" s="911" t="s">
        <v>74</v>
      </c>
      <c r="SSQ4764" s="911"/>
      <c r="SSR4764" s="911"/>
      <c r="SSS4764" s="911"/>
      <c r="SST4764" s="911"/>
      <c r="SSU4764" s="911"/>
      <c r="SSV4764" s="911"/>
      <c r="SSW4764" s="911"/>
      <c r="SSX4764" s="911"/>
      <c r="SSY4764" s="912"/>
      <c r="STA4764" s="913" t="s">
        <v>1</v>
      </c>
      <c r="STB4764" s="31"/>
      <c r="STC4764" s="909" t="s">
        <v>0</v>
      </c>
      <c r="STD4764" s="909"/>
      <c r="STE4764" s="909"/>
      <c r="STF4764" s="909"/>
      <c r="STG4764" s="909"/>
      <c r="STH4764" s="909"/>
      <c r="STI4764" s="907" t="s">
        <v>79</v>
      </c>
      <c r="STJ4764" s="909" t="s">
        <v>68</v>
      </c>
      <c r="STK4764" s="910" t="s">
        <v>75</v>
      </c>
      <c r="STL4764" s="911"/>
      <c r="STM4764" s="911"/>
      <c r="STN4764" s="911"/>
      <c r="STO4764" s="911"/>
      <c r="STP4764" s="911"/>
      <c r="STQ4764" s="911"/>
      <c r="STR4764" s="911"/>
      <c r="STS4764" s="911"/>
      <c r="STT4764" s="911"/>
      <c r="STU4764" s="32"/>
      <c r="STV4764" s="911" t="s">
        <v>74</v>
      </c>
      <c r="STW4764" s="911"/>
      <c r="STX4764" s="911"/>
      <c r="STY4764" s="911"/>
      <c r="STZ4764" s="911"/>
      <c r="SUA4764" s="911"/>
      <c r="SUB4764" s="911"/>
      <c r="SUC4764" s="911"/>
      <c r="SUD4764" s="911"/>
      <c r="SUE4764" s="912"/>
      <c r="SUG4764" s="913" t="s">
        <v>1</v>
      </c>
      <c r="SUH4764" s="31"/>
      <c r="SUI4764" s="909" t="s">
        <v>0</v>
      </c>
      <c r="SUJ4764" s="909"/>
      <c r="SUK4764" s="909"/>
      <c r="SUL4764" s="909"/>
      <c r="SUM4764" s="909"/>
      <c r="SUN4764" s="909"/>
      <c r="SUO4764" s="907" t="s">
        <v>79</v>
      </c>
      <c r="SUP4764" s="909" t="s">
        <v>68</v>
      </c>
      <c r="SUQ4764" s="910" t="s">
        <v>75</v>
      </c>
      <c r="SUR4764" s="911"/>
      <c r="SUS4764" s="911"/>
      <c r="SUT4764" s="911"/>
      <c r="SUU4764" s="911"/>
      <c r="SUV4764" s="911"/>
      <c r="SUW4764" s="911"/>
      <c r="SUX4764" s="911"/>
      <c r="SUY4764" s="911"/>
      <c r="SUZ4764" s="911"/>
      <c r="SVA4764" s="32"/>
      <c r="SVB4764" s="911" t="s">
        <v>74</v>
      </c>
      <c r="SVC4764" s="911"/>
      <c r="SVD4764" s="911"/>
      <c r="SVE4764" s="911"/>
      <c r="SVF4764" s="911"/>
      <c r="SVG4764" s="911"/>
      <c r="SVH4764" s="911"/>
      <c r="SVI4764" s="911"/>
      <c r="SVJ4764" s="911"/>
      <c r="SVK4764" s="912"/>
      <c r="SVM4764" s="913" t="s">
        <v>1</v>
      </c>
      <c r="SVN4764" s="31"/>
      <c r="SVO4764" s="909" t="s">
        <v>0</v>
      </c>
      <c r="SVP4764" s="909"/>
      <c r="SVQ4764" s="909"/>
      <c r="SVR4764" s="909"/>
      <c r="SVS4764" s="909"/>
      <c r="SVT4764" s="909"/>
      <c r="SVU4764" s="907" t="s">
        <v>79</v>
      </c>
      <c r="SVV4764" s="909" t="s">
        <v>68</v>
      </c>
      <c r="SVW4764" s="910" t="s">
        <v>75</v>
      </c>
      <c r="SVX4764" s="911"/>
      <c r="SVY4764" s="911"/>
      <c r="SVZ4764" s="911"/>
      <c r="SWA4764" s="911"/>
      <c r="SWB4764" s="911"/>
      <c r="SWC4764" s="911"/>
      <c r="SWD4764" s="911"/>
      <c r="SWE4764" s="911"/>
      <c r="SWF4764" s="911"/>
      <c r="SWG4764" s="32"/>
      <c r="SWH4764" s="911" t="s">
        <v>74</v>
      </c>
      <c r="SWI4764" s="911"/>
      <c r="SWJ4764" s="911"/>
      <c r="SWK4764" s="911"/>
      <c r="SWL4764" s="911"/>
      <c r="SWM4764" s="911"/>
      <c r="SWN4764" s="911"/>
      <c r="SWO4764" s="911"/>
      <c r="SWP4764" s="911"/>
      <c r="SWQ4764" s="912"/>
      <c r="SWS4764" s="913" t="s">
        <v>1</v>
      </c>
      <c r="SWT4764" s="31"/>
      <c r="SWU4764" s="909" t="s">
        <v>0</v>
      </c>
      <c r="SWV4764" s="909"/>
      <c r="SWW4764" s="909"/>
      <c r="SWX4764" s="909"/>
      <c r="SWY4764" s="909"/>
      <c r="SWZ4764" s="909"/>
      <c r="SXA4764" s="907" t="s">
        <v>79</v>
      </c>
      <c r="SXB4764" s="909" t="s">
        <v>68</v>
      </c>
      <c r="SXC4764" s="910" t="s">
        <v>75</v>
      </c>
      <c r="SXD4764" s="911"/>
      <c r="SXE4764" s="911"/>
      <c r="SXF4764" s="911"/>
      <c r="SXG4764" s="911"/>
      <c r="SXH4764" s="911"/>
      <c r="SXI4764" s="911"/>
      <c r="SXJ4764" s="911"/>
      <c r="SXK4764" s="911"/>
      <c r="SXL4764" s="911"/>
      <c r="SXM4764" s="32"/>
      <c r="SXN4764" s="911" t="s">
        <v>74</v>
      </c>
      <c r="SXO4764" s="911"/>
      <c r="SXP4764" s="911"/>
      <c r="SXQ4764" s="911"/>
      <c r="SXR4764" s="911"/>
      <c r="SXS4764" s="911"/>
      <c r="SXT4764" s="911"/>
      <c r="SXU4764" s="911"/>
      <c r="SXV4764" s="911"/>
      <c r="SXW4764" s="912"/>
      <c r="SXY4764" s="913" t="s">
        <v>1</v>
      </c>
      <c r="SXZ4764" s="31"/>
      <c r="SYA4764" s="909" t="s">
        <v>0</v>
      </c>
      <c r="SYB4764" s="909"/>
      <c r="SYC4764" s="909"/>
      <c r="SYD4764" s="909"/>
      <c r="SYE4764" s="909"/>
      <c r="SYF4764" s="909"/>
      <c r="SYG4764" s="907" t="s">
        <v>79</v>
      </c>
      <c r="SYH4764" s="909" t="s">
        <v>68</v>
      </c>
      <c r="SYI4764" s="910" t="s">
        <v>75</v>
      </c>
      <c r="SYJ4764" s="911"/>
      <c r="SYK4764" s="911"/>
      <c r="SYL4764" s="911"/>
      <c r="SYM4764" s="911"/>
      <c r="SYN4764" s="911"/>
      <c r="SYO4764" s="911"/>
      <c r="SYP4764" s="911"/>
      <c r="SYQ4764" s="911"/>
      <c r="SYR4764" s="911"/>
      <c r="SYS4764" s="32"/>
      <c r="SYT4764" s="911" t="s">
        <v>74</v>
      </c>
      <c r="SYU4764" s="911"/>
      <c r="SYV4764" s="911"/>
      <c r="SYW4764" s="911"/>
      <c r="SYX4764" s="911"/>
      <c r="SYY4764" s="911"/>
      <c r="SYZ4764" s="911"/>
      <c r="SZA4764" s="911"/>
      <c r="SZB4764" s="911"/>
      <c r="SZC4764" s="912"/>
      <c r="SZE4764" s="913" t="s">
        <v>1</v>
      </c>
      <c r="SZF4764" s="31"/>
      <c r="SZG4764" s="909" t="s">
        <v>0</v>
      </c>
      <c r="SZH4764" s="909"/>
      <c r="SZI4764" s="909"/>
      <c r="SZJ4764" s="909"/>
      <c r="SZK4764" s="909"/>
      <c r="SZL4764" s="909"/>
      <c r="SZM4764" s="907" t="s">
        <v>79</v>
      </c>
      <c r="SZN4764" s="909" t="s">
        <v>68</v>
      </c>
      <c r="SZO4764" s="910" t="s">
        <v>75</v>
      </c>
      <c r="SZP4764" s="911"/>
      <c r="SZQ4764" s="911"/>
      <c r="SZR4764" s="911"/>
      <c r="SZS4764" s="911"/>
      <c r="SZT4764" s="911"/>
      <c r="SZU4764" s="911"/>
      <c r="SZV4764" s="911"/>
      <c r="SZW4764" s="911"/>
      <c r="SZX4764" s="911"/>
      <c r="SZY4764" s="32"/>
      <c r="SZZ4764" s="911" t="s">
        <v>74</v>
      </c>
      <c r="TAA4764" s="911"/>
      <c r="TAB4764" s="911"/>
      <c r="TAC4764" s="911"/>
      <c r="TAD4764" s="911"/>
      <c r="TAE4764" s="911"/>
      <c r="TAF4764" s="911"/>
      <c r="TAG4764" s="911"/>
      <c r="TAH4764" s="911"/>
      <c r="TAI4764" s="912"/>
      <c r="TAK4764" s="913" t="s">
        <v>1</v>
      </c>
      <c r="TAL4764" s="31"/>
      <c r="TAM4764" s="909" t="s">
        <v>0</v>
      </c>
      <c r="TAN4764" s="909"/>
      <c r="TAO4764" s="909"/>
      <c r="TAP4764" s="909"/>
      <c r="TAQ4764" s="909"/>
      <c r="TAR4764" s="909"/>
      <c r="TAS4764" s="907" t="s">
        <v>79</v>
      </c>
      <c r="TAT4764" s="909" t="s">
        <v>68</v>
      </c>
      <c r="TAU4764" s="910" t="s">
        <v>75</v>
      </c>
      <c r="TAV4764" s="911"/>
      <c r="TAW4764" s="911"/>
      <c r="TAX4764" s="911"/>
      <c r="TAY4764" s="911"/>
      <c r="TAZ4764" s="911"/>
      <c r="TBA4764" s="911"/>
      <c r="TBB4764" s="911"/>
      <c r="TBC4764" s="911"/>
      <c r="TBD4764" s="911"/>
      <c r="TBE4764" s="32"/>
      <c r="TBF4764" s="911" t="s">
        <v>74</v>
      </c>
      <c r="TBG4764" s="911"/>
      <c r="TBH4764" s="911"/>
      <c r="TBI4764" s="911"/>
      <c r="TBJ4764" s="911"/>
      <c r="TBK4764" s="911"/>
      <c r="TBL4764" s="911"/>
      <c r="TBM4764" s="911"/>
      <c r="TBN4764" s="911"/>
      <c r="TBO4764" s="912"/>
      <c r="TBQ4764" s="913" t="s">
        <v>1</v>
      </c>
      <c r="TBR4764" s="31"/>
      <c r="TBS4764" s="909" t="s">
        <v>0</v>
      </c>
      <c r="TBT4764" s="909"/>
      <c r="TBU4764" s="909"/>
      <c r="TBV4764" s="909"/>
      <c r="TBW4764" s="909"/>
      <c r="TBX4764" s="909"/>
      <c r="TBY4764" s="907" t="s">
        <v>79</v>
      </c>
      <c r="TBZ4764" s="909" t="s">
        <v>68</v>
      </c>
      <c r="TCA4764" s="910" t="s">
        <v>75</v>
      </c>
      <c r="TCB4764" s="911"/>
      <c r="TCC4764" s="911"/>
      <c r="TCD4764" s="911"/>
      <c r="TCE4764" s="911"/>
      <c r="TCF4764" s="911"/>
      <c r="TCG4764" s="911"/>
      <c r="TCH4764" s="911"/>
      <c r="TCI4764" s="911"/>
      <c r="TCJ4764" s="911"/>
      <c r="TCK4764" s="32"/>
      <c r="TCL4764" s="911" t="s">
        <v>74</v>
      </c>
      <c r="TCM4764" s="911"/>
      <c r="TCN4764" s="911"/>
      <c r="TCO4764" s="911"/>
      <c r="TCP4764" s="911"/>
      <c r="TCQ4764" s="911"/>
      <c r="TCR4764" s="911"/>
      <c r="TCS4764" s="911"/>
      <c r="TCT4764" s="911"/>
      <c r="TCU4764" s="912"/>
      <c r="TCW4764" s="913" t="s">
        <v>1</v>
      </c>
      <c r="TCX4764" s="31"/>
      <c r="TCY4764" s="909" t="s">
        <v>0</v>
      </c>
      <c r="TCZ4764" s="909"/>
      <c r="TDA4764" s="909"/>
      <c r="TDB4764" s="909"/>
      <c r="TDC4764" s="909"/>
      <c r="TDD4764" s="909"/>
      <c r="TDE4764" s="907" t="s">
        <v>79</v>
      </c>
      <c r="TDF4764" s="909" t="s">
        <v>68</v>
      </c>
      <c r="TDG4764" s="910" t="s">
        <v>75</v>
      </c>
      <c r="TDH4764" s="911"/>
      <c r="TDI4764" s="911"/>
      <c r="TDJ4764" s="911"/>
      <c r="TDK4764" s="911"/>
      <c r="TDL4764" s="911"/>
      <c r="TDM4764" s="911"/>
      <c r="TDN4764" s="911"/>
      <c r="TDO4764" s="911"/>
      <c r="TDP4764" s="911"/>
      <c r="TDQ4764" s="32"/>
      <c r="TDR4764" s="911" t="s">
        <v>74</v>
      </c>
      <c r="TDS4764" s="911"/>
      <c r="TDT4764" s="911"/>
      <c r="TDU4764" s="911"/>
      <c r="TDV4764" s="911"/>
      <c r="TDW4764" s="911"/>
      <c r="TDX4764" s="911"/>
      <c r="TDY4764" s="911"/>
      <c r="TDZ4764" s="911"/>
      <c r="TEA4764" s="912"/>
      <c r="TEC4764" s="913" t="s">
        <v>1</v>
      </c>
      <c r="TED4764" s="31"/>
      <c r="TEE4764" s="909" t="s">
        <v>0</v>
      </c>
      <c r="TEF4764" s="909"/>
      <c r="TEG4764" s="909"/>
      <c r="TEH4764" s="909"/>
      <c r="TEI4764" s="909"/>
      <c r="TEJ4764" s="909"/>
      <c r="TEK4764" s="907" t="s">
        <v>79</v>
      </c>
      <c r="TEL4764" s="909" t="s">
        <v>68</v>
      </c>
      <c r="TEM4764" s="910" t="s">
        <v>75</v>
      </c>
      <c r="TEN4764" s="911"/>
      <c r="TEO4764" s="911"/>
      <c r="TEP4764" s="911"/>
      <c r="TEQ4764" s="911"/>
      <c r="TER4764" s="911"/>
      <c r="TES4764" s="911"/>
      <c r="TET4764" s="911"/>
      <c r="TEU4764" s="911"/>
      <c r="TEV4764" s="911"/>
      <c r="TEW4764" s="32"/>
      <c r="TEX4764" s="911" t="s">
        <v>74</v>
      </c>
      <c r="TEY4764" s="911"/>
      <c r="TEZ4764" s="911"/>
      <c r="TFA4764" s="911"/>
      <c r="TFB4764" s="911"/>
      <c r="TFC4764" s="911"/>
      <c r="TFD4764" s="911"/>
      <c r="TFE4764" s="911"/>
      <c r="TFF4764" s="911"/>
      <c r="TFG4764" s="912"/>
      <c r="TFI4764" s="913" t="s">
        <v>1</v>
      </c>
      <c r="TFJ4764" s="31"/>
      <c r="TFK4764" s="909" t="s">
        <v>0</v>
      </c>
      <c r="TFL4764" s="909"/>
      <c r="TFM4764" s="909"/>
      <c r="TFN4764" s="909"/>
      <c r="TFO4764" s="909"/>
      <c r="TFP4764" s="909"/>
      <c r="TFQ4764" s="907" t="s">
        <v>79</v>
      </c>
      <c r="TFR4764" s="909" t="s">
        <v>68</v>
      </c>
      <c r="TFS4764" s="910" t="s">
        <v>75</v>
      </c>
      <c r="TFT4764" s="911"/>
      <c r="TFU4764" s="911"/>
      <c r="TFV4764" s="911"/>
      <c r="TFW4764" s="911"/>
      <c r="TFX4764" s="911"/>
      <c r="TFY4764" s="911"/>
      <c r="TFZ4764" s="911"/>
      <c r="TGA4764" s="911"/>
      <c r="TGB4764" s="911"/>
      <c r="TGC4764" s="32"/>
      <c r="TGD4764" s="911" t="s">
        <v>74</v>
      </c>
      <c r="TGE4764" s="911"/>
      <c r="TGF4764" s="911"/>
      <c r="TGG4764" s="911"/>
      <c r="TGH4764" s="911"/>
      <c r="TGI4764" s="911"/>
      <c r="TGJ4764" s="911"/>
      <c r="TGK4764" s="911"/>
      <c r="TGL4764" s="911"/>
      <c r="TGM4764" s="912"/>
      <c r="TGO4764" s="913" t="s">
        <v>1</v>
      </c>
      <c r="TGP4764" s="31"/>
      <c r="TGQ4764" s="909" t="s">
        <v>0</v>
      </c>
      <c r="TGR4764" s="909"/>
      <c r="TGS4764" s="909"/>
      <c r="TGT4764" s="909"/>
      <c r="TGU4764" s="909"/>
      <c r="TGV4764" s="909"/>
      <c r="TGW4764" s="907" t="s">
        <v>79</v>
      </c>
      <c r="TGX4764" s="909" t="s">
        <v>68</v>
      </c>
      <c r="TGY4764" s="910" t="s">
        <v>75</v>
      </c>
      <c r="TGZ4764" s="911"/>
      <c r="THA4764" s="911"/>
      <c r="THB4764" s="911"/>
      <c r="THC4764" s="911"/>
      <c r="THD4764" s="911"/>
      <c r="THE4764" s="911"/>
      <c r="THF4764" s="911"/>
      <c r="THG4764" s="911"/>
      <c r="THH4764" s="911"/>
      <c r="THI4764" s="32"/>
      <c r="THJ4764" s="911" t="s">
        <v>74</v>
      </c>
      <c r="THK4764" s="911"/>
      <c r="THL4764" s="911"/>
      <c r="THM4764" s="911"/>
      <c r="THN4764" s="911"/>
      <c r="THO4764" s="911"/>
      <c r="THP4764" s="911"/>
      <c r="THQ4764" s="911"/>
      <c r="THR4764" s="911"/>
      <c r="THS4764" s="912"/>
      <c r="THU4764" s="913" t="s">
        <v>1</v>
      </c>
      <c r="THV4764" s="31"/>
      <c r="THW4764" s="909" t="s">
        <v>0</v>
      </c>
      <c r="THX4764" s="909"/>
      <c r="THY4764" s="909"/>
      <c r="THZ4764" s="909"/>
      <c r="TIA4764" s="909"/>
      <c r="TIB4764" s="909"/>
      <c r="TIC4764" s="907" t="s">
        <v>79</v>
      </c>
      <c r="TID4764" s="909" t="s">
        <v>68</v>
      </c>
      <c r="TIE4764" s="910" t="s">
        <v>75</v>
      </c>
      <c r="TIF4764" s="911"/>
      <c r="TIG4764" s="911"/>
      <c r="TIH4764" s="911"/>
      <c r="TII4764" s="911"/>
      <c r="TIJ4764" s="911"/>
      <c r="TIK4764" s="911"/>
      <c r="TIL4764" s="911"/>
      <c r="TIM4764" s="911"/>
      <c r="TIN4764" s="911"/>
      <c r="TIO4764" s="32"/>
      <c r="TIP4764" s="911" t="s">
        <v>74</v>
      </c>
      <c r="TIQ4764" s="911"/>
      <c r="TIR4764" s="911"/>
      <c r="TIS4764" s="911"/>
      <c r="TIT4764" s="911"/>
      <c r="TIU4764" s="911"/>
      <c r="TIV4764" s="911"/>
      <c r="TIW4764" s="911"/>
      <c r="TIX4764" s="911"/>
      <c r="TIY4764" s="912"/>
      <c r="TJA4764" s="913" t="s">
        <v>1</v>
      </c>
      <c r="TJB4764" s="31"/>
      <c r="TJC4764" s="909" t="s">
        <v>0</v>
      </c>
      <c r="TJD4764" s="909"/>
      <c r="TJE4764" s="909"/>
      <c r="TJF4764" s="909"/>
      <c r="TJG4764" s="909"/>
      <c r="TJH4764" s="909"/>
      <c r="TJI4764" s="907" t="s">
        <v>79</v>
      </c>
      <c r="TJJ4764" s="909" t="s">
        <v>68</v>
      </c>
      <c r="TJK4764" s="910" t="s">
        <v>75</v>
      </c>
      <c r="TJL4764" s="911"/>
      <c r="TJM4764" s="911"/>
      <c r="TJN4764" s="911"/>
      <c r="TJO4764" s="911"/>
      <c r="TJP4764" s="911"/>
      <c r="TJQ4764" s="911"/>
      <c r="TJR4764" s="911"/>
      <c r="TJS4764" s="911"/>
      <c r="TJT4764" s="911"/>
      <c r="TJU4764" s="32"/>
      <c r="TJV4764" s="911" t="s">
        <v>74</v>
      </c>
      <c r="TJW4764" s="911"/>
      <c r="TJX4764" s="911"/>
      <c r="TJY4764" s="911"/>
      <c r="TJZ4764" s="911"/>
      <c r="TKA4764" s="911"/>
      <c r="TKB4764" s="911"/>
      <c r="TKC4764" s="911"/>
      <c r="TKD4764" s="911"/>
      <c r="TKE4764" s="912"/>
      <c r="TKG4764" s="913" t="s">
        <v>1</v>
      </c>
      <c r="TKH4764" s="31"/>
      <c r="TKI4764" s="909" t="s">
        <v>0</v>
      </c>
      <c r="TKJ4764" s="909"/>
      <c r="TKK4764" s="909"/>
      <c r="TKL4764" s="909"/>
      <c r="TKM4764" s="909"/>
      <c r="TKN4764" s="909"/>
      <c r="TKO4764" s="907" t="s">
        <v>79</v>
      </c>
      <c r="TKP4764" s="909" t="s">
        <v>68</v>
      </c>
      <c r="TKQ4764" s="910" t="s">
        <v>75</v>
      </c>
      <c r="TKR4764" s="911"/>
      <c r="TKS4764" s="911"/>
      <c r="TKT4764" s="911"/>
      <c r="TKU4764" s="911"/>
      <c r="TKV4764" s="911"/>
      <c r="TKW4764" s="911"/>
      <c r="TKX4764" s="911"/>
      <c r="TKY4764" s="911"/>
      <c r="TKZ4764" s="911"/>
      <c r="TLA4764" s="32"/>
      <c r="TLB4764" s="911" t="s">
        <v>74</v>
      </c>
      <c r="TLC4764" s="911"/>
      <c r="TLD4764" s="911"/>
      <c r="TLE4764" s="911"/>
      <c r="TLF4764" s="911"/>
      <c r="TLG4764" s="911"/>
      <c r="TLH4764" s="911"/>
      <c r="TLI4764" s="911"/>
      <c r="TLJ4764" s="911"/>
      <c r="TLK4764" s="912"/>
      <c r="TLM4764" s="913" t="s">
        <v>1</v>
      </c>
      <c r="TLN4764" s="31"/>
      <c r="TLO4764" s="909" t="s">
        <v>0</v>
      </c>
      <c r="TLP4764" s="909"/>
      <c r="TLQ4764" s="909"/>
      <c r="TLR4764" s="909"/>
      <c r="TLS4764" s="909"/>
      <c r="TLT4764" s="909"/>
      <c r="TLU4764" s="907" t="s">
        <v>79</v>
      </c>
      <c r="TLV4764" s="909" t="s">
        <v>68</v>
      </c>
      <c r="TLW4764" s="910" t="s">
        <v>75</v>
      </c>
      <c r="TLX4764" s="911"/>
      <c r="TLY4764" s="911"/>
      <c r="TLZ4764" s="911"/>
      <c r="TMA4764" s="911"/>
      <c r="TMB4764" s="911"/>
      <c r="TMC4764" s="911"/>
      <c r="TMD4764" s="911"/>
      <c r="TME4764" s="911"/>
      <c r="TMF4764" s="911"/>
      <c r="TMG4764" s="32"/>
      <c r="TMH4764" s="911" t="s">
        <v>74</v>
      </c>
      <c r="TMI4764" s="911"/>
      <c r="TMJ4764" s="911"/>
      <c r="TMK4764" s="911"/>
      <c r="TML4764" s="911"/>
      <c r="TMM4764" s="911"/>
      <c r="TMN4764" s="911"/>
      <c r="TMO4764" s="911"/>
      <c r="TMP4764" s="911"/>
      <c r="TMQ4764" s="912"/>
      <c r="TMS4764" s="913" t="s">
        <v>1</v>
      </c>
      <c r="TMT4764" s="31"/>
      <c r="TMU4764" s="909" t="s">
        <v>0</v>
      </c>
      <c r="TMV4764" s="909"/>
      <c r="TMW4764" s="909"/>
      <c r="TMX4764" s="909"/>
      <c r="TMY4764" s="909"/>
      <c r="TMZ4764" s="909"/>
      <c r="TNA4764" s="907" t="s">
        <v>79</v>
      </c>
      <c r="TNB4764" s="909" t="s">
        <v>68</v>
      </c>
      <c r="TNC4764" s="910" t="s">
        <v>75</v>
      </c>
      <c r="TND4764" s="911"/>
      <c r="TNE4764" s="911"/>
      <c r="TNF4764" s="911"/>
      <c r="TNG4764" s="911"/>
      <c r="TNH4764" s="911"/>
      <c r="TNI4764" s="911"/>
      <c r="TNJ4764" s="911"/>
      <c r="TNK4764" s="911"/>
      <c r="TNL4764" s="911"/>
      <c r="TNM4764" s="32"/>
      <c r="TNN4764" s="911" t="s">
        <v>74</v>
      </c>
      <c r="TNO4764" s="911"/>
      <c r="TNP4764" s="911"/>
      <c r="TNQ4764" s="911"/>
      <c r="TNR4764" s="911"/>
      <c r="TNS4764" s="911"/>
      <c r="TNT4764" s="911"/>
      <c r="TNU4764" s="911"/>
      <c r="TNV4764" s="911"/>
      <c r="TNW4764" s="912"/>
      <c r="TNY4764" s="913" t="s">
        <v>1</v>
      </c>
      <c r="TNZ4764" s="31"/>
      <c r="TOA4764" s="909" t="s">
        <v>0</v>
      </c>
      <c r="TOB4764" s="909"/>
      <c r="TOC4764" s="909"/>
      <c r="TOD4764" s="909"/>
      <c r="TOE4764" s="909"/>
      <c r="TOF4764" s="909"/>
      <c r="TOG4764" s="907" t="s">
        <v>79</v>
      </c>
      <c r="TOH4764" s="909" t="s">
        <v>68</v>
      </c>
      <c r="TOI4764" s="910" t="s">
        <v>75</v>
      </c>
      <c r="TOJ4764" s="911"/>
      <c r="TOK4764" s="911"/>
      <c r="TOL4764" s="911"/>
      <c r="TOM4764" s="911"/>
      <c r="TON4764" s="911"/>
      <c r="TOO4764" s="911"/>
      <c r="TOP4764" s="911"/>
      <c r="TOQ4764" s="911"/>
      <c r="TOR4764" s="911"/>
      <c r="TOS4764" s="32"/>
      <c r="TOT4764" s="911" t="s">
        <v>74</v>
      </c>
      <c r="TOU4764" s="911"/>
      <c r="TOV4764" s="911"/>
      <c r="TOW4764" s="911"/>
      <c r="TOX4764" s="911"/>
      <c r="TOY4764" s="911"/>
      <c r="TOZ4764" s="911"/>
      <c r="TPA4764" s="911"/>
      <c r="TPB4764" s="911"/>
      <c r="TPC4764" s="912"/>
      <c r="TPE4764" s="913" t="s">
        <v>1</v>
      </c>
      <c r="TPF4764" s="31"/>
      <c r="TPG4764" s="909" t="s">
        <v>0</v>
      </c>
      <c r="TPH4764" s="909"/>
      <c r="TPI4764" s="909"/>
      <c r="TPJ4764" s="909"/>
      <c r="TPK4764" s="909"/>
      <c r="TPL4764" s="909"/>
      <c r="TPM4764" s="907" t="s">
        <v>79</v>
      </c>
      <c r="TPN4764" s="909" t="s">
        <v>68</v>
      </c>
      <c r="TPO4764" s="910" t="s">
        <v>75</v>
      </c>
      <c r="TPP4764" s="911"/>
      <c r="TPQ4764" s="911"/>
      <c r="TPR4764" s="911"/>
      <c r="TPS4764" s="911"/>
      <c r="TPT4764" s="911"/>
      <c r="TPU4764" s="911"/>
      <c r="TPV4764" s="911"/>
      <c r="TPW4764" s="911"/>
      <c r="TPX4764" s="911"/>
      <c r="TPY4764" s="32"/>
      <c r="TPZ4764" s="911" t="s">
        <v>74</v>
      </c>
      <c r="TQA4764" s="911"/>
      <c r="TQB4764" s="911"/>
      <c r="TQC4764" s="911"/>
      <c r="TQD4764" s="911"/>
      <c r="TQE4764" s="911"/>
      <c r="TQF4764" s="911"/>
      <c r="TQG4764" s="911"/>
      <c r="TQH4764" s="911"/>
      <c r="TQI4764" s="912"/>
      <c r="TQK4764" s="913" t="s">
        <v>1</v>
      </c>
      <c r="TQL4764" s="31"/>
      <c r="TQM4764" s="909" t="s">
        <v>0</v>
      </c>
      <c r="TQN4764" s="909"/>
      <c r="TQO4764" s="909"/>
      <c r="TQP4764" s="909"/>
      <c r="TQQ4764" s="909"/>
      <c r="TQR4764" s="909"/>
      <c r="TQS4764" s="907" t="s">
        <v>79</v>
      </c>
      <c r="TQT4764" s="909" t="s">
        <v>68</v>
      </c>
      <c r="TQU4764" s="910" t="s">
        <v>75</v>
      </c>
      <c r="TQV4764" s="911"/>
      <c r="TQW4764" s="911"/>
      <c r="TQX4764" s="911"/>
      <c r="TQY4764" s="911"/>
      <c r="TQZ4764" s="911"/>
      <c r="TRA4764" s="911"/>
      <c r="TRB4764" s="911"/>
      <c r="TRC4764" s="911"/>
      <c r="TRD4764" s="911"/>
      <c r="TRE4764" s="32"/>
      <c r="TRF4764" s="911" t="s">
        <v>74</v>
      </c>
      <c r="TRG4764" s="911"/>
      <c r="TRH4764" s="911"/>
      <c r="TRI4764" s="911"/>
      <c r="TRJ4764" s="911"/>
      <c r="TRK4764" s="911"/>
      <c r="TRL4764" s="911"/>
      <c r="TRM4764" s="911"/>
      <c r="TRN4764" s="911"/>
      <c r="TRO4764" s="912"/>
      <c r="TRQ4764" s="913" t="s">
        <v>1</v>
      </c>
      <c r="TRR4764" s="31"/>
      <c r="TRS4764" s="909" t="s">
        <v>0</v>
      </c>
      <c r="TRT4764" s="909"/>
      <c r="TRU4764" s="909"/>
      <c r="TRV4764" s="909"/>
      <c r="TRW4764" s="909"/>
      <c r="TRX4764" s="909"/>
      <c r="TRY4764" s="907" t="s">
        <v>79</v>
      </c>
      <c r="TRZ4764" s="909" t="s">
        <v>68</v>
      </c>
      <c r="TSA4764" s="910" t="s">
        <v>75</v>
      </c>
      <c r="TSB4764" s="911"/>
      <c r="TSC4764" s="911"/>
      <c r="TSD4764" s="911"/>
      <c r="TSE4764" s="911"/>
      <c r="TSF4764" s="911"/>
      <c r="TSG4764" s="911"/>
      <c r="TSH4764" s="911"/>
      <c r="TSI4764" s="911"/>
      <c r="TSJ4764" s="911"/>
      <c r="TSK4764" s="32"/>
      <c r="TSL4764" s="911" t="s">
        <v>74</v>
      </c>
      <c r="TSM4764" s="911"/>
      <c r="TSN4764" s="911"/>
      <c r="TSO4764" s="911"/>
      <c r="TSP4764" s="911"/>
      <c r="TSQ4764" s="911"/>
      <c r="TSR4764" s="911"/>
      <c r="TSS4764" s="911"/>
      <c r="TST4764" s="911"/>
      <c r="TSU4764" s="912"/>
      <c r="TSW4764" s="913" t="s">
        <v>1</v>
      </c>
      <c r="TSX4764" s="31"/>
      <c r="TSY4764" s="909" t="s">
        <v>0</v>
      </c>
      <c r="TSZ4764" s="909"/>
      <c r="TTA4764" s="909"/>
      <c r="TTB4764" s="909"/>
      <c r="TTC4764" s="909"/>
      <c r="TTD4764" s="909"/>
      <c r="TTE4764" s="907" t="s">
        <v>79</v>
      </c>
      <c r="TTF4764" s="909" t="s">
        <v>68</v>
      </c>
      <c r="TTG4764" s="910" t="s">
        <v>75</v>
      </c>
      <c r="TTH4764" s="911"/>
      <c r="TTI4764" s="911"/>
      <c r="TTJ4764" s="911"/>
      <c r="TTK4764" s="911"/>
      <c r="TTL4764" s="911"/>
      <c r="TTM4764" s="911"/>
      <c r="TTN4764" s="911"/>
      <c r="TTO4764" s="911"/>
      <c r="TTP4764" s="911"/>
      <c r="TTQ4764" s="32"/>
      <c r="TTR4764" s="911" t="s">
        <v>74</v>
      </c>
      <c r="TTS4764" s="911"/>
      <c r="TTT4764" s="911"/>
      <c r="TTU4764" s="911"/>
      <c r="TTV4764" s="911"/>
      <c r="TTW4764" s="911"/>
      <c r="TTX4764" s="911"/>
      <c r="TTY4764" s="911"/>
      <c r="TTZ4764" s="911"/>
      <c r="TUA4764" s="912"/>
      <c r="TUC4764" s="913" t="s">
        <v>1</v>
      </c>
      <c r="TUD4764" s="31"/>
      <c r="TUE4764" s="909" t="s">
        <v>0</v>
      </c>
      <c r="TUF4764" s="909"/>
      <c r="TUG4764" s="909"/>
      <c r="TUH4764" s="909"/>
      <c r="TUI4764" s="909"/>
      <c r="TUJ4764" s="909"/>
      <c r="TUK4764" s="907" t="s">
        <v>79</v>
      </c>
      <c r="TUL4764" s="909" t="s">
        <v>68</v>
      </c>
      <c r="TUM4764" s="910" t="s">
        <v>75</v>
      </c>
      <c r="TUN4764" s="911"/>
      <c r="TUO4764" s="911"/>
      <c r="TUP4764" s="911"/>
      <c r="TUQ4764" s="911"/>
      <c r="TUR4764" s="911"/>
      <c r="TUS4764" s="911"/>
      <c r="TUT4764" s="911"/>
      <c r="TUU4764" s="911"/>
      <c r="TUV4764" s="911"/>
      <c r="TUW4764" s="32"/>
      <c r="TUX4764" s="911" t="s">
        <v>74</v>
      </c>
      <c r="TUY4764" s="911"/>
      <c r="TUZ4764" s="911"/>
      <c r="TVA4764" s="911"/>
      <c r="TVB4764" s="911"/>
      <c r="TVC4764" s="911"/>
      <c r="TVD4764" s="911"/>
      <c r="TVE4764" s="911"/>
      <c r="TVF4764" s="911"/>
      <c r="TVG4764" s="912"/>
      <c r="TVI4764" s="913" t="s">
        <v>1</v>
      </c>
      <c r="TVJ4764" s="31"/>
      <c r="TVK4764" s="909" t="s">
        <v>0</v>
      </c>
      <c r="TVL4764" s="909"/>
      <c r="TVM4764" s="909"/>
      <c r="TVN4764" s="909"/>
      <c r="TVO4764" s="909"/>
      <c r="TVP4764" s="909"/>
      <c r="TVQ4764" s="907" t="s">
        <v>79</v>
      </c>
      <c r="TVR4764" s="909" t="s">
        <v>68</v>
      </c>
      <c r="TVS4764" s="910" t="s">
        <v>75</v>
      </c>
      <c r="TVT4764" s="911"/>
      <c r="TVU4764" s="911"/>
      <c r="TVV4764" s="911"/>
      <c r="TVW4764" s="911"/>
      <c r="TVX4764" s="911"/>
      <c r="TVY4764" s="911"/>
      <c r="TVZ4764" s="911"/>
      <c r="TWA4764" s="911"/>
      <c r="TWB4764" s="911"/>
      <c r="TWC4764" s="32"/>
      <c r="TWD4764" s="911" t="s">
        <v>74</v>
      </c>
      <c r="TWE4764" s="911"/>
      <c r="TWF4764" s="911"/>
      <c r="TWG4764" s="911"/>
      <c r="TWH4764" s="911"/>
      <c r="TWI4764" s="911"/>
      <c r="TWJ4764" s="911"/>
      <c r="TWK4764" s="911"/>
      <c r="TWL4764" s="911"/>
      <c r="TWM4764" s="912"/>
      <c r="TWO4764" s="913" t="s">
        <v>1</v>
      </c>
      <c r="TWP4764" s="31"/>
      <c r="TWQ4764" s="909" t="s">
        <v>0</v>
      </c>
      <c r="TWR4764" s="909"/>
      <c r="TWS4764" s="909"/>
      <c r="TWT4764" s="909"/>
      <c r="TWU4764" s="909"/>
      <c r="TWV4764" s="909"/>
      <c r="TWW4764" s="907" t="s">
        <v>79</v>
      </c>
      <c r="TWX4764" s="909" t="s">
        <v>68</v>
      </c>
      <c r="TWY4764" s="910" t="s">
        <v>75</v>
      </c>
      <c r="TWZ4764" s="911"/>
      <c r="TXA4764" s="911"/>
      <c r="TXB4764" s="911"/>
      <c r="TXC4764" s="911"/>
      <c r="TXD4764" s="911"/>
      <c r="TXE4764" s="911"/>
      <c r="TXF4764" s="911"/>
      <c r="TXG4764" s="911"/>
      <c r="TXH4764" s="911"/>
      <c r="TXI4764" s="32"/>
      <c r="TXJ4764" s="911" t="s">
        <v>74</v>
      </c>
      <c r="TXK4764" s="911"/>
      <c r="TXL4764" s="911"/>
      <c r="TXM4764" s="911"/>
      <c r="TXN4764" s="911"/>
      <c r="TXO4764" s="911"/>
      <c r="TXP4764" s="911"/>
      <c r="TXQ4764" s="911"/>
      <c r="TXR4764" s="911"/>
      <c r="TXS4764" s="912"/>
      <c r="TXU4764" s="913" t="s">
        <v>1</v>
      </c>
      <c r="TXV4764" s="31"/>
      <c r="TXW4764" s="909" t="s">
        <v>0</v>
      </c>
      <c r="TXX4764" s="909"/>
      <c r="TXY4764" s="909"/>
      <c r="TXZ4764" s="909"/>
      <c r="TYA4764" s="909"/>
      <c r="TYB4764" s="909"/>
      <c r="TYC4764" s="907" t="s">
        <v>79</v>
      </c>
      <c r="TYD4764" s="909" t="s">
        <v>68</v>
      </c>
      <c r="TYE4764" s="910" t="s">
        <v>75</v>
      </c>
      <c r="TYF4764" s="911"/>
      <c r="TYG4764" s="911"/>
      <c r="TYH4764" s="911"/>
      <c r="TYI4764" s="911"/>
      <c r="TYJ4764" s="911"/>
      <c r="TYK4764" s="911"/>
      <c r="TYL4764" s="911"/>
      <c r="TYM4764" s="911"/>
      <c r="TYN4764" s="911"/>
      <c r="TYO4764" s="32"/>
      <c r="TYP4764" s="911" t="s">
        <v>74</v>
      </c>
      <c r="TYQ4764" s="911"/>
      <c r="TYR4764" s="911"/>
      <c r="TYS4764" s="911"/>
      <c r="TYT4764" s="911"/>
      <c r="TYU4764" s="911"/>
      <c r="TYV4764" s="911"/>
      <c r="TYW4764" s="911"/>
      <c r="TYX4764" s="911"/>
      <c r="TYY4764" s="912"/>
      <c r="TZA4764" s="913" t="s">
        <v>1</v>
      </c>
      <c r="TZB4764" s="31"/>
      <c r="TZC4764" s="909" t="s">
        <v>0</v>
      </c>
      <c r="TZD4764" s="909"/>
      <c r="TZE4764" s="909"/>
      <c r="TZF4764" s="909"/>
      <c r="TZG4764" s="909"/>
      <c r="TZH4764" s="909"/>
      <c r="TZI4764" s="907" t="s">
        <v>79</v>
      </c>
      <c r="TZJ4764" s="909" t="s">
        <v>68</v>
      </c>
      <c r="TZK4764" s="910" t="s">
        <v>75</v>
      </c>
      <c r="TZL4764" s="911"/>
      <c r="TZM4764" s="911"/>
      <c r="TZN4764" s="911"/>
      <c r="TZO4764" s="911"/>
      <c r="TZP4764" s="911"/>
      <c r="TZQ4764" s="911"/>
      <c r="TZR4764" s="911"/>
      <c r="TZS4764" s="911"/>
      <c r="TZT4764" s="911"/>
      <c r="TZU4764" s="32"/>
      <c r="TZV4764" s="911" t="s">
        <v>74</v>
      </c>
      <c r="TZW4764" s="911"/>
      <c r="TZX4764" s="911"/>
      <c r="TZY4764" s="911"/>
      <c r="TZZ4764" s="911"/>
      <c r="UAA4764" s="911"/>
      <c r="UAB4764" s="911"/>
      <c r="UAC4764" s="911"/>
      <c r="UAD4764" s="911"/>
      <c r="UAE4764" s="912"/>
      <c r="UAG4764" s="913" t="s">
        <v>1</v>
      </c>
      <c r="UAH4764" s="31"/>
      <c r="UAI4764" s="909" t="s">
        <v>0</v>
      </c>
      <c r="UAJ4764" s="909"/>
      <c r="UAK4764" s="909"/>
      <c r="UAL4764" s="909"/>
      <c r="UAM4764" s="909"/>
      <c r="UAN4764" s="909"/>
      <c r="UAO4764" s="907" t="s">
        <v>79</v>
      </c>
      <c r="UAP4764" s="909" t="s">
        <v>68</v>
      </c>
      <c r="UAQ4764" s="910" t="s">
        <v>75</v>
      </c>
      <c r="UAR4764" s="911"/>
      <c r="UAS4764" s="911"/>
      <c r="UAT4764" s="911"/>
      <c r="UAU4764" s="911"/>
      <c r="UAV4764" s="911"/>
      <c r="UAW4764" s="911"/>
      <c r="UAX4764" s="911"/>
      <c r="UAY4764" s="911"/>
      <c r="UAZ4764" s="911"/>
      <c r="UBA4764" s="32"/>
      <c r="UBB4764" s="911" t="s">
        <v>74</v>
      </c>
      <c r="UBC4764" s="911"/>
      <c r="UBD4764" s="911"/>
      <c r="UBE4764" s="911"/>
      <c r="UBF4764" s="911"/>
      <c r="UBG4764" s="911"/>
      <c r="UBH4764" s="911"/>
      <c r="UBI4764" s="911"/>
      <c r="UBJ4764" s="911"/>
      <c r="UBK4764" s="912"/>
      <c r="UBM4764" s="913" t="s">
        <v>1</v>
      </c>
      <c r="UBN4764" s="31"/>
      <c r="UBO4764" s="909" t="s">
        <v>0</v>
      </c>
      <c r="UBP4764" s="909"/>
      <c r="UBQ4764" s="909"/>
      <c r="UBR4764" s="909"/>
      <c r="UBS4764" s="909"/>
      <c r="UBT4764" s="909"/>
      <c r="UBU4764" s="907" t="s">
        <v>79</v>
      </c>
      <c r="UBV4764" s="909" t="s">
        <v>68</v>
      </c>
      <c r="UBW4764" s="910" t="s">
        <v>75</v>
      </c>
      <c r="UBX4764" s="911"/>
      <c r="UBY4764" s="911"/>
      <c r="UBZ4764" s="911"/>
      <c r="UCA4764" s="911"/>
      <c r="UCB4764" s="911"/>
      <c r="UCC4764" s="911"/>
      <c r="UCD4764" s="911"/>
      <c r="UCE4764" s="911"/>
      <c r="UCF4764" s="911"/>
      <c r="UCG4764" s="32"/>
      <c r="UCH4764" s="911" t="s">
        <v>74</v>
      </c>
      <c r="UCI4764" s="911"/>
      <c r="UCJ4764" s="911"/>
      <c r="UCK4764" s="911"/>
      <c r="UCL4764" s="911"/>
      <c r="UCM4764" s="911"/>
      <c r="UCN4764" s="911"/>
      <c r="UCO4764" s="911"/>
      <c r="UCP4764" s="911"/>
      <c r="UCQ4764" s="912"/>
      <c r="UCS4764" s="913" t="s">
        <v>1</v>
      </c>
      <c r="UCT4764" s="31"/>
      <c r="UCU4764" s="909" t="s">
        <v>0</v>
      </c>
      <c r="UCV4764" s="909"/>
      <c r="UCW4764" s="909"/>
      <c r="UCX4764" s="909"/>
      <c r="UCY4764" s="909"/>
      <c r="UCZ4764" s="909"/>
      <c r="UDA4764" s="907" t="s">
        <v>79</v>
      </c>
      <c r="UDB4764" s="909" t="s">
        <v>68</v>
      </c>
      <c r="UDC4764" s="910" t="s">
        <v>75</v>
      </c>
      <c r="UDD4764" s="911"/>
      <c r="UDE4764" s="911"/>
      <c r="UDF4764" s="911"/>
      <c r="UDG4764" s="911"/>
      <c r="UDH4764" s="911"/>
      <c r="UDI4764" s="911"/>
      <c r="UDJ4764" s="911"/>
      <c r="UDK4764" s="911"/>
      <c r="UDL4764" s="911"/>
      <c r="UDM4764" s="32"/>
      <c r="UDN4764" s="911" t="s">
        <v>74</v>
      </c>
      <c r="UDO4764" s="911"/>
      <c r="UDP4764" s="911"/>
      <c r="UDQ4764" s="911"/>
      <c r="UDR4764" s="911"/>
      <c r="UDS4764" s="911"/>
      <c r="UDT4764" s="911"/>
      <c r="UDU4764" s="911"/>
      <c r="UDV4764" s="911"/>
      <c r="UDW4764" s="912"/>
      <c r="UDY4764" s="913" t="s">
        <v>1</v>
      </c>
      <c r="UDZ4764" s="31"/>
      <c r="UEA4764" s="909" t="s">
        <v>0</v>
      </c>
      <c r="UEB4764" s="909"/>
      <c r="UEC4764" s="909"/>
      <c r="UED4764" s="909"/>
      <c r="UEE4764" s="909"/>
      <c r="UEF4764" s="909"/>
      <c r="UEG4764" s="907" t="s">
        <v>79</v>
      </c>
      <c r="UEH4764" s="909" t="s">
        <v>68</v>
      </c>
      <c r="UEI4764" s="910" t="s">
        <v>75</v>
      </c>
      <c r="UEJ4764" s="911"/>
      <c r="UEK4764" s="911"/>
      <c r="UEL4764" s="911"/>
      <c r="UEM4764" s="911"/>
      <c r="UEN4764" s="911"/>
      <c r="UEO4764" s="911"/>
      <c r="UEP4764" s="911"/>
      <c r="UEQ4764" s="911"/>
      <c r="UER4764" s="911"/>
      <c r="UES4764" s="32"/>
      <c r="UET4764" s="911" t="s">
        <v>74</v>
      </c>
      <c r="UEU4764" s="911"/>
      <c r="UEV4764" s="911"/>
      <c r="UEW4764" s="911"/>
      <c r="UEX4764" s="911"/>
      <c r="UEY4764" s="911"/>
      <c r="UEZ4764" s="911"/>
      <c r="UFA4764" s="911"/>
      <c r="UFB4764" s="911"/>
      <c r="UFC4764" s="912"/>
      <c r="UFE4764" s="913" t="s">
        <v>1</v>
      </c>
      <c r="UFF4764" s="31"/>
      <c r="UFG4764" s="909" t="s">
        <v>0</v>
      </c>
      <c r="UFH4764" s="909"/>
      <c r="UFI4764" s="909"/>
      <c r="UFJ4764" s="909"/>
      <c r="UFK4764" s="909"/>
      <c r="UFL4764" s="909"/>
      <c r="UFM4764" s="907" t="s">
        <v>79</v>
      </c>
      <c r="UFN4764" s="909" t="s">
        <v>68</v>
      </c>
      <c r="UFO4764" s="910" t="s">
        <v>75</v>
      </c>
      <c r="UFP4764" s="911"/>
      <c r="UFQ4764" s="911"/>
      <c r="UFR4764" s="911"/>
      <c r="UFS4764" s="911"/>
      <c r="UFT4764" s="911"/>
      <c r="UFU4764" s="911"/>
      <c r="UFV4764" s="911"/>
      <c r="UFW4764" s="911"/>
      <c r="UFX4764" s="911"/>
      <c r="UFY4764" s="32"/>
      <c r="UFZ4764" s="911" t="s">
        <v>74</v>
      </c>
      <c r="UGA4764" s="911"/>
      <c r="UGB4764" s="911"/>
      <c r="UGC4764" s="911"/>
      <c r="UGD4764" s="911"/>
      <c r="UGE4764" s="911"/>
      <c r="UGF4764" s="911"/>
      <c r="UGG4764" s="911"/>
      <c r="UGH4764" s="911"/>
      <c r="UGI4764" s="912"/>
      <c r="UGK4764" s="913" t="s">
        <v>1</v>
      </c>
      <c r="UGL4764" s="31"/>
      <c r="UGM4764" s="909" t="s">
        <v>0</v>
      </c>
      <c r="UGN4764" s="909"/>
      <c r="UGO4764" s="909"/>
      <c r="UGP4764" s="909"/>
      <c r="UGQ4764" s="909"/>
      <c r="UGR4764" s="909"/>
      <c r="UGS4764" s="907" t="s">
        <v>79</v>
      </c>
      <c r="UGT4764" s="909" t="s">
        <v>68</v>
      </c>
      <c r="UGU4764" s="910" t="s">
        <v>75</v>
      </c>
      <c r="UGV4764" s="911"/>
      <c r="UGW4764" s="911"/>
      <c r="UGX4764" s="911"/>
      <c r="UGY4764" s="911"/>
      <c r="UGZ4764" s="911"/>
      <c r="UHA4764" s="911"/>
      <c r="UHB4764" s="911"/>
      <c r="UHC4764" s="911"/>
      <c r="UHD4764" s="911"/>
      <c r="UHE4764" s="32"/>
      <c r="UHF4764" s="911" t="s">
        <v>74</v>
      </c>
      <c r="UHG4764" s="911"/>
      <c r="UHH4764" s="911"/>
      <c r="UHI4764" s="911"/>
      <c r="UHJ4764" s="911"/>
      <c r="UHK4764" s="911"/>
      <c r="UHL4764" s="911"/>
      <c r="UHM4764" s="911"/>
      <c r="UHN4764" s="911"/>
      <c r="UHO4764" s="912"/>
      <c r="UHQ4764" s="913" t="s">
        <v>1</v>
      </c>
      <c r="UHR4764" s="31"/>
      <c r="UHS4764" s="909" t="s">
        <v>0</v>
      </c>
      <c r="UHT4764" s="909"/>
      <c r="UHU4764" s="909"/>
      <c r="UHV4764" s="909"/>
      <c r="UHW4764" s="909"/>
      <c r="UHX4764" s="909"/>
      <c r="UHY4764" s="907" t="s">
        <v>79</v>
      </c>
      <c r="UHZ4764" s="909" t="s">
        <v>68</v>
      </c>
      <c r="UIA4764" s="910" t="s">
        <v>75</v>
      </c>
      <c r="UIB4764" s="911"/>
      <c r="UIC4764" s="911"/>
      <c r="UID4764" s="911"/>
      <c r="UIE4764" s="911"/>
      <c r="UIF4764" s="911"/>
      <c r="UIG4764" s="911"/>
      <c r="UIH4764" s="911"/>
      <c r="UII4764" s="911"/>
      <c r="UIJ4764" s="911"/>
      <c r="UIK4764" s="32"/>
      <c r="UIL4764" s="911" t="s">
        <v>74</v>
      </c>
      <c r="UIM4764" s="911"/>
      <c r="UIN4764" s="911"/>
      <c r="UIO4764" s="911"/>
      <c r="UIP4764" s="911"/>
      <c r="UIQ4764" s="911"/>
      <c r="UIR4764" s="911"/>
      <c r="UIS4764" s="911"/>
      <c r="UIT4764" s="911"/>
      <c r="UIU4764" s="912"/>
      <c r="UIW4764" s="913" t="s">
        <v>1</v>
      </c>
      <c r="UIX4764" s="31"/>
      <c r="UIY4764" s="909" t="s">
        <v>0</v>
      </c>
      <c r="UIZ4764" s="909"/>
      <c r="UJA4764" s="909"/>
      <c r="UJB4764" s="909"/>
      <c r="UJC4764" s="909"/>
      <c r="UJD4764" s="909"/>
      <c r="UJE4764" s="907" t="s">
        <v>79</v>
      </c>
      <c r="UJF4764" s="909" t="s">
        <v>68</v>
      </c>
      <c r="UJG4764" s="910" t="s">
        <v>75</v>
      </c>
      <c r="UJH4764" s="911"/>
      <c r="UJI4764" s="911"/>
      <c r="UJJ4764" s="911"/>
      <c r="UJK4764" s="911"/>
      <c r="UJL4764" s="911"/>
      <c r="UJM4764" s="911"/>
      <c r="UJN4764" s="911"/>
      <c r="UJO4764" s="911"/>
      <c r="UJP4764" s="911"/>
      <c r="UJQ4764" s="32"/>
      <c r="UJR4764" s="911" t="s">
        <v>74</v>
      </c>
      <c r="UJS4764" s="911"/>
      <c r="UJT4764" s="911"/>
      <c r="UJU4764" s="911"/>
      <c r="UJV4764" s="911"/>
      <c r="UJW4764" s="911"/>
      <c r="UJX4764" s="911"/>
      <c r="UJY4764" s="911"/>
      <c r="UJZ4764" s="911"/>
      <c r="UKA4764" s="912"/>
      <c r="UKC4764" s="913" t="s">
        <v>1</v>
      </c>
      <c r="UKD4764" s="31"/>
      <c r="UKE4764" s="909" t="s">
        <v>0</v>
      </c>
      <c r="UKF4764" s="909"/>
      <c r="UKG4764" s="909"/>
      <c r="UKH4764" s="909"/>
      <c r="UKI4764" s="909"/>
      <c r="UKJ4764" s="909"/>
      <c r="UKK4764" s="907" t="s">
        <v>79</v>
      </c>
      <c r="UKL4764" s="909" t="s">
        <v>68</v>
      </c>
      <c r="UKM4764" s="910" t="s">
        <v>75</v>
      </c>
      <c r="UKN4764" s="911"/>
      <c r="UKO4764" s="911"/>
      <c r="UKP4764" s="911"/>
      <c r="UKQ4764" s="911"/>
      <c r="UKR4764" s="911"/>
      <c r="UKS4764" s="911"/>
      <c r="UKT4764" s="911"/>
      <c r="UKU4764" s="911"/>
      <c r="UKV4764" s="911"/>
      <c r="UKW4764" s="32"/>
      <c r="UKX4764" s="911" t="s">
        <v>74</v>
      </c>
      <c r="UKY4764" s="911"/>
      <c r="UKZ4764" s="911"/>
      <c r="ULA4764" s="911"/>
      <c r="ULB4764" s="911"/>
      <c r="ULC4764" s="911"/>
      <c r="ULD4764" s="911"/>
      <c r="ULE4764" s="911"/>
      <c r="ULF4764" s="911"/>
      <c r="ULG4764" s="912"/>
      <c r="ULI4764" s="913" t="s">
        <v>1</v>
      </c>
      <c r="ULJ4764" s="31"/>
      <c r="ULK4764" s="909" t="s">
        <v>0</v>
      </c>
      <c r="ULL4764" s="909"/>
      <c r="ULM4764" s="909"/>
      <c r="ULN4764" s="909"/>
      <c r="ULO4764" s="909"/>
      <c r="ULP4764" s="909"/>
      <c r="ULQ4764" s="907" t="s">
        <v>79</v>
      </c>
      <c r="ULR4764" s="909" t="s">
        <v>68</v>
      </c>
      <c r="ULS4764" s="910" t="s">
        <v>75</v>
      </c>
      <c r="ULT4764" s="911"/>
      <c r="ULU4764" s="911"/>
      <c r="ULV4764" s="911"/>
      <c r="ULW4764" s="911"/>
      <c r="ULX4764" s="911"/>
      <c r="ULY4764" s="911"/>
      <c r="ULZ4764" s="911"/>
      <c r="UMA4764" s="911"/>
      <c r="UMB4764" s="911"/>
      <c r="UMC4764" s="32"/>
      <c r="UMD4764" s="911" t="s">
        <v>74</v>
      </c>
      <c r="UME4764" s="911"/>
      <c r="UMF4764" s="911"/>
      <c r="UMG4764" s="911"/>
      <c r="UMH4764" s="911"/>
      <c r="UMI4764" s="911"/>
      <c r="UMJ4764" s="911"/>
      <c r="UMK4764" s="911"/>
      <c r="UML4764" s="911"/>
      <c r="UMM4764" s="912"/>
      <c r="UMO4764" s="913" t="s">
        <v>1</v>
      </c>
      <c r="UMP4764" s="31"/>
      <c r="UMQ4764" s="909" t="s">
        <v>0</v>
      </c>
      <c r="UMR4764" s="909"/>
      <c r="UMS4764" s="909"/>
      <c r="UMT4764" s="909"/>
      <c r="UMU4764" s="909"/>
      <c r="UMV4764" s="909"/>
      <c r="UMW4764" s="907" t="s">
        <v>79</v>
      </c>
      <c r="UMX4764" s="909" t="s">
        <v>68</v>
      </c>
      <c r="UMY4764" s="910" t="s">
        <v>75</v>
      </c>
      <c r="UMZ4764" s="911"/>
      <c r="UNA4764" s="911"/>
      <c r="UNB4764" s="911"/>
      <c r="UNC4764" s="911"/>
      <c r="UND4764" s="911"/>
      <c r="UNE4764" s="911"/>
      <c r="UNF4764" s="911"/>
      <c r="UNG4764" s="911"/>
      <c r="UNH4764" s="911"/>
      <c r="UNI4764" s="32"/>
      <c r="UNJ4764" s="911" t="s">
        <v>74</v>
      </c>
      <c r="UNK4764" s="911"/>
      <c r="UNL4764" s="911"/>
      <c r="UNM4764" s="911"/>
      <c r="UNN4764" s="911"/>
      <c r="UNO4764" s="911"/>
      <c r="UNP4764" s="911"/>
      <c r="UNQ4764" s="911"/>
      <c r="UNR4764" s="911"/>
      <c r="UNS4764" s="912"/>
      <c r="UNU4764" s="913" t="s">
        <v>1</v>
      </c>
      <c r="UNV4764" s="31"/>
      <c r="UNW4764" s="909" t="s">
        <v>0</v>
      </c>
      <c r="UNX4764" s="909"/>
      <c r="UNY4764" s="909"/>
      <c r="UNZ4764" s="909"/>
      <c r="UOA4764" s="909"/>
      <c r="UOB4764" s="909"/>
      <c r="UOC4764" s="907" t="s">
        <v>79</v>
      </c>
      <c r="UOD4764" s="909" t="s">
        <v>68</v>
      </c>
      <c r="UOE4764" s="910" t="s">
        <v>75</v>
      </c>
      <c r="UOF4764" s="911"/>
      <c r="UOG4764" s="911"/>
      <c r="UOH4764" s="911"/>
      <c r="UOI4764" s="911"/>
      <c r="UOJ4764" s="911"/>
      <c r="UOK4764" s="911"/>
      <c r="UOL4764" s="911"/>
      <c r="UOM4764" s="911"/>
      <c r="UON4764" s="911"/>
      <c r="UOO4764" s="32"/>
      <c r="UOP4764" s="911" t="s">
        <v>74</v>
      </c>
      <c r="UOQ4764" s="911"/>
      <c r="UOR4764" s="911"/>
      <c r="UOS4764" s="911"/>
      <c r="UOT4764" s="911"/>
      <c r="UOU4764" s="911"/>
      <c r="UOV4764" s="911"/>
      <c r="UOW4764" s="911"/>
      <c r="UOX4764" s="911"/>
      <c r="UOY4764" s="912"/>
      <c r="UPA4764" s="913" t="s">
        <v>1</v>
      </c>
      <c r="UPB4764" s="31"/>
      <c r="UPC4764" s="909" t="s">
        <v>0</v>
      </c>
      <c r="UPD4764" s="909"/>
      <c r="UPE4764" s="909"/>
      <c r="UPF4764" s="909"/>
      <c r="UPG4764" s="909"/>
      <c r="UPH4764" s="909"/>
      <c r="UPI4764" s="907" t="s">
        <v>79</v>
      </c>
      <c r="UPJ4764" s="909" t="s">
        <v>68</v>
      </c>
      <c r="UPK4764" s="910" t="s">
        <v>75</v>
      </c>
      <c r="UPL4764" s="911"/>
      <c r="UPM4764" s="911"/>
      <c r="UPN4764" s="911"/>
      <c r="UPO4764" s="911"/>
      <c r="UPP4764" s="911"/>
      <c r="UPQ4764" s="911"/>
      <c r="UPR4764" s="911"/>
      <c r="UPS4764" s="911"/>
      <c r="UPT4764" s="911"/>
      <c r="UPU4764" s="32"/>
      <c r="UPV4764" s="911" t="s">
        <v>74</v>
      </c>
      <c r="UPW4764" s="911"/>
      <c r="UPX4764" s="911"/>
      <c r="UPY4764" s="911"/>
      <c r="UPZ4764" s="911"/>
      <c r="UQA4764" s="911"/>
      <c r="UQB4764" s="911"/>
      <c r="UQC4764" s="911"/>
      <c r="UQD4764" s="911"/>
      <c r="UQE4764" s="912"/>
      <c r="UQG4764" s="913" t="s">
        <v>1</v>
      </c>
      <c r="UQH4764" s="31"/>
      <c r="UQI4764" s="909" t="s">
        <v>0</v>
      </c>
      <c r="UQJ4764" s="909"/>
      <c r="UQK4764" s="909"/>
      <c r="UQL4764" s="909"/>
      <c r="UQM4764" s="909"/>
      <c r="UQN4764" s="909"/>
      <c r="UQO4764" s="907" t="s">
        <v>79</v>
      </c>
      <c r="UQP4764" s="909" t="s">
        <v>68</v>
      </c>
      <c r="UQQ4764" s="910" t="s">
        <v>75</v>
      </c>
      <c r="UQR4764" s="911"/>
      <c r="UQS4764" s="911"/>
      <c r="UQT4764" s="911"/>
      <c r="UQU4764" s="911"/>
      <c r="UQV4764" s="911"/>
      <c r="UQW4764" s="911"/>
      <c r="UQX4764" s="911"/>
      <c r="UQY4764" s="911"/>
      <c r="UQZ4764" s="911"/>
      <c r="URA4764" s="32"/>
      <c r="URB4764" s="911" t="s">
        <v>74</v>
      </c>
      <c r="URC4764" s="911"/>
      <c r="URD4764" s="911"/>
      <c r="URE4764" s="911"/>
      <c r="URF4764" s="911"/>
      <c r="URG4764" s="911"/>
      <c r="URH4764" s="911"/>
      <c r="URI4764" s="911"/>
      <c r="URJ4764" s="911"/>
      <c r="URK4764" s="912"/>
      <c r="URM4764" s="913" t="s">
        <v>1</v>
      </c>
      <c r="URN4764" s="31"/>
      <c r="URO4764" s="909" t="s">
        <v>0</v>
      </c>
      <c r="URP4764" s="909"/>
      <c r="URQ4764" s="909"/>
      <c r="URR4764" s="909"/>
      <c r="URS4764" s="909"/>
      <c r="URT4764" s="909"/>
      <c r="URU4764" s="907" t="s">
        <v>79</v>
      </c>
      <c r="URV4764" s="909" t="s">
        <v>68</v>
      </c>
      <c r="URW4764" s="910" t="s">
        <v>75</v>
      </c>
      <c r="URX4764" s="911"/>
      <c r="URY4764" s="911"/>
      <c r="URZ4764" s="911"/>
      <c r="USA4764" s="911"/>
      <c r="USB4764" s="911"/>
      <c r="USC4764" s="911"/>
      <c r="USD4764" s="911"/>
      <c r="USE4764" s="911"/>
      <c r="USF4764" s="911"/>
      <c r="USG4764" s="32"/>
      <c r="USH4764" s="911" t="s">
        <v>74</v>
      </c>
      <c r="USI4764" s="911"/>
      <c r="USJ4764" s="911"/>
      <c r="USK4764" s="911"/>
      <c r="USL4764" s="911"/>
      <c r="USM4764" s="911"/>
      <c r="USN4764" s="911"/>
      <c r="USO4764" s="911"/>
      <c r="USP4764" s="911"/>
      <c r="USQ4764" s="912"/>
      <c r="USS4764" s="913" t="s">
        <v>1</v>
      </c>
      <c r="UST4764" s="31"/>
      <c r="USU4764" s="909" t="s">
        <v>0</v>
      </c>
      <c r="USV4764" s="909"/>
      <c r="USW4764" s="909"/>
      <c r="USX4764" s="909"/>
      <c r="USY4764" s="909"/>
      <c r="USZ4764" s="909"/>
      <c r="UTA4764" s="907" t="s">
        <v>79</v>
      </c>
      <c r="UTB4764" s="909" t="s">
        <v>68</v>
      </c>
      <c r="UTC4764" s="910" t="s">
        <v>75</v>
      </c>
      <c r="UTD4764" s="911"/>
      <c r="UTE4764" s="911"/>
      <c r="UTF4764" s="911"/>
      <c r="UTG4764" s="911"/>
      <c r="UTH4764" s="911"/>
      <c r="UTI4764" s="911"/>
      <c r="UTJ4764" s="911"/>
      <c r="UTK4764" s="911"/>
      <c r="UTL4764" s="911"/>
      <c r="UTM4764" s="32"/>
      <c r="UTN4764" s="911" t="s">
        <v>74</v>
      </c>
      <c r="UTO4764" s="911"/>
      <c r="UTP4764" s="911"/>
      <c r="UTQ4764" s="911"/>
      <c r="UTR4764" s="911"/>
      <c r="UTS4764" s="911"/>
      <c r="UTT4764" s="911"/>
      <c r="UTU4764" s="911"/>
      <c r="UTV4764" s="911"/>
      <c r="UTW4764" s="912"/>
      <c r="UTY4764" s="913" t="s">
        <v>1</v>
      </c>
      <c r="UTZ4764" s="31"/>
      <c r="UUA4764" s="909" t="s">
        <v>0</v>
      </c>
      <c r="UUB4764" s="909"/>
      <c r="UUC4764" s="909"/>
      <c r="UUD4764" s="909"/>
      <c r="UUE4764" s="909"/>
      <c r="UUF4764" s="909"/>
      <c r="UUG4764" s="907" t="s">
        <v>79</v>
      </c>
      <c r="UUH4764" s="909" t="s">
        <v>68</v>
      </c>
      <c r="UUI4764" s="910" t="s">
        <v>75</v>
      </c>
      <c r="UUJ4764" s="911"/>
      <c r="UUK4764" s="911"/>
      <c r="UUL4764" s="911"/>
      <c r="UUM4764" s="911"/>
      <c r="UUN4764" s="911"/>
      <c r="UUO4764" s="911"/>
      <c r="UUP4764" s="911"/>
      <c r="UUQ4764" s="911"/>
      <c r="UUR4764" s="911"/>
      <c r="UUS4764" s="32"/>
      <c r="UUT4764" s="911" t="s">
        <v>74</v>
      </c>
      <c r="UUU4764" s="911"/>
      <c r="UUV4764" s="911"/>
      <c r="UUW4764" s="911"/>
      <c r="UUX4764" s="911"/>
      <c r="UUY4764" s="911"/>
      <c r="UUZ4764" s="911"/>
      <c r="UVA4764" s="911"/>
      <c r="UVB4764" s="911"/>
      <c r="UVC4764" s="912"/>
      <c r="UVE4764" s="913" t="s">
        <v>1</v>
      </c>
      <c r="UVF4764" s="31"/>
      <c r="UVG4764" s="909" t="s">
        <v>0</v>
      </c>
      <c r="UVH4764" s="909"/>
      <c r="UVI4764" s="909"/>
      <c r="UVJ4764" s="909"/>
      <c r="UVK4764" s="909"/>
      <c r="UVL4764" s="909"/>
      <c r="UVM4764" s="907" t="s">
        <v>79</v>
      </c>
      <c r="UVN4764" s="909" t="s">
        <v>68</v>
      </c>
      <c r="UVO4764" s="910" t="s">
        <v>75</v>
      </c>
      <c r="UVP4764" s="911"/>
      <c r="UVQ4764" s="911"/>
      <c r="UVR4764" s="911"/>
      <c r="UVS4764" s="911"/>
      <c r="UVT4764" s="911"/>
      <c r="UVU4764" s="911"/>
      <c r="UVV4764" s="911"/>
      <c r="UVW4764" s="911"/>
      <c r="UVX4764" s="911"/>
      <c r="UVY4764" s="32"/>
      <c r="UVZ4764" s="911" t="s">
        <v>74</v>
      </c>
      <c r="UWA4764" s="911"/>
      <c r="UWB4764" s="911"/>
      <c r="UWC4764" s="911"/>
      <c r="UWD4764" s="911"/>
      <c r="UWE4764" s="911"/>
      <c r="UWF4764" s="911"/>
      <c r="UWG4764" s="911"/>
      <c r="UWH4764" s="911"/>
      <c r="UWI4764" s="912"/>
      <c r="UWK4764" s="913" t="s">
        <v>1</v>
      </c>
      <c r="UWL4764" s="31"/>
      <c r="UWM4764" s="909" t="s">
        <v>0</v>
      </c>
      <c r="UWN4764" s="909"/>
      <c r="UWO4764" s="909"/>
      <c r="UWP4764" s="909"/>
      <c r="UWQ4764" s="909"/>
      <c r="UWR4764" s="909"/>
      <c r="UWS4764" s="907" t="s">
        <v>79</v>
      </c>
      <c r="UWT4764" s="909" t="s">
        <v>68</v>
      </c>
      <c r="UWU4764" s="910" t="s">
        <v>75</v>
      </c>
      <c r="UWV4764" s="911"/>
      <c r="UWW4764" s="911"/>
      <c r="UWX4764" s="911"/>
      <c r="UWY4764" s="911"/>
      <c r="UWZ4764" s="911"/>
      <c r="UXA4764" s="911"/>
      <c r="UXB4764" s="911"/>
      <c r="UXC4764" s="911"/>
      <c r="UXD4764" s="911"/>
      <c r="UXE4764" s="32"/>
      <c r="UXF4764" s="911" t="s">
        <v>74</v>
      </c>
      <c r="UXG4764" s="911"/>
      <c r="UXH4764" s="911"/>
      <c r="UXI4764" s="911"/>
      <c r="UXJ4764" s="911"/>
      <c r="UXK4764" s="911"/>
      <c r="UXL4764" s="911"/>
      <c r="UXM4764" s="911"/>
      <c r="UXN4764" s="911"/>
      <c r="UXO4764" s="912"/>
      <c r="UXQ4764" s="913" t="s">
        <v>1</v>
      </c>
      <c r="UXR4764" s="31"/>
      <c r="UXS4764" s="909" t="s">
        <v>0</v>
      </c>
      <c r="UXT4764" s="909"/>
      <c r="UXU4764" s="909"/>
      <c r="UXV4764" s="909"/>
      <c r="UXW4764" s="909"/>
      <c r="UXX4764" s="909"/>
      <c r="UXY4764" s="907" t="s">
        <v>79</v>
      </c>
      <c r="UXZ4764" s="909" t="s">
        <v>68</v>
      </c>
      <c r="UYA4764" s="910" t="s">
        <v>75</v>
      </c>
      <c r="UYB4764" s="911"/>
      <c r="UYC4764" s="911"/>
      <c r="UYD4764" s="911"/>
      <c r="UYE4764" s="911"/>
      <c r="UYF4764" s="911"/>
      <c r="UYG4764" s="911"/>
      <c r="UYH4764" s="911"/>
      <c r="UYI4764" s="911"/>
      <c r="UYJ4764" s="911"/>
      <c r="UYK4764" s="32"/>
      <c r="UYL4764" s="911" t="s">
        <v>74</v>
      </c>
      <c r="UYM4764" s="911"/>
      <c r="UYN4764" s="911"/>
      <c r="UYO4764" s="911"/>
      <c r="UYP4764" s="911"/>
      <c r="UYQ4764" s="911"/>
      <c r="UYR4764" s="911"/>
      <c r="UYS4764" s="911"/>
      <c r="UYT4764" s="911"/>
      <c r="UYU4764" s="912"/>
      <c r="UYW4764" s="913" t="s">
        <v>1</v>
      </c>
      <c r="UYX4764" s="31"/>
      <c r="UYY4764" s="909" t="s">
        <v>0</v>
      </c>
      <c r="UYZ4764" s="909"/>
      <c r="UZA4764" s="909"/>
      <c r="UZB4764" s="909"/>
      <c r="UZC4764" s="909"/>
      <c r="UZD4764" s="909"/>
      <c r="UZE4764" s="907" t="s">
        <v>79</v>
      </c>
      <c r="UZF4764" s="909" t="s">
        <v>68</v>
      </c>
      <c r="UZG4764" s="910" t="s">
        <v>75</v>
      </c>
      <c r="UZH4764" s="911"/>
      <c r="UZI4764" s="911"/>
      <c r="UZJ4764" s="911"/>
      <c r="UZK4764" s="911"/>
      <c r="UZL4764" s="911"/>
      <c r="UZM4764" s="911"/>
      <c r="UZN4764" s="911"/>
      <c r="UZO4764" s="911"/>
      <c r="UZP4764" s="911"/>
      <c r="UZQ4764" s="32"/>
      <c r="UZR4764" s="911" t="s">
        <v>74</v>
      </c>
      <c r="UZS4764" s="911"/>
      <c r="UZT4764" s="911"/>
      <c r="UZU4764" s="911"/>
      <c r="UZV4764" s="911"/>
      <c r="UZW4764" s="911"/>
      <c r="UZX4764" s="911"/>
      <c r="UZY4764" s="911"/>
      <c r="UZZ4764" s="911"/>
      <c r="VAA4764" s="912"/>
      <c r="VAC4764" s="913" t="s">
        <v>1</v>
      </c>
      <c r="VAD4764" s="31"/>
      <c r="VAE4764" s="909" t="s">
        <v>0</v>
      </c>
      <c r="VAF4764" s="909"/>
      <c r="VAG4764" s="909"/>
      <c r="VAH4764" s="909"/>
      <c r="VAI4764" s="909"/>
      <c r="VAJ4764" s="909"/>
      <c r="VAK4764" s="907" t="s">
        <v>79</v>
      </c>
      <c r="VAL4764" s="909" t="s">
        <v>68</v>
      </c>
      <c r="VAM4764" s="910" t="s">
        <v>75</v>
      </c>
      <c r="VAN4764" s="911"/>
      <c r="VAO4764" s="911"/>
      <c r="VAP4764" s="911"/>
      <c r="VAQ4764" s="911"/>
      <c r="VAR4764" s="911"/>
      <c r="VAS4764" s="911"/>
      <c r="VAT4764" s="911"/>
      <c r="VAU4764" s="911"/>
      <c r="VAV4764" s="911"/>
      <c r="VAW4764" s="32"/>
      <c r="VAX4764" s="911" t="s">
        <v>74</v>
      </c>
      <c r="VAY4764" s="911"/>
      <c r="VAZ4764" s="911"/>
      <c r="VBA4764" s="911"/>
      <c r="VBB4764" s="911"/>
      <c r="VBC4764" s="911"/>
      <c r="VBD4764" s="911"/>
      <c r="VBE4764" s="911"/>
      <c r="VBF4764" s="911"/>
      <c r="VBG4764" s="912"/>
      <c r="VBI4764" s="913" t="s">
        <v>1</v>
      </c>
      <c r="VBJ4764" s="31"/>
      <c r="VBK4764" s="909" t="s">
        <v>0</v>
      </c>
      <c r="VBL4764" s="909"/>
      <c r="VBM4764" s="909"/>
      <c r="VBN4764" s="909"/>
      <c r="VBO4764" s="909"/>
      <c r="VBP4764" s="909"/>
      <c r="VBQ4764" s="907" t="s">
        <v>79</v>
      </c>
      <c r="VBR4764" s="909" t="s">
        <v>68</v>
      </c>
      <c r="VBS4764" s="910" t="s">
        <v>75</v>
      </c>
      <c r="VBT4764" s="911"/>
      <c r="VBU4764" s="911"/>
      <c r="VBV4764" s="911"/>
      <c r="VBW4764" s="911"/>
      <c r="VBX4764" s="911"/>
      <c r="VBY4764" s="911"/>
      <c r="VBZ4764" s="911"/>
      <c r="VCA4764" s="911"/>
      <c r="VCB4764" s="911"/>
      <c r="VCC4764" s="32"/>
      <c r="VCD4764" s="911" t="s">
        <v>74</v>
      </c>
      <c r="VCE4764" s="911"/>
      <c r="VCF4764" s="911"/>
      <c r="VCG4764" s="911"/>
      <c r="VCH4764" s="911"/>
      <c r="VCI4764" s="911"/>
      <c r="VCJ4764" s="911"/>
      <c r="VCK4764" s="911"/>
      <c r="VCL4764" s="911"/>
      <c r="VCM4764" s="912"/>
      <c r="VCO4764" s="913" t="s">
        <v>1</v>
      </c>
      <c r="VCP4764" s="31"/>
      <c r="VCQ4764" s="909" t="s">
        <v>0</v>
      </c>
      <c r="VCR4764" s="909"/>
      <c r="VCS4764" s="909"/>
      <c r="VCT4764" s="909"/>
      <c r="VCU4764" s="909"/>
      <c r="VCV4764" s="909"/>
      <c r="VCW4764" s="907" t="s">
        <v>79</v>
      </c>
      <c r="VCX4764" s="909" t="s">
        <v>68</v>
      </c>
      <c r="VCY4764" s="910" t="s">
        <v>75</v>
      </c>
      <c r="VCZ4764" s="911"/>
      <c r="VDA4764" s="911"/>
      <c r="VDB4764" s="911"/>
      <c r="VDC4764" s="911"/>
      <c r="VDD4764" s="911"/>
      <c r="VDE4764" s="911"/>
      <c r="VDF4764" s="911"/>
      <c r="VDG4764" s="911"/>
      <c r="VDH4764" s="911"/>
      <c r="VDI4764" s="32"/>
      <c r="VDJ4764" s="911" t="s">
        <v>74</v>
      </c>
      <c r="VDK4764" s="911"/>
      <c r="VDL4764" s="911"/>
      <c r="VDM4764" s="911"/>
      <c r="VDN4764" s="911"/>
      <c r="VDO4764" s="911"/>
      <c r="VDP4764" s="911"/>
      <c r="VDQ4764" s="911"/>
      <c r="VDR4764" s="911"/>
      <c r="VDS4764" s="912"/>
      <c r="VDU4764" s="913" t="s">
        <v>1</v>
      </c>
      <c r="VDV4764" s="31"/>
      <c r="VDW4764" s="909" t="s">
        <v>0</v>
      </c>
      <c r="VDX4764" s="909"/>
      <c r="VDY4764" s="909"/>
      <c r="VDZ4764" s="909"/>
      <c r="VEA4764" s="909"/>
      <c r="VEB4764" s="909"/>
      <c r="VEC4764" s="907" t="s">
        <v>79</v>
      </c>
      <c r="VED4764" s="909" t="s">
        <v>68</v>
      </c>
      <c r="VEE4764" s="910" t="s">
        <v>75</v>
      </c>
      <c r="VEF4764" s="911"/>
      <c r="VEG4764" s="911"/>
      <c r="VEH4764" s="911"/>
      <c r="VEI4764" s="911"/>
      <c r="VEJ4764" s="911"/>
      <c r="VEK4764" s="911"/>
      <c r="VEL4764" s="911"/>
      <c r="VEM4764" s="911"/>
      <c r="VEN4764" s="911"/>
      <c r="VEO4764" s="32"/>
      <c r="VEP4764" s="911" t="s">
        <v>74</v>
      </c>
      <c r="VEQ4764" s="911"/>
      <c r="VER4764" s="911"/>
      <c r="VES4764" s="911"/>
      <c r="VET4764" s="911"/>
      <c r="VEU4764" s="911"/>
      <c r="VEV4764" s="911"/>
      <c r="VEW4764" s="911"/>
      <c r="VEX4764" s="911"/>
      <c r="VEY4764" s="912"/>
      <c r="VFA4764" s="913" t="s">
        <v>1</v>
      </c>
      <c r="VFB4764" s="31"/>
      <c r="VFC4764" s="909" t="s">
        <v>0</v>
      </c>
      <c r="VFD4764" s="909"/>
      <c r="VFE4764" s="909"/>
      <c r="VFF4764" s="909"/>
      <c r="VFG4764" s="909"/>
      <c r="VFH4764" s="909"/>
      <c r="VFI4764" s="907" t="s">
        <v>79</v>
      </c>
      <c r="VFJ4764" s="909" t="s">
        <v>68</v>
      </c>
      <c r="VFK4764" s="910" t="s">
        <v>75</v>
      </c>
      <c r="VFL4764" s="911"/>
      <c r="VFM4764" s="911"/>
      <c r="VFN4764" s="911"/>
      <c r="VFO4764" s="911"/>
      <c r="VFP4764" s="911"/>
      <c r="VFQ4764" s="911"/>
      <c r="VFR4764" s="911"/>
      <c r="VFS4764" s="911"/>
      <c r="VFT4764" s="911"/>
      <c r="VFU4764" s="32"/>
      <c r="VFV4764" s="911" t="s">
        <v>74</v>
      </c>
      <c r="VFW4764" s="911"/>
      <c r="VFX4764" s="911"/>
      <c r="VFY4764" s="911"/>
      <c r="VFZ4764" s="911"/>
      <c r="VGA4764" s="911"/>
      <c r="VGB4764" s="911"/>
      <c r="VGC4764" s="911"/>
      <c r="VGD4764" s="911"/>
      <c r="VGE4764" s="912"/>
      <c r="VGG4764" s="913" t="s">
        <v>1</v>
      </c>
      <c r="VGH4764" s="31"/>
      <c r="VGI4764" s="909" t="s">
        <v>0</v>
      </c>
      <c r="VGJ4764" s="909"/>
      <c r="VGK4764" s="909"/>
      <c r="VGL4764" s="909"/>
      <c r="VGM4764" s="909"/>
      <c r="VGN4764" s="909"/>
      <c r="VGO4764" s="907" t="s">
        <v>79</v>
      </c>
      <c r="VGP4764" s="909" t="s">
        <v>68</v>
      </c>
      <c r="VGQ4764" s="910" t="s">
        <v>75</v>
      </c>
      <c r="VGR4764" s="911"/>
      <c r="VGS4764" s="911"/>
      <c r="VGT4764" s="911"/>
      <c r="VGU4764" s="911"/>
      <c r="VGV4764" s="911"/>
      <c r="VGW4764" s="911"/>
      <c r="VGX4764" s="911"/>
      <c r="VGY4764" s="911"/>
      <c r="VGZ4764" s="911"/>
      <c r="VHA4764" s="32"/>
      <c r="VHB4764" s="911" t="s">
        <v>74</v>
      </c>
      <c r="VHC4764" s="911"/>
      <c r="VHD4764" s="911"/>
      <c r="VHE4764" s="911"/>
      <c r="VHF4764" s="911"/>
      <c r="VHG4764" s="911"/>
      <c r="VHH4764" s="911"/>
      <c r="VHI4764" s="911"/>
      <c r="VHJ4764" s="911"/>
      <c r="VHK4764" s="912"/>
      <c r="VHM4764" s="913" t="s">
        <v>1</v>
      </c>
      <c r="VHN4764" s="31"/>
      <c r="VHO4764" s="909" t="s">
        <v>0</v>
      </c>
      <c r="VHP4764" s="909"/>
      <c r="VHQ4764" s="909"/>
      <c r="VHR4764" s="909"/>
      <c r="VHS4764" s="909"/>
      <c r="VHT4764" s="909"/>
      <c r="VHU4764" s="907" t="s">
        <v>79</v>
      </c>
      <c r="VHV4764" s="909" t="s">
        <v>68</v>
      </c>
      <c r="VHW4764" s="910" t="s">
        <v>75</v>
      </c>
      <c r="VHX4764" s="911"/>
      <c r="VHY4764" s="911"/>
      <c r="VHZ4764" s="911"/>
      <c r="VIA4764" s="911"/>
      <c r="VIB4764" s="911"/>
      <c r="VIC4764" s="911"/>
      <c r="VID4764" s="911"/>
      <c r="VIE4764" s="911"/>
      <c r="VIF4764" s="911"/>
      <c r="VIG4764" s="32"/>
      <c r="VIH4764" s="911" t="s">
        <v>74</v>
      </c>
      <c r="VII4764" s="911"/>
      <c r="VIJ4764" s="911"/>
      <c r="VIK4764" s="911"/>
      <c r="VIL4764" s="911"/>
      <c r="VIM4764" s="911"/>
      <c r="VIN4764" s="911"/>
      <c r="VIO4764" s="911"/>
      <c r="VIP4764" s="911"/>
      <c r="VIQ4764" s="912"/>
      <c r="VIS4764" s="913" t="s">
        <v>1</v>
      </c>
      <c r="VIT4764" s="31"/>
      <c r="VIU4764" s="909" t="s">
        <v>0</v>
      </c>
      <c r="VIV4764" s="909"/>
      <c r="VIW4764" s="909"/>
      <c r="VIX4764" s="909"/>
      <c r="VIY4764" s="909"/>
      <c r="VIZ4764" s="909"/>
      <c r="VJA4764" s="907" t="s">
        <v>79</v>
      </c>
      <c r="VJB4764" s="909" t="s">
        <v>68</v>
      </c>
      <c r="VJC4764" s="910" t="s">
        <v>75</v>
      </c>
      <c r="VJD4764" s="911"/>
      <c r="VJE4764" s="911"/>
      <c r="VJF4764" s="911"/>
      <c r="VJG4764" s="911"/>
      <c r="VJH4764" s="911"/>
      <c r="VJI4764" s="911"/>
      <c r="VJJ4764" s="911"/>
      <c r="VJK4764" s="911"/>
      <c r="VJL4764" s="911"/>
      <c r="VJM4764" s="32"/>
      <c r="VJN4764" s="911" t="s">
        <v>74</v>
      </c>
      <c r="VJO4764" s="911"/>
      <c r="VJP4764" s="911"/>
      <c r="VJQ4764" s="911"/>
      <c r="VJR4764" s="911"/>
      <c r="VJS4764" s="911"/>
      <c r="VJT4764" s="911"/>
      <c r="VJU4764" s="911"/>
      <c r="VJV4764" s="911"/>
      <c r="VJW4764" s="912"/>
      <c r="VJY4764" s="913" t="s">
        <v>1</v>
      </c>
      <c r="VJZ4764" s="31"/>
      <c r="VKA4764" s="909" t="s">
        <v>0</v>
      </c>
      <c r="VKB4764" s="909"/>
      <c r="VKC4764" s="909"/>
      <c r="VKD4764" s="909"/>
      <c r="VKE4764" s="909"/>
      <c r="VKF4764" s="909"/>
      <c r="VKG4764" s="907" t="s">
        <v>79</v>
      </c>
      <c r="VKH4764" s="909" t="s">
        <v>68</v>
      </c>
      <c r="VKI4764" s="910" t="s">
        <v>75</v>
      </c>
      <c r="VKJ4764" s="911"/>
      <c r="VKK4764" s="911"/>
      <c r="VKL4764" s="911"/>
      <c r="VKM4764" s="911"/>
      <c r="VKN4764" s="911"/>
      <c r="VKO4764" s="911"/>
      <c r="VKP4764" s="911"/>
      <c r="VKQ4764" s="911"/>
      <c r="VKR4764" s="911"/>
      <c r="VKS4764" s="32"/>
      <c r="VKT4764" s="911" t="s">
        <v>74</v>
      </c>
      <c r="VKU4764" s="911"/>
      <c r="VKV4764" s="911"/>
      <c r="VKW4764" s="911"/>
      <c r="VKX4764" s="911"/>
      <c r="VKY4764" s="911"/>
      <c r="VKZ4764" s="911"/>
      <c r="VLA4764" s="911"/>
      <c r="VLB4764" s="911"/>
      <c r="VLC4764" s="912"/>
      <c r="VLE4764" s="913" t="s">
        <v>1</v>
      </c>
      <c r="VLF4764" s="31"/>
      <c r="VLG4764" s="909" t="s">
        <v>0</v>
      </c>
      <c r="VLH4764" s="909"/>
      <c r="VLI4764" s="909"/>
      <c r="VLJ4764" s="909"/>
      <c r="VLK4764" s="909"/>
      <c r="VLL4764" s="909"/>
      <c r="VLM4764" s="907" t="s">
        <v>79</v>
      </c>
      <c r="VLN4764" s="909" t="s">
        <v>68</v>
      </c>
      <c r="VLO4764" s="910" t="s">
        <v>75</v>
      </c>
      <c r="VLP4764" s="911"/>
      <c r="VLQ4764" s="911"/>
      <c r="VLR4764" s="911"/>
      <c r="VLS4764" s="911"/>
      <c r="VLT4764" s="911"/>
      <c r="VLU4764" s="911"/>
      <c r="VLV4764" s="911"/>
      <c r="VLW4764" s="911"/>
      <c r="VLX4764" s="911"/>
      <c r="VLY4764" s="32"/>
      <c r="VLZ4764" s="911" t="s">
        <v>74</v>
      </c>
      <c r="VMA4764" s="911"/>
      <c r="VMB4764" s="911"/>
      <c r="VMC4764" s="911"/>
      <c r="VMD4764" s="911"/>
      <c r="VME4764" s="911"/>
      <c r="VMF4764" s="911"/>
      <c r="VMG4764" s="911"/>
      <c r="VMH4764" s="911"/>
      <c r="VMI4764" s="912"/>
      <c r="VMK4764" s="913" t="s">
        <v>1</v>
      </c>
      <c r="VML4764" s="31"/>
      <c r="VMM4764" s="909" t="s">
        <v>0</v>
      </c>
      <c r="VMN4764" s="909"/>
      <c r="VMO4764" s="909"/>
      <c r="VMP4764" s="909"/>
      <c r="VMQ4764" s="909"/>
      <c r="VMR4764" s="909"/>
      <c r="VMS4764" s="907" t="s">
        <v>79</v>
      </c>
      <c r="VMT4764" s="909" t="s">
        <v>68</v>
      </c>
      <c r="VMU4764" s="910" t="s">
        <v>75</v>
      </c>
      <c r="VMV4764" s="911"/>
      <c r="VMW4764" s="911"/>
      <c r="VMX4764" s="911"/>
      <c r="VMY4764" s="911"/>
      <c r="VMZ4764" s="911"/>
      <c r="VNA4764" s="911"/>
      <c r="VNB4764" s="911"/>
      <c r="VNC4764" s="911"/>
      <c r="VND4764" s="911"/>
      <c r="VNE4764" s="32"/>
      <c r="VNF4764" s="911" t="s">
        <v>74</v>
      </c>
      <c r="VNG4764" s="911"/>
      <c r="VNH4764" s="911"/>
      <c r="VNI4764" s="911"/>
      <c r="VNJ4764" s="911"/>
      <c r="VNK4764" s="911"/>
      <c r="VNL4764" s="911"/>
      <c r="VNM4764" s="911"/>
      <c r="VNN4764" s="911"/>
      <c r="VNO4764" s="912"/>
      <c r="VNQ4764" s="913" t="s">
        <v>1</v>
      </c>
      <c r="VNR4764" s="31"/>
      <c r="VNS4764" s="909" t="s">
        <v>0</v>
      </c>
      <c r="VNT4764" s="909"/>
      <c r="VNU4764" s="909"/>
      <c r="VNV4764" s="909"/>
      <c r="VNW4764" s="909"/>
      <c r="VNX4764" s="909"/>
      <c r="VNY4764" s="907" t="s">
        <v>79</v>
      </c>
      <c r="VNZ4764" s="909" t="s">
        <v>68</v>
      </c>
      <c r="VOA4764" s="910" t="s">
        <v>75</v>
      </c>
      <c r="VOB4764" s="911"/>
      <c r="VOC4764" s="911"/>
      <c r="VOD4764" s="911"/>
      <c r="VOE4764" s="911"/>
      <c r="VOF4764" s="911"/>
      <c r="VOG4764" s="911"/>
      <c r="VOH4764" s="911"/>
      <c r="VOI4764" s="911"/>
      <c r="VOJ4764" s="911"/>
      <c r="VOK4764" s="32"/>
      <c r="VOL4764" s="911" t="s">
        <v>74</v>
      </c>
      <c r="VOM4764" s="911"/>
      <c r="VON4764" s="911"/>
      <c r="VOO4764" s="911"/>
      <c r="VOP4764" s="911"/>
      <c r="VOQ4764" s="911"/>
      <c r="VOR4764" s="911"/>
      <c r="VOS4764" s="911"/>
      <c r="VOT4764" s="911"/>
      <c r="VOU4764" s="912"/>
      <c r="VOW4764" s="913" t="s">
        <v>1</v>
      </c>
      <c r="VOX4764" s="31"/>
      <c r="VOY4764" s="909" t="s">
        <v>0</v>
      </c>
      <c r="VOZ4764" s="909"/>
      <c r="VPA4764" s="909"/>
      <c r="VPB4764" s="909"/>
      <c r="VPC4764" s="909"/>
      <c r="VPD4764" s="909"/>
      <c r="VPE4764" s="907" t="s">
        <v>79</v>
      </c>
      <c r="VPF4764" s="909" t="s">
        <v>68</v>
      </c>
      <c r="VPG4764" s="910" t="s">
        <v>75</v>
      </c>
      <c r="VPH4764" s="911"/>
      <c r="VPI4764" s="911"/>
      <c r="VPJ4764" s="911"/>
      <c r="VPK4764" s="911"/>
      <c r="VPL4764" s="911"/>
      <c r="VPM4764" s="911"/>
      <c r="VPN4764" s="911"/>
      <c r="VPO4764" s="911"/>
      <c r="VPP4764" s="911"/>
      <c r="VPQ4764" s="32"/>
      <c r="VPR4764" s="911" t="s">
        <v>74</v>
      </c>
      <c r="VPS4764" s="911"/>
      <c r="VPT4764" s="911"/>
      <c r="VPU4764" s="911"/>
      <c r="VPV4764" s="911"/>
      <c r="VPW4764" s="911"/>
      <c r="VPX4764" s="911"/>
      <c r="VPY4764" s="911"/>
      <c r="VPZ4764" s="911"/>
      <c r="VQA4764" s="912"/>
      <c r="VQC4764" s="913" t="s">
        <v>1</v>
      </c>
      <c r="VQD4764" s="31"/>
      <c r="VQE4764" s="909" t="s">
        <v>0</v>
      </c>
      <c r="VQF4764" s="909"/>
      <c r="VQG4764" s="909"/>
      <c r="VQH4764" s="909"/>
      <c r="VQI4764" s="909"/>
      <c r="VQJ4764" s="909"/>
      <c r="VQK4764" s="907" t="s">
        <v>79</v>
      </c>
      <c r="VQL4764" s="909" t="s">
        <v>68</v>
      </c>
      <c r="VQM4764" s="910" t="s">
        <v>75</v>
      </c>
      <c r="VQN4764" s="911"/>
      <c r="VQO4764" s="911"/>
      <c r="VQP4764" s="911"/>
      <c r="VQQ4764" s="911"/>
      <c r="VQR4764" s="911"/>
      <c r="VQS4764" s="911"/>
      <c r="VQT4764" s="911"/>
      <c r="VQU4764" s="911"/>
      <c r="VQV4764" s="911"/>
      <c r="VQW4764" s="32"/>
      <c r="VQX4764" s="911" t="s">
        <v>74</v>
      </c>
      <c r="VQY4764" s="911"/>
      <c r="VQZ4764" s="911"/>
      <c r="VRA4764" s="911"/>
      <c r="VRB4764" s="911"/>
      <c r="VRC4764" s="911"/>
      <c r="VRD4764" s="911"/>
      <c r="VRE4764" s="911"/>
      <c r="VRF4764" s="911"/>
      <c r="VRG4764" s="912"/>
      <c r="VRI4764" s="913" t="s">
        <v>1</v>
      </c>
      <c r="VRJ4764" s="31"/>
      <c r="VRK4764" s="909" t="s">
        <v>0</v>
      </c>
      <c r="VRL4764" s="909"/>
      <c r="VRM4764" s="909"/>
      <c r="VRN4764" s="909"/>
      <c r="VRO4764" s="909"/>
      <c r="VRP4764" s="909"/>
      <c r="VRQ4764" s="907" t="s">
        <v>79</v>
      </c>
      <c r="VRR4764" s="909" t="s">
        <v>68</v>
      </c>
      <c r="VRS4764" s="910" t="s">
        <v>75</v>
      </c>
      <c r="VRT4764" s="911"/>
      <c r="VRU4764" s="911"/>
      <c r="VRV4764" s="911"/>
      <c r="VRW4764" s="911"/>
      <c r="VRX4764" s="911"/>
      <c r="VRY4764" s="911"/>
      <c r="VRZ4764" s="911"/>
      <c r="VSA4764" s="911"/>
      <c r="VSB4764" s="911"/>
      <c r="VSC4764" s="32"/>
      <c r="VSD4764" s="911" t="s">
        <v>74</v>
      </c>
      <c r="VSE4764" s="911"/>
      <c r="VSF4764" s="911"/>
      <c r="VSG4764" s="911"/>
      <c r="VSH4764" s="911"/>
      <c r="VSI4764" s="911"/>
      <c r="VSJ4764" s="911"/>
      <c r="VSK4764" s="911"/>
      <c r="VSL4764" s="911"/>
      <c r="VSM4764" s="912"/>
      <c r="VSO4764" s="913" t="s">
        <v>1</v>
      </c>
      <c r="VSP4764" s="31"/>
      <c r="VSQ4764" s="909" t="s">
        <v>0</v>
      </c>
      <c r="VSR4764" s="909"/>
      <c r="VSS4764" s="909"/>
      <c r="VST4764" s="909"/>
      <c r="VSU4764" s="909"/>
      <c r="VSV4764" s="909"/>
      <c r="VSW4764" s="907" t="s">
        <v>79</v>
      </c>
      <c r="VSX4764" s="909" t="s">
        <v>68</v>
      </c>
      <c r="VSY4764" s="910" t="s">
        <v>75</v>
      </c>
      <c r="VSZ4764" s="911"/>
      <c r="VTA4764" s="911"/>
      <c r="VTB4764" s="911"/>
      <c r="VTC4764" s="911"/>
      <c r="VTD4764" s="911"/>
      <c r="VTE4764" s="911"/>
      <c r="VTF4764" s="911"/>
      <c r="VTG4764" s="911"/>
      <c r="VTH4764" s="911"/>
      <c r="VTI4764" s="32"/>
      <c r="VTJ4764" s="911" t="s">
        <v>74</v>
      </c>
      <c r="VTK4764" s="911"/>
      <c r="VTL4764" s="911"/>
      <c r="VTM4764" s="911"/>
      <c r="VTN4764" s="911"/>
      <c r="VTO4764" s="911"/>
      <c r="VTP4764" s="911"/>
      <c r="VTQ4764" s="911"/>
      <c r="VTR4764" s="911"/>
      <c r="VTS4764" s="912"/>
      <c r="VTU4764" s="913" t="s">
        <v>1</v>
      </c>
      <c r="VTV4764" s="31"/>
      <c r="VTW4764" s="909" t="s">
        <v>0</v>
      </c>
      <c r="VTX4764" s="909"/>
      <c r="VTY4764" s="909"/>
      <c r="VTZ4764" s="909"/>
      <c r="VUA4764" s="909"/>
      <c r="VUB4764" s="909"/>
      <c r="VUC4764" s="907" t="s">
        <v>79</v>
      </c>
      <c r="VUD4764" s="909" t="s">
        <v>68</v>
      </c>
      <c r="VUE4764" s="910" t="s">
        <v>75</v>
      </c>
      <c r="VUF4764" s="911"/>
      <c r="VUG4764" s="911"/>
      <c r="VUH4764" s="911"/>
      <c r="VUI4764" s="911"/>
      <c r="VUJ4764" s="911"/>
      <c r="VUK4764" s="911"/>
      <c r="VUL4764" s="911"/>
      <c r="VUM4764" s="911"/>
      <c r="VUN4764" s="911"/>
      <c r="VUO4764" s="32"/>
      <c r="VUP4764" s="911" t="s">
        <v>74</v>
      </c>
      <c r="VUQ4764" s="911"/>
      <c r="VUR4764" s="911"/>
      <c r="VUS4764" s="911"/>
      <c r="VUT4764" s="911"/>
      <c r="VUU4764" s="911"/>
      <c r="VUV4764" s="911"/>
      <c r="VUW4764" s="911"/>
      <c r="VUX4764" s="911"/>
      <c r="VUY4764" s="912"/>
      <c r="VVA4764" s="913" t="s">
        <v>1</v>
      </c>
      <c r="VVB4764" s="31"/>
      <c r="VVC4764" s="909" t="s">
        <v>0</v>
      </c>
      <c r="VVD4764" s="909"/>
      <c r="VVE4764" s="909"/>
      <c r="VVF4764" s="909"/>
      <c r="VVG4764" s="909"/>
      <c r="VVH4764" s="909"/>
      <c r="VVI4764" s="907" t="s">
        <v>79</v>
      </c>
      <c r="VVJ4764" s="909" t="s">
        <v>68</v>
      </c>
      <c r="VVK4764" s="910" t="s">
        <v>75</v>
      </c>
      <c r="VVL4764" s="911"/>
      <c r="VVM4764" s="911"/>
      <c r="VVN4764" s="911"/>
      <c r="VVO4764" s="911"/>
      <c r="VVP4764" s="911"/>
      <c r="VVQ4764" s="911"/>
      <c r="VVR4764" s="911"/>
      <c r="VVS4764" s="911"/>
      <c r="VVT4764" s="911"/>
      <c r="VVU4764" s="32"/>
      <c r="VVV4764" s="911" t="s">
        <v>74</v>
      </c>
      <c r="VVW4764" s="911"/>
      <c r="VVX4764" s="911"/>
      <c r="VVY4764" s="911"/>
      <c r="VVZ4764" s="911"/>
      <c r="VWA4764" s="911"/>
      <c r="VWB4764" s="911"/>
      <c r="VWC4764" s="911"/>
      <c r="VWD4764" s="911"/>
      <c r="VWE4764" s="912"/>
      <c r="VWG4764" s="913" t="s">
        <v>1</v>
      </c>
      <c r="VWH4764" s="31"/>
      <c r="VWI4764" s="909" t="s">
        <v>0</v>
      </c>
      <c r="VWJ4764" s="909"/>
      <c r="VWK4764" s="909"/>
      <c r="VWL4764" s="909"/>
      <c r="VWM4764" s="909"/>
      <c r="VWN4764" s="909"/>
      <c r="VWO4764" s="907" t="s">
        <v>79</v>
      </c>
      <c r="VWP4764" s="909" t="s">
        <v>68</v>
      </c>
      <c r="VWQ4764" s="910" t="s">
        <v>75</v>
      </c>
      <c r="VWR4764" s="911"/>
      <c r="VWS4764" s="911"/>
      <c r="VWT4764" s="911"/>
      <c r="VWU4764" s="911"/>
      <c r="VWV4764" s="911"/>
      <c r="VWW4764" s="911"/>
      <c r="VWX4764" s="911"/>
      <c r="VWY4764" s="911"/>
      <c r="VWZ4764" s="911"/>
      <c r="VXA4764" s="32"/>
      <c r="VXB4764" s="911" t="s">
        <v>74</v>
      </c>
      <c r="VXC4764" s="911"/>
      <c r="VXD4764" s="911"/>
      <c r="VXE4764" s="911"/>
      <c r="VXF4764" s="911"/>
      <c r="VXG4764" s="911"/>
      <c r="VXH4764" s="911"/>
      <c r="VXI4764" s="911"/>
      <c r="VXJ4764" s="911"/>
      <c r="VXK4764" s="912"/>
      <c r="VXM4764" s="913" t="s">
        <v>1</v>
      </c>
      <c r="VXN4764" s="31"/>
      <c r="VXO4764" s="909" t="s">
        <v>0</v>
      </c>
      <c r="VXP4764" s="909"/>
      <c r="VXQ4764" s="909"/>
      <c r="VXR4764" s="909"/>
      <c r="VXS4764" s="909"/>
      <c r="VXT4764" s="909"/>
      <c r="VXU4764" s="907" t="s">
        <v>79</v>
      </c>
      <c r="VXV4764" s="909" t="s">
        <v>68</v>
      </c>
      <c r="VXW4764" s="910" t="s">
        <v>75</v>
      </c>
      <c r="VXX4764" s="911"/>
      <c r="VXY4764" s="911"/>
      <c r="VXZ4764" s="911"/>
      <c r="VYA4764" s="911"/>
      <c r="VYB4764" s="911"/>
      <c r="VYC4764" s="911"/>
      <c r="VYD4764" s="911"/>
      <c r="VYE4764" s="911"/>
      <c r="VYF4764" s="911"/>
      <c r="VYG4764" s="32"/>
      <c r="VYH4764" s="911" t="s">
        <v>74</v>
      </c>
      <c r="VYI4764" s="911"/>
      <c r="VYJ4764" s="911"/>
      <c r="VYK4764" s="911"/>
      <c r="VYL4764" s="911"/>
      <c r="VYM4764" s="911"/>
      <c r="VYN4764" s="911"/>
      <c r="VYO4764" s="911"/>
      <c r="VYP4764" s="911"/>
      <c r="VYQ4764" s="912"/>
      <c r="VYS4764" s="913" t="s">
        <v>1</v>
      </c>
      <c r="VYT4764" s="31"/>
      <c r="VYU4764" s="909" t="s">
        <v>0</v>
      </c>
      <c r="VYV4764" s="909"/>
      <c r="VYW4764" s="909"/>
      <c r="VYX4764" s="909"/>
      <c r="VYY4764" s="909"/>
      <c r="VYZ4764" s="909"/>
      <c r="VZA4764" s="907" t="s">
        <v>79</v>
      </c>
      <c r="VZB4764" s="909" t="s">
        <v>68</v>
      </c>
      <c r="VZC4764" s="910" t="s">
        <v>75</v>
      </c>
      <c r="VZD4764" s="911"/>
      <c r="VZE4764" s="911"/>
      <c r="VZF4764" s="911"/>
      <c r="VZG4764" s="911"/>
      <c r="VZH4764" s="911"/>
      <c r="VZI4764" s="911"/>
      <c r="VZJ4764" s="911"/>
      <c r="VZK4764" s="911"/>
      <c r="VZL4764" s="911"/>
      <c r="VZM4764" s="32"/>
      <c r="VZN4764" s="911" t="s">
        <v>74</v>
      </c>
      <c r="VZO4764" s="911"/>
      <c r="VZP4764" s="911"/>
      <c r="VZQ4764" s="911"/>
      <c r="VZR4764" s="911"/>
      <c r="VZS4764" s="911"/>
      <c r="VZT4764" s="911"/>
      <c r="VZU4764" s="911"/>
      <c r="VZV4764" s="911"/>
      <c r="VZW4764" s="912"/>
      <c r="VZY4764" s="913" t="s">
        <v>1</v>
      </c>
      <c r="VZZ4764" s="31"/>
      <c r="WAA4764" s="909" t="s">
        <v>0</v>
      </c>
      <c r="WAB4764" s="909"/>
      <c r="WAC4764" s="909"/>
      <c r="WAD4764" s="909"/>
      <c r="WAE4764" s="909"/>
      <c r="WAF4764" s="909"/>
      <c r="WAG4764" s="907" t="s">
        <v>79</v>
      </c>
      <c r="WAH4764" s="909" t="s">
        <v>68</v>
      </c>
      <c r="WAI4764" s="910" t="s">
        <v>75</v>
      </c>
      <c r="WAJ4764" s="911"/>
      <c r="WAK4764" s="911"/>
      <c r="WAL4764" s="911"/>
      <c r="WAM4764" s="911"/>
      <c r="WAN4764" s="911"/>
      <c r="WAO4764" s="911"/>
      <c r="WAP4764" s="911"/>
      <c r="WAQ4764" s="911"/>
      <c r="WAR4764" s="911"/>
      <c r="WAS4764" s="32"/>
      <c r="WAT4764" s="911" t="s">
        <v>74</v>
      </c>
      <c r="WAU4764" s="911"/>
      <c r="WAV4764" s="911"/>
      <c r="WAW4764" s="911"/>
      <c r="WAX4764" s="911"/>
      <c r="WAY4764" s="911"/>
      <c r="WAZ4764" s="911"/>
      <c r="WBA4764" s="911"/>
      <c r="WBB4764" s="911"/>
      <c r="WBC4764" s="912"/>
      <c r="WBE4764" s="913" t="s">
        <v>1</v>
      </c>
      <c r="WBF4764" s="31"/>
      <c r="WBG4764" s="909" t="s">
        <v>0</v>
      </c>
      <c r="WBH4764" s="909"/>
      <c r="WBI4764" s="909"/>
      <c r="WBJ4764" s="909"/>
      <c r="WBK4764" s="909"/>
      <c r="WBL4764" s="909"/>
      <c r="WBM4764" s="907" t="s">
        <v>79</v>
      </c>
      <c r="WBN4764" s="909" t="s">
        <v>68</v>
      </c>
      <c r="WBO4764" s="910" t="s">
        <v>75</v>
      </c>
      <c r="WBP4764" s="911"/>
      <c r="WBQ4764" s="911"/>
      <c r="WBR4764" s="911"/>
      <c r="WBS4764" s="911"/>
      <c r="WBT4764" s="911"/>
      <c r="WBU4764" s="911"/>
      <c r="WBV4764" s="911"/>
      <c r="WBW4764" s="911"/>
      <c r="WBX4764" s="911"/>
      <c r="WBY4764" s="32"/>
      <c r="WBZ4764" s="911" t="s">
        <v>74</v>
      </c>
      <c r="WCA4764" s="911"/>
      <c r="WCB4764" s="911"/>
      <c r="WCC4764" s="911"/>
      <c r="WCD4764" s="911"/>
      <c r="WCE4764" s="911"/>
      <c r="WCF4764" s="911"/>
      <c r="WCG4764" s="911"/>
      <c r="WCH4764" s="911"/>
      <c r="WCI4764" s="912"/>
      <c r="WCK4764" s="913" t="s">
        <v>1</v>
      </c>
      <c r="WCL4764" s="31"/>
      <c r="WCM4764" s="909" t="s">
        <v>0</v>
      </c>
      <c r="WCN4764" s="909"/>
      <c r="WCO4764" s="909"/>
      <c r="WCP4764" s="909"/>
      <c r="WCQ4764" s="909"/>
      <c r="WCR4764" s="909"/>
      <c r="WCS4764" s="907" t="s">
        <v>79</v>
      </c>
      <c r="WCT4764" s="909" t="s">
        <v>68</v>
      </c>
      <c r="WCU4764" s="910" t="s">
        <v>75</v>
      </c>
      <c r="WCV4764" s="911"/>
      <c r="WCW4764" s="911"/>
      <c r="WCX4764" s="911"/>
      <c r="WCY4764" s="911"/>
      <c r="WCZ4764" s="911"/>
      <c r="WDA4764" s="911"/>
      <c r="WDB4764" s="911"/>
      <c r="WDC4764" s="911"/>
      <c r="WDD4764" s="911"/>
      <c r="WDE4764" s="32"/>
      <c r="WDF4764" s="911" t="s">
        <v>74</v>
      </c>
      <c r="WDG4764" s="911"/>
      <c r="WDH4764" s="911"/>
      <c r="WDI4764" s="911"/>
      <c r="WDJ4764" s="911"/>
      <c r="WDK4764" s="911"/>
      <c r="WDL4764" s="911"/>
      <c r="WDM4764" s="911"/>
      <c r="WDN4764" s="911"/>
      <c r="WDO4764" s="912"/>
      <c r="WDQ4764" s="913" t="s">
        <v>1</v>
      </c>
      <c r="WDR4764" s="31"/>
      <c r="WDS4764" s="909" t="s">
        <v>0</v>
      </c>
      <c r="WDT4764" s="909"/>
      <c r="WDU4764" s="909"/>
      <c r="WDV4764" s="909"/>
      <c r="WDW4764" s="909"/>
      <c r="WDX4764" s="909"/>
      <c r="WDY4764" s="907" t="s">
        <v>79</v>
      </c>
      <c r="WDZ4764" s="909" t="s">
        <v>68</v>
      </c>
      <c r="WEA4764" s="910" t="s">
        <v>75</v>
      </c>
      <c r="WEB4764" s="911"/>
      <c r="WEC4764" s="911"/>
      <c r="WED4764" s="911"/>
      <c r="WEE4764" s="911"/>
      <c r="WEF4764" s="911"/>
      <c r="WEG4764" s="911"/>
      <c r="WEH4764" s="911"/>
      <c r="WEI4764" s="911"/>
      <c r="WEJ4764" s="911"/>
      <c r="WEK4764" s="32"/>
      <c r="WEL4764" s="911" t="s">
        <v>74</v>
      </c>
      <c r="WEM4764" s="911"/>
      <c r="WEN4764" s="911"/>
      <c r="WEO4764" s="911"/>
      <c r="WEP4764" s="911"/>
      <c r="WEQ4764" s="911"/>
      <c r="WER4764" s="911"/>
      <c r="WES4764" s="911"/>
      <c r="WET4764" s="911"/>
      <c r="WEU4764" s="912"/>
      <c r="WEW4764" s="913" t="s">
        <v>1</v>
      </c>
      <c r="WEX4764" s="31"/>
      <c r="WEY4764" s="909" t="s">
        <v>0</v>
      </c>
      <c r="WEZ4764" s="909"/>
      <c r="WFA4764" s="909"/>
      <c r="WFB4764" s="909"/>
      <c r="WFC4764" s="909"/>
      <c r="WFD4764" s="909"/>
      <c r="WFE4764" s="907" t="s">
        <v>79</v>
      </c>
      <c r="WFF4764" s="909" t="s">
        <v>68</v>
      </c>
      <c r="WFG4764" s="910" t="s">
        <v>75</v>
      </c>
      <c r="WFH4764" s="911"/>
      <c r="WFI4764" s="911"/>
      <c r="WFJ4764" s="911"/>
      <c r="WFK4764" s="911"/>
      <c r="WFL4764" s="911"/>
      <c r="WFM4764" s="911"/>
      <c r="WFN4764" s="911"/>
      <c r="WFO4764" s="911"/>
      <c r="WFP4764" s="911"/>
      <c r="WFQ4764" s="32"/>
      <c r="WFR4764" s="911" t="s">
        <v>74</v>
      </c>
      <c r="WFS4764" s="911"/>
      <c r="WFT4764" s="911"/>
      <c r="WFU4764" s="911"/>
      <c r="WFV4764" s="911"/>
      <c r="WFW4764" s="911"/>
      <c r="WFX4764" s="911"/>
      <c r="WFY4764" s="911"/>
      <c r="WFZ4764" s="911"/>
      <c r="WGA4764" s="912"/>
      <c r="WGC4764" s="913" t="s">
        <v>1</v>
      </c>
      <c r="WGD4764" s="31"/>
      <c r="WGE4764" s="909" t="s">
        <v>0</v>
      </c>
      <c r="WGF4764" s="909"/>
      <c r="WGG4764" s="909"/>
      <c r="WGH4764" s="909"/>
      <c r="WGI4764" s="909"/>
      <c r="WGJ4764" s="909"/>
      <c r="WGK4764" s="907" t="s">
        <v>79</v>
      </c>
      <c r="WGL4764" s="909" t="s">
        <v>68</v>
      </c>
      <c r="WGM4764" s="910" t="s">
        <v>75</v>
      </c>
      <c r="WGN4764" s="911"/>
      <c r="WGO4764" s="911"/>
      <c r="WGP4764" s="911"/>
      <c r="WGQ4764" s="911"/>
      <c r="WGR4764" s="911"/>
      <c r="WGS4764" s="911"/>
      <c r="WGT4764" s="911"/>
      <c r="WGU4764" s="911"/>
      <c r="WGV4764" s="911"/>
      <c r="WGW4764" s="32"/>
      <c r="WGX4764" s="911" t="s">
        <v>74</v>
      </c>
      <c r="WGY4764" s="911"/>
      <c r="WGZ4764" s="911"/>
      <c r="WHA4764" s="911"/>
      <c r="WHB4764" s="911"/>
      <c r="WHC4764" s="911"/>
      <c r="WHD4764" s="911"/>
      <c r="WHE4764" s="911"/>
      <c r="WHF4764" s="911"/>
      <c r="WHG4764" s="912"/>
      <c r="WHI4764" s="913" t="s">
        <v>1</v>
      </c>
      <c r="WHJ4764" s="31"/>
      <c r="WHK4764" s="909" t="s">
        <v>0</v>
      </c>
      <c r="WHL4764" s="909"/>
      <c r="WHM4764" s="909"/>
      <c r="WHN4764" s="909"/>
      <c r="WHO4764" s="909"/>
      <c r="WHP4764" s="909"/>
      <c r="WHQ4764" s="907" t="s">
        <v>79</v>
      </c>
      <c r="WHR4764" s="909" t="s">
        <v>68</v>
      </c>
      <c r="WHS4764" s="910" t="s">
        <v>75</v>
      </c>
      <c r="WHT4764" s="911"/>
      <c r="WHU4764" s="911"/>
      <c r="WHV4764" s="911"/>
      <c r="WHW4764" s="911"/>
      <c r="WHX4764" s="911"/>
      <c r="WHY4764" s="911"/>
      <c r="WHZ4764" s="911"/>
      <c r="WIA4764" s="911"/>
      <c r="WIB4764" s="911"/>
      <c r="WIC4764" s="32"/>
      <c r="WID4764" s="911" t="s">
        <v>74</v>
      </c>
      <c r="WIE4764" s="911"/>
      <c r="WIF4764" s="911"/>
      <c r="WIG4764" s="911"/>
      <c r="WIH4764" s="911"/>
      <c r="WII4764" s="911"/>
      <c r="WIJ4764" s="911"/>
      <c r="WIK4764" s="911"/>
      <c r="WIL4764" s="911"/>
      <c r="WIM4764" s="912"/>
      <c r="WIO4764" s="913" t="s">
        <v>1</v>
      </c>
      <c r="WIP4764" s="31"/>
      <c r="WIQ4764" s="909" t="s">
        <v>0</v>
      </c>
      <c r="WIR4764" s="909"/>
      <c r="WIS4764" s="909"/>
      <c r="WIT4764" s="909"/>
      <c r="WIU4764" s="909"/>
      <c r="WIV4764" s="909"/>
      <c r="WIW4764" s="907" t="s">
        <v>79</v>
      </c>
      <c r="WIX4764" s="909" t="s">
        <v>68</v>
      </c>
      <c r="WIY4764" s="910" t="s">
        <v>75</v>
      </c>
      <c r="WIZ4764" s="911"/>
      <c r="WJA4764" s="911"/>
      <c r="WJB4764" s="911"/>
      <c r="WJC4764" s="911"/>
      <c r="WJD4764" s="911"/>
      <c r="WJE4764" s="911"/>
      <c r="WJF4764" s="911"/>
      <c r="WJG4764" s="911"/>
      <c r="WJH4764" s="911"/>
      <c r="WJI4764" s="32"/>
      <c r="WJJ4764" s="911" t="s">
        <v>74</v>
      </c>
      <c r="WJK4764" s="911"/>
      <c r="WJL4764" s="911"/>
      <c r="WJM4764" s="911"/>
      <c r="WJN4764" s="911"/>
      <c r="WJO4764" s="911"/>
      <c r="WJP4764" s="911"/>
      <c r="WJQ4764" s="911"/>
      <c r="WJR4764" s="911"/>
      <c r="WJS4764" s="912"/>
      <c r="WJU4764" s="913" t="s">
        <v>1</v>
      </c>
      <c r="WJV4764" s="31"/>
      <c r="WJW4764" s="909" t="s">
        <v>0</v>
      </c>
      <c r="WJX4764" s="909"/>
      <c r="WJY4764" s="909"/>
      <c r="WJZ4764" s="909"/>
      <c r="WKA4764" s="909"/>
      <c r="WKB4764" s="909"/>
      <c r="WKC4764" s="907" t="s">
        <v>79</v>
      </c>
      <c r="WKD4764" s="909" t="s">
        <v>68</v>
      </c>
      <c r="WKE4764" s="910" t="s">
        <v>75</v>
      </c>
      <c r="WKF4764" s="911"/>
      <c r="WKG4764" s="911"/>
      <c r="WKH4764" s="911"/>
      <c r="WKI4764" s="911"/>
      <c r="WKJ4764" s="911"/>
      <c r="WKK4764" s="911"/>
      <c r="WKL4764" s="911"/>
      <c r="WKM4764" s="911"/>
      <c r="WKN4764" s="911"/>
      <c r="WKO4764" s="32"/>
      <c r="WKP4764" s="911" t="s">
        <v>74</v>
      </c>
      <c r="WKQ4764" s="911"/>
      <c r="WKR4764" s="911"/>
      <c r="WKS4764" s="911"/>
      <c r="WKT4764" s="911"/>
      <c r="WKU4764" s="911"/>
      <c r="WKV4764" s="911"/>
      <c r="WKW4764" s="911"/>
      <c r="WKX4764" s="911"/>
      <c r="WKY4764" s="912"/>
      <c r="WLA4764" s="913" t="s">
        <v>1</v>
      </c>
      <c r="WLB4764" s="31"/>
      <c r="WLC4764" s="909" t="s">
        <v>0</v>
      </c>
      <c r="WLD4764" s="909"/>
      <c r="WLE4764" s="909"/>
      <c r="WLF4764" s="909"/>
      <c r="WLG4764" s="909"/>
      <c r="WLH4764" s="909"/>
      <c r="WLI4764" s="907" t="s">
        <v>79</v>
      </c>
      <c r="WLJ4764" s="909" t="s">
        <v>68</v>
      </c>
      <c r="WLK4764" s="910" t="s">
        <v>75</v>
      </c>
      <c r="WLL4764" s="911"/>
      <c r="WLM4764" s="911"/>
      <c r="WLN4764" s="911"/>
      <c r="WLO4764" s="911"/>
      <c r="WLP4764" s="911"/>
      <c r="WLQ4764" s="911"/>
      <c r="WLR4764" s="911"/>
      <c r="WLS4764" s="911"/>
      <c r="WLT4764" s="911"/>
      <c r="WLU4764" s="32"/>
      <c r="WLV4764" s="911" t="s">
        <v>74</v>
      </c>
      <c r="WLW4764" s="911"/>
      <c r="WLX4764" s="911"/>
      <c r="WLY4764" s="911"/>
      <c r="WLZ4764" s="911"/>
      <c r="WMA4764" s="911"/>
      <c r="WMB4764" s="911"/>
      <c r="WMC4764" s="911"/>
      <c r="WMD4764" s="911"/>
      <c r="WME4764" s="912"/>
      <c r="WMG4764" s="913" t="s">
        <v>1</v>
      </c>
      <c r="WMH4764" s="31"/>
      <c r="WMI4764" s="909" t="s">
        <v>0</v>
      </c>
      <c r="WMJ4764" s="909"/>
      <c r="WMK4764" s="909"/>
      <c r="WML4764" s="909"/>
      <c r="WMM4764" s="909"/>
      <c r="WMN4764" s="909"/>
      <c r="WMO4764" s="907" t="s">
        <v>79</v>
      </c>
      <c r="WMP4764" s="909" t="s">
        <v>68</v>
      </c>
      <c r="WMQ4764" s="910" t="s">
        <v>75</v>
      </c>
      <c r="WMR4764" s="911"/>
      <c r="WMS4764" s="911"/>
      <c r="WMT4764" s="911"/>
      <c r="WMU4764" s="911"/>
      <c r="WMV4764" s="911"/>
      <c r="WMW4764" s="911"/>
      <c r="WMX4764" s="911"/>
      <c r="WMY4764" s="911"/>
      <c r="WMZ4764" s="911"/>
      <c r="WNA4764" s="32"/>
      <c r="WNB4764" s="911" t="s">
        <v>74</v>
      </c>
      <c r="WNC4764" s="911"/>
      <c r="WND4764" s="911"/>
      <c r="WNE4764" s="911"/>
      <c r="WNF4764" s="911"/>
      <c r="WNG4764" s="911"/>
      <c r="WNH4764" s="911"/>
      <c r="WNI4764" s="911"/>
      <c r="WNJ4764" s="911"/>
      <c r="WNK4764" s="912"/>
      <c r="WNM4764" s="913" t="s">
        <v>1</v>
      </c>
      <c r="WNN4764" s="31"/>
      <c r="WNO4764" s="909" t="s">
        <v>0</v>
      </c>
      <c r="WNP4764" s="909"/>
      <c r="WNQ4764" s="909"/>
      <c r="WNR4764" s="909"/>
      <c r="WNS4764" s="909"/>
      <c r="WNT4764" s="909"/>
      <c r="WNU4764" s="907" t="s">
        <v>79</v>
      </c>
      <c r="WNV4764" s="909" t="s">
        <v>68</v>
      </c>
      <c r="WNW4764" s="910" t="s">
        <v>75</v>
      </c>
      <c r="WNX4764" s="911"/>
      <c r="WNY4764" s="911"/>
      <c r="WNZ4764" s="911"/>
      <c r="WOA4764" s="911"/>
      <c r="WOB4764" s="911"/>
      <c r="WOC4764" s="911"/>
      <c r="WOD4764" s="911"/>
      <c r="WOE4764" s="911"/>
      <c r="WOF4764" s="911"/>
      <c r="WOG4764" s="32"/>
      <c r="WOH4764" s="911" t="s">
        <v>74</v>
      </c>
      <c r="WOI4764" s="911"/>
      <c r="WOJ4764" s="911"/>
      <c r="WOK4764" s="911"/>
      <c r="WOL4764" s="911"/>
      <c r="WOM4764" s="911"/>
      <c r="WON4764" s="911"/>
      <c r="WOO4764" s="911"/>
      <c r="WOP4764" s="911"/>
      <c r="WOQ4764" s="912"/>
      <c r="WOS4764" s="913" t="s">
        <v>1</v>
      </c>
      <c r="WOT4764" s="31"/>
      <c r="WOU4764" s="909" t="s">
        <v>0</v>
      </c>
      <c r="WOV4764" s="909"/>
      <c r="WOW4764" s="909"/>
      <c r="WOX4764" s="909"/>
      <c r="WOY4764" s="909"/>
      <c r="WOZ4764" s="909"/>
      <c r="WPA4764" s="907" t="s">
        <v>79</v>
      </c>
      <c r="WPB4764" s="909" t="s">
        <v>68</v>
      </c>
      <c r="WPC4764" s="910" t="s">
        <v>75</v>
      </c>
      <c r="WPD4764" s="911"/>
      <c r="WPE4764" s="911"/>
      <c r="WPF4764" s="911"/>
      <c r="WPG4764" s="911"/>
      <c r="WPH4764" s="911"/>
      <c r="WPI4764" s="911"/>
      <c r="WPJ4764" s="911"/>
      <c r="WPK4764" s="911"/>
      <c r="WPL4764" s="911"/>
      <c r="WPM4764" s="32"/>
      <c r="WPN4764" s="911" t="s">
        <v>74</v>
      </c>
      <c r="WPO4764" s="911"/>
      <c r="WPP4764" s="911"/>
      <c r="WPQ4764" s="911"/>
      <c r="WPR4764" s="911"/>
      <c r="WPS4764" s="911"/>
      <c r="WPT4764" s="911"/>
      <c r="WPU4764" s="911"/>
      <c r="WPV4764" s="911"/>
      <c r="WPW4764" s="912"/>
      <c r="WPY4764" s="913" t="s">
        <v>1</v>
      </c>
      <c r="WPZ4764" s="31"/>
      <c r="WQA4764" s="909" t="s">
        <v>0</v>
      </c>
      <c r="WQB4764" s="909"/>
      <c r="WQC4764" s="909"/>
      <c r="WQD4764" s="909"/>
      <c r="WQE4764" s="909"/>
      <c r="WQF4764" s="909"/>
      <c r="WQG4764" s="907" t="s">
        <v>79</v>
      </c>
      <c r="WQH4764" s="909" t="s">
        <v>68</v>
      </c>
      <c r="WQI4764" s="910" t="s">
        <v>75</v>
      </c>
      <c r="WQJ4764" s="911"/>
      <c r="WQK4764" s="911"/>
      <c r="WQL4764" s="911"/>
      <c r="WQM4764" s="911"/>
      <c r="WQN4764" s="911"/>
      <c r="WQO4764" s="911"/>
      <c r="WQP4764" s="911"/>
      <c r="WQQ4764" s="911"/>
      <c r="WQR4764" s="911"/>
      <c r="WQS4764" s="32"/>
      <c r="WQT4764" s="911" t="s">
        <v>74</v>
      </c>
      <c r="WQU4764" s="911"/>
      <c r="WQV4764" s="911"/>
      <c r="WQW4764" s="911"/>
      <c r="WQX4764" s="911"/>
      <c r="WQY4764" s="911"/>
      <c r="WQZ4764" s="911"/>
      <c r="WRA4764" s="911"/>
      <c r="WRB4764" s="911"/>
      <c r="WRC4764" s="912"/>
      <c r="WRE4764" s="913" t="s">
        <v>1</v>
      </c>
      <c r="WRF4764" s="31"/>
      <c r="WRG4764" s="909" t="s">
        <v>0</v>
      </c>
      <c r="WRH4764" s="909"/>
      <c r="WRI4764" s="909"/>
      <c r="WRJ4764" s="909"/>
      <c r="WRK4764" s="909"/>
      <c r="WRL4764" s="909"/>
      <c r="WRM4764" s="907" t="s">
        <v>79</v>
      </c>
      <c r="WRN4764" s="909" t="s">
        <v>68</v>
      </c>
      <c r="WRO4764" s="910" t="s">
        <v>75</v>
      </c>
      <c r="WRP4764" s="911"/>
      <c r="WRQ4764" s="911"/>
      <c r="WRR4764" s="911"/>
      <c r="WRS4764" s="911"/>
      <c r="WRT4764" s="911"/>
      <c r="WRU4764" s="911"/>
      <c r="WRV4764" s="911"/>
      <c r="WRW4764" s="911"/>
      <c r="WRX4764" s="911"/>
      <c r="WRY4764" s="32"/>
      <c r="WRZ4764" s="911" t="s">
        <v>74</v>
      </c>
      <c r="WSA4764" s="911"/>
      <c r="WSB4764" s="911"/>
      <c r="WSC4764" s="911"/>
      <c r="WSD4764" s="911"/>
      <c r="WSE4764" s="911"/>
      <c r="WSF4764" s="911"/>
      <c r="WSG4764" s="911"/>
      <c r="WSH4764" s="911"/>
      <c r="WSI4764" s="912"/>
      <c r="WSK4764" s="913" t="s">
        <v>1</v>
      </c>
      <c r="WSL4764" s="31"/>
      <c r="WSM4764" s="909" t="s">
        <v>0</v>
      </c>
      <c r="WSN4764" s="909"/>
      <c r="WSO4764" s="909"/>
      <c r="WSP4764" s="909"/>
      <c r="WSQ4764" s="909"/>
      <c r="WSR4764" s="909"/>
      <c r="WSS4764" s="907" t="s">
        <v>79</v>
      </c>
      <c r="WST4764" s="909" t="s">
        <v>68</v>
      </c>
      <c r="WSU4764" s="910" t="s">
        <v>75</v>
      </c>
      <c r="WSV4764" s="911"/>
      <c r="WSW4764" s="911"/>
      <c r="WSX4764" s="911"/>
      <c r="WSY4764" s="911"/>
      <c r="WSZ4764" s="911"/>
      <c r="WTA4764" s="911"/>
      <c r="WTB4764" s="911"/>
      <c r="WTC4764" s="911"/>
      <c r="WTD4764" s="911"/>
      <c r="WTE4764" s="32"/>
      <c r="WTF4764" s="911" t="s">
        <v>74</v>
      </c>
      <c r="WTG4764" s="911"/>
      <c r="WTH4764" s="911"/>
      <c r="WTI4764" s="911"/>
      <c r="WTJ4764" s="911"/>
      <c r="WTK4764" s="911"/>
      <c r="WTL4764" s="911"/>
      <c r="WTM4764" s="911"/>
      <c r="WTN4764" s="911"/>
      <c r="WTO4764" s="912"/>
      <c r="WTQ4764" s="913" t="s">
        <v>1</v>
      </c>
      <c r="WTR4764" s="31"/>
      <c r="WTS4764" s="909" t="s">
        <v>0</v>
      </c>
      <c r="WTT4764" s="909"/>
      <c r="WTU4764" s="909"/>
      <c r="WTV4764" s="909"/>
      <c r="WTW4764" s="909"/>
      <c r="WTX4764" s="909"/>
      <c r="WTY4764" s="907" t="s">
        <v>79</v>
      </c>
      <c r="WTZ4764" s="909" t="s">
        <v>68</v>
      </c>
      <c r="WUA4764" s="910" t="s">
        <v>75</v>
      </c>
      <c r="WUB4764" s="911"/>
      <c r="WUC4764" s="911"/>
      <c r="WUD4764" s="911"/>
      <c r="WUE4764" s="911"/>
      <c r="WUF4764" s="911"/>
      <c r="WUG4764" s="911"/>
      <c r="WUH4764" s="911"/>
      <c r="WUI4764" s="911"/>
      <c r="WUJ4764" s="911"/>
      <c r="WUK4764" s="32"/>
      <c r="WUL4764" s="911" t="s">
        <v>74</v>
      </c>
      <c r="WUM4764" s="911"/>
      <c r="WUN4764" s="911"/>
      <c r="WUO4764" s="911"/>
      <c r="WUP4764" s="911"/>
      <c r="WUQ4764" s="911"/>
      <c r="WUR4764" s="911"/>
      <c r="WUS4764" s="911"/>
      <c r="WUT4764" s="911"/>
      <c r="WUU4764" s="912"/>
      <c r="WUW4764" s="913" t="s">
        <v>1</v>
      </c>
      <c r="WUX4764" s="31"/>
      <c r="WUY4764" s="909" t="s">
        <v>0</v>
      </c>
      <c r="WUZ4764" s="909"/>
      <c r="WVA4764" s="909"/>
      <c r="WVB4764" s="909"/>
      <c r="WVC4764" s="909"/>
      <c r="WVD4764" s="909"/>
      <c r="WVE4764" s="907" t="s">
        <v>79</v>
      </c>
      <c r="WVF4764" s="909" t="s">
        <v>68</v>
      </c>
      <c r="WVG4764" s="910" t="s">
        <v>75</v>
      </c>
      <c r="WVH4764" s="911"/>
      <c r="WVI4764" s="911"/>
      <c r="WVJ4764" s="911"/>
      <c r="WVK4764" s="911"/>
      <c r="WVL4764" s="911"/>
      <c r="WVM4764" s="911"/>
      <c r="WVN4764" s="911"/>
      <c r="WVO4764" s="911"/>
      <c r="WVP4764" s="911"/>
      <c r="WVQ4764" s="32"/>
      <c r="WVR4764" s="911" t="s">
        <v>74</v>
      </c>
      <c r="WVS4764" s="911"/>
      <c r="WVT4764" s="911"/>
      <c r="WVU4764" s="911"/>
      <c r="WVV4764" s="911"/>
      <c r="WVW4764" s="911"/>
      <c r="WVX4764" s="911"/>
      <c r="WVY4764" s="911"/>
      <c r="WVZ4764" s="911"/>
      <c r="WWA4764" s="912"/>
      <c r="WWC4764" s="913" t="s">
        <v>1</v>
      </c>
      <c r="WWD4764" s="31"/>
      <c r="WWE4764" s="909" t="s">
        <v>0</v>
      </c>
      <c r="WWF4764" s="909"/>
      <c r="WWG4764" s="909"/>
      <c r="WWH4764" s="909"/>
      <c r="WWI4764" s="909"/>
      <c r="WWJ4764" s="909"/>
      <c r="WWK4764" s="907" t="s">
        <v>79</v>
      </c>
      <c r="WWL4764" s="909" t="s">
        <v>68</v>
      </c>
      <c r="WWM4764" s="910" t="s">
        <v>75</v>
      </c>
      <c r="WWN4764" s="911"/>
      <c r="WWO4764" s="911"/>
      <c r="WWP4764" s="911"/>
      <c r="WWQ4764" s="911"/>
      <c r="WWR4764" s="911"/>
      <c r="WWS4764" s="911"/>
      <c r="WWT4764" s="911"/>
      <c r="WWU4764" s="911"/>
      <c r="WWV4764" s="911"/>
      <c r="WWW4764" s="32"/>
      <c r="WWX4764" s="911" t="s">
        <v>74</v>
      </c>
      <c r="WWY4764" s="911"/>
      <c r="WWZ4764" s="911"/>
      <c r="WXA4764" s="911"/>
      <c r="WXB4764" s="911"/>
      <c r="WXC4764" s="911"/>
      <c r="WXD4764" s="911"/>
      <c r="WXE4764" s="911"/>
      <c r="WXF4764" s="911"/>
      <c r="WXG4764" s="912"/>
      <c r="WXI4764" s="913" t="s">
        <v>1</v>
      </c>
      <c r="WXJ4764" s="31"/>
      <c r="WXK4764" s="909" t="s">
        <v>0</v>
      </c>
      <c r="WXL4764" s="909"/>
      <c r="WXM4764" s="909"/>
      <c r="WXN4764" s="909"/>
      <c r="WXO4764" s="909"/>
      <c r="WXP4764" s="909"/>
      <c r="WXQ4764" s="907" t="s">
        <v>79</v>
      </c>
      <c r="WXR4764" s="909" t="s">
        <v>68</v>
      </c>
      <c r="WXS4764" s="910" t="s">
        <v>75</v>
      </c>
      <c r="WXT4764" s="911"/>
      <c r="WXU4764" s="911"/>
      <c r="WXV4764" s="911"/>
      <c r="WXW4764" s="911"/>
      <c r="WXX4764" s="911"/>
      <c r="WXY4764" s="911"/>
      <c r="WXZ4764" s="911"/>
      <c r="WYA4764" s="911"/>
      <c r="WYB4764" s="911"/>
      <c r="WYC4764" s="32"/>
      <c r="WYD4764" s="911" t="s">
        <v>74</v>
      </c>
      <c r="WYE4764" s="911"/>
      <c r="WYF4764" s="911"/>
      <c r="WYG4764" s="911"/>
      <c r="WYH4764" s="911"/>
      <c r="WYI4764" s="911"/>
      <c r="WYJ4764" s="911"/>
      <c r="WYK4764" s="911"/>
      <c r="WYL4764" s="911"/>
      <c r="WYM4764" s="912"/>
      <c r="WYO4764" s="913" t="s">
        <v>1</v>
      </c>
      <c r="WYP4764" s="31"/>
      <c r="WYQ4764" s="909" t="s">
        <v>0</v>
      </c>
      <c r="WYR4764" s="909"/>
      <c r="WYS4764" s="909"/>
      <c r="WYT4764" s="909"/>
      <c r="WYU4764" s="909"/>
      <c r="WYV4764" s="909"/>
      <c r="WYW4764" s="907" t="s">
        <v>79</v>
      </c>
      <c r="WYX4764" s="909" t="s">
        <v>68</v>
      </c>
      <c r="WYY4764" s="910" t="s">
        <v>75</v>
      </c>
      <c r="WYZ4764" s="911"/>
      <c r="WZA4764" s="911"/>
      <c r="WZB4764" s="911"/>
      <c r="WZC4764" s="911"/>
      <c r="WZD4764" s="911"/>
      <c r="WZE4764" s="911"/>
      <c r="WZF4764" s="911"/>
      <c r="WZG4764" s="911"/>
      <c r="WZH4764" s="911"/>
      <c r="WZI4764" s="32"/>
      <c r="WZJ4764" s="911" t="s">
        <v>74</v>
      </c>
      <c r="WZK4764" s="911"/>
      <c r="WZL4764" s="911"/>
      <c r="WZM4764" s="911"/>
      <c r="WZN4764" s="911"/>
      <c r="WZO4764" s="911"/>
      <c r="WZP4764" s="911"/>
      <c r="WZQ4764" s="911"/>
      <c r="WZR4764" s="911"/>
      <c r="WZS4764" s="912"/>
      <c r="WZU4764" s="913" t="s">
        <v>1</v>
      </c>
      <c r="WZV4764" s="31"/>
      <c r="WZW4764" s="909" t="s">
        <v>0</v>
      </c>
      <c r="WZX4764" s="909"/>
      <c r="WZY4764" s="909"/>
      <c r="WZZ4764" s="909"/>
      <c r="XAA4764" s="909"/>
      <c r="XAB4764" s="909"/>
      <c r="XAC4764" s="907" t="s">
        <v>79</v>
      </c>
      <c r="XAD4764" s="909" t="s">
        <v>68</v>
      </c>
      <c r="XAE4764" s="910" t="s">
        <v>75</v>
      </c>
      <c r="XAF4764" s="911"/>
      <c r="XAG4764" s="911"/>
      <c r="XAH4764" s="911"/>
      <c r="XAI4764" s="911"/>
      <c r="XAJ4764" s="911"/>
      <c r="XAK4764" s="911"/>
      <c r="XAL4764" s="911"/>
      <c r="XAM4764" s="911"/>
      <c r="XAN4764" s="911"/>
      <c r="XAO4764" s="32"/>
      <c r="XAP4764" s="911" t="s">
        <v>74</v>
      </c>
      <c r="XAQ4764" s="911"/>
      <c r="XAR4764" s="911"/>
      <c r="XAS4764" s="911"/>
      <c r="XAT4764" s="911"/>
      <c r="XAU4764" s="911"/>
      <c r="XAV4764" s="911"/>
      <c r="XAW4764" s="911"/>
      <c r="XAX4764" s="911"/>
      <c r="XAY4764" s="912"/>
      <c r="XBA4764" s="913" t="s">
        <v>1</v>
      </c>
      <c r="XBB4764" s="31"/>
      <c r="XBC4764" s="909" t="s">
        <v>0</v>
      </c>
      <c r="XBD4764" s="909"/>
      <c r="XBE4764" s="909"/>
      <c r="XBF4764" s="909"/>
      <c r="XBG4764" s="909"/>
      <c r="XBH4764" s="909"/>
      <c r="XBI4764" s="907" t="s">
        <v>79</v>
      </c>
      <c r="XBJ4764" s="909" t="s">
        <v>68</v>
      </c>
      <c r="XBK4764" s="910" t="s">
        <v>75</v>
      </c>
      <c r="XBL4764" s="911"/>
      <c r="XBM4764" s="911"/>
      <c r="XBN4764" s="911"/>
      <c r="XBO4764" s="911"/>
      <c r="XBP4764" s="911"/>
      <c r="XBQ4764" s="911"/>
      <c r="XBR4764" s="911"/>
      <c r="XBS4764" s="911"/>
      <c r="XBT4764" s="911"/>
      <c r="XBU4764" s="32"/>
      <c r="XBV4764" s="911" t="s">
        <v>74</v>
      </c>
      <c r="XBW4764" s="911"/>
      <c r="XBX4764" s="911"/>
      <c r="XBY4764" s="911"/>
      <c r="XBZ4764" s="911"/>
      <c r="XCA4764" s="911"/>
      <c r="XCB4764" s="911"/>
      <c r="XCC4764" s="911"/>
      <c r="XCD4764" s="911"/>
      <c r="XCE4764" s="912"/>
      <c r="XCG4764" s="913" t="s">
        <v>1</v>
      </c>
      <c r="XCH4764" s="31"/>
      <c r="XCI4764" s="909" t="s">
        <v>0</v>
      </c>
      <c r="XCJ4764" s="909"/>
      <c r="XCK4764" s="909"/>
      <c r="XCL4764" s="909"/>
      <c r="XCM4764" s="909"/>
      <c r="XCN4764" s="909"/>
      <c r="XCO4764" s="907" t="s">
        <v>79</v>
      </c>
      <c r="XCP4764" s="909" t="s">
        <v>68</v>
      </c>
      <c r="XCQ4764" s="910" t="s">
        <v>75</v>
      </c>
      <c r="XCR4764" s="911"/>
      <c r="XCS4764" s="911"/>
      <c r="XCT4764" s="911"/>
      <c r="XCU4764" s="911"/>
      <c r="XCV4764" s="911"/>
      <c r="XCW4764" s="911"/>
      <c r="XCX4764" s="911"/>
      <c r="XCY4764" s="911"/>
      <c r="XCZ4764" s="911"/>
      <c r="XDA4764" s="32"/>
      <c r="XDB4764" s="911" t="s">
        <v>74</v>
      </c>
      <c r="XDC4764" s="911"/>
      <c r="XDD4764" s="911"/>
      <c r="XDE4764" s="911"/>
      <c r="XDF4764" s="911"/>
      <c r="XDG4764" s="911"/>
      <c r="XDH4764" s="911"/>
      <c r="XDI4764" s="911"/>
      <c r="XDJ4764" s="911"/>
      <c r="XDK4764" s="912"/>
      <c r="XDM4764" s="913" t="s">
        <v>1</v>
      </c>
      <c r="XDN4764" s="31"/>
      <c r="XDO4764" s="909" t="s">
        <v>0</v>
      </c>
      <c r="XDP4764" s="909"/>
      <c r="XDQ4764" s="909"/>
      <c r="XDR4764" s="909"/>
      <c r="XDS4764" s="909"/>
      <c r="XDT4764" s="909"/>
      <c r="XDU4764" s="907" t="s">
        <v>79</v>
      </c>
      <c r="XDV4764" s="909" t="s">
        <v>68</v>
      </c>
      <c r="XDW4764" s="910" t="s">
        <v>75</v>
      </c>
      <c r="XDX4764" s="911"/>
      <c r="XDY4764" s="911"/>
      <c r="XDZ4764" s="911"/>
      <c r="XEA4764" s="911"/>
      <c r="XEB4764" s="911"/>
      <c r="XEC4764" s="911"/>
      <c r="XED4764" s="911"/>
      <c r="XEE4764" s="911"/>
      <c r="XEF4764" s="911"/>
      <c r="XEG4764" s="32"/>
      <c r="XEH4764" s="911" t="s">
        <v>74</v>
      </c>
      <c r="XEI4764" s="911"/>
      <c r="XEJ4764" s="911"/>
      <c r="XEK4764" s="911"/>
      <c r="XEL4764" s="911"/>
      <c r="XEM4764" s="911"/>
      <c r="XEN4764" s="911"/>
      <c r="XEO4764" s="911"/>
      <c r="XEP4764" s="911"/>
      <c r="XEQ4764" s="912"/>
    </row>
    <row r="4765" spans="2:16372" hidden="1">
      <c r="B4765" s="19"/>
      <c r="C4765" s="19"/>
      <c r="D4765" s="19"/>
      <c r="E4765" s="19"/>
      <c r="F4765" s="19"/>
      <c r="G4765" s="19"/>
      <c r="H4765" s="19"/>
      <c r="I4765" s="19"/>
      <c r="J4765" s="19"/>
      <c r="K4765" s="421"/>
      <c r="L4765" s="23"/>
      <c r="M4765" s="19"/>
      <c r="N4765" s="19"/>
      <c r="O4765" s="19"/>
      <c r="P4765" s="19"/>
      <c r="Q4765" s="19"/>
      <c r="AC4765" s="919"/>
      <c r="AD4765" s="918"/>
      <c r="AE4765" s="33"/>
      <c r="AF4765" s="33"/>
      <c r="AG4765" s="33"/>
      <c r="AH4765" s="33"/>
      <c r="AI4765" s="33"/>
      <c r="AJ4765" s="33"/>
      <c r="AK4765" s="33"/>
      <c r="AL4765" s="33"/>
      <c r="AM4765" s="33"/>
      <c r="AN4765" s="33"/>
      <c r="AO4765" s="33"/>
      <c r="AP4765" s="33"/>
      <c r="AQ4765" s="33"/>
      <c r="AR4765" s="33"/>
      <c r="AS4765" s="33"/>
      <c r="AT4765" s="33"/>
      <c r="AU4765" s="33"/>
      <c r="AV4765" s="33"/>
      <c r="AW4765" s="33"/>
      <c r="AX4765" s="33"/>
      <c r="AY4765" s="33"/>
      <c r="BA4765" s="913"/>
      <c r="BB4765" s="31">
        <v>1</v>
      </c>
      <c r="BC4765" s="34">
        <v>0</v>
      </c>
      <c r="BD4765" s="34">
        <v>-1</v>
      </c>
      <c r="BE4765" s="34">
        <v>-2</v>
      </c>
      <c r="BF4765" s="34">
        <v>-3</v>
      </c>
      <c r="BG4765" s="34">
        <v>-4</v>
      </c>
      <c r="BH4765" s="34">
        <v>-5</v>
      </c>
      <c r="BI4765" s="908"/>
      <c r="BJ4765" s="909"/>
      <c r="BK4765" s="34">
        <v>-5</v>
      </c>
      <c r="BL4765" s="34">
        <v>-4.5</v>
      </c>
      <c r="BM4765" s="34">
        <v>-4</v>
      </c>
      <c r="BN4765" s="34">
        <v>-3.5</v>
      </c>
      <c r="BO4765" s="34">
        <v>-3</v>
      </c>
      <c r="BP4765" s="34">
        <v>-2.5</v>
      </c>
      <c r="BQ4765" s="34">
        <v>-2</v>
      </c>
      <c r="BR4765" s="34">
        <v>-1.5</v>
      </c>
      <c r="BS4765" s="34">
        <v>-1</v>
      </c>
      <c r="BT4765" s="34">
        <v>-0.5</v>
      </c>
      <c r="BU4765" s="34">
        <v>0</v>
      </c>
      <c r="BV4765" s="34">
        <v>0.5</v>
      </c>
      <c r="BW4765" s="34">
        <v>1</v>
      </c>
      <c r="BX4765" s="34">
        <v>1.5</v>
      </c>
      <c r="BY4765" s="34">
        <v>2</v>
      </c>
      <c r="BZ4765" s="34">
        <v>2.5</v>
      </c>
      <c r="CA4765" s="34">
        <v>3</v>
      </c>
      <c r="CB4765" s="34">
        <v>3.5</v>
      </c>
      <c r="CC4765" s="34">
        <v>4</v>
      </c>
      <c r="CD4765" s="34">
        <v>4.5</v>
      </c>
      <c r="CE4765" s="34">
        <v>5</v>
      </c>
      <c r="CG4765" s="913"/>
      <c r="CH4765" s="31">
        <v>1</v>
      </c>
      <c r="CI4765" s="34">
        <v>0</v>
      </c>
      <c r="CJ4765" s="34">
        <v>-1</v>
      </c>
      <c r="CK4765" s="34">
        <v>-2</v>
      </c>
      <c r="CL4765" s="34">
        <v>-3</v>
      </c>
      <c r="CM4765" s="34">
        <v>-4</v>
      </c>
      <c r="CN4765" s="34">
        <v>-5</v>
      </c>
      <c r="CO4765" s="908"/>
      <c r="CP4765" s="909"/>
      <c r="CQ4765" s="34">
        <v>-5</v>
      </c>
      <c r="CR4765" s="34">
        <v>-4.5</v>
      </c>
      <c r="CS4765" s="34">
        <v>-4</v>
      </c>
      <c r="CT4765" s="34">
        <v>-3.5</v>
      </c>
      <c r="CU4765" s="34">
        <v>-3</v>
      </c>
      <c r="CV4765" s="34">
        <v>-2.5</v>
      </c>
      <c r="CW4765" s="34">
        <v>-2</v>
      </c>
      <c r="CX4765" s="34">
        <v>-1.5</v>
      </c>
      <c r="CY4765" s="34">
        <v>-1</v>
      </c>
      <c r="CZ4765" s="34">
        <v>-0.5</v>
      </c>
      <c r="DA4765" s="34">
        <v>0</v>
      </c>
      <c r="DB4765" s="34">
        <v>0.5</v>
      </c>
      <c r="DC4765" s="34">
        <v>1</v>
      </c>
      <c r="DD4765" s="34">
        <v>1.5</v>
      </c>
      <c r="DE4765" s="34">
        <v>2</v>
      </c>
      <c r="DF4765" s="34">
        <v>2.5</v>
      </c>
      <c r="DG4765" s="34">
        <v>3</v>
      </c>
      <c r="DH4765" s="34">
        <v>3.5</v>
      </c>
      <c r="DI4765" s="34">
        <v>4</v>
      </c>
      <c r="DJ4765" s="34">
        <v>4.5</v>
      </c>
      <c r="DK4765" s="34">
        <v>5</v>
      </c>
      <c r="DM4765" s="913"/>
      <c r="DN4765" s="31">
        <v>1</v>
      </c>
      <c r="DO4765" s="34">
        <v>0</v>
      </c>
      <c r="DP4765" s="34">
        <v>-1</v>
      </c>
      <c r="DQ4765" s="34">
        <v>-2</v>
      </c>
      <c r="DR4765" s="34">
        <v>-3</v>
      </c>
      <c r="DS4765" s="34">
        <v>-4</v>
      </c>
      <c r="DT4765" s="34">
        <v>-5</v>
      </c>
      <c r="DU4765" s="908"/>
      <c r="DV4765" s="909"/>
      <c r="DW4765" s="34">
        <v>-5</v>
      </c>
      <c r="DX4765" s="34">
        <v>-4.5</v>
      </c>
      <c r="DY4765" s="34">
        <v>-4</v>
      </c>
      <c r="DZ4765" s="34">
        <v>-3.5</v>
      </c>
      <c r="EA4765" s="34">
        <v>-3</v>
      </c>
      <c r="EB4765" s="34">
        <v>-2.5</v>
      </c>
      <c r="EC4765" s="34">
        <v>-2</v>
      </c>
      <c r="ED4765" s="34">
        <v>-1.5</v>
      </c>
      <c r="EE4765" s="34">
        <v>-1</v>
      </c>
      <c r="EF4765" s="34">
        <v>-0.5</v>
      </c>
      <c r="EG4765" s="34">
        <v>0</v>
      </c>
      <c r="EH4765" s="34">
        <v>0.5</v>
      </c>
      <c r="EI4765" s="34">
        <v>1</v>
      </c>
      <c r="EJ4765" s="34">
        <v>1.5</v>
      </c>
      <c r="EK4765" s="34">
        <v>2</v>
      </c>
      <c r="EL4765" s="34">
        <v>2.5</v>
      </c>
      <c r="EM4765" s="34">
        <v>3</v>
      </c>
      <c r="EN4765" s="34">
        <v>3.5</v>
      </c>
      <c r="EO4765" s="34">
        <v>4</v>
      </c>
      <c r="EP4765" s="34">
        <v>4.5</v>
      </c>
      <c r="EQ4765" s="34">
        <v>5</v>
      </c>
      <c r="ES4765" s="913"/>
      <c r="ET4765" s="31">
        <v>1</v>
      </c>
      <c r="EU4765" s="34">
        <v>0</v>
      </c>
      <c r="EV4765" s="34">
        <v>-1</v>
      </c>
      <c r="EW4765" s="34">
        <v>-2</v>
      </c>
      <c r="EX4765" s="34">
        <v>-3</v>
      </c>
      <c r="EY4765" s="34">
        <v>-4</v>
      </c>
      <c r="EZ4765" s="34">
        <v>-5</v>
      </c>
      <c r="FA4765" s="908"/>
      <c r="FB4765" s="909"/>
      <c r="FC4765" s="34">
        <v>-5</v>
      </c>
      <c r="FD4765" s="34">
        <v>-4.5</v>
      </c>
      <c r="FE4765" s="34">
        <v>-4</v>
      </c>
      <c r="FF4765" s="34">
        <v>-3.5</v>
      </c>
      <c r="FG4765" s="34">
        <v>-3</v>
      </c>
      <c r="FH4765" s="34">
        <v>-2.5</v>
      </c>
      <c r="FI4765" s="34">
        <v>-2</v>
      </c>
      <c r="FJ4765" s="34">
        <v>-1.5</v>
      </c>
      <c r="FK4765" s="34">
        <v>-1</v>
      </c>
      <c r="FL4765" s="34">
        <v>-0.5</v>
      </c>
      <c r="FM4765" s="34">
        <v>0</v>
      </c>
      <c r="FN4765" s="34">
        <v>0.5</v>
      </c>
      <c r="FO4765" s="34">
        <v>1</v>
      </c>
      <c r="FP4765" s="34">
        <v>1.5</v>
      </c>
      <c r="FQ4765" s="34">
        <v>2</v>
      </c>
      <c r="FR4765" s="34">
        <v>2.5</v>
      </c>
      <c r="FS4765" s="34">
        <v>3</v>
      </c>
      <c r="FT4765" s="34">
        <v>3.5</v>
      </c>
      <c r="FU4765" s="34">
        <v>4</v>
      </c>
      <c r="FV4765" s="34">
        <v>4.5</v>
      </c>
      <c r="FW4765" s="34">
        <v>5</v>
      </c>
      <c r="FY4765" s="913"/>
      <c r="FZ4765" s="31">
        <v>1</v>
      </c>
      <c r="GA4765" s="34">
        <v>0</v>
      </c>
      <c r="GB4765" s="34">
        <v>-1</v>
      </c>
      <c r="GC4765" s="34">
        <v>-2</v>
      </c>
      <c r="GD4765" s="34">
        <v>-3</v>
      </c>
      <c r="GE4765" s="34">
        <v>-4</v>
      </c>
      <c r="GF4765" s="34">
        <v>-5</v>
      </c>
      <c r="GG4765" s="908"/>
      <c r="GH4765" s="909"/>
      <c r="GI4765" s="34">
        <v>-5</v>
      </c>
      <c r="GJ4765" s="34">
        <v>-4.5</v>
      </c>
      <c r="GK4765" s="34">
        <v>-4</v>
      </c>
      <c r="GL4765" s="34">
        <v>-3.5</v>
      </c>
      <c r="GM4765" s="34">
        <v>-3</v>
      </c>
      <c r="GN4765" s="34">
        <v>-2.5</v>
      </c>
      <c r="GO4765" s="34">
        <v>-2</v>
      </c>
      <c r="GP4765" s="34">
        <v>-1.5</v>
      </c>
      <c r="GQ4765" s="34">
        <v>-1</v>
      </c>
      <c r="GR4765" s="34">
        <v>-0.5</v>
      </c>
      <c r="GS4765" s="34">
        <v>0</v>
      </c>
      <c r="GT4765" s="34">
        <v>0.5</v>
      </c>
      <c r="GU4765" s="34">
        <v>1</v>
      </c>
      <c r="GV4765" s="34">
        <v>1.5</v>
      </c>
      <c r="GW4765" s="34">
        <v>2</v>
      </c>
      <c r="GX4765" s="34">
        <v>2.5</v>
      </c>
      <c r="GY4765" s="34">
        <v>3</v>
      </c>
      <c r="GZ4765" s="34">
        <v>3.5</v>
      </c>
      <c r="HA4765" s="34">
        <v>4</v>
      </c>
      <c r="HB4765" s="34">
        <v>4.5</v>
      </c>
      <c r="HC4765" s="34">
        <v>5</v>
      </c>
      <c r="HE4765" s="913"/>
      <c r="HF4765" s="31">
        <v>1</v>
      </c>
      <c r="HG4765" s="34">
        <v>0</v>
      </c>
      <c r="HH4765" s="34">
        <v>-1</v>
      </c>
      <c r="HI4765" s="34">
        <v>-2</v>
      </c>
      <c r="HJ4765" s="34">
        <v>-3</v>
      </c>
      <c r="HK4765" s="34">
        <v>-4</v>
      </c>
      <c r="HL4765" s="34">
        <v>-5</v>
      </c>
      <c r="HM4765" s="908"/>
      <c r="HN4765" s="909"/>
      <c r="HO4765" s="34">
        <v>-5</v>
      </c>
      <c r="HP4765" s="34">
        <v>-4.5</v>
      </c>
      <c r="HQ4765" s="34">
        <v>-4</v>
      </c>
      <c r="HR4765" s="34">
        <v>-3.5</v>
      </c>
      <c r="HS4765" s="34">
        <v>-3</v>
      </c>
      <c r="HT4765" s="34">
        <v>-2.5</v>
      </c>
      <c r="HU4765" s="34">
        <v>-2</v>
      </c>
      <c r="HV4765" s="34">
        <v>-1.5</v>
      </c>
      <c r="HW4765" s="34">
        <v>-1</v>
      </c>
      <c r="HX4765" s="34">
        <v>-0.5</v>
      </c>
      <c r="HY4765" s="34">
        <v>0</v>
      </c>
      <c r="HZ4765" s="34">
        <v>0.5</v>
      </c>
      <c r="IA4765" s="34">
        <v>1</v>
      </c>
      <c r="IB4765" s="34">
        <v>1.5</v>
      </c>
      <c r="IC4765" s="34">
        <v>2</v>
      </c>
      <c r="ID4765" s="34">
        <v>2.5</v>
      </c>
      <c r="IE4765" s="34">
        <v>3</v>
      </c>
      <c r="IF4765" s="34">
        <v>3.5</v>
      </c>
      <c r="IG4765" s="34">
        <v>4</v>
      </c>
      <c r="IH4765" s="34">
        <v>4.5</v>
      </c>
      <c r="II4765" s="34">
        <v>5</v>
      </c>
      <c r="IK4765" s="913"/>
      <c r="IL4765" s="31">
        <v>1</v>
      </c>
      <c r="IM4765" s="34">
        <v>0</v>
      </c>
      <c r="IN4765" s="34">
        <v>-1</v>
      </c>
      <c r="IO4765" s="34">
        <v>-2</v>
      </c>
      <c r="IP4765" s="34">
        <v>-3</v>
      </c>
      <c r="IQ4765" s="34">
        <v>-4</v>
      </c>
      <c r="IR4765" s="34">
        <v>-5</v>
      </c>
      <c r="IS4765" s="908"/>
      <c r="IT4765" s="909"/>
      <c r="IU4765" s="34">
        <v>-5</v>
      </c>
      <c r="IV4765" s="34">
        <v>-4.5</v>
      </c>
      <c r="IW4765" s="34">
        <v>-4</v>
      </c>
      <c r="IX4765" s="34">
        <v>-3.5</v>
      </c>
      <c r="IY4765" s="34">
        <v>-3</v>
      </c>
      <c r="IZ4765" s="34">
        <v>-2.5</v>
      </c>
      <c r="JA4765" s="34">
        <v>-2</v>
      </c>
      <c r="JB4765" s="34">
        <v>-1.5</v>
      </c>
      <c r="JC4765" s="34">
        <v>-1</v>
      </c>
      <c r="JD4765" s="34">
        <v>-0.5</v>
      </c>
      <c r="JE4765" s="34">
        <v>0</v>
      </c>
      <c r="JF4765" s="34">
        <v>0.5</v>
      </c>
      <c r="JG4765" s="34">
        <v>1</v>
      </c>
      <c r="JH4765" s="34">
        <v>1.5</v>
      </c>
      <c r="JI4765" s="34">
        <v>2</v>
      </c>
      <c r="JJ4765" s="34">
        <v>2.5</v>
      </c>
      <c r="JK4765" s="34">
        <v>3</v>
      </c>
      <c r="JL4765" s="34">
        <v>3.5</v>
      </c>
      <c r="JM4765" s="34">
        <v>4</v>
      </c>
      <c r="JN4765" s="34">
        <v>4.5</v>
      </c>
      <c r="JO4765" s="34">
        <v>5</v>
      </c>
      <c r="JQ4765" s="913"/>
      <c r="JR4765" s="31">
        <v>1</v>
      </c>
      <c r="JS4765" s="34">
        <v>0</v>
      </c>
      <c r="JT4765" s="34">
        <v>-1</v>
      </c>
      <c r="JU4765" s="34">
        <v>-2</v>
      </c>
      <c r="JV4765" s="34">
        <v>-3</v>
      </c>
      <c r="JW4765" s="34">
        <v>-4</v>
      </c>
      <c r="JX4765" s="34">
        <v>-5</v>
      </c>
      <c r="JY4765" s="908"/>
      <c r="JZ4765" s="909"/>
      <c r="KA4765" s="34">
        <v>-5</v>
      </c>
      <c r="KB4765" s="34">
        <v>-4.5</v>
      </c>
      <c r="KC4765" s="34">
        <v>-4</v>
      </c>
      <c r="KD4765" s="34">
        <v>-3.5</v>
      </c>
      <c r="KE4765" s="34">
        <v>-3</v>
      </c>
      <c r="KF4765" s="34">
        <v>-2.5</v>
      </c>
      <c r="KG4765" s="34">
        <v>-2</v>
      </c>
      <c r="KH4765" s="34">
        <v>-1.5</v>
      </c>
      <c r="KI4765" s="34">
        <v>-1</v>
      </c>
      <c r="KJ4765" s="34">
        <v>-0.5</v>
      </c>
      <c r="KK4765" s="34">
        <v>0</v>
      </c>
      <c r="KL4765" s="34">
        <v>0.5</v>
      </c>
      <c r="KM4765" s="34">
        <v>1</v>
      </c>
      <c r="KN4765" s="34">
        <v>1.5</v>
      </c>
      <c r="KO4765" s="34">
        <v>2</v>
      </c>
      <c r="KP4765" s="34">
        <v>2.5</v>
      </c>
      <c r="KQ4765" s="34">
        <v>3</v>
      </c>
      <c r="KR4765" s="34">
        <v>3.5</v>
      </c>
      <c r="KS4765" s="34">
        <v>4</v>
      </c>
      <c r="KT4765" s="34">
        <v>4.5</v>
      </c>
      <c r="KU4765" s="34">
        <v>5</v>
      </c>
      <c r="KW4765" s="913"/>
      <c r="KX4765" s="31">
        <v>1</v>
      </c>
      <c r="KY4765" s="34">
        <v>0</v>
      </c>
      <c r="KZ4765" s="34">
        <v>-1</v>
      </c>
      <c r="LA4765" s="34">
        <v>-2</v>
      </c>
      <c r="LB4765" s="34">
        <v>-3</v>
      </c>
      <c r="LC4765" s="34">
        <v>-4</v>
      </c>
      <c r="LD4765" s="34">
        <v>-5</v>
      </c>
      <c r="LE4765" s="908"/>
      <c r="LF4765" s="909"/>
      <c r="LG4765" s="34">
        <v>-5</v>
      </c>
      <c r="LH4765" s="34">
        <v>-4.5</v>
      </c>
      <c r="LI4765" s="34">
        <v>-4</v>
      </c>
      <c r="LJ4765" s="34">
        <v>-3.5</v>
      </c>
      <c r="LK4765" s="34">
        <v>-3</v>
      </c>
      <c r="LL4765" s="34">
        <v>-2.5</v>
      </c>
      <c r="LM4765" s="34">
        <v>-2</v>
      </c>
      <c r="LN4765" s="34">
        <v>-1.5</v>
      </c>
      <c r="LO4765" s="34">
        <v>-1</v>
      </c>
      <c r="LP4765" s="34">
        <v>-0.5</v>
      </c>
      <c r="LQ4765" s="34">
        <v>0</v>
      </c>
      <c r="LR4765" s="34">
        <v>0.5</v>
      </c>
      <c r="LS4765" s="34">
        <v>1</v>
      </c>
      <c r="LT4765" s="34">
        <v>1.5</v>
      </c>
      <c r="LU4765" s="34">
        <v>2</v>
      </c>
      <c r="LV4765" s="34">
        <v>2.5</v>
      </c>
      <c r="LW4765" s="34">
        <v>3</v>
      </c>
      <c r="LX4765" s="34">
        <v>3.5</v>
      </c>
      <c r="LY4765" s="34">
        <v>4</v>
      </c>
      <c r="LZ4765" s="34">
        <v>4.5</v>
      </c>
      <c r="MA4765" s="34">
        <v>5</v>
      </c>
      <c r="MC4765" s="913"/>
      <c r="MD4765" s="31">
        <v>1</v>
      </c>
      <c r="ME4765" s="34">
        <v>0</v>
      </c>
      <c r="MF4765" s="34">
        <v>-1</v>
      </c>
      <c r="MG4765" s="34">
        <v>-2</v>
      </c>
      <c r="MH4765" s="34">
        <v>-3</v>
      </c>
      <c r="MI4765" s="34">
        <v>-4</v>
      </c>
      <c r="MJ4765" s="34">
        <v>-5</v>
      </c>
      <c r="MK4765" s="908"/>
      <c r="ML4765" s="909"/>
      <c r="MM4765" s="34">
        <v>-5</v>
      </c>
      <c r="MN4765" s="34">
        <v>-4.5</v>
      </c>
      <c r="MO4765" s="34">
        <v>-4</v>
      </c>
      <c r="MP4765" s="34">
        <v>-3.5</v>
      </c>
      <c r="MQ4765" s="34">
        <v>-3</v>
      </c>
      <c r="MR4765" s="34">
        <v>-2.5</v>
      </c>
      <c r="MS4765" s="34">
        <v>-2</v>
      </c>
      <c r="MT4765" s="34">
        <v>-1.5</v>
      </c>
      <c r="MU4765" s="34">
        <v>-1</v>
      </c>
      <c r="MV4765" s="34">
        <v>-0.5</v>
      </c>
      <c r="MW4765" s="34">
        <v>0</v>
      </c>
      <c r="MX4765" s="34">
        <v>0.5</v>
      </c>
      <c r="MY4765" s="34">
        <v>1</v>
      </c>
      <c r="MZ4765" s="34">
        <v>1.5</v>
      </c>
      <c r="NA4765" s="34">
        <v>2</v>
      </c>
      <c r="NB4765" s="34">
        <v>2.5</v>
      </c>
      <c r="NC4765" s="34">
        <v>3</v>
      </c>
      <c r="ND4765" s="34">
        <v>3.5</v>
      </c>
      <c r="NE4765" s="34">
        <v>4</v>
      </c>
      <c r="NF4765" s="34">
        <v>4.5</v>
      </c>
      <c r="NG4765" s="34">
        <v>5</v>
      </c>
      <c r="NI4765" s="913"/>
      <c r="NJ4765" s="31">
        <v>1</v>
      </c>
      <c r="NK4765" s="34">
        <v>0</v>
      </c>
      <c r="NL4765" s="34">
        <v>-1</v>
      </c>
      <c r="NM4765" s="34">
        <v>-2</v>
      </c>
      <c r="NN4765" s="34">
        <v>-3</v>
      </c>
      <c r="NO4765" s="34">
        <v>-4</v>
      </c>
      <c r="NP4765" s="34">
        <v>-5</v>
      </c>
      <c r="NQ4765" s="908"/>
      <c r="NR4765" s="909"/>
      <c r="NS4765" s="34">
        <v>-5</v>
      </c>
      <c r="NT4765" s="34">
        <v>-4.5</v>
      </c>
      <c r="NU4765" s="34">
        <v>-4</v>
      </c>
      <c r="NV4765" s="34">
        <v>-3.5</v>
      </c>
      <c r="NW4765" s="34">
        <v>-3</v>
      </c>
      <c r="NX4765" s="34">
        <v>-2.5</v>
      </c>
      <c r="NY4765" s="34">
        <v>-2</v>
      </c>
      <c r="NZ4765" s="34">
        <v>-1.5</v>
      </c>
      <c r="OA4765" s="34">
        <v>-1</v>
      </c>
      <c r="OB4765" s="34">
        <v>-0.5</v>
      </c>
      <c r="OC4765" s="34">
        <v>0</v>
      </c>
      <c r="OD4765" s="34">
        <v>0.5</v>
      </c>
      <c r="OE4765" s="34">
        <v>1</v>
      </c>
      <c r="OF4765" s="34">
        <v>1.5</v>
      </c>
      <c r="OG4765" s="34">
        <v>2</v>
      </c>
      <c r="OH4765" s="34">
        <v>2.5</v>
      </c>
      <c r="OI4765" s="34">
        <v>3</v>
      </c>
      <c r="OJ4765" s="34">
        <v>3.5</v>
      </c>
      <c r="OK4765" s="34">
        <v>4</v>
      </c>
      <c r="OL4765" s="34">
        <v>4.5</v>
      </c>
      <c r="OM4765" s="34">
        <v>5</v>
      </c>
      <c r="OO4765" s="913"/>
      <c r="OP4765" s="31">
        <v>1</v>
      </c>
      <c r="OQ4765" s="34">
        <v>0</v>
      </c>
      <c r="OR4765" s="34">
        <v>-1</v>
      </c>
      <c r="OS4765" s="34">
        <v>-2</v>
      </c>
      <c r="OT4765" s="34">
        <v>-3</v>
      </c>
      <c r="OU4765" s="34">
        <v>-4</v>
      </c>
      <c r="OV4765" s="34">
        <v>-5</v>
      </c>
      <c r="OW4765" s="908"/>
      <c r="OX4765" s="909"/>
      <c r="OY4765" s="34">
        <v>-5</v>
      </c>
      <c r="OZ4765" s="34">
        <v>-4.5</v>
      </c>
      <c r="PA4765" s="34">
        <v>-4</v>
      </c>
      <c r="PB4765" s="34">
        <v>-3.5</v>
      </c>
      <c r="PC4765" s="34">
        <v>-3</v>
      </c>
      <c r="PD4765" s="34">
        <v>-2.5</v>
      </c>
      <c r="PE4765" s="34">
        <v>-2</v>
      </c>
      <c r="PF4765" s="34">
        <v>-1.5</v>
      </c>
      <c r="PG4765" s="34">
        <v>-1</v>
      </c>
      <c r="PH4765" s="34">
        <v>-0.5</v>
      </c>
      <c r="PI4765" s="34">
        <v>0</v>
      </c>
      <c r="PJ4765" s="34">
        <v>0.5</v>
      </c>
      <c r="PK4765" s="34">
        <v>1</v>
      </c>
      <c r="PL4765" s="34">
        <v>1.5</v>
      </c>
      <c r="PM4765" s="34">
        <v>2</v>
      </c>
      <c r="PN4765" s="34">
        <v>2.5</v>
      </c>
      <c r="PO4765" s="34">
        <v>3</v>
      </c>
      <c r="PP4765" s="34">
        <v>3.5</v>
      </c>
      <c r="PQ4765" s="34">
        <v>4</v>
      </c>
      <c r="PR4765" s="34">
        <v>4.5</v>
      </c>
      <c r="PS4765" s="34">
        <v>5</v>
      </c>
      <c r="PU4765" s="913"/>
      <c r="PV4765" s="31">
        <v>1</v>
      </c>
      <c r="PW4765" s="34">
        <v>0</v>
      </c>
      <c r="PX4765" s="34">
        <v>-1</v>
      </c>
      <c r="PY4765" s="34">
        <v>-2</v>
      </c>
      <c r="PZ4765" s="34">
        <v>-3</v>
      </c>
      <c r="QA4765" s="34">
        <v>-4</v>
      </c>
      <c r="QB4765" s="34">
        <v>-5</v>
      </c>
      <c r="QC4765" s="908"/>
      <c r="QD4765" s="909"/>
      <c r="QE4765" s="34">
        <v>-5</v>
      </c>
      <c r="QF4765" s="34">
        <v>-4.5</v>
      </c>
      <c r="QG4765" s="34">
        <v>-4</v>
      </c>
      <c r="QH4765" s="34">
        <v>-3.5</v>
      </c>
      <c r="QI4765" s="34">
        <v>-3</v>
      </c>
      <c r="QJ4765" s="34">
        <v>-2.5</v>
      </c>
      <c r="QK4765" s="34">
        <v>-2</v>
      </c>
      <c r="QL4765" s="34">
        <v>-1.5</v>
      </c>
      <c r="QM4765" s="34">
        <v>-1</v>
      </c>
      <c r="QN4765" s="34">
        <v>-0.5</v>
      </c>
      <c r="QO4765" s="34">
        <v>0</v>
      </c>
      <c r="QP4765" s="34">
        <v>0.5</v>
      </c>
      <c r="QQ4765" s="34">
        <v>1</v>
      </c>
      <c r="QR4765" s="34">
        <v>1.5</v>
      </c>
      <c r="QS4765" s="34">
        <v>2</v>
      </c>
      <c r="QT4765" s="34">
        <v>2.5</v>
      </c>
      <c r="QU4765" s="34">
        <v>3</v>
      </c>
      <c r="QV4765" s="34">
        <v>3.5</v>
      </c>
      <c r="QW4765" s="34">
        <v>4</v>
      </c>
      <c r="QX4765" s="34">
        <v>4.5</v>
      </c>
      <c r="QY4765" s="34">
        <v>5</v>
      </c>
      <c r="RA4765" s="913"/>
      <c r="RB4765" s="31">
        <v>1</v>
      </c>
      <c r="RC4765" s="34">
        <v>0</v>
      </c>
      <c r="RD4765" s="34">
        <v>-1</v>
      </c>
      <c r="RE4765" s="34">
        <v>-2</v>
      </c>
      <c r="RF4765" s="34">
        <v>-3</v>
      </c>
      <c r="RG4765" s="34">
        <v>-4</v>
      </c>
      <c r="RH4765" s="34">
        <v>-5</v>
      </c>
      <c r="RI4765" s="908"/>
      <c r="RJ4765" s="909"/>
      <c r="RK4765" s="34">
        <v>-5</v>
      </c>
      <c r="RL4765" s="34">
        <v>-4.5</v>
      </c>
      <c r="RM4765" s="34">
        <v>-4</v>
      </c>
      <c r="RN4765" s="34">
        <v>-3.5</v>
      </c>
      <c r="RO4765" s="34">
        <v>-3</v>
      </c>
      <c r="RP4765" s="34">
        <v>-2.5</v>
      </c>
      <c r="RQ4765" s="34">
        <v>-2</v>
      </c>
      <c r="RR4765" s="34">
        <v>-1.5</v>
      </c>
      <c r="RS4765" s="34">
        <v>-1</v>
      </c>
      <c r="RT4765" s="34">
        <v>-0.5</v>
      </c>
      <c r="RU4765" s="34">
        <v>0</v>
      </c>
      <c r="RV4765" s="34">
        <v>0.5</v>
      </c>
      <c r="RW4765" s="34">
        <v>1</v>
      </c>
      <c r="RX4765" s="34">
        <v>1.5</v>
      </c>
      <c r="RY4765" s="34">
        <v>2</v>
      </c>
      <c r="RZ4765" s="34">
        <v>2.5</v>
      </c>
      <c r="SA4765" s="34">
        <v>3</v>
      </c>
      <c r="SB4765" s="34">
        <v>3.5</v>
      </c>
      <c r="SC4765" s="34">
        <v>4</v>
      </c>
      <c r="SD4765" s="34">
        <v>4.5</v>
      </c>
      <c r="SE4765" s="34">
        <v>5</v>
      </c>
      <c r="SG4765" s="913"/>
      <c r="SH4765" s="31">
        <v>1</v>
      </c>
      <c r="SI4765" s="34">
        <v>0</v>
      </c>
      <c r="SJ4765" s="34">
        <v>-1</v>
      </c>
      <c r="SK4765" s="34">
        <v>-2</v>
      </c>
      <c r="SL4765" s="34">
        <v>-3</v>
      </c>
      <c r="SM4765" s="34">
        <v>-4</v>
      </c>
      <c r="SN4765" s="34">
        <v>-5</v>
      </c>
      <c r="SO4765" s="908"/>
      <c r="SP4765" s="909"/>
      <c r="SQ4765" s="34">
        <v>-5</v>
      </c>
      <c r="SR4765" s="34">
        <v>-4.5</v>
      </c>
      <c r="SS4765" s="34">
        <v>-4</v>
      </c>
      <c r="ST4765" s="34">
        <v>-3.5</v>
      </c>
      <c r="SU4765" s="34">
        <v>-3</v>
      </c>
      <c r="SV4765" s="34">
        <v>-2.5</v>
      </c>
      <c r="SW4765" s="34">
        <v>-2</v>
      </c>
      <c r="SX4765" s="34">
        <v>-1.5</v>
      </c>
      <c r="SY4765" s="34">
        <v>-1</v>
      </c>
      <c r="SZ4765" s="34">
        <v>-0.5</v>
      </c>
      <c r="TA4765" s="34">
        <v>0</v>
      </c>
      <c r="TB4765" s="34">
        <v>0.5</v>
      </c>
      <c r="TC4765" s="34">
        <v>1</v>
      </c>
      <c r="TD4765" s="34">
        <v>1.5</v>
      </c>
      <c r="TE4765" s="34">
        <v>2</v>
      </c>
      <c r="TF4765" s="34">
        <v>2.5</v>
      </c>
      <c r="TG4765" s="34">
        <v>3</v>
      </c>
      <c r="TH4765" s="34">
        <v>3.5</v>
      </c>
      <c r="TI4765" s="34">
        <v>4</v>
      </c>
      <c r="TJ4765" s="34">
        <v>4.5</v>
      </c>
      <c r="TK4765" s="34">
        <v>5</v>
      </c>
      <c r="TM4765" s="913"/>
      <c r="TN4765" s="31">
        <v>1</v>
      </c>
      <c r="TO4765" s="34">
        <v>0</v>
      </c>
      <c r="TP4765" s="34">
        <v>-1</v>
      </c>
      <c r="TQ4765" s="34">
        <v>-2</v>
      </c>
      <c r="TR4765" s="34">
        <v>-3</v>
      </c>
      <c r="TS4765" s="34">
        <v>-4</v>
      </c>
      <c r="TT4765" s="34">
        <v>-5</v>
      </c>
      <c r="TU4765" s="908"/>
      <c r="TV4765" s="909"/>
      <c r="TW4765" s="34">
        <v>-5</v>
      </c>
      <c r="TX4765" s="34">
        <v>-4.5</v>
      </c>
      <c r="TY4765" s="34">
        <v>-4</v>
      </c>
      <c r="TZ4765" s="34">
        <v>-3.5</v>
      </c>
      <c r="UA4765" s="34">
        <v>-3</v>
      </c>
      <c r="UB4765" s="34">
        <v>-2.5</v>
      </c>
      <c r="UC4765" s="34">
        <v>-2</v>
      </c>
      <c r="UD4765" s="34">
        <v>-1.5</v>
      </c>
      <c r="UE4765" s="34">
        <v>-1</v>
      </c>
      <c r="UF4765" s="34">
        <v>-0.5</v>
      </c>
      <c r="UG4765" s="34">
        <v>0</v>
      </c>
      <c r="UH4765" s="34">
        <v>0.5</v>
      </c>
      <c r="UI4765" s="34">
        <v>1</v>
      </c>
      <c r="UJ4765" s="34">
        <v>1.5</v>
      </c>
      <c r="UK4765" s="34">
        <v>2</v>
      </c>
      <c r="UL4765" s="34">
        <v>2.5</v>
      </c>
      <c r="UM4765" s="34">
        <v>3</v>
      </c>
      <c r="UN4765" s="34">
        <v>3.5</v>
      </c>
      <c r="UO4765" s="34">
        <v>4</v>
      </c>
      <c r="UP4765" s="34">
        <v>4.5</v>
      </c>
      <c r="UQ4765" s="34">
        <v>5</v>
      </c>
      <c r="US4765" s="913"/>
      <c r="UT4765" s="31">
        <v>1</v>
      </c>
      <c r="UU4765" s="34">
        <v>0</v>
      </c>
      <c r="UV4765" s="34">
        <v>-1</v>
      </c>
      <c r="UW4765" s="34">
        <v>-2</v>
      </c>
      <c r="UX4765" s="34">
        <v>-3</v>
      </c>
      <c r="UY4765" s="34">
        <v>-4</v>
      </c>
      <c r="UZ4765" s="34">
        <v>-5</v>
      </c>
      <c r="VA4765" s="908"/>
      <c r="VB4765" s="909"/>
      <c r="VC4765" s="34">
        <v>-5</v>
      </c>
      <c r="VD4765" s="34">
        <v>-4.5</v>
      </c>
      <c r="VE4765" s="34">
        <v>-4</v>
      </c>
      <c r="VF4765" s="34">
        <v>-3.5</v>
      </c>
      <c r="VG4765" s="34">
        <v>-3</v>
      </c>
      <c r="VH4765" s="34">
        <v>-2.5</v>
      </c>
      <c r="VI4765" s="34">
        <v>-2</v>
      </c>
      <c r="VJ4765" s="34">
        <v>-1.5</v>
      </c>
      <c r="VK4765" s="34">
        <v>-1</v>
      </c>
      <c r="VL4765" s="34">
        <v>-0.5</v>
      </c>
      <c r="VM4765" s="34">
        <v>0</v>
      </c>
      <c r="VN4765" s="34">
        <v>0.5</v>
      </c>
      <c r="VO4765" s="34">
        <v>1</v>
      </c>
      <c r="VP4765" s="34">
        <v>1.5</v>
      </c>
      <c r="VQ4765" s="34">
        <v>2</v>
      </c>
      <c r="VR4765" s="34">
        <v>2.5</v>
      </c>
      <c r="VS4765" s="34">
        <v>3</v>
      </c>
      <c r="VT4765" s="34">
        <v>3.5</v>
      </c>
      <c r="VU4765" s="34">
        <v>4</v>
      </c>
      <c r="VV4765" s="34">
        <v>4.5</v>
      </c>
      <c r="VW4765" s="34">
        <v>5</v>
      </c>
      <c r="VY4765" s="913"/>
      <c r="VZ4765" s="31">
        <v>1</v>
      </c>
      <c r="WA4765" s="34">
        <v>0</v>
      </c>
      <c r="WB4765" s="34">
        <v>-1</v>
      </c>
      <c r="WC4765" s="34">
        <v>-2</v>
      </c>
      <c r="WD4765" s="34">
        <v>-3</v>
      </c>
      <c r="WE4765" s="34">
        <v>-4</v>
      </c>
      <c r="WF4765" s="34">
        <v>-5</v>
      </c>
      <c r="WG4765" s="908"/>
      <c r="WH4765" s="909"/>
      <c r="WI4765" s="34">
        <v>-5</v>
      </c>
      <c r="WJ4765" s="34">
        <v>-4.5</v>
      </c>
      <c r="WK4765" s="34">
        <v>-4</v>
      </c>
      <c r="WL4765" s="34">
        <v>-3.5</v>
      </c>
      <c r="WM4765" s="34">
        <v>-3</v>
      </c>
      <c r="WN4765" s="34">
        <v>-2.5</v>
      </c>
      <c r="WO4765" s="34">
        <v>-2</v>
      </c>
      <c r="WP4765" s="34">
        <v>-1.5</v>
      </c>
      <c r="WQ4765" s="34">
        <v>-1</v>
      </c>
      <c r="WR4765" s="34">
        <v>-0.5</v>
      </c>
      <c r="WS4765" s="34">
        <v>0</v>
      </c>
      <c r="WT4765" s="34">
        <v>0.5</v>
      </c>
      <c r="WU4765" s="34">
        <v>1</v>
      </c>
      <c r="WV4765" s="34">
        <v>1.5</v>
      </c>
      <c r="WW4765" s="34">
        <v>2</v>
      </c>
      <c r="WX4765" s="34">
        <v>2.5</v>
      </c>
      <c r="WY4765" s="34">
        <v>3</v>
      </c>
      <c r="WZ4765" s="34">
        <v>3.5</v>
      </c>
      <c r="XA4765" s="34">
        <v>4</v>
      </c>
      <c r="XB4765" s="34">
        <v>4.5</v>
      </c>
      <c r="XC4765" s="34">
        <v>5</v>
      </c>
      <c r="XE4765" s="913"/>
      <c r="XF4765" s="31">
        <v>1</v>
      </c>
      <c r="XG4765" s="34">
        <v>0</v>
      </c>
      <c r="XH4765" s="34">
        <v>-1</v>
      </c>
      <c r="XI4765" s="34">
        <v>-2</v>
      </c>
      <c r="XJ4765" s="34">
        <v>-3</v>
      </c>
      <c r="XK4765" s="34">
        <v>-4</v>
      </c>
      <c r="XL4765" s="34">
        <v>-5</v>
      </c>
      <c r="XM4765" s="908"/>
      <c r="XN4765" s="909"/>
      <c r="XO4765" s="34">
        <v>-5</v>
      </c>
      <c r="XP4765" s="34">
        <v>-4.5</v>
      </c>
      <c r="XQ4765" s="34">
        <v>-4</v>
      </c>
      <c r="XR4765" s="34">
        <v>-3.5</v>
      </c>
      <c r="XS4765" s="34">
        <v>-3</v>
      </c>
      <c r="XT4765" s="34">
        <v>-2.5</v>
      </c>
      <c r="XU4765" s="34">
        <v>-2</v>
      </c>
      <c r="XV4765" s="34">
        <v>-1.5</v>
      </c>
      <c r="XW4765" s="34">
        <v>-1</v>
      </c>
      <c r="XX4765" s="34">
        <v>-0.5</v>
      </c>
      <c r="XY4765" s="34">
        <v>0</v>
      </c>
      <c r="XZ4765" s="34">
        <v>0.5</v>
      </c>
      <c r="YA4765" s="34">
        <v>1</v>
      </c>
      <c r="YB4765" s="34">
        <v>1.5</v>
      </c>
      <c r="YC4765" s="34">
        <v>2</v>
      </c>
      <c r="YD4765" s="34">
        <v>2.5</v>
      </c>
      <c r="YE4765" s="34">
        <v>3</v>
      </c>
      <c r="YF4765" s="34">
        <v>3.5</v>
      </c>
      <c r="YG4765" s="34">
        <v>4</v>
      </c>
      <c r="YH4765" s="34">
        <v>4.5</v>
      </c>
      <c r="YI4765" s="34">
        <v>5</v>
      </c>
      <c r="YK4765" s="913"/>
      <c r="YL4765" s="31">
        <v>1</v>
      </c>
      <c r="YM4765" s="34">
        <v>0</v>
      </c>
      <c r="YN4765" s="34">
        <v>-1</v>
      </c>
      <c r="YO4765" s="34">
        <v>-2</v>
      </c>
      <c r="YP4765" s="34">
        <v>-3</v>
      </c>
      <c r="YQ4765" s="34">
        <v>-4</v>
      </c>
      <c r="YR4765" s="34">
        <v>-5</v>
      </c>
      <c r="YS4765" s="908"/>
      <c r="YT4765" s="909"/>
      <c r="YU4765" s="34">
        <v>-5</v>
      </c>
      <c r="YV4765" s="34">
        <v>-4.5</v>
      </c>
      <c r="YW4765" s="34">
        <v>-4</v>
      </c>
      <c r="YX4765" s="34">
        <v>-3.5</v>
      </c>
      <c r="YY4765" s="34">
        <v>-3</v>
      </c>
      <c r="YZ4765" s="34">
        <v>-2.5</v>
      </c>
      <c r="ZA4765" s="34">
        <v>-2</v>
      </c>
      <c r="ZB4765" s="34">
        <v>-1.5</v>
      </c>
      <c r="ZC4765" s="34">
        <v>-1</v>
      </c>
      <c r="ZD4765" s="34">
        <v>-0.5</v>
      </c>
      <c r="ZE4765" s="34">
        <v>0</v>
      </c>
      <c r="ZF4765" s="34">
        <v>0.5</v>
      </c>
      <c r="ZG4765" s="34">
        <v>1</v>
      </c>
      <c r="ZH4765" s="34">
        <v>1.5</v>
      </c>
      <c r="ZI4765" s="34">
        <v>2</v>
      </c>
      <c r="ZJ4765" s="34">
        <v>2.5</v>
      </c>
      <c r="ZK4765" s="34">
        <v>3</v>
      </c>
      <c r="ZL4765" s="34">
        <v>3.5</v>
      </c>
      <c r="ZM4765" s="34">
        <v>4</v>
      </c>
      <c r="ZN4765" s="34">
        <v>4.5</v>
      </c>
      <c r="ZO4765" s="34">
        <v>5</v>
      </c>
      <c r="ZQ4765" s="913"/>
      <c r="ZR4765" s="31">
        <v>1</v>
      </c>
      <c r="ZS4765" s="34">
        <v>0</v>
      </c>
      <c r="ZT4765" s="34">
        <v>-1</v>
      </c>
      <c r="ZU4765" s="34">
        <v>-2</v>
      </c>
      <c r="ZV4765" s="34">
        <v>-3</v>
      </c>
      <c r="ZW4765" s="34">
        <v>-4</v>
      </c>
      <c r="ZX4765" s="34">
        <v>-5</v>
      </c>
      <c r="ZY4765" s="908"/>
      <c r="ZZ4765" s="909"/>
      <c r="AAA4765" s="34">
        <v>-5</v>
      </c>
      <c r="AAB4765" s="34">
        <v>-4.5</v>
      </c>
      <c r="AAC4765" s="34">
        <v>-4</v>
      </c>
      <c r="AAD4765" s="34">
        <v>-3.5</v>
      </c>
      <c r="AAE4765" s="34">
        <v>-3</v>
      </c>
      <c r="AAF4765" s="34">
        <v>-2.5</v>
      </c>
      <c r="AAG4765" s="34">
        <v>-2</v>
      </c>
      <c r="AAH4765" s="34">
        <v>-1.5</v>
      </c>
      <c r="AAI4765" s="34">
        <v>-1</v>
      </c>
      <c r="AAJ4765" s="34">
        <v>-0.5</v>
      </c>
      <c r="AAK4765" s="34">
        <v>0</v>
      </c>
      <c r="AAL4765" s="34">
        <v>0.5</v>
      </c>
      <c r="AAM4765" s="34">
        <v>1</v>
      </c>
      <c r="AAN4765" s="34">
        <v>1.5</v>
      </c>
      <c r="AAO4765" s="34">
        <v>2</v>
      </c>
      <c r="AAP4765" s="34">
        <v>2.5</v>
      </c>
      <c r="AAQ4765" s="34">
        <v>3</v>
      </c>
      <c r="AAR4765" s="34">
        <v>3.5</v>
      </c>
      <c r="AAS4765" s="34">
        <v>4</v>
      </c>
      <c r="AAT4765" s="34">
        <v>4.5</v>
      </c>
      <c r="AAU4765" s="34">
        <v>5</v>
      </c>
      <c r="AAW4765" s="913"/>
      <c r="AAX4765" s="31">
        <v>1</v>
      </c>
      <c r="AAY4765" s="34">
        <v>0</v>
      </c>
      <c r="AAZ4765" s="34">
        <v>-1</v>
      </c>
      <c r="ABA4765" s="34">
        <v>-2</v>
      </c>
      <c r="ABB4765" s="34">
        <v>-3</v>
      </c>
      <c r="ABC4765" s="34">
        <v>-4</v>
      </c>
      <c r="ABD4765" s="34">
        <v>-5</v>
      </c>
      <c r="ABE4765" s="908"/>
      <c r="ABF4765" s="909"/>
      <c r="ABG4765" s="34">
        <v>-5</v>
      </c>
      <c r="ABH4765" s="34">
        <v>-4.5</v>
      </c>
      <c r="ABI4765" s="34">
        <v>-4</v>
      </c>
      <c r="ABJ4765" s="34">
        <v>-3.5</v>
      </c>
      <c r="ABK4765" s="34">
        <v>-3</v>
      </c>
      <c r="ABL4765" s="34">
        <v>-2.5</v>
      </c>
      <c r="ABM4765" s="34">
        <v>-2</v>
      </c>
      <c r="ABN4765" s="34">
        <v>-1.5</v>
      </c>
      <c r="ABO4765" s="34">
        <v>-1</v>
      </c>
      <c r="ABP4765" s="34">
        <v>-0.5</v>
      </c>
      <c r="ABQ4765" s="34">
        <v>0</v>
      </c>
      <c r="ABR4765" s="34">
        <v>0.5</v>
      </c>
      <c r="ABS4765" s="34">
        <v>1</v>
      </c>
      <c r="ABT4765" s="34">
        <v>1.5</v>
      </c>
      <c r="ABU4765" s="34">
        <v>2</v>
      </c>
      <c r="ABV4765" s="34">
        <v>2.5</v>
      </c>
      <c r="ABW4765" s="34">
        <v>3</v>
      </c>
      <c r="ABX4765" s="34">
        <v>3.5</v>
      </c>
      <c r="ABY4765" s="34">
        <v>4</v>
      </c>
      <c r="ABZ4765" s="34">
        <v>4.5</v>
      </c>
      <c r="ACA4765" s="34">
        <v>5</v>
      </c>
      <c r="ACC4765" s="913"/>
      <c r="ACD4765" s="31">
        <v>1</v>
      </c>
      <c r="ACE4765" s="34">
        <v>0</v>
      </c>
      <c r="ACF4765" s="34">
        <v>-1</v>
      </c>
      <c r="ACG4765" s="34">
        <v>-2</v>
      </c>
      <c r="ACH4765" s="34">
        <v>-3</v>
      </c>
      <c r="ACI4765" s="34">
        <v>-4</v>
      </c>
      <c r="ACJ4765" s="34">
        <v>-5</v>
      </c>
      <c r="ACK4765" s="908"/>
      <c r="ACL4765" s="909"/>
      <c r="ACM4765" s="34">
        <v>-5</v>
      </c>
      <c r="ACN4765" s="34">
        <v>-4.5</v>
      </c>
      <c r="ACO4765" s="34">
        <v>-4</v>
      </c>
      <c r="ACP4765" s="34">
        <v>-3.5</v>
      </c>
      <c r="ACQ4765" s="34">
        <v>-3</v>
      </c>
      <c r="ACR4765" s="34">
        <v>-2.5</v>
      </c>
      <c r="ACS4765" s="34">
        <v>-2</v>
      </c>
      <c r="ACT4765" s="34">
        <v>-1.5</v>
      </c>
      <c r="ACU4765" s="34">
        <v>-1</v>
      </c>
      <c r="ACV4765" s="34">
        <v>-0.5</v>
      </c>
      <c r="ACW4765" s="34">
        <v>0</v>
      </c>
      <c r="ACX4765" s="34">
        <v>0.5</v>
      </c>
      <c r="ACY4765" s="34">
        <v>1</v>
      </c>
      <c r="ACZ4765" s="34">
        <v>1.5</v>
      </c>
      <c r="ADA4765" s="34">
        <v>2</v>
      </c>
      <c r="ADB4765" s="34">
        <v>2.5</v>
      </c>
      <c r="ADC4765" s="34">
        <v>3</v>
      </c>
      <c r="ADD4765" s="34">
        <v>3.5</v>
      </c>
      <c r="ADE4765" s="34">
        <v>4</v>
      </c>
      <c r="ADF4765" s="34">
        <v>4.5</v>
      </c>
      <c r="ADG4765" s="34">
        <v>5</v>
      </c>
      <c r="ADI4765" s="913"/>
      <c r="ADJ4765" s="31">
        <v>1</v>
      </c>
      <c r="ADK4765" s="34">
        <v>0</v>
      </c>
      <c r="ADL4765" s="34">
        <v>-1</v>
      </c>
      <c r="ADM4765" s="34">
        <v>-2</v>
      </c>
      <c r="ADN4765" s="34">
        <v>-3</v>
      </c>
      <c r="ADO4765" s="34">
        <v>-4</v>
      </c>
      <c r="ADP4765" s="34">
        <v>-5</v>
      </c>
      <c r="ADQ4765" s="908"/>
      <c r="ADR4765" s="909"/>
      <c r="ADS4765" s="34">
        <v>-5</v>
      </c>
      <c r="ADT4765" s="34">
        <v>-4.5</v>
      </c>
      <c r="ADU4765" s="34">
        <v>-4</v>
      </c>
      <c r="ADV4765" s="34">
        <v>-3.5</v>
      </c>
      <c r="ADW4765" s="34">
        <v>-3</v>
      </c>
      <c r="ADX4765" s="34">
        <v>-2.5</v>
      </c>
      <c r="ADY4765" s="34">
        <v>-2</v>
      </c>
      <c r="ADZ4765" s="34">
        <v>-1.5</v>
      </c>
      <c r="AEA4765" s="34">
        <v>-1</v>
      </c>
      <c r="AEB4765" s="34">
        <v>-0.5</v>
      </c>
      <c r="AEC4765" s="34">
        <v>0</v>
      </c>
      <c r="AED4765" s="34">
        <v>0.5</v>
      </c>
      <c r="AEE4765" s="34">
        <v>1</v>
      </c>
      <c r="AEF4765" s="34">
        <v>1.5</v>
      </c>
      <c r="AEG4765" s="34">
        <v>2</v>
      </c>
      <c r="AEH4765" s="34">
        <v>2.5</v>
      </c>
      <c r="AEI4765" s="34">
        <v>3</v>
      </c>
      <c r="AEJ4765" s="34">
        <v>3.5</v>
      </c>
      <c r="AEK4765" s="34">
        <v>4</v>
      </c>
      <c r="AEL4765" s="34">
        <v>4.5</v>
      </c>
      <c r="AEM4765" s="34">
        <v>5</v>
      </c>
      <c r="AEO4765" s="913"/>
      <c r="AEP4765" s="31">
        <v>1</v>
      </c>
      <c r="AEQ4765" s="34">
        <v>0</v>
      </c>
      <c r="AER4765" s="34">
        <v>-1</v>
      </c>
      <c r="AES4765" s="34">
        <v>-2</v>
      </c>
      <c r="AET4765" s="34">
        <v>-3</v>
      </c>
      <c r="AEU4765" s="34">
        <v>-4</v>
      </c>
      <c r="AEV4765" s="34">
        <v>-5</v>
      </c>
      <c r="AEW4765" s="908"/>
      <c r="AEX4765" s="909"/>
      <c r="AEY4765" s="34">
        <v>-5</v>
      </c>
      <c r="AEZ4765" s="34">
        <v>-4.5</v>
      </c>
      <c r="AFA4765" s="34">
        <v>-4</v>
      </c>
      <c r="AFB4765" s="34">
        <v>-3.5</v>
      </c>
      <c r="AFC4765" s="34">
        <v>-3</v>
      </c>
      <c r="AFD4765" s="34">
        <v>-2.5</v>
      </c>
      <c r="AFE4765" s="34">
        <v>-2</v>
      </c>
      <c r="AFF4765" s="34">
        <v>-1.5</v>
      </c>
      <c r="AFG4765" s="34">
        <v>-1</v>
      </c>
      <c r="AFH4765" s="34">
        <v>-0.5</v>
      </c>
      <c r="AFI4765" s="34">
        <v>0</v>
      </c>
      <c r="AFJ4765" s="34">
        <v>0.5</v>
      </c>
      <c r="AFK4765" s="34">
        <v>1</v>
      </c>
      <c r="AFL4765" s="34">
        <v>1.5</v>
      </c>
      <c r="AFM4765" s="34">
        <v>2</v>
      </c>
      <c r="AFN4765" s="34">
        <v>2.5</v>
      </c>
      <c r="AFO4765" s="34">
        <v>3</v>
      </c>
      <c r="AFP4765" s="34">
        <v>3.5</v>
      </c>
      <c r="AFQ4765" s="34">
        <v>4</v>
      </c>
      <c r="AFR4765" s="34">
        <v>4.5</v>
      </c>
      <c r="AFS4765" s="34">
        <v>5</v>
      </c>
      <c r="AFU4765" s="913"/>
      <c r="AFV4765" s="31">
        <v>1</v>
      </c>
      <c r="AFW4765" s="34">
        <v>0</v>
      </c>
      <c r="AFX4765" s="34">
        <v>-1</v>
      </c>
      <c r="AFY4765" s="34">
        <v>-2</v>
      </c>
      <c r="AFZ4765" s="34">
        <v>-3</v>
      </c>
      <c r="AGA4765" s="34">
        <v>-4</v>
      </c>
      <c r="AGB4765" s="34">
        <v>-5</v>
      </c>
      <c r="AGC4765" s="908"/>
      <c r="AGD4765" s="909"/>
      <c r="AGE4765" s="34">
        <v>-5</v>
      </c>
      <c r="AGF4765" s="34">
        <v>-4.5</v>
      </c>
      <c r="AGG4765" s="34">
        <v>-4</v>
      </c>
      <c r="AGH4765" s="34">
        <v>-3.5</v>
      </c>
      <c r="AGI4765" s="34">
        <v>-3</v>
      </c>
      <c r="AGJ4765" s="34">
        <v>-2.5</v>
      </c>
      <c r="AGK4765" s="34">
        <v>-2</v>
      </c>
      <c r="AGL4765" s="34">
        <v>-1.5</v>
      </c>
      <c r="AGM4765" s="34">
        <v>-1</v>
      </c>
      <c r="AGN4765" s="34">
        <v>-0.5</v>
      </c>
      <c r="AGO4765" s="34">
        <v>0</v>
      </c>
      <c r="AGP4765" s="34">
        <v>0.5</v>
      </c>
      <c r="AGQ4765" s="34">
        <v>1</v>
      </c>
      <c r="AGR4765" s="34">
        <v>1.5</v>
      </c>
      <c r="AGS4765" s="34">
        <v>2</v>
      </c>
      <c r="AGT4765" s="34">
        <v>2.5</v>
      </c>
      <c r="AGU4765" s="34">
        <v>3</v>
      </c>
      <c r="AGV4765" s="34">
        <v>3.5</v>
      </c>
      <c r="AGW4765" s="34">
        <v>4</v>
      </c>
      <c r="AGX4765" s="34">
        <v>4.5</v>
      </c>
      <c r="AGY4765" s="34">
        <v>5</v>
      </c>
      <c r="AHA4765" s="913"/>
      <c r="AHB4765" s="31">
        <v>1</v>
      </c>
      <c r="AHC4765" s="34">
        <v>0</v>
      </c>
      <c r="AHD4765" s="34">
        <v>-1</v>
      </c>
      <c r="AHE4765" s="34">
        <v>-2</v>
      </c>
      <c r="AHF4765" s="34">
        <v>-3</v>
      </c>
      <c r="AHG4765" s="34">
        <v>-4</v>
      </c>
      <c r="AHH4765" s="34">
        <v>-5</v>
      </c>
      <c r="AHI4765" s="908"/>
      <c r="AHJ4765" s="909"/>
      <c r="AHK4765" s="34">
        <v>-5</v>
      </c>
      <c r="AHL4765" s="34">
        <v>-4.5</v>
      </c>
      <c r="AHM4765" s="34">
        <v>-4</v>
      </c>
      <c r="AHN4765" s="34">
        <v>-3.5</v>
      </c>
      <c r="AHO4765" s="34">
        <v>-3</v>
      </c>
      <c r="AHP4765" s="34">
        <v>-2.5</v>
      </c>
      <c r="AHQ4765" s="34">
        <v>-2</v>
      </c>
      <c r="AHR4765" s="34">
        <v>-1.5</v>
      </c>
      <c r="AHS4765" s="34">
        <v>-1</v>
      </c>
      <c r="AHT4765" s="34">
        <v>-0.5</v>
      </c>
      <c r="AHU4765" s="34">
        <v>0</v>
      </c>
      <c r="AHV4765" s="34">
        <v>0.5</v>
      </c>
      <c r="AHW4765" s="34">
        <v>1</v>
      </c>
      <c r="AHX4765" s="34">
        <v>1.5</v>
      </c>
      <c r="AHY4765" s="34">
        <v>2</v>
      </c>
      <c r="AHZ4765" s="34">
        <v>2.5</v>
      </c>
      <c r="AIA4765" s="34">
        <v>3</v>
      </c>
      <c r="AIB4765" s="34">
        <v>3.5</v>
      </c>
      <c r="AIC4765" s="34">
        <v>4</v>
      </c>
      <c r="AID4765" s="34">
        <v>4.5</v>
      </c>
      <c r="AIE4765" s="34">
        <v>5</v>
      </c>
      <c r="AIG4765" s="913"/>
      <c r="AIH4765" s="31">
        <v>1</v>
      </c>
      <c r="AII4765" s="34">
        <v>0</v>
      </c>
      <c r="AIJ4765" s="34">
        <v>-1</v>
      </c>
      <c r="AIK4765" s="34">
        <v>-2</v>
      </c>
      <c r="AIL4765" s="34">
        <v>-3</v>
      </c>
      <c r="AIM4765" s="34">
        <v>-4</v>
      </c>
      <c r="AIN4765" s="34">
        <v>-5</v>
      </c>
      <c r="AIO4765" s="908"/>
      <c r="AIP4765" s="909"/>
      <c r="AIQ4765" s="34">
        <v>-5</v>
      </c>
      <c r="AIR4765" s="34">
        <v>-4.5</v>
      </c>
      <c r="AIS4765" s="34">
        <v>-4</v>
      </c>
      <c r="AIT4765" s="34">
        <v>-3.5</v>
      </c>
      <c r="AIU4765" s="34">
        <v>-3</v>
      </c>
      <c r="AIV4765" s="34">
        <v>-2.5</v>
      </c>
      <c r="AIW4765" s="34">
        <v>-2</v>
      </c>
      <c r="AIX4765" s="34">
        <v>-1.5</v>
      </c>
      <c r="AIY4765" s="34">
        <v>-1</v>
      </c>
      <c r="AIZ4765" s="34">
        <v>-0.5</v>
      </c>
      <c r="AJA4765" s="34">
        <v>0</v>
      </c>
      <c r="AJB4765" s="34">
        <v>0.5</v>
      </c>
      <c r="AJC4765" s="34">
        <v>1</v>
      </c>
      <c r="AJD4765" s="34">
        <v>1.5</v>
      </c>
      <c r="AJE4765" s="34">
        <v>2</v>
      </c>
      <c r="AJF4765" s="34">
        <v>2.5</v>
      </c>
      <c r="AJG4765" s="34">
        <v>3</v>
      </c>
      <c r="AJH4765" s="34">
        <v>3.5</v>
      </c>
      <c r="AJI4765" s="34">
        <v>4</v>
      </c>
      <c r="AJJ4765" s="34">
        <v>4.5</v>
      </c>
      <c r="AJK4765" s="34">
        <v>5</v>
      </c>
      <c r="AJM4765" s="913"/>
      <c r="AJN4765" s="31">
        <v>1</v>
      </c>
      <c r="AJO4765" s="34">
        <v>0</v>
      </c>
      <c r="AJP4765" s="34">
        <v>-1</v>
      </c>
      <c r="AJQ4765" s="34">
        <v>-2</v>
      </c>
      <c r="AJR4765" s="34">
        <v>-3</v>
      </c>
      <c r="AJS4765" s="34">
        <v>-4</v>
      </c>
      <c r="AJT4765" s="34">
        <v>-5</v>
      </c>
      <c r="AJU4765" s="908"/>
      <c r="AJV4765" s="909"/>
      <c r="AJW4765" s="34">
        <v>-5</v>
      </c>
      <c r="AJX4765" s="34">
        <v>-4.5</v>
      </c>
      <c r="AJY4765" s="34">
        <v>-4</v>
      </c>
      <c r="AJZ4765" s="34">
        <v>-3.5</v>
      </c>
      <c r="AKA4765" s="34">
        <v>-3</v>
      </c>
      <c r="AKB4765" s="34">
        <v>-2.5</v>
      </c>
      <c r="AKC4765" s="34">
        <v>-2</v>
      </c>
      <c r="AKD4765" s="34">
        <v>-1.5</v>
      </c>
      <c r="AKE4765" s="34">
        <v>-1</v>
      </c>
      <c r="AKF4765" s="34">
        <v>-0.5</v>
      </c>
      <c r="AKG4765" s="34">
        <v>0</v>
      </c>
      <c r="AKH4765" s="34">
        <v>0.5</v>
      </c>
      <c r="AKI4765" s="34">
        <v>1</v>
      </c>
      <c r="AKJ4765" s="34">
        <v>1.5</v>
      </c>
      <c r="AKK4765" s="34">
        <v>2</v>
      </c>
      <c r="AKL4765" s="34">
        <v>2.5</v>
      </c>
      <c r="AKM4765" s="34">
        <v>3</v>
      </c>
      <c r="AKN4765" s="34">
        <v>3.5</v>
      </c>
      <c r="AKO4765" s="34">
        <v>4</v>
      </c>
      <c r="AKP4765" s="34">
        <v>4.5</v>
      </c>
      <c r="AKQ4765" s="34">
        <v>5</v>
      </c>
      <c r="AKS4765" s="913"/>
      <c r="AKT4765" s="31">
        <v>1</v>
      </c>
      <c r="AKU4765" s="34">
        <v>0</v>
      </c>
      <c r="AKV4765" s="34">
        <v>-1</v>
      </c>
      <c r="AKW4765" s="34">
        <v>-2</v>
      </c>
      <c r="AKX4765" s="34">
        <v>-3</v>
      </c>
      <c r="AKY4765" s="34">
        <v>-4</v>
      </c>
      <c r="AKZ4765" s="34">
        <v>-5</v>
      </c>
      <c r="ALA4765" s="908"/>
      <c r="ALB4765" s="909"/>
      <c r="ALC4765" s="34">
        <v>-5</v>
      </c>
      <c r="ALD4765" s="34">
        <v>-4.5</v>
      </c>
      <c r="ALE4765" s="34">
        <v>-4</v>
      </c>
      <c r="ALF4765" s="34">
        <v>-3.5</v>
      </c>
      <c r="ALG4765" s="34">
        <v>-3</v>
      </c>
      <c r="ALH4765" s="34">
        <v>-2.5</v>
      </c>
      <c r="ALI4765" s="34">
        <v>-2</v>
      </c>
      <c r="ALJ4765" s="34">
        <v>-1.5</v>
      </c>
      <c r="ALK4765" s="34">
        <v>-1</v>
      </c>
      <c r="ALL4765" s="34">
        <v>-0.5</v>
      </c>
      <c r="ALM4765" s="34">
        <v>0</v>
      </c>
      <c r="ALN4765" s="34">
        <v>0.5</v>
      </c>
      <c r="ALO4765" s="34">
        <v>1</v>
      </c>
      <c r="ALP4765" s="34">
        <v>1.5</v>
      </c>
      <c r="ALQ4765" s="34">
        <v>2</v>
      </c>
      <c r="ALR4765" s="34">
        <v>2.5</v>
      </c>
      <c r="ALS4765" s="34">
        <v>3</v>
      </c>
      <c r="ALT4765" s="34">
        <v>3.5</v>
      </c>
      <c r="ALU4765" s="34">
        <v>4</v>
      </c>
      <c r="ALV4765" s="34">
        <v>4.5</v>
      </c>
      <c r="ALW4765" s="34">
        <v>5</v>
      </c>
      <c r="ALY4765" s="913"/>
      <c r="ALZ4765" s="31">
        <v>1</v>
      </c>
      <c r="AMA4765" s="34">
        <v>0</v>
      </c>
      <c r="AMB4765" s="34">
        <v>-1</v>
      </c>
      <c r="AMC4765" s="34">
        <v>-2</v>
      </c>
      <c r="AMD4765" s="34">
        <v>-3</v>
      </c>
      <c r="AME4765" s="34">
        <v>-4</v>
      </c>
      <c r="AMF4765" s="34">
        <v>-5</v>
      </c>
      <c r="AMG4765" s="908"/>
      <c r="AMH4765" s="909"/>
      <c r="AMI4765" s="34">
        <v>-5</v>
      </c>
      <c r="AMJ4765" s="34">
        <v>-4.5</v>
      </c>
      <c r="AMK4765" s="34">
        <v>-4</v>
      </c>
      <c r="AML4765" s="34">
        <v>-3.5</v>
      </c>
      <c r="AMM4765" s="34">
        <v>-3</v>
      </c>
      <c r="AMN4765" s="34">
        <v>-2.5</v>
      </c>
      <c r="AMO4765" s="34">
        <v>-2</v>
      </c>
      <c r="AMP4765" s="34">
        <v>-1.5</v>
      </c>
      <c r="AMQ4765" s="34">
        <v>-1</v>
      </c>
      <c r="AMR4765" s="34">
        <v>-0.5</v>
      </c>
      <c r="AMS4765" s="34">
        <v>0</v>
      </c>
      <c r="AMT4765" s="34">
        <v>0.5</v>
      </c>
      <c r="AMU4765" s="34">
        <v>1</v>
      </c>
      <c r="AMV4765" s="34">
        <v>1.5</v>
      </c>
      <c r="AMW4765" s="34">
        <v>2</v>
      </c>
      <c r="AMX4765" s="34">
        <v>2.5</v>
      </c>
      <c r="AMY4765" s="34">
        <v>3</v>
      </c>
      <c r="AMZ4765" s="34">
        <v>3.5</v>
      </c>
      <c r="ANA4765" s="34">
        <v>4</v>
      </c>
      <c r="ANB4765" s="34">
        <v>4.5</v>
      </c>
      <c r="ANC4765" s="34">
        <v>5</v>
      </c>
      <c r="ANE4765" s="913"/>
      <c r="ANF4765" s="31">
        <v>1</v>
      </c>
      <c r="ANG4765" s="34">
        <v>0</v>
      </c>
      <c r="ANH4765" s="34">
        <v>-1</v>
      </c>
      <c r="ANI4765" s="34">
        <v>-2</v>
      </c>
      <c r="ANJ4765" s="34">
        <v>-3</v>
      </c>
      <c r="ANK4765" s="34">
        <v>-4</v>
      </c>
      <c r="ANL4765" s="34">
        <v>-5</v>
      </c>
      <c r="ANM4765" s="908"/>
      <c r="ANN4765" s="909"/>
      <c r="ANO4765" s="34">
        <v>-5</v>
      </c>
      <c r="ANP4765" s="34">
        <v>-4.5</v>
      </c>
      <c r="ANQ4765" s="34">
        <v>-4</v>
      </c>
      <c r="ANR4765" s="34">
        <v>-3.5</v>
      </c>
      <c r="ANS4765" s="34">
        <v>-3</v>
      </c>
      <c r="ANT4765" s="34">
        <v>-2.5</v>
      </c>
      <c r="ANU4765" s="34">
        <v>-2</v>
      </c>
      <c r="ANV4765" s="34">
        <v>-1.5</v>
      </c>
      <c r="ANW4765" s="34">
        <v>-1</v>
      </c>
      <c r="ANX4765" s="34">
        <v>-0.5</v>
      </c>
      <c r="ANY4765" s="34">
        <v>0</v>
      </c>
      <c r="ANZ4765" s="34">
        <v>0.5</v>
      </c>
      <c r="AOA4765" s="34">
        <v>1</v>
      </c>
      <c r="AOB4765" s="34">
        <v>1.5</v>
      </c>
      <c r="AOC4765" s="34">
        <v>2</v>
      </c>
      <c r="AOD4765" s="34">
        <v>2.5</v>
      </c>
      <c r="AOE4765" s="34">
        <v>3</v>
      </c>
      <c r="AOF4765" s="34">
        <v>3.5</v>
      </c>
      <c r="AOG4765" s="34">
        <v>4</v>
      </c>
      <c r="AOH4765" s="34">
        <v>4.5</v>
      </c>
      <c r="AOI4765" s="34">
        <v>5</v>
      </c>
      <c r="AOK4765" s="913"/>
      <c r="AOL4765" s="31">
        <v>1</v>
      </c>
      <c r="AOM4765" s="34">
        <v>0</v>
      </c>
      <c r="AON4765" s="34">
        <v>-1</v>
      </c>
      <c r="AOO4765" s="34">
        <v>-2</v>
      </c>
      <c r="AOP4765" s="34">
        <v>-3</v>
      </c>
      <c r="AOQ4765" s="34">
        <v>-4</v>
      </c>
      <c r="AOR4765" s="34">
        <v>-5</v>
      </c>
      <c r="AOS4765" s="908"/>
      <c r="AOT4765" s="909"/>
      <c r="AOU4765" s="34">
        <v>-5</v>
      </c>
      <c r="AOV4765" s="34">
        <v>-4.5</v>
      </c>
      <c r="AOW4765" s="34">
        <v>-4</v>
      </c>
      <c r="AOX4765" s="34">
        <v>-3.5</v>
      </c>
      <c r="AOY4765" s="34">
        <v>-3</v>
      </c>
      <c r="AOZ4765" s="34">
        <v>-2.5</v>
      </c>
      <c r="APA4765" s="34">
        <v>-2</v>
      </c>
      <c r="APB4765" s="34">
        <v>-1.5</v>
      </c>
      <c r="APC4765" s="34">
        <v>-1</v>
      </c>
      <c r="APD4765" s="34">
        <v>-0.5</v>
      </c>
      <c r="APE4765" s="34">
        <v>0</v>
      </c>
      <c r="APF4765" s="34">
        <v>0.5</v>
      </c>
      <c r="APG4765" s="34">
        <v>1</v>
      </c>
      <c r="APH4765" s="34">
        <v>1.5</v>
      </c>
      <c r="API4765" s="34">
        <v>2</v>
      </c>
      <c r="APJ4765" s="34">
        <v>2.5</v>
      </c>
      <c r="APK4765" s="34">
        <v>3</v>
      </c>
      <c r="APL4765" s="34">
        <v>3.5</v>
      </c>
      <c r="APM4765" s="34">
        <v>4</v>
      </c>
      <c r="APN4765" s="34">
        <v>4.5</v>
      </c>
      <c r="APO4765" s="34">
        <v>5</v>
      </c>
      <c r="APQ4765" s="913"/>
      <c r="APR4765" s="31">
        <v>1</v>
      </c>
      <c r="APS4765" s="34">
        <v>0</v>
      </c>
      <c r="APT4765" s="34">
        <v>-1</v>
      </c>
      <c r="APU4765" s="34">
        <v>-2</v>
      </c>
      <c r="APV4765" s="34">
        <v>-3</v>
      </c>
      <c r="APW4765" s="34">
        <v>-4</v>
      </c>
      <c r="APX4765" s="34">
        <v>-5</v>
      </c>
      <c r="APY4765" s="908"/>
      <c r="APZ4765" s="909"/>
      <c r="AQA4765" s="34">
        <v>-5</v>
      </c>
      <c r="AQB4765" s="34">
        <v>-4.5</v>
      </c>
      <c r="AQC4765" s="34">
        <v>-4</v>
      </c>
      <c r="AQD4765" s="34">
        <v>-3.5</v>
      </c>
      <c r="AQE4765" s="34">
        <v>-3</v>
      </c>
      <c r="AQF4765" s="34">
        <v>-2.5</v>
      </c>
      <c r="AQG4765" s="34">
        <v>-2</v>
      </c>
      <c r="AQH4765" s="34">
        <v>-1.5</v>
      </c>
      <c r="AQI4765" s="34">
        <v>-1</v>
      </c>
      <c r="AQJ4765" s="34">
        <v>-0.5</v>
      </c>
      <c r="AQK4765" s="34">
        <v>0</v>
      </c>
      <c r="AQL4765" s="34">
        <v>0.5</v>
      </c>
      <c r="AQM4765" s="34">
        <v>1</v>
      </c>
      <c r="AQN4765" s="34">
        <v>1.5</v>
      </c>
      <c r="AQO4765" s="34">
        <v>2</v>
      </c>
      <c r="AQP4765" s="34">
        <v>2.5</v>
      </c>
      <c r="AQQ4765" s="34">
        <v>3</v>
      </c>
      <c r="AQR4765" s="34">
        <v>3.5</v>
      </c>
      <c r="AQS4765" s="34">
        <v>4</v>
      </c>
      <c r="AQT4765" s="34">
        <v>4.5</v>
      </c>
      <c r="AQU4765" s="34">
        <v>5</v>
      </c>
      <c r="AQW4765" s="913"/>
      <c r="AQX4765" s="31">
        <v>1</v>
      </c>
      <c r="AQY4765" s="34">
        <v>0</v>
      </c>
      <c r="AQZ4765" s="34">
        <v>-1</v>
      </c>
      <c r="ARA4765" s="34">
        <v>-2</v>
      </c>
      <c r="ARB4765" s="34">
        <v>-3</v>
      </c>
      <c r="ARC4765" s="34">
        <v>-4</v>
      </c>
      <c r="ARD4765" s="34">
        <v>-5</v>
      </c>
      <c r="ARE4765" s="908"/>
      <c r="ARF4765" s="909"/>
      <c r="ARG4765" s="34">
        <v>-5</v>
      </c>
      <c r="ARH4765" s="34">
        <v>-4.5</v>
      </c>
      <c r="ARI4765" s="34">
        <v>-4</v>
      </c>
      <c r="ARJ4765" s="34">
        <v>-3.5</v>
      </c>
      <c r="ARK4765" s="34">
        <v>-3</v>
      </c>
      <c r="ARL4765" s="34">
        <v>-2.5</v>
      </c>
      <c r="ARM4765" s="34">
        <v>-2</v>
      </c>
      <c r="ARN4765" s="34">
        <v>-1.5</v>
      </c>
      <c r="ARO4765" s="34">
        <v>-1</v>
      </c>
      <c r="ARP4765" s="34">
        <v>-0.5</v>
      </c>
      <c r="ARQ4765" s="34">
        <v>0</v>
      </c>
      <c r="ARR4765" s="34">
        <v>0.5</v>
      </c>
      <c r="ARS4765" s="34">
        <v>1</v>
      </c>
      <c r="ART4765" s="34">
        <v>1.5</v>
      </c>
      <c r="ARU4765" s="34">
        <v>2</v>
      </c>
      <c r="ARV4765" s="34">
        <v>2.5</v>
      </c>
      <c r="ARW4765" s="34">
        <v>3</v>
      </c>
      <c r="ARX4765" s="34">
        <v>3.5</v>
      </c>
      <c r="ARY4765" s="34">
        <v>4</v>
      </c>
      <c r="ARZ4765" s="34">
        <v>4.5</v>
      </c>
      <c r="ASA4765" s="34">
        <v>5</v>
      </c>
      <c r="ASC4765" s="913"/>
      <c r="ASD4765" s="31">
        <v>1</v>
      </c>
      <c r="ASE4765" s="34">
        <v>0</v>
      </c>
      <c r="ASF4765" s="34">
        <v>-1</v>
      </c>
      <c r="ASG4765" s="34">
        <v>-2</v>
      </c>
      <c r="ASH4765" s="34">
        <v>-3</v>
      </c>
      <c r="ASI4765" s="34">
        <v>-4</v>
      </c>
      <c r="ASJ4765" s="34">
        <v>-5</v>
      </c>
      <c r="ASK4765" s="908"/>
      <c r="ASL4765" s="909"/>
      <c r="ASM4765" s="34">
        <v>-5</v>
      </c>
      <c r="ASN4765" s="34">
        <v>-4.5</v>
      </c>
      <c r="ASO4765" s="34">
        <v>-4</v>
      </c>
      <c r="ASP4765" s="34">
        <v>-3.5</v>
      </c>
      <c r="ASQ4765" s="34">
        <v>-3</v>
      </c>
      <c r="ASR4765" s="34">
        <v>-2.5</v>
      </c>
      <c r="ASS4765" s="34">
        <v>-2</v>
      </c>
      <c r="AST4765" s="34">
        <v>-1.5</v>
      </c>
      <c r="ASU4765" s="34">
        <v>-1</v>
      </c>
      <c r="ASV4765" s="34">
        <v>-0.5</v>
      </c>
      <c r="ASW4765" s="34">
        <v>0</v>
      </c>
      <c r="ASX4765" s="34">
        <v>0.5</v>
      </c>
      <c r="ASY4765" s="34">
        <v>1</v>
      </c>
      <c r="ASZ4765" s="34">
        <v>1.5</v>
      </c>
      <c r="ATA4765" s="34">
        <v>2</v>
      </c>
      <c r="ATB4765" s="34">
        <v>2.5</v>
      </c>
      <c r="ATC4765" s="34">
        <v>3</v>
      </c>
      <c r="ATD4765" s="34">
        <v>3.5</v>
      </c>
      <c r="ATE4765" s="34">
        <v>4</v>
      </c>
      <c r="ATF4765" s="34">
        <v>4.5</v>
      </c>
      <c r="ATG4765" s="34">
        <v>5</v>
      </c>
      <c r="ATI4765" s="913"/>
      <c r="ATJ4765" s="31">
        <v>1</v>
      </c>
      <c r="ATK4765" s="34">
        <v>0</v>
      </c>
      <c r="ATL4765" s="34">
        <v>-1</v>
      </c>
      <c r="ATM4765" s="34">
        <v>-2</v>
      </c>
      <c r="ATN4765" s="34">
        <v>-3</v>
      </c>
      <c r="ATO4765" s="34">
        <v>-4</v>
      </c>
      <c r="ATP4765" s="34">
        <v>-5</v>
      </c>
      <c r="ATQ4765" s="908"/>
      <c r="ATR4765" s="909"/>
      <c r="ATS4765" s="34">
        <v>-5</v>
      </c>
      <c r="ATT4765" s="34">
        <v>-4.5</v>
      </c>
      <c r="ATU4765" s="34">
        <v>-4</v>
      </c>
      <c r="ATV4765" s="34">
        <v>-3.5</v>
      </c>
      <c r="ATW4765" s="34">
        <v>-3</v>
      </c>
      <c r="ATX4765" s="34">
        <v>-2.5</v>
      </c>
      <c r="ATY4765" s="34">
        <v>-2</v>
      </c>
      <c r="ATZ4765" s="34">
        <v>-1.5</v>
      </c>
      <c r="AUA4765" s="34">
        <v>-1</v>
      </c>
      <c r="AUB4765" s="34">
        <v>-0.5</v>
      </c>
      <c r="AUC4765" s="34">
        <v>0</v>
      </c>
      <c r="AUD4765" s="34">
        <v>0.5</v>
      </c>
      <c r="AUE4765" s="34">
        <v>1</v>
      </c>
      <c r="AUF4765" s="34">
        <v>1.5</v>
      </c>
      <c r="AUG4765" s="34">
        <v>2</v>
      </c>
      <c r="AUH4765" s="34">
        <v>2.5</v>
      </c>
      <c r="AUI4765" s="34">
        <v>3</v>
      </c>
      <c r="AUJ4765" s="34">
        <v>3.5</v>
      </c>
      <c r="AUK4765" s="34">
        <v>4</v>
      </c>
      <c r="AUL4765" s="34">
        <v>4.5</v>
      </c>
      <c r="AUM4765" s="34">
        <v>5</v>
      </c>
      <c r="AUO4765" s="913"/>
      <c r="AUP4765" s="31">
        <v>1</v>
      </c>
      <c r="AUQ4765" s="34">
        <v>0</v>
      </c>
      <c r="AUR4765" s="34">
        <v>-1</v>
      </c>
      <c r="AUS4765" s="34">
        <v>-2</v>
      </c>
      <c r="AUT4765" s="34">
        <v>-3</v>
      </c>
      <c r="AUU4765" s="34">
        <v>-4</v>
      </c>
      <c r="AUV4765" s="34">
        <v>-5</v>
      </c>
      <c r="AUW4765" s="908"/>
      <c r="AUX4765" s="909"/>
      <c r="AUY4765" s="34">
        <v>-5</v>
      </c>
      <c r="AUZ4765" s="34">
        <v>-4.5</v>
      </c>
      <c r="AVA4765" s="34">
        <v>-4</v>
      </c>
      <c r="AVB4765" s="34">
        <v>-3.5</v>
      </c>
      <c r="AVC4765" s="34">
        <v>-3</v>
      </c>
      <c r="AVD4765" s="34">
        <v>-2.5</v>
      </c>
      <c r="AVE4765" s="34">
        <v>-2</v>
      </c>
      <c r="AVF4765" s="34">
        <v>-1.5</v>
      </c>
      <c r="AVG4765" s="34">
        <v>-1</v>
      </c>
      <c r="AVH4765" s="34">
        <v>-0.5</v>
      </c>
      <c r="AVI4765" s="34">
        <v>0</v>
      </c>
      <c r="AVJ4765" s="34">
        <v>0.5</v>
      </c>
      <c r="AVK4765" s="34">
        <v>1</v>
      </c>
      <c r="AVL4765" s="34">
        <v>1.5</v>
      </c>
      <c r="AVM4765" s="34">
        <v>2</v>
      </c>
      <c r="AVN4765" s="34">
        <v>2.5</v>
      </c>
      <c r="AVO4765" s="34">
        <v>3</v>
      </c>
      <c r="AVP4765" s="34">
        <v>3.5</v>
      </c>
      <c r="AVQ4765" s="34">
        <v>4</v>
      </c>
      <c r="AVR4765" s="34">
        <v>4.5</v>
      </c>
      <c r="AVS4765" s="34">
        <v>5</v>
      </c>
      <c r="AVU4765" s="913"/>
      <c r="AVV4765" s="31">
        <v>1</v>
      </c>
      <c r="AVW4765" s="34">
        <v>0</v>
      </c>
      <c r="AVX4765" s="34">
        <v>-1</v>
      </c>
      <c r="AVY4765" s="34">
        <v>-2</v>
      </c>
      <c r="AVZ4765" s="34">
        <v>-3</v>
      </c>
      <c r="AWA4765" s="34">
        <v>-4</v>
      </c>
      <c r="AWB4765" s="34">
        <v>-5</v>
      </c>
      <c r="AWC4765" s="908"/>
      <c r="AWD4765" s="909"/>
      <c r="AWE4765" s="34">
        <v>-5</v>
      </c>
      <c r="AWF4765" s="34">
        <v>-4.5</v>
      </c>
      <c r="AWG4765" s="34">
        <v>-4</v>
      </c>
      <c r="AWH4765" s="34">
        <v>-3.5</v>
      </c>
      <c r="AWI4765" s="34">
        <v>-3</v>
      </c>
      <c r="AWJ4765" s="34">
        <v>-2.5</v>
      </c>
      <c r="AWK4765" s="34">
        <v>-2</v>
      </c>
      <c r="AWL4765" s="34">
        <v>-1.5</v>
      </c>
      <c r="AWM4765" s="34">
        <v>-1</v>
      </c>
      <c r="AWN4765" s="34">
        <v>-0.5</v>
      </c>
      <c r="AWO4765" s="34">
        <v>0</v>
      </c>
      <c r="AWP4765" s="34">
        <v>0.5</v>
      </c>
      <c r="AWQ4765" s="34">
        <v>1</v>
      </c>
      <c r="AWR4765" s="34">
        <v>1.5</v>
      </c>
      <c r="AWS4765" s="34">
        <v>2</v>
      </c>
      <c r="AWT4765" s="34">
        <v>2.5</v>
      </c>
      <c r="AWU4765" s="34">
        <v>3</v>
      </c>
      <c r="AWV4765" s="34">
        <v>3.5</v>
      </c>
      <c r="AWW4765" s="34">
        <v>4</v>
      </c>
      <c r="AWX4765" s="34">
        <v>4.5</v>
      </c>
      <c r="AWY4765" s="34">
        <v>5</v>
      </c>
      <c r="AXA4765" s="913"/>
      <c r="AXB4765" s="31">
        <v>1</v>
      </c>
      <c r="AXC4765" s="34">
        <v>0</v>
      </c>
      <c r="AXD4765" s="34">
        <v>-1</v>
      </c>
      <c r="AXE4765" s="34">
        <v>-2</v>
      </c>
      <c r="AXF4765" s="34">
        <v>-3</v>
      </c>
      <c r="AXG4765" s="34">
        <v>-4</v>
      </c>
      <c r="AXH4765" s="34">
        <v>-5</v>
      </c>
      <c r="AXI4765" s="908"/>
      <c r="AXJ4765" s="909"/>
      <c r="AXK4765" s="34">
        <v>-5</v>
      </c>
      <c r="AXL4765" s="34">
        <v>-4.5</v>
      </c>
      <c r="AXM4765" s="34">
        <v>-4</v>
      </c>
      <c r="AXN4765" s="34">
        <v>-3.5</v>
      </c>
      <c r="AXO4765" s="34">
        <v>-3</v>
      </c>
      <c r="AXP4765" s="34">
        <v>-2.5</v>
      </c>
      <c r="AXQ4765" s="34">
        <v>-2</v>
      </c>
      <c r="AXR4765" s="34">
        <v>-1.5</v>
      </c>
      <c r="AXS4765" s="34">
        <v>-1</v>
      </c>
      <c r="AXT4765" s="34">
        <v>-0.5</v>
      </c>
      <c r="AXU4765" s="34">
        <v>0</v>
      </c>
      <c r="AXV4765" s="34">
        <v>0.5</v>
      </c>
      <c r="AXW4765" s="34">
        <v>1</v>
      </c>
      <c r="AXX4765" s="34">
        <v>1.5</v>
      </c>
      <c r="AXY4765" s="34">
        <v>2</v>
      </c>
      <c r="AXZ4765" s="34">
        <v>2.5</v>
      </c>
      <c r="AYA4765" s="34">
        <v>3</v>
      </c>
      <c r="AYB4765" s="34">
        <v>3.5</v>
      </c>
      <c r="AYC4765" s="34">
        <v>4</v>
      </c>
      <c r="AYD4765" s="34">
        <v>4.5</v>
      </c>
      <c r="AYE4765" s="34">
        <v>5</v>
      </c>
      <c r="AYG4765" s="913"/>
      <c r="AYH4765" s="31">
        <v>1</v>
      </c>
      <c r="AYI4765" s="34">
        <v>0</v>
      </c>
      <c r="AYJ4765" s="34">
        <v>-1</v>
      </c>
      <c r="AYK4765" s="34">
        <v>-2</v>
      </c>
      <c r="AYL4765" s="34">
        <v>-3</v>
      </c>
      <c r="AYM4765" s="34">
        <v>-4</v>
      </c>
      <c r="AYN4765" s="34">
        <v>-5</v>
      </c>
      <c r="AYO4765" s="908"/>
      <c r="AYP4765" s="909"/>
      <c r="AYQ4765" s="34">
        <v>-5</v>
      </c>
      <c r="AYR4765" s="34">
        <v>-4.5</v>
      </c>
      <c r="AYS4765" s="34">
        <v>-4</v>
      </c>
      <c r="AYT4765" s="34">
        <v>-3.5</v>
      </c>
      <c r="AYU4765" s="34">
        <v>-3</v>
      </c>
      <c r="AYV4765" s="34">
        <v>-2.5</v>
      </c>
      <c r="AYW4765" s="34">
        <v>-2</v>
      </c>
      <c r="AYX4765" s="34">
        <v>-1.5</v>
      </c>
      <c r="AYY4765" s="34">
        <v>-1</v>
      </c>
      <c r="AYZ4765" s="34">
        <v>-0.5</v>
      </c>
      <c r="AZA4765" s="34">
        <v>0</v>
      </c>
      <c r="AZB4765" s="34">
        <v>0.5</v>
      </c>
      <c r="AZC4765" s="34">
        <v>1</v>
      </c>
      <c r="AZD4765" s="34">
        <v>1.5</v>
      </c>
      <c r="AZE4765" s="34">
        <v>2</v>
      </c>
      <c r="AZF4765" s="34">
        <v>2.5</v>
      </c>
      <c r="AZG4765" s="34">
        <v>3</v>
      </c>
      <c r="AZH4765" s="34">
        <v>3.5</v>
      </c>
      <c r="AZI4765" s="34">
        <v>4</v>
      </c>
      <c r="AZJ4765" s="34">
        <v>4.5</v>
      </c>
      <c r="AZK4765" s="34">
        <v>5</v>
      </c>
      <c r="AZM4765" s="913"/>
      <c r="AZN4765" s="31">
        <v>1</v>
      </c>
      <c r="AZO4765" s="34">
        <v>0</v>
      </c>
      <c r="AZP4765" s="34">
        <v>-1</v>
      </c>
      <c r="AZQ4765" s="34">
        <v>-2</v>
      </c>
      <c r="AZR4765" s="34">
        <v>-3</v>
      </c>
      <c r="AZS4765" s="34">
        <v>-4</v>
      </c>
      <c r="AZT4765" s="34">
        <v>-5</v>
      </c>
      <c r="AZU4765" s="908"/>
      <c r="AZV4765" s="909"/>
      <c r="AZW4765" s="34">
        <v>-5</v>
      </c>
      <c r="AZX4765" s="34">
        <v>-4.5</v>
      </c>
      <c r="AZY4765" s="34">
        <v>-4</v>
      </c>
      <c r="AZZ4765" s="34">
        <v>-3.5</v>
      </c>
      <c r="BAA4765" s="34">
        <v>-3</v>
      </c>
      <c r="BAB4765" s="34">
        <v>-2.5</v>
      </c>
      <c r="BAC4765" s="34">
        <v>-2</v>
      </c>
      <c r="BAD4765" s="34">
        <v>-1.5</v>
      </c>
      <c r="BAE4765" s="34">
        <v>-1</v>
      </c>
      <c r="BAF4765" s="34">
        <v>-0.5</v>
      </c>
      <c r="BAG4765" s="34">
        <v>0</v>
      </c>
      <c r="BAH4765" s="34">
        <v>0.5</v>
      </c>
      <c r="BAI4765" s="34">
        <v>1</v>
      </c>
      <c r="BAJ4765" s="34">
        <v>1.5</v>
      </c>
      <c r="BAK4765" s="34">
        <v>2</v>
      </c>
      <c r="BAL4765" s="34">
        <v>2.5</v>
      </c>
      <c r="BAM4765" s="34">
        <v>3</v>
      </c>
      <c r="BAN4765" s="34">
        <v>3.5</v>
      </c>
      <c r="BAO4765" s="34">
        <v>4</v>
      </c>
      <c r="BAP4765" s="34">
        <v>4.5</v>
      </c>
      <c r="BAQ4765" s="34">
        <v>5</v>
      </c>
      <c r="BAS4765" s="913"/>
      <c r="BAT4765" s="31">
        <v>1</v>
      </c>
      <c r="BAU4765" s="34">
        <v>0</v>
      </c>
      <c r="BAV4765" s="34">
        <v>-1</v>
      </c>
      <c r="BAW4765" s="34">
        <v>-2</v>
      </c>
      <c r="BAX4765" s="34">
        <v>-3</v>
      </c>
      <c r="BAY4765" s="34">
        <v>-4</v>
      </c>
      <c r="BAZ4765" s="34">
        <v>-5</v>
      </c>
      <c r="BBA4765" s="908"/>
      <c r="BBB4765" s="909"/>
      <c r="BBC4765" s="34">
        <v>-5</v>
      </c>
      <c r="BBD4765" s="34">
        <v>-4.5</v>
      </c>
      <c r="BBE4765" s="34">
        <v>-4</v>
      </c>
      <c r="BBF4765" s="34">
        <v>-3.5</v>
      </c>
      <c r="BBG4765" s="34">
        <v>-3</v>
      </c>
      <c r="BBH4765" s="34">
        <v>-2.5</v>
      </c>
      <c r="BBI4765" s="34">
        <v>-2</v>
      </c>
      <c r="BBJ4765" s="34">
        <v>-1.5</v>
      </c>
      <c r="BBK4765" s="34">
        <v>-1</v>
      </c>
      <c r="BBL4765" s="34">
        <v>-0.5</v>
      </c>
      <c r="BBM4765" s="34">
        <v>0</v>
      </c>
      <c r="BBN4765" s="34">
        <v>0.5</v>
      </c>
      <c r="BBO4765" s="34">
        <v>1</v>
      </c>
      <c r="BBP4765" s="34">
        <v>1.5</v>
      </c>
      <c r="BBQ4765" s="34">
        <v>2</v>
      </c>
      <c r="BBR4765" s="34">
        <v>2.5</v>
      </c>
      <c r="BBS4765" s="34">
        <v>3</v>
      </c>
      <c r="BBT4765" s="34">
        <v>3.5</v>
      </c>
      <c r="BBU4765" s="34">
        <v>4</v>
      </c>
      <c r="BBV4765" s="34">
        <v>4.5</v>
      </c>
      <c r="BBW4765" s="34">
        <v>5</v>
      </c>
      <c r="BBY4765" s="913"/>
      <c r="BBZ4765" s="31">
        <v>1</v>
      </c>
      <c r="BCA4765" s="34">
        <v>0</v>
      </c>
      <c r="BCB4765" s="34">
        <v>-1</v>
      </c>
      <c r="BCC4765" s="34">
        <v>-2</v>
      </c>
      <c r="BCD4765" s="34">
        <v>-3</v>
      </c>
      <c r="BCE4765" s="34">
        <v>-4</v>
      </c>
      <c r="BCF4765" s="34">
        <v>-5</v>
      </c>
      <c r="BCG4765" s="908"/>
      <c r="BCH4765" s="909"/>
      <c r="BCI4765" s="34">
        <v>-5</v>
      </c>
      <c r="BCJ4765" s="34">
        <v>-4.5</v>
      </c>
      <c r="BCK4765" s="34">
        <v>-4</v>
      </c>
      <c r="BCL4765" s="34">
        <v>-3.5</v>
      </c>
      <c r="BCM4765" s="34">
        <v>-3</v>
      </c>
      <c r="BCN4765" s="34">
        <v>-2.5</v>
      </c>
      <c r="BCO4765" s="34">
        <v>-2</v>
      </c>
      <c r="BCP4765" s="34">
        <v>-1.5</v>
      </c>
      <c r="BCQ4765" s="34">
        <v>-1</v>
      </c>
      <c r="BCR4765" s="34">
        <v>-0.5</v>
      </c>
      <c r="BCS4765" s="34">
        <v>0</v>
      </c>
      <c r="BCT4765" s="34">
        <v>0.5</v>
      </c>
      <c r="BCU4765" s="34">
        <v>1</v>
      </c>
      <c r="BCV4765" s="34">
        <v>1.5</v>
      </c>
      <c r="BCW4765" s="34">
        <v>2</v>
      </c>
      <c r="BCX4765" s="34">
        <v>2.5</v>
      </c>
      <c r="BCY4765" s="34">
        <v>3</v>
      </c>
      <c r="BCZ4765" s="34">
        <v>3.5</v>
      </c>
      <c r="BDA4765" s="34">
        <v>4</v>
      </c>
      <c r="BDB4765" s="34">
        <v>4.5</v>
      </c>
      <c r="BDC4765" s="34">
        <v>5</v>
      </c>
      <c r="BDE4765" s="913"/>
      <c r="BDF4765" s="31">
        <v>1</v>
      </c>
      <c r="BDG4765" s="34">
        <v>0</v>
      </c>
      <c r="BDH4765" s="34">
        <v>-1</v>
      </c>
      <c r="BDI4765" s="34">
        <v>-2</v>
      </c>
      <c r="BDJ4765" s="34">
        <v>-3</v>
      </c>
      <c r="BDK4765" s="34">
        <v>-4</v>
      </c>
      <c r="BDL4765" s="34">
        <v>-5</v>
      </c>
      <c r="BDM4765" s="908"/>
      <c r="BDN4765" s="909"/>
      <c r="BDO4765" s="34">
        <v>-5</v>
      </c>
      <c r="BDP4765" s="34">
        <v>-4.5</v>
      </c>
      <c r="BDQ4765" s="34">
        <v>-4</v>
      </c>
      <c r="BDR4765" s="34">
        <v>-3.5</v>
      </c>
      <c r="BDS4765" s="34">
        <v>-3</v>
      </c>
      <c r="BDT4765" s="34">
        <v>-2.5</v>
      </c>
      <c r="BDU4765" s="34">
        <v>-2</v>
      </c>
      <c r="BDV4765" s="34">
        <v>-1.5</v>
      </c>
      <c r="BDW4765" s="34">
        <v>-1</v>
      </c>
      <c r="BDX4765" s="34">
        <v>-0.5</v>
      </c>
      <c r="BDY4765" s="34">
        <v>0</v>
      </c>
      <c r="BDZ4765" s="34">
        <v>0.5</v>
      </c>
      <c r="BEA4765" s="34">
        <v>1</v>
      </c>
      <c r="BEB4765" s="34">
        <v>1.5</v>
      </c>
      <c r="BEC4765" s="34">
        <v>2</v>
      </c>
      <c r="BED4765" s="34">
        <v>2.5</v>
      </c>
      <c r="BEE4765" s="34">
        <v>3</v>
      </c>
      <c r="BEF4765" s="34">
        <v>3.5</v>
      </c>
      <c r="BEG4765" s="34">
        <v>4</v>
      </c>
      <c r="BEH4765" s="34">
        <v>4.5</v>
      </c>
      <c r="BEI4765" s="34">
        <v>5</v>
      </c>
      <c r="BEK4765" s="913"/>
      <c r="BEL4765" s="31">
        <v>1</v>
      </c>
      <c r="BEM4765" s="34">
        <v>0</v>
      </c>
      <c r="BEN4765" s="34">
        <v>-1</v>
      </c>
      <c r="BEO4765" s="34">
        <v>-2</v>
      </c>
      <c r="BEP4765" s="34">
        <v>-3</v>
      </c>
      <c r="BEQ4765" s="34">
        <v>-4</v>
      </c>
      <c r="BER4765" s="34">
        <v>-5</v>
      </c>
      <c r="BES4765" s="908"/>
      <c r="BET4765" s="909"/>
      <c r="BEU4765" s="34">
        <v>-5</v>
      </c>
      <c r="BEV4765" s="34">
        <v>-4.5</v>
      </c>
      <c r="BEW4765" s="34">
        <v>-4</v>
      </c>
      <c r="BEX4765" s="34">
        <v>-3.5</v>
      </c>
      <c r="BEY4765" s="34">
        <v>-3</v>
      </c>
      <c r="BEZ4765" s="34">
        <v>-2.5</v>
      </c>
      <c r="BFA4765" s="34">
        <v>-2</v>
      </c>
      <c r="BFB4765" s="34">
        <v>-1.5</v>
      </c>
      <c r="BFC4765" s="34">
        <v>-1</v>
      </c>
      <c r="BFD4765" s="34">
        <v>-0.5</v>
      </c>
      <c r="BFE4765" s="34">
        <v>0</v>
      </c>
      <c r="BFF4765" s="34">
        <v>0.5</v>
      </c>
      <c r="BFG4765" s="34">
        <v>1</v>
      </c>
      <c r="BFH4765" s="34">
        <v>1.5</v>
      </c>
      <c r="BFI4765" s="34">
        <v>2</v>
      </c>
      <c r="BFJ4765" s="34">
        <v>2.5</v>
      </c>
      <c r="BFK4765" s="34">
        <v>3</v>
      </c>
      <c r="BFL4765" s="34">
        <v>3.5</v>
      </c>
      <c r="BFM4765" s="34">
        <v>4</v>
      </c>
      <c r="BFN4765" s="34">
        <v>4.5</v>
      </c>
      <c r="BFO4765" s="34">
        <v>5</v>
      </c>
      <c r="BFQ4765" s="913"/>
      <c r="BFR4765" s="31">
        <v>1</v>
      </c>
      <c r="BFS4765" s="34">
        <v>0</v>
      </c>
      <c r="BFT4765" s="34">
        <v>-1</v>
      </c>
      <c r="BFU4765" s="34">
        <v>-2</v>
      </c>
      <c r="BFV4765" s="34">
        <v>-3</v>
      </c>
      <c r="BFW4765" s="34">
        <v>-4</v>
      </c>
      <c r="BFX4765" s="34">
        <v>-5</v>
      </c>
      <c r="BFY4765" s="908"/>
      <c r="BFZ4765" s="909"/>
      <c r="BGA4765" s="34">
        <v>-5</v>
      </c>
      <c r="BGB4765" s="34">
        <v>-4.5</v>
      </c>
      <c r="BGC4765" s="34">
        <v>-4</v>
      </c>
      <c r="BGD4765" s="34">
        <v>-3.5</v>
      </c>
      <c r="BGE4765" s="34">
        <v>-3</v>
      </c>
      <c r="BGF4765" s="34">
        <v>-2.5</v>
      </c>
      <c r="BGG4765" s="34">
        <v>-2</v>
      </c>
      <c r="BGH4765" s="34">
        <v>-1.5</v>
      </c>
      <c r="BGI4765" s="34">
        <v>-1</v>
      </c>
      <c r="BGJ4765" s="34">
        <v>-0.5</v>
      </c>
      <c r="BGK4765" s="34">
        <v>0</v>
      </c>
      <c r="BGL4765" s="34">
        <v>0.5</v>
      </c>
      <c r="BGM4765" s="34">
        <v>1</v>
      </c>
      <c r="BGN4765" s="34">
        <v>1.5</v>
      </c>
      <c r="BGO4765" s="34">
        <v>2</v>
      </c>
      <c r="BGP4765" s="34">
        <v>2.5</v>
      </c>
      <c r="BGQ4765" s="34">
        <v>3</v>
      </c>
      <c r="BGR4765" s="34">
        <v>3.5</v>
      </c>
      <c r="BGS4765" s="34">
        <v>4</v>
      </c>
      <c r="BGT4765" s="34">
        <v>4.5</v>
      </c>
      <c r="BGU4765" s="34">
        <v>5</v>
      </c>
      <c r="BGW4765" s="913"/>
      <c r="BGX4765" s="31">
        <v>1</v>
      </c>
      <c r="BGY4765" s="34">
        <v>0</v>
      </c>
      <c r="BGZ4765" s="34">
        <v>-1</v>
      </c>
      <c r="BHA4765" s="34">
        <v>-2</v>
      </c>
      <c r="BHB4765" s="34">
        <v>-3</v>
      </c>
      <c r="BHC4765" s="34">
        <v>-4</v>
      </c>
      <c r="BHD4765" s="34">
        <v>-5</v>
      </c>
      <c r="BHE4765" s="908"/>
      <c r="BHF4765" s="909"/>
      <c r="BHG4765" s="34">
        <v>-5</v>
      </c>
      <c r="BHH4765" s="34">
        <v>-4.5</v>
      </c>
      <c r="BHI4765" s="34">
        <v>-4</v>
      </c>
      <c r="BHJ4765" s="34">
        <v>-3.5</v>
      </c>
      <c r="BHK4765" s="34">
        <v>-3</v>
      </c>
      <c r="BHL4765" s="34">
        <v>-2.5</v>
      </c>
      <c r="BHM4765" s="34">
        <v>-2</v>
      </c>
      <c r="BHN4765" s="34">
        <v>-1.5</v>
      </c>
      <c r="BHO4765" s="34">
        <v>-1</v>
      </c>
      <c r="BHP4765" s="34">
        <v>-0.5</v>
      </c>
      <c r="BHQ4765" s="34">
        <v>0</v>
      </c>
      <c r="BHR4765" s="34">
        <v>0.5</v>
      </c>
      <c r="BHS4765" s="34">
        <v>1</v>
      </c>
      <c r="BHT4765" s="34">
        <v>1.5</v>
      </c>
      <c r="BHU4765" s="34">
        <v>2</v>
      </c>
      <c r="BHV4765" s="34">
        <v>2.5</v>
      </c>
      <c r="BHW4765" s="34">
        <v>3</v>
      </c>
      <c r="BHX4765" s="34">
        <v>3.5</v>
      </c>
      <c r="BHY4765" s="34">
        <v>4</v>
      </c>
      <c r="BHZ4765" s="34">
        <v>4.5</v>
      </c>
      <c r="BIA4765" s="34">
        <v>5</v>
      </c>
      <c r="BIC4765" s="913"/>
      <c r="BID4765" s="31">
        <v>1</v>
      </c>
      <c r="BIE4765" s="34">
        <v>0</v>
      </c>
      <c r="BIF4765" s="34">
        <v>-1</v>
      </c>
      <c r="BIG4765" s="34">
        <v>-2</v>
      </c>
      <c r="BIH4765" s="34">
        <v>-3</v>
      </c>
      <c r="BII4765" s="34">
        <v>-4</v>
      </c>
      <c r="BIJ4765" s="34">
        <v>-5</v>
      </c>
      <c r="BIK4765" s="908"/>
      <c r="BIL4765" s="909"/>
      <c r="BIM4765" s="34">
        <v>-5</v>
      </c>
      <c r="BIN4765" s="34">
        <v>-4.5</v>
      </c>
      <c r="BIO4765" s="34">
        <v>-4</v>
      </c>
      <c r="BIP4765" s="34">
        <v>-3.5</v>
      </c>
      <c r="BIQ4765" s="34">
        <v>-3</v>
      </c>
      <c r="BIR4765" s="34">
        <v>-2.5</v>
      </c>
      <c r="BIS4765" s="34">
        <v>-2</v>
      </c>
      <c r="BIT4765" s="34">
        <v>-1.5</v>
      </c>
      <c r="BIU4765" s="34">
        <v>-1</v>
      </c>
      <c r="BIV4765" s="34">
        <v>-0.5</v>
      </c>
      <c r="BIW4765" s="34">
        <v>0</v>
      </c>
      <c r="BIX4765" s="34">
        <v>0.5</v>
      </c>
      <c r="BIY4765" s="34">
        <v>1</v>
      </c>
      <c r="BIZ4765" s="34">
        <v>1.5</v>
      </c>
      <c r="BJA4765" s="34">
        <v>2</v>
      </c>
      <c r="BJB4765" s="34">
        <v>2.5</v>
      </c>
      <c r="BJC4765" s="34">
        <v>3</v>
      </c>
      <c r="BJD4765" s="34">
        <v>3.5</v>
      </c>
      <c r="BJE4765" s="34">
        <v>4</v>
      </c>
      <c r="BJF4765" s="34">
        <v>4.5</v>
      </c>
      <c r="BJG4765" s="34">
        <v>5</v>
      </c>
      <c r="BJI4765" s="913"/>
      <c r="BJJ4765" s="31">
        <v>1</v>
      </c>
      <c r="BJK4765" s="34">
        <v>0</v>
      </c>
      <c r="BJL4765" s="34">
        <v>-1</v>
      </c>
      <c r="BJM4765" s="34">
        <v>-2</v>
      </c>
      <c r="BJN4765" s="34">
        <v>-3</v>
      </c>
      <c r="BJO4765" s="34">
        <v>-4</v>
      </c>
      <c r="BJP4765" s="34">
        <v>-5</v>
      </c>
      <c r="BJQ4765" s="908"/>
      <c r="BJR4765" s="909"/>
      <c r="BJS4765" s="34">
        <v>-5</v>
      </c>
      <c r="BJT4765" s="34">
        <v>-4.5</v>
      </c>
      <c r="BJU4765" s="34">
        <v>-4</v>
      </c>
      <c r="BJV4765" s="34">
        <v>-3.5</v>
      </c>
      <c r="BJW4765" s="34">
        <v>-3</v>
      </c>
      <c r="BJX4765" s="34">
        <v>-2.5</v>
      </c>
      <c r="BJY4765" s="34">
        <v>-2</v>
      </c>
      <c r="BJZ4765" s="34">
        <v>-1.5</v>
      </c>
      <c r="BKA4765" s="34">
        <v>-1</v>
      </c>
      <c r="BKB4765" s="34">
        <v>-0.5</v>
      </c>
      <c r="BKC4765" s="34">
        <v>0</v>
      </c>
      <c r="BKD4765" s="34">
        <v>0.5</v>
      </c>
      <c r="BKE4765" s="34">
        <v>1</v>
      </c>
      <c r="BKF4765" s="34">
        <v>1.5</v>
      </c>
      <c r="BKG4765" s="34">
        <v>2</v>
      </c>
      <c r="BKH4765" s="34">
        <v>2.5</v>
      </c>
      <c r="BKI4765" s="34">
        <v>3</v>
      </c>
      <c r="BKJ4765" s="34">
        <v>3.5</v>
      </c>
      <c r="BKK4765" s="34">
        <v>4</v>
      </c>
      <c r="BKL4765" s="34">
        <v>4.5</v>
      </c>
      <c r="BKM4765" s="34">
        <v>5</v>
      </c>
      <c r="BKO4765" s="913"/>
      <c r="BKP4765" s="31">
        <v>1</v>
      </c>
      <c r="BKQ4765" s="34">
        <v>0</v>
      </c>
      <c r="BKR4765" s="34">
        <v>-1</v>
      </c>
      <c r="BKS4765" s="34">
        <v>-2</v>
      </c>
      <c r="BKT4765" s="34">
        <v>-3</v>
      </c>
      <c r="BKU4765" s="34">
        <v>-4</v>
      </c>
      <c r="BKV4765" s="34">
        <v>-5</v>
      </c>
      <c r="BKW4765" s="908"/>
      <c r="BKX4765" s="909"/>
      <c r="BKY4765" s="34">
        <v>-5</v>
      </c>
      <c r="BKZ4765" s="34">
        <v>-4.5</v>
      </c>
      <c r="BLA4765" s="34">
        <v>-4</v>
      </c>
      <c r="BLB4765" s="34">
        <v>-3.5</v>
      </c>
      <c r="BLC4765" s="34">
        <v>-3</v>
      </c>
      <c r="BLD4765" s="34">
        <v>-2.5</v>
      </c>
      <c r="BLE4765" s="34">
        <v>-2</v>
      </c>
      <c r="BLF4765" s="34">
        <v>-1.5</v>
      </c>
      <c r="BLG4765" s="34">
        <v>-1</v>
      </c>
      <c r="BLH4765" s="34">
        <v>-0.5</v>
      </c>
      <c r="BLI4765" s="34">
        <v>0</v>
      </c>
      <c r="BLJ4765" s="34">
        <v>0.5</v>
      </c>
      <c r="BLK4765" s="34">
        <v>1</v>
      </c>
      <c r="BLL4765" s="34">
        <v>1.5</v>
      </c>
      <c r="BLM4765" s="34">
        <v>2</v>
      </c>
      <c r="BLN4765" s="34">
        <v>2.5</v>
      </c>
      <c r="BLO4765" s="34">
        <v>3</v>
      </c>
      <c r="BLP4765" s="34">
        <v>3.5</v>
      </c>
      <c r="BLQ4765" s="34">
        <v>4</v>
      </c>
      <c r="BLR4765" s="34">
        <v>4.5</v>
      </c>
      <c r="BLS4765" s="34">
        <v>5</v>
      </c>
      <c r="BLU4765" s="913"/>
      <c r="BLV4765" s="31">
        <v>1</v>
      </c>
      <c r="BLW4765" s="34">
        <v>0</v>
      </c>
      <c r="BLX4765" s="34">
        <v>-1</v>
      </c>
      <c r="BLY4765" s="34">
        <v>-2</v>
      </c>
      <c r="BLZ4765" s="34">
        <v>-3</v>
      </c>
      <c r="BMA4765" s="34">
        <v>-4</v>
      </c>
      <c r="BMB4765" s="34">
        <v>-5</v>
      </c>
      <c r="BMC4765" s="908"/>
      <c r="BMD4765" s="909"/>
      <c r="BME4765" s="34">
        <v>-5</v>
      </c>
      <c r="BMF4765" s="34">
        <v>-4.5</v>
      </c>
      <c r="BMG4765" s="34">
        <v>-4</v>
      </c>
      <c r="BMH4765" s="34">
        <v>-3.5</v>
      </c>
      <c r="BMI4765" s="34">
        <v>-3</v>
      </c>
      <c r="BMJ4765" s="34">
        <v>-2.5</v>
      </c>
      <c r="BMK4765" s="34">
        <v>-2</v>
      </c>
      <c r="BML4765" s="34">
        <v>-1.5</v>
      </c>
      <c r="BMM4765" s="34">
        <v>-1</v>
      </c>
      <c r="BMN4765" s="34">
        <v>-0.5</v>
      </c>
      <c r="BMO4765" s="34">
        <v>0</v>
      </c>
      <c r="BMP4765" s="34">
        <v>0.5</v>
      </c>
      <c r="BMQ4765" s="34">
        <v>1</v>
      </c>
      <c r="BMR4765" s="34">
        <v>1.5</v>
      </c>
      <c r="BMS4765" s="34">
        <v>2</v>
      </c>
      <c r="BMT4765" s="34">
        <v>2.5</v>
      </c>
      <c r="BMU4765" s="34">
        <v>3</v>
      </c>
      <c r="BMV4765" s="34">
        <v>3.5</v>
      </c>
      <c r="BMW4765" s="34">
        <v>4</v>
      </c>
      <c r="BMX4765" s="34">
        <v>4.5</v>
      </c>
      <c r="BMY4765" s="34">
        <v>5</v>
      </c>
      <c r="BNA4765" s="913"/>
      <c r="BNB4765" s="31">
        <v>1</v>
      </c>
      <c r="BNC4765" s="34">
        <v>0</v>
      </c>
      <c r="BND4765" s="34">
        <v>-1</v>
      </c>
      <c r="BNE4765" s="34">
        <v>-2</v>
      </c>
      <c r="BNF4765" s="34">
        <v>-3</v>
      </c>
      <c r="BNG4765" s="34">
        <v>-4</v>
      </c>
      <c r="BNH4765" s="34">
        <v>-5</v>
      </c>
      <c r="BNI4765" s="908"/>
      <c r="BNJ4765" s="909"/>
      <c r="BNK4765" s="34">
        <v>-5</v>
      </c>
      <c r="BNL4765" s="34">
        <v>-4.5</v>
      </c>
      <c r="BNM4765" s="34">
        <v>-4</v>
      </c>
      <c r="BNN4765" s="34">
        <v>-3.5</v>
      </c>
      <c r="BNO4765" s="34">
        <v>-3</v>
      </c>
      <c r="BNP4765" s="34">
        <v>-2.5</v>
      </c>
      <c r="BNQ4765" s="34">
        <v>-2</v>
      </c>
      <c r="BNR4765" s="34">
        <v>-1.5</v>
      </c>
      <c r="BNS4765" s="34">
        <v>-1</v>
      </c>
      <c r="BNT4765" s="34">
        <v>-0.5</v>
      </c>
      <c r="BNU4765" s="34">
        <v>0</v>
      </c>
      <c r="BNV4765" s="34">
        <v>0.5</v>
      </c>
      <c r="BNW4765" s="34">
        <v>1</v>
      </c>
      <c r="BNX4765" s="34">
        <v>1.5</v>
      </c>
      <c r="BNY4765" s="34">
        <v>2</v>
      </c>
      <c r="BNZ4765" s="34">
        <v>2.5</v>
      </c>
      <c r="BOA4765" s="34">
        <v>3</v>
      </c>
      <c r="BOB4765" s="34">
        <v>3.5</v>
      </c>
      <c r="BOC4765" s="34">
        <v>4</v>
      </c>
      <c r="BOD4765" s="34">
        <v>4.5</v>
      </c>
      <c r="BOE4765" s="34">
        <v>5</v>
      </c>
      <c r="BOG4765" s="913"/>
      <c r="BOH4765" s="31">
        <v>1</v>
      </c>
      <c r="BOI4765" s="34">
        <v>0</v>
      </c>
      <c r="BOJ4765" s="34">
        <v>-1</v>
      </c>
      <c r="BOK4765" s="34">
        <v>-2</v>
      </c>
      <c r="BOL4765" s="34">
        <v>-3</v>
      </c>
      <c r="BOM4765" s="34">
        <v>-4</v>
      </c>
      <c r="BON4765" s="34">
        <v>-5</v>
      </c>
      <c r="BOO4765" s="908"/>
      <c r="BOP4765" s="909"/>
      <c r="BOQ4765" s="34">
        <v>-5</v>
      </c>
      <c r="BOR4765" s="34">
        <v>-4.5</v>
      </c>
      <c r="BOS4765" s="34">
        <v>-4</v>
      </c>
      <c r="BOT4765" s="34">
        <v>-3.5</v>
      </c>
      <c r="BOU4765" s="34">
        <v>-3</v>
      </c>
      <c r="BOV4765" s="34">
        <v>-2.5</v>
      </c>
      <c r="BOW4765" s="34">
        <v>-2</v>
      </c>
      <c r="BOX4765" s="34">
        <v>-1.5</v>
      </c>
      <c r="BOY4765" s="34">
        <v>-1</v>
      </c>
      <c r="BOZ4765" s="34">
        <v>-0.5</v>
      </c>
      <c r="BPA4765" s="34">
        <v>0</v>
      </c>
      <c r="BPB4765" s="34">
        <v>0.5</v>
      </c>
      <c r="BPC4765" s="34">
        <v>1</v>
      </c>
      <c r="BPD4765" s="34">
        <v>1.5</v>
      </c>
      <c r="BPE4765" s="34">
        <v>2</v>
      </c>
      <c r="BPF4765" s="34">
        <v>2.5</v>
      </c>
      <c r="BPG4765" s="34">
        <v>3</v>
      </c>
      <c r="BPH4765" s="34">
        <v>3.5</v>
      </c>
      <c r="BPI4765" s="34">
        <v>4</v>
      </c>
      <c r="BPJ4765" s="34">
        <v>4.5</v>
      </c>
      <c r="BPK4765" s="34">
        <v>5</v>
      </c>
      <c r="BPM4765" s="913"/>
      <c r="BPN4765" s="31">
        <v>1</v>
      </c>
      <c r="BPO4765" s="34">
        <v>0</v>
      </c>
      <c r="BPP4765" s="34">
        <v>-1</v>
      </c>
      <c r="BPQ4765" s="34">
        <v>-2</v>
      </c>
      <c r="BPR4765" s="34">
        <v>-3</v>
      </c>
      <c r="BPS4765" s="34">
        <v>-4</v>
      </c>
      <c r="BPT4765" s="34">
        <v>-5</v>
      </c>
      <c r="BPU4765" s="908"/>
      <c r="BPV4765" s="909"/>
      <c r="BPW4765" s="34">
        <v>-5</v>
      </c>
      <c r="BPX4765" s="34">
        <v>-4.5</v>
      </c>
      <c r="BPY4765" s="34">
        <v>-4</v>
      </c>
      <c r="BPZ4765" s="34">
        <v>-3.5</v>
      </c>
      <c r="BQA4765" s="34">
        <v>-3</v>
      </c>
      <c r="BQB4765" s="34">
        <v>-2.5</v>
      </c>
      <c r="BQC4765" s="34">
        <v>-2</v>
      </c>
      <c r="BQD4765" s="34">
        <v>-1.5</v>
      </c>
      <c r="BQE4765" s="34">
        <v>-1</v>
      </c>
      <c r="BQF4765" s="34">
        <v>-0.5</v>
      </c>
      <c r="BQG4765" s="34">
        <v>0</v>
      </c>
      <c r="BQH4765" s="34">
        <v>0.5</v>
      </c>
      <c r="BQI4765" s="34">
        <v>1</v>
      </c>
      <c r="BQJ4765" s="34">
        <v>1.5</v>
      </c>
      <c r="BQK4765" s="34">
        <v>2</v>
      </c>
      <c r="BQL4765" s="34">
        <v>2.5</v>
      </c>
      <c r="BQM4765" s="34">
        <v>3</v>
      </c>
      <c r="BQN4765" s="34">
        <v>3.5</v>
      </c>
      <c r="BQO4765" s="34">
        <v>4</v>
      </c>
      <c r="BQP4765" s="34">
        <v>4.5</v>
      </c>
      <c r="BQQ4765" s="34">
        <v>5</v>
      </c>
      <c r="BQS4765" s="913"/>
      <c r="BQT4765" s="31">
        <v>1</v>
      </c>
      <c r="BQU4765" s="34">
        <v>0</v>
      </c>
      <c r="BQV4765" s="34">
        <v>-1</v>
      </c>
      <c r="BQW4765" s="34">
        <v>-2</v>
      </c>
      <c r="BQX4765" s="34">
        <v>-3</v>
      </c>
      <c r="BQY4765" s="34">
        <v>-4</v>
      </c>
      <c r="BQZ4765" s="34">
        <v>-5</v>
      </c>
      <c r="BRA4765" s="908"/>
      <c r="BRB4765" s="909"/>
      <c r="BRC4765" s="34">
        <v>-5</v>
      </c>
      <c r="BRD4765" s="34">
        <v>-4.5</v>
      </c>
      <c r="BRE4765" s="34">
        <v>-4</v>
      </c>
      <c r="BRF4765" s="34">
        <v>-3.5</v>
      </c>
      <c r="BRG4765" s="34">
        <v>-3</v>
      </c>
      <c r="BRH4765" s="34">
        <v>-2.5</v>
      </c>
      <c r="BRI4765" s="34">
        <v>-2</v>
      </c>
      <c r="BRJ4765" s="34">
        <v>-1.5</v>
      </c>
      <c r="BRK4765" s="34">
        <v>-1</v>
      </c>
      <c r="BRL4765" s="34">
        <v>-0.5</v>
      </c>
      <c r="BRM4765" s="34">
        <v>0</v>
      </c>
      <c r="BRN4765" s="34">
        <v>0.5</v>
      </c>
      <c r="BRO4765" s="34">
        <v>1</v>
      </c>
      <c r="BRP4765" s="34">
        <v>1.5</v>
      </c>
      <c r="BRQ4765" s="34">
        <v>2</v>
      </c>
      <c r="BRR4765" s="34">
        <v>2.5</v>
      </c>
      <c r="BRS4765" s="34">
        <v>3</v>
      </c>
      <c r="BRT4765" s="34">
        <v>3.5</v>
      </c>
      <c r="BRU4765" s="34">
        <v>4</v>
      </c>
      <c r="BRV4765" s="34">
        <v>4.5</v>
      </c>
      <c r="BRW4765" s="34">
        <v>5</v>
      </c>
      <c r="BRY4765" s="913"/>
      <c r="BRZ4765" s="31">
        <v>1</v>
      </c>
      <c r="BSA4765" s="34">
        <v>0</v>
      </c>
      <c r="BSB4765" s="34">
        <v>-1</v>
      </c>
      <c r="BSC4765" s="34">
        <v>-2</v>
      </c>
      <c r="BSD4765" s="34">
        <v>-3</v>
      </c>
      <c r="BSE4765" s="34">
        <v>-4</v>
      </c>
      <c r="BSF4765" s="34">
        <v>-5</v>
      </c>
      <c r="BSG4765" s="908"/>
      <c r="BSH4765" s="909"/>
      <c r="BSI4765" s="34">
        <v>-5</v>
      </c>
      <c r="BSJ4765" s="34">
        <v>-4.5</v>
      </c>
      <c r="BSK4765" s="34">
        <v>-4</v>
      </c>
      <c r="BSL4765" s="34">
        <v>-3.5</v>
      </c>
      <c r="BSM4765" s="34">
        <v>-3</v>
      </c>
      <c r="BSN4765" s="34">
        <v>-2.5</v>
      </c>
      <c r="BSO4765" s="34">
        <v>-2</v>
      </c>
      <c r="BSP4765" s="34">
        <v>-1.5</v>
      </c>
      <c r="BSQ4765" s="34">
        <v>-1</v>
      </c>
      <c r="BSR4765" s="34">
        <v>-0.5</v>
      </c>
      <c r="BSS4765" s="34">
        <v>0</v>
      </c>
      <c r="BST4765" s="34">
        <v>0.5</v>
      </c>
      <c r="BSU4765" s="34">
        <v>1</v>
      </c>
      <c r="BSV4765" s="34">
        <v>1.5</v>
      </c>
      <c r="BSW4765" s="34">
        <v>2</v>
      </c>
      <c r="BSX4765" s="34">
        <v>2.5</v>
      </c>
      <c r="BSY4765" s="34">
        <v>3</v>
      </c>
      <c r="BSZ4765" s="34">
        <v>3.5</v>
      </c>
      <c r="BTA4765" s="34">
        <v>4</v>
      </c>
      <c r="BTB4765" s="34">
        <v>4.5</v>
      </c>
      <c r="BTC4765" s="34">
        <v>5</v>
      </c>
      <c r="BTE4765" s="913"/>
      <c r="BTF4765" s="31">
        <v>1</v>
      </c>
      <c r="BTG4765" s="34">
        <v>0</v>
      </c>
      <c r="BTH4765" s="34">
        <v>-1</v>
      </c>
      <c r="BTI4765" s="34">
        <v>-2</v>
      </c>
      <c r="BTJ4765" s="34">
        <v>-3</v>
      </c>
      <c r="BTK4765" s="34">
        <v>-4</v>
      </c>
      <c r="BTL4765" s="34">
        <v>-5</v>
      </c>
      <c r="BTM4765" s="908"/>
      <c r="BTN4765" s="909"/>
      <c r="BTO4765" s="34">
        <v>-5</v>
      </c>
      <c r="BTP4765" s="34">
        <v>-4.5</v>
      </c>
      <c r="BTQ4765" s="34">
        <v>-4</v>
      </c>
      <c r="BTR4765" s="34">
        <v>-3.5</v>
      </c>
      <c r="BTS4765" s="34">
        <v>-3</v>
      </c>
      <c r="BTT4765" s="34">
        <v>-2.5</v>
      </c>
      <c r="BTU4765" s="34">
        <v>-2</v>
      </c>
      <c r="BTV4765" s="34">
        <v>-1.5</v>
      </c>
      <c r="BTW4765" s="34">
        <v>-1</v>
      </c>
      <c r="BTX4765" s="34">
        <v>-0.5</v>
      </c>
      <c r="BTY4765" s="34">
        <v>0</v>
      </c>
      <c r="BTZ4765" s="34">
        <v>0.5</v>
      </c>
      <c r="BUA4765" s="34">
        <v>1</v>
      </c>
      <c r="BUB4765" s="34">
        <v>1.5</v>
      </c>
      <c r="BUC4765" s="34">
        <v>2</v>
      </c>
      <c r="BUD4765" s="34">
        <v>2.5</v>
      </c>
      <c r="BUE4765" s="34">
        <v>3</v>
      </c>
      <c r="BUF4765" s="34">
        <v>3.5</v>
      </c>
      <c r="BUG4765" s="34">
        <v>4</v>
      </c>
      <c r="BUH4765" s="34">
        <v>4.5</v>
      </c>
      <c r="BUI4765" s="34">
        <v>5</v>
      </c>
      <c r="BUK4765" s="913"/>
      <c r="BUL4765" s="31">
        <v>1</v>
      </c>
      <c r="BUM4765" s="34">
        <v>0</v>
      </c>
      <c r="BUN4765" s="34">
        <v>-1</v>
      </c>
      <c r="BUO4765" s="34">
        <v>-2</v>
      </c>
      <c r="BUP4765" s="34">
        <v>-3</v>
      </c>
      <c r="BUQ4765" s="34">
        <v>-4</v>
      </c>
      <c r="BUR4765" s="34">
        <v>-5</v>
      </c>
      <c r="BUS4765" s="908"/>
      <c r="BUT4765" s="909"/>
      <c r="BUU4765" s="34">
        <v>-5</v>
      </c>
      <c r="BUV4765" s="34">
        <v>-4.5</v>
      </c>
      <c r="BUW4765" s="34">
        <v>-4</v>
      </c>
      <c r="BUX4765" s="34">
        <v>-3.5</v>
      </c>
      <c r="BUY4765" s="34">
        <v>-3</v>
      </c>
      <c r="BUZ4765" s="34">
        <v>-2.5</v>
      </c>
      <c r="BVA4765" s="34">
        <v>-2</v>
      </c>
      <c r="BVB4765" s="34">
        <v>-1.5</v>
      </c>
      <c r="BVC4765" s="34">
        <v>-1</v>
      </c>
      <c r="BVD4765" s="34">
        <v>-0.5</v>
      </c>
      <c r="BVE4765" s="34">
        <v>0</v>
      </c>
      <c r="BVF4765" s="34">
        <v>0.5</v>
      </c>
      <c r="BVG4765" s="34">
        <v>1</v>
      </c>
      <c r="BVH4765" s="34">
        <v>1.5</v>
      </c>
      <c r="BVI4765" s="34">
        <v>2</v>
      </c>
      <c r="BVJ4765" s="34">
        <v>2.5</v>
      </c>
      <c r="BVK4765" s="34">
        <v>3</v>
      </c>
      <c r="BVL4765" s="34">
        <v>3.5</v>
      </c>
      <c r="BVM4765" s="34">
        <v>4</v>
      </c>
      <c r="BVN4765" s="34">
        <v>4.5</v>
      </c>
      <c r="BVO4765" s="34">
        <v>5</v>
      </c>
      <c r="BVQ4765" s="913"/>
      <c r="BVR4765" s="31">
        <v>1</v>
      </c>
      <c r="BVS4765" s="34">
        <v>0</v>
      </c>
      <c r="BVT4765" s="34">
        <v>-1</v>
      </c>
      <c r="BVU4765" s="34">
        <v>-2</v>
      </c>
      <c r="BVV4765" s="34">
        <v>-3</v>
      </c>
      <c r="BVW4765" s="34">
        <v>-4</v>
      </c>
      <c r="BVX4765" s="34">
        <v>-5</v>
      </c>
      <c r="BVY4765" s="908"/>
      <c r="BVZ4765" s="909"/>
      <c r="BWA4765" s="34">
        <v>-5</v>
      </c>
      <c r="BWB4765" s="34">
        <v>-4.5</v>
      </c>
      <c r="BWC4765" s="34">
        <v>-4</v>
      </c>
      <c r="BWD4765" s="34">
        <v>-3.5</v>
      </c>
      <c r="BWE4765" s="34">
        <v>-3</v>
      </c>
      <c r="BWF4765" s="34">
        <v>-2.5</v>
      </c>
      <c r="BWG4765" s="34">
        <v>-2</v>
      </c>
      <c r="BWH4765" s="34">
        <v>-1.5</v>
      </c>
      <c r="BWI4765" s="34">
        <v>-1</v>
      </c>
      <c r="BWJ4765" s="34">
        <v>-0.5</v>
      </c>
      <c r="BWK4765" s="34">
        <v>0</v>
      </c>
      <c r="BWL4765" s="34">
        <v>0.5</v>
      </c>
      <c r="BWM4765" s="34">
        <v>1</v>
      </c>
      <c r="BWN4765" s="34">
        <v>1.5</v>
      </c>
      <c r="BWO4765" s="34">
        <v>2</v>
      </c>
      <c r="BWP4765" s="34">
        <v>2.5</v>
      </c>
      <c r="BWQ4765" s="34">
        <v>3</v>
      </c>
      <c r="BWR4765" s="34">
        <v>3.5</v>
      </c>
      <c r="BWS4765" s="34">
        <v>4</v>
      </c>
      <c r="BWT4765" s="34">
        <v>4.5</v>
      </c>
      <c r="BWU4765" s="34">
        <v>5</v>
      </c>
      <c r="BWW4765" s="913"/>
      <c r="BWX4765" s="31">
        <v>1</v>
      </c>
      <c r="BWY4765" s="34">
        <v>0</v>
      </c>
      <c r="BWZ4765" s="34">
        <v>-1</v>
      </c>
      <c r="BXA4765" s="34">
        <v>-2</v>
      </c>
      <c r="BXB4765" s="34">
        <v>-3</v>
      </c>
      <c r="BXC4765" s="34">
        <v>-4</v>
      </c>
      <c r="BXD4765" s="34">
        <v>-5</v>
      </c>
      <c r="BXE4765" s="908"/>
      <c r="BXF4765" s="909"/>
      <c r="BXG4765" s="34">
        <v>-5</v>
      </c>
      <c r="BXH4765" s="34">
        <v>-4.5</v>
      </c>
      <c r="BXI4765" s="34">
        <v>-4</v>
      </c>
      <c r="BXJ4765" s="34">
        <v>-3.5</v>
      </c>
      <c r="BXK4765" s="34">
        <v>-3</v>
      </c>
      <c r="BXL4765" s="34">
        <v>-2.5</v>
      </c>
      <c r="BXM4765" s="34">
        <v>-2</v>
      </c>
      <c r="BXN4765" s="34">
        <v>-1.5</v>
      </c>
      <c r="BXO4765" s="34">
        <v>-1</v>
      </c>
      <c r="BXP4765" s="34">
        <v>-0.5</v>
      </c>
      <c r="BXQ4765" s="34">
        <v>0</v>
      </c>
      <c r="BXR4765" s="34">
        <v>0.5</v>
      </c>
      <c r="BXS4765" s="34">
        <v>1</v>
      </c>
      <c r="BXT4765" s="34">
        <v>1.5</v>
      </c>
      <c r="BXU4765" s="34">
        <v>2</v>
      </c>
      <c r="BXV4765" s="34">
        <v>2.5</v>
      </c>
      <c r="BXW4765" s="34">
        <v>3</v>
      </c>
      <c r="BXX4765" s="34">
        <v>3.5</v>
      </c>
      <c r="BXY4765" s="34">
        <v>4</v>
      </c>
      <c r="BXZ4765" s="34">
        <v>4.5</v>
      </c>
      <c r="BYA4765" s="34">
        <v>5</v>
      </c>
      <c r="BYC4765" s="913"/>
      <c r="BYD4765" s="31">
        <v>1</v>
      </c>
      <c r="BYE4765" s="34">
        <v>0</v>
      </c>
      <c r="BYF4765" s="34">
        <v>-1</v>
      </c>
      <c r="BYG4765" s="34">
        <v>-2</v>
      </c>
      <c r="BYH4765" s="34">
        <v>-3</v>
      </c>
      <c r="BYI4765" s="34">
        <v>-4</v>
      </c>
      <c r="BYJ4765" s="34">
        <v>-5</v>
      </c>
      <c r="BYK4765" s="908"/>
      <c r="BYL4765" s="909"/>
      <c r="BYM4765" s="34">
        <v>-5</v>
      </c>
      <c r="BYN4765" s="34">
        <v>-4.5</v>
      </c>
      <c r="BYO4765" s="34">
        <v>-4</v>
      </c>
      <c r="BYP4765" s="34">
        <v>-3.5</v>
      </c>
      <c r="BYQ4765" s="34">
        <v>-3</v>
      </c>
      <c r="BYR4765" s="34">
        <v>-2.5</v>
      </c>
      <c r="BYS4765" s="34">
        <v>-2</v>
      </c>
      <c r="BYT4765" s="34">
        <v>-1.5</v>
      </c>
      <c r="BYU4765" s="34">
        <v>-1</v>
      </c>
      <c r="BYV4765" s="34">
        <v>-0.5</v>
      </c>
      <c r="BYW4765" s="34">
        <v>0</v>
      </c>
      <c r="BYX4765" s="34">
        <v>0.5</v>
      </c>
      <c r="BYY4765" s="34">
        <v>1</v>
      </c>
      <c r="BYZ4765" s="34">
        <v>1.5</v>
      </c>
      <c r="BZA4765" s="34">
        <v>2</v>
      </c>
      <c r="BZB4765" s="34">
        <v>2.5</v>
      </c>
      <c r="BZC4765" s="34">
        <v>3</v>
      </c>
      <c r="BZD4765" s="34">
        <v>3.5</v>
      </c>
      <c r="BZE4765" s="34">
        <v>4</v>
      </c>
      <c r="BZF4765" s="34">
        <v>4.5</v>
      </c>
      <c r="BZG4765" s="34">
        <v>5</v>
      </c>
      <c r="BZI4765" s="913"/>
      <c r="BZJ4765" s="31">
        <v>1</v>
      </c>
      <c r="BZK4765" s="34">
        <v>0</v>
      </c>
      <c r="BZL4765" s="34">
        <v>-1</v>
      </c>
      <c r="BZM4765" s="34">
        <v>-2</v>
      </c>
      <c r="BZN4765" s="34">
        <v>-3</v>
      </c>
      <c r="BZO4765" s="34">
        <v>-4</v>
      </c>
      <c r="BZP4765" s="34">
        <v>-5</v>
      </c>
      <c r="BZQ4765" s="908"/>
      <c r="BZR4765" s="909"/>
      <c r="BZS4765" s="34">
        <v>-5</v>
      </c>
      <c r="BZT4765" s="34">
        <v>-4.5</v>
      </c>
      <c r="BZU4765" s="34">
        <v>-4</v>
      </c>
      <c r="BZV4765" s="34">
        <v>-3.5</v>
      </c>
      <c r="BZW4765" s="34">
        <v>-3</v>
      </c>
      <c r="BZX4765" s="34">
        <v>-2.5</v>
      </c>
      <c r="BZY4765" s="34">
        <v>-2</v>
      </c>
      <c r="BZZ4765" s="34">
        <v>-1.5</v>
      </c>
      <c r="CAA4765" s="34">
        <v>-1</v>
      </c>
      <c r="CAB4765" s="34">
        <v>-0.5</v>
      </c>
      <c r="CAC4765" s="34">
        <v>0</v>
      </c>
      <c r="CAD4765" s="34">
        <v>0.5</v>
      </c>
      <c r="CAE4765" s="34">
        <v>1</v>
      </c>
      <c r="CAF4765" s="34">
        <v>1.5</v>
      </c>
      <c r="CAG4765" s="34">
        <v>2</v>
      </c>
      <c r="CAH4765" s="34">
        <v>2.5</v>
      </c>
      <c r="CAI4765" s="34">
        <v>3</v>
      </c>
      <c r="CAJ4765" s="34">
        <v>3.5</v>
      </c>
      <c r="CAK4765" s="34">
        <v>4</v>
      </c>
      <c r="CAL4765" s="34">
        <v>4.5</v>
      </c>
      <c r="CAM4765" s="34">
        <v>5</v>
      </c>
      <c r="CAO4765" s="913"/>
      <c r="CAP4765" s="31">
        <v>1</v>
      </c>
      <c r="CAQ4765" s="34">
        <v>0</v>
      </c>
      <c r="CAR4765" s="34">
        <v>-1</v>
      </c>
      <c r="CAS4765" s="34">
        <v>-2</v>
      </c>
      <c r="CAT4765" s="34">
        <v>-3</v>
      </c>
      <c r="CAU4765" s="34">
        <v>-4</v>
      </c>
      <c r="CAV4765" s="34">
        <v>-5</v>
      </c>
      <c r="CAW4765" s="908"/>
      <c r="CAX4765" s="909"/>
      <c r="CAY4765" s="34">
        <v>-5</v>
      </c>
      <c r="CAZ4765" s="34">
        <v>-4.5</v>
      </c>
      <c r="CBA4765" s="34">
        <v>-4</v>
      </c>
      <c r="CBB4765" s="34">
        <v>-3.5</v>
      </c>
      <c r="CBC4765" s="34">
        <v>-3</v>
      </c>
      <c r="CBD4765" s="34">
        <v>-2.5</v>
      </c>
      <c r="CBE4765" s="34">
        <v>-2</v>
      </c>
      <c r="CBF4765" s="34">
        <v>-1.5</v>
      </c>
      <c r="CBG4765" s="34">
        <v>-1</v>
      </c>
      <c r="CBH4765" s="34">
        <v>-0.5</v>
      </c>
      <c r="CBI4765" s="34">
        <v>0</v>
      </c>
      <c r="CBJ4765" s="34">
        <v>0.5</v>
      </c>
      <c r="CBK4765" s="34">
        <v>1</v>
      </c>
      <c r="CBL4765" s="34">
        <v>1.5</v>
      </c>
      <c r="CBM4765" s="34">
        <v>2</v>
      </c>
      <c r="CBN4765" s="34">
        <v>2.5</v>
      </c>
      <c r="CBO4765" s="34">
        <v>3</v>
      </c>
      <c r="CBP4765" s="34">
        <v>3.5</v>
      </c>
      <c r="CBQ4765" s="34">
        <v>4</v>
      </c>
      <c r="CBR4765" s="34">
        <v>4.5</v>
      </c>
      <c r="CBS4765" s="34">
        <v>5</v>
      </c>
      <c r="CBU4765" s="913"/>
      <c r="CBV4765" s="31">
        <v>1</v>
      </c>
      <c r="CBW4765" s="34">
        <v>0</v>
      </c>
      <c r="CBX4765" s="34">
        <v>-1</v>
      </c>
      <c r="CBY4765" s="34">
        <v>-2</v>
      </c>
      <c r="CBZ4765" s="34">
        <v>-3</v>
      </c>
      <c r="CCA4765" s="34">
        <v>-4</v>
      </c>
      <c r="CCB4765" s="34">
        <v>-5</v>
      </c>
      <c r="CCC4765" s="908"/>
      <c r="CCD4765" s="909"/>
      <c r="CCE4765" s="34">
        <v>-5</v>
      </c>
      <c r="CCF4765" s="34">
        <v>-4.5</v>
      </c>
      <c r="CCG4765" s="34">
        <v>-4</v>
      </c>
      <c r="CCH4765" s="34">
        <v>-3.5</v>
      </c>
      <c r="CCI4765" s="34">
        <v>-3</v>
      </c>
      <c r="CCJ4765" s="34">
        <v>-2.5</v>
      </c>
      <c r="CCK4765" s="34">
        <v>-2</v>
      </c>
      <c r="CCL4765" s="34">
        <v>-1.5</v>
      </c>
      <c r="CCM4765" s="34">
        <v>-1</v>
      </c>
      <c r="CCN4765" s="34">
        <v>-0.5</v>
      </c>
      <c r="CCO4765" s="34">
        <v>0</v>
      </c>
      <c r="CCP4765" s="34">
        <v>0.5</v>
      </c>
      <c r="CCQ4765" s="34">
        <v>1</v>
      </c>
      <c r="CCR4765" s="34">
        <v>1.5</v>
      </c>
      <c r="CCS4765" s="34">
        <v>2</v>
      </c>
      <c r="CCT4765" s="34">
        <v>2.5</v>
      </c>
      <c r="CCU4765" s="34">
        <v>3</v>
      </c>
      <c r="CCV4765" s="34">
        <v>3.5</v>
      </c>
      <c r="CCW4765" s="34">
        <v>4</v>
      </c>
      <c r="CCX4765" s="34">
        <v>4.5</v>
      </c>
      <c r="CCY4765" s="34">
        <v>5</v>
      </c>
      <c r="CDA4765" s="913"/>
      <c r="CDB4765" s="31">
        <v>1</v>
      </c>
      <c r="CDC4765" s="34">
        <v>0</v>
      </c>
      <c r="CDD4765" s="34">
        <v>-1</v>
      </c>
      <c r="CDE4765" s="34">
        <v>-2</v>
      </c>
      <c r="CDF4765" s="34">
        <v>-3</v>
      </c>
      <c r="CDG4765" s="34">
        <v>-4</v>
      </c>
      <c r="CDH4765" s="34">
        <v>-5</v>
      </c>
      <c r="CDI4765" s="908"/>
      <c r="CDJ4765" s="909"/>
      <c r="CDK4765" s="34">
        <v>-5</v>
      </c>
      <c r="CDL4765" s="34">
        <v>-4.5</v>
      </c>
      <c r="CDM4765" s="34">
        <v>-4</v>
      </c>
      <c r="CDN4765" s="34">
        <v>-3.5</v>
      </c>
      <c r="CDO4765" s="34">
        <v>-3</v>
      </c>
      <c r="CDP4765" s="34">
        <v>-2.5</v>
      </c>
      <c r="CDQ4765" s="34">
        <v>-2</v>
      </c>
      <c r="CDR4765" s="34">
        <v>-1.5</v>
      </c>
      <c r="CDS4765" s="34">
        <v>-1</v>
      </c>
      <c r="CDT4765" s="34">
        <v>-0.5</v>
      </c>
      <c r="CDU4765" s="34">
        <v>0</v>
      </c>
      <c r="CDV4765" s="34">
        <v>0.5</v>
      </c>
      <c r="CDW4765" s="34">
        <v>1</v>
      </c>
      <c r="CDX4765" s="34">
        <v>1.5</v>
      </c>
      <c r="CDY4765" s="34">
        <v>2</v>
      </c>
      <c r="CDZ4765" s="34">
        <v>2.5</v>
      </c>
      <c r="CEA4765" s="34">
        <v>3</v>
      </c>
      <c r="CEB4765" s="34">
        <v>3.5</v>
      </c>
      <c r="CEC4765" s="34">
        <v>4</v>
      </c>
      <c r="CED4765" s="34">
        <v>4.5</v>
      </c>
      <c r="CEE4765" s="34">
        <v>5</v>
      </c>
      <c r="CEG4765" s="913"/>
      <c r="CEH4765" s="31">
        <v>1</v>
      </c>
      <c r="CEI4765" s="34">
        <v>0</v>
      </c>
      <c r="CEJ4765" s="34">
        <v>-1</v>
      </c>
      <c r="CEK4765" s="34">
        <v>-2</v>
      </c>
      <c r="CEL4765" s="34">
        <v>-3</v>
      </c>
      <c r="CEM4765" s="34">
        <v>-4</v>
      </c>
      <c r="CEN4765" s="34">
        <v>-5</v>
      </c>
      <c r="CEO4765" s="908"/>
      <c r="CEP4765" s="909"/>
      <c r="CEQ4765" s="34">
        <v>-5</v>
      </c>
      <c r="CER4765" s="34">
        <v>-4.5</v>
      </c>
      <c r="CES4765" s="34">
        <v>-4</v>
      </c>
      <c r="CET4765" s="34">
        <v>-3.5</v>
      </c>
      <c r="CEU4765" s="34">
        <v>-3</v>
      </c>
      <c r="CEV4765" s="34">
        <v>-2.5</v>
      </c>
      <c r="CEW4765" s="34">
        <v>-2</v>
      </c>
      <c r="CEX4765" s="34">
        <v>-1.5</v>
      </c>
      <c r="CEY4765" s="34">
        <v>-1</v>
      </c>
      <c r="CEZ4765" s="34">
        <v>-0.5</v>
      </c>
      <c r="CFA4765" s="34">
        <v>0</v>
      </c>
      <c r="CFB4765" s="34">
        <v>0.5</v>
      </c>
      <c r="CFC4765" s="34">
        <v>1</v>
      </c>
      <c r="CFD4765" s="34">
        <v>1.5</v>
      </c>
      <c r="CFE4765" s="34">
        <v>2</v>
      </c>
      <c r="CFF4765" s="34">
        <v>2.5</v>
      </c>
      <c r="CFG4765" s="34">
        <v>3</v>
      </c>
      <c r="CFH4765" s="34">
        <v>3.5</v>
      </c>
      <c r="CFI4765" s="34">
        <v>4</v>
      </c>
      <c r="CFJ4765" s="34">
        <v>4.5</v>
      </c>
      <c r="CFK4765" s="34">
        <v>5</v>
      </c>
      <c r="CFM4765" s="913"/>
      <c r="CFN4765" s="31">
        <v>1</v>
      </c>
      <c r="CFO4765" s="34">
        <v>0</v>
      </c>
      <c r="CFP4765" s="34">
        <v>-1</v>
      </c>
      <c r="CFQ4765" s="34">
        <v>-2</v>
      </c>
      <c r="CFR4765" s="34">
        <v>-3</v>
      </c>
      <c r="CFS4765" s="34">
        <v>-4</v>
      </c>
      <c r="CFT4765" s="34">
        <v>-5</v>
      </c>
      <c r="CFU4765" s="908"/>
      <c r="CFV4765" s="909"/>
      <c r="CFW4765" s="34">
        <v>-5</v>
      </c>
      <c r="CFX4765" s="34">
        <v>-4.5</v>
      </c>
      <c r="CFY4765" s="34">
        <v>-4</v>
      </c>
      <c r="CFZ4765" s="34">
        <v>-3.5</v>
      </c>
      <c r="CGA4765" s="34">
        <v>-3</v>
      </c>
      <c r="CGB4765" s="34">
        <v>-2.5</v>
      </c>
      <c r="CGC4765" s="34">
        <v>-2</v>
      </c>
      <c r="CGD4765" s="34">
        <v>-1.5</v>
      </c>
      <c r="CGE4765" s="34">
        <v>-1</v>
      </c>
      <c r="CGF4765" s="34">
        <v>-0.5</v>
      </c>
      <c r="CGG4765" s="34">
        <v>0</v>
      </c>
      <c r="CGH4765" s="34">
        <v>0.5</v>
      </c>
      <c r="CGI4765" s="34">
        <v>1</v>
      </c>
      <c r="CGJ4765" s="34">
        <v>1.5</v>
      </c>
      <c r="CGK4765" s="34">
        <v>2</v>
      </c>
      <c r="CGL4765" s="34">
        <v>2.5</v>
      </c>
      <c r="CGM4765" s="34">
        <v>3</v>
      </c>
      <c r="CGN4765" s="34">
        <v>3.5</v>
      </c>
      <c r="CGO4765" s="34">
        <v>4</v>
      </c>
      <c r="CGP4765" s="34">
        <v>4.5</v>
      </c>
      <c r="CGQ4765" s="34">
        <v>5</v>
      </c>
      <c r="CGS4765" s="913"/>
      <c r="CGT4765" s="31">
        <v>1</v>
      </c>
      <c r="CGU4765" s="34">
        <v>0</v>
      </c>
      <c r="CGV4765" s="34">
        <v>-1</v>
      </c>
      <c r="CGW4765" s="34">
        <v>-2</v>
      </c>
      <c r="CGX4765" s="34">
        <v>-3</v>
      </c>
      <c r="CGY4765" s="34">
        <v>-4</v>
      </c>
      <c r="CGZ4765" s="34">
        <v>-5</v>
      </c>
      <c r="CHA4765" s="908"/>
      <c r="CHB4765" s="909"/>
      <c r="CHC4765" s="34">
        <v>-5</v>
      </c>
      <c r="CHD4765" s="34">
        <v>-4.5</v>
      </c>
      <c r="CHE4765" s="34">
        <v>-4</v>
      </c>
      <c r="CHF4765" s="34">
        <v>-3.5</v>
      </c>
      <c r="CHG4765" s="34">
        <v>-3</v>
      </c>
      <c r="CHH4765" s="34">
        <v>-2.5</v>
      </c>
      <c r="CHI4765" s="34">
        <v>-2</v>
      </c>
      <c r="CHJ4765" s="34">
        <v>-1.5</v>
      </c>
      <c r="CHK4765" s="34">
        <v>-1</v>
      </c>
      <c r="CHL4765" s="34">
        <v>-0.5</v>
      </c>
      <c r="CHM4765" s="34">
        <v>0</v>
      </c>
      <c r="CHN4765" s="34">
        <v>0.5</v>
      </c>
      <c r="CHO4765" s="34">
        <v>1</v>
      </c>
      <c r="CHP4765" s="34">
        <v>1.5</v>
      </c>
      <c r="CHQ4765" s="34">
        <v>2</v>
      </c>
      <c r="CHR4765" s="34">
        <v>2.5</v>
      </c>
      <c r="CHS4765" s="34">
        <v>3</v>
      </c>
      <c r="CHT4765" s="34">
        <v>3.5</v>
      </c>
      <c r="CHU4765" s="34">
        <v>4</v>
      </c>
      <c r="CHV4765" s="34">
        <v>4.5</v>
      </c>
      <c r="CHW4765" s="34">
        <v>5</v>
      </c>
      <c r="CHY4765" s="913"/>
      <c r="CHZ4765" s="31">
        <v>1</v>
      </c>
      <c r="CIA4765" s="34">
        <v>0</v>
      </c>
      <c r="CIB4765" s="34">
        <v>-1</v>
      </c>
      <c r="CIC4765" s="34">
        <v>-2</v>
      </c>
      <c r="CID4765" s="34">
        <v>-3</v>
      </c>
      <c r="CIE4765" s="34">
        <v>-4</v>
      </c>
      <c r="CIF4765" s="34">
        <v>-5</v>
      </c>
      <c r="CIG4765" s="908"/>
      <c r="CIH4765" s="909"/>
      <c r="CII4765" s="34">
        <v>-5</v>
      </c>
      <c r="CIJ4765" s="34">
        <v>-4.5</v>
      </c>
      <c r="CIK4765" s="34">
        <v>-4</v>
      </c>
      <c r="CIL4765" s="34">
        <v>-3.5</v>
      </c>
      <c r="CIM4765" s="34">
        <v>-3</v>
      </c>
      <c r="CIN4765" s="34">
        <v>-2.5</v>
      </c>
      <c r="CIO4765" s="34">
        <v>-2</v>
      </c>
      <c r="CIP4765" s="34">
        <v>-1.5</v>
      </c>
      <c r="CIQ4765" s="34">
        <v>-1</v>
      </c>
      <c r="CIR4765" s="34">
        <v>-0.5</v>
      </c>
      <c r="CIS4765" s="34">
        <v>0</v>
      </c>
      <c r="CIT4765" s="34">
        <v>0.5</v>
      </c>
      <c r="CIU4765" s="34">
        <v>1</v>
      </c>
      <c r="CIV4765" s="34">
        <v>1.5</v>
      </c>
      <c r="CIW4765" s="34">
        <v>2</v>
      </c>
      <c r="CIX4765" s="34">
        <v>2.5</v>
      </c>
      <c r="CIY4765" s="34">
        <v>3</v>
      </c>
      <c r="CIZ4765" s="34">
        <v>3.5</v>
      </c>
      <c r="CJA4765" s="34">
        <v>4</v>
      </c>
      <c r="CJB4765" s="34">
        <v>4.5</v>
      </c>
      <c r="CJC4765" s="34">
        <v>5</v>
      </c>
      <c r="CJE4765" s="913"/>
      <c r="CJF4765" s="31">
        <v>1</v>
      </c>
      <c r="CJG4765" s="34">
        <v>0</v>
      </c>
      <c r="CJH4765" s="34">
        <v>-1</v>
      </c>
      <c r="CJI4765" s="34">
        <v>-2</v>
      </c>
      <c r="CJJ4765" s="34">
        <v>-3</v>
      </c>
      <c r="CJK4765" s="34">
        <v>-4</v>
      </c>
      <c r="CJL4765" s="34">
        <v>-5</v>
      </c>
      <c r="CJM4765" s="908"/>
      <c r="CJN4765" s="909"/>
      <c r="CJO4765" s="34">
        <v>-5</v>
      </c>
      <c r="CJP4765" s="34">
        <v>-4.5</v>
      </c>
      <c r="CJQ4765" s="34">
        <v>-4</v>
      </c>
      <c r="CJR4765" s="34">
        <v>-3.5</v>
      </c>
      <c r="CJS4765" s="34">
        <v>-3</v>
      </c>
      <c r="CJT4765" s="34">
        <v>-2.5</v>
      </c>
      <c r="CJU4765" s="34">
        <v>-2</v>
      </c>
      <c r="CJV4765" s="34">
        <v>-1.5</v>
      </c>
      <c r="CJW4765" s="34">
        <v>-1</v>
      </c>
      <c r="CJX4765" s="34">
        <v>-0.5</v>
      </c>
      <c r="CJY4765" s="34">
        <v>0</v>
      </c>
      <c r="CJZ4765" s="34">
        <v>0.5</v>
      </c>
      <c r="CKA4765" s="34">
        <v>1</v>
      </c>
      <c r="CKB4765" s="34">
        <v>1.5</v>
      </c>
      <c r="CKC4765" s="34">
        <v>2</v>
      </c>
      <c r="CKD4765" s="34">
        <v>2.5</v>
      </c>
      <c r="CKE4765" s="34">
        <v>3</v>
      </c>
      <c r="CKF4765" s="34">
        <v>3.5</v>
      </c>
      <c r="CKG4765" s="34">
        <v>4</v>
      </c>
      <c r="CKH4765" s="34">
        <v>4.5</v>
      </c>
      <c r="CKI4765" s="34">
        <v>5</v>
      </c>
      <c r="CKK4765" s="913"/>
      <c r="CKL4765" s="31">
        <v>1</v>
      </c>
      <c r="CKM4765" s="34">
        <v>0</v>
      </c>
      <c r="CKN4765" s="34">
        <v>-1</v>
      </c>
      <c r="CKO4765" s="34">
        <v>-2</v>
      </c>
      <c r="CKP4765" s="34">
        <v>-3</v>
      </c>
      <c r="CKQ4765" s="34">
        <v>-4</v>
      </c>
      <c r="CKR4765" s="34">
        <v>-5</v>
      </c>
      <c r="CKS4765" s="908"/>
      <c r="CKT4765" s="909"/>
      <c r="CKU4765" s="34">
        <v>-5</v>
      </c>
      <c r="CKV4765" s="34">
        <v>-4.5</v>
      </c>
      <c r="CKW4765" s="34">
        <v>-4</v>
      </c>
      <c r="CKX4765" s="34">
        <v>-3.5</v>
      </c>
      <c r="CKY4765" s="34">
        <v>-3</v>
      </c>
      <c r="CKZ4765" s="34">
        <v>-2.5</v>
      </c>
      <c r="CLA4765" s="34">
        <v>-2</v>
      </c>
      <c r="CLB4765" s="34">
        <v>-1.5</v>
      </c>
      <c r="CLC4765" s="34">
        <v>-1</v>
      </c>
      <c r="CLD4765" s="34">
        <v>-0.5</v>
      </c>
      <c r="CLE4765" s="34">
        <v>0</v>
      </c>
      <c r="CLF4765" s="34">
        <v>0.5</v>
      </c>
      <c r="CLG4765" s="34">
        <v>1</v>
      </c>
      <c r="CLH4765" s="34">
        <v>1.5</v>
      </c>
      <c r="CLI4765" s="34">
        <v>2</v>
      </c>
      <c r="CLJ4765" s="34">
        <v>2.5</v>
      </c>
      <c r="CLK4765" s="34">
        <v>3</v>
      </c>
      <c r="CLL4765" s="34">
        <v>3.5</v>
      </c>
      <c r="CLM4765" s="34">
        <v>4</v>
      </c>
      <c r="CLN4765" s="34">
        <v>4.5</v>
      </c>
      <c r="CLO4765" s="34">
        <v>5</v>
      </c>
      <c r="CLQ4765" s="913"/>
      <c r="CLR4765" s="31">
        <v>1</v>
      </c>
      <c r="CLS4765" s="34">
        <v>0</v>
      </c>
      <c r="CLT4765" s="34">
        <v>-1</v>
      </c>
      <c r="CLU4765" s="34">
        <v>-2</v>
      </c>
      <c r="CLV4765" s="34">
        <v>-3</v>
      </c>
      <c r="CLW4765" s="34">
        <v>-4</v>
      </c>
      <c r="CLX4765" s="34">
        <v>-5</v>
      </c>
      <c r="CLY4765" s="908"/>
      <c r="CLZ4765" s="909"/>
      <c r="CMA4765" s="34">
        <v>-5</v>
      </c>
      <c r="CMB4765" s="34">
        <v>-4.5</v>
      </c>
      <c r="CMC4765" s="34">
        <v>-4</v>
      </c>
      <c r="CMD4765" s="34">
        <v>-3.5</v>
      </c>
      <c r="CME4765" s="34">
        <v>-3</v>
      </c>
      <c r="CMF4765" s="34">
        <v>-2.5</v>
      </c>
      <c r="CMG4765" s="34">
        <v>-2</v>
      </c>
      <c r="CMH4765" s="34">
        <v>-1.5</v>
      </c>
      <c r="CMI4765" s="34">
        <v>-1</v>
      </c>
      <c r="CMJ4765" s="34">
        <v>-0.5</v>
      </c>
      <c r="CMK4765" s="34">
        <v>0</v>
      </c>
      <c r="CML4765" s="34">
        <v>0.5</v>
      </c>
      <c r="CMM4765" s="34">
        <v>1</v>
      </c>
      <c r="CMN4765" s="34">
        <v>1.5</v>
      </c>
      <c r="CMO4765" s="34">
        <v>2</v>
      </c>
      <c r="CMP4765" s="34">
        <v>2.5</v>
      </c>
      <c r="CMQ4765" s="34">
        <v>3</v>
      </c>
      <c r="CMR4765" s="34">
        <v>3.5</v>
      </c>
      <c r="CMS4765" s="34">
        <v>4</v>
      </c>
      <c r="CMT4765" s="34">
        <v>4.5</v>
      </c>
      <c r="CMU4765" s="34">
        <v>5</v>
      </c>
      <c r="CMW4765" s="913"/>
      <c r="CMX4765" s="31">
        <v>1</v>
      </c>
      <c r="CMY4765" s="34">
        <v>0</v>
      </c>
      <c r="CMZ4765" s="34">
        <v>-1</v>
      </c>
      <c r="CNA4765" s="34">
        <v>-2</v>
      </c>
      <c r="CNB4765" s="34">
        <v>-3</v>
      </c>
      <c r="CNC4765" s="34">
        <v>-4</v>
      </c>
      <c r="CND4765" s="34">
        <v>-5</v>
      </c>
      <c r="CNE4765" s="908"/>
      <c r="CNF4765" s="909"/>
      <c r="CNG4765" s="34">
        <v>-5</v>
      </c>
      <c r="CNH4765" s="34">
        <v>-4.5</v>
      </c>
      <c r="CNI4765" s="34">
        <v>-4</v>
      </c>
      <c r="CNJ4765" s="34">
        <v>-3.5</v>
      </c>
      <c r="CNK4765" s="34">
        <v>-3</v>
      </c>
      <c r="CNL4765" s="34">
        <v>-2.5</v>
      </c>
      <c r="CNM4765" s="34">
        <v>-2</v>
      </c>
      <c r="CNN4765" s="34">
        <v>-1.5</v>
      </c>
      <c r="CNO4765" s="34">
        <v>-1</v>
      </c>
      <c r="CNP4765" s="34">
        <v>-0.5</v>
      </c>
      <c r="CNQ4765" s="34">
        <v>0</v>
      </c>
      <c r="CNR4765" s="34">
        <v>0.5</v>
      </c>
      <c r="CNS4765" s="34">
        <v>1</v>
      </c>
      <c r="CNT4765" s="34">
        <v>1.5</v>
      </c>
      <c r="CNU4765" s="34">
        <v>2</v>
      </c>
      <c r="CNV4765" s="34">
        <v>2.5</v>
      </c>
      <c r="CNW4765" s="34">
        <v>3</v>
      </c>
      <c r="CNX4765" s="34">
        <v>3.5</v>
      </c>
      <c r="CNY4765" s="34">
        <v>4</v>
      </c>
      <c r="CNZ4765" s="34">
        <v>4.5</v>
      </c>
      <c r="COA4765" s="34">
        <v>5</v>
      </c>
      <c r="COC4765" s="913"/>
      <c r="COD4765" s="31">
        <v>1</v>
      </c>
      <c r="COE4765" s="34">
        <v>0</v>
      </c>
      <c r="COF4765" s="34">
        <v>-1</v>
      </c>
      <c r="COG4765" s="34">
        <v>-2</v>
      </c>
      <c r="COH4765" s="34">
        <v>-3</v>
      </c>
      <c r="COI4765" s="34">
        <v>-4</v>
      </c>
      <c r="COJ4765" s="34">
        <v>-5</v>
      </c>
      <c r="COK4765" s="908"/>
      <c r="COL4765" s="909"/>
      <c r="COM4765" s="34">
        <v>-5</v>
      </c>
      <c r="CON4765" s="34">
        <v>-4.5</v>
      </c>
      <c r="COO4765" s="34">
        <v>-4</v>
      </c>
      <c r="COP4765" s="34">
        <v>-3.5</v>
      </c>
      <c r="COQ4765" s="34">
        <v>-3</v>
      </c>
      <c r="COR4765" s="34">
        <v>-2.5</v>
      </c>
      <c r="COS4765" s="34">
        <v>-2</v>
      </c>
      <c r="COT4765" s="34">
        <v>-1.5</v>
      </c>
      <c r="COU4765" s="34">
        <v>-1</v>
      </c>
      <c r="COV4765" s="34">
        <v>-0.5</v>
      </c>
      <c r="COW4765" s="34">
        <v>0</v>
      </c>
      <c r="COX4765" s="34">
        <v>0.5</v>
      </c>
      <c r="COY4765" s="34">
        <v>1</v>
      </c>
      <c r="COZ4765" s="34">
        <v>1.5</v>
      </c>
      <c r="CPA4765" s="34">
        <v>2</v>
      </c>
      <c r="CPB4765" s="34">
        <v>2.5</v>
      </c>
      <c r="CPC4765" s="34">
        <v>3</v>
      </c>
      <c r="CPD4765" s="34">
        <v>3.5</v>
      </c>
      <c r="CPE4765" s="34">
        <v>4</v>
      </c>
      <c r="CPF4765" s="34">
        <v>4.5</v>
      </c>
      <c r="CPG4765" s="34">
        <v>5</v>
      </c>
      <c r="CPI4765" s="913"/>
      <c r="CPJ4765" s="31">
        <v>1</v>
      </c>
      <c r="CPK4765" s="34">
        <v>0</v>
      </c>
      <c r="CPL4765" s="34">
        <v>-1</v>
      </c>
      <c r="CPM4765" s="34">
        <v>-2</v>
      </c>
      <c r="CPN4765" s="34">
        <v>-3</v>
      </c>
      <c r="CPO4765" s="34">
        <v>-4</v>
      </c>
      <c r="CPP4765" s="34">
        <v>-5</v>
      </c>
      <c r="CPQ4765" s="908"/>
      <c r="CPR4765" s="909"/>
      <c r="CPS4765" s="34">
        <v>-5</v>
      </c>
      <c r="CPT4765" s="34">
        <v>-4.5</v>
      </c>
      <c r="CPU4765" s="34">
        <v>-4</v>
      </c>
      <c r="CPV4765" s="34">
        <v>-3.5</v>
      </c>
      <c r="CPW4765" s="34">
        <v>-3</v>
      </c>
      <c r="CPX4765" s="34">
        <v>-2.5</v>
      </c>
      <c r="CPY4765" s="34">
        <v>-2</v>
      </c>
      <c r="CPZ4765" s="34">
        <v>-1.5</v>
      </c>
      <c r="CQA4765" s="34">
        <v>-1</v>
      </c>
      <c r="CQB4765" s="34">
        <v>-0.5</v>
      </c>
      <c r="CQC4765" s="34">
        <v>0</v>
      </c>
      <c r="CQD4765" s="34">
        <v>0.5</v>
      </c>
      <c r="CQE4765" s="34">
        <v>1</v>
      </c>
      <c r="CQF4765" s="34">
        <v>1.5</v>
      </c>
      <c r="CQG4765" s="34">
        <v>2</v>
      </c>
      <c r="CQH4765" s="34">
        <v>2.5</v>
      </c>
      <c r="CQI4765" s="34">
        <v>3</v>
      </c>
      <c r="CQJ4765" s="34">
        <v>3.5</v>
      </c>
      <c r="CQK4765" s="34">
        <v>4</v>
      </c>
      <c r="CQL4765" s="34">
        <v>4.5</v>
      </c>
      <c r="CQM4765" s="34">
        <v>5</v>
      </c>
      <c r="CQO4765" s="913"/>
      <c r="CQP4765" s="31">
        <v>1</v>
      </c>
      <c r="CQQ4765" s="34">
        <v>0</v>
      </c>
      <c r="CQR4765" s="34">
        <v>-1</v>
      </c>
      <c r="CQS4765" s="34">
        <v>-2</v>
      </c>
      <c r="CQT4765" s="34">
        <v>-3</v>
      </c>
      <c r="CQU4765" s="34">
        <v>-4</v>
      </c>
      <c r="CQV4765" s="34">
        <v>-5</v>
      </c>
      <c r="CQW4765" s="908"/>
      <c r="CQX4765" s="909"/>
      <c r="CQY4765" s="34">
        <v>-5</v>
      </c>
      <c r="CQZ4765" s="34">
        <v>-4.5</v>
      </c>
      <c r="CRA4765" s="34">
        <v>-4</v>
      </c>
      <c r="CRB4765" s="34">
        <v>-3.5</v>
      </c>
      <c r="CRC4765" s="34">
        <v>-3</v>
      </c>
      <c r="CRD4765" s="34">
        <v>-2.5</v>
      </c>
      <c r="CRE4765" s="34">
        <v>-2</v>
      </c>
      <c r="CRF4765" s="34">
        <v>-1.5</v>
      </c>
      <c r="CRG4765" s="34">
        <v>-1</v>
      </c>
      <c r="CRH4765" s="34">
        <v>-0.5</v>
      </c>
      <c r="CRI4765" s="34">
        <v>0</v>
      </c>
      <c r="CRJ4765" s="34">
        <v>0.5</v>
      </c>
      <c r="CRK4765" s="34">
        <v>1</v>
      </c>
      <c r="CRL4765" s="34">
        <v>1.5</v>
      </c>
      <c r="CRM4765" s="34">
        <v>2</v>
      </c>
      <c r="CRN4765" s="34">
        <v>2.5</v>
      </c>
      <c r="CRO4765" s="34">
        <v>3</v>
      </c>
      <c r="CRP4765" s="34">
        <v>3.5</v>
      </c>
      <c r="CRQ4765" s="34">
        <v>4</v>
      </c>
      <c r="CRR4765" s="34">
        <v>4.5</v>
      </c>
      <c r="CRS4765" s="34">
        <v>5</v>
      </c>
      <c r="CRU4765" s="913"/>
      <c r="CRV4765" s="31">
        <v>1</v>
      </c>
      <c r="CRW4765" s="34">
        <v>0</v>
      </c>
      <c r="CRX4765" s="34">
        <v>-1</v>
      </c>
      <c r="CRY4765" s="34">
        <v>-2</v>
      </c>
      <c r="CRZ4765" s="34">
        <v>-3</v>
      </c>
      <c r="CSA4765" s="34">
        <v>-4</v>
      </c>
      <c r="CSB4765" s="34">
        <v>-5</v>
      </c>
      <c r="CSC4765" s="908"/>
      <c r="CSD4765" s="909"/>
      <c r="CSE4765" s="34">
        <v>-5</v>
      </c>
      <c r="CSF4765" s="34">
        <v>-4.5</v>
      </c>
      <c r="CSG4765" s="34">
        <v>-4</v>
      </c>
      <c r="CSH4765" s="34">
        <v>-3.5</v>
      </c>
      <c r="CSI4765" s="34">
        <v>-3</v>
      </c>
      <c r="CSJ4765" s="34">
        <v>-2.5</v>
      </c>
      <c r="CSK4765" s="34">
        <v>-2</v>
      </c>
      <c r="CSL4765" s="34">
        <v>-1.5</v>
      </c>
      <c r="CSM4765" s="34">
        <v>-1</v>
      </c>
      <c r="CSN4765" s="34">
        <v>-0.5</v>
      </c>
      <c r="CSO4765" s="34">
        <v>0</v>
      </c>
      <c r="CSP4765" s="34">
        <v>0.5</v>
      </c>
      <c r="CSQ4765" s="34">
        <v>1</v>
      </c>
      <c r="CSR4765" s="34">
        <v>1.5</v>
      </c>
      <c r="CSS4765" s="34">
        <v>2</v>
      </c>
      <c r="CST4765" s="34">
        <v>2.5</v>
      </c>
      <c r="CSU4765" s="34">
        <v>3</v>
      </c>
      <c r="CSV4765" s="34">
        <v>3.5</v>
      </c>
      <c r="CSW4765" s="34">
        <v>4</v>
      </c>
      <c r="CSX4765" s="34">
        <v>4.5</v>
      </c>
      <c r="CSY4765" s="34">
        <v>5</v>
      </c>
      <c r="CTA4765" s="913"/>
      <c r="CTB4765" s="31">
        <v>1</v>
      </c>
      <c r="CTC4765" s="34">
        <v>0</v>
      </c>
      <c r="CTD4765" s="34">
        <v>-1</v>
      </c>
      <c r="CTE4765" s="34">
        <v>-2</v>
      </c>
      <c r="CTF4765" s="34">
        <v>-3</v>
      </c>
      <c r="CTG4765" s="34">
        <v>-4</v>
      </c>
      <c r="CTH4765" s="34">
        <v>-5</v>
      </c>
      <c r="CTI4765" s="908"/>
      <c r="CTJ4765" s="909"/>
      <c r="CTK4765" s="34">
        <v>-5</v>
      </c>
      <c r="CTL4765" s="34">
        <v>-4.5</v>
      </c>
      <c r="CTM4765" s="34">
        <v>-4</v>
      </c>
      <c r="CTN4765" s="34">
        <v>-3.5</v>
      </c>
      <c r="CTO4765" s="34">
        <v>-3</v>
      </c>
      <c r="CTP4765" s="34">
        <v>-2.5</v>
      </c>
      <c r="CTQ4765" s="34">
        <v>-2</v>
      </c>
      <c r="CTR4765" s="34">
        <v>-1.5</v>
      </c>
      <c r="CTS4765" s="34">
        <v>-1</v>
      </c>
      <c r="CTT4765" s="34">
        <v>-0.5</v>
      </c>
      <c r="CTU4765" s="34">
        <v>0</v>
      </c>
      <c r="CTV4765" s="34">
        <v>0.5</v>
      </c>
      <c r="CTW4765" s="34">
        <v>1</v>
      </c>
      <c r="CTX4765" s="34">
        <v>1.5</v>
      </c>
      <c r="CTY4765" s="34">
        <v>2</v>
      </c>
      <c r="CTZ4765" s="34">
        <v>2.5</v>
      </c>
      <c r="CUA4765" s="34">
        <v>3</v>
      </c>
      <c r="CUB4765" s="34">
        <v>3.5</v>
      </c>
      <c r="CUC4765" s="34">
        <v>4</v>
      </c>
      <c r="CUD4765" s="34">
        <v>4.5</v>
      </c>
      <c r="CUE4765" s="34">
        <v>5</v>
      </c>
      <c r="CUG4765" s="913"/>
      <c r="CUH4765" s="31">
        <v>1</v>
      </c>
      <c r="CUI4765" s="34">
        <v>0</v>
      </c>
      <c r="CUJ4765" s="34">
        <v>-1</v>
      </c>
      <c r="CUK4765" s="34">
        <v>-2</v>
      </c>
      <c r="CUL4765" s="34">
        <v>-3</v>
      </c>
      <c r="CUM4765" s="34">
        <v>-4</v>
      </c>
      <c r="CUN4765" s="34">
        <v>-5</v>
      </c>
      <c r="CUO4765" s="908"/>
      <c r="CUP4765" s="909"/>
      <c r="CUQ4765" s="34">
        <v>-5</v>
      </c>
      <c r="CUR4765" s="34">
        <v>-4.5</v>
      </c>
      <c r="CUS4765" s="34">
        <v>-4</v>
      </c>
      <c r="CUT4765" s="34">
        <v>-3.5</v>
      </c>
      <c r="CUU4765" s="34">
        <v>-3</v>
      </c>
      <c r="CUV4765" s="34">
        <v>-2.5</v>
      </c>
      <c r="CUW4765" s="34">
        <v>-2</v>
      </c>
      <c r="CUX4765" s="34">
        <v>-1.5</v>
      </c>
      <c r="CUY4765" s="34">
        <v>-1</v>
      </c>
      <c r="CUZ4765" s="34">
        <v>-0.5</v>
      </c>
      <c r="CVA4765" s="34">
        <v>0</v>
      </c>
      <c r="CVB4765" s="34">
        <v>0.5</v>
      </c>
      <c r="CVC4765" s="34">
        <v>1</v>
      </c>
      <c r="CVD4765" s="34">
        <v>1.5</v>
      </c>
      <c r="CVE4765" s="34">
        <v>2</v>
      </c>
      <c r="CVF4765" s="34">
        <v>2.5</v>
      </c>
      <c r="CVG4765" s="34">
        <v>3</v>
      </c>
      <c r="CVH4765" s="34">
        <v>3.5</v>
      </c>
      <c r="CVI4765" s="34">
        <v>4</v>
      </c>
      <c r="CVJ4765" s="34">
        <v>4.5</v>
      </c>
      <c r="CVK4765" s="34">
        <v>5</v>
      </c>
      <c r="CVM4765" s="913"/>
      <c r="CVN4765" s="31">
        <v>1</v>
      </c>
      <c r="CVO4765" s="34">
        <v>0</v>
      </c>
      <c r="CVP4765" s="34">
        <v>-1</v>
      </c>
      <c r="CVQ4765" s="34">
        <v>-2</v>
      </c>
      <c r="CVR4765" s="34">
        <v>-3</v>
      </c>
      <c r="CVS4765" s="34">
        <v>-4</v>
      </c>
      <c r="CVT4765" s="34">
        <v>-5</v>
      </c>
      <c r="CVU4765" s="908"/>
      <c r="CVV4765" s="909"/>
      <c r="CVW4765" s="34">
        <v>-5</v>
      </c>
      <c r="CVX4765" s="34">
        <v>-4.5</v>
      </c>
      <c r="CVY4765" s="34">
        <v>-4</v>
      </c>
      <c r="CVZ4765" s="34">
        <v>-3.5</v>
      </c>
      <c r="CWA4765" s="34">
        <v>-3</v>
      </c>
      <c r="CWB4765" s="34">
        <v>-2.5</v>
      </c>
      <c r="CWC4765" s="34">
        <v>-2</v>
      </c>
      <c r="CWD4765" s="34">
        <v>-1.5</v>
      </c>
      <c r="CWE4765" s="34">
        <v>-1</v>
      </c>
      <c r="CWF4765" s="34">
        <v>-0.5</v>
      </c>
      <c r="CWG4765" s="34">
        <v>0</v>
      </c>
      <c r="CWH4765" s="34">
        <v>0.5</v>
      </c>
      <c r="CWI4765" s="34">
        <v>1</v>
      </c>
      <c r="CWJ4765" s="34">
        <v>1.5</v>
      </c>
      <c r="CWK4765" s="34">
        <v>2</v>
      </c>
      <c r="CWL4765" s="34">
        <v>2.5</v>
      </c>
      <c r="CWM4765" s="34">
        <v>3</v>
      </c>
      <c r="CWN4765" s="34">
        <v>3.5</v>
      </c>
      <c r="CWO4765" s="34">
        <v>4</v>
      </c>
      <c r="CWP4765" s="34">
        <v>4.5</v>
      </c>
      <c r="CWQ4765" s="34">
        <v>5</v>
      </c>
      <c r="CWS4765" s="913"/>
      <c r="CWT4765" s="31">
        <v>1</v>
      </c>
      <c r="CWU4765" s="34">
        <v>0</v>
      </c>
      <c r="CWV4765" s="34">
        <v>-1</v>
      </c>
      <c r="CWW4765" s="34">
        <v>-2</v>
      </c>
      <c r="CWX4765" s="34">
        <v>-3</v>
      </c>
      <c r="CWY4765" s="34">
        <v>-4</v>
      </c>
      <c r="CWZ4765" s="34">
        <v>-5</v>
      </c>
      <c r="CXA4765" s="908"/>
      <c r="CXB4765" s="909"/>
      <c r="CXC4765" s="34">
        <v>-5</v>
      </c>
      <c r="CXD4765" s="34">
        <v>-4.5</v>
      </c>
      <c r="CXE4765" s="34">
        <v>-4</v>
      </c>
      <c r="CXF4765" s="34">
        <v>-3.5</v>
      </c>
      <c r="CXG4765" s="34">
        <v>-3</v>
      </c>
      <c r="CXH4765" s="34">
        <v>-2.5</v>
      </c>
      <c r="CXI4765" s="34">
        <v>-2</v>
      </c>
      <c r="CXJ4765" s="34">
        <v>-1.5</v>
      </c>
      <c r="CXK4765" s="34">
        <v>-1</v>
      </c>
      <c r="CXL4765" s="34">
        <v>-0.5</v>
      </c>
      <c r="CXM4765" s="34">
        <v>0</v>
      </c>
      <c r="CXN4765" s="34">
        <v>0.5</v>
      </c>
      <c r="CXO4765" s="34">
        <v>1</v>
      </c>
      <c r="CXP4765" s="34">
        <v>1.5</v>
      </c>
      <c r="CXQ4765" s="34">
        <v>2</v>
      </c>
      <c r="CXR4765" s="34">
        <v>2.5</v>
      </c>
      <c r="CXS4765" s="34">
        <v>3</v>
      </c>
      <c r="CXT4765" s="34">
        <v>3.5</v>
      </c>
      <c r="CXU4765" s="34">
        <v>4</v>
      </c>
      <c r="CXV4765" s="34">
        <v>4.5</v>
      </c>
      <c r="CXW4765" s="34">
        <v>5</v>
      </c>
      <c r="CXY4765" s="913"/>
      <c r="CXZ4765" s="31">
        <v>1</v>
      </c>
      <c r="CYA4765" s="34">
        <v>0</v>
      </c>
      <c r="CYB4765" s="34">
        <v>-1</v>
      </c>
      <c r="CYC4765" s="34">
        <v>-2</v>
      </c>
      <c r="CYD4765" s="34">
        <v>-3</v>
      </c>
      <c r="CYE4765" s="34">
        <v>-4</v>
      </c>
      <c r="CYF4765" s="34">
        <v>-5</v>
      </c>
      <c r="CYG4765" s="908"/>
      <c r="CYH4765" s="909"/>
      <c r="CYI4765" s="34">
        <v>-5</v>
      </c>
      <c r="CYJ4765" s="34">
        <v>-4.5</v>
      </c>
      <c r="CYK4765" s="34">
        <v>-4</v>
      </c>
      <c r="CYL4765" s="34">
        <v>-3.5</v>
      </c>
      <c r="CYM4765" s="34">
        <v>-3</v>
      </c>
      <c r="CYN4765" s="34">
        <v>-2.5</v>
      </c>
      <c r="CYO4765" s="34">
        <v>-2</v>
      </c>
      <c r="CYP4765" s="34">
        <v>-1.5</v>
      </c>
      <c r="CYQ4765" s="34">
        <v>-1</v>
      </c>
      <c r="CYR4765" s="34">
        <v>-0.5</v>
      </c>
      <c r="CYS4765" s="34">
        <v>0</v>
      </c>
      <c r="CYT4765" s="34">
        <v>0.5</v>
      </c>
      <c r="CYU4765" s="34">
        <v>1</v>
      </c>
      <c r="CYV4765" s="34">
        <v>1.5</v>
      </c>
      <c r="CYW4765" s="34">
        <v>2</v>
      </c>
      <c r="CYX4765" s="34">
        <v>2.5</v>
      </c>
      <c r="CYY4765" s="34">
        <v>3</v>
      </c>
      <c r="CYZ4765" s="34">
        <v>3.5</v>
      </c>
      <c r="CZA4765" s="34">
        <v>4</v>
      </c>
      <c r="CZB4765" s="34">
        <v>4.5</v>
      </c>
      <c r="CZC4765" s="34">
        <v>5</v>
      </c>
      <c r="CZE4765" s="913"/>
      <c r="CZF4765" s="31">
        <v>1</v>
      </c>
      <c r="CZG4765" s="34">
        <v>0</v>
      </c>
      <c r="CZH4765" s="34">
        <v>-1</v>
      </c>
      <c r="CZI4765" s="34">
        <v>-2</v>
      </c>
      <c r="CZJ4765" s="34">
        <v>-3</v>
      </c>
      <c r="CZK4765" s="34">
        <v>-4</v>
      </c>
      <c r="CZL4765" s="34">
        <v>-5</v>
      </c>
      <c r="CZM4765" s="908"/>
      <c r="CZN4765" s="909"/>
      <c r="CZO4765" s="34">
        <v>-5</v>
      </c>
      <c r="CZP4765" s="34">
        <v>-4.5</v>
      </c>
      <c r="CZQ4765" s="34">
        <v>-4</v>
      </c>
      <c r="CZR4765" s="34">
        <v>-3.5</v>
      </c>
      <c r="CZS4765" s="34">
        <v>-3</v>
      </c>
      <c r="CZT4765" s="34">
        <v>-2.5</v>
      </c>
      <c r="CZU4765" s="34">
        <v>-2</v>
      </c>
      <c r="CZV4765" s="34">
        <v>-1.5</v>
      </c>
      <c r="CZW4765" s="34">
        <v>-1</v>
      </c>
      <c r="CZX4765" s="34">
        <v>-0.5</v>
      </c>
      <c r="CZY4765" s="34">
        <v>0</v>
      </c>
      <c r="CZZ4765" s="34">
        <v>0.5</v>
      </c>
      <c r="DAA4765" s="34">
        <v>1</v>
      </c>
      <c r="DAB4765" s="34">
        <v>1.5</v>
      </c>
      <c r="DAC4765" s="34">
        <v>2</v>
      </c>
      <c r="DAD4765" s="34">
        <v>2.5</v>
      </c>
      <c r="DAE4765" s="34">
        <v>3</v>
      </c>
      <c r="DAF4765" s="34">
        <v>3.5</v>
      </c>
      <c r="DAG4765" s="34">
        <v>4</v>
      </c>
      <c r="DAH4765" s="34">
        <v>4.5</v>
      </c>
      <c r="DAI4765" s="34">
        <v>5</v>
      </c>
      <c r="DAK4765" s="913"/>
      <c r="DAL4765" s="31">
        <v>1</v>
      </c>
      <c r="DAM4765" s="34">
        <v>0</v>
      </c>
      <c r="DAN4765" s="34">
        <v>-1</v>
      </c>
      <c r="DAO4765" s="34">
        <v>-2</v>
      </c>
      <c r="DAP4765" s="34">
        <v>-3</v>
      </c>
      <c r="DAQ4765" s="34">
        <v>-4</v>
      </c>
      <c r="DAR4765" s="34">
        <v>-5</v>
      </c>
      <c r="DAS4765" s="908"/>
      <c r="DAT4765" s="909"/>
      <c r="DAU4765" s="34">
        <v>-5</v>
      </c>
      <c r="DAV4765" s="34">
        <v>-4.5</v>
      </c>
      <c r="DAW4765" s="34">
        <v>-4</v>
      </c>
      <c r="DAX4765" s="34">
        <v>-3.5</v>
      </c>
      <c r="DAY4765" s="34">
        <v>-3</v>
      </c>
      <c r="DAZ4765" s="34">
        <v>-2.5</v>
      </c>
      <c r="DBA4765" s="34">
        <v>-2</v>
      </c>
      <c r="DBB4765" s="34">
        <v>-1.5</v>
      </c>
      <c r="DBC4765" s="34">
        <v>-1</v>
      </c>
      <c r="DBD4765" s="34">
        <v>-0.5</v>
      </c>
      <c r="DBE4765" s="34">
        <v>0</v>
      </c>
      <c r="DBF4765" s="34">
        <v>0.5</v>
      </c>
      <c r="DBG4765" s="34">
        <v>1</v>
      </c>
      <c r="DBH4765" s="34">
        <v>1.5</v>
      </c>
      <c r="DBI4765" s="34">
        <v>2</v>
      </c>
      <c r="DBJ4765" s="34">
        <v>2.5</v>
      </c>
      <c r="DBK4765" s="34">
        <v>3</v>
      </c>
      <c r="DBL4765" s="34">
        <v>3.5</v>
      </c>
      <c r="DBM4765" s="34">
        <v>4</v>
      </c>
      <c r="DBN4765" s="34">
        <v>4.5</v>
      </c>
      <c r="DBO4765" s="34">
        <v>5</v>
      </c>
      <c r="DBQ4765" s="913"/>
      <c r="DBR4765" s="31">
        <v>1</v>
      </c>
      <c r="DBS4765" s="34">
        <v>0</v>
      </c>
      <c r="DBT4765" s="34">
        <v>-1</v>
      </c>
      <c r="DBU4765" s="34">
        <v>-2</v>
      </c>
      <c r="DBV4765" s="34">
        <v>-3</v>
      </c>
      <c r="DBW4765" s="34">
        <v>-4</v>
      </c>
      <c r="DBX4765" s="34">
        <v>-5</v>
      </c>
      <c r="DBY4765" s="908"/>
      <c r="DBZ4765" s="909"/>
      <c r="DCA4765" s="34">
        <v>-5</v>
      </c>
      <c r="DCB4765" s="34">
        <v>-4.5</v>
      </c>
      <c r="DCC4765" s="34">
        <v>-4</v>
      </c>
      <c r="DCD4765" s="34">
        <v>-3.5</v>
      </c>
      <c r="DCE4765" s="34">
        <v>-3</v>
      </c>
      <c r="DCF4765" s="34">
        <v>-2.5</v>
      </c>
      <c r="DCG4765" s="34">
        <v>-2</v>
      </c>
      <c r="DCH4765" s="34">
        <v>-1.5</v>
      </c>
      <c r="DCI4765" s="34">
        <v>-1</v>
      </c>
      <c r="DCJ4765" s="34">
        <v>-0.5</v>
      </c>
      <c r="DCK4765" s="34">
        <v>0</v>
      </c>
      <c r="DCL4765" s="34">
        <v>0.5</v>
      </c>
      <c r="DCM4765" s="34">
        <v>1</v>
      </c>
      <c r="DCN4765" s="34">
        <v>1.5</v>
      </c>
      <c r="DCO4765" s="34">
        <v>2</v>
      </c>
      <c r="DCP4765" s="34">
        <v>2.5</v>
      </c>
      <c r="DCQ4765" s="34">
        <v>3</v>
      </c>
      <c r="DCR4765" s="34">
        <v>3.5</v>
      </c>
      <c r="DCS4765" s="34">
        <v>4</v>
      </c>
      <c r="DCT4765" s="34">
        <v>4.5</v>
      </c>
      <c r="DCU4765" s="34">
        <v>5</v>
      </c>
      <c r="DCW4765" s="913"/>
      <c r="DCX4765" s="31">
        <v>1</v>
      </c>
      <c r="DCY4765" s="34">
        <v>0</v>
      </c>
      <c r="DCZ4765" s="34">
        <v>-1</v>
      </c>
      <c r="DDA4765" s="34">
        <v>-2</v>
      </c>
      <c r="DDB4765" s="34">
        <v>-3</v>
      </c>
      <c r="DDC4765" s="34">
        <v>-4</v>
      </c>
      <c r="DDD4765" s="34">
        <v>-5</v>
      </c>
      <c r="DDE4765" s="908"/>
      <c r="DDF4765" s="909"/>
      <c r="DDG4765" s="34">
        <v>-5</v>
      </c>
      <c r="DDH4765" s="34">
        <v>-4.5</v>
      </c>
      <c r="DDI4765" s="34">
        <v>-4</v>
      </c>
      <c r="DDJ4765" s="34">
        <v>-3.5</v>
      </c>
      <c r="DDK4765" s="34">
        <v>-3</v>
      </c>
      <c r="DDL4765" s="34">
        <v>-2.5</v>
      </c>
      <c r="DDM4765" s="34">
        <v>-2</v>
      </c>
      <c r="DDN4765" s="34">
        <v>-1.5</v>
      </c>
      <c r="DDO4765" s="34">
        <v>-1</v>
      </c>
      <c r="DDP4765" s="34">
        <v>-0.5</v>
      </c>
      <c r="DDQ4765" s="34">
        <v>0</v>
      </c>
      <c r="DDR4765" s="34">
        <v>0.5</v>
      </c>
      <c r="DDS4765" s="34">
        <v>1</v>
      </c>
      <c r="DDT4765" s="34">
        <v>1.5</v>
      </c>
      <c r="DDU4765" s="34">
        <v>2</v>
      </c>
      <c r="DDV4765" s="34">
        <v>2.5</v>
      </c>
      <c r="DDW4765" s="34">
        <v>3</v>
      </c>
      <c r="DDX4765" s="34">
        <v>3.5</v>
      </c>
      <c r="DDY4765" s="34">
        <v>4</v>
      </c>
      <c r="DDZ4765" s="34">
        <v>4.5</v>
      </c>
      <c r="DEA4765" s="34">
        <v>5</v>
      </c>
      <c r="DEC4765" s="913"/>
      <c r="DED4765" s="31">
        <v>1</v>
      </c>
      <c r="DEE4765" s="34">
        <v>0</v>
      </c>
      <c r="DEF4765" s="34">
        <v>-1</v>
      </c>
      <c r="DEG4765" s="34">
        <v>-2</v>
      </c>
      <c r="DEH4765" s="34">
        <v>-3</v>
      </c>
      <c r="DEI4765" s="34">
        <v>-4</v>
      </c>
      <c r="DEJ4765" s="34">
        <v>-5</v>
      </c>
      <c r="DEK4765" s="908"/>
      <c r="DEL4765" s="909"/>
      <c r="DEM4765" s="34">
        <v>-5</v>
      </c>
      <c r="DEN4765" s="34">
        <v>-4.5</v>
      </c>
      <c r="DEO4765" s="34">
        <v>-4</v>
      </c>
      <c r="DEP4765" s="34">
        <v>-3.5</v>
      </c>
      <c r="DEQ4765" s="34">
        <v>-3</v>
      </c>
      <c r="DER4765" s="34">
        <v>-2.5</v>
      </c>
      <c r="DES4765" s="34">
        <v>-2</v>
      </c>
      <c r="DET4765" s="34">
        <v>-1.5</v>
      </c>
      <c r="DEU4765" s="34">
        <v>-1</v>
      </c>
      <c r="DEV4765" s="34">
        <v>-0.5</v>
      </c>
      <c r="DEW4765" s="34">
        <v>0</v>
      </c>
      <c r="DEX4765" s="34">
        <v>0.5</v>
      </c>
      <c r="DEY4765" s="34">
        <v>1</v>
      </c>
      <c r="DEZ4765" s="34">
        <v>1.5</v>
      </c>
      <c r="DFA4765" s="34">
        <v>2</v>
      </c>
      <c r="DFB4765" s="34">
        <v>2.5</v>
      </c>
      <c r="DFC4765" s="34">
        <v>3</v>
      </c>
      <c r="DFD4765" s="34">
        <v>3.5</v>
      </c>
      <c r="DFE4765" s="34">
        <v>4</v>
      </c>
      <c r="DFF4765" s="34">
        <v>4.5</v>
      </c>
      <c r="DFG4765" s="34">
        <v>5</v>
      </c>
      <c r="DFI4765" s="913"/>
      <c r="DFJ4765" s="31">
        <v>1</v>
      </c>
      <c r="DFK4765" s="34">
        <v>0</v>
      </c>
      <c r="DFL4765" s="34">
        <v>-1</v>
      </c>
      <c r="DFM4765" s="34">
        <v>-2</v>
      </c>
      <c r="DFN4765" s="34">
        <v>-3</v>
      </c>
      <c r="DFO4765" s="34">
        <v>-4</v>
      </c>
      <c r="DFP4765" s="34">
        <v>-5</v>
      </c>
      <c r="DFQ4765" s="908"/>
      <c r="DFR4765" s="909"/>
      <c r="DFS4765" s="34">
        <v>-5</v>
      </c>
      <c r="DFT4765" s="34">
        <v>-4.5</v>
      </c>
      <c r="DFU4765" s="34">
        <v>-4</v>
      </c>
      <c r="DFV4765" s="34">
        <v>-3.5</v>
      </c>
      <c r="DFW4765" s="34">
        <v>-3</v>
      </c>
      <c r="DFX4765" s="34">
        <v>-2.5</v>
      </c>
      <c r="DFY4765" s="34">
        <v>-2</v>
      </c>
      <c r="DFZ4765" s="34">
        <v>-1.5</v>
      </c>
      <c r="DGA4765" s="34">
        <v>-1</v>
      </c>
      <c r="DGB4765" s="34">
        <v>-0.5</v>
      </c>
      <c r="DGC4765" s="34">
        <v>0</v>
      </c>
      <c r="DGD4765" s="34">
        <v>0.5</v>
      </c>
      <c r="DGE4765" s="34">
        <v>1</v>
      </c>
      <c r="DGF4765" s="34">
        <v>1.5</v>
      </c>
      <c r="DGG4765" s="34">
        <v>2</v>
      </c>
      <c r="DGH4765" s="34">
        <v>2.5</v>
      </c>
      <c r="DGI4765" s="34">
        <v>3</v>
      </c>
      <c r="DGJ4765" s="34">
        <v>3.5</v>
      </c>
      <c r="DGK4765" s="34">
        <v>4</v>
      </c>
      <c r="DGL4765" s="34">
        <v>4.5</v>
      </c>
      <c r="DGM4765" s="34">
        <v>5</v>
      </c>
      <c r="DGO4765" s="913"/>
      <c r="DGP4765" s="31">
        <v>1</v>
      </c>
      <c r="DGQ4765" s="34">
        <v>0</v>
      </c>
      <c r="DGR4765" s="34">
        <v>-1</v>
      </c>
      <c r="DGS4765" s="34">
        <v>-2</v>
      </c>
      <c r="DGT4765" s="34">
        <v>-3</v>
      </c>
      <c r="DGU4765" s="34">
        <v>-4</v>
      </c>
      <c r="DGV4765" s="34">
        <v>-5</v>
      </c>
      <c r="DGW4765" s="908"/>
      <c r="DGX4765" s="909"/>
      <c r="DGY4765" s="34">
        <v>-5</v>
      </c>
      <c r="DGZ4765" s="34">
        <v>-4.5</v>
      </c>
      <c r="DHA4765" s="34">
        <v>-4</v>
      </c>
      <c r="DHB4765" s="34">
        <v>-3.5</v>
      </c>
      <c r="DHC4765" s="34">
        <v>-3</v>
      </c>
      <c r="DHD4765" s="34">
        <v>-2.5</v>
      </c>
      <c r="DHE4765" s="34">
        <v>-2</v>
      </c>
      <c r="DHF4765" s="34">
        <v>-1.5</v>
      </c>
      <c r="DHG4765" s="34">
        <v>-1</v>
      </c>
      <c r="DHH4765" s="34">
        <v>-0.5</v>
      </c>
      <c r="DHI4765" s="34">
        <v>0</v>
      </c>
      <c r="DHJ4765" s="34">
        <v>0.5</v>
      </c>
      <c r="DHK4765" s="34">
        <v>1</v>
      </c>
      <c r="DHL4765" s="34">
        <v>1.5</v>
      </c>
      <c r="DHM4765" s="34">
        <v>2</v>
      </c>
      <c r="DHN4765" s="34">
        <v>2.5</v>
      </c>
      <c r="DHO4765" s="34">
        <v>3</v>
      </c>
      <c r="DHP4765" s="34">
        <v>3.5</v>
      </c>
      <c r="DHQ4765" s="34">
        <v>4</v>
      </c>
      <c r="DHR4765" s="34">
        <v>4.5</v>
      </c>
      <c r="DHS4765" s="34">
        <v>5</v>
      </c>
      <c r="DHU4765" s="913"/>
      <c r="DHV4765" s="31">
        <v>1</v>
      </c>
      <c r="DHW4765" s="34">
        <v>0</v>
      </c>
      <c r="DHX4765" s="34">
        <v>-1</v>
      </c>
      <c r="DHY4765" s="34">
        <v>-2</v>
      </c>
      <c r="DHZ4765" s="34">
        <v>-3</v>
      </c>
      <c r="DIA4765" s="34">
        <v>-4</v>
      </c>
      <c r="DIB4765" s="34">
        <v>-5</v>
      </c>
      <c r="DIC4765" s="908"/>
      <c r="DID4765" s="909"/>
      <c r="DIE4765" s="34">
        <v>-5</v>
      </c>
      <c r="DIF4765" s="34">
        <v>-4.5</v>
      </c>
      <c r="DIG4765" s="34">
        <v>-4</v>
      </c>
      <c r="DIH4765" s="34">
        <v>-3.5</v>
      </c>
      <c r="DII4765" s="34">
        <v>-3</v>
      </c>
      <c r="DIJ4765" s="34">
        <v>-2.5</v>
      </c>
      <c r="DIK4765" s="34">
        <v>-2</v>
      </c>
      <c r="DIL4765" s="34">
        <v>-1.5</v>
      </c>
      <c r="DIM4765" s="34">
        <v>-1</v>
      </c>
      <c r="DIN4765" s="34">
        <v>-0.5</v>
      </c>
      <c r="DIO4765" s="34">
        <v>0</v>
      </c>
      <c r="DIP4765" s="34">
        <v>0.5</v>
      </c>
      <c r="DIQ4765" s="34">
        <v>1</v>
      </c>
      <c r="DIR4765" s="34">
        <v>1.5</v>
      </c>
      <c r="DIS4765" s="34">
        <v>2</v>
      </c>
      <c r="DIT4765" s="34">
        <v>2.5</v>
      </c>
      <c r="DIU4765" s="34">
        <v>3</v>
      </c>
      <c r="DIV4765" s="34">
        <v>3.5</v>
      </c>
      <c r="DIW4765" s="34">
        <v>4</v>
      </c>
      <c r="DIX4765" s="34">
        <v>4.5</v>
      </c>
      <c r="DIY4765" s="34">
        <v>5</v>
      </c>
      <c r="DJA4765" s="913"/>
      <c r="DJB4765" s="31">
        <v>1</v>
      </c>
      <c r="DJC4765" s="34">
        <v>0</v>
      </c>
      <c r="DJD4765" s="34">
        <v>-1</v>
      </c>
      <c r="DJE4765" s="34">
        <v>-2</v>
      </c>
      <c r="DJF4765" s="34">
        <v>-3</v>
      </c>
      <c r="DJG4765" s="34">
        <v>-4</v>
      </c>
      <c r="DJH4765" s="34">
        <v>-5</v>
      </c>
      <c r="DJI4765" s="908"/>
      <c r="DJJ4765" s="909"/>
      <c r="DJK4765" s="34">
        <v>-5</v>
      </c>
      <c r="DJL4765" s="34">
        <v>-4.5</v>
      </c>
      <c r="DJM4765" s="34">
        <v>-4</v>
      </c>
      <c r="DJN4765" s="34">
        <v>-3.5</v>
      </c>
      <c r="DJO4765" s="34">
        <v>-3</v>
      </c>
      <c r="DJP4765" s="34">
        <v>-2.5</v>
      </c>
      <c r="DJQ4765" s="34">
        <v>-2</v>
      </c>
      <c r="DJR4765" s="34">
        <v>-1.5</v>
      </c>
      <c r="DJS4765" s="34">
        <v>-1</v>
      </c>
      <c r="DJT4765" s="34">
        <v>-0.5</v>
      </c>
      <c r="DJU4765" s="34">
        <v>0</v>
      </c>
      <c r="DJV4765" s="34">
        <v>0.5</v>
      </c>
      <c r="DJW4765" s="34">
        <v>1</v>
      </c>
      <c r="DJX4765" s="34">
        <v>1.5</v>
      </c>
      <c r="DJY4765" s="34">
        <v>2</v>
      </c>
      <c r="DJZ4765" s="34">
        <v>2.5</v>
      </c>
      <c r="DKA4765" s="34">
        <v>3</v>
      </c>
      <c r="DKB4765" s="34">
        <v>3.5</v>
      </c>
      <c r="DKC4765" s="34">
        <v>4</v>
      </c>
      <c r="DKD4765" s="34">
        <v>4.5</v>
      </c>
      <c r="DKE4765" s="34">
        <v>5</v>
      </c>
      <c r="DKG4765" s="913"/>
      <c r="DKH4765" s="31">
        <v>1</v>
      </c>
      <c r="DKI4765" s="34">
        <v>0</v>
      </c>
      <c r="DKJ4765" s="34">
        <v>-1</v>
      </c>
      <c r="DKK4765" s="34">
        <v>-2</v>
      </c>
      <c r="DKL4765" s="34">
        <v>-3</v>
      </c>
      <c r="DKM4765" s="34">
        <v>-4</v>
      </c>
      <c r="DKN4765" s="34">
        <v>-5</v>
      </c>
      <c r="DKO4765" s="908"/>
      <c r="DKP4765" s="909"/>
      <c r="DKQ4765" s="34">
        <v>-5</v>
      </c>
      <c r="DKR4765" s="34">
        <v>-4.5</v>
      </c>
      <c r="DKS4765" s="34">
        <v>-4</v>
      </c>
      <c r="DKT4765" s="34">
        <v>-3.5</v>
      </c>
      <c r="DKU4765" s="34">
        <v>-3</v>
      </c>
      <c r="DKV4765" s="34">
        <v>-2.5</v>
      </c>
      <c r="DKW4765" s="34">
        <v>-2</v>
      </c>
      <c r="DKX4765" s="34">
        <v>-1.5</v>
      </c>
      <c r="DKY4765" s="34">
        <v>-1</v>
      </c>
      <c r="DKZ4765" s="34">
        <v>-0.5</v>
      </c>
      <c r="DLA4765" s="34">
        <v>0</v>
      </c>
      <c r="DLB4765" s="34">
        <v>0.5</v>
      </c>
      <c r="DLC4765" s="34">
        <v>1</v>
      </c>
      <c r="DLD4765" s="34">
        <v>1.5</v>
      </c>
      <c r="DLE4765" s="34">
        <v>2</v>
      </c>
      <c r="DLF4765" s="34">
        <v>2.5</v>
      </c>
      <c r="DLG4765" s="34">
        <v>3</v>
      </c>
      <c r="DLH4765" s="34">
        <v>3.5</v>
      </c>
      <c r="DLI4765" s="34">
        <v>4</v>
      </c>
      <c r="DLJ4765" s="34">
        <v>4.5</v>
      </c>
      <c r="DLK4765" s="34">
        <v>5</v>
      </c>
      <c r="DLM4765" s="913"/>
      <c r="DLN4765" s="31">
        <v>1</v>
      </c>
      <c r="DLO4765" s="34">
        <v>0</v>
      </c>
      <c r="DLP4765" s="34">
        <v>-1</v>
      </c>
      <c r="DLQ4765" s="34">
        <v>-2</v>
      </c>
      <c r="DLR4765" s="34">
        <v>-3</v>
      </c>
      <c r="DLS4765" s="34">
        <v>-4</v>
      </c>
      <c r="DLT4765" s="34">
        <v>-5</v>
      </c>
      <c r="DLU4765" s="908"/>
      <c r="DLV4765" s="909"/>
      <c r="DLW4765" s="34">
        <v>-5</v>
      </c>
      <c r="DLX4765" s="34">
        <v>-4.5</v>
      </c>
      <c r="DLY4765" s="34">
        <v>-4</v>
      </c>
      <c r="DLZ4765" s="34">
        <v>-3.5</v>
      </c>
      <c r="DMA4765" s="34">
        <v>-3</v>
      </c>
      <c r="DMB4765" s="34">
        <v>-2.5</v>
      </c>
      <c r="DMC4765" s="34">
        <v>-2</v>
      </c>
      <c r="DMD4765" s="34">
        <v>-1.5</v>
      </c>
      <c r="DME4765" s="34">
        <v>-1</v>
      </c>
      <c r="DMF4765" s="34">
        <v>-0.5</v>
      </c>
      <c r="DMG4765" s="34">
        <v>0</v>
      </c>
      <c r="DMH4765" s="34">
        <v>0.5</v>
      </c>
      <c r="DMI4765" s="34">
        <v>1</v>
      </c>
      <c r="DMJ4765" s="34">
        <v>1.5</v>
      </c>
      <c r="DMK4765" s="34">
        <v>2</v>
      </c>
      <c r="DML4765" s="34">
        <v>2.5</v>
      </c>
      <c r="DMM4765" s="34">
        <v>3</v>
      </c>
      <c r="DMN4765" s="34">
        <v>3.5</v>
      </c>
      <c r="DMO4765" s="34">
        <v>4</v>
      </c>
      <c r="DMP4765" s="34">
        <v>4.5</v>
      </c>
      <c r="DMQ4765" s="34">
        <v>5</v>
      </c>
      <c r="DMS4765" s="913"/>
      <c r="DMT4765" s="31">
        <v>1</v>
      </c>
      <c r="DMU4765" s="34">
        <v>0</v>
      </c>
      <c r="DMV4765" s="34">
        <v>-1</v>
      </c>
      <c r="DMW4765" s="34">
        <v>-2</v>
      </c>
      <c r="DMX4765" s="34">
        <v>-3</v>
      </c>
      <c r="DMY4765" s="34">
        <v>-4</v>
      </c>
      <c r="DMZ4765" s="34">
        <v>-5</v>
      </c>
      <c r="DNA4765" s="908"/>
      <c r="DNB4765" s="909"/>
      <c r="DNC4765" s="34">
        <v>-5</v>
      </c>
      <c r="DND4765" s="34">
        <v>-4.5</v>
      </c>
      <c r="DNE4765" s="34">
        <v>-4</v>
      </c>
      <c r="DNF4765" s="34">
        <v>-3.5</v>
      </c>
      <c r="DNG4765" s="34">
        <v>-3</v>
      </c>
      <c r="DNH4765" s="34">
        <v>-2.5</v>
      </c>
      <c r="DNI4765" s="34">
        <v>-2</v>
      </c>
      <c r="DNJ4765" s="34">
        <v>-1.5</v>
      </c>
      <c r="DNK4765" s="34">
        <v>-1</v>
      </c>
      <c r="DNL4765" s="34">
        <v>-0.5</v>
      </c>
      <c r="DNM4765" s="34">
        <v>0</v>
      </c>
      <c r="DNN4765" s="34">
        <v>0.5</v>
      </c>
      <c r="DNO4765" s="34">
        <v>1</v>
      </c>
      <c r="DNP4765" s="34">
        <v>1.5</v>
      </c>
      <c r="DNQ4765" s="34">
        <v>2</v>
      </c>
      <c r="DNR4765" s="34">
        <v>2.5</v>
      </c>
      <c r="DNS4765" s="34">
        <v>3</v>
      </c>
      <c r="DNT4765" s="34">
        <v>3.5</v>
      </c>
      <c r="DNU4765" s="34">
        <v>4</v>
      </c>
      <c r="DNV4765" s="34">
        <v>4.5</v>
      </c>
      <c r="DNW4765" s="34">
        <v>5</v>
      </c>
      <c r="DNY4765" s="913"/>
      <c r="DNZ4765" s="31">
        <v>1</v>
      </c>
      <c r="DOA4765" s="34">
        <v>0</v>
      </c>
      <c r="DOB4765" s="34">
        <v>-1</v>
      </c>
      <c r="DOC4765" s="34">
        <v>-2</v>
      </c>
      <c r="DOD4765" s="34">
        <v>-3</v>
      </c>
      <c r="DOE4765" s="34">
        <v>-4</v>
      </c>
      <c r="DOF4765" s="34">
        <v>-5</v>
      </c>
      <c r="DOG4765" s="908"/>
      <c r="DOH4765" s="909"/>
      <c r="DOI4765" s="34">
        <v>-5</v>
      </c>
      <c r="DOJ4765" s="34">
        <v>-4.5</v>
      </c>
      <c r="DOK4765" s="34">
        <v>-4</v>
      </c>
      <c r="DOL4765" s="34">
        <v>-3.5</v>
      </c>
      <c r="DOM4765" s="34">
        <v>-3</v>
      </c>
      <c r="DON4765" s="34">
        <v>-2.5</v>
      </c>
      <c r="DOO4765" s="34">
        <v>-2</v>
      </c>
      <c r="DOP4765" s="34">
        <v>-1.5</v>
      </c>
      <c r="DOQ4765" s="34">
        <v>-1</v>
      </c>
      <c r="DOR4765" s="34">
        <v>-0.5</v>
      </c>
      <c r="DOS4765" s="34">
        <v>0</v>
      </c>
      <c r="DOT4765" s="34">
        <v>0.5</v>
      </c>
      <c r="DOU4765" s="34">
        <v>1</v>
      </c>
      <c r="DOV4765" s="34">
        <v>1.5</v>
      </c>
      <c r="DOW4765" s="34">
        <v>2</v>
      </c>
      <c r="DOX4765" s="34">
        <v>2.5</v>
      </c>
      <c r="DOY4765" s="34">
        <v>3</v>
      </c>
      <c r="DOZ4765" s="34">
        <v>3.5</v>
      </c>
      <c r="DPA4765" s="34">
        <v>4</v>
      </c>
      <c r="DPB4765" s="34">
        <v>4.5</v>
      </c>
      <c r="DPC4765" s="34">
        <v>5</v>
      </c>
      <c r="DPE4765" s="913"/>
      <c r="DPF4765" s="31">
        <v>1</v>
      </c>
      <c r="DPG4765" s="34">
        <v>0</v>
      </c>
      <c r="DPH4765" s="34">
        <v>-1</v>
      </c>
      <c r="DPI4765" s="34">
        <v>-2</v>
      </c>
      <c r="DPJ4765" s="34">
        <v>-3</v>
      </c>
      <c r="DPK4765" s="34">
        <v>-4</v>
      </c>
      <c r="DPL4765" s="34">
        <v>-5</v>
      </c>
      <c r="DPM4765" s="908"/>
      <c r="DPN4765" s="909"/>
      <c r="DPO4765" s="34">
        <v>-5</v>
      </c>
      <c r="DPP4765" s="34">
        <v>-4.5</v>
      </c>
      <c r="DPQ4765" s="34">
        <v>-4</v>
      </c>
      <c r="DPR4765" s="34">
        <v>-3.5</v>
      </c>
      <c r="DPS4765" s="34">
        <v>-3</v>
      </c>
      <c r="DPT4765" s="34">
        <v>-2.5</v>
      </c>
      <c r="DPU4765" s="34">
        <v>-2</v>
      </c>
      <c r="DPV4765" s="34">
        <v>-1.5</v>
      </c>
      <c r="DPW4765" s="34">
        <v>-1</v>
      </c>
      <c r="DPX4765" s="34">
        <v>-0.5</v>
      </c>
      <c r="DPY4765" s="34">
        <v>0</v>
      </c>
      <c r="DPZ4765" s="34">
        <v>0.5</v>
      </c>
      <c r="DQA4765" s="34">
        <v>1</v>
      </c>
      <c r="DQB4765" s="34">
        <v>1.5</v>
      </c>
      <c r="DQC4765" s="34">
        <v>2</v>
      </c>
      <c r="DQD4765" s="34">
        <v>2.5</v>
      </c>
      <c r="DQE4765" s="34">
        <v>3</v>
      </c>
      <c r="DQF4765" s="34">
        <v>3.5</v>
      </c>
      <c r="DQG4765" s="34">
        <v>4</v>
      </c>
      <c r="DQH4765" s="34">
        <v>4.5</v>
      </c>
      <c r="DQI4765" s="34">
        <v>5</v>
      </c>
      <c r="DQK4765" s="913"/>
      <c r="DQL4765" s="31">
        <v>1</v>
      </c>
      <c r="DQM4765" s="34">
        <v>0</v>
      </c>
      <c r="DQN4765" s="34">
        <v>-1</v>
      </c>
      <c r="DQO4765" s="34">
        <v>-2</v>
      </c>
      <c r="DQP4765" s="34">
        <v>-3</v>
      </c>
      <c r="DQQ4765" s="34">
        <v>-4</v>
      </c>
      <c r="DQR4765" s="34">
        <v>-5</v>
      </c>
      <c r="DQS4765" s="908"/>
      <c r="DQT4765" s="909"/>
      <c r="DQU4765" s="34">
        <v>-5</v>
      </c>
      <c r="DQV4765" s="34">
        <v>-4.5</v>
      </c>
      <c r="DQW4765" s="34">
        <v>-4</v>
      </c>
      <c r="DQX4765" s="34">
        <v>-3.5</v>
      </c>
      <c r="DQY4765" s="34">
        <v>-3</v>
      </c>
      <c r="DQZ4765" s="34">
        <v>-2.5</v>
      </c>
      <c r="DRA4765" s="34">
        <v>-2</v>
      </c>
      <c r="DRB4765" s="34">
        <v>-1.5</v>
      </c>
      <c r="DRC4765" s="34">
        <v>-1</v>
      </c>
      <c r="DRD4765" s="34">
        <v>-0.5</v>
      </c>
      <c r="DRE4765" s="34">
        <v>0</v>
      </c>
      <c r="DRF4765" s="34">
        <v>0.5</v>
      </c>
      <c r="DRG4765" s="34">
        <v>1</v>
      </c>
      <c r="DRH4765" s="34">
        <v>1.5</v>
      </c>
      <c r="DRI4765" s="34">
        <v>2</v>
      </c>
      <c r="DRJ4765" s="34">
        <v>2.5</v>
      </c>
      <c r="DRK4765" s="34">
        <v>3</v>
      </c>
      <c r="DRL4765" s="34">
        <v>3.5</v>
      </c>
      <c r="DRM4765" s="34">
        <v>4</v>
      </c>
      <c r="DRN4765" s="34">
        <v>4.5</v>
      </c>
      <c r="DRO4765" s="34">
        <v>5</v>
      </c>
      <c r="DRQ4765" s="913"/>
      <c r="DRR4765" s="31">
        <v>1</v>
      </c>
      <c r="DRS4765" s="34">
        <v>0</v>
      </c>
      <c r="DRT4765" s="34">
        <v>-1</v>
      </c>
      <c r="DRU4765" s="34">
        <v>-2</v>
      </c>
      <c r="DRV4765" s="34">
        <v>-3</v>
      </c>
      <c r="DRW4765" s="34">
        <v>-4</v>
      </c>
      <c r="DRX4765" s="34">
        <v>-5</v>
      </c>
      <c r="DRY4765" s="908"/>
      <c r="DRZ4765" s="909"/>
      <c r="DSA4765" s="34">
        <v>-5</v>
      </c>
      <c r="DSB4765" s="34">
        <v>-4.5</v>
      </c>
      <c r="DSC4765" s="34">
        <v>-4</v>
      </c>
      <c r="DSD4765" s="34">
        <v>-3.5</v>
      </c>
      <c r="DSE4765" s="34">
        <v>-3</v>
      </c>
      <c r="DSF4765" s="34">
        <v>-2.5</v>
      </c>
      <c r="DSG4765" s="34">
        <v>-2</v>
      </c>
      <c r="DSH4765" s="34">
        <v>-1.5</v>
      </c>
      <c r="DSI4765" s="34">
        <v>-1</v>
      </c>
      <c r="DSJ4765" s="34">
        <v>-0.5</v>
      </c>
      <c r="DSK4765" s="34">
        <v>0</v>
      </c>
      <c r="DSL4765" s="34">
        <v>0.5</v>
      </c>
      <c r="DSM4765" s="34">
        <v>1</v>
      </c>
      <c r="DSN4765" s="34">
        <v>1.5</v>
      </c>
      <c r="DSO4765" s="34">
        <v>2</v>
      </c>
      <c r="DSP4765" s="34">
        <v>2.5</v>
      </c>
      <c r="DSQ4765" s="34">
        <v>3</v>
      </c>
      <c r="DSR4765" s="34">
        <v>3.5</v>
      </c>
      <c r="DSS4765" s="34">
        <v>4</v>
      </c>
      <c r="DST4765" s="34">
        <v>4.5</v>
      </c>
      <c r="DSU4765" s="34">
        <v>5</v>
      </c>
      <c r="DSW4765" s="913"/>
      <c r="DSX4765" s="31">
        <v>1</v>
      </c>
      <c r="DSY4765" s="34">
        <v>0</v>
      </c>
      <c r="DSZ4765" s="34">
        <v>-1</v>
      </c>
      <c r="DTA4765" s="34">
        <v>-2</v>
      </c>
      <c r="DTB4765" s="34">
        <v>-3</v>
      </c>
      <c r="DTC4765" s="34">
        <v>-4</v>
      </c>
      <c r="DTD4765" s="34">
        <v>-5</v>
      </c>
      <c r="DTE4765" s="908"/>
      <c r="DTF4765" s="909"/>
      <c r="DTG4765" s="34">
        <v>-5</v>
      </c>
      <c r="DTH4765" s="34">
        <v>-4.5</v>
      </c>
      <c r="DTI4765" s="34">
        <v>-4</v>
      </c>
      <c r="DTJ4765" s="34">
        <v>-3.5</v>
      </c>
      <c r="DTK4765" s="34">
        <v>-3</v>
      </c>
      <c r="DTL4765" s="34">
        <v>-2.5</v>
      </c>
      <c r="DTM4765" s="34">
        <v>-2</v>
      </c>
      <c r="DTN4765" s="34">
        <v>-1.5</v>
      </c>
      <c r="DTO4765" s="34">
        <v>-1</v>
      </c>
      <c r="DTP4765" s="34">
        <v>-0.5</v>
      </c>
      <c r="DTQ4765" s="34">
        <v>0</v>
      </c>
      <c r="DTR4765" s="34">
        <v>0.5</v>
      </c>
      <c r="DTS4765" s="34">
        <v>1</v>
      </c>
      <c r="DTT4765" s="34">
        <v>1.5</v>
      </c>
      <c r="DTU4765" s="34">
        <v>2</v>
      </c>
      <c r="DTV4765" s="34">
        <v>2.5</v>
      </c>
      <c r="DTW4765" s="34">
        <v>3</v>
      </c>
      <c r="DTX4765" s="34">
        <v>3.5</v>
      </c>
      <c r="DTY4765" s="34">
        <v>4</v>
      </c>
      <c r="DTZ4765" s="34">
        <v>4.5</v>
      </c>
      <c r="DUA4765" s="34">
        <v>5</v>
      </c>
      <c r="DUC4765" s="913"/>
      <c r="DUD4765" s="31">
        <v>1</v>
      </c>
      <c r="DUE4765" s="34">
        <v>0</v>
      </c>
      <c r="DUF4765" s="34">
        <v>-1</v>
      </c>
      <c r="DUG4765" s="34">
        <v>-2</v>
      </c>
      <c r="DUH4765" s="34">
        <v>-3</v>
      </c>
      <c r="DUI4765" s="34">
        <v>-4</v>
      </c>
      <c r="DUJ4765" s="34">
        <v>-5</v>
      </c>
      <c r="DUK4765" s="908"/>
      <c r="DUL4765" s="909"/>
      <c r="DUM4765" s="34">
        <v>-5</v>
      </c>
      <c r="DUN4765" s="34">
        <v>-4.5</v>
      </c>
      <c r="DUO4765" s="34">
        <v>-4</v>
      </c>
      <c r="DUP4765" s="34">
        <v>-3.5</v>
      </c>
      <c r="DUQ4765" s="34">
        <v>-3</v>
      </c>
      <c r="DUR4765" s="34">
        <v>-2.5</v>
      </c>
      <c r="DUS4765" s="34">
        <v>-2</v>
      </c>
      <c r="DUT4765" s="34">
        <v>-1.5</v>
      </c>
      <c r="DUU4765" s="34">
        <v>-1</v>
      </c>
      <c r="DUV4765" s="34">
        <v>-0.5</v>
      </c>
      <c r="DUW4765" s="34">
        <v>0</v>
      </c>
      <c r="DUX4765" s="34">
        <v>0.5</v>
      </c>
      <c r="DUY4765" s="34">
        <v>1</v>
      </c>
      <c r="DUZ4765" s="34">
        <v>1.5</v>
      </c>
      <c r="DVA4765" s="34">
        <v>2</v>
      </c>
      <c r="DVB4765" s="34">
        <v>2.5</v>
      </c>
      <c r="DVC4765" s="34">
        <v>3</v>
      </c>
      <c r="DVD4765" s="34">
        <v>3.5</v>
      </c>
      <c r="DVE4765" s="34">
        <v>4</v>
      </c>
      <c r="DVF4765" s="34">
        <v>4.5</v>
      </c>
      <c r="DVG4765" s="34">
        <v>5</v>
      </c>
      <c r="DVI4765" s="913"/>
      <c r="DVJ4765" s="31">
        <v>1</v>
      </c>
      <c r="DVK4765" s="34">
        <v>0</v>
      </c>
      <c r="DVL4765" s="34">
        <v>-1</v>
      </c>
      <c r="DVM4765" s="34">
        <v>-2</v>
      </c>
      <c r="DVN4765" s="34">
        <v>-3</v>
      </c>
      <c r="DVO4765" s="34">
        <v>-4</v>
      </c>
      <c r="DVP4765" s="34">
        <v>-5</v>
      </c>
      <c r="DVQ4765" s="908"/>
      <c r="DVR4765" s="909"/>
      <c r="DVS4765" s="34">
        <v>-5</v>
      </c>
      <c r="DVT4765" s="34">
        <v>-4.5</v>
      </c>
      <c r="DVU4765" s="34">
        <v>-4</v>
      </c>
      <c r="DVV4765" s="34">
        <v>-3.5</v>
      </c>
      <c r="DVW4765" s="34">
        <v>-3</v>
      </c>
      <c r="DVX4765" s="34">
        <v>-2.5</v>
      </c>
      <c r="DVY4765" s="34">
        <v>-2</v>
      </c>
      <c r="DVZ4765" s="34">
        <v>-1.5</v>
      </c>
      <c r="DWA4765" s="34">
        <v>-1</v>
      </c>
      <c r="DWB4765" s="34">
        <v>-0.5</v>
      </c>
      <c r="DWC4765" s="34">
        <v>0</v>
      </c>
      <c r="DWD4765" s="34">
        <v>0.5</v>
      </c>
      <c r="DWE4765" s="34">
        <v>1</v>
      </c>
      <c r="DWF4765" s="34">
        <v>1.5</v>
      </c>
      <c r="DWG4765" s="34">
        <v>2</v>
      </c>
      <c r="DWH4765" s="34">
        <v>2.5</v>
      </c>
      <c r="DWI4765" s="34">
        <v>3</v>
      </c>
      <c r="DWJ4765" s="34">
        <v>3.5</v>
      </c>
      <c r="DWK4765" s="34">
        <v>4</v>
      </c>
      <c r="DWL4765" s="34">
        <v>4.5</v>
      </c>
      <c r="DWM4765" s="34">
        <v>5</v>
      </c>
      <c r="DWO4765" s="913"/>
      <c r="DWP4765" s="31">
        <v>1</v>
      </c>
      <c r="DWQ4765" s="34">
        <v>0</v>
      </c>
      <c r="DWR4765" s="34">
        <v>-1</v>
      </c>
      <c r="DWS4765" s="34">
        <v>-2</v>
      </c>
      <c r="DWT4765" s="34">
        <v>-3</v>
      </c>
      <c r="DWU4765" s="34">
        <v>-4</v>
      </c>
      <c r="DWV4765" s="34">
        <v>-5</v>
      </c>
      <c r="DWW4765" s="908"/>
      <c r="DWX4765" s="909"/>
      <c r="DWY4765" s="34">
        <v>-5</v>
      </c>
      <c r="DWZ4765" s="34">
        <v>-4.5</v>
      </c>
      <c r="DXA4765" s="34">
        <v>-4</v>
      </c>
      <c r="DXB4765" s="34">
        <v>-3.5</v>
      </c>
      <c r="DXC4765" s="34">
        <v>-3</v>
      </c>
      <c r="DXD4765" s="34">
        <v>-2.5</v>
      </c>
      <c r="DXE4765" s="34">
        <v>-2</v>
      </c>
      <c r="DXF4765" s="34">
        <v>-1.5</v>
      </c>
      <c r="DXG4765" s="34">
        <v>-1</v>
      </c>
      <c r="DXH4765" s="34">
        <v>-0.5</v>
      </c>
      <c r="DXI4765" s="34">
        <v>0</v>
      </c>
      <c r="DXJ4765" s="34">
        <v>0.5</v>
      </c>
      <c r="DXK4765" s="34">
        <v>1</v>
      </c>
      <c r="DXL4765" s="34">
        <v>1.5</v>
      </c>
      <c r="DXM4765" s="34">
        <v>2</v>
      </c>
      <c r="DXN4765" s="34">
        <v>2.5</v>
      </c>
      <c r="DXO4765" s="34">
        <v>3</v>
      </c>
      <c r="DXP4765" s="34">
        <v>3.5</v>
      </c>
      <c r="DXQ4765" s="34">
        <v>4</v>
      </c>
      <c r="DXR4765" s="34">
        <v>4.5</v>
      </c>
      <c r="DXS4765" s="34">
        <v>5</v>
      </c>
      <c r="DXU4765" s="913"/>
      <c r="DXV4765" s="31">
        <v>1</v>
      </c>
      <c r="DXW4765" s="34">
        <v>0</v>
      </c>
      <c r="DXX4765" s="34">
        <v>-1</v>
      </c>
      <c r="DXY4765" s="34">
        <v>-2</v>
      </c>
      <c r="DXZ4765" s="34">
        <v>-3</v>
      </c>
      <c r="DYA4765" s="34">
        <v>-4</v>
      </c>
      <c r="DYB4765" s="34">
        <v>-5</v>
      </c>
      <c r="DYC4765" s="908"/>
      <c r="DYD4765" s="909"/>
      <c r="DYE4765" s="34">
        <v>-5</v>
      </c>
      <c r="DYF4765" s="34">
        <v>-4.5</v>
      </c>
      <c r="DYG4765" s="34">
        <v>-4</v>
      </c>
      <c r="DYH4765" s="34">
        <v>-3.5</v>
      </c>
      <c r="DYI4765" s="34">
        <v>-3</v>
      </c>
      <c r="DYJ4765" s="34">
        <v>-2.5</v>
      </c>
      <c r="DYK4765" s="34">
        <v>-2</v>
      </c>
      <c r="DYL4765" s="34">
        <v>-1.5</v>
      </c>
      <c r="DYM4765" s="34">
        <v>-1</v>
      </c>
      <c r="DYN4765" s="34">
        <v>-0.5</v>
      </c>
      <c r="DYO4765" s="34">
        <v>0</v>
      </c>
      <c r="DYP4765" s="34">
        <v>0.5</v>
      </c>
      <c r="DYQ4765" s="34">
        <v>1</v>
      </c>
      <c r="DYR4765" s="34">
        <v>1.5</v>
      </c>
      <c r="DYS4765" s="34">
        <v>2</v>
      </c>
      <c r="DYT4765" s="34">
        <v>2.5</v>
      </c>
      <c r="DYU4765" s="34">
        <v>3</v>
      </c>
      <c r="DYV4765" s="34">
        <v>3.5</v>
      </c>
      <c r="DYW4765" s="34">
        <v>4</v>
      </c>
      <c r="DYX4765" s="34">
        <v>4.5</v>
      </c>
      <c r="DYY4765" s="34">
        <v>5</v>
      </c>
      <c r="DZA4765" s="913"/>
      <c r="DZB4765" s="31">
        <v>1</v>
      </c>
      <c r="DZC4765" s="34">
        <v>0</v>
      </c>
      <c r="DZD4765" s="34">
        <v>-1</v>
      </c>
      <c r="DZE4765" s="34">
        <v>-2</v>
      </c>
      <c r="DZF4765" s="34">
        <v>-3</v>
      </c>
      <c r="DZG4765" s="34">
        <v>-4</v>
      </c>
      <c r="DZH4765" s="34">
        <v>-5</v>
      </c>
      <c r="DZI4765" s="908"/>
      <c r="DZJ4765" s="909"/>
      <c r="DZK4765" s="34">
        <v>-5</v>
      </c>
      <c r="DZL4765" s="34">
        <v>-4.5</v>
      </c>
      <c r="DZM4765" s="34">
        <v>-4</v>
      </c>
      <c r="DZN4765" s="34">
        <v>-3.5</v>
      </c>
      <c r="DZO4765" s="34">
        <v>-3</v>
      </c>
      <c r="DZP4765" s="34">
        <v>-2.5</v>
      </c>
      <c r="DZQ4765" s="34">
        <v>-2</v>
      </c>
      <c r="DZR4765" s="34">
        <v>-1.5</v>
      </c>
      <c r="DZS4765" s="34">
        <v>-1</v>
      </c>
      <c r="DZT4765" s="34">
        <v>-0.5</v>
      </c>
      <c r="DZU4765" s="34">
        <v>0</v>
      </c>
      <c r="DZV4765" s="34">
        <v>0.5</v>
      </c>
      <c r="DZW4765" s="34">
        <v>1</v>
      </c>
      <c r="DZX4765" s="34">
        <v>1.5</v>
      </c>
      <c r="DZY4765" s="34">
        <v>2</v>
      </c>
      <c r="DZZ4765" s="34">
        <v>2.5</v>
      </c>
      <c r="EAA4765" s="34">
        <v>3</v>
      </c>
      <c r="EAB4765" s="34">
        <v>3.5</v>
      </c>
      <c r="EAC4765" s="34">
        <v>4</v>
      </c>
      <c r="EAD4765" s="34">
        <v>4.5</v>
      </c>
      <c r="EAE4765" s="34">
        <v>5</v>
      </c>
      <c r="EAG4765" s="913"/>
      <c r="EAH4765" s="31">
        <v>1</v>
      </c>
      <c r="EAI4765" s="34">
        <v>0</v>
      </c>
      <c r="EAJ4765" s="34">
        <v>-1</v>
      </c>
      <c r="EAK4765" s="34">
        <v>-2</v>
      </c>
      <c r="EAL4765" s="34">
        <v>-3</v>
      </c>
      <c r="EAM4765" s="34">
        <v>-4</v>
      </c>
      <c r="EAN4765" s="34">
        <v>-5</v>
      </c>
      <c r="EAO4765" s="908"/>
      <c r="EAP4765" s="909"/>
      <c r="EAQ4765" s="34">
        <v>-5</v>
      </c>
      <c r="EAR4765" s="34">
        <v>-4.5</v>
      </c>
      <c r="EAS4765" s="34">
        <v>-4</v>
      </c>
      <c r="EAT4765" s="34">
        <v>-3.5</v>
      </c>
      <c r="EAU4765" s="34">
        <v>-3</v>
      </c>
      <c r="EAV4765" s="34">
        <v>-2.5</v>
      </c>
      <c r="EAW4765" s="34">
        <v>-2</v>
      </c>
      <c r="EAX4765" s="34">
        <v>-1.5</v>
      </c>
      <c r="EAY4765" s="34">
        <v>-1</v>
      </c>
      <c r="EAZ4765" s="34">
        <v>-0.5</v>
      </c>
      <c r="EBA4765" s="34">
        <v>0</v>
      </c>
      <c r="EBB4765" s="34">
        <v>0.5</v>
      </c>
      <c r="EBC4765" s="34">
        <v>1</v>
      </c>
      <c r="EBD4765" s="34">
        <v>1.5</v>
      </c>
      <c r="EBE4765" s="34">
        <v>2</v>
      </c>
      <c r="EBF4765" s="34">
        <v>2.5</v>
      </c>
      <c r="EBG4765" s="34">
        <v>3</v>
      </c>
      <c r="EBH4765" s="34">
        <v>3.5</v>
      </c>
      <c r="EBI4765" s="34">
        <v>4</v>
      </c>
      <c r="EBJ4765" s="34">
        <v>4.5</v>
      </c>
      <c r="EBK4765" s="34">
        <v>5</v>
      </c>
      <c r="EBM4765" s="913"/>
      <c r="EBN4765" s="31">
        <v>1</v>
      </c>
      <c r="EBO4765" s="34">
        <v>0</v>
      </c>
      <c r="EBP4765" s="34">
        <v>-1</v>
      </c>
      <c r="EBQ4765" s="34">
        <v>-2</v>
      </c>
      <c r="EBR4765" s="34">
        <v>-3</v>
      </c>
      <c r="EBS4765" s="34">
        <v>-4</v>
      </c>
      <c r="EBT4765" s="34">
        <v>-5</v>
      </c>
      <c r="EBU4765" s="908"/>
      <c r="EBV4765" s="909"/>
      <c r="EBW4765" s="34">
        <v>-5</v>
      </c>
      <c r="EBX4765" s="34">
        <v>-4.5</v>
      </c>
      <c r="EBY4765" s="34">
        <v>-4</v>
      </c>
      <c r="EBZ4765" s="34">
        <v>-3.5</v>
      </c>
      <c r="ECA4765" s="34">
        <v>-3</v>
      </c>
      <c r="ECB4765" s="34">
        <v>-2.5</v>
      </c>
      <c r="ECC4765" s="34">
        <v>-2</v>
      </c>
      <c r="ECD4765" s="34">
        <v>-1.5</v>
      </c>
      <c r="ECE4765" s="34">
        <v>-1</v>
      </c>
      <c r="ECF4765" s="34">
        <v>-0.5</v>
      </c>
      <c r="ECG4765" s="34">
        <v>0</v>
      </c>
      <c r="ECH4765" s="34">
        <v>0.5</v>
      </c>
      <c r="ECI4765" s="34">
        <v>1</v>
      </c>
      <c r="ECJ4765" s="34">
        <v>1.5</v>
      </c>
      <c r="ECK4765" s="34">
        <v>2</v>
      </c>
      <c r="ECL4765" s="34">
        <v>2.5</v>
      </c>
      <c r="ECM4765" s="34">
        <v>3</v>
      </c>
      <c r="ECN4765" s="34">
        <v>3.5</v>
      </c>
      <c r="ECO4765" s="34">
        <v>4</v>
      </c>
      <c r="ECP4765" s="34">
        <v>4.5</v>
      </c>
      <c r="ECQ4765" s="34">
        <v>5</v>
      </c>
      <c r="ECS4765" s="913"/>
      <c r="ECT4765" s="31">
        <v>1</v>
      </c>
      <c r="ECU4765" s="34">
        <v>0</v>
      </c>
      <c r="ECV4765" s="34">
        <v>-1</v>
      </c>
      <c r="ECW4765" s="34">
        <v>-2</v>
      </c>
      <c r="ECX4765" s="34">
        <v>-3</v>
      </c>
      <c r="ECY4765" s="34">
        <v>-4</v>
      </c>
      <c r="ECZ4765" s="34">
        <v>-5</v>
      </c>
      <c r="EDA4765" s="908"/>
      <c r="EDB4765" s="909"/>
      <c r="EDC4765" s="34">
        <v>-5</v>
      </c>
      <c r="EDD4765" s="34">
        <v>-4.5</v>
      </c>
      <c r="EDE4765" s="34">
        <v>-4</v>
      </c>
      <c r="EDF4765" s="34">
        <v>-3.5</v>
      </c>
      <c r="EDG4765" s="34">
        <v>-3</v>
      </c>
      <c r="EDH4765" s="34">
        <v>-2.5</v>
      </c>
      <c r="EDI4765" s="34">
        <v>-2</v>
      </c>
      <c r="EDJ4765" s="34">
        <v>-1.5</v>
      </c>
      <c r="EDK4765" s="34">
        <v>-1</v>
      </c>
      <c r="EDL4765" s="34">
        <v>-0.5</v>
      </c>
      <c r="EDM4765" s="34">
        <v>0</v>
      </c>
      <c r="EDN4765" s="34">
        <v>0.5</v>
      </c>
      <c r="EDO4765" s="34">
        <v>1</v>
      </c>
      <c r="EDP4765" s="34">
        <v>1.5</v>
      </c>
      <c r="EDQ4765" s="34">
        <v>2</v>
      </c>
      <c r="EDR4765" s="34">
        <v>2.5</v>
      </c>
      <c r="EDS4765" s="34">
        <v>3</v>
      </c>
      <c r="EDT4765" s="34">
        <v>3.5</v>
      </c>
      <c r="EDU4765" s="34">
        <v>4</v>
      </c>
      <c r="EDV4765" s="34">
        <v>4.5</v>
      </c>
      <c r="EDW4765" s="34">
        <v>5</v>
      </c>
      <c r="EDY4765" s="913"/>
      <c r="EDZ4765" s="31">
        <v>1</v>
      </c>
      <c r="EEA4765" s="34">
        <v>0</v>
      </c>
      <c r="EEB4765" s="34">
        <v>-1</v>
      </c>
      <c r="EEC4765" s="34">
        <v>-2</v>
      </c>
      <c r="EED4765" s="34">
        <v>-3</v>
      </c>
      <c r="EEE4765" s="34">
        <v>-4</v>
      </c>
      <c r="EEF4765" s="34">
        <v>-5</v>
      </c>
      <c r="EEG4765" s="908"/>
      <c r="EEH4765" s="909"/>
      <c r="EEI4765" s="34">
        <v>-5</v>
      </c>
      <c r="EEJ4765" s="34">
        <v>-4.5</v>
      </c>
      <c r="EEK4765" s="34">
        <v>-4</v>
      </c>
      <c r="EEL4765" s="34">
        <v>-3.5</v>
      </c>
      <c r="EEM4765" s="34">
        <v>-3</v>
      </c>
      <c r="EEN4765" s="34">
        <v>-2.5</v>
      </c>
      <c r="EEO4765" s="34">
        <v>-2</v>
      </c>
      <c r="EEP4765" s="34">
        <v>-1.5</v>
      </c>
      <c r="EEQ4765" s="34">
        <v>-1</v>
      </c>
      <c r="EER4765" s="34">
        <v>-0.5</v>
      </c>
      <c r="EES4765" s="34">
        <v>0</v>
      </c>
      <c r="EET4765" s="34">
        <v>0.5</v>
      </c>
      <c r="EEU4765" s="34">
        <v>1</v>
      </c>
      <c r="EEV4765" s="34">
        <v>1.5</v>
      </c>
      <c r="EEW4765" s="34">
        <v>2</v>
      </c>
      <c r="EEX4765" s="34">
        <v>2.5</v>
      </c>
      <c r="EEY4765" s="34">
        <v>3</v>
      </c>
      <c r="EEZ4765" s="34">
        <v>3.5</v>
      </c>
      <c r="EFA4765" s="34">
        <v>4</v>
      </c>
      <c r="EFB4765" s="34">
        <v>4.5</v>
      </c>
      <c r="EFC4765" s="34">
        <v>5</v>
      </c>
      <c r="EFE4765" s="913"/>
      <c r="EFF4765" s="31">
        <v>1</v>
      </c>
      <c r="EFG4765" s="34">
        <v>0</v>
      </c>
      <c r="EFH4765" s="34">
        <v>-1</v>
      </c>
      <c r="EFI4765" s="34">
        <v>-2</v>
      </c>
      <c r="EFJ4765" s="34">
        <v>-3</v>
      </c>
      <c r="EFK4765" s="34">
        <v>-4</v>
      </c>
      <c r="EFL4765" s="34">
        <v>-5</v>
      </c>
      <c r="EFM4765" s="908"/>
      <c r="EFN4765" s="909"/>
      <c r="EFO4765" s="34">
        <v>-5</v>
      </c>
      <c r="EFP4765" s="34">
        <v>-4.5</v>
      </c>
      <c r="EFQ4765" s="34">
        <v>-4</v>
      </c>
      <c r="EFR4765" s="34">
        <v>-3.5</v>
      </c>
      <c r="EFS4765" s="34">
        <v>-3</v>
      </c>
      <c r="EFT4765" s="34">
        <v>-2.5</v>
      </c>
      <c r="EFU4765" s="34">
        <v>-2</v>
      </c>
      <c r="EFV4765" s="34">
        <v>-1.5</v>
      </c>
      <c r="EFW4765" s="34">
        <v>-1</v>
      </c>
      <c r="EFX4765" s="34">
        <v>-0.5</v>
      </c>
      <c r="EFY4765" s="34">
        <v>0</v>
      </c>
      <c r="EFZ4765" s="34">
        <v>0.5</v>
      </c>
      <c r="EGA4765" s="34">
        <v>1</v>
      </c>
      <c r="EGB4765" s="34">
        <v>1.5</v>
      </c>
      <c r="EGC4765" s="34">
        <v>2</v>
      </c>
      <c r="EGD4765" s="34">
        <v>2.5</v>
      </c>
      <c r="EGE4765" s="34">
        <v>3</v>
      </c>
      <c r="EGF4765" s="34">
        <v>3.5</v>
      </c>
      <c r="EGG4765" s="34">
        <v>4</v>
      </c>
      <c r="EGH4765" s="34">
        <v>4.5</v>
      </c>
      <c r="EGI4765" s="34">
        <v>5</v>
      </c>
      <c r="EGK4765" s="913"/>
      <c r="EGL4765" s="31">
        <v>1</v>
      </c>
      <c r="EGM4765" s="34">
        <v>0</v>
      </c>
      <c r="EGN4765" s="34">
        <v>-1</v>
      </c>
      <c r="EGO4765" s="34">
        <v>-2</v>
      </c>
      <c r="EGP4765" s="34">
        <v>-3</v>
      </c>
      <c r="EGQ4765" s="34">
        <v>-4</v>
      </c>
      <c r="EGR4765" s="34">
        <v>-5</v>
      </c>
      <c r="EGS4765" s="908"/>
      <c r="EGT4765" s="909"/>
      <c r="EGU4765" s="34">
        <v>-5</v>
      </c>
      <c r="EGV4765" s="34">
        <v>-4.5</v>
      </c>
      <c r="EGW4765" s="34">
        <v>-4</v>
      </c>
      <c r="EGX4765" s="34">
        <v>-3.5</v>
      </c>
      <c r="EGY4765" s="34">
        <v>-3</v>
      </c>
      <c r="EGZ4765" s="34">
        <v>-2.5</v>
      </c>
      <c r="EHA4765" s="34">
        <v>-2</v>
      </c>
      <c r="EHB4765" s="34">
        <v>-1.5</v>
      </c>
      <c r="EHC4765" s="34">
        <v>-1</v>
      </c>
      <c r="EHD4765" s="34">
        <v>-0.5</v>
      </c>
      <c r="EHE4765" s="34">
        <v>0</v>
      </c>
      <c r="EHF4765" s="34">
        <v>0.5</v>
      </c>
      <c r="EHG4765" s="34">
        <v>1</v>
      </c>
      <c r="EHH4765" s="34">
        <v>1.5</v>
      </c>
      <c r="EHI4765" s="34">
        <v>2</v>
      </c>
      <c r="EHJ4765" s="34">
        <v>2.5</v>
      </c>
      <c r="EHK4765" s="34">
        <v>3</v>
      </c>
      <c r="EHL4765" s="34">
        <v>3.5</v>
      </c>
      <c r="EHM4765" s="34">
        <v>4</v>
      </c>
      <c r="EHN4765" s="34">
        <v>4.5</v>
      </c>
      <c r="EHO4765" s="34">
        <v>5</v>
      </c>
      <c r="EHQ4765" s="913"/>
      <c r="EHR4765" s="31">
        <v>1</v>
      </c>
      <c r="EHS4765" s="34">
        <v>0</v>
      </c>
      <c r="EHT4765" s="34">
        <v>-1</v>
      </c>
      <c r="EHU4765" s="34">
        <v>-2</v>
      </c>
      <c r="EHV4765" s="34">
        <v>-3</v>
      </c>
      <c r="EHW4765" s="34">
        <v>-4</v>
      </c>
      <c r="EHX4765" s="34">
        <v>-5</v>
      </c>
      <c r="EHY4765" s="908"/>
      <c r="EHZ4765" s="909"/>
      <c r="EIA4765" s="34">
        <v>-5</v>
      </c>
      <c r="EIB4765" s="34">
        <v>-4.5</v>
      </c>
      <c r="EIC4765" s="34">
        <v>-4</v>
      </c>
      <c r="EID4765" s="34">
        <v>-3.5</v>
      </c>
      <c r="EIE4765" s="34">
        <v>-3</v>
      </c>
      <c r="EIF4765" s="34">
        <v>-2.5</v>
      </c>
      <c r="EIG4765" s="34">
        <v>-2</v>
      </c>
      <c r="EIH4765" s="34">
        <v>-1.5</v>
      </c>
      <c r="EII4765" s="34">
        <v>-1</v>
      </c>
      <c r="EIJ4765" s="34">
        <v>-0.5</v>
      </c>
      <c r="EIK4765" s="34">
        <v>0</v>
      </c>
      <c r="EIL4765" s="34">
        <v>0.5</v>
      </c>
      <c r="EIM4765" s="34">
        <v>1</v>
      </c>
      <c r="EIN4765" s="34">
        <v>1.5</v>
      </c>
      <c r="EIO4765" s="34">
        <v>2</v>
      </c>
      <c r="EIP4765" s="34">
        <v>2.5</v>
      </c>
      <c r="EIQ4765" s="34">
        <v>3</v>
      </c>
      <c r="EIR4765" s="34">
        <v>3.5</v>
      </c>
      <c r="EIS4765" s="34">
        <v>4</v>
      </c>
      <c r="EIT4765" s="34">
        <v>4.5</v>
      </c>
      <c r="EIU4765" s="34">
        <v>5</v>
      </c>
      <c r="EIW4765" s="913"/>
      <c r="EIX4765" s="31">
        <v>1</v>
      </c>
      <c r="EIY4765" s="34">
        <v>0</v>
      </c>
      <c r="EIZ4765" s="34">
        <v>-1</v>
      </c>
      <c r="EJA4765" s="34">
        <v>-2</v>
      </c>
      <c r="EJB4765" s="34">
        <v>-3</v>
      </c>
      <c r="EJC4765" s="34">
        <v>-4</v>
      </c>
      <c r="EJD4765" s="34">
        <v>-5</v>
      </c>
      <c r="EJE4765" s="908"/>
      <c r="EJF4765" s="909"/>
      <c r="EJG4765" s="34">
        <v>-5</v>
      </c>
      <c r="EJH4765" s="34">
        <v>-4.5</v>
      </c>
      <c r="EJI4765" s="34">
        <v>-4</v>
      </c>
      <c r="EJJ4765" s="34">
        <v>-3.5</v>
      </c>
      <c r="EJK4765" s="34">
        <v>-3</v>
      </c>
      <c r="EJL4765" s="34">
        <v>-2.5</v>
      </c>
      <c r="EJM4765" s="34">
        <v>-2</v>
      </c>
      <c r="EJN4765" s="34">
        <v>-1.5</v>
      </c>
      <c r="EJO4765" s="34">
        <v>-1</v>
      </c>
      <c r="EJP4765" s="34">
        <v>-0.5</v>
      </c>
      <c r="EJQ4765" s="34">
        <v>0</v>
      </c>
      <c r="EJR4765" s="34">
        <v>0.5</v>
      </c>
      <c r="EJS4765" s="34">
        <v>1</v>
      </c>
      <c r="EJT4765" s="34">
        <v>1.5</v>
      </c>
      <c r="EJU4765" s="34">
        <v>2</v>
      </c>
      <c r="EJV4765" s="34">
        <v>2.5</v>
      </c>
      <c r="EJW4765" s="34">
        <v>3</v>
      </c>
      <c r="EJX4765" s="34">
        <v>3.5</v>
      </c>
      <c r="EJY4765" s="34">
        <v>4</v>
      </c>
      <c r="EJZ4765" s="34">
        <v>4.5</v>
      </c>
      <c r="EKA4765" s="34">
        <v>5</v>
      </c>
      <c r="EKC4765" s="913"/>
      <c r="EKD4765" s="31">
        <v>1</v>
      </c>
      <c r="EKE4765" s="34">
        <v>0</v>
      </c>
      <c r="EKF4765" s="34">
        <v>-1</v>
      </c>
      <c r="EKG4765" s="34">
        <v>-2</v>
      </c>
      <c r="EKH4765" s="34">
        <v>-3</v>
      </c>
      <c r="EKI4765" s="34">
        <v>-4</v>
      </c>
      <c r="EKJ4765" s="34">
        <v>-5</v>
      </c>
      <c r="EKK4765" s="908"/>
      <c r="EKL4765" s="909"/>
      <c r="EKM4765" s="34">
        <v>-5</v>
      </c>
      <c r="EKN4765" s="34">
        <v>-4.5</v>
      </c>
      <c r="EKO4765" s="34">
        <v>-4</v>
      </c>
      <c r="EKP4765" s="34">
        <v>-3.5</v>
      </c>
      <c r="EKQ4765" s="34">
        <v>-3</v>
      </c>
      <c r="EKR4765" s="34">
        <v>-2.5</v>
      </c>
      <c r="EKS4765" s="34">
        <v>-2</v>
      </c>
      <c r="EKT4765" s="34">
        <v>-1.5</v>
      </c>
      <c r="EKU4765" s="34">
        <v>-1</v>
      </c>
      <c r="EKV4765" s="34">
        <v>-0.5</v>
      </c>
      <c r="EKW4765" s="34">
        <v>0</v>
      </c>
      <c r="EKX4765" s="34">
        <v>0.5</v>
      </c>
      <c r="EKY4765" s="34">
        <v>1</v>
      </c>
      <c r="EKZ4765" s="34">
        <v>1.5</v>
      </c>
      <c r="ELA4765" s="34">
        <v>2</v>
      </c>
      <c r="ELB4765" s="34">
        <v>2.5</v>
      </c>
      <c r="ELC4765" s="34">
        <v>3</v>
      </c>
      <c r="ELD4765" s="34">
        <v>3.5</v>
      </c>
      <c r="ELE4765" s="34">
        <v>4</v>
      </c>
      <c r="ELF4765" s="34">
        <v>4.5</v>
      </c>
      <c r="ELG4765" s="34">
        <v>5</v>
      </c>
      <c r="ELI4765" s="913"/>
      <c r="ELJ4765" s="31">
        <v>1</v>
      </c>
      <c r="ELK4765" s="34">
        <v>0</v>
      </c>
      <c r="ELL4765" s="34">
        <v>-1</v>
      </c>
      <c r="ELM4765" s="34">
        <v>-2</v>
      </c>
      <c r="ELN4765" s="34">
        <v>-3</v>
      </c>
      <c r="ELO4765" s="34">
        <v>-4</v>
      </c>
      <c r="ELP4765" s="34">
        <v>-5</v>
      </c>
      <c r="ELQ4765" s="908"/>
      <c r="ELR4765" s="909"/>
      <c r="ELS4765" s="34">
        <v>-5</v>
      </c>
      <c r="ELT4765" s="34">
        <v>-4.5</v>
      </c>
      <c r="ELU4765" s="34">
        <v>-4</v>
      </c>
      <c r="ELV4765" s="34">
        <v>-3.5</v>
      </c>
      <c r="ELW4765" s="34">
        <v>-3</v>
      </c>
      <c r="ELX4765" s="34">
        <v>-2.5</v>
      </c>
      <c r="ELY4765" s="34">
        <v>-2</v>
      </c>
      <c r="ELZ4765" s="34">
        <v>-1.5</v>
      </c>
      <c r="EMA4765" s="34">
        <v>-1</v>
      </c>
      <c r="EMB4765" s="34">
        <v>-0.5</v>
      </c>
      <c r="EMC4765" s="34">
        <v>0</v>
      </c>
      <c r="EMD4765" s="34">
        <v>0.5</v>
      </c>
      <c r="EME4765" s="34">
        <v>1</v>
      </c>
      <c r="EMF4765" s="34">
        <v>1.5</v>
      </c>
      <c r="EMG4765" s="34">
        <v>2</v>
      </c>
      <c r="EMH4765" s="34">
        <v>2.5</v>
      </c>
      <c r="EMI4765" s="34">
        <v>3</v>
      </c>
      <c r="EMJ4765" s="34">
        <v>3.5</v>
      </c>
      <c r="EMK4765" s="34">
        <v>4</v>
      </c>
      <c r="EML4765" s="34">
        <v>4.5</v>
      </c>
      <c r="EMM4765" s="34">
        <v>5</v>
      </c>
      <c r="EMO4765" s="913"/>
      <c r="EMP4765" s="31">
        <v>1</v>
      </c>
      <c r="EMQ4765" s="34">
        <v>0</v>
      </c>
      <c r="EMR4765" s="34">
        <v>-1</v>
      </c>
      <c r="EMS4765" s="34">
        <v>-2</v>
      </c>
      <c r="EMT4765" s="34">
        <v>-3</v>
      </c>
      <c r="EMU4765" s="34">
        <v>-4</v>
      </c>
      <c r="EMV4765" s="34">
        <v>-5</v>
      </c>
      <c r="EMW4765" s="908"/>
      <c r="EMX4765" s="909"/>
      <c r="EMY4765" s="34">
        <v>-5</v>
      </c>
      <c r="EMZ4765" s="34">
        <v>-4.5</v>
      </c>
      <c r="ENA4765" s="34">
        <v>-4</v>
      </c>
      <c r="ENB4765" s="34">
        <v>-3.5</v>
      </c>
      <c r="ENC4765" s="34">
        <v>-3</v>
      </c>
      <c r="END4765" s="34">
        <v>-2.5</v>
      </c>
      <c r="ENE4765" s="34">
        <v>-2</v>
      </c>
      <c r="ENF4765" s="34">
        <v>-1.5</v>
      </c>
      <c r="ENG4765" s="34">
        <v>-1</v>
      </c>
      <c r="ENH4765" s="34">
        <v>-0.5</v>
      </c>
      <c r="ENI4765" s="34">
        <v>0</v>
      </c>
      <c r="ENJ4765" s="34">
        <v>0.5</v>
      </c>
      <c r="ENK4765" s="34">
        <v>1</v>
      </c>
      <c r="ENL4765" s="34">
        <v>1.5</v>
      </c>
      <c r="ENM4765" s="34">
        <v>2</v>
      </c>
      <c r="ENN4765" s="34">
        <v>2.5</v>
      </c>
      <c r="ENO4765" s="34">
        <v>3</v>
      </c>
      <c r="ENP4765" s="34">
        <v>3.5</v>
      </c>
      <c r="ENQ4765" s="34">
        <v>4</v>
      </c>
      <c r="ENR4765" s="34">
        <v>4.5</v>
      </c>
      <c r="ENS4765" s="34">
        <v>5</v>
      </c>
      <c r="ENU4765" s="913"/>
      <c r="ENV4765" s="31">
        <v>1</v>
      </c>
      <c r="ENW4765" s="34">
        <v>0</v>
      </c>
      <c r="ENX4765" s="34">
        <v>-1</v>
      </c>
      <c r="ENY4765" s="34">
        <v>-2</v>
      </c>
      <c r="ENZ4765" s="34">
        <v>-3</v>
      </c>
      <c r="EOA4765" s="34">
        <v>-4</v>
      </c>
      <c r="EOB4765" s="34">
        <v>-5</v>
      </c>
      <c r="EOC4765" s="908"/>
      <c r="EOD4765" s="909"/>
      <c r="EOE4765" s="34">
        <v>-5</v>
      </c>
      <c r="EOF4765" s="34">
        <v>-4.5</v>
      </c>
      <c r="EOG4765" s="34">
        <v>-4</v>
      </c>
      <c r="EOH4765" s="34">
        <v>-3.5</v>
      </c>
      <c r="EOI4765" s="34">
        <v>-3</v>
      </c>
      <c r="EOJ4765" s="34">
        <v>-2.5</v>
      </c>
      <c r="EOK4765" s="34">
        <v>-2</v>
      </c>
      <c r="EOL4765" s="34">
        <v>-1.5</v>
      </c>
      <c r="EOM4765" s="34">
        <v>-1</v>
      </c>
      <c r="EON4765" s="34">
        <v>-0.5</v>
      </c>
      <c r="EOO4765" s="34">
        <v>0</v>
      </c>
      <c r="EOP4765" s="34">
        <v>0.5</v>
      </c>
      <c r="EOQ4765" s="34">
        <v>1</v>
      </c>
      <c r="EOR4765" s="34">
        <v>1.5</v>
      </c>
      <c r="EOS4765" s="34">
        <v>2</v>
      </c>
      <c r="EOT4765" s="34">
        <v>2.5</v>
      </c>
      <c r="EOU4765" s="34">
        <v>3</v>
      </c>
      <c r="EOV4765" s="34">
        <v>3.5</v>
      </c>
      <c r="EOW4765" s="34">
        <v>4</v>
      </c>
      <c r="EOX4765" s="34">
        <v>4.5</v>
      </c>
      <c r="EOY4765" s="34">
        <v>5</v>
      </c>
      <c r="EPA4765" s="913"/>
      <c r="EPB4765" s="31">
        <v>1</v>
      </c>
      <c r="EPC4765" s="34">
        <v>0</v>
      </c>
      <c r="EPD4765" s="34">
        <v>-1</v>
      </c>
      <c r="EPE4765" s="34">
        <v>-2</v>
      </c>
      <c r="EPF4765" s="34">
        <v>-3</v>
      </c>
      <c r="EPG4765" s="34">
        <v>-4</v>
      </c>
      <c r="EPH4765" s="34">
        <v>-5</v>
      </c>
      <c r="EPI4765" s="908"/>
      <c r="EPJ4765" s="909"/>
      <c r="EPK4765" s="34">
        <v>-5</v>
      </c>
      <c r="EPL4765" s="34">
        <v>-4.5</v>
      </c>
      <c r="EPM4765" s="34">
        <v>-4</v>
      </c>
      <c r="EPN4765" s="34">
        <v>-3.5</v>
      </c>
      <c r="EPO4765" s="34">
        <v>-3</v>
      </c>
      <c r="EPP4765" s="34">
        <v>-2.5</v>
      </c>
      <c r="EPQ4765" s="34">
        <v>-2</v>
      </c>
      <c r="EPR4765" s="34">
        <v>-1.5</v>
      </c>
      <c r="EPS4765" s="34">
        <v>-1</v>
      </c>
      <c r="EPT4765" s="34">
        <v>-0.5</v>
      </c>
      <c r="EPU4765" s="34">
        <v>0</v>
      </c>
      <c r="EPV4765" s="34">
        <v>0.5</v>
      </c>
      <c r="EPW4765" s="34">
        <v>1</v>
      </c>
      <c r="EPX4765" s="34">
        <v>1.5</v>
      </c>
      <c r="EPY4765" s="34">
        <v>2</v>
      </c>
      <c r="EPZ4765" s="34">
        <v>2.5</v>
      </c>
      <c r="EQA4765" s="34">
        <v>3</v>
      </c>
      <c r="EQB4765" s="34">
        <v>3.5</v>
      </c>
      <c r="EQC4765" s="34">
        <v>4</v>
      </c>
      <c r="EQD4765" s="34">
        <v>4.5</v>
      </c>
      <c r="EQE4765" s="34">
        <v>5</v>
      </c>
      <c r="EQG4765" s="913"/>
      <c r="EQH4765" s="31">
        <v>1</v>
      </c>
      <c r="EQI4765" s="34">
        <v>0</v>
      </c>
      <c r="EQJ4765" s="34">
        <v>-1</v>
      </c>
      <c r="EQK4765" s="34">
        <v>-2</v>
      </c>
      <c r="EQL4765" s="34">
        <v>-3</v>
      </c>
      <c r="EQM4765" s="34">
        <v>-4</v>
      </c>
      <c r="EQN4765" s="34">
        <v>-5</v>
      </c>
      <c r="EQO4765" s="908"/>
      <c r="EQP4765" s="909"/>
      <c r="EQQ4765" s="34">
        <v>-5</v>
      </c>
      <c r="EQR4765" s="34">
        <v>-4.5</v>
      </c>
      <c r="EQS4765" s="34">
        <v>-4</v>
      </c>
      <c r="EQT4765" s="34">
        <v>-3.5</v>
      </c>
      <c r="EQU4765" s="34">
        <v>-3</v>
      </c>
      <c r="EQV4765" s="34">
        <v>-2.5</v>
      </c>
      <c r="EQW4765" s="34">
        <v>-2</v>
      </c>
      <c r="EQX4765" s="34">
        <v>-1.5</v>
      </c>
      <c r="EQY4765" s="34">
        <v>-1</v>
      </c>
      <c r="EQZ4765" s="34">
        <v>-0.5</v>
      </c>
      <c r="ERA4765" s="34">
        <v>0</v>
      </c>
      <c r="ERB4765" s="34">
        <v>0.5</v>
      </c>
      <c r="ERC4765" s="34">
        <v>1</v>
      </c>
      <c r="ERD4765" s="34">
        <v>1.5</v>
      </c>
      <c r="ERE4765" s="34">
        <v>2</v>
      </c>
      <c r="ERF4765" s="34">
        <v>2.5</v>
      </c>
      <c r="ERG4765" s="34">
        <v>3</v>
      </c>
      <c r="ERH4765" s="34">
        <v>3.5</v>
      </c>
      <c r="ERI4765" s="34">
        <v>4</v>
      </c>
      <c r="ERJ4765" s="34">
        <v>4.5</v>
      </c>
      <c r="ERK4765" s="34">
        <v>5</v>
      </c>
      <c r="ERM4765" s="913"/>
      <c r="ERN4765" s="31">
        <v>1</v>
      </c>
      <c r="ERO4765" s="34">
        <v>0</v>
      </c>
      <c r="ERP4765" s="34">
        <v>-1</v>
      </c>
      <c r="ERQ4765" s="34">
        <v>-2</v>
      </c>
      <c r="ERR4765" s="34">
        <v>-3</v>
      </c>
      <c r="ERS4765" s="34">
        <v>-4</v>
      </c>
      <c r="ERT4765" s="34">
        <v>-5</v>
      </c>
      <c r="ERU4765" s="908"/>
      <c r="ERV4765" s="909"/>
      <c r="ERW4765" s="34">
        <v>-5</v>
      </c>
      <c r="ERX4765" s="34">
        <v>-4.5</v>
      </c>
      <c r="ERY4765" s="34">
        <v>-4</v>
      </c>
      <c r="ERZ4765" s="34">
        <v>-3.5</v>
      </c>
      <c r="ESA4765" s="34">
        <v>-3</v>
      </c>
      <c r="ESB4765" s="34">
        <v>-2.5</v>
      </c>
      <c r="ESC4765" s="34">
        <v>-2</v>
      </c>
      <c r="ESD4765" s="34">
        <v>-1.5</v>
      </c>
      <c r="ESE4765" s="34">
        <v>-1</v>
      </c>
      <c r="ESF4765" s="34">
        <v>-0.5</v>
      </c>
      <c r="ESG4765" s="34">
        <v>0</v>
      </c>
      <c r="ESH4765" s="34">
        <v>0.5</v>
      </c>
      <c r="ESI4765" s="34">
        <v>1</v>
      </c>
      <c r="ESJ4765" s="34">
        <v>1.5</v>
      </c>
      <c r="ESK4765" s="34">
        <v>2</v>
      </c>
      <c r="ESL4765" s="34">
        <v>2.5</v>
      </c>
      <c r="ESM4765" s="34">
        <v>3</v>
      </c>
      <c r="ESN4765" s="34">
        <v>3.5</v>
      </c>
      <c r="ESO4765" s="34">
        <v>4</v>
      </c>
      <c r="ESP4765" s="34">
        <v>4.5</v>
      </c>
      <c r="ESQ4765" s="34">
        <v>5</v>
      </c>
      <c r="ESS4765" s="913"/>
      <c r="EST4765" s="31">
        <v>1</v>
      </c>
      <c r="ESU4765" s="34">
        <v>0</v>
      </c>
      <c r="ESV4765" s="34">
        <v>-1</v>
      </c>
      <c r="ESW4765" s="34">
        <v>-2</v>
      </c>
      <c r="ESX4765" s="34">
        <v>-3</v>
      </c>
      <c r="ESY4765" s="34">
        <v>-4</v>
      </c>
      <c r="ESZ4765" s="34">
        <v>-5</v>
      </c>
      <c r="ETA4765" s="908"/>
      <c r="ETB4765" s="909"/>
      <c r="ETC4765" s="34">
        <v>-5</v>
      </c>
      <c r="ETD4765" s="34">
        <v>-4.5</v>
      </c>
      <c r="ETE4765" s="34">
        <v>-4</v>
      </c>
      <c r="ETF4765" s="34">
        <v>-3.5</v>
      </c>
      <c r="ETG4765" s="34">
        <v>-3</v>
      </c>
      <c r="ETH4765" s="34">
        <v>-2.5</v>
      </c>
      <c r="ETI4765" s="34">
        <v>-2</v>
      </c>
      <c r="ETJ4765" s="34">
        <v>-1.5</v>
      </c>
      <c r="ETK4765" s="34">
        <v>-1</v>
      </c>
      <c r="ETL4765" s="34">
        <v>-0.5</v>
      </c>
      <c r="ETM4765" s="34">
        <v>0</v>
      </c>
      <c r="ETN4765" s="34">
        <v>0.5</v>
      </c>
      <c r="ETO4765" s="34">
        <v>1</v>
      </c>
      <c r="ETP4765" s="34">
        <v>1.5</v>
      </c>
      <c r="ETQ4765" s="34">
        <v>2</v>
      </c>
      <c r="ETR4765" s="34">
        <v>2.5</v>
      </c>
      <c r="ETS4765" s="34">
        <v>3</v>
      </c>
      <c r="ETT4765" s="34">
        <v>3.5</v>
      </c>
      <c r="ETU4765" s="34">
        <v>4</v>
      </c>
      <c r="ETV4765" s="34">
        <v>4.5</v>
      </c>
      <c r="ETW4765" s="34">
        <v>5</v>
      </c>
      <c r="ETY4765" s="913"/>
      <c r="ETZ4765" s="31">
        <v>1</v>
      </c>
      <c r="EUA4765" s="34">
        <v>0</v>
      </c>
      <c r="EUB4765" s="34">
        <v>-1</v>
      </c>
      <c r="EUC4765" s="34">
        <v>-2</v>
      </c>
      <c r="EUD4765" s="34">
        <v>-3</v>
      </c>
      <c r="EUE4765" s="34">
        <v>-4</v>
      </c>
      <c r="EUF4765" s="34">
        <v>-5</v>
      </c>
      <c r="EUG4765" s="908"/>
      <c r="EUH4765" s="909"/>
      <c r="EUI4765" s="34">
        <v>-5</v>
      </c>
      <c r="EUJ4765" s="34">
        <v>-4.5</v>
      </c>
      <c r="EUK4765" s="34">
        <v>-4</v>
      </c>
      <c r="EUL4765" s="34">
        <v>-3.5</v>
      </c>
      <c r="EUM4765" s="34">
        <v>-3</v>
      </c>
      <c r="EUN4765" s="34">
        <v>-2.5</v>
      </c>
      <c r="EUO4765" s="34">
        <v>-2</v>
      </c>
      <c r="EUP4765" s="34">
        <v>-1.5</v>
      </c>
      <c r="EUQ4765" s="34">
        <v>-1</v>
      </c>
      <c r="EUR4765" s="34">
        <v>-0.5</v>
      </c>
      <c r="EUS4765" s="34">
        <v>0</v>
      </c>
      <c r="EUT4765" s="34">
        <v>0.5</v>
      </c>
      <c r="EUU4765" s="34">
        <v>1</v>
      </c>
      <c r="EUV4765" s="34">
        <v>1.5</v>
      </c>
      <c r="EUW4765" s="34">
        <v>2</v>
      </c>
      <c r="EUX4765" s="34">
        <v>2.5</v>
      </c>
      <c r="EUY4765" s="34">
        <v>3</v>
      </c>
      <c r="EUZ4765" s="34">
        <v>3.5</v>
      </c>
      <c r="EVA4765" s="34">
        <v>4</v>
      </c>
      <c r="EVB4765" s="34">
        <v>4.5</v>
      </c>
      <c r="EVC4765" s="34">
        <v>5</v>
      </c>
      <c r="EVE4765" s="913"/>
      <c r="EVF4765" s="31">
        <v>1</v>
      </c>
      <c r="EVG4765" s="34">
        <v>0</v>
      </c>
      <c r="EVH4765" s="34">
        <v>-1</v>
      </c>
      <c r="EVI4765" s="34">
        <v>-2</v>
      </c>
      <c r="EVJ4765" s="34">
        <v>-3</v>
      </c>
      <c r="EVK4765" s="34">
        <v>-4</v>
      </c>
      <c r="EVL4765" s="34">
        <v>-5</v>
      </c>
      <c r="EVM4765" s="908"/>
      <c r="EVN4765" s="909"/>
      <c r="EVO4765" s="34">
        <v>-5</v>
      </c>
      <c r="EVP4765" s="34">
        <v>-4.5</v>
      </c>
      <c r="EVQ4765" s="34">
        <v>-4</v>
      </c>
      <c r="EVR4765" s="34">
        <v>-3.5</v>
      </c>
      <c r="EVS4765" s="34">
        <v>-3</v>
      </c>
      <c r="EVT4765" s="34">
        <v>-2.5</v>
      </c>
      <c r="EVU4765" s="34">
        <v>-2</v>
      </c>
      <c r="EVV4765" s="34">
        <v>-1.5</v>
      </c>
      <c r="EVW4765" s="34">
        <v>-1</v>
      </c>
      <c r="EVX4765" s="34">
        <v>-0.5</v>
      </c>
      <c r="EVY4765" s="34">
        <v>0</v>
      </c>
      <c r="EVZ4765" s="34">
        <v>0.5</v>
      </c>
      <c r="EWA4765" s="34">
        <v>1</v>
      </c>
      <c r="EWB4765" s="34">
        <v>1.5</v>
      </c>
      <c r="EWC4765" s="34">
        <v>2</v>
      </c>
      <c r="EWD4765" s="34">
        <v>2.5</v>
      </c>
      <c r="EWE4765" s="34">
        <v>3</v>
      </c>
      <c r="EWF4765" s="34">
        <v>3.5</v>
      </c>
      <c r="EWG4765" s="34">
        <v>4</v>
      </c>
      <c r="EWH4765" s="34">
        <v>4.5</v>
      </c>
      <c r="EWI4765" s="34">
        <v>5</v>
      </c>
      <c r="EWK4765" s="913"/>
      <c r="EWL4765" s="31">
        <v>1</v>
      </c>
      <c r="EWM4765" s="34">
        <v>0</v>
      </c>
      <c r="EWN4765" s="34">
        <v>-1</v>
      </c>
      <c r="EWO4765" s="34">
        <v>-2</v>
      </c>
      <c r="EWP4765" s="34">
        <v>-3</v>
      </c>
      <c r="EWQ4765" s="34">
        <v>-4</v>
      </c>
      <c r="EWR4765" s="34">
        <v>-5</v>
      </c>
      <c r="EWS4765" s="908"/>
      <c r="EWT4765" s="909"/>
      <c r="EWU4765" s="34">
        <v>-5</v>
      </c>
      <c r="EWV4765" s="34">
        <v>-4.5</v>
      </c>
      <c r="EWW4765" s="34">
        <v>-4</v>
      </c>
      <c r="EWX4765" s="34">
        <v>-3.5</v>
      </c>
      <c r="EWY4765" s="34">
        <v>-3</v>
      </c>
      <c r="EWZ4765" s="34">
        <v>-2.5</v>
      </c>
      <c r="EXA4765" s="34">
        <v>-2</v>
      </c>
      <c r="EXB4765" s="34">
        <v>-1.5</v>
      </c>
      <c r="EXC4765" s="34">
        <v>-1</v>
      </c>
      <c r="EXD4765" s="34">
        <v>-0.5</v>
      </c>
      <c r="EXE4765" s="34">
        <v>0</v>
      </c>
      <c r="EXF4765" s="34">
        <v>0.5</v>
      </c>
      <c r="EXG4765" s="34">
        <v>1</v>
      </c>
      <c r="EXH4765" s="34">
        <v>1.5</v>
      </c>
      <c r="EXI4765" s="34">
        <v>2</v>
      </c>
      <c r="EXJ4765" s="34">
        <v>2.5</v>
      </c>
      <c r="EXK4765" s="34">
        <v>3</v>
      </c>
      <c r="EXL4765" s="34">
        <v>3.5</v>
      </c>
      <c r="EXM4765" s="34">
        <v>4</v>
      </c>
      <c r="EXN4765" s="34">
        <v>4.5</v>
      </c>
      <c r="EXO4765" s="34">
        <v>5</v>
      </c>
      <c r="EXQ4765" s="913"/>
      <c r="EXR4765" s="31">
        <v>1</v>
      </c>
      <c r="EXS4765" s="34">
        <v>0</v>
      </c>
      <c r="EXT4765" s="34">
        <v>-1</v>
      </c>
      <c r="EXU4765" s="34">
        <v>-2</v>
      </c>
      <c r="EXV4765" s="34">
        <v>-3</v>
      </c>
      <c r="EXW4765" s="34">
        <v>-4</v>
      </c>
      <c r="EXX4765" s="34">
        <v>-5</v>
      </c>
      <c r="EXY4765" s="908"/>
      <c r="EXZ4765" s="909"/>
      <c r="EYA4765" s="34">
        <v>-5</v>
      </c>
      <c r="EYB4765" s="34">
        <v>-4.5</v>
      </c>
      <c r="EYC4765" s="34">
        <v>-4</v>
      </c>
      <c r="EYD4765" s="34">
        <v>-3.5</v>
      </c>
      <c r="EYE4765" s="34">
        <v>-3</v>
      </c>
      <c r="EYF4765" s="34">
        <v>-2.5</v>
      </c>
      <c r="EYG4765" s="34">
        <v>-2</v>
      </c>
      <c r="EYH4765" s="34">
        <v>-1.5</v>
      </c>
      <c r="EYI4765" s="34">
        <v>-1</v>
      </c>
      <c r="EYJ4765" s="34">
        <v>-0.5</v>
      </c>
      <c r="EYK4765" s="34">
        <v>0</v>
      </c>
      <c r="EYL4765" s="34">
        <v>0.5</v>
      </c>
      <c r="EYM4765" s="34">
        <v>1</v>
      </c>
      <c r="EYN4765" s="34">
        <v>1.5</v>
      </c>
      <c r="EYO4765" s="34">
        <v>2</v>
      </c>
      <c r="EYP4765" s="34">
        <v>2.5</v>
      </c>
      <c r="EYQ4765" s="34">
        <v>3</v>
      </c>
      <c r="EYR4765" s="34">
        <v>3.5</v>
      </c>
      <c r="EYS4765" s="34">
        <v>4</v>
      </c>
      <c r="EYT4765" s="34">
        <v>4.5</v>
      </c>
      <c r="EYU4765" s="34">
        <v>5</v>
      </c>
      <c r="EYW4765" s="913"/>
      <c r="EYX4765" s="31">
        <v>1</v>
      </c>
      <c r="EYY4765" s="34">
        <v>0</v>
      </c>
      <c r="EYZ4765" s="34">
        <v>-1</v>
      </c>
      <c r="EZA4765" s="34">
        <v>-2</v>
      </c>
      <c r="EZB4765" s="34">
        <v>-3</v>
      </c>
      <c r="EZC4765" s="34">
        <v>-4</v>
      </c>
      <c r="EZD4765" s="34">
        <v>-5</v>
      </c>
      <c r="EZE4765" s="908"/>
      <c r="EZF4765" s="909"/>
      <c r="EZG4765" s="34">
        <v>-5</v>
      </c>
      <c r="EZH4765" s="34">
        <v>-4.5</v>
      </c>
      <c r="EZI4765" s="34">
        <v>-4</v>
      </c>
      <c r="EZJ4765" s="34">
        <v>-3.5</v>
      </c>
      <c r="EZK4765" s="34">
        <v>-3</v>
      </c>
      <c r="EZL4765" s="34">
        <v>-2.5</v>
      </c>
      <c r="EZM4765" s="34">
        <v>-2</v>
      </c>
      <c r="EZN4765" s="34">
        <v>-1.5</v>
      </c>
      <c r="EZO4765" s="34">
        <v>-1</v>
      </c>
      <c r="EZP4765" s="34">
        <v>-0.5</v>
      </c>
      <c r="EZQ4765" s="34">
        <v>0</v>
      </c>
      <c r="EZR4765" s="34">
        <v>0.5</v>
      </c>
      <c r="EZS4765" s="34">
        <v>1</v>
      </c>
      <c r="EZT4765" s="34">
        <v>1.5</v>
      </c>
      <c r="EZU4765" s="34">
        <v>2</v>
      </c>
      <c r="EZV4765" s="34">
        <v>2.5</v>
      </c>
      <c r="EZW4765" s="34">
        <v>3</v>
      </c>
      <c r="EZX4765" s="34">
        <v>3.5</v>
      </c>
      <c r="EZY4765" s="34">
        <v>4</v>
      </c>
      <c r="EZZ4765" s="34">
        <v>4.5</v>
      </c>
      <c r="FAA4765" s="34">
        <v>5</v>
      </c>
      <c r="FAC4765" s="913"/>
      <c r="FAD4765" s="31">
        <v>1</v>
      </c>
      <c r="FAE4765" s="34">
        <v>0</v>
      </c>
      <c r="FAF4765" s="34">
        <v>-1</v>
      </c>
      <c r="FAG4765" s="34">
        <v>-2</v>
      </c>
      <c r="FAH4765" s="34">
        <v>-3</v>
      </c>
      <c r="FAI4765" s="34">
        <v>-4</v>
      </c>
      <c r="FAJ4765" s="34">
        <v>-5</v>
      </c>
      <c r="FAK4765" s="908"/>
      <c r="FAL4765" s="909"/>
      <c r="FAM4765" s="34">
        <v>-5</v>
      </c>
      <c r="FAN4765" s="34">
        <v>-4.5</v>
      </c>
      <c r="FAO4765" s="34">
        <v>-4</v>
      </c>
      <c r="FAP4765" s="34">
        <v>-3.5</v>
      </c>
      <c r="FAQ4765" s="34">
        <v>-3</v>
      </c>
      <c r="FAR4765" s="34">
        <v>-2.5</v>
      </c>
      <c r="FAS4765" s="34">
        <v>-2</v>
      </c>
      <c r="FAT4765" s="34">
        <v>-1.5</v>
      </c>
      <c r="FAU4765" s="34">
        <v>-1</v>
      </c>
      <c r="FAV4765" s="34">
        <v>-0.5</v>
      </c>
      <c r="FAW4765" s="34">
        <v>0</v>
      </c>
      <c r="FAX4765" s="34">
        <v>0.5</v>
      </c>
      <c r="FAY4765" s="34">
        <v>1</v>
      </c>
      <c r="FAZ4765" s="34">
        <v>1.5</v>
      </c>
      <c r="FBA4765" s="34">
        <v>2</v>
      </c>
      <c r="FBB4765" s="34">
        <v>2.5</v>
      </c>
      <c r="FBC4765" s="34">
        <v>3</v>
      </c>
      <c r="FBD4765" s="34">
        <v>3.5</v>
      </c>
      <c r="FBE4765" s="34">
        <v>4</v>
      </c>
      <c r="FBF4765" s="34">
        <v>4.5</v>
      </c>
      <c r="FBG4765" s="34">
        <v>5</v>
      </c>
      <c r="FBI4765" s="913"/>
      <c r="FBJ4765" s="31">
        <v>1</v>
      </c>
      <c r="FBK4765" s="34">
        <v>0</v>
      </c>
      <c r="FBL4765" s="34">
        <v>-1</v>
      </c>
      <c r="FBM4765" s="34">
        <v>-2</v>
      </c>
      <c r="FBN4765" s="34">
        <v>-3</v>
      </c>
      <c r="FBO4765" s="34">
        <v>-4</v>
      </c>
      <c r="FBP4765" s="34">
        <v>-5</v>
      </c>
      <c r="FBQ4765" s="908"/>
      <c r="FBR4765" s="909"/>
      <c r="FBS4765" s="34">
        <v>-5</v>
      </c>
      <c r="FBT4765" s="34">
        <v>-4.5</v>
      </c>
      <c r="FBU4765" s="34">
        <v>-4</v>
      </c>
      <c r="FBV4765" s="34">
        <v>-3.5</v>
      </c>
      <c r="FBW4765" s="34">
        <v>-3</v>
      </c>
      <c r="FBX4765" s="34">
        <v>-2.5</v>
      </c>
      <c r="FBY4765" s="34">
        <v>-2</v>
      </c>
      <c r="FBZ4765" s="34">
        <v>-1.5</v>
      </c>
      <c r="FCA4765" s="34">
        <v>-1</v>
      </c>
      <c r="FCB4765" s="34">
        <v>-0.5</v>
      </c>
      <c r="FCC4765" s="34">
        <v>0</v>
      </c>
      <c r="FCD4765" s="34">
        <v>0.5</v>
      </c>
      <c r="FCE4765" s="34">
        <v>1</v>
      </c>
      <c r="FCF4765" s="34">
        <v>1.5</v>
      </c>
      <c r="FCG4765" s="34">
        <v>2</v>
      </c>
      <c r="FCH4765" s="34">
        <v>2.5</v>
      </c>
      <c r="FCI4765" s="34">
        <v>3</v>
      </c>
      <c r="FCJ4765" s="34">
        <v>3.5</v>
      </c>
      <c r="FCK4765" s="34">
        <v>4</v>
      </c>
      <c r="FCL4765" s="34">
        <v>4.5</v>
      </c>
      <c r="FCM4765" s="34">
        <v>5</v>
      </c>
      <c r="FCO4765" s="913"/>
      <c r="FCP4765" s="31">
        <v>1</v>
      </c>
      <c r="FCQ4765" s="34">
        <v>0</v>
      </c>
      <c r="FCR4765" s="34">
        <v>-1</v>
      </c>
      <c r="FCS4765" s="34">
        <v>-2</v>
      </c>
      <c r="FCT4765" s="34">
        <v>-3</v>
      </c>
      <c r="FCU4765" s="34">
        <v>-4</v>
      </c>
      <c r="FCV4765" s="34">
        <v>-5</v>
      </c>
      <c r="FCW4765" s="908"/>
      <c r="FCX4765" s="909"/>
      <c r="FCY4765" s="34">
        <v>-5</v>
      </c>
      <c r="FCZ4765" s="34">
        <v>-4.5</v>
      </c>
      <c r="FDA4765" s="34">
        <v>-4</v>
      </c>
      <c r="FDB4765" s="34">
        <v>-3.5</v>
      </c>
      <c r="FDC4765" s="34">
        <v>-3</v>
      </c>
      <c r="FDD4765" s="34">
        <v>-2.5</v>
      </c>
      <c r="FDE4765" s="34">
        <v>-2</v>
      </c>
      <c r="FDF4765" s="34">
        <v>-1.5</v>
      </c>
      <c r="FDG4765" s="34">
        <v>-1</v>
      </c>
      <c r="FDH4765" s="34">
        <v>-0.5</v>
      </c>
      <c r="FDI4765" s="34">
        <v>0</v>
      </c>
      <c r="FDJ4765" s="34">
        <v>0.5</v>
      </c>
      <c r="FDK4765" s="34">
        <v>1</v>
      </c>
      <c r="FDL4765" s="34">
        <v>1.5</v>
      </c>
      <c r="FDM4765" s="34">
        <v>2</v>
      </c>
      <c r="FDN4765" s="34">
        <v>2.5</v>
      </c>
      <c r="FDO4765" s="34">
        <v>3</v>
      </c>
      <c r="FDP4765" s="34">
        <v>3.5</v>
      </c>
      <c r="FDQ4765" s="34">
        <v>4</v>
      </c>
      <c r="FDR4765" s="34">
        <v>4.5</v>
      </c>
      <c r="FDS4765" s="34">
        <v>5</v>
      </c>
      <c r="FDU4765" s="913"/>
      <c r="FDV4765" s="31">
        <v>1</v>
      </c>
      <c r="FDW4765" s="34">
        <v>0</v>
      </c>
      <c r="FDX4765" s="34">
        <v>-1</v>
      </c>
      <c r="FDY4765" s="34">
        <v>-2</v>
      </c>
      <c r="FDZ4765" s="34">
        <v>-3</v>
      </c>
      <c r="FEA4765" s="34">
        <v>-4</v>
      </c>
      <c r="FEB4765" s="34">
        <v>-5</v>
      </c>
      <c r="FEC4765" s="908"/>
      <c r="FED4765" s="909"/>
      <c r="FEE4765" s="34">
        <v>-5</v>
      </c>
      <c r="FEF4765" s="34">
        <v>-4.5</v>
      </c>
      <c r="FEG4765" s="34">
        <v>-4</v>
      </c>
      <c r="FEH4765" s="34">
        <v>-3.5</v>
      </c>
      <c r="FEI4765" s="34">
        <v>-3</v>
      </c>
      <c r="FEJ4765" s="34">
        <v>-2.5</v>
      </c>
      <c r="FEK4765" s="34">
        <v>-2</v>
      </c>
      <c r="FEL4765" s="34">
        <v>-1.5</v>
      </c>
      <c r="FEM4765" s="34">
        <v>-1</v>
      </c>
      <c r="FEN4765" s="34">
        <v>-0.5</v>
      </c>
      <c r="FEO4765" s="34">
        <v>0</v>
      </c>
      <c r="FEP4765" s="34">
        <v>0.5</v>
      </c>
      <c r="FEQ4765" s="34">
        <v>1</v>
      </c>
      <c r="FER4765" s="34">
        <v>1.5</v>
      </c>
      <c r="FES4765" s="34">
        <v>2</v>
      </c>
      <c r="FET4765" s="34">
        <v>2.5</v>
      </c>
      <c r="FEU4765" s="34">
        <v>3</v>
      </c>
      <c r="FEV4765" s="34">
        <v>3.5</v>
      </c>
      <c r="FEW4765" s="34">
        <v>4</v>
      </c>
      <c r="FEX4765" s="34">
        <v>4.5</v>
      </c>
      <c r="FEY4765" s="34">
        <v>5</v>
      </c>
      <c r="FFA4765" s="913"/>
      <c r="FFB4765" s="31">
        <v>1</v>
      </c>
      <c r="FFC4765" s="34">
        <v>0</v>
      </c>
      <c r="FFD4765" s="34">
        <v>-1</v>
      </c>
      <c r="FFE4765" s="34">
        <v>-2</v>
      </c>
      <c r="FFF4765" s="34">
        <v>-3</v>
      </c>
      <c r="FFG4765" s="34">
        <v>-4</v>
      </c>
      <c r="FFH4765" s="34">
        <v>-5</v>
      </c>
      <c r="FFI4765" s="908"/>
      <c r="FFJ4765" s="909"/>
      <c r="FFK4765" s="34">
        <v>-5</v>
      </c>
      <c r="FFL4765" s="34">
        <v>-4.5</v>
      </c>
      <c r="FFM4765" s="34">
        <v>-4</v>
      </c>
      <c r="FFN4765" s="34">
        <v>-3.5</v>
      </c>
      <c r="FFO4765" s="34">
        <v>-3</v>
      </c>
      <c r="FFP4765" s="34">
        <v>-2.5</v>
      </c>
      <c r="FFQ4765" s="34">
        <v>-2</v>
      </c>
      <c r="FFR4765" s="34">
        <v>-1.5</v>
      </c>
      <c r="FFS4765" s="34">
        <v>-1</v>
      </c>
      <c r="FFT4765" s="34">
        <v>-0.5</v>
      </c>
      <c r="FFU4765" s="34">
        <v>0</v>
      </c>
      <c r="FFV4765" s="34">
        <v>0.5</v>
      </c>
      <c r="FFW4765" s="34">
        <v>1</v>
      </c>
      <c r="FFX4765" s="34">
        <v>1.5</v>
      </c>
      <c r="FFY4765" s="34">
        <v>2</v>
      </c>
      <c r="FFZ4765" s="34">
        <v>2.5</v>
      </c>
      <c r="FGA4765" s="34">
        <v>3</v>
      </c>
      <c r="FGB4765" s="34">
        <v>3.5</v>
      </c>
      <c r="FGC4765" s="34">
        <v>4</v>
      </c>
      <c r="FGD4765" s="34">
        <v>4.5</v>
      </c>
      <c r="FGE4765" s="34">
        <v>5</v>
      </c>
      <c r="FGG4765" s="913"/>
      <c r="FGH4765" s="31">
        <v>1</v>
      </c>
      <c r="FGI4765" s="34">
        <v>0</v>
      </c>
      <c r="FGJ4765" s="34">
        <v>-1</v>
      </c>
      <c r="FGK4765" s="34">
        <v>-2</v>
      </c>
      <c r="FGL4765" s="34">
        <v>-3</v>
      </c>
      <c r="FGM4765" s="34">
        <v>-4</v>
      </c>
      <c r="FGN4765" s="34">
        <v>-5</v>
      </c>
      <c r="FGO4765" s="908"/>
      <c r="FGP4765" s="909"/>
      <c r="FGQ4765" s="34">
        <v>-5</v>
      </c>
      <c r="FGR4765" s="34">
        <v>-4.5</v>
      </c>
      <c r="FGS4765" s="34">
        <v>-4</v>
      </c>
      <c r="FGT4765" s="34">
        <v>-3.5</v>
      </c>
      <c r="FGU4765" s="34">
        <v>-3</v>
      </c>
      <c r="FGV4765" s="34">
        <v>-2.5</v>
      </c>
      <c r="FGW4765" s="34">
        <v>-2</v>
      </c>
      <c r="FGX4765" s="34">
        <v>-1.5</v>
      </c>
      <c r="FGY4765" s="34">
        <v>-1</v>
      </c>
      <c r="FGZ4765" s="34">
        <v>-0.5</v>
      </c>
      <c r="FHA4765" s="34">
        <v>0</v>
      </c>
      <c r="FHB4765" s="34">
        <v>0.5</v>
      </c>
      <c r="FHC4765" s="34">
        <v>1</v>
      </c>
      <c r="FHD4765" s="34">
        <v>1.5</v>
      </c>
      <c r="FHE4765" s="34">
        <v>2</v>
      </c>
      <c r="FHF4765" s="34">
        <v>2.5</v>
      </c>
      <c r="FHG4765" s="34">
        <v>3</v>
      </c>
      <c r="FHH4765" s="34">
        <v>3.5</v>
      </c>
      <c r="FHI4765" s="34">
        <v>4</v>
      </c>
      <c r="FHJ4765" s="34">
        <v>4.5</v>
      </c>
      <c r="FHK4765" s="34">
        <v>5</v>
      </c>
      <c r="FHM4765" s="913"/>
      <c r="FHN4765" s="31">
        <v>1</v>
      </c>
      <c r="FHO4765" s="34">
        <v>0</v>
      </c>
      <c r="FHP4765" s="34">
        <v>-1</v>
      </c>
      <c r="FHQ4765" s="34">
        <v>-2</v>
      </c>
      <c r="FHR4765" s="34">
        <v>-3</v>
      </c>
      <c r="FHS4765" s="34">
        <v>-4</v>
      </c>
      <c r="FHT4765" s="34">
        <v>-5</v>
      </c>
      <c r="FHU4765" s="908"/>
      <c r="FHV4765" s="909"/>
      <c r="FHW4765" s="34">
        <v>-5</v>
      </c>
      <c r="FHX4765" s="34">
        <v>-4.5</v>
      </c>
      <c r="FHY4765" s="34">
        <v>-4</v>
      </c>
      <c r="FHZ4765" s="34">
        <v>-3.5</v>
      </c>
      <c r="FIA4765" s="34">
        <v>-3</v>
      </c>
      <c r="FIB4765" s="34">
        <v>-2.5</v>
      </c>
      <c r="FIC4765" s="34">
        <v>-2</v>
      </c>
      <c r="FID4765" s="34">
        <v>-1.5</v>
      </c>
      <c r="FIE4765" s="34">
        <v>-1</v>
      </c>
      <c r="FIF4765" s="34">
        <v>-0.5</v>
      </c>
      <c r="FIG4765" s="34">
        <v>0</v>
      </c>
      <c r="FIH4765" s="34">
        <v>0.5</v>
      </c>
      <c r="FII4765" s="34">
        <v>1</v>
      </c>
      <c r="FIJ4765" s="34">
        <v>1.5</v>
      </c>
      <c r="FIK4765" s="34">
        <v>2</v>
      </c>
      <c r="FIL4765" s="34">
        <v>2.5</v>
      </c>
      <c r="FIM4765" s="34">
        <v>3</v>
      </c>
      <c r="FIN4765" s="34">
        <v>3.5</v>
      </c>
      <c r="FIO4765" s="34">
        <v>4</v>
      </c>
      <c r="FIP4765" s="34">
        <v>4.5</v>
      </c>
      <c r="FIQ4765" s="34">
        <v>5</v>
      </c>
      <c r="FIS4765" s="913"/>
      <c r="FIT4765" s="31">
        <v>1</v>
      </c>
      <c r="FIU4765" s="34">
        <v>0</v>
      </c>
      <c r="FIV4765" s="34">
        <v>-1</v>
      </c>
      <c r="FIW4765" s="34">
        <v>-2</v>
      </c>
      <c r="FIX4765" s="34">
        <v>-3</v>
      </c>
      <c r="FIY4765" s="34">
        <v>-4</v>
      </c>
      <c r="FIZ4765" s="34">
        <v>-5</v>
      </c>
      <c r="FJA4765" s="908"/>
      <c r="FJB4765" s="909"/>
      <c r="FJC4765" s="34">
        <v>-5</v>
      </c>
      <c r="FJD4765" s="34">
        <v>-4.5</v>
      </c>
      <c r="FJE4765" s="34">
        <v>-4</v>
      </c>
      <c r="FJF4765" s="34">
        <v>-3.5</v>
      </c>
      <c r="FJG4765" s="34">
        <v>-3</v>
      </c>
      <c r="FJH4765" s="34">
        <v>-2.5</v>
      </c>
      <c r="FJI4765" s="34">
        <v>-2</v>
      </c>
      <c r="FJJ4765" s="34">
        <v>-1.5</v>
      </c>
      <c r="FJK4765" s="34">
        <v>-1</v>
      </c>
      <c r="FJL4765" s="34">
        <v>-0.5</v>
      </c>
      <c r="FJM4765" s="34">
        <v>0</v>
      </c>
      <c r="FJN4765" s="34">
        <v>0.5</v>
      </c>
      <c r="FJO4765" s="34">
        <v>1</v>
      </c>
      <c r="FJP4765" s="34">
        <v>1.5</v>
      </c>
      <c r="FJQ4765" s="34">
        <v>2</v>
      </c>
      <c r="FJR4765" s="34">
        <v>2.5</v>
      </c>
      <c r="FJS4765" s="34">
        <v>3</v>
      </c>
      <c r="FJT4765" s="34">
        <v>3.5</v>
      </c>
      <c r="FJU4765" s="34">
        <v>4</v>
      </c>
      <c r="FJV4765" s="34">
        <v>4.5</v>
      </c>
      <c r="FJW4765" s="34">
        <v>5</v>
      </c>
      <c r="FJY4765" s="913"/>
      <c r="FJZ4765" s="31">
        <v>1</v>
      </c>
      <c r="FKA4765" s="34">
        <v>0</v>
      </c>
      <c r="FKB4765" s="34">
        <v>-1</v>
      </c>
      <c r="FKC4765" s="34">
        <v>-2</v>
      </c>
      <c r="FKD4765" s="34">
        <v>-3</v>
      </c>
      <c r="FKE4765" s="34">
        <v>-4</v>
      </c>
      <c r="FKF4765" s="34">
        <v>-5</v>
      </c>
      <c r="FKG4765" s="908"/>
      <c r="FKH4765" s="909"/>
      <c r="FKI4765" s="34">
        <v>-5</v>
      </c>
      <c r="FKJ4765" s="34">
        <v>-4.5</v>
      </c>
      <c r="FKK4765" s="34">
        <v>-4</v>
      </c>
      <c r="FKL4765" s="34">
        <v>-3.5</v>
      </c>
      <c r="FKM4765" s="34">
        <v>-3</v>
      </c>
      <c r="FKN4765" s="34">
        <v>-2.5</v>
      </c>
      <c r="FKO4765" s="34">
        <v>-2</v>
      </c>
      <c r="FKP4765" s="34">
        <v>-1.5</v>
      </c>
      <c r="FKQ4765" s="34">
        <v>-1</v>
      </c>
      <c r="FKR4765" s="34">
        <v>-0.5</v>
      </c>
      <c r="FKS4765" s="34">
        <v>0</v>
      </c>
      <c r="FKT4765" s="34">
        <v>0.5</v>
      </c>
      <c r="FKU4765" s="34">
        <v>1</v>
      </c>
      <c r="FKV4765" s="34">
        <v>1.5</v>
      </c>
      <c r="FKW4765" s="34">
        <v>2</v>
      </c>
      <c r="FKX4765" s="34">
        <v>2.5</v>
      </c>
      <c r="FKY4765" s="34">
        <v>3</v>
      </c>
      <c r="FKZ4765" s="34">
        <v>3.5</v>
      </c>
      <c r="FLA4765" s="34">
        <v>4</v>
      </c>
      <c r="FLB4765" s="34">
        <v>4.5</v>
      </c>
      <c r="FLC4765" s="34">
        <v>5</v>
      </c>
      <c r="FLE4765" s="913"/>
      <c r="FLF4765" s="31">
        <v>1</v>
      </c>
      <c r="FLG4765" s="34">
        <v>0</v>
      </c>
      <c r="FLH4765" s="34">
        <v>-1</v>
      </c>
      <c r="FLI4765" s="34">
        <v>-2</v>
      </c>
      <c r="FLJ4765" s="34">
        <v>-3</v>
      </c>
      <c r="FLK4765" s="34">
        <v>-4</v>
      </c>
      <c r="FLL4765" s="34">
        <v>-5</v>
      </c>
      <c r="FLM4765" s="908"/>
      <c r="FLN4765" s="909"/>
      <c r="FLO4765" s="34">
        <v>-5</v>
      </c>
      <c r="FLP4765" s="34">
        <v>-4.5</v>
      </c>
      <c r="FLQ4765" s="34">
        <v>-4</v>
      </c>
      <c r="FLR4765" s="34">
        <v>-3.5</v>
      </c>
      <c r="FLS4765" s="34">
        <v>-3</v>
      </c>
      <c r="FLT4765" s="34">
        <v>-2.5</v>
      </c>
      <c r="FLU4765" s="34">
        <v>-2</v>
      </c>
      <c r="FLV4765" s="34">
        <v>-1.5</v>
      </c>
      <c r="FLW4765" s="34">
        <v>-1</v>
      </c>
      <c r="FLX4765" s="34">
        <v>-0.5</v>
      </c>
      <c r="FLY4765" s="34">
        <v>0</v>
      </c>
      <c r="FLZ4765" s="34">
        <v>0.5</v>
      </c>
      <c r="FMA4765" s="34">
        <v>1</v>
      </c>
      <c r="FMB4765" s="34">
        <v>1.5</v>
      </c>
      <c r="FMC4765" s="34">
        <v>2</v>
      </c>
      <c r="FMD4765" s="34">
        <v>2.5</v>
      </c>
      <c r="FME4765" s="34">
        <v>3</v>
      </c>
      <c r="FMF4765" s="34">
        <v>3.5</v>
      </c>
      <c r="FMG4765" s="34">
        <v>4</v>
      </c>
      <c r="FMH4765" s="34">
        <v>4.5</v>
      </c>
      <c r="FMI4765" s="34">
        <v>5</v>
      </c>
      <c r="FMK4765" s="913"/>
      <c r="FML4765" s="31">
        <v>1</v>
      </c>
      <c r="FMM4765" s="34">
        <v>0</v>
      </c>
      <c r="FMN4765" s="34">
        <v>-1</v>
      </c>
      <c r="FMO4765" s="34">
        <v>-2</v>
      </c>
      <c r="FMP4765" s="34">
        <v>-3</v>
      </c>
      <c r="FMQ4765" s="34">
        <v>-4</v>
      </c>
      <c r="FMR4765" s="34">
        <v>-5</v>
      </c>
      <c r="FMS4765" s="908"/>
      <c r="FMT4765" s="909"/>
      <c r="FMU4765" s="34">
        <v>-5</v>
      </c>
      <c r="FMV4765" s="34">
        <v>-4.5</v>
      </c>
      <c r="FMW4765" s="34">
        <v>-4</v>
      </c>
      <c r="FMX4765" s="34">
        <v>-3.5</v>
      </c>
      <c r="FMY4765" s="34">
        <v>-3</v>
      </c>
      <c r="FMZ4765" s="34">
        <v>-2.5</v>
      </c>
      <c r="FNA4765" s="34">
        <v>-2</v>
      </c>
      <c r="FNB4765" s="34">
        <v>-1.5</v>
      </c>
      <c r="FNC4765" s="34">
        <v>-1</v>
      </c>
      <c r="FND4765" s="34">
        <v>-0.5</v>
      </c>
      <c r="FNE4765" s="34">
        <v>0</v>
      </c>
      <c r="FNF4765" s="34">
        <v>0.5</v>
      </c>
      <c r="FNG4765" s="34">
        <v>1</v>
      </c>
      <c r="FNH4765" s="34">
        <v>1.5</v>
      </c>
      <c r="FNI4765" s="34">
        <v>2</v>
      </c>
      <c r="FNJ4765" s="34">
        <v>2.5</v>
      </c>
      <c r="FNK4765" s="34">
        <v>3</v>
      </c>
      <c r="FNL4765" s="34">
        <v>3.5</v>
      </c>
      <c r="FNM4765" s="34">
        <v>4</v>
      </c>
      <c r="FNN4765" s="34">
        <v>4.5</v>
      </c>
      <c r="FNO4765" s="34">
        <v>5</v>
      </c>
      <c r="FNQ4765" s="913"/>
      <c r="FNR4765" s="31">
        <v>1</v>
      </c>
      <c r="FNS4765" s="34">
        <v>0</v>
      </c>
      <c r="FNT4765" s="34">
        <v>-1</v>
      </c>
      <c r="FNU4765" s="34">
        <v>-2</v>
      </c>
      <c r="FNV4765" s="34">
        <v>-3</v>
      </c>
      <c r="FNW4765" s="34">
        <v>-4</v>
      </c>
      <c r="FNX4765" s="34">
        <v>-5</v>
      </c>
      <c r="FNY4765" s="908"/>
      <c r="FNZ4765" s="909"/>
      <c r="FOA4765" s="34">
        <v>-5</v>
      </c>
      <c r="FOB4765" s="34">
        <v>-4.5</v>
      </c>
      <c r="FOC4765" s="34">
        <v>-4</v>
      </c>
      <c r="FOD4765" s="34">
        <v>-3.5</v>
      </c>
      <c r="FOE4765" s="34">
        <v>-3</v>
      </c>
      <c r="FOF4765" s="34">
        <v>-2.5</v>
      </c>
      <c r="FOG4765" s="34">
        <v>-2</v>
      </c>
      <c r="FOH4765" s="34">
        <v>-1.5</v>
      </c>
      <c r="FOI4765" s="34">
        <v>-1</v>
      </c>
      <c r="FOJ4765" s="34">
        <v>-0.5</v>
      </c>
      <c r="FOK4765" s="34">
        <v>0</v>
      </c>
      <c r="FOL4765" s="34">
        <v>0.5</v>
      </c>
      <c r="FOM4765" s="34">
        <v>1</v>
      </c>
      <c r="FON4765" s="34">
        <v>1.5</v>
      </c>
      <c r="FOO4765" s="34">
        <v>2</v>
      </c>
      <c r="FOP4765" s="34">
        <v>2.5</v>
      </c>
      <c r="FOQ4765" s="34">
        <v>3</v>
      </c>
      <c r="FOR4765" s="34">
        <v>3.5</v>
      </c>
      <c r="FOS4765" s="34">
        <v>4</v>
      </c>
      <c r="FOT4765" s="34">
        <v>4.5</v>
      </c>
      <c r="FOU4765" s="34">
        <v>5</v>
      </c>
      <c r="FOW4765" s="913"/>
      <c r="FOX4765" s="31">
        <v>1</v>
      </c>
      <c r="FOY4765" s="34">
        <v>0</v>
      </c>
      <c r="FOZ4765" s="34">
        <v>-1</v>
      </c>
      <c r="FPA4765" s="34">
        <v>-2</v>
      </c>
      <c r="FPB4765" s="34">
        <v>-3</v>
      </c>
      <c r="FPC4765" s="34">
        <v>-4</v>
      </c>
      <c r="FPD4765" s="34">
        <v>-5</v>
      </c>
      <c r="FPE4765" s="908"/>
      <c r="FPF4765" s="909"/>
      <c r="FPG4765" s="34">
        <v>-5</v>
      </c>
      <c r="FPH4765" s="34">
        <v>-4.5</v>
      </c>
      <c r="FPI4765" s="34">
        <v>-4</v>
      </c>
      <c r="FPJ4765" s="34">
        <v>-3.5</v>
      </c>
      <c r="FPK4765" s="34">
        <v>-3</v>
      </c>
      <c r="FPL4765" s="34">
        <v>-2.5</v>
      </c>
      <c r="FPM4765" s="34">
        <v>-2</v>
      </c>
      <c r="FPN4765" s="34">
        <v>-1.5</v>
      </c>
      <c r="FPO4765" s="34">
        <v>-1</v>
      </c>
      <c r="FPP4765" s="34">
        <v>-0.5</v>
      </c>
      <c r="FPQ4765" s="34">
        <v>0</v>
      </c>
      <c r="FPR4765" s="34">
        <v>0.5</v>
      </c>
      <c r="FPS4765" s="34">
        <v>1</v>
      </c>
      <c r="FPT4765" s="34">
        <v>1.5</v>
      </c>
      <c r="FPU4765" s="34">
        <v>2</v>
      </c>
      <c r="FPV4765" s="34">
        <v>2.5</v>
      </c>
      <c r="FPW4765" s="34">
        <v>3</v>
      </c>
      <c r="FPX4765" s="34">
        <v>3.5</v>
      </c>
      <c r="FPY4765" s="34">
        <v>4</v>
      </c>
      <c r="FPZ4765" s="34">
        <v>4.5</v>
      </c>
      <c r="FQA4765" s="34">
        <v>5</v>
      </c>
      <c r="FQC4765" s="913"/>
      <c r="FQD4765" s="31">
        <v>1</v>
      </c>
      <c r="FQE4765" s="34">
        <v>0</v>
      </c>
      <c r="FQF4765" s="34">
        <v>-1</v>
      </c>
      <c r="FQG4765" s="34">
        <v>-2</v>
      </c>
      <c r="FQH4765" s="34">
        <v>-3</v>
      </c>
      <c r="FQI4765" s="34">
        <v>-4</v>
      </c>
      <c r="FQJ4765" s="34">
        <v>-5</v>
      </c>
      <c r="FQK4765" s="908"/>
      <c r="FQL4765" s="909"/>
      <c r="FQM4765" s="34">
        <v>-5</v>
      </c>
      <c r="FQN4765" s="34">
        <v>-4.5</v>
      </c>
      <c r="FQO4765" s="34">
        <v>-4</v>
      </c>
      <c r="FQP4765" s="34">
        <v>-3.5</v>
      </c>
      <c r="FQQ4765" s="34">
        <v>-3</v>
      </c>
      <c r="FQR4765" s="34">
        <v>-2.5</v>
      </c>
      <c r="FQS4765" s="34">
        <v>-2</v>
      </c>
      <c r="FQT4765" s="34">
        <v>-1.5</v>
      </c>
      <c r="FQU4765" s="34">
        <v>-1</v>
      </c>
      <c r="FQV4765" s="34">
        <v>-0.5</v>
      </c>
      <c r="FQW4765" s="34">
        <v>0</v>
      </c>
      <c r="FQX4765" s="34">
        <v>0.5</v>
      </c>
      <c r="FQY4765" s="34">
        <v>1</v>
      </c>
      <c r="FQZ4765" s="34">
        <v>1.5</v>
      </c>
      <c r="FRA4765" s="34">
        <v>2</v>
      </c>
      <c r="FRB4765" s="34">
        <v>2.5</v>
      </c>
      <c r="FRC4765" s="34">
        <v>3</v>
      </c>
      <c r="FRD4765" s="34">
        <v>3.5</v>
      </c>
      <c r="FRE4765" s="34">
        <v>4</v>
      </c>
      <c r="FRF4765" s="34">
        <v>4.5</v>
      </c>
      <c r="FRG4765" s="34">
        <v>5</v>
      </c>
      <c r="FRI4765" s="913"/>
      <c r="FRJ4765" s="31">
        <v>1</v>
      </c>
      <c r="FRK4765" s="34">
        <v>0</v>
      </c>
      <c r="FRL4765" s="34">
        <v>-1</v>
      </c>
      <c r="FRM4765" s="34">
        <v>-2</v>
      </c>
      <c r="FRN4765" s="34">
        <v>-3</v>
      </c>
      <c r="FRO4765" s="34">
        <v>-4</v>
      </c>
      <c r="FRP4765" s="34">
        <v>-5</v>
      </c>
      <c r="FRQ4765" s="908"/>
      <c r="FRR4765" s="909"/>
      <c r="FRS4765" s="34">
        <v>-5</v>
      </c>
      <c r="FRT4765" s="34">
        <v>-4.5</v>
      </c>
      <c r="FRU4765" s="34">
        <v>-4</v>
      </c>
      <c r="FRV4765" s="34">
        <v>-3.5</v>
      </c>
      <c r="FRW4765" s="34">
        <v>-3</v>
      </c>
      <c r="FRX4765" s="34">
        <v>-2.5</v>
      </c>
      <c r="FRY4765" s="34">
        <v>-2</v>
      </c>
      <c r="FRZ4765" s="34">
        <v>-1.5</v>
      </c>
      <c r="FSA4765" s="34">
        <v>-1</v>
      </c>
      <c r="FSB4765" s="34">
        <v>-0.5</v>
      </c>
      <c r="FSC4765" s="34">
        <v>0</v>
      </c>
      <c r="FSD4765" s="34">
        <v>0.5</v>
      </c>
      <c r="FSE4765" s="34">
        <v>1</v>
      </c>
      <c r="FSF4765" s="34">
        <v>1.5</v>
      </c>
      <c r="FSG4765" s="34">
        <v>2</v>
      </c>
      <c r="FSH4765" s="34">
        <v>2.5</v>
      </c>
      <c r="FSI4765" s="34">
        <v>3</v>
      </c>
      <c r="FSJ4765" s="34">
        <v>3.5</v>
      </c>
      <c r="FSK4765" s="34">
        <v>4</v>
      </c>
      <c r="FSL4765" s="34">
        <v>4.5</v>
      </c>
      <c r="FSM4765" s="34">
        <v>5</v>
      </c>
      <c r="FSO4765" s="913"/>
      <c r="FSP4765" s="31">
        <v>1</v>
      </c>
      <c r="FSQ4765" s="34">
        <v>0</v>
      </c>
      <c r="FSR4765" s="34">
        <v>-1</v>
      </c>
      <c r="FSS4765" s="34">
        <v>-2</v>
      </c>
      <c r="FST4765" s="34">
        <v>-3</v>
      </c>
      <c r="FSU4765" s="34">
        <v>-4</v>
      </c>
      <c r="FSV4765" s="34">
        <v>-5</v>
      </c>
      <c r="FSW4765" s="908"/>
      <c r="FSX4765" s="909"/>
      <c r="FSY4765" s="34">
        <v>-5</v>
      </c>
      <c r="FSZ4765" s="34">
        <v>-4.5</v>
      </c>
      <c r="FTA4765" s="34">
        <v>-4</v>
      </c>
      <c r="FTB4765" s="34">
        <v>-3.5</v>
      </c>
      <c r="FTC4765" s="34">
        <v>-3</v>
      </c>
      <c r="FTD4765" s="34">
        <v>-2.5</v>
      </c>
      <c r="FTE4765" s="34">
        <v>-2</v>
      </c>
      <c r="FTF4765" s="34">
        <v>-1.5</v>
      </c>
      <c r="FTG4765" s="34">
        <v>-1</v>
      </c>
      <c r="FTH4765" s="34">
        <v>-0.5</v>
      </c>
      <c r="FTI4765" s="34">
        <v>0</v>
      </c>
      <c r="FTJ4765" s="34">
        <v>0.5</v>
      </c>
      <c r="FTK4765" s="34">
        <v>1</v>
      </c>
      <c r="FTL4765" s="34">
        <v>1.5</v>
      </c>
      <c r="FTM4765" s="34">
        <v>2</v>
      </c>
      <c r="FTN4765" s="34">
        <v>2.5</v>
      </c>
      <c r="FTO4765" s="34">
        <v>3</v>
      </c>
      <c r="FTP4765" s="34">
        <v>3.5</v>
      </c>
      <c r="FTQ4765" s="34">
        <v>4</v>
      </c>
      <c r="FTR4765" s="34">
        <v>4.5</v>
      </c>
      <c r="FTS4765" s="34">
        <v>5</v>
      </c>
      <c r="FTU4765" s="913"/>
      <c r="FTV4765" s="31">
        <v>1</v>
      </c>
      <c r="FTW4765" s="34">
        <v>0</v>
      </c>
      <c r="FTX4765" s="34">
        <v>-1</v>
      </c>
      <c r="FTY4765" s="34">
        <v>-2</v>
      </c>
      <c r="FTZ4765" s="34">
        <v>-3</v>
      </c>
      <c r="FUA4765" s="34">
        <v>-4</v>
      </c>
      <c r="FUB4765" s="34">
        <v>-5</v>
      </c>
      <c r="FUC4765" s="908"/>
      <c r="FUD4765" s="909"/>
      <c r="FUE4765" s="34">
        <v>-5</v>
      </c>
      <c r="FUF4765" s="34">
        <v>-4.5</v>
      </c>
      <c r="FUG4765" s="34">
        <v>-4</v>
      </c>
      <c r="FUH4765" s="34">
        <v>-3.5</v>
      </c>
      <c r="FUI4765" s="34">
        <v>-3</v>
      </c>
      <c r="FUJ4765" s="34">
        <v>-2.5</v>
      </c>
      <c r="FUK4765" s="34">
        <v>-2</v>
      </c>
      <c r="FUL4765" s="34">
        <v>-1.5</v>
      </c>
      <c r="FUM4765" s="34">
        <v>-1</v>
      </c>
      <c r="FUN4765" s="34">
        <v>-0.5</v>
      </c>
      <c r="FUO4765" s="34">
        <v>0</v>
      </c>
      <c r="FUP4765" s="34">
        <v>0.5</v>
      </c>
      <c r="FUQ4765" s="34">
        <v>1</v>
      </c>
      <c r="FUR4765" s="34">
        <v>1.5</v>
      </c>
      <c r="FUS4765" s="34">
        <v>2</v>
      </c>
      <c r="FUT4765" s="34">
        <v>2.5</v>
      </c>
      <c r="FUU4765" s="34">
        <v>3</v>
      </c>
      <c r="FUV4765" s="34">
        <v>3.5</v>
      </c>
      <c r="FUW4765" s="34">
        <v>4</v>
      </c>
      <c r="FUX4765" s="34">
        <v>4.5</v>
      </c>
      <c r="FUY4765" s="34">
        <v>5</v>
      </c>
      <c r="FVA4765" s="913"/>
      <c r="FVB4765" s="31">
        <v>1</v>
      </c>
      <c r="FVC4765" s="34">
        <v>0</v>
      </c>
      <c r="FVD4765" s="34">
        <v>-1</v>
      </c>
      <c r="FVE4765" s="34">
        <v>-2</v>
      </c>
      <c r="FVF4765" s="34">
        <v>-3</v>
      </c>
      <c r="FVG4765" s="34">
        <v>-4</v>
      </c>
      <c r="FVH4765" s="34">
        <v>-5</v>
      </c>
      <c r="FVI4765" s="908"/>
      <c r="FVJ4765" s="909"/>
      <c r="FVK4765" s="34">
        <v>-5</v>
      </c>
      <c r="FVL4765" s="34">
        <v>-4.5</v>
      </c>
      <c r="FVM4765" s="34">
        <v>-4</v>
      </c>
      <c r="FVN4765" s="34">
        <v>-3.5</v>
      </c>
      <c r="FVO4765" s="34">
        <v>-3</v>
      </c>
      <c r="FVP4765" s="34">
        <v>-2.5</v>
      </c>
      <c r="FVQ4765" s="34">
        <v>-2</v>
      </c>
      <c r="FVR4765" s="34">
        <v>-1.5</v>
      </c>
      <c r="FVS4765" s="34">
        <v>-1</v>
      </c>
      <c r="FVT4765" s="34">
        <v>-0.5</v>
      </c>
      <c r="FVU4765" s="34">
        <v>0</v>
      </c>
      <c r="FVV4765" s="34">
        <v>0.5</v>
      </c>
      <c r="FVW4765" s="34">
        <v>1</v>
      </c>
      <c r="FVX4765" s="34">
        <v>1.5</v>
      </c>
      <c r="FVY4765" s="34">
        <v>2</v>
      </c>
      <c r="FVZ4765" s="34">
        <v>2.5</v>
      </c>
      <c r="FWA4765" s="34">
        <v>3</v>
      </c>
      <c r="FWB4765" s="34">
        <v>3.5</v>
      </c>
      <c r="FWC4765" s="34">
        <v>4</v>
      </c>
      <c r="FWD4765" s="34">
        <v>4.5</v>
      </c>
      <c r="FWE4765" s="34">
        <v>5</v>
      </c>
      <c r="FWG4765" s="913"/>
      <c r="FWH4765" s="31">
        <v>1</v>
      </c>
      <c r="FWI4765" s="34">
        <v>0</v>
      </c>
      <c r="FWJ4765" s="34">
        <v>-1</v>
      </c>
      <c r="FWK4765" s="34">
        <v>-2</v>
      </c>
      <c r="FWL4765" s="34">
        <v>-3</v>
      </c>
      <c r="FWM4765" s="34">
        <v>-4</v>
      </c>
      <c r="FWN4765" s="34">
        <v>-5</v>
      </c>
      <c r="FWO4765" s="908"/>
      <c r="FWP4765" s="909"/>
      <c r="FWQ4765" s="34">
        <v>-5</v>
      </c>
      <c r="FWR4765" s="34">
        <v>-4.5</v>
      </c>
      <c r="FWS4765" s="34">
        <v>-4</v>
      </c>
      <c r="FWT4765" s="34">
        <v>-3.5</v>
      </c>
      <c r="FWU4765" s="34">
        <v>-3</v>
      </c>
      <c r="FWV4765" s="34">
        <v>-2.5</v>
      </c>
      <c r="FWW4765" s="34">
        <v>-2</v>
      </c>
      <c r="FWX4765" s="34">
        <v>-1.5</v>
      </c>
      <c r="FWY4765" s="34">
        <v>-1</v>
      </c>
      <c r="FWZ4765" s="34">
        <v>-0.5</v>
      </c>
      <c r="FXA4765" s="34">
        <v>0</v>
      </c>
      <c r="FXB4765" s="34">
        <v>0.5</v>
      </c>
      <c r="FXC4765" s="34">
        <v>1</v>
      </c>
      <c r="FXD4765" s="34">
        <v>1.5</v>
      </c>
      <c r="FXE4765" s="34">
        <v>2</v>
      </c>
      <c r="FXF4765" s="34">
        <v>2.5</v>
      </c>
      <c r="FXG4765" s="34">
        <v>3</v>
      </c>
      <c r="FXH4765" s="34">
        <v>3.5</v>
      </c>
      <c r="FXI4765" s="34">
        <v>4</v>
      </c>
      <c r="FXJ4765" s="34">
        <v>4.5</v>
      </c>
      <c r="FXK4765" s="34">
        <v>5</v>
      </c>
      <c r="FXM4765" s="913"/>
      <c r="FXN4765" s="31">
        <v>1</v>
      </c>
      <c r="FXO4765" s="34">
        <v>0</v>
      </c>
      <c r="FXP4765" s="34">
        <v>-1</v>
      </c>
      <c r="FXQ4765" s="34">
        <v>-2</v>
      </c>
      <c r="FXR4765" s="34">
        <v>-3</v>
      </c>
      <c r="FXS4765" s="34">
        <v>-4</v>
      </c>
      <c r="FXT4765" s="34">
        <v>-5</v>
      </c>
      <c r="FXU4765" s="908"/>
      <c r="FXV4765" s="909"/>
      <c r="FXW4765" s="34">
        <v>-5</v>
      </c>
      <c r="FXX4765" s="34">
        <v>-4.5</v>
      </c>
      <c r="FXY4765" s="34">
        <v>-4</v>
      </c>
      <c r="FXZ4765" s="34">
        <v>-3.5</v>
      </c>
      <c r="FYA4765" s="34">
        <v>-3</v>
      </c>
      <c r="FYB4765" s="34">
        <v>-2.5</v>
      </c>
      <c r="FYC4765" s="34">
        <v>-2</v>
      </c>
      <c r="FYD4765" s="34">
        <v>-1.5</v>
      </c>
      <c r="FYE4765" s="34">
        <v>-1</v>
      </c>
      <c r="FYF4765" s="34">
        <v>-0.5</v>
      </c>
      <c r="FYG4765" s="34">
        <v>0</v>
      </c>
      <c r="FYH4765" s="34">
        <v>0.5</v>
      </c>
      <c r="FYI4765" s="34">
        <v>1</v>
      </c>
      <c r="FYJ4765" s="34">
        <v>1.5</v>
      </c>
      <c r="FYK4765" s="34">
        <v>2</v>
      </c>
      <c r="FYL4765" s="34">
        <v>2.5</v>
      </c>
      <c r="FYM4765" s="34">
        <v>3</v>
      </c>
      <c r="FYN4765" s="34">
        <v>3.5</v>
      </c>
      <c r="FYO4765" s="34">
        <v>4</v>
      </c>
      <c r="FYP4765" s="34">
        <v>4.5</v>
      </c>
      <c r="FYQ4765" s="34">
        <v>5</v>
      </c>
      <c r="FYS4765" s="913"/>
      <c r="FYT4765" s="31">
        <v>1</v>
      </c>
      <c r="FYU4765" s="34">
        <v>0</v>
      </c>
      <c r="FYV4765" s="34">
        <v>-1</v>
      </c>
      <c r="FYW4765" s="34">
        <v>-2</v>
      </c>
      <c r="FYX4765" s="34">
        <v>-3</v>
      </c>
      <c r="FYY4765" s="34">
        <v>-4</v>
      </c>
      <c r="FYZ4765" s="34">
        <v>-5</v>
      </c>
      <c r="FZA4765" s="908"/>
      <c r="FZB4765" s="909"/>
      <c r="FZC4765" s="34">
        <v>-5</v>
      </c>
      <c r="FZD4765" s="34">
        <v>-4.5</v>
      </c>
      <c r="FZE4765" s="34">
        <v>-4</v>
      </c>
      <c r="FZF4765" s="34">
        <v>-3.5</v>
      </c>
      <c r="FZG4765" s="34">
        <v>-3</v>
      </c>
      <c r="FZH4765" s="34">
        <v>-2.5</v>
      </c>
      <c r="FZI4765" s="34">
        <v>-2</v>
      </c>
      <c r="FZJ4765" s="34">
        <v>-1.5</v>
      </c>
      <c r="FZK4765" s="34">
        <v>-1</v>
      </c>
      <c r="FZL4765" s="34">
        <v>-0.5</v>
      </c>
      <c r="FZM4765" s="34">
        <v>0</v>
      </c>
      <c r="FZN4765" s="34">
        <v>0.5</v>
      </c>
      <c r="FZO4765" s="34">
        <v>1</v>
      </c>
      <c r="FZP4765" s="34">
        <v>1.5</v>
      </c>
      <c r="FZQ4765" s="34">
        <v>2</v>
      </c>
      <c r="FZR4765" s="34">
        <v>2.5</v>
      </c>
      <c r="FZS4765" s="34">
        <v>3</v>
      </c>
      <c r="FZT4765" s="34">
        <v>3.5</v>
      </c>
      <c r="FZU4765" s="34">
        <v>4</v>
      </c>
      <c r="FZV4765" s="34">
        <v>4.5</v>
      </c>
      <c r="FZW4765" s="34">
        <v>5</v>
      </c>
      <c r="FZY4765" s="913"/>
      <c r="FZZ4765" s="31">
        <v>1</v>
      </c>
      <c r="GAA4765" s="34">
        <v>0</v>
      </c>
      <c r="GAB4765" s="34">
        <v>-1</v>
      </c>
      <c r="GAC4765" s="34">
        <v>-2</v>
      </c>
      <c r="GAD4765" s="34">
        <v>-3</v>
      </c>
      <c r="GAE4765" s="34">
        <v>-4</v>
      </c>
      <c r="GAF4765" s="34">
        <v>-5</v>
      </c>
      <c r="GAG4765" s="908"/>
      <c r="GAH4765" s="909"/>
      <c r="GAI4765" s="34">
        <v>-5</v>
      </c>
      <c r="GAJ4765" s="34">
        <v>-4.5</v>
      </c>
      <c r="GAK4765" s="34">
        <v>-4</v>
      </c>
      <c r="GAL4765" s="34">
        <v>-3.5</v>
      </c>
      <c r="GAM4765" s="34">
        <v>-3</v>
      </c>
      <c r="GAN4765" s="34">
        <v>-2.5</v>
      </c>
      <c r="GAO4765" s="34">
        <v>-2</v>
      </c>
      <c r="GAP4765" s="34">
        <v>-1.5</v>
      </c>
      <c r="GAQ4765" s="34">
        <v>-1</v>
      </c>
      <c r="GAR4765" s="34">
        <v>-0.5</v>
      </c>
      <c r="GAS4765" s="34">
        <v>0</v>
      </c>
      <c r="GAT4765" s="34">
        <v>0.5</v>
      </c>
      <c r="GAU4765" s="34">
        <v>1</v>
      </c>
      <c r="GAV4765" s="34">
        <v>1.5</v>
      </c>
      <c r="GAW4765" s="34">
        <v>2</v>
      </c>
      <c r="GAX4765" s="34">
        <v>2.5</v>
      </c>
      <c r="GAY4765" s="34">
        <v>3</v>
      </c>
      <c r="GAZ4765" s="34">
        <v>3.5</v>
      </c>
      <c r="GBA4765" s="34">
        <v>4</v>
      </c>
      <c r="GBB4765" s="34">
        <v>4.5</v>
      </c>
      <c r="GBC4765" s="34">
        <v>5</v>
      </c>
      <c r="GBE4765" s="913"/>
      <c r="GBF4765" s="31">
        <v>1</v>
      </c>
      <c r="GBG4765" s="34">
        <v>0</v>
      </c>
      <c r="GBH4765" s="34">
        <v>-1</v>
      </c>
      <c r="GBI4765" s="34">
        <v>-2</v>
      </c>
      <c r="GBJ4765" s="34">
        <v>-3</v>
      </c>
      <c r="GBK4765" s="34">
        <v>-4</v>
      </c>
      <c r="GBL4765" s="34">
        <v>-5</v>
      </c>
      <c r="GBM4765" s="908"/>
      <c r="GBN4765" s="909"/>
      <c r="GBO4765" s="34">
        <v>-5</v>
      </c>
      <c r="GBP4765" s="34">
        <v>-4.5</v>
      </c>
      <c r="GBQ4765" s="34">
        <v>-4</v>
      </c>
      <c r="GBR4765" s="34">
        <v>-3.5</v>
      </c>
      <c r="GBS4765" s="34">
        <v>-3</v>
      </c>
      <c r="GBT4765" s="34">
        <v>-2.5</v>
      </c>
      <c r="GBU4765" s="34">
        <v>-2</v>
      </c>
      <c r="GBV4765" s="34">
        <v>-1.5</v>
      </c>
      <c r="GBW4765" s="34">
        <v>-1</v>
      </c>
      <c r="GBX4765" s="34">
        <v>-0.5</v>
      </c>
      <c r="GBY4765" s="34">
        <v>0</v>
      </c>
      <c r="GBZ4765" s="34">
        <v>0.5</v>
      </c>
      <c r="GCA4765" s="34">
        <v>1</v>
      </c>
      <c r="GCB4765" s="34">
        <v>1.5</v>
      </c>
      <c r="GCC4765" s="34">
        <v>2</v>
      </c>
      <c r="GCD4765" s="34">
        <v>2.5</v>
      </c>
      <c r="GCE4765" s="34">
        <v>3</v>
      </c>
      <c r="GCF4765" s="34">
        <v>3.5</v>
      </c>
      <c r="GCG4765" s="34">
        <v>4</v>
      </c>
      <c r="GCH4765" s="34">
        <v>4.5</v>
      </c>
      <c r="GCI4765" s="34">
        <v>5</v>
      </c>
      <c r="GCK4765" s="913"/>
      <c r="GCL4765" s="31">
        <v>1</v>
      </c>
      <c r="GCM4765" s="34">
        <v>0</v>
      </c>
      <c r="GCN4765" s="34">
        <v>-1</v>
      </c>
      <c r="GCO4765" s="34">
        <v>-2</v>
      </c>
      <c r="GCP4765" s="34">
        <v>-3</v>
      </c>
      <c r="GCQ4765" s="34">
        <v>-4</v>
      </c>
      <c r="GCR4765" s="34">
        <v>-5</v>
      </c>
      <c r="GCS4765" s="908"/>
      <c r="GCT4765" s="909"/>
      <c r="GCU4765" s="34">
        <v>-5</v>
      </c>
      <c r="GCV4765" s="34">
        <v>-4.5</v>
      </c>
      <c r="GCW4765" s="34">
        <v>-4</v>
      </c>
      <c r="GCX4765" s="34">
        <v>-3.5</v>
      </c>
      <c r="GCY4765" s="34">
        <v>-3</v>
      </c>
      <c r="GCZ4765" s="34">
        <v>-2.5</v>
      </c>
      <c r="GDA4765" s="34">
        <v>-2</v>
      </c>
      <c r="GDB4765" s="34">
        <v>-1.5</v>
      </c>
      <c r="GDC4765" s="34">
        <v>-1</v>
      </c>
      <c r="GDD4765" s="34">
        <v>-0.5</v>
      </c>
      <c r="GDE4765" s="34">
        <v>0</v>
      </c>
      <c r="GDF4765" s="34">
        <v>0.5</v>
      </c>
      <c r="GDG4765" s="34">
        <v>1</v>
      </c>
      <c r="GDH4765" s="34">
        <v>1.5</v>
      </c>
      <c r="GDI4765" s="34">
        <v>2</v>
      </c>
      <c r="GDJ4765" s="34">
        <v>2.5</v>
      </c>
      <c r="GDK4765" s="34">
        <v>3</v>
      </c>
      <c r="GDL4765" s="34">
        <v>3.5</v>
      </c>
      <c r="GDM4765" s="34">
        <v>4</v>
      </c>
      <c r="GDN4765" s="34">
        <v>4.5</v>
      </c>
      <c r="GDO4765" s="34">
        <v>5</v>
      </c>
      <c r="GDQ4765" s="913"/>
      <c r="GDR4765" s="31">
        <v>1</v>
      </c>
      <c r="GDS4765" s="34">
        <v>0</v>
      </c>
      <c r="GDT4765" s="34">
        <v>-1</v>
      </c>
      <c r="GDU4765" s="34">
        <v>-2</v>
      </c>
      <c r="GDV4765" s="34">
        <v>-3</v>
      </c>
      <c r="GDW4765" s="34">
        <v>-4</v>
      </c>
      <c r="GDX4765" s="34">
        <v>-5</v>
      </c>
      <c r="GDY4765" s="908"/>
      <c r="GDZ4765" s="909"/>
      <c r="GEA4765" s="34">
        <v>-5</v>
      </c>
      <c r="GEB4765" s="34">
        <v>-4.5</v>
      </c>
      <c r="GEC4765" s="34">
        <v>-4</v>
      </c>
      <c r="GED4765" s="34">
        <v>-3.5</v>
      </c>
      <c r="GEE4765" s="34">
        <v>-3</v>
      </c>
      <c r="GEF4765" s="34">
        <v>-2.5</v>
      </c>
      <c r="GEG4765" s="34">
        <v>-2</v>
      </c>
      <c r="GEH4765" s="34">
        <v>-1.5</v>
      </c>
      <c r="GEI4765" s="34">
        <v>-1</v>
      </c>
      <c r="GEJ4765" s="34">
        <v>-0.5</v>
      </c>
      <c r="GEK4765" s="34">
        <v>0</v>
      </c>
      <c r="GEL4765" s="34">
        <v>0.5</v>
      </c>
      <c r="GEM4765" s="34">
        <v>1</v>
      </c>
      <c r="GEN4765" s="34">
        <v>1.5</v>
      </c>
      <c r="GEO4765" s="34">
        <v>2</v>
      </c>
      <c r="GEP4765" s="34">
        <v>2.5</v>
      </c>
      <c r="GEQ4765" s="34">
        <v>3</v>
      </c>
      <c r="GER4765" s="34">
        <v>3.5</v>
      </c>
      <c r="GES4765" s="34">
        <v>4</v>
      </c>
      <c r="GET4765" s="34">
        <v>4.5</v>
      </c>
      <c r="GEU4765" s="34">
        <v>5</v>
      </c>
      <c r="GEW4765" s="913"/>
      <c r="GEX4765" s="31">
        <v>1</v>
      </c>
      <c r="GEY4765" s="34">
        <v>0</v>
      </c>
      <c r="GEZ4765" s="34">
        <v>-1</v>
      </c>
      <c r="GFA4765" s="34">
        <v>-2</v>
      </c>
      <c r="GFB4765" s="34">
        <v>-3</v>
      </c>
      <c r="GFC4765" s="34">
        <v>-4</v>
      </c>
      <c r="GFD4765" s="34">
        <v>-5</v>
      </c>
      <c r="GFE4765" s="908"/>
      <c r="GFF4765" s="909"/>
      <c r="GFG4765" s="34">
        <v>-5</v>
      </c>
      <c r="GFH4765" s="34">
        <v>-4.5</v>
      </c>
      <c r="GFI4765" s="34">
        <v>-4</v>
      </c>
      <c r="GFJ4765" s="34">
        <v>-3.5</v>
      </c>
      <c r="GFK4765" s="34">
        <v>-3</v>
      </c>
      <c r="GFL4765" s="34">
        <v>-2.5</v>
      </c>
      <c r="GFM4765" s="34">
        <v>-2</v>
      </c>
      <c r="GFN4765" s="34">
        <v>-1.5</v>
      </c>
      <c r="GFO4765" s="34">
        <v>-1</v>
      </c>
      <c r="GFP4765" s="34">
        <v>-0.5</v>
      </c>
      <c r="GFQ4765" s="34">
        <v>0</v>
      </c>
      <c r="GFR4765" s="34">
        <v>0.5</v>
      </c>
      <c r="GFS4765" s="34">
        <v>1</v>
      </c>
      <c r="GFT4765" s="34">
        <v>1.5</v>
      </c>
      <c r="GFU4765" s="34">
        <v>2</v>
      </c>
      <c r="GFV4765" s="34">
        <v>2.5</v>
      </c>
      <c r="GFW4765" s="34">
        <v>3</v>
      </c>
      <c r="GFX4765" s="34">
        <v>3.5</v>
      </c>
      <c r="GFY4765" s="34">
        <v>4</v>
      </c>
      <c r="GFZ4765" s="34">
        <v>4.5</v>
      </c>
      <c r="GGA4765" s="34">
        <v>5</v>
      </c>
      <c r="GGC4765" s="913"/>
      <c r="GGD4765" s="31">
        <v>1</v>
      </c>
      <c r="GGE4765" s="34">
        <v>0</v>
      </c>
      <c r="GGF4765" s="34">
        <v>-1</v>
      </c>
      <c r="GGG4765" s="34">
        <v>-2</v>
      </c>
      <c r="GGH4765" s="34">
        <v>-3</v>
      </c>
      <c r="GGI4765" s="34">
        <v>-4</v>
      </c>
      <c r="GGJ4765" s="34">
        <v>-5</v>
      </c>
      <c r="GGK4765" s="908"/>
      <c r="GGL4765" s="909"/>
      <c r="GGM4765" s="34">
        <v>-5</v>
      </c>
      <c r="GGN4765" s="34">
        <v>-4.5</v>
      </c>
      <c r="GGO4765" s="34">
        <v>-4</v>
      </c>
      <c r="GGP4765" s="34">
        <v>-3.5</v>
      </c>
      <c r="GGQ4765" s="34">
        <v>-3</v>
      </c>
      <c r="GGR4765" s="34">
        <v>-2.5</v>
      </c>
      <c r="GGS4765" s="34">
        <v>-2</v>
      </c>
      <c r="GGT4765" s="34">
        <v>-1.5</v>
      </c>
      <c r="GGU4765" s="34">
        <v>-1</v>
      </c>
      <c r="GGV4765" s="34">
        <v>-0.5</v>
      </c>
      <c r="GGW4765" s="34">
        <v>0</v>
      </c>
      <c r="GGX4765" s="34">
        <v>0.5</v>
      </c>
      <c r="GGY4765" s="34">
        <v>1</v>
      </c>
      <c r="GGZ4765" s="34">
        <v>1.5</v>
      </c>
      <c r="GHA4765" s="34">
        <v>2</v>
      </c>
      <c r="GHB4765" s="34">
        <v>2.5</v>
      </c>
      <c r="GHC4765" s="34">
        <v>3</v>
      </c>
      <c r="GHD4765" s="34">
        <v>3.5</v>
      </c>
      <c r="GHE4765" s="34">
        <v>4</v>
      </c>
      <c r="GHF4765" s="34">
        <v>4.5</v>
      </c>
      <c r="GHG4765" s="34">
        <v>5</v>
      </c>
      <c r="GHI4765" s="913"/>
      <c r="GHJ4765" s="31">
        <v>1</v>
      </c>
      <c r="GHK4765" s="34">
        <v>0</v>
      </c>
      <c r="GHL4765" s="34">
        <v>-1</v>
      </c>
      <c r="GHM4765" s="34">
        <v>-2</v>
      </c>
      <c r="GHN4765" s="34">
        <v>-3</v>
      </c>
      <c r="GHO4765" s="34">
        <v>-4</v>
      </c>
      <c r="GHP4765" s="34">
        <v>-5</v>
      </c>
      <c r="GHQ4765" s="908"/>
      <c r="GHR4765" s="909"/>
      <c r="GHS4765" s="34">
        <v>-5</v>
      </c>
      <c r="GHT4765" s="34">
        <v>-4.5</v>
      </c>
      <c r="GHU4765" s="34">
        <v>-4</v>
      </c>
      <c r="GHV4765" s="34">
        <v>-3.5</v>
      </c>
      <c r="GHW4765" s="34">
        <v>-3</v>
      </c>
      <c r="GHX4765" s="34">
        <v>-2.5</v>
      </c>
      <c r="GHY4765" s="34">
        <v>-2</v>
      </c>
      <c r="GHZ4765" s="34">
        <v>-1.5</v>
      </c>
      <c r="GIA4765" s="34">
        <v>-1</v>
      </c>
      <c r="GIB4765" s="34">
        <v>-0.5</v>
      </c>
      <c r="GIC4765" s="34">
        <v>0</v>
      </c>
      <c r="GID4765" s="34">
        <v>0.5</v>
      </c>
      <c r="GIE4765" s="34">
        <v>1</v>
      </c>
      <c r="GIF4765" s="34">
        <v>1.5</v>
      </c>
      <c r="GIG4765" s="34">
        <v>2</v>
      </c>
      <c r="GIH4765" s="34">
        <v>2.5</v>
      </c>
      <c r="GII4765" s="34">
        <v>3</v>
      </c>
      <c r="GIJ4765" s="34">
        <v>3.5</v>
      </c>
      <c r="GIK4765" s="34">
        <v>4</v>
      </c>
      <c r="GIL4765" s="34">
        <v>4.5</v>
      </c>
      <c r="GIM4765" s="34">
        <v>5</v>
      </c>
      <c r="GIO4765" s="913"/>
      <c r="GIP4765" s="31">
        <v>1</v>
      </c>
      <c r="GIQ4765" s="34">
        <v>0</v>
      </c>
      <c r="GIR4765" s="34">
        <v>-1</v>
      </c>
      <c r="GIS4765" s="34">
        <v>-2</v>
      </c>
      <c r="GIT4765" s="34">
        <v>-3</v>
      </c>
      <c r="GIU4765" s="34">
        <v>-4</v>
      </c>
      <c r="GIV4765" s="34">
        <v>-5</v>
      </c>
      <c r="GIW4765" s="908"/>
      <c r="GIX4765" s="909"/>
      <c r="GIY4765" s="34">
        <v>-5</v>
      </c>
      <c r="GIZ4765" s="34">
        <v>-4.5</v>
      </c>
      <c r="GJA4765" s="34">
        <v>-4</v>
      </c>
      <c r="GJB4765" s="34">
        <v>-3.5</v>
      </c>
      <c r="GJC4765" s="34">
        <v>-3</v>
      </c>
      <c r="GJD4765" s="34">
        <v>-2.5</v>
      </c>
      <c r="GJE4765" s="34">
        <v>-2</v>
      </c>
      <c r="GJF4765" s="34">
        <v>-1.5</v>
      </c>
      <c r="GJG4765" s="34">
        <v>-1</v>
      </c>
      <c r="GJH4765" s="34">
        <v>-0.5</v>
      </c>
      <c r="GJI4765" s="34">
        <v>0</v>
      </c>
      <c r="GJJ4765" s="34">
        <v>0.5</v>
      </c>
      <c r="GJK4765" s="34">
        <v>1</v>
      </c>
      <c r="GJL4765" s="34">
        <v>1.5</v>
      </c>
      <c r="GJM4765" s="34">
        <v>2</v>
      </c>
      <c r="GJN4765" s="34">
        <v>2.5</v>
      </c>
      <c r="GJO4765" s="34">
        <v>3</v>
      </c>
      <c r="GJP4765" s="34">
        <v>3.5</v>
      </c>
      <c r="GJQ4765" s="34">
        <v>4</v>
      </c>
      <c r="GJR4765" s="34">
        <v>4.5</v>
      </c>
      <c r="GJS4765" s="34">
        <v>5</v>
      </c>
      <c r="GJU4765" s="913"/>
      <c r="GJV4765" s="31">
        <v>1</v>
      </c>
      <c r="GJW4765" s="34">
        <v>0</v>
      </c>
      <c r="GJX4765" s="34">
        <v>-1</v>
      </c>
      <c r="GJY4765" s="34">
        <v>-2</v>
      </c>
      <c r="GJZ4765" s="34">
        <v>-3</v>
      </c>
      <c r="GKA4765" s="34">
        <v>-4</v>
      </c>
      <c r="GKB4765" s="34">
        <v>-5</v>
      </c>
      <c r="GKC4765" s="908"/>
      <c r="GKD4765" s="909"/>
      <c r="GKE4765" s="34">
        <v>-5</v>
      </c>
      <c r="GKF4765" s="34">
        <v>-4.5</v>
      </c>
      <c r="GKG4765" s="34">
        <v>-4</v>
      </c>
      <c r="GKH4765" s="34">
        <v>-3.5</v>
      </c>
      <c r="GKI4765" s="34">
        <v>-3</v>
      </c>
      <c r="GKJ4765" s="34">
        <v>-2.5</v>
      </c>
      <c r="GKK4765" s="34">
        <v>-2</v>
      </c>
      <c r="GKL4765" s="34">
        <v>-1.5</v>
      </c>
      <c r="GKM4765" s="34">
        <v>-1</v>
      </c>
      <c r="GKN4765" s="34">
        <v>-0.5</v>
      </c>
      <c r="GKO4765" s="34">
        <v>0</v>
      </c>
      <c r="GKP4765" s="34">
        <v>0.5</v>
      </c>
      <c r="GKQ4765" s="34">
        <v>1</v>
      </c>
      <c r="GKR4765" s="34">
        <v>1.5</v>
      </c>
      <c r="GKS4765" s="34">
        <v>2</v>
      </c>
      <c r="GKT4765" s="34">
        <v>2.5</v>
      </c>
      <c r="GKU4765" s="34">
        <v>3</v>
      </c>
      <c r="GKV4765" s="34">
        <v>3.5</v>
      </c>
      <c r="GKW4765" s="34">
        <v>4</v>
      </c>
      <c r="GKX4765" s="34">
        <v>4.5</v>
      </c>
      <c r="GKY4765" s="34">
        <v>5</v>
      </c>
      <c r="GLA4765" s="913"/>
      <c r="GLB4765" s="31">
        <v>1</v>
      </c>
      <c r="GLC4765" s="34">
        <v>0</v>
      </c>
      <c r="GLD4765" s="34">
        <v>-1</v>
      </c>
      <c r="GLE4765" s="34">
        <v>-2</v>
      </c>
      <c r="GLF4765" s="34">
        <v>-3</v>
      </c>
      <c r="GLG4765" s="34">
        <v>-4</v>
      </c>
      <c r="GLH4765" s="34">
        <v>-5</v>
      </c>
      <c r="GLI4765" s="908"/>
      <c r="GLJ4765" s="909"/>
      <c r="GLK4765" s="34">
        <v>-5</v>
      </c>
      <c r="GLL4765" s="34">
        <v>-4.5</v>
      </c>
      <c r="GLM4765" s="34">
        <v>-4</v>
      </c>
      <c r="GLN4765" s="34">
        <v>-3.5</v>
      </c>
      <c r="GLO4765" s="34">
        <v>-3</v>
      </c>
      <c r="GLP4765" s="34">
        <v>-2.5</v>
      </c>
      <c r="GLQ4765" s="34">
        <v>-2</v>
      </c>
      <c r="GLR4765" s="34">
        <v>-1.5</v>
      </c>
      <c r="GLS4765" s="34">
        <v>-1</v>
      </c>
      <c r="GLT4765" s="34">
        <v>-0.5</v>
      </c>
      <c r="GLU4765" s="34">
        <v>0</v>
      </c>
      <c r="GLV4765" s="34">
        <v>0.5</v>
      </c>
      <c r="GLW4765" s="34">
        <v>1</v>
      </c>
      <c r="GLX4765" s="34">
        <v>1.5</v>
      </c>
      <c r="GLY4765" s="34">
        <v>2</v>
      </c>
      <c r="GLZ4765" s="34">
        <v>2.5</v>
      </c>
      <c r="GMA4765" s="34">
        <v>3</v>
      </c>
      <c r="GMB4765" s="34">
        <v>3.5</v>
      </c>
      <c r="GMC4765" s="34">
        <v>4</v>
      </c>
      <c r="GMD4765" s="34">
        <v>4.5</v>
      </c>
      <c r="GME4765" s="34">
        <v>5</v>
      </c>
      <c r="GMG4765" s="913"/>
      <c r="GMH4765" s="31">
        <v>1</v>
      </c>
      <c r="GMI4765" s="34">
        <v>0</v>
      </c>
      <c r="GMJ4765" s="34">
        <v>-1</v>
      </c>
      <c r="GMK4765" s="34">
        <v>-2</v>
      </c>
      <c r="GML4765" s="34">
        <v>-3</v>
      </c>
      <c r="GMM4765" s="34">
        <v>-4</v>
      </c>
      <c r="GMN4765" s="34">
        <v>-5</v>
      </c>
      <c r="GMO4765" s="908"/>
      <c r="GMP4765" s="909"/>
      <c r="GMQ4765" s="34">
        <v>-5</v>
      </c>
      <c r="GMR4765" s="34">
        <v>-4.5</v>
      </c>
      <c r="GMS4765" s="34">
        <v>-4</v>
      </c>
      <c r="GMT4765" s="34">
        <v>-3.5</v>
      </c>
      <c r="GMU4765" s="34">
        <v>-3</v>
      </c>
      <c r="GMV4765" s="34">
        <v>-2.5</v>
      </c>
      <c r="GMW4765" s="34">
        <v>-2</v>
      </c>
      <c r="GMX4765" s="34">
        <v>-1.5</v>
      </c>
      <c r="GMY4765" s="34">
        <v>-1</v>
      </c>
      <c r="GMZ4765" s="34">
        <v>-0.5</v>
      </c>
      <c r="GNA4765" s="34">
        <v>0</v>
      </c>
      <c r="GNB4765" s="34">
        <v>0.5</v>
      </c>
      <c r="GNC4765" s="34">
        <v>1</v>
      </c>
      <c r="GND4765" s="34">
        <v>1.5</v>
      </c>
      <c r="GNE4765" s="34">
        <v>2</v>
      </c>
      <c r="GNF4765" s="34">
        <v>2.5</v>
      </c>
      <c r="GNG4765" s="34">
        <v>3</v>
      </c>
      <c r="GNH4765" s="34">
        <v>3.5</v>
      </c>
      <c r="GNI4765" s="34">
        <v>4</v>
      </c>
      <c r="GNJ4765" s="34">
        <v>4.5</v>
      </c>
      <c r="GNK4765" s="34">
        <v>5</v>
      </c>
      <c r="GNM4765" s="913"/>
      <c r="GNN4765" s="31">
        <v>1</v>
      </c>
      <c r="GNO4765" s="34">
        <v>0</v>
      </c>
      <c r="GNP4765" s="34">
        <v>-1</v>
      </c>
      <c r="GNQ4765" s="34">
        <v>-2</v>
      </c>
      <c r="GNR4765" s="34">
        <v>-3</v>
      </c>
      <c r="GNS4765" s="34">
        <v>-4</v>
      </c>
      <c r="GNT4765" s="34">
        <v>-5</v>
      </c>
      <c r="GNU4765" s="908"/>
      <c r="GNV4765" s="909"/>
      <c r="GNW4765" s="34">
        <v>-5</v>
      </c>
      <c r="GNX4765" s="34">
        <v>-4.5</v>
      </c>
      <c r="GNY4765" s="34">
        <v>-4</v>
      </c>
      <c r="GNZ4765" s="34">
        <v>-3.5</v>
      </c>
      <c r="GOA4765" s="34">
        <v>-3</v>
      </c>
      <c r="GOB4765" s="34">
        <v>-2.5</v>
      </c>
      <c r="GOC4765" s="34">
        <v>-2</v>
      </c>
      <c r="GOD4765" s="34">
        <v>-1.5</v>
      </c>
      <c r="GOE4765" s="34">
        <v>-1</v>
      </c>
      <c r="GOF4765" s="34">
        <v>-0.5</v>
      </c>
      <c r="GOG4765" s="34">
        <v>0</v>
      </c>
      <c r="GOH4765" s="34">
        <v>0.5</v>
      </c>
      <c r="GOI4765" s="34">
        <v>1</v>
      </c>
      <c r="GOJ4765" s="34">
        <v>1.5</v>
      </c>
      <c r="GOK4765" s="34">
        <v>2</v>
      </c>
      <c r="GOL4765" s="34">
        <v>2.5</v>
      </c>
      <c r="GOM4765" s="34">
        <v>3</v>
      </c>
      <c r="GON4765" s="34">
        <v>3.5</v>
      </c>
      <c r="GOO4765" s="34">
        <v>4</v>
      </c>
      <c r="GOP4765" s="34">
        <v>4.5</v>
      </c>
      <c r="GOQ4765" s="34">
        <v>5</v>
      </c>
      <c r="GOS4765" s="913"/>
      <c r="GOT4765" s="31">
        <v>1</v>
      </c>
      <c r="GOU4765" s="34">
        <v>0</v>
      </c>
      <c r="GOV4765" s="34">
        <v>-1</v>
      </c>
      <c r="GOW4765" s="34">
        <v>-2</v>
      </c>
      <c r="GOX4765" s="34">
        <v>-3</v>
      </c>
      <c r="GOY4765" s="34">
        <v>-4</v>
      </c>
      <c r="GOZ4765" s="34">
        <v>-5</v>
      </c>
      <c r="GPA4765" s="908"/>
      <c r="GPB4765" s="909"/>
      <c r="GPC4765" s="34">
        <v>-5</v>
      </c>
      <c r="GPD4765" s="34">
        <v>-4.5</v>
      </c>
      <c r="GPE4765" s="34">
        <v>-4</v>
      </c>
      <c r="GPF4765" s="34">
        <v>-3.5</v>
      </c>
      <c r="GPG4765" s="34">
        <v>-3</v>
      </c>
      <c r="GPH4765" s="34">
        <v>-2.5</v>
      </c>
      <c r="GPI4765" s="34">
        <v>-2</v>
      </c>
      <c r="GPJ4765" s="34">
        <v>-1.5</v>
      </c>
      <c r="GPK4765" s="34">
        <v>-1</v>
      </c>
      <c r="GPL4765" s="34">
        <v>-0.5</v>
      </c>
      <c r="GPM4765" s="34">
        <v>0</v>
      </c>
      <c r="GPN4765" s="34">
        <v>0.5</v>
      </c>
      <c r="GPO4765" s="34">
        <v>1</v>
      </c>
      <c r="GPP4765" s="34">
        <v>1.5</v>
      </c>
      <c r="GPQ4765" s="34">
        <v>2</v>
      </c>
      <c r="GPR4765" s="34">
        <v>2.5</v>
      </c>
      <c r="GPS4765" s="34">
        <v>3</v>
      </c>
      <c r="GPT4765" s="34">
        <v>3.5</v>
      </c>
      <c r="GPU4765" s="34">
        <v>4</v>
      </c>
      <c r="GPV4765" s="34">
        <v>4.5</v>
      </c>
      <c r="GPW4765" s="34">
        <v>5</v>
      </c>
      <c r="GPY4765" s="913"/>
      <c r="GPZ4765" s="31">
        <v>1</v>
      </c>
      <c r="GQA4765" s="34">
        <v>0</v>
      </c>
      <c r="GQB4765" s="34">
        <v>-1</v>
      </c>
      <c r="GQC4765" s="34">
        <v>-2</v>
      </c>
      <c r="GQD4765" s="34">
        <v>-3</v>
      </c>
      <c r="GQE4765" s="34">
        <v>-4</v>
      </c>
      <c r="GQF4765" s="34">
        <v>-5</v>
      </c>
      <c r="GQG4765" s="908"/>
      <c r="GQH4765" s="909"/>
      <c r="GQI4765" s="34">
        <v>-5</v>
      </c>
      <c r="GQJ4765" s="34">
        <v>-4.5</v>
      </c>
      <c r="GQK4765" s="34">
        <v>-4</v>
      </c>
      <c r="GQL4765" s="34">
        <v>-3.5</v>
      </c>
      <c r="GQM4765" s="34">
        <v>-3</v>
      </c>
      <c r="GQN4765" s="34">
        <v>-2.5</v>
      </c>
      <c r="GQO4765" s="34">
        <v>-2</v>
      </c>
      <c r="GQP4765" s="34">
        <v>-1.5</v>
      </c>
      <c r="GQQ4765" s="34">
        <v>-1</v>
      </c>
      <c r="GQR4765" s="34">
        <v>-0.5</v>
      </c>
      <c r="GQS4765" s="34">
        <v>0</v>
      </c>
      <c r="GQT4765" s="34">
        <v>0.5</v>
      </c>
      <c r="GQU4765" s="34">
        <v>1</v>
      </c>
      <c r="GQV4765" s="34">
        <v>1.5</v>
      </c>
      <c r="GQW4765" s="34">
        <v>2</v>
      </c>
      <c r="GQX4765" s="34">
        <v>2.5</v>
      </c>
      <c r="GQY4765" s="34">
        <v>3</v>
      </c>
      <c r="GQZ4765" s="34">
        <v>3.5</v>
      </c>
      <c r="GRA4765" s="34">
        <v>4</v>
      </c>
      <c r="GRB4765" s="34">
        <v>4.5</v>
      </c>
      <c r="GRC4765" s="34">
        <v>5</v>
      </c>
      <c r="GRE4765" s="913"/>
      <c r="GRF4765" s="31">
        <v>1</v>
      </c>
      <c r="GRG4765" s="34">
        <v>0</v>
      </c>
      <c r="GRH4765" s="34">
        <v>-1</v>
      </c>
      <c r="GRI4765" s="34">
        <v>-2</v>
      </c>
      <c r="GRJ4765" s="34">
        <v>-3</v>
      </c>
      <c r="GRK4765" s="34">
        <v>-4</v>
      </c>
      <c r="GRL4765" s="34">
        <v>-5</v>
      </c>
      <c r="GRM4765" s="908"/>
      <c r="GRN4765" s="909"/>
      <c r="GRO4765" s="34">
        <v>-5</v>
      </c>
      <c r="GRP4765" s="34">
        <v>-4.5</v>
      </c>
      <c r="GRQ4765" s="34">
        <v>-4</v>
      </c>
      <c r="GRR4765" s="34">
        <v>-3.5</v>
      </c>
      <c r="GRS4765" s="34">
        <v>-3</v>
      </c>
      <c r="GRT4765" s="34">
        <v>-2.5</v>
      </c>
      <c r="GRU4765" s="34">
        <v>-2</v>
      </c>
      <c r="GRV4765" s="34">
        <v>-1.5</v>
      </c>
      <c r="GRW4765" s="34">
        <v>-1</v>
      </c>
      <c r="GRX4765" s="34">
        <v>-0.5</v>
      </c>
      <c r="GRY4765" s="34">
        <v>0</v>
      </c>
      <c r="GRZ4765" s="34">
        <v>0.5</v>
      </c>
      <c r="GSA4765" s="34">
        <v>1</v>
      </c>
      <c r="GSB4765" s="34">
        <v>1.5</v>
      </c>
      <c r="GSC4765" s="34">
        <v>2</v>
      </c>
      <c r="GSD4765" s="34">
        <v>2.5</v>
      </c>
      <c r="GSE4765" s="34">
        <v>3</v>
      </c>
      <c r="GSF4765" s="34">
        <v>3.5</v>
      </c>
      <c r="GSG4765" s="34">
        <v>4</v>
      </c>
      <c r="GSH4765" s="34">
        <v>4.5</v>
      </c>
      <c r="GSI4765" s="34">
        <v>5</v>
      </c>
      <c r="GSK4765" s="913"/>
      <c r="GSL4765" s="31">
        <v>1</v>
      </c>
      <c r="GSM4765" s="34">
        <v>0</v>
      </c>
      <c r="GSN4765" s="34">
        <v>-1</v>
      </c>
      <c r="GSO4765" s="34">
        <v>-2</v>
      </c>
      <c r="GSP4765" s="34">
        <v>-3</v>
      </c>
      <c r="GSQ4765" s="34">
        <v>-4</v>
      </c>
      <c r="GSR4765" s="34">
        <v>-5</v>
      </c>
      <c r="GSS4765" s="908"/>
      <c r="GST4765" s="909"/>
      <c r="GSU4765" s="34">
        <v>-5</v>
      </c>
      <c r="GSV4765" s="34">
        <v>-4.5</v>
      </c>
      <c r="GSW4765" s="34">
        <v>-4</v>
      </c>
      <c r="GSX4765" s="34">
        <v>-3.5</v>
      </c>
      <c r="GSY4765" s="34">
        <v>-3</v>
      </c>
      <c r="GSZ4765" s="34">
        <v>-2.5</v>
      </c>
      <c r="GTA4765" s="34">
        <v>-2</v>
      </c>
      <c r="GTB4765" s="34">
        <v>-1.5</v>
      </c>
      <c r="GTC4765" s="34">
        <v>-1</v>
      </c>
      <c r="GTD4765" s="34">
        <v>-0.5</v>
      </c>
      <c r="GTE4765" s="34">
        <v>0</v>
      </c>
      <c r="GTF4765" s="34">
        <v>0.5</v>
      </c>
      <c r="GTG4765" s="34">
        <v>1</v>
      </c>
      <c r="GTH4765" s="34">
        <v>1.5</v>
      </c>
      <c r="GTI4765" s="34">
        <v>2</v>
      </c>
      <c r="GTJ4765" s="34">
        <v>2.5</v>
      </c>
      <c r="GTK4765" s="34">
        <v>3</v>
      </c>
      <c r="GTL4765" s="34">
        <v>3.5</v>
      </c>
      <c r="GTM4765" s="34">
        <v>4</v>
      </c>
      <c r="GTN4765" s="34">
        <v>4.5</v>
      </c>
      <c r="GTO4765" s="34">
        <v>5</v>
      </c>
      <c r="GTQ4765" s="913"/>
      <c r="GTR4765" s="31">
        <v>1</v>
      </c>
      <c r="GTS4765" s="34">
        <v>0</v>
      </c>
      <c r="GTT4765" s="34">
        <v>-1</v>
      </c>
      <c r="GTU4765" s="34">
        <v>-2</v>
      </c>
      <c r="GTV4765" s="34">
        <v>-3</v>
      </c>
      <c r="GTW4765" s="34">
        <v>-4</v>
      </c>
      <c r="GTX4765" s="34">
        <v>-5</v>
      </c>
      <c r="GTY4765" s="908"/>
      <c r="GTZ4765" s="909"/>
      <c r="GUA4765" s="34">
        <v>-5</v>
      </c>
      <c r="GUB4765" s="34">
        <v>-4.5</v>
      </c>
      <c r="GUC4765" s="34">
        <v>-4</v>
      </c>
      <c r="GUD4765" s="34">
        <v>-3.5</v>
      </c>
      <c r="GUE4765" s="34">
        <v>-3</v>
      </c>
      <c r="GUF4765" s="34">
        <v>-2.5</v>
      </c>
      <c r="GUG4765" s="34">
        <v>-2</v>
      </c>
      <c r="GUH4765" s="34">
        <v>-1.5</v>
      </c>
      <c r="GUI4765" s="34">
        <v>-1</v>
      </c>
      <c r="GUJ4765" s="34">
        <v>-0.5</v>
      </c>
      <c r="GUK4765" s="34">
        <v>0</v>
      </c>
      <c r="GUL4765" s="34">
        <v>0.5</v>
      </c>
      <c r="GUM4765" s="34">
        <v>1</v>
      </c>
      <c r="GUN4765" s="34">
        <v>1.5</v>
      </c>
      <c r="GUO4765" s="34">
        <v>2</v>
      </c>
      <c r="GUP4765" s="34">
        <v>2.5</v>
      </c>
      <c r="GUQ4765" s="34">
        <v>3</v>
      </c>
      <c r="GUR4765" s="34">
        <v>3.5</v>
      </c>
      <c r="GUS4765" s="34">
        <v>4</v>
      </c>
      <c r="GUT4765" s="34">
        <v>4.5</v>
      </c>
      <c r="GUU4765" s="34">
        <v>5</v>
      </c>
      <c r="GUW4765" s="913"/>
      <c r="GUX4765" s="31">
        <v>1</v>
      </c>
      <c r="GUY4765" s="34">
        <v>0</v>
      </c>
      <c r="GUZ4765" s="34">
        <v>-1</v>
      </c>
      <c r="GVA4765" s="34">
        <v>-2</v>
      </c>
      <c r="GVB4765" s="34">
        <v>-3</v>
      </c>
      <c r="GVC4765" s="34">
        <v>-4</v>
      </c>
      <c r="GVD4765" s="34">
        <v>-5</v>
      </c>
      <c r="GVE4765" s="908"/>
      <c r="GVF4765" s="909"/>
      <c r="GVG4765" s="34">
        <v>-5</v>
      </c>
      <c r="GVH4765" s="34">
        <v>-4.5</v>
      </c>
      <c r="GVI4765" s="34">
        <v>-4</v>
      </c>
      <c r="GVJ4765" s="34">
        <v>-3.5</v>
      </c>
      <c r="GVK4765" s="34">
        <v>-3</v>
      </c>
      <c r="GVL4765" s="34">
        <v>-2.5</v>
      </c>
      <c r="GVM4765" s="34">
        <v>-2</v>
      </c>
      <c r="GVN4765" s="34">
        <v>-1.5</v>
      </c>
      <c r="GVO4765" s="34">
        <v>-1</v>
      </c>
      <c r="GVP4765" s="34">
        <v>-0.5</v>
      </c>
      <c r="GVQ4765" s="34">
        <v>0</v>
      </c>
      <c r="GVR4765" s="34">
        <v>0.5</v>
      </c>
      <c r="GVS4765" s="34">
        <v>1</v>
      </c>
      <c r="GVT4765" s="34">
        <v>1.5</v>
      </c>
      <c r="GVU4765" s="34">
        <v>2</v>
      </c>
      <c r="GVV4765" s="34">
        <v>2.5</v>
      </c>
      <c r="GVW4765" s="34">
        <v>3</v>
      </c>
      <c r="GVX4765" s="34">
        <v>3.5</v>
      </c>
      <c r="GVY4765" s="34">
        <v>4</v>
      </c>
      <c r="GVZ4765" s="34">
        <v>4.5</v>
      </c>
      <c r="GWA4765" s="34">
        <v>5</v>
      </c>
      <c r="GWC4765" s="913"/>
      <c r="GWD4765" s="31">
        <v>1</v>
      </c>
      <c r="GWE4765" s="34">
        <v>0</v>
      </c>
      <c r="GWF4765" s="34">
        <v>-1</v>
      </c>
      <c r="GWG4765" s="34">
        <v>-2</v>
      </c>
      <c r="GWH4765" s="34">
        <v>-3</v>
      </c>
      <c r="GWI4765" s="34">
        <v>-4</v>
      </c>
      <c r="GWJ4765" s="34">
        <v>-5</v>
      </c>
      <c r="GWK4765" s="908"/>
      <c r="GWL4765" s="909"/>
      <c r="GWM4765" s="34">
        <v>-5</v>
      </c>
      <c r="GWN4765" s="34">
        <v>-4.5</v>
      </c>
      <c r="GWO4765" s="34">
        <v>-4</v>
      </c>
      <c r="GWP4765" s="34">
        <v>-3.5</v>
      </c>
      <c r="GWQ4765" s="34">
        <v>-3</v>
      </c>
      <c r="GWR4765" s="34">
        <v>-2.5</v>
      </c>
      <c r="GWS4765" s="34">
        <v>-2</v>
      </c>
      <c r="GWT4765" s="34">
        <v>-1.5</v>
      </c>
      <c r="GWU4765" s="34">
        <v>-1</v>
      </c>
      <c r="GWV4765" s="34">
        <v>-0.5</v>
      </c>
      <c r="GWW4765" s="34">
        <v>0</v>
      </c>
      <c r="GWX4765" s="34">
        <v>0.5</v>
      </c>
      <c r="GWY4765" s="34">
        <v>1</v>
      </c>
      <c r="GWZ4765" s="34">
        <v>1.5</v>
      </c>
      <c r="GXA4765" s="34">
        <v>2</v>
      </c>
      <c r="GXB4765" s="34">
        <v>2.5</v>
      </c>
      <c r="GXC4765" s="34">
        <v>3</v>
      </c>
      <c r="GXD4765" s="34">
        <v>3.5</v>
      </c>
      <c r="GXE4765" s="34">
        <v>4</v>
      </c>
      <c r="GXF4765" s="34">
        <v>4.5</v>
      </c>
      <c r="GXG4765" s="34">
        <v>5</v>
      </c>
      <c r="GXI4765" s="913"/>
      <c r="GXJ4765" s="31">
        <v>1</v>
      </c>
      <c r="GXK4765" s="34">
        <v>0</v>
      </c>
      <c r="GXL4765" s="34">
        <v>-1</v>
      </c>
      <c r="GXM4765" s="34">
        <v>-2</v>
      </c>
      <c r="GXN4765" s="34">
        <v>-3</v>
      </c>
      <c r="GXO4765" s="34">
        <v>-4</v>
      </c>
      <c r="GXP4765" s="34">
        <v>-5</v>
      </c>
      <c r="GXQ4765" s="908"/>
      <c r="GXR4765" s="909"/>
      <c r="GXS4765" s="34">
        <v>-5</v>
      </c>
      <c r="GXT4765" s="34">
        <v>-4.5</v>
      </c>
      <c r="GXU4765" s="34">
        <v>-4</v>
      </c>
      <c r="GXV4765" s="34">
        <v>-3.5</v>
      </c>
      <c r="GXW4765" s="34">
        <v>-3</v>
      </c>
      <c r="GXX4765" s="34">
        <v>-2.5</v>
      </c>
      <c r="GXY4765" s="34">
        <v>-2</v>
      </c>
      <c r="GXZ4765" s="34">
        <v>-1.5</v>
      </c>
      <c r="GYA4765" s="34">
        <v>-1</v>
      </c>
      <c r="GYB4765" s="34">
        <v>-0.5</v>
      </c>
      <c r="GYC4765" s="34">
        <v>0</v>
      </c>
      <c r="GYD4765" s="34">
        <v>0.5</v>
      </c>
      <c r="GYE4765" s="34">
        <v>1</v>
      </c>
      <c r="GYF4765" s="34">
        <v>1.5</v>
      </c>
      <c r="GYG4765" s="34">
        <v>2</v>
      </c>
      <c r="GYH4765" s="34">
        <v>2.5</v>
      </c>
      <c r="GYI4765" s="34">
        <v>3</v>
      </c>
      <c r="GYJ4765" s="34">
        <v>3.5</v>
      </c>
      <c r="GYK4765" s="34">
        <v>4</v>
      </c>
      <c r="GYL4765" s="34">
        <v>4.5</v>
      </c>
      <c r="GYM4765" s="34">
        <v>5</v>
      </c>
      <c r="GYO4765" s="913"/>
      <c r="GYP4765" s="31">
        <v>1</v>
      </c>
      <c r="GYQ4765" s="34">
        <v>0</v>
      </c>
      <c r="GYR4765" s="34">
        <v>-1</v>
      </c>
      <c r="GYS4765" s="34">
        <v>-2</v>
      </c>
      <c r="GYT4765" s="34">
        <v>-3</v>
      </c>
      <c r="GYU4765" s="34">
        <v>-4</v>
      </c>
      <c r="GYV4765" s="34">
        <v>-5</v>
      </c>
      <c r="GYW4765" s="908"/>
      <c r="GYX4765" s="909"/>
      <c r="GYY4765" s="34">
        <v>-5</v>
      </c>
      <c r="GYZ4765" s="34">
        <v>-4.5</v>
      </c>
      <c r="GZA4765" s="34">
        <v>-4</v>
      </c>
      <c r="GZB4765" s="34">
        <v>-3.5</v>
      </c>
      <c r="GZC4765" s="34">
        <v>-3</v>
      </c>
      <c r="GZD4765" s="34">
        <v>-2.5</v>
      </c>
      <c r="GZE4765" s="34">
        <v>-2</v>
      </c>
      <c r="GZF4765" s="34">
        <v>-1.5</v>
      </c>
      <c r="GZG4765" s="34">
        <v>-1</v>
      </c>
      <c r="GZH4765" s="34">
        <v>-0.5</v>
      </c>
      <c r="GZI4765" s="34">
        <v>0</v>
      </c>
      <c r="GZJ4765" s="34">
        <v>0.5</v>
      </c>
      <c r="GZK4765" s="34">
        <v>1</v>
      </c>
      <c r="GZL4765" s="34">
        <v>1.5</v>
      </c>
      <c r="GZM4765" s="34">
        <v>2</v>
      </c>
      <c r="GZN4765" s="34">
        <v>2.5</v>
      </c>
      <c r="GZO4765" s="34">
        <v>3</v>
      </c>
      <c r="GZP4765" s="34">
        <v>3.5</v>
      </c>
      <c r="GZQ4765" s="34">
        <v>4</v>
      </c>
      <c r="GZR4765" s="34">
        <v>4.5</v>
      </c>
      <c r="GZS4765" s="34">
        <v>5</v>
      </c>
      <c r="GZU4765" s="913"/>
      <c r="GZV4765" s="31">
        <v>1</v>
      </c>
      <c r="GZW4765" s="34">
        <v>0</v>
      </c>
      <c r="GZX4765" s="34">
        <v>-1</v>
      </c>
      <c r="GZY4765" s="34">
        <v>-2</v>
      </c>
      <c r="GZZ4765" s="34">
        <v>-3</v>
      </c>
      <c r="HAA4765" s="34">
        <v>-4</v>
      </c>
      <c r="HAB4765" s="34">
        <v>-5</v>
      </c>
      <c r="HAC4765" s="908"/>
      <c r="HAD4765" s="909"/>
      <c r="HAE4765" s="34">
        <v>-5</v>
      </c>
      <c r="HAF4765" s="34">
        <v>-4.5</v>
      </c>
      <c r="HAG4765" s="34">
        <v>-4</v>
      </c>
      <c r="HAH4765" s="34">
        <v>-3.5</v>
      </c>
      <c r="HAI4765" s="34">
        <v>-3</v>
      </c>
      <c r="HAJ4765" s="34">
        <v>-2.5</v>
      </c>
      <c r="HAK4765" s="34">
        <v>-2</v>
      </c>
      <c r="HAL4765" s="34">
        <v>-1.5</v>
      </c>
      <c r="HAM4765" s="34">
        <v>-1</v>
      </c>
      <c r="HAN4765" s="34">
        <v>-0.5</v>
      </c>
      <c r="HAO4765" s="34">
        <v>0</v>
      </c>
      <c r="HAP4765" s="34">
        <v>0.5</v>
      </c>
      <c r="HAQ4765" s="34">
        <v>1</v>
      </c>
      <c r="HAR4765" s="34">
        <v>1.5</v>
      </c>
      <c r="HAS4765" s="34">
        <v>2</v>
      </c>
      <c r="HAT4765" s="34">
        <v>2.5</v>
      </c>
      <c r="HAU4765" s="34">
        <v>3</v>
      </c>
      <c r="HAV4765" s="34">
        <v>3.5</v>
      </c>
      <c r="HAW4765" s="34">
        <v>4</v>
      </c>
      <c r="HAX4765" s="34">
        <v>4.5</v>
      </c>
      <c r="HAY4765" s="34">
        <v>5</v>
      </c>
      <c r="HBA4765" s="913"/>
      <c r="HBB4765" s="31">
        <v>1</v>
      </c>
      <c r="HBC4765" s="34">
        <v>0</v>
      </c>
      <c r="HBD4765" s="34">
        <v>-1</v>
      </c>
      <c r="HBE4765" s="34">
        <v>-2</v>
      </c>
      <c r="HBF4765" s="34">
        <v>-3</v>
      </c>
      <c r="HBG4765" s="34">
        <v>-4</v>
      </c>
      <c r="HBH4765" s="34">
        <v>-5</v>
      </c>
      <c r="HBI4765" s="908"/>
      <c r="HBJ4765" s="909"/>
      <c r="HBK4765" s="34">
        <v>-5</v>
      </c>
      <c r="HBL4765" s="34">
        <v>-4.5</v>
      </c>
      <c r="HBM4765" s="34">
        <v>-4</v>
      </c>
      <c r="HBN4765" s="34">
        <v>-3.5</v>
      </c>
      <c r="HBO4765" s="34">
        <v>-3</v>
      </c>
      <c r="HBP4765" s="34">
        <v>-2.5</v>
      </c>
      <c r="HBQ4765" s="34">
        <v>-2</v>
      </c>
      <c r="HBR4765" s="34">
        <v>-1.5</v>
      </c>
      <c r="HBS4765" s="34">
        <v>-1</v>
      </c>
      <c r="HBT4765" s="34">
        <v>-0.5</v>
      </c>
      <c r="HBU4765" s="34">
        <v>0</v>
      </c>
      <c r="HBV4765" s="34">
        <v>0.5</v>
      </c>
      <c r="HBW4765" s="34">
        <v>1</v>
      </c>
      <c r="HBX4765" s="34">
        <v>1.5</v>
      </c>
      <c r="HBY4765" s="34">
        <v>2</v>
      </c>
      <c r="HBZ4765" s="34">
        <v>2.5</v>
      </c>
      <c r="HCA4765" s="34">
        <v>3</v>
      </c>
      <c r="HCB4765" s="34">
        <v>3.5</v>
      </c>
      <c r="HCC4765" s="34">
        <v>4</v>
      </c>
      <c r="HCD4765" s="34">
        <v>4.5</v>
      </c>
      <c r="HCE4765" s="34">
        <v>5</v>
      </c>
      <c r="HCG4765" s="913"/>
      <c r="HCH4765" s="31">
        <v>1</v>
      </c>
      <c r="HCI4765" s="34">
        <v>0</v>
      </c>
      <c r="HCJ4765" s="34">
        <v>-1</v>
      </c>
      <c r="HCK4765" s="34">
        <v>-2</v>
      </c>
      <c r="HCL4765" s="34">
        <v>-3</v>
      </c>
      <c r="HCM4765" s="34">
        <v>-4</v>
      </c>
      <c r="HCN4765" s="34">
        <v>-5</v>
      </c>
      <c r="HCO4765" s="908"/>
      <c r="HCP4765" s="909"/>
      <c r="HCQ4765" s="34">
        <v>-5</v>
      </c>
      <c r="HCR4765" s="34">
        <v>-4.5</v>
      </c>
      <c r="HCS4765" s="34">
        <v>-4</v>
      </c>
      <c r="HCT4765" s="34">
        <v>-3.5</v>
      </c>
      <c r="HCU4765" s="34">
        <v>-3</v>
      </c>
      <c r="HCV4765" s="34">
        <v>-2.5</v>
      </c>
      <c r="HCW4765" s="34">
        <v>-2</v>
      </c>
      <c r="HCX4765" s="34">
        <v>-1.5</v>
      </c>
      <c r="HCY4765" s="34">
        <v>-1</v>
      </c>
      <c r="HCZ4765" s="34">
        <v>-0.5</v>
      </c>
      <c r="HDA4765" s="34">
        <v>0</v>
      </c>
      <c r="HDB4765" s="34">
        <v>0.5</v>
      </c>
      <c r="HDC4765" s="34">
        <v>1</v>
      </c>
      <c r="HDD4765" s="34">
        <v>1.5</v>
      </c>
      <c r="HDE4765" s="34">
        <v>2</v>
      </c>
      <c r="HDF4765" s="34">
        <v>2.5</v>
      </c>
      <c r="HDG4765" s="34">
        <v>3</v>
      </c>
      <c r="HDH4765" s="34">
        <v>3.5</v>
      </c>
      <c r="HDI4765" s="34">
        <v>4</v>
      </c>
      <c r="HDJ4765" s="34">
        <v>4.5</v>
      </c>
      <c r="HDK4765" s="34">
        <v>5</v>
      </c>
      <c r="HDM4765" s="913"/>
      <c r="HDN4765" s="31">
        <v>1</v>
      </c>
      <c r="HDO4765" s="34">
        <v>0</v>
      </c>
      <c r="HDP4765" s="34">
        <v>-1</v>
      </c>
      <c r="HDQ4765" s="34">
        <v>-2</v>
      </c>
      <c r="HDR4765" s="34">
        <v>-3</v>
      </c>
      <c r="HDS4765" s="34">
        <v>-4</v>
      </c>
      <c r="HDT4765" s="34">
        <v>-5</v>
      </c>
      <c r="HDU4765" s="908"/>
      <c r="HDV4765" s="909"/>
      <c r="HDW4765" s="34">
        <v>-5</v>
      </c>
      <c r="HDX4765" s="34">
        <v>-4.5</v>
      </c>
      <c r="HDY4765" s="34">
        <v>-4</v>
      </c>
      <c r="HDZ4765" s="34">
        <v>-3.5</v>
      </c>
      <c r="HEA4765" s="34">
        <v>-3</v>
      </c>
      <c r="HEB4765" s="34">
        <v>-2.5</v>
      </c>
      <c r="HEC4765" s="34">
        <v>-2</v>
      </c>
      <c r="HED4765" s="34">
        <v>-1.5</v>
      </c>
      <c r="HEE4765" s="34">
        <v>-1</v>
      </c>
      <c r="HEF4765" s="34">
        <v>-0.5</v>
      </c>
      <c r="HEG4765" s="34">
        <v>0</v>
      </c>
      <c r="HEH4765" s="34">
        <v>0.5</v>
      </c>
      <c r="HEI4765" s="34">
        <v>1</v>
      </c>
      <c r="HEJ4765" s="34">
        <v>1.5</v>
      </c>
      <c r="HEK4765" s="34">
        <v>2</v>
      </c>
      <c r="HEL4765" s="34">
        <v>2.5</v>
      </c>
      <c r="HEM4765" s="34">
        <v>3</v>
      </c>
      <c r="HEN4765" s="34">
        <v>3.5</v>
      </c>
      <c r="HEO4765" s="34">
        <v>4</v>
      </c>
      <c r="HEP4765" s="34">
        <v>4.5</v>
      </c>
      <c r="HEQ4765" s="34">
        <v>5</v>
      </c>
      <c r="HES4765" s="913"/>
      <c r="HET4765" s="31">
        <v>1</v>
      </c>
      <c r="HEU4765" s="34">
        <v>0</v>
      </c>
      <c r="HEV4765" s="34">
        <v>-1</v>
      </c>
      <c r="HEW4765" s="34">
        <v>-2</v>
      </c>
      <c r="HEX4765" s="34">
        <v>-3</v>
      </c>
      <c r="HEY4765" s="34">
        <v>-4</v>
      </c>
      <c r="HEZ4765" s="34">
        <v>-5</v>
      </c>
      <c r="HFA4765" s="908"/>
      <c r="HFB4765" s="909"/>
      <c r="HFC4765" s="34">
        <v>-5</v>
      </c>
      <c r="HFD4765" s="34">
        <v>-4.5</v>
      </c>
      <c r="HFE4765" s="34">
        <v>-4</v>
      </c>
      <c r="HFF4765" s="34">
        <v>-3.5</v>
      </c>
      <c r="HFG4765" s="34">
        <v>-3</v>
      </c>
      <c r="HFH4765" s="34">
        <v>-2.5</v>
      </c>
      <c r="HFI4765" s="34">
        <v>-2</v>
      </c>
      <c r="HFJ4765" s="34">
        <v>-1.5</v>
      </c>
      <c r="HFK4765" s="34">
        <v>-1</v>
      </c>
      <c r="HFL4765" s="34">
        <v>-0.5</v>
      </c>
      <c r="HFM4765" s="34">
        <v>0</v>
      </c>
      <c r="HFN4765" s="34">
        <v>0.5</v>
      </c>
      <c r="HFO4765" s="34">
        <v>1</v>
      </c>
      <c r="HFP4765" s="34">
        <v>1.5</v>
      </c>
      <c r="HFQ4765" s="34">
        <v>2</v>
      </c>
      <c r="HFR4765" s="34">
        <v>2.5</v>
      </c>
      <c r="HFS4765" s="34">
        <v>3</v>
      </c>
      <c r="HFT4765" s="34">
        <v>3.5</v>
      </c>
      <c r="HFU4765" s="34">
        <v>4</v>
      </c>
      <c r="HFV4765" s="34">
        <v>4.5</v>
      </c>
      <c r="HFW4765" s="34">
        <v>5</v>
      </c>
      <c r="HFY4765" s="913"/>
      <c r="HFZ4765" s="31">
        <v>1</v>
      </c>
      <c r="HGA4765" s="34">
        <v>0</v>
      </c>
      <c r="HGB4765" s="34">
        <v>-1</v>
      </c>
      <c r="HGC4765" s="34">
        <v>-2</v>
      </c>
      <c r="HGD4765" s="34">
        <v>-3</v>
      </c>
      <c r="HGE4765" s="34">
        <v>-4</v>
      </c>
      <c r="HGF4765" s="34">
        <v>-5</v>
      </c>
      <c r="HGG4765" s="908"/>
      <c r="HGH4765" s="909"/>
      <c r="HGI4765" s="34">
        <v>-5</v>
      </c>
      <c r="HGJ4765" s="34">
        <v>-4.5</v>
      </c>
      <c r="HGK4765" s="34">
        <v>-4</v>
      </c>
      <c r="HGL4765" s="34">
        <v>-3.5</v>
      </c>
      <c r="HGM4765" s="34">
        <v>-3</v>
      </c>
      <c r="HGN4765" s="34">
        <v>-2.5</v>
      </c>
      <c r="HGO4765" s="34">
        <v>-2</v>
      </c>
      <c r="HGP4765" s="34">
        <v>-1.5</v>
      </c>
      <c r="HGQ4765" s="34">
        <v>-1</v>
      </c>
      <c r="HGR4765" s="34">
        <v>-0.5</v>
      </c>
      <c r="HGS4765" s="34">
        <v>0</v>
      </c>
      <c r="HGT4765" s="34">
        <v>0.5</v>
      </c>
      <c r="HGU4765" s="34">
        <v>1</v>
      </c>
      <c r="HGV4765" s="34">
        <v>1.5</v>
      </c>
      <c r="HGW4765" s="34">
        <v>2</v>
      </c>
      <c r="HGX4765" s="34">
        <v>2.5</v>
      </c>
      <c r="HGY4765" s="34">
        <v>3</v>
      </c>
      <c r="HGZ4765" s="34">
        <v>3.5</v>
      </c>
      <c r="HHA4765" s="34">
        <v>4</v>
      </c>
      <c r="HHB4765" s="34">
        <v>4.5</v>
      </c>
      <c r="HHC4765" s="34">
        <v>5</v>
      </c>
      <c r="HHE4765" s="913"/>
      <c r="HHF4765" s="31">
        <v>1</v>
      </c>
      <c r="HHG4765" s="34">
        <v>0</v>
      </c>
      <c r="HHH4765" s="34">
        <v>-1</v>
      </c>
      <c r="HHI4765" s="34">
        <v>-2</v>
      </c>
      <c r="HHJ4765" s="34">
        <v>-3</v>
      </c>
      <c r="HHK4765" s="34">
        <v>-4</v>
      </c>
      <c r="HHL4765" s="34">
        <v>-5</v>
      </c>
      <c r="HHM4765" s="908"/>
      <c r="HHN4765" s="909"/>
      <c r="HHO4765" s="34">
        <v>-5</v>
      </c>
      <c r="HHP4765" s="34">
        <v>-4.5</v>
      </c>
      <c r="HHQ4765" s="34">
        <v>-4</v>
      </c>
      <c r="HHR4765" s="34">
        <v>-3.5</v>
      </c>
      <c r="HHS4765" s="34">
        <v>-3</v>
      </c>
      <c r="HHT4765" s="34">
        <v>-2.5</v>
      </c>
      <c r="HHU4765" s="34">
        <v>-2</v>
      </c>
      <c r="HHV4765" s="34">
        <v>-1.5</v>
      </c>
      <c r="HHW4765" s="34">
        <v>-1</v>
      </c>
      <c r="HHX4765" s="34">
        <v>-0.5</v>
      </c>
      <c r="HHY4765" s="34">
        <v>0</v>
      </c>
      <c r="HHZ4765" s="34">
        <v>0.5</v>
      </c>
      <c r="HIA4765" s="34">
        <v>1</v>
      </c>
      <c r="HIB4765" s="34">
        <v>1.5</v>
      </c>
      <c r="HIC4765" s="34">
        <v>2</v>
      </c>
      <c r="HID4765" s="34">
        <v>2.5</v>
      </c>
      <c r="HIE4765" s="34">
        <v>3</v>
      </c>
      <c r="HIF4765" s="34">
        <v>3.5</v>
      </c>
      <c r="HIG4765" s="34">
        <v>4</v>
      </c>
      <c r="HIH4765" s="34">
        <v>4.5</v>
      </c>
      <c r="HII4765" s="34">
        <v>5</v>
      </c>
      <c r="HIK4765" s="913"/>
      <c r="HIL4765" s="31">
        <v>1</v>
      </c>
      <c r="HIM4765" s="34">
        <v>0</v>
      </c>
      <c r="HIN4765" s="34">
        <v>-1</v>
      </c>
      <c r="HIO4765" s="34">
        <v>-2</v>
      </c>
      <c r="HIP4765" s="34">
        <v>-3</v>
      </c>
      <c r="HIQ4765" s="34">
        <v>-4</v>
      </c>
      <c r="HIR4765" s="34">
        <v>-5</v>
      </c>
      <c r="HIS4765" s="908"/>
      <c r="HIT4765" s="909"/>
      <c r="HIU4765" s="34">
        <v>-5</v>
      </c>
      <c r="HIV4765" s="34">
        <v>-4.5</v>
      </c>
      <c r="HIW4765" s="34">
        <v>-4</v>
      </c>
      <c r="HIX4765" s="34">
        <v>-3.5</v>
      </c>
      <c r="HIY4765" s="34">
        <v>-3</v>
      </c>
      <c r="HIZ4765" s="34">
        <v>-2.5</v>
      </c>
      <c r="HJA4765" s="34">
        <v>-2</v>
      </c>
      <c r="HJB4765" s="34">
        <v>-1.5</v>
      </c>
      <c r="HJC4765" s="34">
        <v>-1</v>
      </c>
      <c r="HJD4765" s="34">
        <v>-0.5</v>
      </c>
      <c r="HJE4765" s="34">
        <v>0</v>
      </c>
      <c r="HJF4765" s="34">
        <v>0.5</v>
      </c>
      <c r="HJG4765" s="34">
        <v>1</v>
      </c>
      <c r="HJH4765" s="34">
        <v>1.5</v>
      </c>
      <c r="HJI4765" s="34">
        <v>2</v>
      </c>
      <c r="HJJ4765" s="34">
        <v>2.5</v>
      </c>
      <c r="HJK4765" s="34">
        <v>3</v>
      </c>
      <c r="HJL4765" s="34">
        <v>3.5</v>
      </c>
      <c r="HJM4765" s="34">
        <v>4</v>
      </c>
      <c r="HJN4765" s="34">
        <v>4.5</v>
      </c>
      <c r="HJO4765" s="34">
        <v>5</v>
      </c>
      <c r="HJQ4765" s="913"/>
      <c r="HJR4765" s="31">
        <v>1</v>
      </c>
      <c r="HJS4765" s="34">
        <v>0</v>
      </c>
      <c r="HJT4765" s="34">
        <v>-1</v>
      </c>
      <c r="HJU4765" s="34">
        <v>-2</v>
      </c>
      <c r="HJV4765" s="34">
        <v>-3</v>
      </c>
      <c r="HJW4765" s="34">
        <v>-4</v>
      </c>
      <c r="HJX4765" s="34">
        <v>-5</v>
      </c>
      <c r="HJY4765" s="908"/>
      <c r="HJZ4765" s="909"/>
      <c r="HKA4765" s="34">
        <v>-5</v>
      </c>
      <c r="HKB4765" s="34">
        <v>-4.5</v>
      </c>
      <c r="HKC4765" s="34">
        <v>-4</v>
      </c>
      <c r="HKD4765" s="34">
        <v>-3.5</v>
      </c>
      <c r="HKE4765" s="34">
        <v>-3</v>
      </c>
      <c r="HKF4765" s="34">
        <v>-2.5</v>
      </c>
      <c r="HKG4765" s="34">
        <v>-2</v>
      </c>
      <c r="HKH4765" s="34">
        <v>-1.5</v>
      </c>
      <c r="HKI4765" s="34">
        <v>-1</v>
      </c>
      <c r="HKJ4765" s="34">
        <v>-0.5</v>
      </c>
      <c r="HKK4765" s="34">
        <v>0</v>
      </c>
      <c r="HKL4765" s="34">
        <v>0.5</v>
      </c>
      <c r="HKM4765" s="34">
        <v>1</v>
      </c>
      <c r="HKN4765" s="34">
        <v>1.5</v>
      </c>
      <c r="HKO4765" s="34">
        <v>2</v>
      </c>
      <c r="HKP4765" s="34">
        <v>2.5</v>
      </c>
      <c r="HKQ4765" s="34">
        <v>3</v>
      </c>
      <c r="HKR4765" s="34">
        <v>3.5</v>
      </c>
      <c r="HKS4765" s="34">
        <v>4</v>
      </c>
      <c r="HKT4765" s="34">
        <v>4.5</v>
      </c>
      <c r="HKU4765" s="34">
        <v>5</v>
      </c>
      <c r="HKW4765" s="913"/>
      <c r="HKX4765" s="31">
        <v>1</v>
      </c>
      <c r="HKY4765" s="34">
        <v>0</v>
      </c>
      <c r="HKZ4765" s="34">
        <v>-1</v>
      </c>
      <c r="HLA4765" s="34">
        <v>-2</v>
      </c>
      <c r="HLB4765" s="34">
        <v>-3</v>
      </c>
      <c r="HLC4765" s="34">
        <v>-4</v>
      </c>
      <c r="HLD4765" s="34">
        <v>-5</v>
      </c>
      <c r="HLE4765" s="908"/>
      <c r="HLF4765" s="909"/>
      <c r="HLG4765" s="34">
        <v>-5</v>
      </c>
      <c r="HLH4765" s="34">
        <v>-4.5</v>
      </c>
      <c r="HLI4765" s="34">
        <v>-4</v>
      </c>
      <c r="HLJ4765" s="34">
        <v>-3.5</v>
      </c>
      <c r="HLK4765" s="34">
        <v>-3</v>
      </c>
      <c r="HLL4765" s="34">
        <v>-2.5</v>
      </c>
      <c r="HLM4765" s="34">
        <v>-2</v>
      </c>
      <c r="HLN4765" s="34">
        <v>-1.5</v>
      </c>
      <c r="HLO4765" s="34">
        <v>-1</v>
      </c>
      <c r="HLP4765" s="34">
        <v>-0.5</v>
      </c>
      <c r="HLQ4765" s="34">
        <v>0</v>
      </c>
      <c r="HLR4765" s="34">
        <v>0.5</v>
      </c>
      <c r="HLS4765" s="34">
        <v>1</v>
      </c>
      <c r="HLT4765" s="34">
        <v>1.5</v>
      </c>
      <c r="HLU4765" s="34">
        <v>2</v>
      </c>
      <c r="HLV4765" s="34">
        <v>2.5</v>
      </c>
      <c r="HLW4765" s="34">
        <v>3</v>
      </c>
      <c r="HLX4765" s="34">
        <v>3.5</v>
      </c>
      <c r="HLY4765" s="34">
        <v>4</v>
      </c>
      <c r="HLZ4765" s="34">
        <v>4.5</v>
      </c>
      <c r="HMA4765" s="34">
        <v>5</v>
      </c>
      <c r="HMC4765" s="913"/>
      <c r="HMD4765" s="31">
        <v>1</v>
      </c>
      <c r="HME4765" s="34">
        <v>0</v>
      </c>
      <c r="HMF4765" s="34">
        <v>-1</v>
      </c>
      <c r="HMG4765" s="34">
        <v>-2</v>
      </c>
      <c r="HMH4765" s="34">
        <v>-3</v>
      </c>
      <c r="HMI4765" s="34">
        <v>-4</v>
      </c>
      <c r="HMJ4765" s="34">
        <v>-5</v>
      </c>
      <c r="HMK4765" s="908"/>
      <c r="HML4765" s="909"/>
      <c r="HMM4765" s="34">
        <v>-5</v>
      </c>
      <c r="HMN4765" s="34">
        <v>-4.5</v>
      </c>
      <c r="HMO4765" s="34">
        <v>-4</v>
      </c>
      <c r="HMP4765" s="34">
        <v>-3.5</v>
      </c>
      <c r="HMQ4765" s="34">
        <v>-3</v>
      </c>
      <c r="HMR4765" s="34">
        <v>-2.5</v>
      </c>
      <c r="HMS4765" s="34">
        <v>-2</v>
      </c>
      <c r="HMT4765" s="34">
        <v>-1.5</v>
      </c>
      <c r="HMU4765" s="34">
        <v>-1</v>
      </c>
      <c r="HMV4765" s="34">
        <v>-0.5</v>
      </c>
      <c r="HMW4765" s="34">
        <v>0</v>
      </c>
      <c r="HMX4765" s="34">
        <v>0.5</v>
      </c>
      <c r="HMY4765" s="34">
        <v>1</v>
      </c>
      <c r="HMZ4765" s="34">
        <v>1.5</v>
      </c>
      <c r="HNA4765" s="34">
        <v>2</v>
      </c>
      <c r="HNB4765" s="34">
        <v>2.5</v>
      </c>
      <c r="HNC4765" s="34">
        <v>3</v>
      </c>
      <c r="HND4765" s="34">
        <v>3.5</v>
      </c>
      <c r="HNE4765" s="34">
        <v>4</v>
      </c>
      <c r="HNF4765" s="34">
        <v>4.5</v>
      </c>
      <c r="HNG4765" s="34">
        <v>5</v>
      </c>
      <c r="HNI4765" s="913"/>
      <c r="HNJ4765" s="31">
        <v>1</v>
      </c>
      <c r="HNK4765" s="34">
        <v>0</v>
      </c>
      <c r="HNL4765" s="34">
        <v>-1</v>
      </c>
      <c r="HNM4765" s="34">
        <v>-2</v>
      </c>
      <c r="HNN4765" s="34">
        <v>-3</v>
      </c>
      <c r="HNO4765" s="34">
        <v>-4</v>
      </c>
      <c r="HNP4765" s="34">
        <v>-5</v>
      </c>
      <c r="HNQ4765" s="908"/>
      <c r="HNR4765" s="909"/>
      <c r="HNS4765" s="34">
        <v>-5</v>
      </c>
      <c r="HNT4765" s="34">
        <v>-4.5</v>
      </c>
      <c r="HNU4765" s="34">
        <v>-4</v>
      </c>
      <c r="HNV4765" s="34">
        <v>-3.5</v>
      </c>
      <c r="HNW4765" s="34">
        <v>-3</v>
      </c>
      <c r="HNX4765" s="34">
        <v>-2.5</v>
      </c>
      <c r="HNY4765" s="34">
        <v>-2</v>
      </c>
      <c r="HNZ4765" s="34">
        <v>-1.5</v>
      </c>
      <c r="HOA4765" s="34">
        <v>-1</v>
      </c>
      <c r="HOB4765" s="34">
        <v>-0.5</v>
      </c>
      <c r="HOC4765" s="34">
        <v>0</v>
      </c>
      <c r="HOD4765" s="34">
        <v>0.5</v>
      </c>
      <c r="HOE4765" s="34">
        <v>1</v>
      </c>
      <c r="HOF4765" s="34">
        <v>1.5</v>
      </c>
      <c r="HOG4765" s="34">
        <v>2</v>
      </c>
      <c r="HOH4765" s="34">
        <v>2.5</v>
      </c>
      <c r="HOI4765" s="34">
        <v>3</v>
      </c>
      <c r="HOJ4765" s="34">
        <v>3.5</v>
      </c>
      <c r="HOK4765" s="34">
        <v>4</v>
      </c>
      <c r="HOL4765" s="34">
        <v>4.5</v>
      </c>
      <c r="HOM4765" s="34">
        <v>5</v>
      </c>
      <c r="HOO4765" s="913"/>
      <c r="HOP4765" s="31">
        <v>1</v>
      </c>
      <c r="HOQ4765" s="34">
        <v>0</v>
      </c>
      <c r="HOR4765" s="34">
        <v>-1</v>
      </c>
      <c r="HOS4765" s="34">
        <v>-2</v>
      </c>
      <c r="HOT4765" s="34">
        <v>-3</v>
      </c>
      <c r="HOU4765" s="34">
        <v>-4</v>
      </c>
      <c r="HOV4765" s="34">
        <v>-5</v>
      </c>
      <c r="HOW4765" s="908"/>
      <c r="HOX4765" s="909"/>
      <c r="HOY4765" s="34">
        <v>-5</v>
      </c>
      <c r="HOZ4765" s="34">
        <v>-4.5</v>
      </c>
      <c r="HPA4765" s="34">
        <v>-4</v>
      </c>
      <c r="HPB4765" s="34">
        <v>-3.5</v>
      </c>
      <c r="HPC4765" s="34">
        <v>-3</v>
      </c>
      <c r="HPD4765" s="34">
        <v>-2.5</v>
      </c>
      <c r="HPE4765" s="34">
        <v>-2</v>
      </c>
      <c r="HPF4765" s="34">
        <v>-1.5</v>
      </c>
      <c r="HPG4765" s="34">
        <v>-1</v>
      </c>
      <c r="HPH4765" s="34">
        <v>-0.5</v>
      </c>
      <c r="HPI4765" s="34">
        <v>0</v>
      </c>
      <c r="HPJ4765" s="34">
        <v>0.5</v>
      </c>
      <c r="HPK4765" s="34">
        <v>1</v>
      </c>
      <c r="HPL4765" s="34">
        <v>1.5</v>
      </c>
      <c r="HPM4765" s="34">
        <v>2</v>
      </c>
      <c r="HPN4765" s="34">
        <v>2.5</v>
      </c>
      <c r="HPO4765" s="34">
        <v>3</v>
      </c>
      <c r="HPP4765" s="34">
        <v>3.5</v>
      </c>
      <c r="HPQ4765" s="34">
        <v>4</v>
      </c>
      <c r="HPR4765" s="34">
        <v>4.5</v>
      </c>
      <c r="HPS4765" s="34">
        <v>5</v>
      </c>
      <c r="HPU4765" s="913"/>
      <c r="HPV4765" s="31">
        <v>1</v>
      </c>
      <c r="HPW4765" s="34">
        <v>0</v>
      </c>
      <c r="HPX4765" s="34">
        <v>-1</v>
      </c>
      <c r="HPY4765" s="34">
        <v>-2</v>
      </c>
      <c r="HPZ4765" s="34">
        <v>-3</v>
      </c>
      <c r="HQA4765" s="34">
        <v>-4</v>
      </c>
      <c r="HQB4765" s="34">
        <v>-5</v>
      </c>
      <c r="HQC4765" s="908"/>
      <c r="HQD4765" s="909"/>
      <c r="HQE4765" s="34">
        <v>-5</v>
      </c>
      <c r="HQF4765" s="34">
        <v>-4.5</v>
      </c>
      <c r="HQG4765" s="34">
        <v>-4</v>
      </c>
      <c r="HQH4765" s="34">
        <v>-3.5</v>
      </c>
      <c r="HQI4765" s="34">
        <v>-3</v>
      </c>
      <c r="HQJ4765" s="34">
        <v>-2.5</v>
      </c>
      <c r="HQK4765" s="34">
        <v>-2</v>
      </c>
      <c r="HQL4765" s="34">
        <v>-1.5</v>
      </c>
      <c r="HQM4765" s="34">
        <v>-1</v>
      </c>
      <c r="HQN4765" s="34">
        <v>-0.5</v>
      </c>
      <c r="HQO4765" s="34">
        <v>0</v>
      </c>
      <c r="HQP4765" s="34">
        <v>0.5</v>
      </c>
      <c r="HQQ4765" s="34">
        <v>1</v>
      </c>
      <c r="HQR4765" s="34">
        <v>1.5</v>
      </c>
      <c r="HQS4765" s="34">
        <v>2</v>
      </c>
      <c r="HQT4765" s="34">
        <v>2.5</v>
      </c>
      <c r="HQU4765" s="34">
        <v>3</v>
      </c>
      <c r="HQV4765" s="34">
        <v>3.5</v>
      </c>
      <c r="HQW4765" s="34">
        <v>4</v>
      </c>
      <c r="HQX4765" s="34">
        <v>4.5</v>
      </c>
      <c r="HQY4765" s="34">
        <v>5</v>
      </c>
      <c r="HRA4765" s="913"/>
      <c r="HRB4765" s="31">
        <v>1</v>
      </c>
      <c r="HRC4765" s="34">
        <v>0</v>
      </c>
      <c r="HRD4765" s="34">
        <v>-1</v>
      </c>
      <c r="HRE4765" s="34">
        <v>-2</v>
      </c>
      <c r="HRF4765" s="34">
        <v>-3</v>
      </c>
      <c r="HRG4765" s="34">
        <v>-4</v>
      </c>
      <c r="HRH4765" s="34">
        <v>-5</v>
      </c>
      <c r="HRI4765" s="908"/>
      <c r="HRJ4765" s="909"/>
      <c r="HRK4765" s="34">
        <v>-5</v>
      </c>
      <c r="HRL4765" s="34">
        <v>-4.5</v>
      </c>
      <c r="HRM4765" s="34">
        <v>-4</v>
      </c>
      <c r="HRN4765" s="34">
        <v>-3.5</v>
      </c>
      <c r="HRO4765" s="34">
        <v>-3</v>
      </c>
      <c r="HRP4765" s="34">
        <v>-2.5</v>
      </c>
      <c r="HRQ4765" s="34">
        <v>-2</v>
      </c>
      <c r="HRR4765" s="34">
        <v>-1.5</v>
      </c>
      <c r="HRS4765" s="34">
        <v>-1</v>
      </c>
      <c r="HRT4765" s="34">
        <v>-0.5</v>
      </c>
      <c r="HRU4765" s="34">
        <v>0</v>
      </c>
      <c r="HRV4765" s="34">
        <v>0.5</v>
      </c>
      <c r="HRW4765" s="34">
        <v>1</v>
      </c>
      <c r="HRX4765" s="34">
        <v>1.5</v>
      </c>
      <c r="HRY4765" s="34">
        <v>2</v>
      </c>
      <c r="HRZ4765" s="34">
        <v>2.5</v>
      </c>
      <c r="HSA4765" s="34">
        <v>3</v>
      </c>
      <c r="HSB4765" s="34">
        <v>3.5</v>
      </c>
      <c r="HSC4765" s="34">
        <v>4</v>
      </c>
      <c r="HSD4765" s="34">
        <v>4.5</v>
      </c>
      <c r="HSE4765" s="34">
        <v>5</v>
      </c>
      <c r="HSG4765" s="913"/>
      <c r="HSH4765" s="31">
        <v>1</v>
      </c>
      <c r="HSI4765" s="34">
        <v>0</v>
      </c>
      <c r="HSJ4765" s="34">
        <v>-1</v>
      </c>
      <c r="HSK4765" s="34">
        <v>-2</v>
      </c>
      <c r="HSL4765" s="34">
        <v>-3</v>
      </c>
      <c r="HSM4765" s="34">
        <v>-4</v>
      </c>
      <c r="HSN4765" s="34">
        <v>-5</v>
      </c>
      <c r="HSO4765" s="908"/>
      <c r="HSP4765" s="909"/>
      <c r="HSQ4765" s="34">
        <v>-5</v>
      </c>
      <c r="HSR4765" s="34">
        <v>-4.5</v>
      </c>
      <c r="HSS4765" s="34">
        <v>-4</v>
      </c>
      <c r="HST4765" s="34">
        <v>-3.5</v>
      </c>
      <c r="HSU4765" s="34">
        <v>-3</v>
      </c>
      <c r="HSV4765" s="34">
        <v>-2.5</v>
      </c>
      <c r="HSW4765" s="34">
        <v>-2</v>
      </c>
      <c r="HSX4765" s="34">
        <v>-1.5</v>
      </c>
      <c r="HSY4765" s="34">
        <v>-1</v>
      </c>
      <c r="HSZ4765" s="34">
        <v>-0.5</v>
      </c>
      <c r="HTA4765" s="34">
        <v>0</v>
      </c>
      <c r="HTB4765" s="34">
        <v>0.5</v>
      </c>
      <c r="HTC4765" s="34">
        <v>1</v>
      </c>
      <c r="HTD4765" s="34">
        <v>1.5</v>
      </c>
      <c r="HTE4765" s="34">
        <v>2</v>
      </c>
      <c r="HTF4765" s="34">
        <v>2.5</v>
      </c>
      <c r="HTG4765" s="34">
        <v>3</v>
      </c>
      <c r="HTH4765" s="34">
        <v>3.5</v>
      </c>
      <c r="HTI4765" s="34">
        <v>4</v>
      </c>
      <c r="HTJ4765" s="34">
        <v>4.5</v>
      </c>
      <c r="HTK4765" s="34">
        <v>5</v>
      </c>
      <c r="HTM4765" s="913"/>
      <c r="HTN4765" s="31">
        <v>1</v>
      </c>
      <c r="HTO4765" s="34">
        <v>0</v>
      </c>
      <c r="HTP4765" s="34">
        <v>-1</v>
      </c>
      <c r="HTQ4765" s="34">
        <v>-2</v>
      </c>
      <c r="HTR4765" s="34">
        <v>-3</v>
      </c>
      <c r="HTS4765" s="34">
        <v>-4</v>
      </c>
      <c r="HTT4765" s="34">
        <v>-5</v>
      </c>
      <c r="HTU4765" s="908"/>
      <c r="HTV4765" s="909"/>
      <c r="HTW4765" s="34">
        <v>-5</v>
      </c>
      <c r="HTX4765" s="34">
        <v>-4.5</v>
      </c>
      <c r="HTY4765" s="34">
        <v>-4</v>
      </c>
      <c r="HTZ4765" s="34">
        <v>-3.5</v>
      </c>
      <c r="HUA4765" s="34">
        <v>-3</v>
      </c>
      <c r="HUB4765" s="34">
        <v>-2.5</v>
      </c>
      <c r="HUC4765" s="34">
        <v>-2</v>
      </c>
      <c r="HUD4765" s="34">
        <v>-1.5</v>
      </c>
      <c r="HUE4765" s="34">
        <v>-1</v>
      </c>
      <c r="HUF4765" s="34">
        <v>-0.5</v>
      </c>
      <c r="HUG4765" s="34">
        <v>0</v>
      </c>
      <c r="HUH4765" s="34">
        <v>0.5</v>
      </c>
      <c r="HUI4765" s="34">
        <v>1</v>
      </c>
      <c r="HUJ4765" s="34">
        <v>1.5</v>
      </c>
      <c r="HUK4765" s="34">
        <v>2</v>
      </c>
      <c r="HUL4765" s="34">
        <v>2.5</v>
      </c>
      <c r="HUM4765" s="34">
        <v>3</v>
      </c>
      <c r="HUN4765" s="34">
        <v>3.5</v>
      </c>
      <c r="HUO4765" s="34">
        <v>4</v>
      </c>
      <c r="HUP4765" s="34">
        <v>4.5</v>
      </c>
      <c r="HUQ4765" s="34">
        <v>5</v>
      </c>
      <c r="HUS4765" s="913"/>
      <c r="HUT4765" s="31">
        <v>1</v>
      </c>
      <c r="HUU4765" s="34">
        <v>0</v>
      </c>
      <c r="HUV4765" s="34">
        <v>-1</v>
      </c>
      <c r="HUW4765" s="34">
        <v>-2</v>
      </c>
      <c r="HUX4765" s="34">
        <v>-3</v>
      </c>
      <c r="HUY4765" s="34">
        <v>-4</v>
      </c>
      <c r="HUZ4765" s="34">
        <v>-5</v>
      </c>
      <c r="HVA4765" s="908"/>
      <c r="HVB4765" s="909"/>
      <c r="HVC4765" s="34">
        <v>-5</v>
      </c>
      <c r="HVD4765" s="34">
        <v>-4.5</v>
      </c>
      <c r="HVE4765" s="34">
        <v>-4</v>
      </c>
      <c r="HVF4765" s="34">
        <v>-3.5</v>
      </c>
      <c r="HVG4765" s="34">
        <v>-3</v>
      </c>
      <c r="HVH4765" s="34">
        <v>-2.5</v>
      </c>
      <c r="HVI4765" s="34">
        <v>-2</v>
      </c>
      <c r="HVJ4765" s="34">
        <v>-1.5</v>
      </c>
      <c r="HVK4765" s="34">
        <v>-1</v>
      </c>
      <c r="HVL4765" s="34">
        <v>-0.5</v>
      </c>
      <c r="HVM4765" s="34">
        <v>0</v>
      </c>
      <c r="HVN4765" s="34">
        <v>0.5</v>
      </c>
      <c r="HVO4765" s="34">
        <v>1</v>
      </c>
      <c r="HVP4765" s="34">
        <v>1.5</v>
      </c>
      <c r="HVQ4765" s="34">
        <v>2</v>
      </c>
      <c r="HVR4765" s="34">
        <v>2.5</v>
      </c>
      <c r="HVS4765" s="34">
        <v>3</v>
      </c>
      <c r="HVT4765" s="34">
        <v>3.5</v>
      </c>
      <c r="HVU4765" s="34">
        <v>4</v>
      </c>
      <c r="HVV4765" s="34">
        <v>4.5</v>
      </c>
      <c r="HVW4765" s="34">
        <v>5</v>
      </c>
      <c r="HVY4765" s="913"/>
      <c r="HVZ4765" s="31">
        <v>1</v>
      </c>
      <c r="HWA4765" s="34">
        <v>0</v>
      </c>
      <c r="HWB4765" s="34">
        <v>-1</v>
      </c>
      <c r="HWC4765" s="34">
        <v>-2</v>
      </c>
      <c r="HWD4765" s="34">
        <v>-3</v>
      </c>
      <c r="HWE4765" s="34">
        <v>-4</v>
      </c>
      <c r="HWF4765" s="34">
        <v>-5</v>
      </c>
      <c r="HWG4765" s="908"/>
      <c r="HWH4765" s="909"/>
      <c r="HWI4765" s="34">
        <v>-5</v>
      </c>
      <c r="HWJ4765" s="34">
        <v>-4.5</v>
      </c>
      <c r="HWK4765" s="34">
        <v>-4</v>
      </c>
      <c r="HWL4765" s="34">
        <v>-3.5</v>
      </c>
      <c r="HWM4765" s="34">
        <v>-3</v>
      </c>
      <c r="HWN4765" s="34">
        <v>-2.5</v>
      </c>
      <c r="HWO4765" s="34">
        <v>-2</v>
      </c>
      <c r="HWP4765" s="34">
        <v>-1.5</v>
      </c>
      <c r="HWQ4765" s="34">
        <v>-1</v>
      </c>
      <c r="HWR4765" s="34">
        <v>-0.5</v>
      </c>
      <c r="HWS4765" s="34">
        <v>0</v>
      </c>
      <c r="HWT4765" s="34">
        <v>0.5</v>
      </c>
      <c r="HWU4765" s="34">
        <v>1</v>
      </c>
      <c r="HWV4765" s="34">
        <v>1.5</v>
      </c>
      <c r="HWW4765" s="34">
        <v>2</v>
      </c>
      <c r="HWX4765" s="34">
        <v>2.5</v>
      </c>
      <c r="HWY4765" s="34">
        <v>3</v>
      </c>
      <c r="HWZ4765" s="34">
        <v>3.5</v>
      </c>
      <c r="HXA4765" s="34">
        <v>4</v>
      </c>
      <c r="HXB4765" s="34">
        <v>4.5</v>
      </c>
      <c r="HXC4765" s="34">
        <v>5</v>
      </c>
      <c r="HXE4765" s="913"/>
      <c r="HXF4765" s="31">
        <v>1</v>
      </c>
      <c r="HXG4765" s="34">
        <v>0</v>
      </c>
      <c r="HXH4765" s="34">
        <v>-1</v>
      </c>
      <c r="HXI4765" s="34">
        <v>-2</v>
      </c>
      <c r="HXJ4765" s="34">
        <v>-3</v>
      </c>
      <c r="HXK4765" s="34">
        <v>-4</v>
      </c>
      <c r="HXL4765" s="34">
        <v>-5</v>
      </c>
      <c r="HXM4765" s="908"/>
      <c r="HXN4765" s="909"/>
      <c r="HXO4765" s="34">
        <v>-5</v>
      </c>
      <c r="HXP4765" s="34">
        <v>-4.5</v>
      </c>
      <c r="HXQ4765" s="34">
        <v>-4</v>
      </c>
      <c r="HXR4765" s="34">
        <v>-3.5</v>
      </c>
      <c r="HXS4765" s="34">
        <v>-3</v>
      </c>
      <c r="HXT4765" s="34">
        <v>-2.5</v>
      </c>
      <c r="HXU4765" s="34">
        <v>-2</v>
      </c>
      <c r="HXV4765" s="34">
        <v>-1.5</v>
      </c>
      <c r="HXW4765" s="34">
        <v>-1</v>
      </c>
      <c r="HXX4765" s="34">
        <v>-0.5</v>
      </c>
      <c r="HXY4765" s="34">
        <v>0</v>
      </c>
      <c r="HXZ4765" s="34">
        <v>0.5</v>
      </c>
      <c r="HYA4765" s="34">
        <v>1</v>
      </c>
      <c r="HYB4765" s="34">
        <v>1.5</v>
      </c>
      <c r="HYC4765" s="34">
        <v>2</v>
      </c>
      <c r="HYD4765" s="34">
        <v>2.5</v>
      </c>
      <c r="HYE4765" s="34">
        <v>3</v>
      </c>
      <c r="HYF4765" s="34">
        <v>3.5</v>
      </c>
      <c r="HYG4765" s="34">
        <v>4</v>
      </c>
      <c r="HYH4765" s="34">
        <v>4.5</v>
      </c>
      <c r="HYI4765" s="34">
        <v>5</v>
      </c>
      <c r="HYK4765" s="913"/>
      <c r="HYL4765" s="31">
        <v>1</v>
      </c>
      <c r="HYM4765" s="34">
        <v>0</v>
      </c>
      <c r="HYN4765" s="34">
        <v>-1</v>
      </c>
      <c r="HYO4765" s="34">
        <v>-2</v>
      </c>
      <c r="HYP4765" s="34">
        <v>-3</v>
      </c>
      <c r="HYQ4765" s="34">
        <v>-4</v>
      </c>
      <c r="HYR4765" s="34">
        <v>-5</v>
      </c>
      <c r="HYS4765" s="908"/>
      <c r="HYT4765" s="909"/>
      <c r="HYU4765" s="34">
        <v>-5</v>
      </c>
      <c r="HYV4765" s="34">
        <v>-4.5</v>
      </c>
      <c r="HYW4765" s="34">
        <v>-4</v>
      </c>
      <c r="HYX4765" s="34">
        <v>-3.5</v>
      </c>
      <c r="HYY4765" s="34">
        <v>-3</v>
      </c>
      <c r="HYZ4765" s="34">
        <v>-2.5</v>
      </c>
      <c r="HZA4765" s="34">
        <v>-2</v>
      </c>
      <c r="HZB4765" s="34">
        <v>-1.5</v>
      </c>
      <c r="HZC4765" s="34">
        <v>-1</v>
      </c>
      <c r="HZD4765" s="34">
        <v>-0.5</v>
      </c>
      <c r="HZE4765" s="34">
        <v>0</v>
      </c>
      <c r="HZF4765" s="34">
        <v>0.5</v>
      </c>
      <c r="HZG4765" s="34">
        <v>1</v>
      </c>
      <c r="HZH4765" s="34">
        <v>1.5</v>
      </c>
      <c r="HZI4765" s="34">
        <v>2</v>
      </c>
      <c r="HZJ4765" s="34">
        <v>2.5</v>
      </c>
      <c r="HZK4765" s="34">
        <v>3</v>
      </c>
      <c r="HZL4765" s="34">
        <v>3.5</v>
      </c>
      <c r="HZM4765" s="34">
        <v>4</v>
      </c>
      <c r="HZN4765" s="34">
        <v>4.5</v>
      </c>
      <c r="HZO4765" s="34">
        <v>5</v>
      </c>
      <c r="HZQ4765" s="913"/>
      <c r="HZR4765" s="31">
        <v>1</v>
      </c>
      <c r="HZS4765" s="34">
        <v>0</v>
      </c>
      <c r="HZT4765" s="34">
        <v>-1</v>
      </c>
      <c r="HZU4765" s="34">
        <v>-2</v>
      </c>
      <c r="HZV4765" s="34">
        <v>-3</v>
      </c>
      <c r="HZW4765" s="34">
        <v>-4</v>
      </c>
      <c r="HZX4765" s="34">
        <v>-5</v>
      </c>
      <c r="HZY4765" s="908"/>
      <c r="HZZ4765" s="909"/>
      <c r="IAA4765" s="34">
        <v>-5</v>
      </c>
      <c r="IAB4765" s="34">
        <v>-4.5</v>
      </c>
      <c r="IAC4765" s="34">
        <v>-4</v>
      </c>
      <c r="IAD4765" s="34">
        <v>-3.5</v>
      </c>
      <c r="IAE4765" s="34">
        <v>-3</v>
      </c>
      <c r="IAF4765" s="34">
        <v>-2.5</v>
      </c>
      <c r="IAG4765" s="34">
        <v>-2</v>
      </c>
      <c r="IAH4765" s="34">
        <v>-1.5</v>
      </c>
      <c r="IAI4765" s="34">
        <v>-1</v>
      </c>
      <c r="IAJ4765" s="34">
        <v>-0.5</v>
      </c>
      <c r="IAK4765" s="34">
        <v>0</v>
      </c>
      <c r="IAL4765" s="34">
        <v>0.5</v>
      </c>
      <c r="IAM4765" s="34">
        <v>1</v>
      </c>
      <c r="IAN4765" s="34">
        <v>1.5</v>
      </c>
      <c r="IAO4765" s="34">
        <v>2</v>
      </c>
      <c r="IAP4765" s="34">
        <v>2.5</v>
      </c>
      <c r="IAQ4765" s="34">
        <v>3</v>
      </c>
      <c r="IAR4765" s="34">
        <v>3.5</v>
      </c>
      <c r="IAS4765" s="34">
        <v>4</v>
      </c>
      <c r="IAT4765" s="34">
        <v>4.5</v>
      </c>
      <c r="IAU4765" s="34">
        <v>5</v>
      </c>
      <c r="IAW4765" s="913"/>
      <c r="IAX4765" s="31">
        <v>1</v>
      </c>
      <c r="IAY4765" s="34">
        <v>0</v>
      </c>
      <c r="IAZ4765" s="34">
        <v>-1</v>
      </c>
      <c r="IBA4765" s="34">
        <v>-2</v>
      </c>
      <c r="IBB4765" s="34">
        <v>-3</v>
      </c>
      <c r="IBC4765" s="34">
        <v>-4</v>
      </c>
      <c r="IBD4765" s="34">
        <v>-5</v>
      </c>
      <c r="IBE4765" s="908"/>
      <c r="IBF4765" s="909"/>
      <c r="IBG4765" s="34">
        <v>-5</v>
      </c>
      <c r="IBH4765" s="34">
        <v>-4.5</v>
      </c>
      <c r="IBI4765" s="34">
        <v>-4</v>
      </c>
      <c r="IBJ4765" s="34">
        <v>-3.5</v>
      </c>
      <c r="IBK4765" s="34">
        <v>-3</v>
      </c>
      <c r="IBL4765" s="34">
        <v>-2.5</v>
      </c>
      <c r="IBM4765" s="34">
        <v>-2</v>
      </c>
      <c r="IBN4765" s="34">
        <v>-1.5</v>
      </c>
      <c r="IBO4765" s="34">
        <v>-1</v>
      </c>
      <c r="IBP4765" s="34">
        <v>-0.5</v>
      </c>
      <c r="IBQ4765" s="34">
        <v>0</v>
      </c>
      <c r="IBR4765" s="34">
        <v>0.5</v>
      </c>
      <c r="IBS4765" s="34">
        <v>1</v>
      </c>
      <c r="IBT4765" s="34">
        <v>1.5</v>
      </c>
      <c r="IBU4765" s="34">
        <v>2</v>
      </c>
      <c r="IBV4765" s="34">
        <v>2.5</v>
      </c>
      <c r="IBW4765" s="34">
        <v>3</v>
      </c>
      <c r="IBX4765" s="34">
        <v>3.5</v>
      </c>
      <c r="IBY4765" s="34">
        <v>4</v>
      </c>
      <c r="IBZ4765" s="34">
        <v>4.5</v>
      </c>
      <c r="ICA4765" s="34">
        <v>5</v>
      </c>
      <c r="ICC4765" s="913"/>
      <c r="ICD4765" s="31">
        <v>1</v>
      </c>
      <c r="ICE4765" s="34">
        <v>0</v>
      </c>
      <c r="ICF4765" s="34">
        <v>-1</v>
      </c>
      <c r="ICG4765" s="34">
        <v>-2</v>
      </c>
      <c r="ICH4765" s="34">
        <v>-3</v>
      </c>
      <c r="ICI4765" s="34">
        <v>-4</v>
      </c>
      <c r="ICJ4765" s="34">
        <v>-5</v>
      </c>
      <c r="ICK4765" s="908"/>
      <c r="ICL4765" s="909"/>
      <c r="ICM4765" s="34">
        <v>-5</v>
      </c>
      <c r="ICN4765" s="34">
        <v>-4.5</v>
      </c>
      <c r="ICO4765" s="34">
        <v>-4</v>
      </c>
      <c r="ICP4765" s="34">
        <v>-3.5</v>
      </c>
      <c r="ICQ4765" s="34">
        <v>-3</v>
      </c>
      <c r="ICR4765" s="34">
        <v>-2.5</v>
      </c>
      <c r="ICS4765" s="34">
        <v>-2</v>
      </c>
      <c r="ICT4765" s="34">
        <v>-1.5</v>
      </c>
      <c r="ICU4765" s="34">
        <v>-1</v>
      </c>
      <c r="ICV4765" s="34">
        <v>-0.5</v>
      </c>
      <c r="ICW4765" s="34">
        <v>0</v>
      </c>
      <c r="ICX4765" s="34">
        <v>0.5</v>
      </c>
      <c r="ICY4765" s="34">
        <v>1</v>
      </c>
      <c r="ICZ4765" s="34">
        <v>1.5</v>
      </c>
      <c r="IDA4765" s="34">
        <v>2</v>
      </c>
      <c r="IDB4765" s="34">
        <v>2.5</v>
      </c>
      <c r="IDC4765" s="34">
        <v>3</v>
      </c>
      <c r="IDD4765" s="34">
        <v>3.5</v>
      </c>
      <c r="IDE4765" s="34">
        <v>4</v>
      </c>
      <c r="IDF4765" s="34">
        <v>4.5</v>
      </c>
      <c r="IDG4765" s="34">
        <v>5</v>
      </c>
      <c r="IDI4765" s="913"/>
      <c r="IDJ4765" s="31">
        <v>1</v>
      </c>
      <c r="IDK4765" s="34">
        <v>0</v>
      </c>
      <c r="IDL4765" s="34">
        <v>-1</v>
      </c>
      <c r="IDM4765" s="34">
        <v>-2</v>
      </c>
      <c r="IDN4765" s="34">
        <v>-3</v>
      </c>
      <c r="IDO4765" s="34">
        <v>-4</v>
      </c>
      <c r="IDP4765" s="34">
        <v>-5</v>
      </c>
      <c r="IDQ4765" s="908"/>
      <c r="IDR4765" s="909"/>
      <c r="IDS4765" s="34">
        <v>-5</v>
      </c>
      <c r="IDT4765" s="34">
        <v>-4.5</v>
      </c>
      <c r="IDU4765" s="34">
        <v>-4</v>
      </c>
      <c r="IDV4765" s="34">
        <v>-3.5</v>
      </c>
      <c r="IDW4765" s="34">
        <v>-3</v>
      </c>
      <c r="IDX4765" s="34">
        <v>-2.5</v>
      </c>
      <c r="IDY4765" s="34">
        <v>-2</v>
      </c>
      <c r="IDZ4765" s="34">
        <v>-1.5</v>
      </c>
      <c r="IEA4765" s="34">
        <v>-1</v>
      </c>
      <c r="IEB4765" s="34">
        <v>-0.5</v>
      </c>
      <c r="IEC4765" s="34">
        <v>0</v>
      </c>
      <c r="IED4765" s="34">
        <v>0.5</v>
      </c>
      <c r="IEE4765" s="34">
        <v>1</v>
      </c>
      <c r="IEF4765" s="34">
        <v>1.5</v>
      </c>
      <c r="IEG4765" s="34">
        <v>2</v>
      </c>
      <c r="IEH4765" s="34">
        <v>2.5</v>
      </c>
      <c r="IEI4765" s="34">
        <v>3</v>
      </c>
      <c r="IEJ4765" s="34">
        <v>3.5</v>
      </c>
      <c r="IEK4765" s="34">
        <v>4</v>
      </c>
      <c r="IEL4765" s="34">
        <v>4.5</v>
      </c>
      <c r="IEM4765" s="34">
        <v>5</v>
      </c>
      <c r="IEO4765" s="913"/>
      <c r="IEP4765" s="31">
        <v>1</v>
      </c>
      <c r="IEQ4765" s="34">
        <v>0</v>
      </c>
      <c r="IER4765" s="34">
        <v>-1</v>
      </c>
      <c r="IES4765" s="34">
        <v>-2</v>
      </c>
      <c r="IET4765" s="34">
        <v>-3</v>
      </c>
      <c r="IEU4765" s="34">
        <v>-4</v>
      </c>
      <c r="IEV4765" s="34">
        <v>-5</v>
      </c>
      <c r="IEW4765" s="908"/>
      <c r="IEX4765" s="909"/>
      <c r="IEY4765" s="34">
        <v>-5</v>
      </c>
      <c r="IEZ4765" s="34">
        <v>-4.5</v>
      </c>
      <c r="IFA4765" s="34">
        <v>-4</v>
      </c>
      <c r="IFB4765" s="34">
        <v>-3.5</v>
      </c>
      <c r="IFC4765" s="34">
        <v>-3</v>
      </c>
      <c r="IFD4765" s="34">
        <v>-2.5</v>
      </c>
      <c r="IFE4765" s="34">
        <v>-2</v>
      </c>
      <c r="IFF4765" s="34">
        <v>-1.5</v>
      </c>
      <c r="IFG4765" s="34">
        <v>-1</v>
      </c>
      <c r="IFH4765" s="34">
        <v>-0.5</v>
      </c>
      <c r="IFI4765" s="34">
        <v>0</v>
      </c>
      <c r="IFJ4765" s="34">
        <v>0.5</v>
      </c>
      <c r="IFK4765" s="34">
        <v>1</v>
      </c>
      <c r="IFL4765" s="34">
        <v>1.5</v>
      </c>
      <c r="IFM4765" s="34">
        <v>2</v>
      </c>
      <c r="IFN4765" s="34">
        <v>2.5</v>
      </c>
      <c r="IFO4765" s="34">
        <v>3</v>
      </c>
      <c r="IFP4765" s="34">
        <v>3.5</v>
      </c>
      <c r="IFQ4765" s="34">
        <v>4</v>
      </c>
      <c r="IFR4765" s="34">
        <v>4.5</v>
      </c>
      <c r="IFS4765" s="34">
        <v>5</v>
      </c>
      <c r="IFU4765" s="913"/>
      <c r="IFV4765" s="31">
        <v>1</v>
      </c>
      <c r="IFW4765" s="34">
        <v>0</v>
      </c>
      <c r="IFX4765" s="34">
        <v>-1</v>
      </c>
      <c r="IFY4765" s="34">
        <v>-2</v>
      </c>
      <c r="IFZ4765" s="34">
        <v>-3</v>
      </c>
      <c r="IGA4765" s="34">
        <v>-4</v>
      </c>
      <c r="IGB4765" s="34">
        <v>-5</v>
      </c>
      <c r="IGC4765" s="908"/>
      <c r="IGD4765" s="909"/>
      <c r="IGE4765" s="34">
        <v>-5</v>
      </c>
      <c r="IGF4765" s="34">
        <v>-4.5</v>
      </c>
      <c r="IGG4765" s="34">
        <v>-4</v>
      </c>
      <c r="IGH4765" s="34">
        <v>-3.5</v>
      </c>
      <c r="IGI4765" s="34">
        <v>-3</v>
      </c>
      <c r="IGJ4765" s="34">
        <v>-2.5</v>
      </c>
      <c r="IGK4765" s="34">
        <v>-2</v>
      </c>
      <c r="IGL4765" s="34">
        <v>-1.5</v>
      </c>
      <c r="IGM4765" s="34">
        <v>-1</v>
      </c>
      <c r="IGN4765" s="34">
        <v>-0.5</v>
      </c>
      <c r="IGO4765" s="34">
        <v>0</v>
      </c>
      <c r="IGP4765" s="34">
        <v>0.5</v>
      </c>
      <c r="IGQ4765" s="34">
        <v>1</v>
      </c>
      <c r="IGR4765" s="34">
        <v>1.5</v>
      </c>
      <c r="IGS4765" s="34">
        <v>2</v>
      </c>
      <c r="IGT4765" s="34">
        <v>2.5</v>
      </c>
      <c r="IGU4765" s="34">
        <v>3</v>
      </c>
      <c r="IGV4765" s="34">
        <v>3.5</v>
      </c>
      <c r="IGW4765" s="34">
        <v>4</v>
      </c>
      <c r="IGX4765" s="34">
        <v>4.5</v>
      </c>
      <c r="IGY4765" s="34">
        <v>5</v>
      </c>
      <c r="IHA4765" s="913"/>
      <c r="IHB4765" s="31">
        <v>1</v>
      </c>
      <c r="IHC4765" s="34">
        <v>0</v>
      </c>
      <c r="IHD4765" s="34">
        <v>-1</v>
      </c>
      <c r="IHE4765" s="34">
        <v>-2</v>
      </c>
      <c r="IHF4765" s="34">
        <v>-3</v>
      </c>
      <c r="IHG4765" s="34">
        <v>-4</v>
      </c>
      <c r="IHH4765" s="34">
        <v>-5</v>
      </c>
      <c r="IHI4765" s="908"/>
      <c r="IHJ4765" s="909"/>
      <c r="IHK4765" s="34">
        <v>-5</v>
      </c>
      <c r="IHL4765" s="34">
        <v>-4.5</v>
      </c>
      <c r="IHM4765" s="34">
        <v>-4</v>
      </c>
      <c r="IHN4765" s="34">
        <v>-3.5</v>
      </c>
      <c r="IHO4765" s="34">
        <v>-3</v>
      </c>
      <c r="IHP4765" s="34">
        <v>-2.5</v>
      </c>
      <c r="IHQ4765" s="34">
        <v>-2</v>
      </c>
      <c r="IHR4765" s="34">
        <v>-1.5</v>
      </c>
      <c r="IHS4765" s="34">
        <v>-1</v>
      </c>
      <c r="IHT4765" s="34">
        <v>-0.5</v>
      </c>
      <c r="IHU4765" s="34">
        <v>0</v>
      </c>
      <c r="IHV4765" s="34">
        <v>0.5</v>
      </c>
      <c r="IHW4765" s="34">
        <v>1</v>
      </c>
      <c r="IHX4765" s="34">
        <v>1.5</v>
      </c>
      <c r="IHY4765" s="34">
        <v>2</v>
      </c>
      <c r="IHZ4765" s="34">
        <v>2.5</v>
      </c>
      <c r="IIA4765" s="34">
        <v>3</v>
      </c>
      <c r="IIB4765" s="34">
        <v>3.5</v>
      </c>
      <c r="IIC4765" s="34">
        <v>4</v>
      </c>
      <c r="IID4765" s="34">
        <v>4.5</v>
      </c>
      <c r="IIE4765" s="34">
        <v>5</v>
      </c>
      <c r="IIG4765" s="913"/>
      <c r="IIH4765" s="31">
        <v>1</v>
      </c>
      <c r="III4765" s="34">
        <v>0</v>
      </c>
      <c r="IIJ4765" s="34">
        <v>-1</v>
      </c>
      <c r="IIK4765" s="34">
        <v>-2</v>
      </c>
      <c r="IIL4765" s="34">
        <v>-3</v>
      </c>
      <c r="IIM4765" s="34">
        <v>-4</v>
      </c>
      <c r="IIN4765" s="34">
        <v>-5</v>
      </c>
      <c r="IIO4765" s="908"/>
      <c r="IIP4765" s="909"/>
      <c r="IIQ4765" s="34">
        <v>-5</v>
      </c>
      <c r="IIR4765" s="34">
        <v>-4.5</v>
      </c>
      <c r="IIS4765" s="34">
        <v>-4</v>
      </c>
      <c r="IIT4765" s="34">
        <v>-3.5</v>
      </c>
      <c r="IIU4765" s="34">
        <v>-3</v>
      </c>
      <c r="IIV4765" s="34">
        <v>-2.5</v>
      </c>
      <c r="IIW4765" s="34">
        <v>-2</v>
      </c>
      <c r="IIX4765" s="34">
        <v>-1.5</v>
      </c>
      <c r="IIY4765" s="34">
        <v>-1</v>
      </c>
      <c r="IIZ4765" s="34">
        <v>-0.5</v>
      </c>
      <c r="IJA4765" s="34">
        <v>0</v>
      </c>
      <c r="IJB4765" s="34">
        <v>0.5</v>
      </c>
      <c r="IJC4765" s="34">
        <v>1</v>
      </c>
      <c r="IJD4765" s="34">
        <v>1.5</v>
      </c>
      <c r="IJE4765" s="34">
        <v>2</v>
      </c>
      <c r="IJF4765" s="34">
        <v>2.5</v>
      </c>
      <c r="IJG4765" s="34">
        <v>3</v>
      </c>
      <c r="IJH4765" s="34">
        <v>3.5</v>
      </c>
      <c r="IJI4765" s="34">
        <v>4</v>
      </c>
      <c r="IJJ4765" s="34">
        <v>4.5</v>
      </c>
      <c r="IJK4765" s="34">
        <v>5</v>
      </c>
      <c r="IJM4765" s="913"/>
      <c r="IJN4765" s="31">
        <v>1</v>
      </c>
      <c r="IJO4765" s="34">
        <v>0</v>
      </c>
      <c r="IJP4765" s="34">
        <v>-1</v>
      </c>
      <c r="IJQ4765" s="34">
        <v>-2</v>
      </c>
      <c r="IJR4765" s="34">
        <v>-3</v>
      </c>
      <c r="IJS4765" s="34">
        <v>-4</v>
      </c>
      <c r="IJT4765" s="34">
        <v>-5</v>
      </c>
      <c r="IJU4765" s="908"/>
      <c r="IJV4765" s="909"/>
      <c r="IJW4765" s="34">
        <v>-5</v>
      </c>
      <c r="IJX4765" s="34">
        <v>-4.5</v>
      </c>
      <c r="IJY4765" s="34">
        <v>-4</v>
      </c>
      <c r="IJZ4765" s="34">
        <v>-3.5</v>
      </c>
      <c r="IKA4765" s="34">
        <v>-3</v>
      </c>
      <c r="IKB4765" s="34">
        <v>-2.5</v>
      </c>
      <c r="IKC4765" s="34">
        <v>-2</v>
      </c>
      <c r="IKD4765" s="34">
        <v>-1.5</v>
      </c>
      <c r="IKE4765" s="34">
        <v>-1</v>
      </c>
      <c r="IKF4765" s="34">
        <v>-0.5</v>
      </c>
      <c r="IKG4765" s="34">
        <v>0</v>
      </c>
      <c r="IKH4765" s="34">
        <v>0.5</v>
      </c>
      <c r="IKI4765" s="34">
        <v>1</v>
      </c>
      <c r="IKJ4765" s="34">
        <v>1.5</v>
      </c>
      <c r="IKK4765" s="34">
        <v>2</v>
      </c>
      <c r="IKL4765" s="34">
        <v>2.5</v>
      </c>
      <c r="IKM4765" s="34">
        <v>3</v>
      </c>
      <c r="IKN4765" s="34">
        <v>3.5</v>
      </c>
      <c r="IKO4765" s="34">
        <v>4</v>
      </c>
      <c r="IKP4765" s="34">
        <v>4.5</v>
      </c>
      <c r="IKQ4765" s="34">
        <v>5</v>
      </c>
      <c r="IKS4765" s="913"/>
      <c r="IKT4765" s="31">
        <v>1</v>
      </c>
      <c r="IKU4765" s="34">
        <v>0</v>
      </c>
      <c r="IKV4765" s="34">
        <v>-1</v>
      </c>
      <c r="IKW4765" s="34">
        <v>-2</v>
      </c>
      <c r="IKX4765" s="34">
        <v>-3</v>
      </c>
      <c r="IKY4765" s="34">
        <v>-4</v>
      </c>
      <c r="IKZ4765" s="34">
        <v>-5</v>
      </c>
      <c r="ILA4765" s="908"/>
      <c r="ILB4765" s="909"/>
      <c r="ILC4765" s="34">
        <v>-5</v>
      </c>
      <c r="ILD4765" s="34">
        <v>-4.5</v>
      </c>
      <c r="ILE4765" s="34">
        <v>-4</v>
      </c>
      <c r="ILF4765" s="34">
        <v>-3.5</v>
      </c>
      <c r="ILG4765" s="34">
        <v>-3</v>
      </c>
      <c r="ILH4765" s="34">
        <v>-2.5</v>
      </c>
      <c r="ILI4765" s="34">
        <v>-2</v>
      </c>
      <c r="ILJ4765" s="34">
        <v>-1.5</v>
      </c>
      <c r="ILK4765" s="34">
        <v>-1</v>
      </c>
      <c r="ILL4765" s="34">
        <v>-0.5</v>
      </c>
      <c r="ILM4765" s="34">
        <v>0</v>
      </c>
      <c r="ILN4765" s="34">
        <v>0.5</v>
      </c>
      <c r="ILO4765" s="34">
        <v>1</v>
      </c>
      <c r="ILP4765" s="34">
        <v>1.5</v>
      </c>
      <c r="ILQ4765" s="34">
        <v>2</v>
      </c>
      <c r="ILR4765" s="34">
        <v>2.5</v>
      </c>
      <c r="ILS4765" s="34">
        <v>3</v>
      </c>
      <c r="ILT4765" s="34">
        <v>3.5</v>
      </c>
      <c r="ILU4765" s="34">
        <v>4</v>
      </c>
      <c r="ILV4765" s="34">
        <v>4.5</v>
      </c>
      <c r="ILW4765" s="34">
        <v>5</v>
      </c>
      <c r="ILY4765" s="913"/>
      <c r="ILZ4765" s="31">
        <v>1</v>
      </c>
      <c r="IMA4765" s="34">
        <v>0</v>
      </c>
      <c r="IMB4765" s="34">
        <v>-1</v>
      </c>
      <c r="IMC4765" s="34">
        <v>-2</v>
      </c>
      <c r="IMD4765" s="34">
        <v>-3</v>
      </c>
      <c r="IME4765" s="34">
        <v>-4</v>
      </c>
      <c r="IMF4765" s="34">
        <v>-5</v>
      </c>
      <c r="IMG4765" s="908"/>
      <c r="IMH4765" s="909"/>
      <c r="IMI4765" s="34">
        <v>-5</v>
      </c>
      <c r="IMJ4765" s="34">
        <v>-4.5</v>
      </c>
      <c r="IMK4765" s="34">
        <v>-4</v>
      </c>
      <c r="IML4765" s="34">
        <v>-3.5</v>
      </c>
      <c r="IMM4765" s="34">
        <v>-3</v>
      </c>
      <c r="IMN4765" s="34">
        <v>-2.5</v>
      </c>
      <c r="IMO4765" s="34">
        <v>-2</v>
      </c>
      <c r="IMP4765" s="34">
        <v>-1.5</v>
      </c>
      <c r="IMQ4765" s="34">
        <v>-1</v>
      </c>
      <c r="IMR4765" s="34">
        <v>-0.5</v>
      </c>
      <c r="IMS4765" s="34">
        <v>0</v>
      </c>
      <c r="IMT4765" s="34">
        <v>0.5</v>
      </c>
      <c r="IMU4765" s="34">
        <v>1</v>
      </c>
      <c r="IMV4765" s="34">
        <v>1.5</v>
      </c>
      <c r="IMW4765" s="34">
        <v>2</v>
      </c>
      <c r="IMX4765" s="34">
        <v>2.5</v>
      </c>
      <c r="IMY4765" s="34">
        <v>3</v>
      </c>
      <c r="IMZ4765" s="34">
        <v>3.5</v>
      </c>
      <c r="INA4765" s="34">
        <v>4</v>
      </c>
      <c r="INB4765" s="34">
        <v>4.5</v>
      </c>
      <c r="INC4765" s="34">
        <v>5</v>
      </c>
      <c r="INE4765" s="913"/>
      <c r="INF4765" s="31">
        <v>1</v>
      </c>
      <c r="ING4765" s="34">
        <v>0</v>
      </c>
      <c r="INH4765" s="34">
        <v>-1</v>
      </c>
      <c r="INI4765" s="34">
        <v>-2</v>
      </c>
      <c r="INJ4765" s="34">
        <v>-3</v>
      </c>
      <c r="INK4765" s="34">
        <v>-4</v>
      </c>
      <c r="INL4765" s="34">
        <v>-5</v>
      </c>
      <c r="INM4765" s="908"/>
      <c r="INN4765" s="909"/>
      <c r="INO4765" s="34">
        <v>-5</v>
      </c>
      <c r="INP4765" s="34">
        <v>-4.5</v>
      </c>
      <c r="INQ4765" s="34">
        <v>-4</v>
      </c>
      <c r="INR4765" s="34">
        <v>-3.5</v>
      </c>
      <c r="INS4765" s="34">
        <v>-3</v>
      </c>
      <c r="INT4765" s="34">
        <v>-2.5</v>
      </c>
      <c r="INU4765" s="34">
        <v>-2</v>
      </c>
      <c r="INV4765" s="34">
        <v>-1.5</v>
      </c>
      <c r="INW4765" s="34">
        <v>-1</v>
      </c>
      <c r="INX4765" s="34">
        <v>-0.5</v>
      </c>
      <c r="INY4765" s="34">
        <v>0</v>
      </c>
      <c r="INZ4765" s="34">
        <v>0.5</v>
      </c>
      <c r="IOA4765" s="34">
        <v>1</v>
      </c>
      <c r="IOB4765" s="34">
        <v>1.5</v>
      </c>
      <c r="IOC4765" s="34">
        <v>2</v>
      </c>
      <c r="IOD4765" s="34">
        <v>2.5</v>
      </c>
      <c r="IOE4765" s="34">
        <v>3</v>
      </c>
      <c r="IOF4765" s="34">
        <v>3.5</v>
      </c>
      <c r="IOG4765" s="34">
        <v>4</v>
      </c>
      <c r="IOH4765" s="34">
        <v>4.5</v>
      </c>
      <c r="IOI4765" s="34">
        <v>5</v>
      </c>
      <c r="IOK4765" s="913"/>
      <c r="IOL4765" s="31">
        <v>1</v>
      </c>
      <c r="IOM4765" s="34">
        <v>0</v>
      </c>
      <c r="ION4765" s="34">
        <v>-1</v>
      </c>
      <c r="IOO4765" s="34">
        <v>-2</v>
      </c>
      <c r="IOP4765" s="34">
        <v>-3</v>
      </c>
      <c r="IOQ4765" s="34">
        <v>-4</v>
      </c>
      <c r="IOR4765" s="34">
        <v>-5</v>
      </c>
      <c r="IOS4765" s="908"/>
      <c r="IOT4765" s="909"/>
      <c r="IOU4765" s="34">
        <v>-5</v>
      </c>
      <c r="IOV4765" s="34">
        <v>-4.5</v>
      </c>
      <c r="IOW4765" s="34">
        <v>-4</v>
      </c>
      <c r="IOX4765" s="34">
        <v>-3.5</v>
      </c>
      <c r="IOY4765" s="34">
        <v>-3</v>
      </c>
      <c r="IOZ4765" s="34">
        <v>-2.5</v>
      </c>
      <c r="IPA4765" s="34">
        <v>-2</v>
      </c>
      <c r="IPB4765" s="34">
        <v>-1.5</v>
      </c>
      <c r="IPC4765" s="34">
        <v>-1</v>
      </c>
      <c r="IPD4765" s="34">
        <v>-0.5</v>
      </c>
      <c r="IPE4765" s="34">
        <v>0</v>
      </c>
      <c r="IPF4765" s="34">
        <v>0.5</v>
      </c>
      <c r="IPG4765" s="34">
        <v>1</v>
      </c>
      <c r="IPH4765" s="34">
        <v>1.5</v>
      </c>
      <c r="IPI4765" s="34">
        <v>2</v>
      </c>
      <c r="IPJ4765" s="34">
        <v>2.5</v>
      </c>
      <c r="IPK4765" s="34">
        <v>3</v>
      </c>
      <c r="IPL4765" s="34">
        <v>3.5</v>
      </c>
      <c r="IPM4765" s="34">
        <v>4</v>
      </c>
      <c r="IPN4765" s="34">
        <v>4.5</v>
      </c>
      <c r="IPO4765" s="34">
        <v>5</v>
      </c>
      <c r="IPQ4765" s="913"/>
      <c r="IPR4765" s="31">
        <v>1</v>
      </c>
      <c r="IPS4765" s="34">
        <v>0</v>
      </c>
      <c r="IPT4765" s="34">
        <v>-1</v>
      </c>
      <c r="IPU4765" s="34">
        <v>-2</v>
      </c>
      <c r="IPV4765" s="34">
        <v>-3</v>
      </c>
      <c r="IPW4765" s="34">
        <v>-4</v>
      </c>
      <c r="IPX4765" s="34">
        <v>-5</v>
      </c>
      <c r="IPY4765" s="908"/>
      <c r="IPZ4765" s="909"/>
      <c r="IQA4765" s="34">
        <v>-5</v>
      </c>
      <c r="IQB4765" s="34">
        <v>-4.5</v>
      </c>
      <c r="IQC4765" s="34">
        <v>-4</v>
      </c>
      <c r="IQD4765" s="34">
        <v>-3.5</v>
      </c>
      <c r="IQE4765" s="34">
        <v>-3</v>
      </c>
      <c r="IQF4765" s="34">
        <v>-2.5</v>
      </c>
      <c r="IQG4765" s="34">
        <v>-2</v>
      </c>
      <c r="IQH4765" s="34">
        <v>-1.5</v>
      </c>
      <c r="IQI4765" s="34">
        <v>-1</v>
      </c>
      <c r="IQJ4765" s="34">
        <v>-0.5</v>
      </c>
      <c r="IQK4765" s="34">
        <v>0</v>
      </c>
      <c r="IQL4765" s="34">
        <v>0.5</v>
      </c>
      <c r="IQM4765" s="34">
        <v>1</v>
      </c>
      <c r="IQN4765" s="34">
        <v>1.5</v>
      </c>
      <c r="IQO4765" s="34">
        <v>2</v>
      </c>
      <c r="IQP4765" s="34">
        <v>2.5</v>
      </c>
      <c r="IQQ4765" s="34">
        <v>3</v>
      </c>
      <c r="IQR4765" s="34">
        <v>3.5</v>
      </c>
      <c r="IQS4765" s="34">
        <v>4</v>
      </c>
      <c r="IQT4765" s="34">
        <v>4.5</v>
      </c>
      <c r="IQU4765" s="34">
        <v>5</v>
      </c>
      <c r="IQW4765" s="913"/>
      <c r="IQX4765" s="31">
        <v>1</v>
      </c>
      <c r="IQY4765" s="34">
        <v>0</v>
      </c>
      <c r="IQZ4765" s="34">
        <v>-1</v>
      </c>
      <c r="IRA4765" s="34">
        <v>-2</v>
      </c>
      <c r="IRB4765" s="34">
        <v>-3</v>
      </c>
      <c r="IRC4765" s="34">
        <v>-4</v>
      </c>
      <c r="IRD4765" s="34">
        <v>-5</v>
      </c>
      <c r="IRE4765" s="908"/>
      <c r="IRF4765" s="909"/>
      <c r="IRG4765" s="34">
        <v>-5</v>
      </c>
      <c r="IRH4765" s="34">
        <v>-4.5</v>
      </c>
      <c r="IRI4765" s="34">
        <v>-4</v>
      </c>
      <c r="IRJ4765" s="34">
        <v>-3.5</v>
      </c>
      <c r="IRK4765" s="34">
        <v>-3</v>
      </c>
      <c r="IRL4765" s="34">
        <v>-2.5</v>
      </c>
      <c r="IRM4765" s="34">
        <v>-2</v>
      </c>
      <c r="IRN4765" s="34">
        <v>-1.5</v>
      </c>
      <c r="IRO4765" s="34">
        <v>-1</v>
      </c>
      <c r="IRP4765" s="34">
        <v>-0.5</v>
      </c>
      <c r="IRQ4765" s="34">
        <v>0</v>
      </c>
      <c r="IRR4765" s="34">
        <v>0.5</v>
      </c>
      <c r="IRS4765" s="34">
        <v>1</v>
      </c>
      <c r="IRT4765" s="34">
        <v>1.5</v>
      </c>
      <c r="IRU4765" s="34">
        <v>2</v>
      </c>
      <c r="IRV4765" s="34">
        <v>2.5</v>
      </c>
      <c r="IRW4765" s="34">
        <v>3</v>
      </c>
      <c r="IRX4765" s="34">
        <v>3.5</v>
      </c>
      <c r="IRY4765" s="34">
        <v>4</v>
      </c>
      <c r="IRZ4765" s="34">
        <v>4.5</v>
      </c>
      <c r="ISA4765" s="34">
        <v>5</v>
      </c>
      <c r="ISC4765" s="913"/>
      <c r="ISD4765" s="31">
        <v>1</v>
      </c>
      <c r="ISE4765" s="34">
        <v>0</v>
      </c>
      <c r="ISF4765" s="34">
        <v>-1</v>
      </c>
      <c r="ISG4765" s="34">
        <v>-2</v>
      </c>
      <c r="ISH4765" s="34">
        <v>-3</v>
      </c>
      <c r="ISI4765" s="34">
        <v>-4</v>
      </c>
      <c r="ISJ4765" s="34">
        <v>-5</v>
      </c>
      <c r="ISK4765" s="908"/>
      <c r="ISL4765" s="909"/>
      <c r="ISM4765" s="34">
        <v>-5</v>
      </c>
      <c r="ISN4765" s="34">
        <v>-4.5</v>
      </c>
      <c r="ISO4765" s="34">
        <v>-4</v>
      </c>
      <c r="ISP4765" s="34">
        <v>-3.5</v>
      </c>
      <c r="ISQ4765" s="34">
        <v>-3</v>
      </c>
      <c r="ISR4765" s="34">
        <v>-2.5</v>
      </c>
      <c r="ISS4765" s="34">
        <v>-2</v>
      </c>
      <c r="IST4765" s="34">
        <v>-1.5</v>
      </c>
      <c r="ISU4765" s="34">
        <v>-1</v>
      </c>
      <c r="ISV4765" s="34">
        <v>-0.5</v>
      </c>
      <c r="ISW4765" s="34">
        <v>0</v>
      </c>
      <c r="ISX4765" s="34">
        <v>0.5</v>
      </c>
      <c r="ISY4765" s="34">
        <v>1</v>
      </c>
      <c r="ISZ4765" s="34">
        <v>1.5</v>
      </c>
      <c r="ITA4765" s="34">
        <v>2</v>
      </c>
      <c r="ITB4765" s="34">
        <v>2.5</v>
      </c>
      <c r="ITC4765" s="34">
        <v>3</v>
      </c>
      <c r="ITD4765" s="34">
        <v>3.5</v>
      </c>
      <c r="ITE4765" s="34">
        <v>4</v>
      </c>
      <c r="ITF4765" s="34">
        <v>4.5</v>
      </c>
      <c r="ITG4765" s="34">
        <v>5</v>
      </c>
      <c r="ITI4765" s="913"/>
      <c r="ITJ4765" s="31">
        <v>1</v>
      </c>
      <c r="ITK4765" s="34">
        <v>0</v>
      </c>
      <c r="ITL4765" s="34">
        <v>-1</v>
      </c>
      <c r="ITM4765" s="34">
        <v>-2</v>
      </c>
      <c r="ITN4765" s="34">
        <v>-3</v>
      </c>
      <c r="ITO4765" s="34">
        <v>-4</v>
      </c>
      <c r="ITP4765" s="34">
        <v>-5</v>
      </c>
      <c r="ITQ4765" s="908"/>
      <c r="ITR4765" s="909"/>
      <c r="ITS4765" s="34">
        <v>-5</v>
      </c>
      <c r="ITT4765" s="34">
        <v>-4.5</v>
      </c>
      <c r="ITU4765" s="34">
        <v>-4</v>
      </c>
      <c r="ITV4765" s="34">
        <v>-3.5</v>
      </c>
      <c r="ITW4765" s="34">
        <v>-3</v>
      </c>
      <c r="ITX4765" s="34">
        <v>-2.5</v>
      </c>
      <c r="ITY4765" s="34">
        <v>-2</v>
      </c>
      <c r="ITZ4765" s="34">
        <v>-1.5</v>
      </c>
      <c r="IUA4765" s="34">
        <v>-1</v>
      </c>
      <c r="IUB4765" s="34">
        <v>-0.5</v>
      </c>
      <c r="IUC4765" s="34">
        <v>0</v>
      </c>
      <c r="IUD4765" s="34">
        <v>0.5</v>
      </c>
      <c r="IUE4765" s="34">
        <v>1</v>
      </c>
      <c r="IUF4765" s="34">
        <v>1.5</v>
      </c>
      <c r="IUG4765" s="34">
        <v>2</v>
      </c>
      <c r="IUH4765" s="34">
        <v>2.5</v>
      </c>
      <c r="IUI4765" s="34">
        <v>3</v>
      </c>
      <c r="IUJ4765" s="34">
        <v>3.5</v>
      </c>
      <c r="IUK4765" s="34">
        <v>4</v>
      </c>
      <c r="IUL4765" s="34">
        <v>4.5</v>
      </c>
      <c r="IUM4765" s="34">
        <v>5</v>
      </c>
      <c r="IUO4765" s="913"/>
      <c r="IUP4765" s="31">
        <v>1</v>
      </c>
      <c r="IUQ4765" s="34">
        <v>0</v>
      </c>
      <c r="IUR4765" s="34">
        <v>-1</v>
      </c>
      <c r="IUS4765" s="34">
        <v>-2</v>
      </c>
      <c r="IUT4765" s="34">
        <v>-3</v>
      </c>
      <c r="IUU4765" s="34">
        <v>-4</v>
      </c>
      <c r="IUV4765" s="34">
        <v>-5</v>
      </c>
      <c r="IUW4765" s="908"/>
      <c r="IUX4765" s="909"/>
      <c r="IUY4765" s="34">
        <v>-5</v>
      </c>
      <c r="IUZ4765" s="34">
        <v>-4.5</v>
      </c>
      <c r="IVA4765" s="34">
        <v>-4</v>
      </c>
      <c r="IVB4765" s="34">
        <v>-3.5</v>
      </c>
      <c r="IVC4765" s="34">
        <v>-3</v>
      </c>
      <c r="IVD4765" s="34">
        <v>-2.5</v>
      </c>
      <c r="IVE4765" s="34">
        <v>-2</v>
      </c>
      <c r="IVF4765" s="34">
        <v>-1.5</v>
      </c>
      <c r="IVG4765" s="34">
        <v>-1</v>
      </c>
      <c r="IVH4765" s="34">
        <v>-0.5</v>
      </c>
      <c r="IVI4765" s="34">
        <v>0</v>
      </c>
      <c r="IVJ4765" s="34">
        <v>0.5</v>
      </c>
      <c r="IVK4765" s="34">
        <v>1</v>
      </c>
      <c r="IVL4765" s="34">
        <v>1.5</v>
      </c>
      <c r="IVM4765" s="34">
        <v>2</v>
      </c>
      <c r="IVN4765" s="34">
        <v>2.5</v>
      </c>
      <c r="IVO4765" s="34">
        <v>3</v>
      </c>
      <c r="IVP4765" s="34">
        <v>3.5</v>
      </c>
      <c r="IVQ4765" s="34">
        <v>4</v>
      </c>
      <c r="IVR4765" s="34">
        <v>4.5</v>
      </c>
      <c r="IVS4765" s="34">
        <v>5</v>
      </c>
      <c r="IVU4765" s="913"/>
      <c r="IVV4765" s="31">
        <v>1</v>
      </c>
      <c r="IVW4765" s="34">
        <v>0</v>
      </c>
      <c r="IVX4765" s="34">
        <v>-1</v>
      </c>
      <c r="IVY4765" s="34">
        <v>-2</v>
      </c>
      <c r="IVZ4765" s="34">
        <v>-3</v>
      </c>
      <c r="IWA4765" s="34">
        <v>-4</v>
      </c>
      <c r="IWB4765" s="34">
        <v>-5</v>
      </c>
      <c r="IWC4765" s="908"/>
      <c r="IWD4765" s="909"/>
      <c r="IWE4765" s="34">
        <v>-5</v>
      </c>
      <c r="IWF4765" s="34">
        <v>-4.5</v>
      </c>
      <c r="IWG4765" s="34">
        <v>-4</v>
      </c>
      <c r="IWH4765" s="34">
        <v>-3.5</v>
      </c>
      <c r="IWI4765" s="34">
        <v>-3</v>
      </c>
      <c r="IWJ4765" s="34">
        <v>-2.5</v>
      </c>
      <c r="IWK4765" s="34">
        <v>-2</v>
      </c>
      <c r="IWL4765" s="34">
        <v>-1.5</v>
      </c>
      <c r="IWM4765" s="34">
        <v>-1</v>
      </c>
      <c r="IWN4765" s="34">
        <v>-0.5</v>
      </c>
      <c r="IWO4765" s="34">
        <v>0</v>
      </c>
      <c r="IWP4765" s="34">
        <v>0.5</v>
      </c>
      <c r="IWQ4765" s="34">
        <v>1</v>
      </c>
      <c r="IWR4765" s="34">
        <v>1.5</v>
      </c>
      <c r="IWS4765" s="34">
        <v>2</v>
      </c>
      <c r="IWT4765" s="34">
        <v>2.5</v>
      </c>
      <c r="IWU4765" s="34">
        <v>3</v>
      </c>
      <c r="IWV4765" s="34">
        <v>3.5</v>
      </c>
      <c r="IWW4765" s="34">
        <v>4</v>
      </c>
      <c r="IWX4765" s="34">
        <v>4.5</v>
      </c>
      <c r="IWY4765" s="34">
        <v>5</v>
      </c>
      <c r="IXA4765" s="913"/>
      <c r="IXB4765" s="31">
        <v>1</v>
      </c>
      <c r="IXC4765" s="34">
        <v>0</v>
      </c>
      <c r="IXD4765" s="34">
        <v>-1</v>
      </c>
      <c r="IXE4765" s="34">
        <v>-2</v>
      </c>
      <c r="IXF4765" s="34">
        <v>-3</v>
      </c>
      <c r="IXG4765" s="34">
        <v>-4</v>
      </c>
      <c r="IXH4765" s="34">
        <v>-5</v>
      </c>
      <c r="IXI4765" s="908"/>
      <c r="IXJ4765" s="909"/>
      <c r="IXK4765" s="34">
        <v>-5</v>
      </c>
      <c r="IXL4765" s="34">
        <v>-4.5</v>
      </c>
      <c r="IXM4765" s="34">
        <v>-4</v>
      </c>
      <c r="IXN4765" s="34">
        <v>-3.5</v>
      </c>
      <c r="IXO4765" s="34">
        <v>-3</v>
      </c>
      <c r="IXP4765" s="34">
        <v>-2.5</v>
      </c>
      <c r="IXQ4765" s="34">
        <v>-2</v>
      </c>
      <c r="IXR4765" s="34">
        <v>-1.5</v>
      </c>
      <c r="IXS4765" s="34">
        <v>-1</v>
      </c>
      <c r="IXT4765" s="34">
        <v>-0.5</v>
      </c>
      <c r="IXU4765" s="34">
        <v>0</v>
      </c>
      <c r="IXV4765" s="34">
        <v>0.5</v>
      </c>
      <c r="IXW4765" s="34">
        <v>1</v>
      </c>
      <c r="IXX4765" s="34">
        <v>1.5</v>
      </c>
      <c r="IXY4765" s="34">
        <v>2</v>
      </c>
      <c r="IXZ4765" s="34">
        <v>2.5</v>
      </c>
      <c r="IYA4765" s="34">
        <v>3</v>
      </c>
      <c r="IYB4765" s="34">
        <v>3.5</v>
      </c>
      <c r="IYC4765" s="34">
        <v>4</v>
      </c>
      <c r="IYD4765" s="34">
        <v>4.5</v>
      </c>
      <c r="IYE4765" s="34">
        <v>5</v>
      </c>
      <c r="IYG4765" s="913"/>
      <c r="IYH4765" s="31">
        <v>1</v>
      </c>
      <c r="IYI4765" s="34">
        <v>0</v>
      </c>
      <c r="IYJ4765" s="34">
        <v>-1</v>
      </c>
      <c r="IYK4765" s="34">
        <v>-2</v>
      </c>
      <c r="IYL4765" s="34">
        <v>-3</v>
      </c>
      <c r="IYM4765" s="34">
        <v>-4</v>
      </c>
      <c r="IYN4765" s="34">
        <v>-5</v>
      </c>
      <c r="IYO4765" s="908"/>
      <c r="IYP4765" s="909"/>
      <c r="IYQ4765" s="34">
        <v>-5</v>
      </c>
      <c r="IYR4765" s="34">
        <v>-4.5</v>
      </c>
      <c r="IYS4765" s="34">
        <v>-4</v>
      </c>
      <c r="IYT4765" s="34">
        <v>-3.5</v>
      </c>
      <c r="IYU4765" s="34">
        <v>-3</v>
      </c>
      <c r="IYV4765" s="34">
        <v>-2.5</v>
      </c>
      <c r="IYW4765" s="34">
        <v>-2</v>
      </c>
      <c r="IYX4765" s="34">
        <v>-1.5</v>
      </c>
      <c r="IYY4765" s="34">
        <v>-1</v>
      </c>
      <c r="IYZ4765" s="34">
        <v>-0.5</v>
      </c>
      <c r="IZA4765" s="34">
        <v>0</v>
      </c>
      <c r="IZB4765" s="34">
        <v>0.5</v>
      </c>
      <c r="IZC4765" s="34">
        <v>1</v>
      </c>
      <c r="IZD4765" s="34">
        <v>1.5</v>
      </c>
      <c r="IZE4765" s="34">
        <v>2</v>
      </c>
      <c r="IZF4765" s="34">
        <v>2.5</v>
      </c>
      <c r="IZG4765" s="34">
        <v>3</v>
      </c>
      <c r="IZH4765" s="34">
        <v>3.5</v>
      </c>
      <c r="IZI4765" s="34">
        <v>4</v>
      </c>
      <c r="IZJ4765" s="34">
        <v>4.5</v>
      </c>
      <c r="IZK4765" s="34">
        <v>5</v>
      </c>
      <c r="IZM4765" s="913"/>
      <c r="IZN4765" s="31">
        <v>1</v>
      </c>
      <c r="IZO4765" s="34">
        <v>0</v>
      </c>
      <c r="IZP4765" s="34">
        <v>-1</v>
      </c>
      <c r="IZQ4765" s="34">
        <v>-2</v>
      </c>
      <c r="IZR4765" s="34">
        <v>-3</v>
      </c>
      <c r="IZS4765" s="34">
        <v>-4</v>
      </c>
      <c r="IZT4765" s="34">
        <v>-5</v>
      </c>
      <c r="IZU4765" s="908"/>
      <c r="IZV4765" s="909"/>
      <c r="IZW4765" s="34">
        <v>-5</v>
      </c>
      <c r="IZX4765" s="34">
        <v>-4.5</v>
      </c>
      <c r="IZY4765" s="34">
        <v>-4</v>
      </c>
      <c r="IZZ4765" s="34">
        <v>-3.5</v>
      </c>
      <c r="JAA4765" s="34">
        <v>-3</v>
      </c>
      <c r="JAB4765" s="34">
        <v>-2.5</v>
      </c>
      <c r="JAC4765" s="34">
        <v>-2</v>
      </c>
      <c r="JAD4765" s="34">
        <v>-1.5</v>
      </c>
      <c r="JAE4765" s="34">
        <v>-1</v>
      </c>
      <c r="JAF4765" s="34">
        <v>-0.5</v>
      </c>
      <c r="JAG4765" s="34">
        <v>0</v>
      </c>
      <c r="JAH4765" s="34">
        <v>0.5</v>
      </c>
      <c r="JAI4765" s="34">
        <v>1</v>
      </c>
      <c r="JAJ4765" s="34">
        <v>1.5</v>
      </c>
      <c r="JAK4765" s="34">
        <v>2</v>
      </c>
      <c r="JAL4765" s="34">
        <v>2.5</v>
      </c>
      <c r="JAM4765" s="34">
        <v>3</v>
      </c>
      <c r="JAN4765" s="34">
        <v>3.5</v>
      </c>
      <c r="JAO4765" s="34">
        <v>4</v>
      </c>
      <c r="JAP4765" s="34">
        <v>4.5</v>
      </c>
      <c r="JAQ4765" s="34">
        <v>5</v>
      </c>
      <c r="JAS4765" s="913"/>
      <c r="JAT4765" s="31">
        <v>1</v>
      </c>
      <c r="JAU4765" s="34">
        <v>0</v>
      </c>
      <c r="JAV4765" s="34">
        <v>-1</v>
      </c>
      <c r="JAW4765" s="34">
        <v>-2</v>
      </c>
      <c r="JAX4765" s="34">
        <v>-3</v>
      </c>
      <c r="JAY4765" s="34">
        <v>-4</v>
      </c>
      <c r="JAZ4765" s="34">
        <v>-5</v>
      </c>
      <c r="JBA4765" s="908"/>
      <c r="JBB4765" s="909"/>
      <c r="JBC4765" s="34">
        <v>-5</v>
      </c>
      <c r="JBD4765" s="34">
        <v>-4.5</v>
      </c>
      <c r="JBE4765" s="34">
        <v>-4</v>
      </c>
      <c r="JBF4765" s="34">
        <v>-3.5</v>
      </c>
      <c r="JBG4765" s="34">
        <v>-3</v>
      </c>
      <c r="JBH4765" s="34">
        <v>-2.5</v>
      </c>
      <c r="JBI4765" s="34">
        <v>-2</v>
      </c>
      <c r="JBJ4765" s="34">
        <v>-1.5</v>
      </c>
      <c r="JBK4765" s="34">
        <v>-1</v>
      </c>
      <c r="JBL4765" s="34">
        <v>-0.5</v>
      </c>
      <c r="JBM4765" s="34">
        <v>0</v>
      </c>
      <c r="JBN4765" s="34">
        <v>0.5</v>
      </c>
      <c r="JBO4765" s="34">
        <v>1</v>
      </c>
      <c r="JBP4765" s="34">
        <v>1.5</v>
      </c>
      <c r="JBQ4765" s="34">
        <v>2</v>
      </c>
      <c r="JBR4765" s="34">
        <v>2.5</v>
      </c>
      <c r="JBS4765" s="34">
        <v>3</v>
      </c>
      <c r="JBT4765" s="34">
        <v>3.5</v>
      </c>
      <c r="JBU4765" s="34">
        <v>4</v>
      </c>
      <c r="JBV4765" s="34">
        <v>4.5</v>
      </c>
      <c r="JBW4765" s="34">
        <v>5</v>
      </c>
      <c r="JBY4765" s="913"/>
      <c r="JBZ4765" s="31">
        <v>1</v>
      </c>
      <c r="JCA4765" s="34">
        <v>0</v>
      </c>
      <c r="JCB4765" s="34">
        <v>-1</v>
      </c>
      <c r="JCC4765" s="34">
        <v>-2</v>
      </c>
      <c r="JCD4765" s="34">
        <v>-3</v>
      </c>
      <c r="JCE4765" s="34">
        <v>-4</v>
      </c>
      <c r="JCF4765" s="34">
        <v>-5</v>
      </c>
      <c r="JCG4765" s="908"/>
      <c r="JCH4765" s="909"/>
      <c r="JCI4765" s="34">
        <v>-5</v>
      </c>
      <c r="JCJ4765" s="34">
        <v>-4.5</v>
      </c>
      <c r="JCK4765" s="34">
        <v>-4</v>
      </c>
      <c r="JCL4765" s="34">
        <v>-3.5</v>
      </c>
      <c r="JCM4765" s="34">
        <v>-3</v>
      </c>
      <c r="JCN4765" s="34">
        <v>-2.5</v>
      </c>
      <c r="JCO4765" s="34">
        <v>-2</v>
      </c>
      <c r="JCP4765" s="34">
        <v>-1.5</v>
      </c>
      <c r="JCQ4765" s="34">
        <v>-1</v>
      </c>
      <c r="JCR4765" s="34">
        <v>-0.5</v>
      </c>
      <c r="JCS4765" s="34">
        <v>0</v>
      </c>
      <c r="JCT4765" s="34">
        <v>0.5</v>
      </c>
      <c r="JCU4765" s="34">
        <v>1</v>
      </c>
      <c r="JCV4765" s="34">
        <v>1.5</v>
      </c>
      <c r="JCW4765" s="34">
        <v>2</v>
      </c>
      <c r="JCX4765" s="34">
        <v>2.5</v>
      </c>
      <c r="JCY4765" s="34">
        <v>3</v>
      </c>
      <c r="JCZ4765" s="34">
        <v>3.5</v>
      </c>
      <c r="JDA4765" s="34">
        <v>4</v>
      </c>
      <c r="JDB4765" s="34">
        <v>4.5</v>
      </c>
      <c r="JDC4765" s="34">
        <v>5</v>
      </c>
      <c r="JDE4765" s="913"/>
      <c r="JDF4765" s="31">
        <v>1</v>
      </c>
      <c r="JDG4765" s="34">
        <v>0</v>
      </c>
      <c r="JDH4765" s="34">
        <v>-1</v>
      </c>
      <c r="JDI4765" s="34">
        <v>-2</v>
      </c>
      <c r="JDJ4765" s="34">
        <v>-3</v>
      </c>
      <c r="JDK4765" s="34">
        <v>-4</v>
      </c>
      <c r="JDL4765" s="34">
        <v>-5</v>
      </c>
      <c r="JDM4765" s="908"/>
      <c r="JDN4765" s="909"/>
      <c r="JDO4765" s="34">
        <v>-5</v>
      </c>
      <c r="JDP4765" s="34">
        <v>-4.5</v>
      </c>
      <c r="JDQ4765" s="34">
        <v>-4</v>
      </c>
      <c r="JDR4765" s="34">
        <v>-3.5</v>
      </c>
      <c r="JDS4765" s="34">
        <v>-3</v>
      </c>
      <c r="JDT4765" s="34">
        <v>-2.5</v>
      </c>
      <c r="JDU4765" s="34">
        <v>-2</v>
      </c>
      <c r="JDV4765" s="34">
        <v>-1.5</v>
      </c>
      <c r="JDW4765" s="34">
        <v>-1</v>
      </c>
      <c r="JDX4765" s="34">
        <v>-0.5</v>
      </c>
      <c r="JDY4765" s="34">
        <v>0</v>
      </c>
      <c r="JDZ4765" s="34">
        <v>0.5</v>
      </c>
      <c r="JEA4765" s="34">
        <v>1</v>
      </c>
      <c r="JEB4765" s="34">
        <v>1.5</v>
      </c>
      <c r="JEC4765" s="34">
        <v>2</v>
      </c>
      <c r="JED4765" s="34">
        <v>2.5</v>
      </c>
      <c r="JEE4765" s="34">
        <v>3</v>
      </c>
      <c r="JEF4765" s="34">
        <v>3.5</v>
      </c>
      <c r="JEG4765" s="34">
        <v>4</v>
      </c>
      <c r="JEH4765" s="34">
        <v>4.5</v>
      </c>
      <c r="JEI4765" s="34">
        <v>5</v>
      </c>
      <c r="JEK4765" s="913"/>
      <c r="JEL4765" s="31">
        <v>1</v>
      </c>
      <c r="JEM4765" s="34">
        <v>0</v>
      </c>
      <c r="JEN4765" s="34">
        <v>-1</v>
      </c>
      <c r="JEO4765" s="34">
        <v>-2</v>
      </c>
      <c r="JEP4765" s="34">
        <v>-3</v>
      </c>
      <c r="JEQ4765" s="34">
        <v>-4</v>
      </c>
      <c r="JER4765" s="34">
        <v>-5</v>
      </c>
      <c r="JES4765" s="908"/>
      <c r="JET4765" s="909"/>
      <c r="JEU4765" s="34">
        <v>-5</v>
      </c>
      <c r="JEV4765" s="34">
        <v>-4.5</v>
      </c>
      <c r="JEW4765" s="34">
        <v>-4</v>
      </c>
      <c r="JEX4765" s="34">
        <v>-3.5</v>
      </c>
      <c r="JEY4765" s="34">
        <v>-3</v>
      </c>
      <c r="JEZ4765" s="34">
        <v>-2.5</v>
      </c>
      <c r="JFA4765" s="34">
        <v>-2</v>
      </c>
      <c r="JFB4765" s="34">
        <v>-1.5</v>
      </c>
      <c r="JFC4765" s="34">
        <v>-1</v>
      </c>
      <c r="JFD4765" s="34">
        <v>-0.5</v>
      </c>
      <c r="JFE4765" s="34">
        <v>0</v>
      </c>
      <c r="JFF4765" s="34">
        <v>0.5</v>
      </c>
      <c r="JFG4765" s="34">
        <v>1</v>
      </c>
      <c r="JFH4765" s="34">
        <v>1.5</v>
      </c>
      <c r="JFI4765" s="34">
        <v>2</v>
      </c>
      <c r="JFJ4765" s="34">
        <v>2.5</v>
      </c>
      <c r="JFK4765" s="34">
        <v>3</v>
      </c>
      <c r="JFL4765" s="34">
        <v>3.5</v>
      </c>
      <c r="JFM4765" s="34">
        <v>4</v>
      </c>
      <c r="JFN4765" s="34">
        <v>4.5</v>
      </c>
      <c r="JFO4765" s="34">
        <v>5</v>
      </c>
      <c r="JFQ4765" s="913"/>
      <c r="JFR4765" s="31">
        <v>1</v>
      </c>
      <c r="JFS4765" s="34">
        <v>0</v>
      </c>
      <c r="JFT4765" s="34">
        <v>-1</v>
      </c>
      <c r="JFU4765" s="34">
        <v>-2</v>
      </c>
      <c r="JFV4765" s="34">
        <v>-3</v>
      </c>
      <c r="JFW4765" s="34">
        <v>-4</v>
      </c>
      <c r="JFX4765" s="34">
        <v>-5</v>
      </c>
      <c r="JFY4765" s="908"/>
      <c r="JFZ4765" s="909"/>
      <c r="JGA4765" s="34">
        <v>-5</v>
      </c>
      <c r="JGB4765" s="34">
        <v>-4.5</v>
      </c>
      <c r="JGC4765" s="34">
        <v>-4</v>
      </c>
      <c r="JGD4765" s="34">
        <v>-3.5</v>
      </c>
      <c r="JGE4765" s="34">
        <v>-3</v>
      </c>
      <c r="JGF4765" s="34">
        <v>-2.5</v>
      </c>
      <c r="JGG4765" s="34">
        <v>-2</v>
      </c>
      <c r="JGH4765" s="34">
        <v>-1.5</v>
      </c>
      <c r="JGI4765" s="34">
        <v>-1</v>
      </c>
      <c r="JGJ4765" s="34">
        <v>-0.5</v>
      </c>
      <c r="JGK4765" s="34">
        <v>0</v>
      </c>
      <c r="JGL4765" s="34">
        <v>0.5</v>
      </c>
      <c r="JGM4765" s="34">
        <v>1</v>
      </c>
      <c r="JGN4765" s="34">
        <v>1.5</v>
      </c>
      <c r="JGO4765" s="34">
        <v>2</v>
      </c>
      <c r="JGP4765" s="34">
        <v>2.5</v>
      </c>
      <c r="JGQ4765" s="34">
        <v>3</v>
      </c>
      <c r="JGR4765" s="34">
        <v>3.5</v>
      </c>
      <c r="JGS4765" s="34">
        <v>4</v>
      </c>
      <c r="JGT4765" s="34">
        <v>4.5</v>
      </c>
      <c r="JGU4765" s="34">
        <v>5</v>
      </c>
      <c r="JGW4765" s="913"/>
      <c r="JGX4765" s="31">
        <v>1</v>
      </c>
      <c r="JGY4765" s="34">
        <v>0</v>
      </c>
      <c r="JGZ4765" s="34">
        <v>-1</v>
      </c>
      <c r="JHA4765" s="34">
        <v>-2</v>
      </c>
      <c r="JHB4765" s="34">
        <v>-3</v>
      </c>
      <c r="JHC4765" s="34">
        <v>-4</v>
      </c>
      <c r="JHD4765" s="34">
        <v>-5</v>
      </c>
      <c r="JHE4765" s="908"/>
      <c r="JHF4765" s="909"/>
      <c r="JHG4765" s="34">
        <v>-5</v>
      </c>
      <c r="JHH4765" s="34">
        <v>-4.5</v>
      </c>
      <c r="JHI4765" s="34">
        <v>-4</v>
      </c>
      <c r="JHJ4765" s="34">
        <v>-3.5</v>
      </c>
      <c r="JHK4765" s="34">
        <v>-3</v>
      </c>
      <c r="JHL4765" s="34">
        <v>-2.5</v>
      </c>
      <c r="JHM4765" s="34">
        <v>-2</v>
      </c>
      <c r="JHN4765" s="34">
        <v>-1.5</v>
      </c>
      <c r="JHO4765" s="34">
        <v>-1</v>
      </c>
      <c r="JHP4765" s="34">
        <v>-0.5</v>
      </c>
      <c r="JHQ4765" s="34">
        <v>0</v>
      </c>
      <c r="JHR4765" s="34">
        <v>0.5</v>
      </c>
      <c r="JHS4765" s="34">
        <v>1</v>
      </c>
      <c r="JHT4765" s="34">
        <v>1.5</v>
      </c>
      <c r="JHU4765" s="34">
        <v>2</v>
      </c>
      <c r="JHV4765" s="34">
        <v>2.5</v>
      </c>
      <c r="JHW4765" s="34">
        <v>3</v>
      </c>
      <c r="JHX4765" s="34">
        <v>3.5</v>
      </c>
      <c r="JHY4765" s="34">
        <v>4</v>
      </c>
      <c r="JHZ4765" s="34">
        <v>4.5</v>
      </c>
      <c r="JIA4765" s="34">
        <v>5</v>
      </c>
      <c r="JIC4765" s="913"/>
      <c r="JID4765" s="31">
        <v>1</v>
      </c>
      <c r="JIE4765" s="34">
        <v>0</v>
      </c>
      <c r="JIF4765" s="34">
        <v>-1</v>
      </c>
      <c r="JIG4765" s="34">
        <v>-2</v>
      </c>
      <c r="JIH4765" s="34">
        <v>-3</v>
      </c>
      <c r="JII4765" s="34">
        <v>-4</v>
      </c>
      <c r="JIJ4765" s="34">
        <v>-5</v>
      </c>
      <c r="JIK4765" s="908"/>
      <c r="JIL4765" s="909"/>
      <c r="JIM4765" s="34">
        <v>-5</v>
      </c>
      <c r="JIN4765" s="34">
        <v>-4.5</v>
      </c>
      <c r="JIO4765" s="34">
        <v>-4</v>
      </c>
      <c r="JIP4765" s="34">
        <v>-3.5</v>
      </c>
      <c r="JIQ4765" s="34">
        <v>-3</v>
      </c>
      <c r="JIR4765" s="34">
        <v>-2.5</v>
      </c>
      <c r="JIS4765" s="34">
        <v>-2</v>
      </c>
      <c r="JIT4765" s="34">
        <v>-1.5</v>
      </c>
      <c r="JIU4765" s="34">
        <v>-1</v>
      </c>
      <c r="JIV4765" s="34">
        <v>-0.5</v>
      </c>
      <c r="JIW4765" s="34">
        <v>0</v>
      </c>
      <c r="JIX4765" s="34">
        <v>0.5</v>
      </c>
      <c r="JIY4765" s="34">
        <v>1</v>
      </c>
      <c r="JIZ4765" s="34">
        <v>1.5</v>
      </c>
      <c r="JJA4765" s="34">
        <v>2</v>
      </c>
      <c r="JJB4765" s="34">
        <v>2.5</v>
      </c>
      <c r="JJC4765" s="34">
        <v>3</v>
      </c>
      <c r="JJD4765" s="34">
        <v>3.5</v>
      </c>
      <c r="JJE4765" s="34">
        <v>4</v>
      </c>
      <c r="JJF4765" s="34">
        <v>4.5</v>
      </c>
      <c r="JJG4765" s="34">
        <v>5</v>
      </c>
      <c r="JJI4765" s="913"/>
      <c r="JJJ4765" s="31">
        <v>1</v>
      </c>
      <c r="JJK4765" s="34">
        <v>0</v>
      </c>
      <c r="JJL4765" s="34">
        <v>-1</v>
      </c>
      <c r="JJM4765" s="34">
        <v>-2</v>
      </c>
      <c r="JJN4765" s="34">
        <v>-3</v>
      </c>
      <c r="JJO4765" s="34">
        <v>-4</v>
      </c>
      <c r="JJP4765" s="34">
        <v>-5</v>
      </c>
      <c r="JJQ4765" s="908"/>
      <c r="JJR4765" s="909"/>
      <c r="JJS4765" s="34">
        <v>-5</v>
      </c>
      <c r="JJT4765" s="34">
        <v>-4.5</v>
      </c>
      <c r="JJU4765" s="34">
        <v>-4</v>
      </c>
      <c r="JJV4765" s="34">
        <v>-3.5</v>
      </c>
      <c r="JJW4765" s="34">
        <v>-3</v>
      </c>
      <c r="JJX4765" s="34">
        <v>-2.5</v>
      </c>
      <c r="JJY4765" s="34">
        <v>-2</v>
      </c>
      <c r="JJZ4765" s="34">
        <v>-1.5</v>
      </c>
      <c r="JKA4765" s="34">
        <v>-1</v>
      </c>
      <c r="JKB4765" s="34">
        <v>-0.5</v>
      </c>
      <c r="JKC4765" s="34">
        <v>0</v>
      </c>
      <c r="JKD4765" s="34">
        <v>0.5</v>
      </c>
      <c r="JKE4765" s="34">
        <v>1</v>
      </c>
      <c r="JKF4765" s="34">
        <v>1.5</v>
      </c>
      <c r="JKG4765" s="34">
        <v>2</v>
      </c>
      <c r="JKH4765" s="34">
        <v>2.5</v>
      </c>
      <c r="JKI4765" s="34">
        <v>3</v>
      </c>
      <c r="JKJ4765" s="34">
        <v>3.5</v>
      </c>
      <c r="JKK4765" s="34">
        <v>4</v>
      </c>
      <c r="JKL4765" s="34">
        <v>4.5</v>
      </c>
      <c r="JKM4765" s="34">
        <v>5</v>
      </c>
      <c r="JKO4765" s="913"/>
      <c r="JKP4765" s="31">
        <v>1</v>
      </c>
      <c r="JKQ4765" s="34">
        <v>0</v>
      </c>
      <c r="JKR4765" s="34">
        <v>-1</v>
      </c>
      <c r="JKS4765" s="34">
        <v>-2</v>
      </c>
      <c r="JKT4765" s="34">
        <v>-3</v>
      </c>
      <c r="JKU4765" s="34">
        <v>-4</v>
      </c>
      <c r="JKV4765" s="34">
        <v>-5</v>
      </c>
      <c r="JKW4765" s="908"/>
      <c r="JKX4765" s="909"/>
      <c r="JKY4765" s="34">
        <v>-5</v>
      </c>
      <c r="JKZ4765" s="34">
        <v>-4.5</v>
      </c>
      <c r="JLA4765" s="34">
        <v>-4</v>
      </c>
      <c r="JLB4765" s="34">
        <v>-3.5</v>
      </c>
      <c r="JLC4765" s="34">
        <v>-3</v>
      </c>
      <c r="JLD4765" s="34">
        <v>-2.5</v>
      </c>
      <c r="JLE4765" s="34">
        <v>-2</v>
      </c>
      <c r="JLF4765" s="34">
        <v>-1.5</v>
      </c>
      <c r="JLG4765" s="34">
        <v>-1</v>
      </c>
      <c r="JLH4765" s="34">
        <v>-0.5</v>
      </c>
      <c r="JLI4765" s="34">
        <v>0</v>
      </c>
      <c r="JLJ4765" s="34">
        <v>0.5</v>
      </c>
      <c r="JLK4765" s="34">
        <v>1</v>
      </c>
      <c r="JLL4765" s="34">
        <v>1.5</v>
      </c>
      <c r="JLM4765" s="34">
        <v>2</v>
      </c>
      <c r="JLN4765" s="34">
        <v>2.5</v>
      </c>
      <c r="JLO4765" s="34">
        <v>3</v>
      </c>
      <c r="JLP4765" s="34">
        <v>3.5</v>
      </c>
      <c r="JLQ4765" s="34">
        <v>4</v>
      </c>
      <c r="JLR4765" s="34">
        <v>4.5</v>
      </c>
      <c r="JLS4765" s="34">
        <v>5</v>
      </c>
      <c r="JLU4765" s="913"/>
      <c r="JLV4765" s="31">
        <v>1</v>
      </c>
      <c r="JLW4765" s="34">
        <v>0</v>
      </c>
      <c r="JLX4765" s="34">
        <v>-1</v>
      </c>
      <c r="JLY4765" s="34">
        <v>-2</v>
      </c>
      <c r="JLZ4765" s="34">
        <v>-3</v>
      </c>
      <c r="JMA4765" s="34">
        <v>-4</v>
      </c>
      <c r="JMB4765" s="34">
        <v>-5</v>
      </c>
      <c r="JMC4765" s="908"/>
      <c r="JMD4765" s="909"/>
      <c r="JME4765" s="34">
        <v>-5</v>
      </c>
      <c r="JMF4765" s="34">
        <v>-4.5</v>
      </c>
      <c r="JMG4765" s="34">
        <v>-4</v>
      </c>
      <c r="JMH4765" s="34">
        <v>-3.5</v>
      </c>
      <c r="JMI4765" s="34">
        <v>-3</v>
      </c>
      <c r="JMJ4765" s="34">
        <v>-2.5</v>
      </c>
      <c r="JMK4765" s="34">
        <v>-2</v>
      </c>
      <c r="JML4765" s="34">
        <v>-1.5</v>
      </c>
      <c r="JMM4765" s="34">
        <v>-1</v>
      </c>
      <c r="JMN4765" s="34">
        <v>-0.5</v>
      </c>
      <c r="JMO4765" s="34">
        <v>0</v>
      </c>
      <c r="JMP4765" s="34">
        <v>0.5</v>
      </c>
      <c r="JMQ4765" s="34">
        <v>1</v>
      </c>
      <c r="JMR4765" s="34">
        <v>1.5</v>
      </c>
      <c r="JMS4765" s="34">
        <v>2</v>
      </c>
      <c r="JMT4765" s="34">
        <v>2.5</v>
      </c>
      <c r="JMU4765" s="34">
        <v>3</v>
      </c>
      <c r="JMV4765" s="34">
        <v>3.5</v>
      </c>
      <c r="JMW4765" s="34">
        <v>4</v>
      </c>
      <c r="JMX4765" s="34">
        <v>4.5</v>
      </c>
      <c r="JMY4765" s="34">
        <v>5</v>
      </c>
      <c r="JNA4765" s="913"/>
      <c r="JNB4765" s="31">
        <v>1</v>
      </c>
      <c r="JNC4765" s="34">
        <v>0</v>
      </c>
      <c r="JND4765" s="34">
        <v>-1</v>
      </c>
      <c r="JNE4765" s="34">
        <v>-2</v>
      </c>
      <c r="JNF4765" s="34">
        <v>-3</v>
      </c>
      <c r="JNG4765" s="34">
        <v>-4</v>
      </c>
      <c r="JNH4765" s="34">
        <v>-5</v>
      </c>
      <c r="JNI4765" s="908"/>
      <c r="JNJ4765" s="909"/>
      <c r="JNK4765" s="34">
        <v>-5</v>
      </c>
      <c r="JNL4765" s="34">
        <v>-4.5</v>
      </c>
      <c r="JNM4765" s="34">
        <v>-4</v>
      </c>
      <c r="JNN4765" s="34">
        <v>-3.5</v>
      </c>
      <c r="JNO4765" s="34">
        <v>-3</v>
      </c>
      <c r="JNP4765" s="34">
        <v>-2.5</v>
      </c>
      <c r="JNQ4765" s="34">
        <v>-2</v>
      </c>
      <c r="JNR4765" s="34">
        <v>-1.5</v>
      </c>
      <c r="JNS4765" s="34">
        <v>-1</v>
      </c>
      <c r="JNT4765" s="34">
        <v>-0.5</v>
      </c>
      <c r="JNU4765" s="34">
        <v>0</v>
      </c>
      <c r="JNV4765" s="34">
        <v>0.5</v>
      </c>
      <c r="JNW4765" s="34">
        <v>1</v>
      </c>
      <c r="JNX4765" s="34">
        <v>1.5</v>
      </c>
      <c r="JNY4765" s="34">
        <v>2</v>
      </c>
      <c r="JNZ4765" s="34">
        <v>2.5</v>
      </c>
      <c r="JOA4765" s="34">
        <v>3</v>
      </c>
      <c r="JOB4765" s="34">
        <v>3.5</v>
      </c>
      <c r="JOC4765" s="34">
        <v>4</v>
      </c>
      <c r="JOD4765" s="34">
        <v>4.5</v>
      </c>
      <c r="JOE4765" s="34">
        <v>5</v>
      </c>
      <c r="JOG4765" s="913"/>
      <c r="JOH4765" s="31">
        <v>1</v>
      </c>
      <c r="JOI4765" s="34">
        <v>0</v>
      </c>
      <c r="JOJ4765" s="34">
        <v>-1</v>
      </c>
      <c r="JOK4765" s="34">
        <v>-2</v>
      </c>
      <c r="JOL4765" s="34">
        <v>-3</v>
      </c>
      <c r="JOM4765" s="34">
        <v>-4</v>
      </c>
      <c r="JON4765" s="34">
        <v>-5</v>
      </c>
      <c r="JOO4765" s="908"/>
      <c r="JOP4765" s="909"/>
      <c r="JOQ4765" s="34">
        <v>-5</v>
      </c>
      <c r="JOR4765" s="34">
        <v>-4.5</v>
      </c>
      <c r="JOS4765" s="34">
        <v>-4</v>
      </c>
      <c r="JOT4765" s="34">
        <v>-3.5</v>
      </c>
      <c r="JOU4765" s="34">
        <v>-3</v>
      </c>
      <c r="JOV4765" s="34">
        <v>-2.5</v>
      </c>
      <c r="JOW4765" s="34">
        <v>-2</v>
      </c>
      <c r="JOX4765" s="34">
        <v>-1.5</v>
      </c>
      <c r="JOY4765" s="34">
        <v>-1</v>
      </c>
      <c r="JOZ4765" s="34">
        <v>-0.5</v>
      </c>
      <c r="JPA4765" s="34">
        <v>0</v>
      </c>
      <c r="JPB4765" s="34">
        <v>0.5</v>
      </c>
      <c r="JPC4765" s="34">
        <v>1</v>
      </c>
      <c r="JPD4765" s="34">
        <v>1.5</v>
      </c>
      <c r="JPE4765" s="34">
        <v>2</v>
      </c>
      <c r="JPF4765" s="34">
        <v>2.5</v>
      </c>
      <c r="JPG4765" s="34">
        <v>3</v>
      </c>
      <c r="JPH4765" s="34">
        <v>3.5</v>
      </c>
      <c r="JPI4765" s="34">
        <v>4</v>
      </c>
      <c r="JPJ4765" s="34">
        <v>4.5</v>
      </c>
      <c r="JPK4765" s="34">
        <v>5</v>
      </c>
      <c r="JPM4765" s="913"/>
      <c r="JPN4765" s="31">
        <v>1</v>
      </c>
      <c r="JPO4765" s="34">
        <v>0</v>
      </c>
      <c r="JPP4765" s="34">
        <v>-1</v>
      </c>
      <c r="JPQ4765" s="34">
        <v>-2</v>
      </c>
      <c r="JPR4765" s="34">
        <v>-3</v>
      </c>
      <c r="JPS4765" s="34">
        <v>-4</v>
      </c>
      <c r="JPT4765" s="34">
        <v>-5</v>
      </c>
      <c r="JPU4765" s="908"/>
      <c r="JPV4765" s="909"/>
      <c r="JPW4765" s="34">
        <v>-5</v>
      </c>
      <c r="JPX4765" s="34">
        <v>-4.5</v>
      </c>
      <c r="JPY4765" s="34">
        <v>-4</v>
      </c>
      <c r="JPZ4765" s="34">
        <v>-3.5</v>
      </c>
      <c r="JQA4765" s="34">
        <v>-3</v>
      </c>
      <c r="JQB4765" s="34">
        <v>-2.5</v>
      </c>
      <c r="JQC4765" s="34">
        <v>-2</v>
      </c>
      <c r="JQD4765" s="34">
        <v>-1.5</v>
      </c>
      <c r="JQE4765" s="34">
        <v>-1</v>
      </c>
      <c r="JQF4765" s="34">
        <v>-0.5</v>
      </c>
      <c r="JQG4765" s="34">
        <v>0</v>
      </c>
      <c r="JQH4765" s="34">
        <v>0.5</v>
      </c>
      <c r="JQI4765" s="34">
        <v>1</v>
      </c>
      <c r="JQJ4765" s="34">
        <v>1.5</v>
      </c>
      <c r="JQK4765" s="34">
        <v>2</v>
      </c>
      <c r="JQL4765" s="34">
        <v>2.5</v>
      </c>
      <c r="JQM4765" s="34">
        <v>3</v>
      </c>
      <c r="JQN4765" s="34">
        <v>3.5</v>
      </c>
      <c r="JQO4765" s="34">
        <v>4</v>
      </c>
      <c r="JQP4765" s="34">
        <v>4.5</v>
      </c>
      <c r="JQQ4765" s="34">
        <v>5</v>
      </c>
      <c r="JQS4765" s="913"/>
      <c r="JQT4765" s="31">
        <v>1</v>
      </c>
      <c r="JQU4765" s="34">
        <v>0</v>
      </c>
      <c r="JQV4765" s="34">
        <v>-1</v>
      </c>
      <c r="JQW4765" s="34">
        <v>-2</v>
      </c>
      <c r="JQX4765" s="34">
        <v>-3</v>
      </c>
      <c r="JQY4765" s="34">
        <v>-4</v>
      </c>
      <c r="JQZ4765" s="34">
        <v>-5</v>
      </c>
      <c r="JRA4765" s="908"/>
      <c r="JRB4765" s="909"/>
      <c r="JRC4765" s="34">
        <v>-5</v>
      </c>
      <c r="JRD4765" s="34">
        <v>-4.5</v>
      </c>
      <c r="JRE4765" s="34">
        <v>-4</v>
      </c>
      <c r="JRF4765" s="34">
        <v>-3.5</v>
      </c>
      <c r="JRG4765" s="34">
        <v>-3</v>
      </c>
      <c r="JRH4765" s="34">
        <v>-2.5</v>
      </c>
      <c r="JRI4765" s="34">
        <v>-2</v>
      </c>
      <c r="JRJ4765" s="34">
        <v>-1.5</v>
      </c>
      <c r="JRK4765" s="34">
        <v>-1</v>
      </c>
      <c r="JRL4765" s="34">
        <v>-0.5</v>
      </c>
      <c r="JRM4765" s="34">
        <v>0</v>
      </c>
      <c r="JRN4765" s="34">
        <v>0.5</v>
      </c>
      <c r="JRO4765" s="34">
        <v>1</v>
      </c>
      <c r="JRP4765" s="34">
        <v>1.5</v>
      </c>
      <c r="JRQ4765" s="34">
        <v>2</v>
      </c>
      <c r="JRR4765" s="34">
        <v>2.5</v>
      </c>
      <c r="JRS4765" s="34">
        <v>3</v>
      </c>
      <c r="JRT4765" s="34">
        <v>3.5</v>
      </c>
      <c r="JRU4765" s="34">
        <v>4</v>
      </c>
      <c r="JRV4765" s="34">
        <v>4.5</v>
      </c>
      <c r="JRW4765" s="34">
        <v>5</v>
      </c>
      <c r="JRY4765" s="913"/>
      <c r="JRZ4765" s="31">
        <v>1</v>
      </c>
      <c r="JSA4765" s="34">
        <v>0</v>
      </c>
      <c r="JSB4765" s="34">
        <v>-1</v>
      </c>
      <c r="JSC4765" s="34">
        <v>-2</v>
      </c>
      <c r="JSD4765" s="34">
        <v>-3</v>
      </c>
      <c r="JSE4765" s="34">
        <v>-4</v>
      </c>
      <c r="JSF4765" s="34">
        <v>-5</v>
      </c>
      <c r="JSG4765" s="908"/>
      <c r="JSH4765" s="909"/>
      <c r="JSI4765" s="34">
        <v>-5</v>
      </c>
      <c r="JSJ4765" s="34">
        <v>-4.5</v>
      </c>
      <c r="JSK4765" s="34">
        <v>-4</v>
      </c>
      <c r="JSL4765" s="34">
        <v>-3.5</v>
      </c>
      <c r="JSM4765" s="34">
        <v>-3</v>
      </c>
      <c r="JSN4765" s="34">
        <v>-2.5</v>
      </c>
      <c r="JSO4765" s="34">
        <v>-2</v>
      </c>
      <c r="JSP4765" s="34">
        <v>-1.5</v>
      </c>
      <c r="JSQ4765" s="34">
        <v>-1</v>
      </c>
      <c r="JSR4765" s="34">
        <v>-0.5</v>
      </c>
      <c r="JSS4765" s="34">
        <v>0</v>
      </c>
      <c r="JST4765" s="34">
        <v>0.5</v>
      </c>
      <c r="JSU4765" s="34">
        <v>1</v>
      </c>
      <c r="JSV4765" s="34">
        <v>1.5</v>
      </c>
      <c r="JSW4765" s="34">
        <v>2</v>
      </c>
      <c r="JSX4765" s="34">
        <v>2.5</v>
      </c>
      <c r="JSY4765" s="34">
        <v>3</v>
      </c>
      <c r="JSZ4765" s="34">
        <v>3.5</v>
      </c>
      <c r="JTA4765" s="34">
        <v>4</v>
      </c>
      <c r="JTB4765" s="34">
        <v>4.5</v>
      </c>
      <c r="JTC4765" s="34">
        <v>5</v>
      </c>
      <c r="JTE4765" s="913"/>
      <c r="JTF4765" s="31">
        <v>1</v>
      </c>
      <c r="JTG4765" s="34">
        <v>0</v>
      </c>
      <c r="JTH4765" s="34">
        <v>-1</v>
      </c>
      <c r="JTI4765" s="34">
        <v>-2</v>
      </c>
      <c r="JTJ4765" s="34">
        <v>-3</v>
      </c>
      <c r="JTK4765" s="34">
        <v>-4</v>
      </c>
      <c r="JTL4765" s="34">
        <v>-5</v>
      </c>
      <c r="JTM4765" s="908"/>
      <c r="JTN4765" s="909"/>
      <c r="JTO4765" s="34">
        <v>-5</v>
      </c>
      <c r="JTP4765" s="34">
        <v>-4.5</v>
      </c>
      <c r="JTQ4765" s="34">
        <v>-4</v>
      </c>
      <c r="JTR4765" s="34">
        <v>-3.5</v>
      </c>
      <c r="JTS4765" s="34">
        <v>-3</v>
      </c>
      <c r="JTT4765" s="34">
        <v>-2.5</v>
      </c>
      <c r="JTU4765" s="34">
        <v>-2</v>
      </c>
      <c r="JTV4765" s="34">
        <v>-1.5</v>
      </c>
      <c r="JTW4765" s="34">
        <v>-1</v>
      </c>
      <c r="JTX4765" s="34">
        <v>-0.5</v>
      </c>
      <c r="JTY4765" s="34">
        <v>0</v>
      </c>
      <c r="JTZ4765" s="34">
        <v>0.5</v>
      </c>
      <c r="JUA4765" s="34">
        <v>1</v>
      </c>
      <c r="JUB4765" s="34">
        <v>1.5</v>
      </c>
      <c r="JUC4765" s="34">
        <v>2</v>
      </c>
      <c r="JUD4765" s="34">
        <v>2.5</v>
      </c>
      <c r="JUE4765" s="34">
        <v>3</v>
      </c>
      <c r="JUF4765" s="34">
        <v>3.5</v>
      </c>
      <c r="JUG4765" s="34">
        <v>4</v>
      </c>
      <c r="JUH4765" s="34">
        <v>4.5</v>
      </c>
      <c r="JUI4765" s="34">
        <v>5</v>
      </c>
      <c r="JUK4765" s="913"/>
      <c r="JUL4765" s="31">
        <v>1</v>
      </c>
      <c r="JUM4765" s="34">
        <v>0</v>
      </c>
      <c r="JUN4765" s="34">
        <v>-1</v>
      </c>
      <c r="JUO4765" s="34">
        <v>-2</v>
      </c>
      <c r="JUP4765" s="34">
        <v>-3</v>
      </c>
      <c r="JUQ4765" s="34">
        <v>-4</v>
      </c>
      <c r="JUR4765" s="34">
        <v>-5</v>
      </c>
      <c r="JUS4765" s="908"/>
      <c r="JUT4765" s="909"/>
      <c r="JUU4765" s="34">
        <v>-5</v>
      </c>
      <c r="JUV4765" s="34">
        <v>-4.5</v>
      </c>
      <c r="JUW4765" s="34">
        <v>-4</v>
      </c>
      <c r="JUX4765" s="34">
        <v>-3.5</v>
      </c>
      <c r="JUY4765" s="34">
        <v>-3</v>
      </c>
      <c r="JUZ4765" s="34">
        <v>-2.5</v>
      </c>
      <c r="JVA4765" s="34">
        <v>-2</v>
      </c>
      <c r="JVB4765" s="34">
        <v>-1.5</v>
      </c>
      <c r="JVC4765" s="34">
        <v>-1</v>
      </c>
      <c r="JVD4765" s="34">
        <v>-0.5</v>
      </c>
      <c r="JVE4765" s="34">
        <v>0</v>
      </c>
      <c r="JVF4765" s="34">
        <v>0.5</v>
      </c>
      <c r="JVG4765" s="34">
        <v>1</v>
      </c>
      <c r="JVH4765" s="34">
        <v>1.5</v>
      </c>
      <c r="JVI4765" s="34">
        <v>2</v>
      </c>
      <c r="JVJ4765" s="34">
        <v>2.5</v>
      </c>
      <c r="JVK4765" s="34">
        <v>3</v>
      </c>
      <c r="JVL4765" s="34">
        <v>3.5</v>
      </c>
      <c r="JVM4765" s="34">
        <v>4</v>
      </c>
      <c r="JVN4765" s="34">
        <v>4.5</v>
      </c>
      <c r="JVO4765" s="34">
        <v>5</v>
      </c>
      <c r="JVQ4765" s="913"/>
      <c r="JVR4765" s="31">
        <v>1</v>
      </c>
      <c r="JVS4765" s="34">
        <v>0</v>
      </c>
      <c r="JVT4765" s="34">
        <v>-1</v>
      </c>
      <c r="JVU4765" s="34">
        <v>-2</v>
      </c>
      <c r="JVV4765" s="34">
        <v>-3</v>
      </c>
      <c r="JVW4765" s="34">
        <v>-4</v>
      </c>
      <c r="JVX4765" s="34">
        <v>-5</v>
      </c>
      <c r="JVY4765" s="908"/>
      <c r="JVZ4765" s="909"/>
      <c r="JWA4765" s="34">
        <v>-5</v>
      </c>
      <c r="JWB4765" s="34">
        <v>-4.5</v>
      </c>
      <c r="JWC4765" s="34">
        <v>-4</v>
      </c>
      <c r="JWD4765" s="34">
        <v>-3.5</v>
      </c>
      <c r="JWE4765" s="34">
        <v>-3</v>
      </c>
      <c r="JWF4765" s="34">
        <v>-2.5</v>
      </c>
      <c r="JWG4765" s="34">
        <v>-2</v>
      </c>
      <c r="JWH4765" s="34">
        <v>-1.5</v>
      </c>
      <c r="JWI4765" s="34">
        <v>-1</v>
      </c>
      <c r="JWJ4765" s="34">
        <v>-0.5</v>
      </c>
      <c r="JWK4765" s="34">
        <v>0</v>
      </c>
      <c r="JWL4765" s="34">
        <v>0.5</v>
      </c>
      <c r="JWM4765" s="34">
        <v>1</v>
      </c>
      <c r="JWN4765" s="34">
        <v>1.5</v>
      </c>
      <c r="JWO4765" s="34">
        <v>2</v>
      </c>
      <c r="JWP4765" s="34">
        <v>2.5</v>
      </c>
      <c r="JWQ4765" s="34">
        <v>3</v>
      </c>
      <c r="JWR4765" s="34">
        <v>3.5</v>
      </c>
      <c r="JWS4765" s="34">
        <v>4</v>
      </c>
      <c r="JWT4765" s="34">
        <v>4.5</v>
      </c>
      <c r="JWU4765" s="34">
        <v>5</v>
      </c>
      <c r="JWW4765" s="913"/>
      <c r="JWX4765" s="31">
        <v>1</v>
      </c>
      <c r="JWY4765" s="34">
        <v>0</v>
      </c>
      <c r="JWZ4765" s="34">
        <v>-1</v>
      </c>
      <c r="JXA4765" s="34">
        <v>-2</v>
      </c>
      <c r="JXB4765" s="34">
        <v>-3</v>
      </c>
      <c r="JXC4765" s="34">
        <v>-4</v>
      </c>
      <c r="JXD4765" s="34">
        <v>-5</v>
      </c>
      <c r="JXE4765" s="908"/>
      <c r="JXF4765" s="909"/>
      <c r="JXG4765" s="34">
        <v>-5</v>
      </c>
      <c r="JXH4765" s="34">
        <v>-4.5</v>
      </c>
      <c r="JXI4765" s="34">
        <v>-4</v>
      </c>
      <c r="JXJ4765" s="34">
        <v>-3.5</v>
      </c>
      <c r="JXK4765" s="34">
        <v>-3</v>
      </c>
      <c r="JXL4765" s="34">
        <v>-2.5</v>
      </c>
      <c r="JXM4765" s="34">
        <v>-2</v>
      </c>
      <c r="JXN4765" s="34">
        <v>-1.5</v>
      </c>
      <c r="JXO4765" s="34">
        <v>-1</v>
      </c>
      <c r="JXP4765" s="34">
        <v>-0.5</v>
      </c>
      <c r="JXQ4765" s="34">
        <v>0</v>
      </c>
      <c r="JXR4765" s="34">
        <v>0.5</v>
      </c>
      <c r="JXS4765" s="34">
        <v>1</v>
      </c>
      <c r="JXT4765" s="34">
        <v>1.5</v>
      </c>
      <c r="JXU4765" s="34">
        <v>2</v>
      </c>
      <c r="JXV4765" s="34">
        <v>2.5</v>
      </c>
      <c r="JXW4765" s="34">
        <v>3</v>
      </c>
      <c r="JXX4765" s="34">
        <v>3.5</v>
      </c>
      <c r="JXY4765" s="34">
        <v>4</v>
      </c>
      <c r="JXZ4765" s="34">
        <v>4.5</v>
      </c>
      <c r="JYA4765" s="34">
        <v>5</v>
      </c>
      <c r="JYC4765" s="913"/>
      <c r="JYD4765" s="31">
        <v>1</v>
      </c>
      <c r="JYE4765" s="34">
        <v>0</v>
      </c>
      <c r="JYF4765" s="34">
        <v>-1</v>
      </c>
      <c r="JYG4765" s="34">
        <v>-2</v>
      </c>
      <c r="JYH4765" s="34">
        <v>-3</v>
      </c>
      <c r="JYI4765" s="34">
        <v>-4</v>
      </c>
      <c r="JYJ4765" s="34">
        <v>-5</v>
      </c>
      <c r="JYK4765" s="908"/>
      <c r="JYL4765" s="909"/>
      <c r="JYM4765" s="34">
        <v>-5</v>
      </c>
      <c r="JYN4765" s="34">
        <v>-4.5</v>
      </c>
      <c r="JYO4765" s="34">
        <v>-4</v>
      </c>
      <c r="JYP4765" s="34">
        <v>-3.5</v>
      </c>
      <c r="JYQ4765" s="34">
        <v>-3</v>
      </c>
      <c r="JYR4765" s="34">
        <v>-2.5</v>
      </c>
      <c r="JYS4765" s="34">
        <v>-2</v>
      </c>
      <c r="JYT4765" s="34">
        <v>-1.5</v>
      </c>
      <c r="JYU4765" s="34">
        <v>-1</v>
      </c>
      <c r="JYV4765" s="34">
        <v>-0.5</v>
      </c>
      <c r="JYW4765" s="34">
        <v>0</v>
      </c>
      <c r="JYX4765" s="34">
        <v>0.5</v>
      </c>
      <c r="JYY4765" s="34">
        <v>1</v>
      </c>
      <c r="JYZ4765" s="34">
        <v>1.5</v>
      </c>
      <c r="JZA4765" s="34">
        <v>2</v>
      </c>
      <c r="JZB4765" s="34">
        <v>2.5</v>
      </c>
      <c r="JZC4765" s="34">
        <v>3</v>
      </c>
      <c r="JZD4765" s="34">
        <v>3.5</v>
      </c>
      <c r="JZE4765" s="34">
        <v>4</v>
      </c>
      <c r="JZF4765" s="34">
        <v>4.5</v>
      </c>
      <c r="JZG4765" s="34">
        <v>5</v>
      </c>
      <c r="JZI4765" s="913"/>
      <c r="JZJ4765" s="31">
        <v>1</v>
      </c>
      <c r="JZK4765" s="34">
        <v>0</v>
      </c>
      <c r="JZL4765" s="34">
        <v>-1</v>
      </c>
      <c r="JZM4765" s="34">
        <v>-2</v>
      </c>
      <c r="JZN4765" s="34">
        <v>-3</v>
      </c>
      <c r="JZO4765" s="34">
        <v>-4</v>
      </c>
      <c r="JZP4765" s="34">
        <v>-5</v>
      </c>
      <c r="JZQ4765" s="908"/>
      <c r="JZR4765" s="909"/>
      <c r="JZS4765" s="34">
        <v>-5</v>
      </c>
      <c r="JZT4765" s="34">
        <v>-4.5</v>
      </c>
      <c r="JZU4765" s="34">
        <v>-4</v>
      </c>
      <c r="JZV4765" s="34">
        <v>-3.5</v>
      </c>
      <c r="JZW4765" s="34">
        <v>-3</v>
      </c>
      <c r="JZX4765" s="34">
        <v>-2.5</v>
      </c>
      <c r="JZY4765" s="34">
        <v>-2</v>
      </c>
      <c r="JZZ4765" s="34">
        <v>-1.5</v>
      </c>
      <c r="KAA4765" s="34">
        <v>-1</v>
      </c>
      <c r="KAB4765" s="34">
        <v>-0.5</v>
      </c>
      <c r="KAC4765" s="34">
        <v>0</v>
      </c>
      <c r="KAD4765" s="34">
        <v>0.5</v>
      </c>
      <c r="KAE4765" s="34">
        <v>1</v>
      </c>
      <c r="KAF4765" s="34">
        <v>1.5</v>
      </c>
      <c r="KAG4765" s="34">
        <v>2</v>
      </c>
      <c r="KAH4765" s="34">
        <v>2.5</v>
      </c>
      <c r="KAI4765" s="34">
        <v>3</v>
      </c>
      <c r="KAJ4765" s="34">
        <v>3.5</v>
      </c>
      <c r="KAK4765" s="34">
        <v>4</v>
      </c>
      <c r="KAL4765" s="34">
        <v>4.5</v>
      </c>
      <c r="KAM4765" s="34">
        <v>5</v>
      </c>
      <c r="KAO4765" s="913"/>
      <c r="KAP4765" s="31">
        <v>1</v>
      </c>
      <c r="KAQ4765" s="34">
        <v>0</v>
      </c>
      <c r="KAR4765" s="34">
        <v>-1</v>
      </c>
      <c r="KAS4765" s="34">
        <v>-2</v>
      </c>
      <c r="KAT4765" s="34">
        <v>-3</v>
      </c>
      <c r="KAU4765" s="34">
        <v>-4</v>
      </c>
      <c r="KAV4765" s="34">
        <v>-5</v>
      </c>
      <c r="KAW4765" s="908"/>
      <c r="KAX4765" s="909"/>
      <c r="KAY4765" s="34">
        <v>-5</v>
      </c>
      <c r="KAZ4765" s="34">
        <v>-4.5</v>
      </c>
      <c r="KBA4765" s="34">
        <v>-4</v>
      </c>
      <c r="KBB4765" s="34">
        <v>-3.5</v>
      </c>
      <c r="KBC4765" s="34">
        <v>-3</v>
      </c>
      <c r="KBD4765" s="34">
        <v>-2.5</v>
      </c>
      <c r="KBE4765" s="34">
        <v>-2</v>
      </c>
      <c r="KBF4765" s="34">
        <v>-1.5</v>
      </c>
      <c r="KBG4765" s="34">
        <v>-1</v>
      </c>
      <c r="KBH4765" s="34">
        <v>-0.5</v>
      </c>
      <c r="KBI4765" s="34">
        <v>0</v>
      </c>
      <c r="KBJ4765" s="34">
        <v>0.5</v>
      </c>
      <c r="KBK4765" s="34">
        <v>1</v>
      </c>
      <c r="KBL4765" s="34">
        <v>1.5</v>
      </c>
      <c r="KBM4765" s="34">
        <v>2</v>
      </c>
      <c r="KBN4765" s="34">
        <v>2.5</v>
      </c>
      <c r="KBO4765" s="34">
        <v>3</v>
      </c>
      <c r="KBP4765" s="34">
        <v>3.5</v>
      </c>
      <c r="KBQ4765" s="34">
        <v>4</v>
      </c>
      <c r="KBR4765" s="34">
        <v>4.5</v>
      </c>
      <c r="KBS4765" s="34">
        <v>5</v>
      </c>
      <c r="KBU4765" s="913"/>
      <c r="KBV4765" s="31">
        <v>1</v>
      </c>
      <c r="KBW4765" s="34">
        <v>0</v>
      </c>
      <c r="KBX4765" s="34">
        <v>-1</v>
      </c>
      <c r="KBY4765" s="34">
        <v>-2</v>
      </c>
      <c r="KBZ4765" s="34">
        <v>-3</v>
      </c>
      <c r="KCA4765" s="34">
        <v>-4</v>
      </c>
      <c r="KCB4765" s="34">
        <v>-5</v>
      </c>
      <c r="KCC4765" s="908"/>
      <c r="KCD4765" s="909"/>
      <c r="KCE4765" s="34">
        <v>-5</v>
      </c>
      <c r="KCF4765" s="34">
        <v>-4.5</v>
      </c>
      <c r="KCG4765" s="34">
        <v>-4</v>
      </c>
      <c r="KCH4765" s="34">
        <v>-3.5</v>
      </c>
      <c r="KCI4765" s="34">
        <v>-3</v>
      </c>
      <c r="KCJ4765" s="34">
        <v>-2.5</v>
      </c>
      <c r="KCK4765" s="34">
        <v>-2</v>
      </c>
      <c r="KCL4765" s="34">
        <v>-1.5</v>
      </c>
      <c r="KCM4765" s="34">
        <v>-1</v>
      </c>
      <c r="KCN4765" s="34">
        <v>-0.5</v>
      </c>
      <c r="KCO4765" s="34">
        <v>0</v>
      </c>
      <c r="KCP4765" s="34">
        <v>0.5</v>
      </c>
      <c r="KCQ4765" s="34">
        <v>1</v>
      </c>
      <c r="KCR4765" s="34">
        <v>1.5</v>
      </c>
      <c r="KCS4765" s="34">
        <v>2</v>
      </c>
      <c r="KCT4765" s="34">
        <v>2.5</v>
      </c>
      <c r="KCU4765" s="34">
        <v>3</v>
      </c>
      <c r="KCV4765" s="34">
        <v>3.5</v>
      </c>
      <c r="KCW4765" s="34">
        <v>4</v>
      </c>
      <c r="KCX4765" s="34">
        <v>4.5</v>
      </c>
      <c r="KCY4765" s="34">
        <v>5</v>
      </c>
      <c r="KDA4765" s="913"/>
      <c r="KDB4765" s="31">
        <v>1</v>
      </c>
      <c r="KDC4765" s="34">
        <v>0</v>
      </c>
      <c r="KDD4765" s="34">
        <v>-1</v>
      </c>
      <c r="KDE4765" s="34">
        <v>-2</v>
      </c>
      <c r="KDF4765" s="34">
        <v>-3</v>
      </c>
      <c r="KDG4765" s="34">
        <v>-4</v>
      </c>
      <c r="KDH4765" s="34">
        <v>-5</v>
      </c>
      <c r="KDI4765" s="908"/>
      <c r="KDJ4765" s="909"/>
      <c r="KDK4765" s="34">
        <v>-5</v>
      </c>
      <c r="KDL4765" s="34">
        <v>-4.5</v>
      </c>
      <c r="KDM4765" s="34">
        <v>-4</v>
      </c>
      <c r="KDN4765" s="34">
        <v>-3.5</v>
      </c>
      <c r="KDO4765" s="34">
        <v>-3</v>
      </c>
      <c r="KDP4765" s="34">
        <v>-2.5</v>
      </c>
      <c r="KDQ4765" s="34">
        <v>-2</v>
      </c>
      <c r="KDR4765" s="34">
        <v>-1.5</v>
      </c>
      <c r="KDS4765" s="34">
        <v>-1</v>
      </c>
      <c r="KDT4765" s="34">
        <v>-0.5</v>
      </c>
      <c r="KDU4765" s="34">
        <v>0</v>
      </c>
      <c r="KDV4765" s="34">
        <v>0.5</v>
      </c>
      <c r="KDW4765" s="34">
        <v>1</v>
      </c>
      <c r="KDX4765" s="34">
        <v>1.5</v>
      </c>
      <c r="KDY4765" s="34">
        <v>2</v>
      </c>
      <c r="KDZ4765" s="34">
        <v>2.5</v>
      </c>
      <c r="KEA4765" s="34">
        <v>3</v>
      </c>
      <c r="KEB4765" s="34">
        <v>3.5</v>
      </c>
      <c r="KEC4765" s="34">
        <v>4</v>
      </c>
      <c r="KED4765" s="34">
        <v>4.5</v>
      </c>
      <c r="KEE4765" s="34">
        <v>5</v>
      </c>
      <c r="KEG4765" s="913"/>
      <c r="KEH4765" s="31">
        <v>1</v>
      </c>
      <c r="KEI4765" s="34">
        <v>0</v>
      </c>
      <c r="KEJ4765" s="34">
        <v>-1</v>
      </c>
      <c r="KEK4765" s="34">
        <v>-2</v>
      </c>
      <c r="KEL4765" s="34">
        <v>-3</v>
      </c>
      <c r="KEM4765" s="34">
        <v>-4</v>
      </c>
      <c r="KEN4765" s="34">
        <v>-5</v>
      </c>
      <c r="KEO4765" s="908"/>
      <c r="KEP4765" s="909"/>
      <c r="KEQ4765" s="34">
        <v>-5</v>
      </c>
      <c r="KER4765" s="34">
        <v>-4.5</v>
      </c>
      <c r="KES4765" s="34">
        <v>-4</v>
      </c>
      <c r="KET4765" s="34">
        <v>-3.5</v>
      </c>
      <c r="KEU4765" s="34">
        <v>-3</v>
      </c>
      <c r="KEV4765" s="34">
        <v>-2.5</v>
      </c>
      <c r="KEW4765" s="34">
        <v>-2</v>
      </c>
      <c r="KEX4765" s="34">
        <v>-1.5</v>
      </c>
      <c r="KEY4765" s="34">
        <v>-1</v>
      </c>
      <c r="KEZ4765" s="34">
        <v>-0.5</v>
      </c>
      <c r="KFA4765" s="34">
        <v>0</v>
      </c>
      <c r="KFB4765" s="34">
        <v>0.5</v>
      </c>
      <c r="KFC4765" s="34">
        <v>1</v>
      </c>
      <c r="KFD4765" s="34">
        <v>1.5</v>
      </c>
      <c r="KFE4765" s="34">
        <v>2</v>
      </c>
      <c r="KFF4765" s="34">
        <v>2.5</v>
      </c>
      <c r="KFG4765" s="34">
        <v>3</v>
      </c>
      <c r="KFH4765" s="34">
        <v>3.5</v>
      </c>
      <c r="KFI4765" s="34">
        <v>4</v>
      </c>
      <c r="KFJ4765" s="34">
        <v>4.5</v>
      </c>
      <c r="KFK4765" s="34">
        <v>5</v>
      </c>
      <c r="KFM4765" s="913"/>
      <c r="KFN4765" s="31">
        <v>1</v>
      </c>
      <c r="KFO4765" s="34">
        <v>0</v>
      </c>
      <c r="KFP4765" s="34">
        <v>-1</v>
      </c>
      <c r="KFQ4765" s="34">
        <v>-2</v>
      </c>
      <c r="KFR4765" s="34">
        <v>-3</v>
      </c>
      <c r="KFS4765" s="34">
        <v>-4</v>
      </c>
      <c r="KFT4765" s="34">
        <v>-5</v>
      </c>
      <c r="KFU4765" s="908"/>
      <c r="KFV4765" s="909"/>
      <c r="KFW4765" s="34">
        <v>-5</v>
      </c>
      <c r="KFX4765" s="34">
        <v>-4.5</v>
      </c>
      <c r="KFY4765" s="34">
        <v>-4</v>
      </c>
      <c r="KFZ4765" s="34">
        <v>-3.5</v>
      </c>
      <c r="KGA4765" s="34">
        <v>-3</v>
      </c>
      <c r="KGB4765" s="34">
        <v>-2.5</v>
      </c>
      <c r="KGC4765" s="34">
        <v>-2</v>
      </c>
      <c r="KGD4765" s="34">
        <v>-1.5</v>
      </c>
      <c r="KGE4765" s="34">
        <v>-1</v>
      </c>
      <c r="KGF4765" s="34">
        <v>-0.5</v>
      </c>
      <c r="KGG4765" s="34">
        <v>0</v>
      </c>
      <c r="KGH4765" s="34">
        <v>0.5</v>
      </c>
      <c r="KGI4765" s="34">
        <v>1</v>
      </c>
      <c r="KGJ4765" s="34">
        <v>1.5</v>
      </c>
      <c r="KGK4765" s="34">
        <v>2</v>
      </c>
      <c r="KGL4765" s="34">
        <v>2.5</v>
      </c>
      <c r="KGM4765" s="34">
        <v>3</v>
      </c>
      <c r="KGN4765" s="34">
        <v>3.5</v>
      </c>
      <c r="KGO4765" s="34">
        <v>4</v>
      </c>
      <c r="KGP4765" s="34">
        <v>4.5</v>
      </c>
      <c r="KGQ4765" s="34">
        <v>5</v>
      </c>
      <c r="KGS4765" s="913"/>
      <c r="KGT4765" s="31">
        <v>1</v>
      </c>
      <c r="KGU4765" s="34">
        <v>0</v>
      </c>
      <c r="KGV4765" s="34">
        <v>-1</v>
      </c>
      <c r="KGW4765" s="34">
        <v>-2</v>
      </c>
      <c r="KGX4765" s="34">
        <v>-3</v>
      </c>
      <c r="KGY4765" s="34">
        <v>-4</v>
      </c>
      <c r="KGZ4765" s="34">
        <v>-5</v>
      </c>
      <c r="KHA4765" s="908"/>
      <c r="KHB4765" s="909"/>
      <c r="KHC4765" s="34">
        <v>-5</v>
      </c>
      <c r="KHD4765" s="34">
        <v>-4.5</v>
      </c>
      <c r="KHE4765" s="34">
        <v>-4</v>
      </c>
      <c r="KHF4765" s="34">
        <v>-3.5</v>
      </c>
      <c r="KHG4765" s="34">
        <v>-3</v>
      </c>
      <c r="KHH4765" s="34">
        <v>-2.5</v>
      </c>
      <c r="KHI4765" s="34">
        <v>-2</v>
      </c>
      <c r="KHJ4765" s="34">
        <v>-1.5</v>
      </c>
      <c r="KHK4765" s="34">
        <v>-1</v>
      </c>
      <c r="KHL4765" s="34">
        <v>-0.5</v>
      </c>
      <c r="KHM4765" s="34">
        <v>0</v>
      </c>
      <c r="KHN4765" s="34">
        <v>0.5</v>
      </c>
      <c r="KHO4765" s="34">
        <v>1</v>
      </c>
      <c r="KHP4765" s="34">
        <v>1.5</v>
      </c>
      <c r="KHQ4765" s="34">
        <v>2</v>
      </c>
      <c r="KHR4765" s="34">
        <v>2.5</v>
      </c>
      <c r="KHS4765" s="34">
        <v>3</v>
      </c>
      <c r="KHT4765" s="34">
        <v>3.5</v>
      </c>
      <c r="KHU4765" s="34">
        <v>4</v>
      </c>
      <c r="KHV4765" s="34">
        <v>4.5</v>
      </c>
      <c r="KHW4765" s="34">
        <v>5</v>
      </c>
      <c r="KHY4765" s="913"/>
      <c r="KHZ4765" s="31">
        <v>1</v>
      </c>
      <c r="KIA4765" s="34">
        <v>0</v>
      </c>
      <c r="KIB4765" s="34">
        <v>-1</v>
      </c>
      <c r="KIC4765" s="34">
        <v>-2</v>
      </c>
      <c r="KID4765" s="34">
        <v>-3</v>
      </c>
      <c r="KIE4765" s="34">
        <v>-4</v>
      </c>
      <c r="KIF4765" s="34">
        <v>-5</v>
      </c>
      <c r="KIG4765" s="908"/>
      <c r="KIH4765" s="909"/>
      <c r="KII4765" s="34">
        <v>-5</v>
      </c>
      <c r="KIJ4765" s="34">
        <v>-4.5</v>
      </c>
      <c r="KIK4765" s="34">
        <v>-4</v>
      </c>
      <c r="KIL4765" s="34">
        <v>-3.5</v>
      </c>
      <c r="KIM4765" s="34">
        <v>-3</v>
      </c>
      <c r="KIN4765" s="34">
        <v>-2.5</v>
      </c>
      <c r="KIO4765" s="34">
        <v>-2</v>
      </c>
      <c r="KIP4765" s="34">
        <v>-1.5</v>
      </c>
      <c r="KIQ4765" s="34">
        <v>-1</v>
      </c>
      <c r="KIR4765" s="34">
        <v>-0.5</v>
      </c>
      <c r="KIS4765" s="34">
        <v>0</v>
      </c>
      <c r="KIT4765" s="34">
        <v>0.5</v>
      </c>
      <c r="KIU4765" s="34">
        <v>1</v>
      </c>
      <c r="KIV4765" s="34">
        <v>1.5</v>
      </c>
      <c r="KIW4765" s="34">
        <v>2</v>
      </c>
      <c r="KIX4765" s="34">
        <v>2.5</v>
      </c>
      <c r="KIY4765" s="34">
        <v>3</v>
      </c>
      <c r="KIZ4765" s="34">
        <v>3.5</v>
      </c>
      <c r="KJA4765" s="34">
        <v>4</v>
      </c>
      <c r="KJB4765" s="34">
        <v>4.5</v>
      </c>
      <c r="KJC4765" s="34">
        <v>5</v>
      </c>
      <c r="KJE4765" s="913"/>
      <c r="KJF4765" s="31">
        <v>1</v>
      </c>
      <c r="KJG4765" s="34">
        <v>0</v>
      </c>
      <c r="KJH4765" s="34">
        <v>-1</v>
      </c>
      <c r="KJI4765" s="34">
        <v>-2</v>
      </c>
      <c r="KJJ4765" s="34">
        <v>-3</v>
      </c>
      <c r="KJK4765" s="34">
        <v>-4</v>
      </c>
      <c r="KJL4765" s="34">
        <v>-5</v>
      </c>
      <c r="KJM4765" s="908"/>
      <c r="KJN4765" s="909"/>
      <c r="KJO4765" s="34">
        <v>-5</v>
      </c>
      <c r="KJP4765" s="34">
        <v>-4.5</v>
      </c>
      <c r="KJQ4765" s="34">
        <v>-4</v>
      </c>
      <c r="KJR4765" s="34">
        <v>-3.5</v>
      </c>
      <c r="KJS4765" s="34">
        <v>-3</v>
      </c>
      <c r="KJT4765" s="34">
        <v>-2.5</v>
      </c>
      <c r="KJU4765" s="34">
        <v>-2</v>
      </c>
      <c r="KJV4765" s="34">
        <v>-1.5</v>
      </c>
      <c r="KJW4765" s="34">
        <v>-1</v>
      </c>
      <c r="KJX4765" s="34">
        <v>-0.5</v>
      </c>
      <c r="KJY4765" s="34">
        <v>0</v>
      </c>
      <c r="KJZ4765" s="34">
        <v>0.5</v>
      </c>
      <c r="KKA4765" s="34">
        <v>1</v>
      </c>
      <c r="KKB4765" s="34">
        <v>1.5</v>
      </c>
      <c r="KKC4765" s="34">
        <v>2</v>
      </c>
      <c r="KKD4765" s="34">
        <v>2.5</v>
      </c>
      <c r="KKE4765" s="34">
        <v>3</v>
      </c>
      <c r="KKF4765" s="34">
        <v>3.5</v>
      </c>
      <c r="KKG4765" s="34">
        <v>4</v>
      </c>
      <c r="KKH4765" s="34">
        <v>4.5</v>
      </c>
      <c r="KKI4765" s="34">
        <v>5</v>
      </c>
      <c r="KKK4765" s="913"/>
      <c r="KKL4765" s="31">
        <v>1</v>
      </c>
      <c r="KKM4765" s="34">
        <v>0</v>
      </c>
      <c r="KKN4765" s="34">
        <v>-1</v>
      </c>
      <c r="KKO4765" s="34">
        <v>-2</v>
      </c>
      <c r="KKP4765" s="34">
        <v>-3</v>
      </c>
      <c r="KKQ4765" s="34">
        <v>-4</v>
      </c>
      <c r="KKR4765" s="34">
        <v>-5</v>
      </c>
      <c r="KKS4765" s="908"/>
      <c r="KKT4765" s="909"/>
      <c r="KKU4765" s="34">
        <v>-5</v>
      </c>
      <c r="KKV4765" s="34">
        <v>-4.5</v>
      </c>
      <c r="KKW4765" s="34">
        <v>-4</v>
      </c>
      <c r="KKX4765" s="34">
        <v>-3.5</v>
      </c>
      <c r="KKY4765" s="34">
        <v>-3</v>
      </c>
      <c r="KKZ4765" s="34">
        <v>-2.5</v>
      </c>
      <c r="KLA4765" s="34">
        <v>-2</v>
      </c>
      <c r="KLB4765" s="34">
        <v>-1.5</v>
      </c>
      <c r="KLC4765" s="34">
        <v>-1</v>
      </c>
      <c r="KLD4765" s="34">
        <v>-0.5</v>
      </c>
      <c r="KLE4765" s="34">
        <v>0</v>
      </c>
      <c r="KLF4765" s="34">
        <v>0.5</v>
      </c>
      <c r="KLG4765" s="34">
        <v>1</v>
      </c>
      <c r="KLH4765" s="34">
        <v>1.5</v>
      </c>
      <c r="KLI4765" s="34">
        <v>2</v>
      </c>
      <c r="KLJ4765" s="34">
        <v>2.5</v>
      </c>
      <c r="KLK4765" s="34">
        <v>3</v>
      </c>
      <c r="KLL4765" s="34">
        <v>3.5</v>
      </c>
      <c r="KLM4765" s="34">
        <v>4</v>
      </c>
      <c r="KLN4765" s="34">
        <v>4.5</v>
      </c>
      <c r="KLO4765" s="34">
        <v>5</v>
      </c>
      <c r="KLQ4765" s="913"/>
      <c r="KLR4765" s="31">
        <v>1</v>
      </c>
      <c r="KLS4765" s="34">
        <v>0</v>
      </c>
      <c r="KLT4765" s="34">
        <v>-1</v>
      </c>
      <c r="KLU4765" s="34">
        <v>-2</v>
      </c>
      <c r="KLV4765" s="34">
        <v>-3</v>
      </c>
      <c r="KLW4765" s="34">
        <v>-4</v>
      </c>
      <c r="KLX4765" s="34">
        <v>-5</v>
      </c>
      <c r="KLY4765" s="908"/>
      <c r="KLZ4765" s="909"/>
      <c r="KMA4765" s="34">
        <v>-5</v>
      </c>
      <c r="KMB4765" s="34">
        <v>-4.5</v>
      </c>
      <c r="KMC4765" s="34">
        <v>-4</v>
      </c>
      <c r="KMD4765" s="34">
        <v>-3.5</v>
      </c>
      <c r="KME4765" s="34">
        <v>-3</v>
      </c>
      <c r="KMF4765" s="34">
        <v>-2.5</v>
      </c>
      <c r="KMG4765" s="34">
        <v>-2</v>
      </c>
      <c r="KMH4765" s="34">
        <v>-1.5</v>
      </c>
      <c r="KMI4765" s="34">
        <v>-1</v>
      </c>
      <c r="KMJ4765" s="34">
        <v>-0.5</v>
      </c>
      <c r="KMK4765" s="34">
        <v>0</v>
      </c>
      <c r="KML4765" s="34">
        <v>0.5</v>
      </c>
      <c r="KMM4765" s="34">
        <v>1</v>
      </c>
      <c r="KMN4765" s="34">
        <v>1.5</v>
      </c>
      <c r="KMO4765" s="34">
        <v>2</v>
      </c>
      <c r="KMP4765" s="34">
        <v>2.5</v>
      </c>
      <c r="KMQ4765" s="34">
        <v>3</v>
      </c>
      <c r="KMR4765" s="34">
        <v>3.5</v>
      </c>
      <c r="KMS4765" s="34">
        <v>4</v>
      </c>
      <c r="KMT4765" s="34">
        <v>4.5</v>
      </c>
      <c r="KMU4765" s="34">
        <v>5</v>
      </c>
      <c r="KMW4765" s="913"/>
      <c r="KMX4765" s="31">
        <v>1</v>
      </c>
      <c r="KMY4765" s="34">
        <v>0</v>
      </c>
      <c r="KMZ4765" s="34">
        <v>-1</v>
      </c>
      <c r="KNA4765" s="34">
        <v>-2</v>
      </c>
      <c r="KNB4765" s="34">
        <v>-3</v>
      </c>
      <c r="KNC4765" s="34">
        <v>-4</v>
      </c>
      <c r="KND4765" s="34">
        <v>-5</v>
      </c>
      <c r="KNE4765" s="908"/>
      <c r="KNF4765" s="909"/>
      <c r="KNG4765" s="34">
        <v>-5</v>
      </c>
      <c r="KNH4765" s="34">
        <v>-4.5</v>
      </c>
      <c r="KNI4765" s="34">
        <v>-4</v>
      </c>
      <c r="KNJ4765" s="34">
        <v>-3.5</v>
      </c>
      <c r="KNK4765" s="34">
        <v>-3</v>
      </c>
      <c r="KNL4765" s="34">
        <v>-2.5</v>
      </c>
      <c r="KNM4765" s="34">
        <v>-2</v>
      </c>
      <c r="KNN4765" s="34">
        <v>-1.5</v>
      </c>
      <c r="KNO4765" s="34">
        <v>-1</v>
      </c>
      <c r="KNP4765" s="34">
        <v>-0.5</v>
      </c>
      <c r="KNQ4765" s="34">
        <v>0</v>
      </c>
      <c r="KNR4765" s="34">
        <v>0.5</v>
      </c>
      <c r="KNS4765" s="34">
        <v>1</v>
      </c>
      <c r="KNT4765" s="34">
        <v>1.5</v>
      </c>
      <c r="KNU4765" s="34">
        <v>2</v>
      </c>
      <c r="KNV4765" s="34">
        <v>2.5</v>
      </c>
      <c r="KNW4765" s="34">
        <v>3</v>
      </c>
      <c r="KNX4765" s="34">
        <v>3.5</v>
      </c>
      <c r="KNY4765" s="34">
        <v>4</v>
      </c>
      <c r="KNZ4765" s="34">
        <v>4.5</v>
      </c>
      <c r="KOA4765" s="34">
        <v>5</v>
      </c>
      <c r="KOC4765" s="913"/>
      <c r="KOD4765" s="31">
        <v>1</v>
      </c>
      <c r="KOE4765" s="34">
        <v>0</v>
      </c>
      <c r="KOF4765" s="34">
        <v>-1</v>
      </c>
      <c r="KOG4765" s="34">
        <v>-2</v>
      </c>
      <c r="KOH4765" s="34">
        <v>-3</v>
      </c>
      <c r="KOI4765" s="34">
        <v>-4</v>
      </c>
      <c r="KOJ4765" s="34">
        <v>-5</v>
      </c>
      <c r="KOK4765" s="908"/>
      <c r="KOL4765" s="909"/>
      <c r="KOM4765" s="34">
        <v>-5</v>
      </c>
      <c r="KON4765" s="34">
        <v>-4.5</v>
      </c>
      <c r="KOO4765" s="34">
        <v>-4</v>
      </c>
      <c r="KOP4765" s="34">
        <v>-3.5</v>
      </c>
      <c r="KOQ4765" s="34">
        <v>-3</v>
      </c>
      <c r="KOR4765" s="34">
        <v>-2.5</v>
      </c>
      <c r="KOS4765" s="34">
        <v>-2</v>
      </c>
      <c r="KOT4765" s="34">
        <v>-1.5</v>
      </c>
      <c r="KOU4765" s="34">
        <v>-1</v>
      </c>
      <c r="KOV4765" s="34">
        <v>-0.5</v>
      </c>
      <c r="KOW4765" s="34">
        <v>0</v>
      </c>
      <c r="KOX4765" s="34">
        <v>0.5</v>
      </c>
      <c r="KOY4765" s="34">
        <v>1</v>
      </c>
      <c r="KOZ4765" s="34">
        <v>1.5</v>
      </c>
      <c r="KPA4765" s="34">
        <v>2</v>
      </c>
      <c r="KPB4765" s="34">
        <v>2.5</v>
      </c>
      <c r="KPC4765" s="34">
        <v>3</v>
      </c>
      <c r="KPD4765" s="34">
        <v>3.5</v>
      </c>
      <c r="KPE4765" s="34">
        <v>4</v>
      </c>
      <c r="KPF4765" s="34">
        <v>4.5</v>
      </c>
      <c r="KPG4765" s="34">
        <v>5</v>
      </c>
      <c r="KPI4765" s="913"/>
      <c r="KPJ4765" s="31">
        <v>1</v>
      </c>
      <c r="KPK4765" s="34">
        <v>0</v>
      </c>
      <c r="KPL4765" s="34">
        <v>-1</v>
      </c>
      <c r="KPM4765" s="34">
        <v>-2</v>
      </c>
      <c r="KPN4765" s="34">
        <v>-3</v>
      </c>
      <c r="KPO4765" s="34">
        <v>-4</v>
      </c>
      <c r="KPP4765" s="34">
        <v>-5</v>
      </c>
      <c r="KPQ4765" s="908"/>
      <c r="KPR4765" s="909"/>
      <c r="KPS4765" s="34">
        <v>-5</v>
      </c>
      <c r="KPT4765" s="34">
        <v>-4.5</v>
      </c>
      <c r="KPU4765" s="34">
        <v>-4</v>
      </c>
      <c r="KPV4765" s="34">
        <v>-3.5</v>
      </c>
      <c r="KPW4765" s="34">
        <v>-3</v>
      </c>
      <c r="KPX4765" s="34">
        <v>-2.5</v>
      </c>
      <c r="KPY4765" s="34">
        <v>-2</v>
      </c>
      <c r="KPZ4765" s="34">
        <v>-1.5</v>
      </c>
      <c r="KQA4765" s="34">
        <v>-1</v>
      </c>
      <c r="KQB4765" s="34">
        <v>-0.5</v>
      </c>
      <c r="KQC4765" s="34">
        <v>0</v>
      </c>
      <c r="KQD4765" s="34">
        <v>0.5</v>
      </c>
      <c r="KQE4765" s="34">
        <v>1</v>
      </c>
      <c r="KQF4765" s="34">
        <v>1.5</v>
      </c>
      <c r="KQG4765" s="34">
        <v>2</v>
      </c>
      <c r="KQH4765" s="34">
        <v>2.5</v>
      </c>
      <c r="KQI4765" s="34">
        <v>3</v>
      </c>
      <c r="KQJ4765" s="34">
        <v>3.5</v>
      </c>
      <c r="KQK4765" s="34">
        <v>4</v>
      </c>
      <c r="KQL4765" s="34">
        <v>4.5</v>
      </c>
      <c r="KQM4765" s="34">
        <v>5</v>
      </c>
      <c r="KQO4765" s="913"/>
      <c r="KQP4765" s="31">
        <v>1</v>
      </c>
      <c r="KQQ4765" s="34">
        <v>0</v>
      </c>
      <c r="KQR4765" s="34">
        <v>-1</v>
      </c>
      <c r="KQS4765" s="34">
        <v>-2</v>
      </c>
      <c r="KQT4765" s="34">
        <v>-3</v>
      </c>
      <c r="KQU4765" s="34">
        <v>-4</v>
      </c>
      <c r="KQV4765" s="34">
        <v>-5</v>
      </c>
      <c r="KQW4765" s="908"/>
      <c r="KQX4765" s="909"/>
      <c r="KQY4765" s="34">
        <v>-5</v>
      </c>
      <c r="KQZ4765" s="34">
        <v>-4.5</v>
      </c>
      <c r="KRA4765" s="34">
        <v>-4</v>
      </c>
      <c r="KRB4765" s="34">
        <v>-3.5</v>
      </c>
      <c r="KRC4765" s="34">
        <v>-3</v>
      </c>
      <c r="KRD4765" s="34">
        <v>-2.5</v>
      </c>
      <c r="KRE4765" s="34">
        <v>-2</v>
      </c>
      <c r="KRF4765" s="34">
        <v>-1.5</v>
      </c>
      <c r="KRG4765" s="34">
        <v>-1</v>
      </c>
      <c r="KRH4765" s="34">
        <v>-0.5</v>
      </c>
      <c r="KRI4765" s="34">
        <v>0</v>
      </c>
      <c r="KRJ4765" s="34">
        <v>0.5</v>
      </c>
      <c r="KRK4765" s="34">
        <v>1</v>
      </c>
      <c r="KRL4765" s="34">
        <v>1.5</v>
      </c>
      <c r="KRM4765" s="34">
        <v>2</v>
      </c>
      <c r="KRN4765" s="34">
        <v>2.5</v>
      </c>
      <c r="KRO4765" s="34">
        <v>3</v>
      </c>
      <c r="KRP4765" s="34">
        <v>3.5</v>
      </c>
      <c r="KRQ4765" s="34">
        <v>4</v>
      </c>
      <c r="KRR4765" s="34">
        <v>4.5</v>
      </c>
      <c r="KRS4765" s="34">
        <v>5</v>
      </c>
      <c r="KRU4765" s="913"/>
      <c r="KRV4765" s="31">
        <v>1</v>
      </c>
      <c r="KRW4765" s="34">
        <v>0</v>
      </c>
      <c r="KRX4765" s="34">
        <v>-1</v>
      </c>
      <c r="KRY4765" s="34">
        <v>-2</v>
      </c>
      <c r="KRZ4765" s="34">
        <v>-3</v>
      </c>
      <c r="KSA4765" s="34">
        <v>-4</v>
      </c>
      <c r="KSB4765" s="34">
        <v>-5</v>
      </c>
      <c r="KSC4765" s="908"/>
      <c r="KSD4765" s="909"/>
      <c r="KSE4765" s="34">
        <v>-5</v>
      </c>
      <c r="KSF4765" s="34">
        <v>-4.5</v>
      </c>
      <c r="KSG4765" s="34">
        <v>-4</v>
      </c>
      <c r="KSH4765" s="34">
        <v>-3.5</v>
      </c>
      <c r="KSI4765" s="34">
        <v>-3</v>
      </c>
      <c r="KSJ4765" s="34">
        <v>-2.5</v>
      </c>
      <c r="KSK4765" s="34">
        <v>-2</v>
      </c>
      <c r="KSL4765" s="34">
        <v>-1.5</v>
      </c>
      <c r="KSM4765" s="34">
        <v>-1</v>
      </c>
      <c r="KSN4765" s="34">
        <v>-0.5</v>
      </c>
      <c r="KSO4765" s="34">
        <v>0</v>
      </c>
      <c r="KSP4765" s="34">
        <v>0.5</v>
      </c>
      <c r="KSQ4765" s="34">
        <v>1</v>
      </c>
      <c r="KSR4765" s="34">
        <v>1.5</v>
      </c>
      <c r="KSS4765" s="34">
        <v>2</v>
      </c>
      <c r="KST4765" s="34">
        <v>2.5</v>
      </c>
      <c r="KSU4765" s="34">
        <v>3</v>
      </c>
      <c r="KSV4765" s="34">
        <v>3.5</v>
      </c>
      <c r="KSW4765" s="34">
        <v>4</v>
      </c>
      <c r="KSX4765" s="34">
        <v>4.5</v>
      </c>
      <c r="KSY4765" s="34">
        <v>5</v>
      </c>
      <c r="KTA4765" s="913"/>
      <c r="KTB4765" s="31">
        <v>1</v>
      </c>
      <c r="KTC4765" s="34">
        <v>0</v>
      </c>
      <c r="KTD4765" s="34">
        <v>-1</v>
      </c>
      <c r="KTE4765" s="34">
        <v>-2</v>
      </c>
      <c r="KTF4765" s="34">
        <v>-3</v>
      </c>
      <c r="KTG4765" s="34">
        <v>-4</v>
      </c>
      <c r="KTH4765" s="34">
        <v>-5</v>
      </c>
      <c r="KTI4765" s="908"/>
      <c r="KTJ4765" s="909"/>
      <c r="KTK4765" s="34">
        <v>-5</v>
      </c>
      <c r="KTL4765" s="34">
        <v>-4.5</v>
      </c>
      <c r="KTM4765" s="34">
        <v>-4</v>
      </c>
      <c r="KTN4765" s="34">
        <v>-3.5</v>
      </c>
      <c r="KTO4765" s="34">
        <v>-3</v>
      </c>
      <c r="KTP4765" s="34">
        <v>-2.5</v>
      </c>
      <c r="KTQ4765" s="34">
        <v>-2</v>
      </c>
      <c r="KTR4765" s="34">
        <v>-1.5</v>
      </c>
      <c r="KTS4765" s="34">
        <v>-1</v>
      </c>
      <c r="KTT4765" s="34">
        <v>-0.5</v>
      </c>
      <c r="KTU4765" s="34">
        <v>0</v>
      </c>
      <c r="KTV4765" s="34">
        <v>0.5</v>
      </c>
      <c r="KTW4765" s="34">
        <v>1</v>
      </c>
      <c r="KTX4765" s="34">
        <v>1.5</v>
      </c>
      <c r="KTY4765" s="34">
        <v>2</v>
      </c>
      <c r="KTZ4765" s="34">
        <v>2.5</v>
      </c>
      <c r="KUA4765" s="34">
        <v>3</v>
      </c>
      <c r="KUB4765" s="34">
        <v>3.5</v>
      </c>
      <c r="KUC4765" s="34">
        <v>4</v>
      </c>
      <c r="KUD4765" s="34">
        <v>4.5</v>
      </c>
      <c r="KUE4765" s="34">
        <v>5</v>
      </c>
      <c r="KUG4765" s="913"/>
      <c r="KUH4765" s="31">
        <v>1</v>
      </c>
      <c r="KUI4765" s="34">
        <v>0</v>
      </c>
      <c r="KUJ4765" s="34">
        <v>-1</v>
      </c>
      <c r="KUK4765" s="34">
        <v>-2</v>
      </c>
      <c r="KUL4765" s="34">
        <v>-3</v>
      </c>
      <c r="KUM4765" s="34">
        <v>-4</v>
      </c>
      <c r="KUN4765" s="34">
        <v>-5</v>
      </c>
      <c r="KUO4765" s="908"/>
      <c r="KUP4765" s="909"/>
      <c r="KUQ4765" s="34">
        <v>-5</v>
      </c>
      <c r="KUR4765" s="34">
        <v>-4.5</v>
      </c>
      <c r="KUS4765" s="34">
        <v>-4</v>
      </c>
      <c r="KUT4765" s="34">
        <v>-3.5</v>
      </c>
      <c r="KUU4765" s="34">
        <v>-3</v>
      </c>
      <c r="KUV4765" s="34">
        <v>-2.5</v>
      </c>
      <c r="KUW4765" s="34">
        <v>-2</v>
      </c>
      <c r="KUX4765" s="34">
        <v>-1.5</v>
      </c>
      <c r="KUY4765" s="34">
        <v>-1</v>
      </c>
      <c r="KUZ4765" s="34">
        <v>-0.5</v>
      </c>
      <c r="KVA4765" s="34">
        <v>0</v>
      </c>
      <c r="KVB4765" s="34">
        <v>0.5</v>
      </c>
      <c r="KVC4765" s="34">
        <v>1</v>
      </c>
      <c r="KVD4765" s="34">
        <v>1.5</v>
      </c>
      <c r="KVE4765" s="34">
        <v>2</v>
      </c>
      <c r="KVF4765" s="34">
        <v>2.5</v>
      </c>
      <c r="KVG4765" s="34">
        <v>3</v>
      </c>
      <c r="KVH4765" s="34">
        <v>3.5</v>
      </c>
      <c r="KVI4765" s="34">
        <v>4</v>
      </c>
      <c r="KVJ4765" s="34">
        <v>4.5</v>
      </c>
      <c r="KVK4765" s="34">
        <v>5</v>
      </c>
      <c r="KVM4765" s="913"/>
      <c r="KVN4765" s="31">
        <v>1</v>
      </c>
      <c r="KVO4765" s="34">
        <v>0</v>
      </c>
      <c r="KVP4765" s="34">
        <v>-1</v>
      </c>
      <c r="KVQ4765" s="34">
        <v>-2</v>
      </c>
      <c r="KVR4765" s="34">
        <v>-3</v>
      </c>
      <c r="KVS4765" s="34">
        <v>-4</v>
      </c>
      <c r="KVT4765" s="34">
        <v>-5</v>
      </c>
      <c r="KVU4765" s="908"/>
      <c r="KVV4765" s="909"/>
      <c r="KVW4765" s="34">
        <v>-5</v>
      </c>
      <c r="KVX4765" s="34">
        <v>-4.5</v>
      </c>
      <c r="KVY4765" s="34">
        <v>-4</v>
      </c>
      <c r="KVZ4765" s="34">
        <v>-3.5</v>
      </c>
      <c r="KWA4765" s="34">
        <v>-3</v>
      </c>
      <c r="KWB4765" s="34">
        <v>-2.5</v>
      </c>
      <c r="KWC4765" s="34">
        <v>-2</v>
      </c>
      <c r="KWD4765" s="34">
        <v>-1.5</v>
      </c>
      <c r="KWE4765" s="34">
        <v>-1</v>
      </c>
      <c r="KWF4765" s="34">
        <v>-0.5</v>
      </c>
      <c r="KWG4765" s="34">
        <v>0</v>
      </c>
      <c r="KWH4765" s="34">
        <v>0.5</v>
      </c>
      <c r="KWI4765" s="34">
        <v>1</v>
      </c>
      <c r="KWJ4765" s="34">
        <v>1.5</v>
      </c>
      <c r="KWK4765" s="34">
        <v>2</v>
      </c>
      <c r="KWL4765" s="34">
        <v>2.5</v>
      </c>
      <c r="KWM4765" s="34">
        <v>3</v>
      </c>
      <c r="KWN4765" s="34">
        <v>3.5</v>
      </c>
      <c r="KWO4765" s="34">
        <v>4</v>
      </c>
      <c r="KWP4765" s="34">
        <v>4.5</v>
      </c>
      <c r="KWQ4765" s="34">
        <v>5</v>
      </c>
      <c r="KWS4765" s="913"/>
      <c r="KWT4765" s="31">
        <v>1</v>
      </c>
      <c r="KWU4765" s="34">
        <v>0</v>
      </c>
      <c r="KWV4765" s="34">
        <v>-1</v>
      </c>
      <c r="KWW4765" s="34">
        <v>-2</v>
      </c>
      <c r="KWX4765" s="34">
        <v>-3</v>
      </c>
      <c r="KWY4765" s="34">
        <v>-4</v>
      </c>
      <c r="KWZ4765" s="34">
        <v>-5</v>
      </c>
      <c r="KXA4765" s="908"/>
      <c r="KXB4765" s="909"/>
      <c r="KXC4765" s="34">
        <v>-5</v>
      </c>
      <c r="KXD4765" s="34">
        <v>-4.5</v>
      </c>
      <c r="KXE4765" s="34">
        <v>-4</v>
      </c>
      <c r="KXF4765" s="34">
        <v>-3.5</v>
      </c>
      <c r="KXG4765" s="34">
        <v>-3</v>
      </c>
      <c r="KXH4765" s="34">
        <v>-2.5</v>
      </c>
      <c r="KXI4765" s="34">
        <v>-2</v>
      </c>
      <c r="KXJ4765" s="34">
        <v>-1.5</v>
      </c>
      <c r="KXK4765" s="34">
        <v>-1</v>
      </c>
      <c r="KXL4765" s="34">
        <v>-0.5</v>
      </c>
      <c r="KXM4765" s="34">
        <v>0</v>
      </c>
      <c r="KXN4765" s="34">
        <v>0.5</v>
      </c>
      <c r="KXO4765" s="34">
        <v>1</v>
      </c>
      <c r="KXP4765" s="34">
        <v>1.5</v>
      </c>
      <c r="KXQ4765" s="34">
        <v>2</v>
      </c>
      <c r="KXR4765" s="34">
        <v>2.5</v>
      </c>
      <c r="KXS4765" s="34">
        <v>3</v>
      </c>
      <c r="KXT4765" s="34">
        <v>3.5</v>
      </c>
      <c r="KXU4765" s="34">
        <v>4</v>
      </c>
      <c r="KXV4765" s="34">
        <v>4.5</v>
      </c>
      <c r="KXW4765" s="34">
        <v>5</v>
      </c>
      <c r="KXY4765" s="913"/>
      <c r="KXZ4765" s="31">
        <v>1</v>
      </c>
      <c r="KYA4765" s="34">
        <v>0</v>
      </c>
      <c r="KYB4765" s="34">
        <v>-1</v>
      </c>
      <c r="KYC4765" s="34">
        <v>-2</v>
      </c>
      <c r="KYD4765" s="34">
        <v>-3</v>
      </c>
      <c r="KYE4765" s="34">
        <v>-4</v>
      </c>
      <c r="KYF4765" s="34">
        <v>-5</v>
      </c>
      <c r="KYG4765" s="908"/>
      <c r="KYH4765" s="909"/>
      <c r="KYI4765" s="34">
        <v>-5</v>
      </c>
      <c r="KYJ4765" s="34">
        <v>-4.5</v>
      </c>
      <c r="KYK4765" s="34">
        <v>-4</v>
      </c>
      <c r="KYL4765" s="34">
        <v>-3.5</v>
      </c>
      <c r="KYM4765" s="34">
        <v>-3</v>
      </c>
      <c r="KYN4765" s="34">
        <v>-2.5</v>
      </c>
      <c r="KYO4765" s="34">
        <v>-2</v>
      </c>
      <c r="KYP4765" s="34">
        <v>-1.5</v>
      </c>
      <c r="KYQ4765" s="34">
        <v>-1</v>
      </c>
      <c r="KYR4765" s="34">
        <v>-0.5</v>
      </c>
      <c r="KYS4765" s="34">
        <v>0</v>
      </c>
      <c r="KYT4765" s="34">
        <v>0.5</v>
      </c>
      <c r="KYU4765" s="34">
        <v>1</v>
      </c>
      <c r="KYV4765" s="34">
        <v>1.5</v>
      </c>
      <c r="KYW4765" s="34">
        <v>2</v>
      </c>
      <c r="KYX4765" s="34">
        <v>2.5</v>
      </c>
      <c r="KYY4765" s="34">
        <v>3</v>
      </c>
      <c r="KYZ4765" s="34">
        <v>3.5</v>
      </c>
      <c r="KZA4765" s="34">
        <v>4</v>
      </c>
      <c r="KZB4765" s="34">
        <v>4.5</v>
      </c>
      <c r="KZC4765" s="34">
        <v>5</v>
      </c>
      <c r="KZE4765" s="913"/>
      <c r="KZF4765" s="31">
        <v>1</v>
      </c>
      <c r="KZG4765" s="34">
        <v>0</v>
      </c>
      <c r="KZH4765" s="34">
        <v>-1</v>
      </c>
      <c r="KZI4765" s="34">
        <v>-2</v>
      </c>
      <c r="KZJ4765" s="34">
        <v>-3</v>
      </c>
      <c r="KZK4765" s="34">
        <v>-4</v>
      </c>
      <c r="KZL4765" s="34">
        <v>-5</v>
      </c>
      <c r="KZM4765" s="908"/>
      <c r="KZN4765" s="909"/>
      <c r="KZO4765" s="34">
        <v>-5</v>
      </c>
      <c r="KZP4765" s="34">
        <v>-4.5</v>
      </c>
      <c r="KZQ4765" s="34">
        <v>-4</v>
      </c>
      <c r="KZR4765" s="34">
        <v>-3.5</v>
      </c>
      <c r="KZS4765" s="34">
        <v>-3</v>
      </c>
      <c r="KZT4765" s="34">
        <v>-2.5</v>
      </c>
      <c r="KZU4765" s="34">
        <v>-2</v>
      </c>
      <c r="KZV4765" s="34">
        <v>-1.5</v>
      </c>
      <c r="KZW4765" s="34">
        <v>-1</v>
      </c>
      <c r="KZX4765" s="34">
        <v>-0.5</v>
      </c>
      <c r="KZY4765" s="34">
        <v>0</v>
      </c>
      <c r="KZZ4765" s="34">
        <v>0.5</v>
      </c>
      <c r="LAA4765" s="34">
        <v>1</v>
      </c>
      <c r="LAB4765" s="34">
        <v>1.5</v>
      </c>
      <c r="LAC4765" s="34">
        <v>2</v>
      </c>
      <c r="LAD4765" s="34">
        <v>2.5</v>
      </c>
      <c r="LAE4765" s="34">
        <v>3</v>
      </c>
      <c r="LAF4765" s="34">
        <v>3.5</v>
      </c>
      <c r="LAG4765" s="34">
        <v>4</v>
      </c>
      <c r="LAH4765" s="34">
        <v>4.5</v>
      </c>
      <c r="LAI4765" s="34">
        <v>5</v>
      </c>
      <c r="LAK4765" s="913"/>
      <c r="LAL4765" s="31">
        <v>1</v>
      </c>
      <c r="LAM4765" s="34">
        <v>0</v>
      </c>
      <c r="LAN4765" s="34">
        <v>-1</v>
      </c>
      <c r="LAO4765" s="34">
        <v>-2</v>
      </c>
      <c r="LAP4765" s="34">
        <v>-3</v>
      </c>
      <c r="LAQ4765" s="34">
        <v>-4</v>
      </c>
      <c r="LAR4765" s="34">
        <v>-5</v>
      </c>
      <c r="LAS4765" s="908"/>
      <c r="LAT4765" s="909"/>
      <c r="LAU4765" s="34">
        <v>-5</v>
      </c>
      <c r="LAV4765" s="34">
        <v>-4.5</v>
      </c>
      <c r="LAW4765" s="34">
        <v>-4</v>
      </c>
      <c r="LAX4765" s="34">
        <v>-3.5</v>
      </c>
      <c r="LAY4765" s="34">
        <v>-3</v>
      </c>
      <c r="LAZ4765" s="34">
        <v>-2.5</v>
      </c>
      <c r="LBA4765" s="34">
        <v>-2</v>
      </c>
      <c r="LBB4765" s="34">
        <v>-1.5</v>
      </c>
      <c r="LBC4765" s="34">
        <v>-1</v>
      </c>
      <c r="LBD4765" s="34">
        <v>-0.5</v>
      </c>
      <c r="LBE4765" s="34">
        <v>0</v>
      </c>
      <c r="LBF4765" s="34">
        <v>0.5</v>
      </c>
      <c r="LBG4765" s="34">
        <v>1</v>
      </c>
      <c r="LBH4765" s="34">
        <v>1.5</v>
      </c>
      <c r="LBI4765" s="34">
        <v>2</v>
      </c>
      <c r="LBJ4765" s="34">
        <v>2.5</v>
      </c>
      <c r="LBK4765" s="34">
        <v>3</v>
      </c>
      <c r="LBL4765" s="34">
        <v>3.5</v>
      </c>
      <c r="LBM4765" s="34">
        <v>4</v>
      </c>
      <c r="LBN4765" s="34">
        <v>4.5</v>
      </c>
      <c r="LBO4765" s="34">
        <v>5</v>
      </c>
      <c r="LBQ4765" s="913"/>
      <c r="LBR4765" s="31">
        <v>1</v>
      </c>
      <c r="LBS4765" s="34">
        <v>0</v>
      </c>
      <c r="LBT4765" s="34">
        <v>-1</v>
      </c>
      <c r="LBU4765" s="34">
        <v>-2</v>
      </c>
      <c r="LBV4765" s="34">
        <v>-3</v>
      </c>
      <c r="LBW4765" s="34">
        <v>-4</v>
      </c>
      <c r="LBX4765" s="34">
        <v>-5</v>
      </c>
      <c r="LBY4765" s="908"/>
      <c r="LBZ4765" s="909"/>
      <c r="LCA4765" s="34">
        <v>-5</v>
      </c>
      <c r="LCB4765" s="34">
        <v>-4.5</v>
      </c>
      <c r="LCC4765" s="34">
        <v>-4</v>
      </c>
      <c r="LCD4765" s="34">
        <v>-3.5</v>
      </c>
      <c r="LCE4765" s="34">
        <v>-3</v>
      </c>
      <c r="LCF4765" s="34">
        <v>-2.5</v>
      </c>
      <c r="LCG4765" s="34">
        <v>-2</v>
      </c>
      <c r="LCH4765" s="34">
        <v>-1.5</v>
      </c>
      <c r="LCI4765" s="34">
        <v>-1</v>
      </c>
      <c r="LCJ4765" s="34">
        <v>-0.5</v>
      </c>
      <c r="LCK4765" s="34">
        <v>0</v>
      </c>
      <c r="LCL4765" s="34">
        <v>0.5</v>
      </c>
      <c r="LCM4765" s="34">
        <v>1</v>
      </c>
      <c r="LCN4765" s="34">
        <v>1.5</v>
      </c>
      <c r="LCO4765" s="34">
        <v>2</v>
      </c>
      <c r="LCP4765" s="34">
        <v>2.5</v>
      </c>
      <c r="LCQ4765" s="34">
        <v>3</v>
      </c>
      <c r="LCR4765" s="34">
        <v>3.5</v>
      </c>
      <c r="LCS4765" s="34">
        <v>4</v>
      </c>
      <c r="LCT4765" s="34">
        <v>4.5</v>
      </c>
      <c r="LCU4765" s="34">
        <v>5</v>
      </c>
      <c r="LCW4765" s="913"/>
      <c r="LCX4765" s="31">
        <v>1</v>
      </c>
      <c r="LCY4765" s="34">
        <v>0</v>
      </c>
      <c r="LCZ4765" s="34">
        <v>-1</v>
      </c>
      <c r="LDA4765" s="34">
        <v>-2</v>
      </c>
      <c r="LDB4765" s="34">
        <v>-3</v>
      </c>
      <c r="LDC4765" s="34">
        <v>-4</v>
      </c>
      <c r="LDD4765" s="34">
        <v>-5</v>
      </c>
      <c r="LDE4765" s="908"/>
      <c r="LDF4765" s="909"/>
      <c r="LDG4765" s="34">
        <v>-5</v>
      </c>
      <c r="LDH4765" s="34">
        <v>-4.5</v>
      </c>
      <c r="LDI4765" s="34">
        <v>-4</v>
      </c>
      <c r="LDJ4765" s="34">
        <v>-3.5</v>
      </c>
      <c r="LDK4765" s="34">
        <v>-3</v>
      </c>
      <c r="LDL4765" s="34">
        <v>-2.5</v>
      </c>
      <c r="LDM4765" s="34">
        <v>-2</v>
      </c>
      <c r="LDN4765" s="34">
        <v>-1.5</v>
      </c>
      <c r="LDO4765" s="34">
        <v>-1</v>
      </c>
      <c r="LDP4765" s="34">
        <v>-0.5</v>
      </c>
      <c r="LDQ4765" s="34">
        <v>0</v>
      </c>
      <c r="LDR4765" s="34">
        <v>0.5</v>
      </c>
      <c r="LDS4765" s="34">
        <v>1</v>
      </c>
      <c r="LDT4765" s="34">
        <v>1.5</v>
      </c>
      <c r="LDU4765" s="34">
        <v>2</v>
      </c>
      <c r="LDV4765" s="34">
        <v>2.5</v>
      </c>
      <c r="LDW4765" s="34">
        <v>3</v>
      </c>
      <c r="LDX4765" s="34">
        <v>3.5</v>
      </c>
      <c r="LDY4765" s="34">
        <v>4</v>
      </c>
      <c r="LDZ4765" s="34">
        <v>4.5</v>
      </c>
      <c r="LEA4765" s="34">
        <v>5</v>
      </c>
      <c r="LEC4765" s="913"/>
      <c r="LED4765" s="31">
        <v>1</v>
      </c>
      <c r="LEE4765" s="34">
        <v>0</v>
      </c>
      <c r="LEF4765" s="34">
        <v>-1</v>
      </c>
      <c r="LEG4765" s="34">
        <v>-2</v>
      </c>
      <c r="LEH4765" s="34">
        <v>-3</v>
      </c>
      <c r="LEI4765" s="34">
        <v>-4</v>
      </c>
      <c r="LEJ4765" s="34">
        <v>-5</v>
      </c>
      <c r="LEK4765" s="908"/>
      <c r="LEL4765" s="909"/>
      <c r="LEM4765" s="34">
        <v>-5</v>
      </c>
      <c r="LEN4765" s="34">
        <v>-4.5</v>
      </c>
      <c r="LEO4765" s="34">
        <v>-4</v>
      </c>
      <c r="LEP4765" s="34">
        <v>-3.5</v>
      </c>
      <c r="LEQ4765" s="34">
        <v>-3</v>
      </c>
      <c r="LER4765" s="34">
        <v>-2.5</v>
      </c>
      <c r="LES4765" s="34">
        <v>-2</v>
      </c>
      <c r="LET4765" s="34">
        <v>-1.5</v>
      </c>
      <c r="LEU4765" s="34">
        <v>-1</v>
      </c>
      <c r="LEV4765" s="34">
        <v>-0.5</v>
      </c>
      <c r="LEW4765" s="34">
        <v>0</v>
      </c>
      <c r="LEX4765" s="34">
        <v>0.5</v>
      </c>
      <c r="LEY4765" s="34">
        <v>1</v>
      </c>
      <c r="LEZ4765" s="34">
        <v>1.5</v>
      </c>
      <c r="LFA4765" s="34">
        <v>2</v>
      </c>
      <c r="LFB4765" s="34">
        <v>2.5</v>
      </c>
      <c r="LFC4765" s="34">
        <v>3</v>
      </c>
      <c r="LFD4765" s="34">
        <v>3.5</v>
      </c>
      <c r="LFE4765" s="34">
        <v>4</v>
      </c>
      <c r="LFF4765" s="34">
        <v>4.5</v>
      </c>
      <c r="LFG4765" s="34">
        <v>5</v>
      </c>
      <c r="LFI4765" s="913"/>
      <c r="LFJ4765" s="31">
        <v>1</v>
      </c>
      <c r="LFK4765" s="34">
        <v>0</v>
      </c>
      <c r="LFL4765" s="34">
        <v>-1</v>
      </c>
      <c r="LFM4765" s="34">
        <v>-2</v>
      </c>
      <c r="LFN4765" s="34">
        <v>-3</v>
      </c>
      <c r="LFO4765" s="34">
        <v>-4</v>
      </c>
      <c r="LFP4765" s="34">
        <v>-5</v>
      </c>
      <c r="LFQ4765" s="908"/>
      <c r="LFR4765" s="909"/>
      <c r="LFS4765" s="34">
        <v>-5</v>
      </c>
      <c r="LFT4765" s="34">
        <v>-4.5</v>
      </c>
      <c r="LFU4765" s="34">
        <v>-4</v>
      </c>
      <c r="LFV4765" s="34">
        <v>-3.5</v>
      </c>
      <c r="LFW4765" s="34">
        <v>-3</v>
      </c>
      <c r="LFX4765" s="34">
        <v>-2.5</v>
      </c>
      <c r="LFY4765" s="34">
        <v>-2</v>
      </c>
      <c r="LFZ4765" s="34">
        <v>-1.5</v>
      </c>
      <c r="LGA4765" s="34">
        <v>-1</v>
      </c>
      <c r="LGB4765" s="34">
        <v>-0.5</v>
      </c>
      <c r="LGC4765" s="34">
        <v>0</v>
      </c>
      <c r="LGD4765" s="34">
        <v>0.5</v>
      </c>
      <c r="LGE4765" s="34">
        <v>1</v>
      </c>
      <c r="LGF4765" s="34">
        <v>1.5</v>
      </c>
      <c r="LGG4765" s="34">
        <v>2</v>
      </c>
      <c r="LGH4765" s="34">
        <v>2.5</v>
      </c>
      <c r="LGI4765" s="34">
        <v>3</v>
      </c>
      <c r="LGJ4765" s="34">
        <v>3.5</v>
      </c>
      <c r="LGK4765" s="34">
        <v>4</v>
      </c>
      <c r="LGL4765" s="34">
        <v>4.5</v>
      </c>
      <c r="LGM4765" s="34">
        <v>5</v>
      </c>
      <c r="LGO4765" s="913"/>
      <c r="LGP4765" s="31">
        <v>1</v>
      </c>
      <c r="LGQ4765" s="34">
        <v>0</v>
      </c>
      <c r="LGR4765" s="34">
        <v>-1</v>
      </c>
      <c r="LGS4765" s="34">
        <v>-2</v>
      </c>
      <c r="LGT4765" s="34">
        <v>-3</v>
      </c>
      <c r="LGU4765" s="34">
        <v>-4</v>
      </c>
      <c r="LGV4765" s="34">
        <v>-5</v>
      </c>
      <c r="LGW4765" s="908"/>
      <c r="LGX4765" s="909"/>
      <c r="LGY4765" s="34">
        <v>-5</v>
      </c>
      <c r="LGZ4765" s="34">
        <v>-4.5</v>
      </c>
      <c r="LHA4765" s="34">
        <v>-4</v>
      </c>
      <c r="LHB4765" s="34">
        <v>-3.5</v>
      </c>
      <c r="LHC4765" s="34">
        <v>-3</v>
      </c>
      <c r="LHD4765" s="34">
        <v>-2.5</v>
      </c>
      <c r="LHE4765" s="34">
        <v>-2</v>
      </c>
      <c r="LHF4765" s="34">
        <v>-1.5</v>
      </c>
      <c r="LHG4765" s="34">
        <v>-1</v>
      </c>
      <c r="LHH4765" s="34">
        <v>-0.5</v>
      </c>
      <c r="LHI4765" s="34">
        <v>0</v>
      </c>
      <c r="LHJ4765" s="34">
        <v>0.5</v>
      </c>
      <c r="LHK4765" s="34">
        <v>1</v>
      </c>
      <c r="LHL4765" s="34">
        <v>1.5</v>
      </c>
      <c r="LHM4765" s="34">
        <v>2</v>
      </c>
      <c r="LHN4765" s="34">
        <v>2.5</v>
      </c>
      <c r="LHO4765" s="34">
        <v>3</v>
      </c>
      <c r="LHP4765" s="34">
        <v>3.5</v>
      </c>
      <c r="LHQ4765" s="34">
        <v>4</v>
      </c>
      <c r="LHR4765" s="34">
        <v>4.5</v>
      </c>
      <c r="LHS4765" s="34">
        <v>5</v>
      </c>
      <c r="LHU4765" s="913"/>
      <c r="LHV4765" s="31">
        <v>1</v>
      </c>
      <c r="LHW4765" s="34">
        <v>0</v>
      </c>
      <c r="LHX4765" s="34">
        <v>-1</v>
      </c>
      <c r="LHY4765" s="34">
        <v>-2</v>
      </c>
      <c r="LHZ4765" s="34">
        <v>-3</v>
      </c>
      <c r="LIA4765" s="34">
        <v>-4</v>
      </c>
      <c r="LIB4765" s="34">
        <v>-5</v>
      </c>
      <c r="LIC4765" s="908"/>
      <c r="LID4765" s="909"/>
      <c r="LIE4765" s="34">
        <v>-5</v>
      </c>
      <c r="LIF4765" s="34">
        <v>-4.5</v>
      </c>
      <c r="LIG4765" s="34">
        <v>-4</v>
      </c>
      <c r="LIH4765" s="34">
        <v>-3.5</v>
      </c>
      <c r="LII4765" s="34">
        <v>-3</v>
      </c>
      <c r="LIJ4765" s="34">
        <v>-2.5</v>
      </c>
      <c r="LIK4765" s="34">
        <v>-2</v>
      </c>
      <c r="LIL4765" s="34">
        <v>-1.5</v>
      </c>
      <c r="LIM4765" s="34">
        <v>-1</v>
      </c>
      <c r="LIN4765" s="34">
        <v>-0.5</v>
      </c>
      <c r="LIO4765" s="34">
        <v>0</v>
      </c>
      <c r="LIP4765" s="34">
        <v>0.5</v>
      </c>
      <c r="LIQ4765" s="34">
        <v>1</v>
      </c>
      <c r="LIR4765" s="34">
        <v>1.5</v>
      </c>
      <c r="LIS4765" s="34">
        <v>2</v>
      </c>
      <c r="LIT4765" s="34">
        <v>2.5</v>
      </c>
      <c r="LIU4765" s="34">
        <v>3</v>
      </c>
      <c r="LIV4765" s="34">
        <v>3.5</v>
      </c>
      <c r="LIW4765" s="34">
        <v>4</v>
      </c>
      <c r="LIX4765" s="34">
        <v>4.5</v>
      </c>
      <c r="LIY4765" s="34">
        <v>5</v>
      </c>
      <c r="LJA4765" s="913"/>
      <c r="LJB4765" s="31">
        <v>1</v>
      </c>
      <c r="LJC4765" s="34">
        <v>0</v>
      </c>
      <c r="LJD4765" s="34">
        <v>-1</v>
      </c>
      <c r="LJE4765" s="34">
        <v>-2</v>
      </c>
      <c r="LJF4765" s="34">
        <v>-3</v>
      </c>
      <c r="LJG4765" s="34">
        <v>-4</v>
      </c>
      <c r="LJH4765" s="34">
        <v>-5</v>
      </c>
      <c r="LJI4765" s="908"/>
      <c r="LJJ4765" s="909"/>
      <c r="LJK4765" s="34">
        <v>-5</v>
      </c>
      <c r="LJL4765" s="34">
        <v>-4.5</v>
      </c>
      <c r="LJM4765" s="34">
        <v>-4</v>
      </c>
      <c r="LJN4765" s="34">
        <v>-3.5</v>
      </c>
      <c r="LJO4765" s="34">
        <v>-3</v>
      </c>
      <c r="LJP4765" s="34">
        <v>-2.5</v>
      </c>
      <c r="LJQ4765" s="34">
        <v>-2</v>
      </c>
      <c r="LJR4765" s="34">
        <v>-1.5</v>
      </c>
      <c r="LJS4765" s="34">
        <v>-1</v>
      </c>
      <c r="LJT4765" s="34">
        <v>-0.5</v>
      </c>
      <c r="LJU4765" s="34">
        <v>0</v>
      </c>
      <c r="LJV4765" s="34">
        <v>0.5</v>
      </c>
      <c r="LJW4765" s="34">
        <v>1</v>
      </c>
      <c r="LJX4765" s="34">
        <v>1.5</v>
      </c>
      <c r="LJY4765" s="34">
        <v>2</v>
      </c>
      <c r="LJZ4765" s="34">
        <v>2.5</v>
      </c>
      <c r="LKA4765" s="34">
        <v>3</v>
      </c>
      <c r="LKB4765" s="34">
        <v>3.5</v>
      </c>
      <c r="LKC4765" s="34">
        <v>4</v>
      </c>
      <c r="LKD4765" s="34">
        <v>4.5</v>
      </c>
      <c r="LKE4765" s="34">
        <v>5</v>
      </c>
      <c r="LKG4765" s="913"/>
      <c r="LKH4765" s="31">
        <v>1</v>
      </c>
      <c r="LKI4765" s="34">
        <v>0</v>
      </c>
      <c r="LKJ4765" s="34">
        <v>-1</v>
      </c>
      <c r="LKK4765" s="34">
        <v>-2</v>
      </c>
      <c r="LKL4765" s="34">
        <v>-3</v>
      </c>
      <c r="LKM4765" s="34">
        <v>-4</v>
      </c>
      <c r="LKN4765" s="34">
        <v>-5</v>
      </c>
      <c r="LKO4765" s="908"/>
      <c r="LKP4765" s="909"/>
      <c r="LKQ4765" s="34">
        <v>-5</v>
      </c>
      <c r="LKR4765" s="34">
        <v>-4.5</v>
      </c>
      <c r="LKS4765" s="34">
        <v>-4</v>
      </c>
      <c r="LKT4765" s="34">
        <v>-3.5</v>
      </c>
      <c r="LKU4765" s="34">
        <v>-3</v>
      </c>
      <c r="LKV4765" s="34">
        <v>-2.5</v>
      </c>
      <c r="LKW4765" s="34">
        <v>-2</v>
      </c>
      <c r="LKX4765" s="34">
        <v>-1.5</v>
      </c>
      <c r="LKY4765" s="34">
        <v>-1</v>
      </c>
      <c r="LKZ4765" s="34">
        <v>-0.5</v>
      </c>
      <c r="LLA4765" s="34">
        <v>0</v>
      </c>
      <c r="LLB4765" s="34">
        <v>0.5</v>
      </c>
      <c r="LLC4765" s="34">
        <v>1</v>
      </c>
      <c r="LLD4765" s="34">
        <v>1.5</v>
      </c>
      <c r="LLE4765" s="34">
        <v>2</v>
      </c>
      <c r="LLF4765" s="34">
        <v>2.5</v>
      </c>
      <c r="LLG4765" s="34">
        <v>3</v>
      </c>
      <c r="LLH4765" s="34">
        <v>3.5</v>
      </c>
      <c r="LLI4765" s="34">
        <v>4</v>
      </c>
      <c r="LLJ4765" s="34">
        <v>4.5</v>
      </c>
      <c r="LLK4765" s="34">
        <v>5</v>
      </c>
      <c r="LLM4765" s="913"/>
      <c r="LLN4765" s="31">
        <v>1</v>
      </c>
      <c r="LLO4765" s="34">
        <v>0</v>
      </c>
      <c r="LLP4765" s="34">
        <v>-1</v>
      </c>
      <c r="LLQ4765" s="34">
        <v>-2</v>
      </c>
      <c r="LLR4765" s="34">
        <v>-3</v>
      </c>
      <c r="LLS4765" s="34">
        <v>-4</v>
      </c>
      <c r="LLT4765" s="34">
        <v>-5</v>
      </c>
      <c r="LLU4765" s="908"/>
      <c r="LLV4765" s="909"/>
      <c r="LLW4765" s="34">
        <v>-5</v>
      </c>
      <c r="LLX4765" s="34">
        <v>-4.5</v>
      </c>
      <c r="LLY4765" s="34">
        <v>-4</v>
      </c>
      <c r="LLZ4765" s="34">
        <v>-3.5</v>
      </c>
      <c r="LMA4765" s="34">
        <v>-3</v>
      </c>
      <c r="LMB4765" s="34">
        <v>-2.5</v>
      </c>
      <c r="LMC4765" s="34">
        <v>-2</v>
      </c>
      <c r="LMD4765" s="34">
        <v>-1.5</v>
      </c>
      <c r="LME4765" s="34">
        <v>-1</v>
      </c>
      <c r="LMF4765" s="34">
        <v>-0.5</v>
      </c>
      <c r="LMG4765" s="34">
        <v>0</v>
      </c>
      <c r="LMH4765" s="34">
        <v>0.5</v>
      </c>
      <c r="LMI4765" s="34">
        <v>1</v>
      </c>
      <c r="LMJ4765" s="34">
        <v>1.5</v>
      </c>
      <c r="LMK4765" s="34">
        <v>2</v>
      </c>
      <c r="LML4765" s="34">
        <v>2.5</v>
      </c>
      <c r="LMM4765" s="34">
        <v>3</v>
      </c>
      <c r="LMN4765" s="34">
        <v>3.5</v>
      </c>
      <c r="LMO4765" s="34">
        <v>4</v>
      </c>
      <c r="LMP4765" s="34">
        <v>4.5</v>
      </c>
      <c r="LMQ4765" s="34">
        <v>5</v>
      </c>
      <c r="LMS4765" s="913"/>
      <c r="LMT4765" s="31">
        <v>1</v>
      </c>
      <c r="LMU4765" s="34">
        <v>0</v>
      </c>
      <c r="LMV4765" s="34">
        <v>-1</v>
      </c>
      <c r="LMW4765" s="34">
        <v>-2</v>
      </c>
      <c r="LMX4765" s="34">
        <v>-3</v>
      </c>
      <c r="LMY4765" s="34">
        <v>-4</v>
      </c>
      <c r="LMZ4765" s="34">
        <v>-5</v>
      </c>
      <c r="LNA4765" s="908"/>
      <c r="LNB4765" s="909"/>
      <c r="LNC4765" s="34">
        <v>-5</v>
      </c>
      <c r="LND4765" s="34">
        <v>-4.5</v>
      </c>
      <c r="LNE4765" s="34">
        <v>-4</v>
      </c>
      <c r="LNF4765" s="34">
        <v>-3.5</v>
      </c>
      <c r="LNG4765" s="34">
        <v>-3</v>
      </c>
      <c r="LNH4765" s="34">
        <v>-2.5</v>
      </c>
      <c r="LNI4765" s="34">
        <v>-2</v>
      </c>
      <c r="LNJ4765" s="34">
        <v>-1.5</v>
      </c>
      <c r="LNK4765" s="34">
        <v>-1</v>
      </c>
      <c r="LNL4765" s="34">
        <v>-0.5</v>
      </c>
      <c r="LNM4765" s="34">
        <v>0</v>
      </c>
      <c r="LNN4765" s="34">
        <v>0.5</v>
      </c>
      <c r="LNO4765" s="34">
        <v>1</v>
      </c>
      <c r="LNP4765" s="34">
        <v>1.5</v>
      </c>
      <c r="LNQ4765" s="34">
        <v>2</v>
      </c>
      <c r="LNR4765" s="34">
        <v>2.5</v>
      </c>
      <c r="LNS4765" s="34">
        <v>3</v>
      </c>
      <c r="LNT4765" s="34">
        <v>3.5</v>
      </c>
      <c r="LNU4765" s="34">
        <v>4</v>
      </c>
      <c r="LNV4765" s="34">
        <v>4.5</v>
      </c>
      <c r="LNW4765" s="34">
        <v>5</v>
      </c>
      <c r="LNY4765" s="913"/>
      <c r="LNZ4765" s="31">
        <v>1</v>
      </c>
      <c r="LOA4765" s="34">
        <v>0</v>
      </c>
      <c r="LOB4765" s="34">
        <v>-1</v>
      </c>
      <c r="LOC4765" s="34">
        <v>-2</v>
      </c>
      <c r="LOD4765" s="34">
        <v>-3</v>
      </c>
      <c r="LOE4765" s="34">
        <v>-4</v>
      </c>
      <c r="LOF4765" s="34">
        <v>-5</v>
      </c>
      <c r="LOG4765" s="908"/>
      <c r="LOH4765" s="909"/>
      <c r="LOI4765" s="34">
        <v>-5</v>
      </c>
      <c r="LOJ4765" s="34">
        <v>-4.5</v>
      </c>
      <c r="LOK4765" s="34">
        <v>-4</v>
      </c>
      <c r="LOL4765" s="34">
        <v>-3.5</v>
      </c>
      <c r="LOM4765" s="34">
        <v>-3</v>
      </c>
      <c r="LON4765" s="34">
        <v>-2.5</v>
      </c>
      <c r="LOO4765" s="34">
        <v>-2</v>
      </c>
      <c r="LOP4765" s="34">
        <v>-1.5</v>
      </c>
      <c r="LOQ4765" s="34">
        <v>-1</v>
      </c>
      <c r="LOR4765" s="34">
        <v>-0.5</v>
      </c>
      <c r="LOS4765" s="34">
        <v>0</v>
      </c>
      <c r="LOT4765" s="34">
        <v>0.5</v>
      </c>
      <c r="LOU4765" s="34">
        <v>1</v>
      </c>
      <c r="LOV4765" s="34">
        <v>1.5</v>
      </c>
      <c r="LOW4765" s="34">
        <v>2</v>
      </c>
      <c r="LOX4765" s="34">
        <v>2.5</v>
      </c>
      <c r="LOY4765" s="34">
        <v>3</v>
      </c>
      <c r="LOZ4765" s="34">
        <v>3.5</v>
      </c>
      <c r="LPA4765" s="34">
        <v>4</v>
      </c>
      <c r="LPB4765" s="34">
        <v>4.5</v>
      </c>
      <c r="LPC4765" s="34">
        <v>5</v>
      </c>
      <c r="LPE4765" s="913"/>
      <c r="LPF4765" s="31">
        <v>1</v>
      </c>
      <c r="LPG4765" s="34">
        <v>0</v>
      </c>
      <c r="LPH4765" s="34">
        <v>-1</v>
      </c>
      <c r="LPI4765" s="34">
        <v>-2</v>
      </c>
      <c r="LPJ4765" s="34">
        <v>-3</v>
      </c>
      <c r="LPK4765" s="34">
        <v>-4</v>
      </c>
      <c r="LPL4765" s="34">
        <v>-5</v>
      </c>
      <c r="LPM4765" s="908"/>
      <c r="LPN4765" s="909"/>
      <c r="LPO4765" s="34">
        <v>-5</v>
      </c>
      <c r="LPP4765" s="34">
        <v>-4.5</v>
      </c>
      <c r="LPQ4765" s="34">
        <v>-4</v>
      </c>
      <c r="LPR4765" s="34">
        <v>-3.5</v>
      </c>
      <c r="LPS4765" s="34">
        <v>-3</v>
      </c>
      <c r="LPT4765" s="34">
        <v>-2.5</v>
      </c>
      <c r="LPU4765" s="34">
        <v>-2</v>
      </c>
      <c r="LPV4765" s="34">
        <v>-1.5</v>
      </c>
      <c r="LPW4765" s="34">
        <v>-1</v>
      </c>
      <c r="LPX4765" s="34">
        <v>-0.5</v>
      </c>
      <c r="LPY4765" s="34">
        <v>0</v>
      </c>
      <c r="LPZ4765" s="34">
        <v>0.5</v>
      </c>
      <c r="LQA4765" s="34">
        <v>1</v>
      </c>
      <c r="LQB4765" s="34">
        <v>1.5</v>
      </c>
      <c r="LQC4765" s="34">
        <v>2</v>
      </c>
      <c r="LQD4765" s="34">
        <v>2.5</v>
      </c>
      <c r="LQE4765" s="34">
        <v>3</v>
      </c>
      <c r="LQF4765" s="34">
        <v>3.5</v>
      </c>
      <c r="LQG4765" s="34">
        <v>4</v>
      </c>
      <c r="LQH4765" s="34">
        <v>4.5</v>
      </c>
      <c r="LQI4765" s="34">
        <v>5</v>
      </c>
      <c r="LQK4765" s="913"/>
      <c r="LQL4765" s="31">
        <v>1</v>
      </c>
      <c r="LQM4765" s="34">
        <v>0</v>
      </c>
      <c r="LQN4765" s="34">
        <v>-1</v>
      </c>
      <c r="LQO4765" s="34">
        <v>-2</v>
      </c>
      <c r="LQP4765" s="34">
        <v>-3</v>
      </c>
      <c r="LQQ4765" s="34">
        <v>-4</v>
      </c>
      <c r="LQR4765" s="34">
        <v>-5</v>
      </c>
      <c r="LQS4765" s="908"/>
      <c r="LQT4765" s="909"/>
      <c r="LQU4765" s="34">
        <v>-5</v>
      </c>
      <c r="LQV4765" s="34">
        <v>-4.5</v>
      </c>
      <c r="LQW4765" s="34">
        <v>-4</v>
      </c>
      <c r="LQX4765" s="34">
        <v>-3.5</v>
      </c>
      <c r="LQY4765" s="34">
        <v>-3</v>
      </c>
      <c r="LQZ4765" s="34">
        <v>-2.5</v>
      </c>
      <c r="LRA4765" s="34">
        <v>-2</v>
      </c>
      <c r="LRB4765" s="34">
        <v>-1.5</v>
      </c>
      <c r="LRC4765" s="34">
        <v>-1</v>
      </c>
      <c r="LRD4765" s="34">
        <v>-0.5</v>
      </c>
      <c r="LRE4765" s="34">
        <v>0</v>
      </c>
      <c r="LRF4765" s="34">
        <v>0.5</v>
      </c>
      <c r="LRG4765" s="34">
        <v>1</v>
      </c>
      <c r="LRH4765" s="34">
        <v>1.5</v>
      </c>
      <c r="LRI4765" s="34">
        <v>2</v>
      </c>
      <c r="LRJ4765" s="34">
        <v>2.5</v>
      </c>
      <c r="LRK4765" s="34">
        <v>3</v>
      </c>
      <c r="LRL4765" s="34">
        <v>3.5</v>
      </c>
      <c r="LRM4765" s="34">
        <v>4</v>
      </c>
      <c r="LRN4765" s="34">
        <v>4.5</v>
      </c>
      <c r="LRO4765" s="34">
        <v>5</v>
      </c>
      <c r="LRQ4765" s="913"/>
      <c r="LRR4765" s="31">
        <v>1</v>
      </c>
      <c r="LRS4765" s="34">
        <v>0</v>
      </c>
      <c r="LRT4765" s="34">
        <v>-1</v>
      </c>
      <c r="LRU4765" s="34">
        <v>-2</v>
      </c>
      <c r="LRV4765" s="34">
        <v>-3</v>
      </c>
      <c r="LRW4765" s="34">
        <v>-4</v>
      </c>
      <c r="LRX4765" s="34">
        <v>-5</v>
      </c>
      <c r="LRY4765" s="908"/>
      <c r="LRZ4765" s="909"/>
      <c r="LSA4765" s="34">
        <v>-5</v>
      </c>
      <c r="LSB4765" s="34">
        <v>-4.5</v>
      </c>
      <c r="LSC4765" s="34">
        <v>-4</v>
      </c>
      <c r="LSD4765" s="34">
        <v>-3.5</v>
      </c>
      <c r="LSE4765" s="34">
        <v>-3</v>
      </c>
      <c r="LSF4765" s="34">
        <v>-2.5</v>
      </c>
      <c r="LSG4765" s="34">
        <v>-2</v>
      </c>
      <c r="LSH4765" s="34">
        <v>-1.5</v>
      </c>
      <c r="LSI4765" s="34">
        <v>-1</v>
      </c>
      <c r="LSJ4765" s="34">
        <v>-0.5</v>
      </c>
      <c r="LSK4765" s="34">
        <v>0</v>
      </c>
      <c r="LSL4765" s="34">
        <v>0.5</v>
      </c>
      <c r="LSM4765" s="34">
        <v>1</v>
      </c>
      <c r="LSN4765" s="34">
        <v>1.5</v>
      </c>
      <c r="LSO4765" s="34">
        <v>2</v>
      </c>
      <c r="LSP4765" s="34">
        <v>2.5</v>
      </c>
      <c r="LSQ4765" s="34">
        <v>3</v>
      </c>
      <c r="LSR4765" s="34">
        <v>3.5</v>
      </c>
      <c r="LSS4765" s="34">
        <v>4</v>
      </c>
      <c r="LST4765" s="34">
        <v>4.5</v>
      </c>
      <c r="LSU4765" s="34">
        <v>5</v>
      </c>
      <c r="LSW4765" s="913"/>
      <c r="LSX4765" s="31">
        <v>1</v>
      </c>
      <c r="LSY4765" s="34">
        <v>0</v>
      </c>
      <c r="LSZ4765" s="34">
        <v>-1</v>
      </c>
      <c r="LTA4765" s="34">
        <v>-2</v>
      </c>
      <c r="LTB4765" s="34">
        <v>-3</v>
      </c>
      <c r="LTC4765" s="34">
        <v>-4</v>
      </c>
      <c r="LTD4765" s="34">
        <v>-5</v>
      </c>
      <c r="LTE4765" s="908"/>
      <c r="LTF4765" s="909"/>
      <c r="LTG4765" s="34">
        <v>-5</v>
      </c>
      <c r="LTH4765" s="34">
        <v>-4.5</v>
      </c>
      <c r="LTI4765" s="34">
        <v>-4</v>
      </c>
      <c r="LTJ4765" s="34">
        <v>-3.5</v>
      </c>
      <c r="LTK4765" s="34">
        <v>-3</v>
      </c>
      <c r="LTL4765" s="34">
        <v>-2.5</v>
      </c>
      <c r="LTM4765" s="34">
        <v>-2</v>
      </c>
      <c r="LTN4765" s="34">
        <v>-1.5</v>
      </c>
      <c r="LTO4765" s="34">
        <v>-1</v>
      </c>
      <c r="LTP4765" s="34">
        <v>-0.5</v>
      </c>
      <c r="LTQ4765" s="34">
        <v>0</v>
      </c>
      <c r="LTR4765" s="34">
        <v>0.5</v>
      </c>
      <c r="LTS4765" s="34">
        <v>1</v>
      </c>
      <c r="LTT4765" s="34">
        <v>1.5</v>
      </c>
      <c r="LTU4765" s="34">
        <v>2</v>
      </c>
      <c r="LTV4765" s="34">
        <v>2.5</v>
      </c>
      <c r="LTW4765" s="34">
        <v>3</v>
      </c>
      <c r="LTX4765" s="34">
        <v>3.5</v>
      </c>
      <c r="LTY4765" s="34">
        <v>4</v>
      </c>
      <c r="LTZ4765" s="34">
        <v>4.5</v>
      </c>
      <c r="LUA4765" s="34">
        <v>5</v>
      </c>
      <c r="LUC4765" s="913"/>
      <c r="LUD4765" s="31">
        <v>1</v>
      </c>
      <c r="LUE4765" s="34">
        <v>0</v>
      </c>
      <c r="LUF4765" s="34">
        <v>-1</v>
      </c>
      <c r="LUG4765" s="34">
        <v>-2</v>
      </c>
      <c r="LUH4765" s="34">
        <v>-3</v>
      </c>
      <c r="LUI4765" s="34">
        <v>-4</v>
      </c>
      <c r="LUJ4765" s="34">
        <v>-5</v>
      </c>
      <c r="LUK4765" s="908"/>
      <c r="LUL4765" s="909"/>
      <c r="LUM4765" s="34">
        <v>-5</v>
      </c>
      <c r="LUN4765" s="34">
        <v>-4.5</v>
      </c>
      <c r="LUO4765" s="34">
        <v>-4</v>
      </c>
      <c r="LUP4765" s="34">
        <v>-3.5</v>
      </c>
      <c r="LUQ4765" s="34">
        <v>-3</v>
      </c>
      <c r="LUR4765" s="34">
        <v>-2.5</v>
      </c>
      <c r="LUS4765" s="34">
        <v>-2</v>
      </c>
      <c r="LUT4765" s="34">
        <v>-1.5</v>
      </c>
      <c r="LUU4765" s="34">
        <v>-1</v>
      </c>
      <c r="LUV4765" s="34">
        <v>-0.5</v>
      </c>
      <c r="LUW4765" s="34">
        <v>0</v>
      </c>
      <c r="LUX4765" s="34">
        <v>0.5</v>
      </c>
      <c r="LUY4765" s="34">
        <v>1</v>
      </c>
      <c r="LUZ4765" s="34">
        <v>1.5</v>
      </c>
      <c r="LVA4765" s="34">
        <v>2</v>
      </c>
      <c r="LVB4765" s="34">
        <v>2.5</v>
      </c>
      <c r="LVC4765" s="34">
        <v>3</v>
      </c>
      <c r="LVD4765" s="34">
        <v>3.5</v>
      </c>
      <c r="LVE4765" s="34">
        <v>4</v>
      </c>
      <c r="LVF4765" s="34">
        <v>4.5</v>
      </c>
      <c r="LVG4765" s="34">
        <v>5</v>
      </c>
      <c r="LVI4765" s="913"/>
      <c r="LVJ4765" s="31">
        <v>1</v>
      </c>
      <c r="LVK4765" s="34">
        <v>0</v>
      </c>
      <c r="LVL4765" s="34">
        <v>-1</v>
      </c>
      <c r="LVM4765" s="34">
        <v>-2</v>
      </c>
      <c r="LVN4765" s="34">
        <v>-3</v>
      </c>
      <c r="LVO4765" s="34">
        <v>-4</v>
      </c>
      <c r="LVP4765" s="34">
        <v>-5</v>
      </c>
      <c r="LVQ4765" s="908"/>
      <c r="LVR4765" s="909"/>
      <c r="LVS4765" s="34">
        <v>-5</v>
      </c>
      <c r="LVT4765" s="34">
        <v>-4.5</v>
      </c>
      <c r="LVU4765" s="34">
        <v>-4</v>
      </c>
      <c r="LVV4765" s="34">
        <v>-3.5</v>
      </c>
      <c r="LVW4765" s="34">
        <v>-3</v>
      </c>
      <c r="LVX4765" s="34">
        <v>-2.5</v>
      </c>
      <c r="LVY4765" s="34">
        <v>-2</v>
      </c>
      <c r="LVZ4765" s="34">
        <v>-1.5</v>
      </c>
      <c r="LWA4765" s="34">
        <v>-1</v>
      </c>
      <c r="LWB4765" s="34">
        <v>-0.5</v>
      </c>
      <c r="LWC4765" s="34">
        <v>0</v>
      </c>
      <c r="LWD4765" s="34">
        <v>0.5</v>
      </c>
      <c r="LWE4765" s="34">
        <v>1</v>
      </c>
      <c r="LWF4765" s="34">
        <v>1.5</v>
      </c>
      <c r="LWG4765" s="34">
        <v>2</v>
      </c>
      <c r="LWH4765" s="34">
        <v>2.5</v>
      </c>
      <c r="LWI4765" s="34">
        <v>3</v>
      </c>
      <c r="LWJ4765" s="34">
        <v>3.5</v>
      </c>
      <c r="LWK4765" s="34">
        <v>4</v>
      </c>
      <c r="LWL4765" s="34">
        <v>4.5</v>
      </c>
      <c r="LWM4765" s="34">
        <v>5</v>
      </c>
      <c r="LWO4765" s="913"/>
      <c r="LWP4765" s="31">
        <v>1</v>
      </c>
      <c r="LWQ4765" s="34">
        <v>0</v>
      </c>
      <c r="LWR4765" s="34">
        <v>-1</v>
      </c>
      <c r="LWS4765" s="34">
        <v>-2</v>
      </c>
      <c r="LWT4765" s="34">
        <v>-3</v>
      </c>
      <c r="LWU4765" s="34">
        <v>-4</v>
      </c>
      <c r="LWV4765" s="34">
        <v>-5</v>
      </c>
      <c r="LWW4765" s="908"/>
      <c r="LWX4765" s="909"/>
      <c r="LWY4765" s="34">
        <v>-5</v>
      </c>
      <c r="LWZ4765" s="34">
        <v>-4.5</v>
      </c>
      <c r="LXA4765" s="34">
        <v>-4</v>
      </c>
      <c r="LXB4765" s="34">
        <v>-3.5</v>
      </c>
      <c r="LXC4765" s="34">
        <v>-3</v>
      </c>
      <c r="LXD4765" s="34">
        <v>-2.5</v>
      </c>
      <c r="LXE4765" s="34">
        <v>-2</v>
      </c>
      <c r="LXF4765" s="34">
        <v>-1.5</v>
      </c>
      <c r="LXG4765" s="34">
        <v>-1</v>
      </c>
      <c r="LXH4765" s="34">
        <v>-0.5</v>
      </c>
      <c r="LXI4765" s="34">
        <v>0</v>
      </c>
      <c r="LXJ4765" s="34">
        <v>0.5</v>
      </c>
      <c r="LXK4765" s="34">
        <v>1</v>
      </c>
      <c r="LXL4765" s="34">
        <v>1.5</v>
      </c>
      <c r="LXM4765" s="34">
        <v>2</v>
      </c>
      <c r="LXN4765" s="34">
        <v>2.5</v>
      </c>
      <c r="LXO4765" s="34">
        <v>3</v>
      </c>
      <c r="LXP4765" s="34">
        <v>3.5</v>
      </c>
      <c r="LXQ4765" s="34">
        <v>4</v>
      </c>
      <c r="LXR4765" s="34">
        <v>4.5</v>
      </c>
      <c r="LXS4765" s="34">
        <v>5</v>
      </c>
      <c r="LXU4765" s="913"/>
      <c r="LXV4765" s="31">
        <v>1</v>
      </c>
      <c r="LXW4765" s="34">
        <v>0</v>
      </c>
      <c r="LXX4765" s="34">
        <v>-1</v>
      </c>
      <c r="LXY4765" s="34">
        <v>-2</v>
      </c>
      <c r="LXZ4765" s="34">
        <v>-3</v>
      </c>
      <c r="LYA4765" s="34">
        <v>-4</v>
      </c>
      <c r="LYB4765" s="34">
        <v>-5</v>
      </c>
      <c r="LYC4765" s="908"/>
      <c r="LYD4765" s="909"/>
      <c r="LYE4765" s="34">
        <v>-5</v>
      </c>
      <c r="LYF4765" s="34">
        <v>-4.5</v>
      </c>
      <c r="LYG4765" s="34">
        <v>-4</v>
      </c>
      <c r="LYH4765" s="34">
        <v>-3.5</v>
      </c>
      <c r="LYI4765" s="34">
        <v>-3</v>
      </c>
      <c r="LYJ4765" s="34">
        <v>-2.5</v>
      </c>
      <c r="LYK4765" s="34">
        <v>-2</v>
      </c>
      <c r="LYL4765" s="34">
        <v>-1.5</v>
      </c>
      <c r="LYM4765" s="34">
        <v>-1</v>
      </c>
      <c r="LYN4765" s="34">
        <v>-0.5</v>
      </c>
      <c r="LYO4765" s="34">
        <v>0</v>
      </c>
      <c r="LYP4765" s="34">
        <v>0.5</v>
      </c>
      <c r="LYQ4765" s="34">
        <v>1</v>
      </c>
      <c r="LYR4765" s="34">
        <v>1.5</v>
      </c>
      <c r="LYS4765" s="34">
        <v>2</v>
      </c>
      <c r="LYT4765" s="34">
        <v>2.5</v>
      </c>
      <c r="LYU4765" s="34">
        <v>3</v>
      </c>
      <c r="LYV4765" s="34">
        <v>3.5</v>
      </c>
      <c r="LYW4765" s="34">
        <v>4</v>
      </c>
      <c r="LYX4765" s="34">
        <v>4.5</v>
      </c>
      <c r="LYY4765" s="34">
        <v>5</v>
      </c>
      <c r="LZA4765" s="913"/>
      <c r="LZB4765" s="31">
        <v>1</v>
      </c>
      <c r="LZC4765" s="34">
        <v>0</v>
      </c>
      <c r="LZD4765" s="34">
        <v>-1</v>
      </c>
      <c r="LZE4765" s="34">
        <v>-2</v>
      </c>
      <c r="LZF4765" s="34">
        <v>-3</v>
      </c>
      <c r="LZG4765" s="34">
        <v>-4</v>
      </c>
      <c r="LZH4765" s="34">
        <v>-5</v>
      </c>
      <c r="LZI4765" s="908"/>
      <c r="LZJ4765" s="909"/>
      <c r="LZK4765" s="34">
        <v>-5</v>
      </c>
      <c r="LZL4765" s="34">
        <v>-4.5</v>
      </c>
      <c r="LZM4765" s="34">
        <v>-4</v>
      </c>
      <c r="LZN4765" s="34">
        <v>-3.5</v>
      </c>
      <c r="LZO4765" s="34">
        <v>-3</v>
      </c>
      <c r="LZP4765" s="34">
        <v>-2.5</v>
      </c>
      <c r="LZQ4765" s="34">
        <v>-2</v>
      </c>
      <c r="LZR4765" s="34">
        <v>-1.5</v>
      </c>
      <c r="LZS4765" s="34">
        <v>-1</v>
      </c>
      <c r="LZT4765" s="34">
        <v>-0.5</v>
      </c>
      <c r="LZU4765" s="34">
        <v>0</v>
      </c>
      <c r="LZV4765" s="34">
        <v>0.5</v>
      </c>
      <c r="LZW4765" s="34">
        <v>1</v>
      </c>
      <c r="LZX4765" s="34">
        <v>1.5</v>
      </c>
      <c r="LZY4765" s="34">
        <v>2</v>
      </c>
      <c r="LZZ4765" s="34">
        <v>2.5</v>
      </c>
      <c r="MAA4765" s="34">
        <v>3</v>
      </c>
      <c r="MAB4765" s="34">
        <v>3.5</v>
      </c>
      <c r="MAC4765" s="34">
        <v>4</v>
      </c>
      <c r="MAD4765" s="34">
        <v>4.5</v>
      </c>
      <c r="MAE4765" s="34">
        <v>5</v>
      </c>
      <c r="MAG4765" s="913"/>
      <c r="MAH4765" s="31">
        <v>1</v>
      </c>
      <c r="MAI4765" s="34">
        <v>0</v>
      </c>
      <c r="MAJ4765" s="34">
        <v>-1</v>
      </c>
      <c r="MAK4765" s="34">
        <v>-2</v>
      </c>
      <c r="MAL4765" s="34">
        <v>-3</v>
      </c>
      <c r="MAM4765" s="34">
        <v>-4</v>
      </c>
      <c r="MAN4765" s="34">
        <v>-5</v>
      </c>
      <c r="MAO4765" s="908"/>
      <c r="MAP4765" s="909"/>
      <c r="MAQ4765" s="34">
        <v>-5</v>
      </c>
      <c r="MAR4765" s="34">
        <v>-4.5</v>
      </c>
      <c r="MAS4765" s="34">
        <v>-4</v>
      </c>
      <c r="MAT4765" s="34">
        <v>-3.5</v>
      </c>
      <c r="MAU4765" s="34">
        <v>-3</v>
      </c>
      <c r="MAV4765" s="34">
        <v>-2.5</v>
      </c>
      <c r="MAW4765" s="34">
        <v>-2</v>
      </c>
      <c r="MAX4765" s="34">
        <v>-1.5</v>
      </c>
      <c r="MAY4765" s="34">
        <v>-1</v>
      </c>
      <c r="MAZ4765" s="34">
        <v>-0.5</v>
      </c>
      <c r="MBA4765" s="34">
        <v>0</v>
      </c>
      <c r="MBB4765" s="34">
        <v>0.5</v>
      </c>
      <c r="MBC4765" s="34">
        <v>1</v>
      </c>
      <c r="MBD4765" s="34">
        <v>1.5</v>
      </c>
      <c r="MBE4765" s="34">
        <v>2</v>
      </c>
      <c r="MBF4765" s="34">
        <v>2.5</v>
      </c>
      <c r="MBG4765" s="34">
        <v>3</v>
      </c>
      <c r="MBH4765" s="34">
        <v>3.5</v>
      </c>
      <c r="MBI4765" s="34">
        <v>4</v>
      </c>
      <c r="MBJ4765" s="34">
        <v>4.5</v>
      </c>
      <c r="MBK4765" s="34">
        <v>5</v>
      </c>
      <c r="MBM4765" s="913"/>
      <c r="MBN4765" s="31">
        <v>1</v>
      </c>
      <c r="MBO4765" s="34">
        <v>0</v>
      </c>
      <c r="MBP4765" s="34">
        <v>-1</v>
      </c>
      <c r="MBQ4765" s="34">
        <v>-2</v>
      </c>
      <c r="MBR4765" s="34">
        <v>-3</v>
      </c>
      <c r="MBS4765" s="34">
        <v>-4</v>
      </c>
      <c r="MBT4765" s="34">
        <v>-5</v>
      </c>
      <c r="MBU4765" s="908"/>
      <c r="MBV4765" s="909"/>
      <c r="MBW4765" s="34">
        <v>-5</v>
      </c>
      <c r="MBX4765" s="34">
        <v>-4.5</v>
      </c>
      <c r="MBY4765" s="34">
        <v>-4</v>
      </c>
      <c r="MBZ4765" s="34">
        <v>-3.5</v>
      </c>
      <c r="MCA4765" s="34">
        <v>-3</v>
      </c>
      <c r="MCB4765" s="34">
        <v>-2.5</v>
      </c>
      <c r="MCC4765" s="34">
        <v>-2</v>
      </c>
      <c r="MCD4765" s="34">
        <v>-1.5</v>
      </c>
      <c r="MCE4765" s="34">
        <v>-1</v>
      </c>
      <c r="MCF4765" s="34">
        <v>-0.5</v>
      </c>
      <c r="MCG4765" s="34">
        <v>0</v>
      </c>
      <c r="MCH4765" s="34">
        <v>0.5</v>
      </c>
      <c r="MCI4765" s="34">
        <v>1</v>
      </c>
      <c r="MCJ4765" s="34">
        <v>1.5</v>
      </c>
      <c r="MCK4765" s="34">
        <v>2</v>
      </c>
      <c r="MCL4765" s="34">
        <v>2.5</v>
      </c>
      <c r="MCM4765" s="34">
        <v>3</v>
      </c>
      <c r="MCN4765" s="34">
        <v>3.5</v>
      </c>
      <c r="MCO4765" s="34">
        <v>4</v>
      </c>
      <c r="MCP4765" s="34">
        <v>4.5</v>
      </c>
      <c r="MCQ4765" s="34">
        <v>5</v>
      </c>
      <c r="MCS4765" s="913"/>
      <c r="MCT4765" s="31">
        <v>1</v>
      </c>
      <c r="MCU4765" s="34">
        <v>0</v>
      </c>
      <c r="MCV4765" s="34">
        <v>-1</v>
      </c>
      <c r="MCW4765" s="34">
        <v>-2</v>
      </c>
      <c r="MCX4765" s="34">
        <v>-3</v>
      </c>
      <c r="MCY4765" s="34">
        <v>-4</v>
      </c>
      <c r="MCZ4765" s="34">
        <v>-5</v>
      </c>
      <c r="MDA4765" s="908"/>
      <c r="MDB4765" s="909"/>
      <c r="MDC4765" s="34">
        <v>-5</v>
      </c>
      <c r="MDD4765" s="34">
        <v>-4.5</v>
      </c>
      <c r="MDE4765" s="34">
        <v>-4</v>
      </c>
      <c r="MDF4765" s="34">
        <v>-3.5</v>
      </c>
      <c r="MDG4765" s="34">
        <v>-3</v>
      </c>
      <c r="MDH4765" s="34">
        <v>-2.5</v>
      </c>
      <c r="MDI4765" s="34">
        <v>-2</v>
      </c>
      <c r="MDJ4765" s="34">
        <v>-1.5</v>
      </c>
      <c r="MDK4765" s="34">
        <v>-1</v>
      </c>
      <c r="MDL4765" s="34">
        <v>-0.5</v>
      </c>
      <c r="MDM4765" s="34">
        <v>0</v>
      </c>
      <c r="MDN4765" s="34">
        <v>0.5</v>
      </c>
      <c r="MDO4765" s="34">
        <v>1</v>
      </c>
      <c r="MDP4765" s="34">
        <v>1.5</v>
      </c>
      <c r="MDQ4765" s="34">
        <v>2</v>
      </c>
      <c r="MDR4765" s="34">
        <v>2.5</v>
      </c>
      <c r="MDS4765" s="34">
        <v>3</v>
      </c>
      <c r="MDT4765" s="34">
        <v>3.5</v>
      </c>
      <c r="MDU4765" s="34">
        <v>4</v>
      </c>
      <c r="MDV4765" s="34">
        <v>4.5</v>
      </c>
      <c r="MDW4765" s="34">
        <v>5</v>
      </c>
      <c r="MDY4765" s="913"/>
      <c r="MDZ4765" s="31">
        <v>1</v>
      </c>
      <c r="MEA4765" s="34">
        <v>0</v>
      </c>
      <c r="MEB4765" s="34">
        <v>-1</v>
      </c>
      <c r="MEC4765" s="34">
        <v>-2</v>
      </c>
      <c r="MED4765" s="34">
        <v>-3</v>
      </c>
      <c r="MEE4765" s="34">
        <v>-4</v>
      </c>
      <c r="MEF4765" s="34">
        <v>-5</v>
      </c>
      <c r="MEG4765" s="908"/>
      <c r="MEH4765" s="909"/>
      <c r="MEI4765" s="34">
        <v>-5</v>
      </c>
      <c r="MEJ4765" s="34">
        <v>-4.5</v>
      </c>
      <c r="MEK4765" s="34">
        <v>-4</v>
      </c>
      <c r="MEL4765" s="34">
        <v>-3.5</v>
      </c>
      <c r="MEM4765" s="34">
        <v>-3</v>
      </c>
      <c r="MEN4765" s="34">
        <v>-2.5</v>
      </c>
      <c r="MEO4765" s="34">
        <v>-2</v>
      </c>
      <c r="MEP4765" s="34">
        <v>-1.5</v>
      </c>
      <c r="MEQ4765" s="34">
        <v>-1</v>
      </c>
      <c r="MER4765" s="34">
        <v>-0.5</v>
      </c>
      <c r="MES4765" s="34">
        <v>0</v>
      </c>
      <c r="MET4765" s="34">
        <v>0.5</v>
      </c>
      <c r="MEU4765" s="34">
        <v>1</v>
      </c>
      <c r="MEV4765" s="34">
        <v>1.5</v>
      </c>
      <c r="MEW4765" s="34">
        <v>2</v>
      </c>
      <c r="MEX4765" s="34">
        <v>2.5</v>
      </c>
      <c r="MEY4765" s="34">
        <v>3</v>
      </c>
      <c r="MEZ4765" s="34">
        <v>3.5</v>
      </c>
      <c r="MFA4765" s="34">
        <v>4</v>
      </c>
      <c r="MFB4765" s="34">
        <v>4.5</v>
      </c>
      <c r="MFC4765" s="34">
        <v>5</v>
      </c>
      <c r="MFE4765" s="913"/>
      <c r="MFF4765" s="31">
        <v>1</v>
      </c>
      <c r="MFG4765" s="34">
        <v>0</v>
      </c>
      <c r="MFH4765" s="34">
        <v>-1</v>
      </c>
      <c r="MFI4765" s="34">
        <v>-2</v>
      </c>
      <c r="MFJ4765" s="34">
        <v>-3</v>
      </c>
      <c r="MFK4765" s="34">
        <v>-4</v>
      </c>
      <c r="MFL4765" s="34">
        <v>-5</v>
      </c>
      <c r="MFM4765" s="908"/>
      <c r="MFN4765" s="909"/>
      <c r="MFO4765" s="34">
        <v>-5</v>
      </c>
      <c r="MFP4765" s="34">
        <v>-4.5</v>
      </c>
      <c r="MFQ4765" s="34">
        <v>-4</v>
      </c>
      <c r="MFR4765" s="34">
        <v>-3.5</v>
      </c>
      <c r="MFS4765" s="34">
        <v>-3</v>
      </c>
      <c r="MFT4765" s="34">
        <v>-2.5</v>
      </c>
      <c r="MFU4765" s="34">
        <v>-2</v>
      </c>
      <c r="MFV4765" s="34">
        <v>-1.5</v>
      </c>
      <c r="MFW4765" s="34">
        <v>-1</v>
      </c>
      <c r="MFX4765" s="34">
        <v>-0.5</v>
      </c>
      <c r="MFY4765" s="34">
        <v>0</v>
      </c>
      <c r="MFZ4765" s="34">
        <v>0.5</v>
      </c>
      <c r="MGA4765" s="34">
        <v>1</v>
      </c>
      <c r="MGB4765" s="34">
        <v>1.5</v>
      </c>
      <c r="MGC4765" s="34">
        <v>2</v>
      </c>
      <c r="MGD4765" s="34">
        <v>2.5</v>
      </c>
      <c r="MGE4765" s="34">
        <v>3</v>
      </c>
      <c r="MGF4765" s="34">
        <v>3.5</v>
      </c>
      <c r="MGG4765" s="34">
        <v>4</v>
      </c>
      <c r="MGH4765" s="34">
        <v>4.5</v>
      </c>
      <c r="MGI4765" s="34">
        <v>5</v>
      </c>
      <c r="MGK4765" s="913"/>
      <c r="MGL4765" s="31">
        <v>1</v>
      </c>
      <c r="MGM4765" s="34">
        <v>0</v>
      </c>
      <c r="MGN4765" s="34">
        <v>-1</v>
      </c>
      <c r="MGO4765" s="34">
        <v>-2</v>
      </c>
      <c r="MGP4765" s="34">
        <v>-3</v>
      </c>
      <c r="MGQ4765" s="34">
        <v>-4</v>
      </c>
      <c r="MGR4765" s="34">
        <v>-5</v>
      </c>
      <c r="MGS4765" s="908"/>
      <c r="MGT4765" s="909"/>
      <c r="MGU4765" s="34">
        <v>-5</v>
      </c>
      <c r="MGV4765" s="34">
        <v>-4.5</v>
      </c>
      <c r="MGW4765" s="34">
        <v>-4</v>
      </c>
      <c r="MGX4765" s="34">
        <v>-3.5</v>
      </c>
      <c r="MGY4765" s="34">
        <v>-3</v>
      </c>
      <c r="MGZ4765" s="34">
        <v>-2.5</v>
      </c>
      <c r="MHA4765" s="34">
        <v>-2</v>
      </c>
      <c r="MHB4765" s="34">
        <v>-1.5</v>
      </c>
      <c r="MHC4765" s="34">
        <v>-1</v>
      </c>
      <c r="MHD4765" s="34">
        <v>-0.5</v>
      </c>
      <c r="MHE4765" s="34">
        <v>0</v>
      </c>
      <c r="MHF4765" s="34">
        <v>0.5</v>
      </c>
      <c r="MHG4765" s="34">
        <v>1</v>
      </c>
      <c r="MHH4765" s="34">
        <v>1.5</v>
      </c>
      <c r="MHI4765" s="34">
        <v>2</v>
      </c>
      <c r="MHJ4765" s="34">
        <v>2.5</v>
      </c>
      <c r="MHK4765" s="34">
        <v>3</v>
      </c>
      <c r="MHL4765" s="34">
        <v>3.5</v>
      </c>
      <c r="MHM4765" s="34">
        <v>4</v>
      </c>
      <c r="MHN4765" s="34">
        <v>4.5</v>
      </c>
      <c r="MHO4765" s="34">
        <v>5</v>
      </c>
      <c r="MHQ4765" s="913"/>
      <c r="MHR4765" s="31">
        <v>1</v>
      </c>
      <c r="MHS4765" s="34">
        <v>0</v>
      </c>
      <c r="MHT4765" s="34">
        <v>-1</v>
      </c>
      <c r="MHU4765" s="34">
        <v>-2</v>
      </c>
      <c r="MHV4765" s="34">
        <v>-3</v>
      </c>
      <c r="MHW4765" s="34">
        <v>-4</v>
      </c>
      <c r="MHX4765" s="34">
        <v>-5</v>
      </c>
      <c r="MHY4765" s="908"/>
      <c r="MHZ4765" s="909"/>
      <c r="MIA4765" s="34">
        <v>-5</v>
      </c>
      <c r="MIB4765" s="34">
        <v>-4.5</v>
      </c>
      <c r="MIC4765" s="34">
        <v>-4</v>
      </c>
      <c r="MID4765" s="34">
        <v>-3.5</v>
      </c>
      <c r="MIE4765" s="34">
        <v>-3</v>
      </c>
      <c r="MIF4765" s="34">
        <v>-2.5</v>
      </c>
      <c r="MIG4765" s="34">
        <v>-2</v>
      </c>
      <c r="MIH4765" s="34">
        <v>-1.5</v>
      </c>
      <c r="MII4765" s="34">
        <v>-1</v>
      </c>
      <c r="MIJ4765" s="34">
        <v>-0.5</v>
      </c>
      <c r="MIK4765" s="34">
        <v>0</v>
      </c>
      <c r="MIL4765" s="34">
        <v>0.5</v>
      </c>
      <c r="MIM4765" s="34">
        <v>1</v>
      </c>
      <c r="MIN4765" s="34">
        <v>1.5</v>
      </c>
      <c r="MIO4765" s="34">
        <v>2</v>
      </c>
      <c r="MIP4765" s="34">
        <v>2.5</v>
      </c>
      <c r="MIQ4765" s="34">
        <v>3</v>
      </c>
      <c r="MIR4765" s="34">
        <v>3.5</v>
      </c>
      <c r="MIS4765" s="34">
        <v>4</v>
      </c>
      <c r="MIT4765" s="34">
        <v>4.5</v>
      </c>
      <c r="MIU4765" s="34">
        <v>5</v>
      </c>
      <c r="MIW4765" s="913"/>
      <c r="MIX4765" s="31">
        <v>1</v>
      </c>
      <c r="MIY4765" s="34">
        <v>0</v>
      </c>
      <c r="MIZ4765" s="34">
        <v>-1</v>
      </c>
      <c r="MJA4765" s="34">
        <v>-2</v>
      </c>
      <c r="MJB4765" s="34">
        <v>-3</v>
      </c>
      <c r="MJC4765" s="34">
        <v>-4</v>
      </c>
      <c r="MJD4765" s="34">
        <v>-5</v>
      </c>
      <c r="MJE4765" s="908"/>
      <c r="MJF4765" s="909"/>
      <c r="MJG4765" s="34">
        <v>-5</v>
      </c>
      <c r="MJH4765" s="34">
        <v>-4.5</v>
      </c>
      <c r="MJI4765" s="34">
        <v>-4</v>
      </c>
      <c r="MJJ4765" s="34">
        <v>-3.5</v>
      </c>
      <c r="MJK4765" s="34">
        <v>-3</v>
      </c>
      <c r="MJL4765" s="34">
        <v>-2.5</v>
      </c>
      <c r="MJM4765" s="34">
        <v>-2</v>
      </c>
      <c r="MJN4765" s="34">
        <v>-1.5</v>
      </c>
      <c r="MJO4765" s="34">
        <v>-1</v>
      </c>
      <c r="MJP4765" s="34">
        <v>-0.5</v>
      </c>
      <c r="MJQ4765" s="34">
        <v>0</v>
      </c>
      <c r="MJR4765" s="34">
        <v>0.5</v>
      </c>
      <c r="MJS4765" s="34">
        <v>1</v>
      </c>
      <c r="MJT4765" s="34">
        <v>1.5</v>
      </c>
      <c r="MJU4765" s="34">
        <v>2</v>
      </c>
      <c r="MJV4765" s="34">
        <v>2.5</v>
      </c>
      <c r="MJW4765" s="34">
        <v>3</v>
      </c>
      <c r="MJX4765" s="34">
        <v>3.5</v>
      </c>
      <c r="MJY4765" s="34">
        <v>4</v>
      </c>
      <c r="MJZ4765" s="34">
        <v>4.5</v>
      </c>
      <c r="MKA4765" s="34">
        <v>5</v>
      </c>
      <c r="MKC4765" s="913"/>
      <c r="MKD4765" s="31">
        <v>1</v>
      </c>
      <c r="MKE4765" s="34">
        <v>0</v>
      </c>
      <c r="MKF4765" s="34">
        <v>-1</v>
      </c>
      <c r="MKG4765" s="34">
        <v>-2</v>
      </c>
      <c r="MKH4765" s="34">
        <v>-3</v>
      </c>
      <c r="MKI4765" s="34">
        <v>-4</v>
      </c>
      <c r="MKJ4765" s="34">
        <v>-5</v>
      </c>
      <c r="MKK4765" s="908"/>
      <c r="MKL4765" s="909"/>
      <c r="MKM4765" s="34">
        <v>-5</v>
      </c>
      <c r="MKN4765" s="34">
        <v>-4.5</v>
      </c>
      <c r="MKO4765" s="34">
        <v>-4</v>
      </c>
      <c r="MKP4765" s="34">
        <v>-3.5</v>
      </c>
      <c r="MKQ4765" s="34">
        <v>-3</v>
      </c>
      <c r="MKR4765" s="34">
        <v>-2.5</v>
      </c>
      <c r="MKS4765" s="34">
        <v>-2</v>
      </c>
      <c r="MKT4765" s="34">
        <v>-1.5</v>
      </c>
      <c r="MKU4765" s="34">
        <v>-1</v>
      </c>
      <c r="MKV4765" s="34">
        <v>-0.5</v>
      </c>
      <c r="MKW4765" s="34">
        <v>0</v>
      </c>
      <c r="MKX4765" s="34">
        <v>0.5</v>
      </c>
      <c r="MKY4765" s="34">
        <v>1</v>
      </c>
      <c r="MKZ4765" s="34">
        <v>1.5</v>
      </c>
      <c r="MLA4765" s="34">
        <v>2</v>
      </c>
      <c r="MLB4765" s="34">
        <v>2.5</v>
      </c>
      <c r="MLC4765" s="34">
        <v>3</v>
      </c>
      <c r="MLD4765" s="34">
        <v>3.5</v>
      </c>
      <c r="MLE4765" s="34">
        <v>4</v>
      </c>
      <c r="MLF4765" s="34">
        <v>4.5</v>
      </c>
      <c r="MLG4765" s="34">
        <v>5</v>
      </c>
      <c r="MLI4765" s="913"/>
      <c r="MLJ4765" s="31">
        <v>1</v>
      </c>
      <c r="MLK4765" s="34">
        <v>0</v>
      </c>
      <c r="MLL4765" s="34">
        <v>-1</v>
      </c>
      <c r="MLM4765" s="34">
        <v>-2</v>
      </c>
      <c r="MLN4765" s="34">
        <v>-3</v>
      </c>
      <c r="MLO4765" s="34">
        <v>-4</v>
      </c>
      <c r="MLP4765" s="34">
        <v>-5</v>
      </c>
      <c r="MLQ4765" s="908"/>
      <c r="MLR4765" s="909"/>
      <c r="MLS4765" s="34">
        <v>-5</v>
      </c>
      <c r="MLT4765" s="34">
        <v>-4.5</v>
      </c>
      <c r="MLU4765" s="34">
        <v>-4</v>
      </c>
      <c r="MLV4765" s="34">
        <v>-3.5</v>
      </c>
      <c r="MLW4765" s="34">
        <v>-3</v>
      </c>
      <c r="MLX4765" s="34">
        <v>-2.5</v>
      </c>
      <c r="MLY4765" s="34">
        <v>-2</v>
      </c>
      <c r="MLZ4765" s="34">
        <v>-1.5</v>
      </c>
      <c r="MMA4765" s="34">
        <v>-1</v>
      </c>
      <c r="MMB4765" s="34">
        <v>-0.5</v>
      </c>
      <c r="MMC4765" s="34">
        <v>0</v>
      </c>
      <c r="MMD4765" s="34">
        <v>0.5</v>
      </c>
      <c r="MME4765" s="34">
        <v>1</v>
      </c>
      <c r="MMF4765" s="34">
        <v>1.5</v>
      </c>
      <c r="MMG4765" s="34">
        <v>2</v>
      </c>
      <c r="MMH4765" s="34">
        <v>2.5</v>
      </c>
      <c r="MMI4765" s="34">
        <v>3</v>
      </c>
      <c r="MMJ4765" s="34">
        <v>3.5</v>
      </c>
      <c r="MMK4765" s="34">
        <v>4</v>
      </c>
      <c r="MML4765" s="34">
        <v>4.5</v>
      </c>
      <c r="MMM4765" s="34">
        <v>5</v>
      </c>
      <c r="MMO4765" s="913"/>
      <c r="MMP4765" s="31">
        <v>1</v>
      </c>
      <c r="MMQ4765" s="34">
        <v>0</v>
      </c>
      <c r="MMR4765" s="34">
        <v>-1</v>
      </c>
      <c r="MMS4765" s="34">
        <v>-2</v>
      </c>
      <c r="MMT4765" s="34">
        <v>-3</v>
      </c>
      <c r="MMU4765" s="34">
        <v>-4</v>
      </c>
      <c r="MMV4765" s="34">
        <v>-5</v>
      </c>
      <c r="MMW4765" s="908"/>
      <c r="MMX4765" s="909"/>
      <c r="MMY4765" s="34">
        <v>-5</v>
      </c>
      <c r="MMZ4765" s="34">
        <v>-4.5</v>
      </c>
      <c r="MNA4765" s="34">
        <v>-4</v>
      </c>
      <c r="MNB4765" s="34">
        <v>-3.5</v>
      </c>
      <c r="MNC4765" s="34">
        <v>-3</v>
      </c>
      <c r="MND4765" s="34">
        <v>-2.5</v>
      </c>
      <c r="MNE4765" s="34">
        <v>-2</v>
      </c>
      <c r="MNF4765" s="34">
        <v>-1.5</v>
      </c>
      <c r="MNG4765" s="34">
        <v>-1</v>
      </c>
      <c r="MNH4765" s="34">
        <v>-0.5</v>
      </c>
      <c r="MNI4765" s="34">
        <v>0</v>
      </c>
      <c r="MNJ4765" s="34">
        <v>0.5</v>
      </c>
      <c r="MNK4765" s="34">
        <v>1</v>
      </c>
      <c r="MNL4765" s="34">
        <v>1.5</v>
      </c>
      <c r="MNM4765" s="34">
        <v>2</v>
      </c>
      <c r="MNN4765" s="34">
        <v>2.5</v>
      </c>
      <c r="MNO4765" s="34">
        <v>3</v>
      </c>
      <c r="MNP4765" s="34">
        <v>3.5</v>
      </c>
      <c r="MNQ4765" s="34">
        <v>4</v>
      </c>
      <c r="MNR4765" s="34">
        <v>4.5</v>
      </c>
      <c r="MNS4765" s="34">
        <v>5</v>
      </c>
      <c r="MNU4765" s="913"/>
      <c r="MNV4765" s="31">
        <v>1</v>
      </c>
      <c r="MNW4765" s="34">
        <v>0</v>
      </c>
      <c r="MNX4765" s="34">
        <v>-1</v>
      </c>
      <c r="MNY4765" s="34">
        <v>-2</v>
      </c>
      <c r="MNZ4765" s="34">
        <v>-3</v>
      </c>
      <c r="MOA4765" s="34">
        <v>-4</v>
      </c>
      <c r="MOB4765" s="34">
        <v>-5</v>
      </c>
      <c r="MOC4765" s="908"/>
      <c r="MOD4765" s="909"/>
      <c r="MOE4765" s="34">
        <v>-5</v>
      </c>
      <c r="MOF4765" s="34">
        <v>-4.5</v>
      </c>
      <c r="MOG4765" s="34">
        <v>-4</v>
      </c>
      <c r="MOH4765" s="34">
        <v>-3.5</v>
      </c>
      <c r="MOI4765" s="34">
        <v>-3</v>
      </c>
      <c r="MOJ4765" s="34">
        <v>-2.5</v>
      </c>
      <c r="MOK4765" s="34">
        <v>-2</v>
      </c>
      <c r="MOL4765" s="34">
        <v>-1.5</v>
      </c>
      <c r="MOM4765" s="34">
        <v>-1</v>
      </c>
      <c r="MON4765" s="34">
        <v>-0.5</v>
      </c>
      <c r="MOO4765" s="34">
        <v>0</v>
      </c>
      <c r="MOP4765" s="34">
        <v>0.5</v>
      </c>
      <c r="MOQ4765" s="34">
        <v>1</v>
      </c>
      <c r="MOR4765" s="34">
        <v>1.5</v>
      </c>
      <c r="MOS4765" s="34">
        <v>2</v>
      </c>
      <c r="MOT4765" s="34">
        <v>2.5</v>
      </c>
      <c r="MOU4765" s="34">
        <v>3</v>
      </c>
      <c r="MOV4765" s="34">
        <v>3.5</v>
      </c>
      <c r="MOW4765" s="34">
        <v>4</v>
      </c>
      <c r="MOX4765" s="34">
        <v>4.5</v>
      </c>
      <c r="MOY4765" s="34">
        <v>5</v>
      </c>
      <c r="MPA4765" s="913"/>
      <c r="MPB4765" s="31">
        <v>1</v>
      </c>
      <c r="MPC4765" s="34">
        <v>0</v>
      </c>
      <c r="MPD4765" s="34">
        <v>-1</v>
      </c>
      <c r="MPE4765" s="34">
        <v>-2</v>
      </c>
      <c r="MPF4765" s="34">
        <v>-3</v>
      </c>
      <c r="MPG4765" s="34">
        <v>-4</v>
      </c>
      <c r="MPH4765" s="34">
        <v>-5</v>
      </c>
      <c r="MPI4765" s="908"/>
      <c r="MPJ4765" s="909"/>
      <c r="MPK4765" s="34">
        <v>-5</v>
      </c>
      <c r="MPL4765" s="34">
        <v>-4.5</v>
      </c>
      <c r="MPM4765" s="34">
        <v>-4</v>
      </c>
      <c r="MPN4765" s="34">
        <v>-3.5</v>
      </c>
      <c r="MPO4765" s="34">
        <v>-3</v>
      </c>
      <c r="MPP4765" s="34">
        <v>-2.5</v>
      </c>
      <c r="MPQ4765" s="34">
        <v>-2</v>
      </c>
      <c r="MPR4765" s="34">
        <v>-1.5</v>
      </c>
      <c r="MPS4765" s="34">
        <v>-1</v>
      </c>
      <c r="MPT4765" s="34">
        <v>-0.5</v>
      </c>
      <c r="MPU4765" s="34">
        <v>0</v>
      </c>
      <c r="MPV4765" s="34">
        <v>0.5</v>
      </c>
      <c r="MPW4765" s="34">
        <v>1</v>
      </c>
      <c r="MPX4765" s="34">
        <v>1.5</v>
      </c>
      <c r="MPY4765" s="34">
        <v>2</v>
      </c>
      <c r="MPZ4765" s="34">
        <v>2.5</v>
      </c>
      <c r="MQA4765" s="34">
        <v>3</v>
      </c>
      <c r="MQB4765" s="34">
        <v>3.5</v>
      </c>
      <c r="MQC4765" s="34">
        <v>4</v>
      </c>
      <c r="MQD4765" s="34">
        <v>4.5</v>
      </c>
      <c r="MQE4765" s="34">
        <v>5</v>
      </c>
      <c r="MQG4765" s="913"/>
      <c r="MQH4765" s="31">
        <v>1</v>
      </c>
      <c r="MQI4765" s="34">
        <v>0</v>
      </c>
      <c r="MQJ4765" s="34">
        <v>-1</v>
      </c>
      <c r="MQK4765" s="34">
        <v>-2</v>
      </c>
      <c r="MQL4765" s="34">
        <v>-3</v>
      </c>
      <c r="MQM4765" s="34">
        <v>-4</v>
      </c>
      <c r="MQN4765" s="34">
        <v>-5</v>
      </c>
      <c r="MQO4765" s="908"/>
      <c r="MQP4765" s="909"/>
      <c r="MQQ4765" s="34">
        <v>-5</v>
      </c>
      <c r="MQR4765" s="34">
        <v>-4.5</v>
      </c>
      <c r="MQS4765" s="34">
        <v>-4</v>
      </c>
      <c r="MQT4765" s="34">
        <v>-3.5</v>
      </c>
      <c r="MQU4765" s="34">
        <v>-3</v>
      </c>
      <c r="MQV4765" s="34">
        <v>-2.5</v>
      </c>
      <c r="MQW4765" s="34">
        <v>-2</v>
      </c>
      <c r="MQX4765" s="34">
        <v>-1.5</v>
      </c>
      <c r="MQY4765" s="34">
        <v>-1</v>
      </c>
      <c r="MQZ4765" s="34">
        <v>-0.5</v>
      </c>
      <c r="MRA4765" s="34">
        <v>0</v>
      </c>
      <c r="MRB4765" s="34">
        <v>0.5</v>
      </c>
      <c r="MRC4765" s="34">
        <v>1</v>
      </c>
      <c r="MRD4765" s="34">
        <v>1.5</v>
      </c>
      <c r="MRE4765" s="34">
        <v>2</v>
      </c>
      <c r="MRF4765" s="34">
        <v>2.5</v>
      </c>
      <c r="MRG4765" s="34">
        <v>3</v>
      </c>
      <c r="MRH4765" s="34">
        <v>3.5</v>
      </c>
      <c r="MRI4765" s="34">
        <v>4</v>
      </c>
      <c r="MRJ4765" s="34">
        <v>4.5</v>
      </c>
      <c r="MRK4765" s="34">
        <v>5</v>
      </c>
      <c r="MRM4765" s="913"/>
      <c r="MRN4765" s="31">
        <v>1</v>
      </c>
      <c r="MRO4765" s="34">
        <v>0</v>
      </c>
      <c r="MRP4765" s="34">
        <v>-1</v>
      </c>
      <c r="MRQ4765" s="34">
        <v>-2</v>
      </c>
      <c r="MRR4765" s="34">
        <v>-3</v>
      </c>
      <c r="MRS4765" s="34">
        <v>-4</v>
      </c>
      <c r="MRT4765" s="34">
        <v>-5</v>
      </c>
      <c r="MRU4765" s="908"/>
      <c r="MRV4765" s="909"/>
      <c r="MRW4765" s="34">
        <v>-5</v>
      </c>
      <c r="MRX4765" s="34">
        <v>-4.5</v>
      </c>
      <c r="MRY4765" s="34">
        <v>-4</v>
      </c>
      <c r="MRZ4765" s="34">
        <v>-3.5</v>
      </c>
      <c r="MSA4765" s="34">
        <v>-3</v>
      </c>
      <c r="MSB4765" s="34">
        <v>-2.5</v>
      </c>
      <c r="MSC4765" s="34">
        <v>-2</v>
      </c>
      <c r="MSD4765" s="34">
        <v>-1.5</v>
      </c>
      <c r="MSE4765" s="34">
        <v>-1</v>
      </c>
      <c r="MSF4765" s="34">
        <v>-0.5</v>
      </c>
      <c r="MSG4765" s="34">
        <v>0</v>
      </c>
      <c r="MSH4765" s="34">
        <v>0.5</v>
      </c>
      <c r="MSI4765" s="34">
        <v>1</v>
      </c>
      <c r="MSJ4765" s="34">
        <v>1.5</v>
      </c>
      <c r="MSK4765" s="34">
        <v>2</v>
      </c>
      <c r="MSL4765" s="34">
        <v>2.5</v>
      </c>
      <c r="MSM4765" s="34">
        <v>3</v>
      </c>
      <c r="MSN4765" s="34">
        <v>3.5</v>
      </c>
      <c r="MSO4765" s="34">
        <v>4</v>
      </c>
      <c r="MSP4765" s="34">
        <v>4.5</v>
      </c>
      <c r="MSQ4765" s="34">
        <v>5</v>
      </c>
      <c r="MSS4765" s="913"/>
      <c r="MST4765" s="31">
        <v>1</v>
      </c>
      <c r="MSU4765" s="34">
        <v>0</v>
      </c>
      <c r="MSV4765" s="34">
        <v>-1</v>
      </c>
      <c r="MSW4765" s="34">
        <v>-2</v>
      </c>
      <c r="MSX4765" s="34">
        <v>-3</v>
      </c>
      <c r="MSY4765" s="34">
        <v>-4</v>
      </c>
      <c r="MSZ4765" s="34">
        <v>-5</v>
      </c>
      <c r="MTA4765" s="908"/>
      <c r="MTB4765" s="909"/>
      <c r="MTC4765" s="34">
        <v>-5</v>
      </c>
      <c r="MTD4765" s="34">
        <v>-4.5</v>
      </c>
      <c r="MTE4765" s="34">
        <v>-4</v>
      </c>
      <c r="MTF4765" s="34">
        <v>-3.5</v>
      </c>
      <c r="MTG4765" s="34">
        <v>-3</v>
      </c>
      <c r="MTH4765" s="34">
        <v>-2.5</v>
      </c>
      <c r="MTI4765" s="34">
        <v>-2</v>
      </c>
      <c r="MTJ4765" s="34">
        <v>-1.5</v>
      </c>
      <c r="MTK4765" s="34">
        <v>-1</v>
      </c>
      <c r="MTL4765" s="34">
        <v>-0.5</v>
      </c>
      <c r="MTM4765" s="34">
        <v>0</v>
      </c>
      <c r="MTN4765" s="34">
        <v>0.5</v>
      </c>
      <c r="MTO4765" s="34">
        <v>1</v>
      </c>
      <c r="MTP4765" s="34">
        <v>1.5</v>
      </c>
      <c r="MTQ4765" s="34">
        <v>2</v>
      </c>
      <c r="MTR4765" s="34">
        <v>2.5</v>
      </c>
      <c r="MTS4765" s="34">
        <v>3</v>
      </c>
      <c r="MTT4765" s="34">
        <v>3.5</v>
      </c>
      <c r="MTU4765" s="34">
        <v>4</v>
      </c>
      <c r="MTV4765" s="34">
        <v>4.5</v>
      </c>
      <c r="MTW4765" s="34">
        <v>5</v>
      </c>
      <c r="MTY4765" s="913"/>
      <c r="MTZ4765" s="31">
        <v>1</v>
      </c>
      <c r="MUA4765" s="34">
        <v>0</v>
      </c>
      <c r="MUB4765" s="34">
        <v>-1</v>
      </c>
      <c r="MUC4765" s="34">
        <v>-2</v>
      </c>
      <c r="MUD4765" s="34">
        <v>-3</v>
      </c>
      <c r="MUE4765" s="34">
        <v>-4</v>
      </c>
      <c r="MUF4765" s="34">
        <v>-5</v>
      </c>
      <c r="MUG4765" s="908"/>
      <c r="MUH4765" s="909"/>
      <c r="MUI4765" s="34">
        <v>-5</v>
      </c>
      <c r="MUJ4765" s="34">
        <v>-4.5</v>
      </c>
      <c r="MUK4765" s="34">
        <v>-4</v>
      </c>
      <c r="MUL4765" s="34">
        <v>-3.5</v>
      </c>
      <c r="MUM4765" s="34">
        <v>-3</v>
      </c>
      <c r="MUN4765" s="34">
        <v>-2.5</v>
      </c>
      <c r="MUO4765" s="34">
        <v>-2</v>
      </c>
      <c r="MUP4765" s="34">
        <v>-1.5</v>
      </c>
      <c r="MUQ4765" s="34">
        <v>-1</v>
      </c>
      <c r="MUR4765" s="34">
        <v>-0.5</v>
      </c>
      <c r="MUS4765" s="34">
        <v>0</v>
      </c>
      <c r="MUT4765" s="34">
        <v>0.5</v>
      </c>
      <c r="MUU4765" s="34">
        <v>1</v>
      </c>
      <c r="MUV4765" s="34">
        <v>1.5</v>
      </c>
      <c r="MUW4765" s="34">
        <v>2</v>
      </c>
      <c r="MUX4765" s="34">
        <v>2.5</v>
      </c>
      <c r="MUY4765" s="34">
        <v>3</v>
      </c>
      <c r="MUZ4765" s="34">
        <v>3.5</v>
      </c>
      <c r="MVA4765" s="34">
        <v>4</v>
      </c>
      <c r="MVB4765" s="34">
        <v>4.5</v>
      </c>
      <c r="MVC4765" s="34">
        <v>5</v>
      </c>
      <c r="MVE4765" s="913"/>
      <c r="MVF4765" s="31">
        <v>1</v>
      </c>
      <c r="MVG4765" s="34">
        <v>0</v>
      </c>
      <c r="MVH4765" s="34">
        <v>-1</v>
      </c>
      <c r="MVI4765" s="34">
        <v>-2</v>
      </c>
      <c r="MVJ4765" s="34">
        <v>-3</v>
      </c>
      <c r="MVK4765" s="34">
        <v>-4</v>
      </c>
      <c r="MVL4765" s="34">
        <v>-5</v>
      </c>
      <c r="MVM4765" s="908"/>
      <c r="MVN4765" s="909"/>
      <c r="MVO4765" s="34">
        <v>-5</v>
      </c>
      <c r="MVP4765" s="34">
        <v>-4.5</v>
      </c>
      <c r="MVQ4765" s="34">
        <v>-4</v>
      </c>
      <c r="MVR4765" s="34">
        <v>-3.5</v>
      </c>
      <c r="MVS4765" s="34">
        <v>-3</v>
      </c>
      <c r="MVT4765" s="34">
        <v>-2.5</v>
      </c>
      <c r="MVU4765" s="34">
        <v>-2</v>
      </c>
      <c r="MVV4765" s="34">
        <v>-1.5</v>
      </c>
      <c r="MVW4765" s="34">
        <v>-1</v>
      </c>
      <c r="MVX4765" s="34">
        <v>-0.5</v>
      </c>
      <c r="MVY4765" s="34">
        <v>0</v>
      </c>
      <c r="MVZ4765" s="34">
        <v>0.5</v>
      </c>
      <c r="MWA4765" s="34">
        <v>1</v>
      </c>
      <c r="MWB4765" s="34">
        <v>1.5</v>
      </c>
      <c r="MWC4765" s="34">
        <v>2</v>
      </c>
      <c r="MWD4765" s="34">
        <v>2.5</v>
      </c>
      <c r="MWE4765" s="34">
        <v>3</v>
      </c>
      <c r="MWF4765" s="34">
        <v>3.5</v>
      </c>
      <c r="MWG4765" s="34">
        <v>4</v>
      </c>
      <c r="MWH4765" s="34">
        <v>4.5</v>
      </c>
      <c r="MWI4765" s="34">
        <v>5</v>
      </c>
      <c r="MWK4765" s="913"/>
      <c r="MWL4765" s="31">
        <v>1</v>
      </c>
      <c r="MWM4765" s="34">
        <v>0</v>
      </c>
      <c r="MWN4765" s="34">
        <v>-1</v>
      </c>
      <c r="MWO4765" s="34">
        <v>-2</v>
      </c>
      <c r="MWP4765" s="34">
        <v>-3</v>
      </c>
      <c r="MWQ4765" s="34">
        <v>-4</v>
      </c>
      <c r="MWR4765" s="34">
        <v>-5</v>
      </c>
      <c r="MWS4765" s="908"/>
      <c r="MWT4765" s="909"/>
      <c r="MWU4765" s="34">
        <v>-5</v>
      </c>
      <c r="MWV4765" s="34">
        <v>-4.5</v>
      </c>
      <c r="MWW4765" s="34">
        <v>-4</v>
      </c>
      <c r="MWX4765" s="34">
        <v>-3.5</v>
      </c>
      <c r="MWY4765" s="34">
        <v>-3</v>
      </c>
      <c r="MWZ4765" s="34">
        <v>-2.5</v>
      </c>
      <c r="MXA4765" s="34">
        <v>-2</v>
      </c>
      <c r="MXB4765" s="34">
        <v>-1.5</v>
      </c>
      <c r="MXC4765" s="34">
        <v>-1</v>
      </c>
      <c r="MXD4765" s="34">
        <v>-0.5</v>
      </c>
      <c r="MXE4765" s="34">
        <v>0</v>
      </c>
      <c r="MXF4765" s="34">
        <v>0.5</v>
      </c>
      <c r="MXG4765" s="34">
        <v>1</v>
      </c>
      <c r="MXH4765" s="34">
        <v>1.5</v>
      </c>
      <c r="MXI4765" s="34">
        <v>2</v>
      </c>
      <c r="MXJ4765" s="34">
        <v>2.5</v>
      </c>
      <c r="MXK4765" s="34">
        <v>3</v>
      </c>
      <c r="MXL4765" s="34">
        <v>3.5</v>
      </c>
      <c r="MXM4765" s="34">
        <v>4</v>
      </c>
      <c r="MXN4765" s="34">
        <v>4.5</v>
      </c>
      <c r="MXO4765" s="34">
        <v>5</v>
      </c>
      <c r="MXQ4765" s="913"/>
      <c r="MXR4765" s="31">
        <v>1</v>
      </c>
      <c r="MXS4765" s="34">
        <v>0</v>
      </c>
      <c r="MXT4765" s="34">
        <v>-1</v>
      </c>
      <c r="MXU4765" s="34">
        <v>-2</v>
      </c>
      <c r="MXV4765" s="34">
        <v>-3</v>
      </c>
      <c r="MXW4765" s="34">
        <v>-4</v>
      </c>
      <c r="MXX4765" s="34">
        <v>-5</v>
      </c>
      <c r="MXY4765" s="908"/>
      <c r="MXZ4765" s="909"/>
      <c r="MYA4765" s="34">
        <v>-5</v>
      </c>
      <c r="MYB4765" s="34">
        <v>-4.5</v>
      </c>
      <c r="MYC4765" s="34">
        <v>-4</v>
      </c>
      <c r="MYD4765" s="34">
        <v>-3.5</v>
      </c>
      <c r="MYE4765" s="34">
        <v>-3</v>
      </c>
      <c r="MYF4765" s="34">
        <v>-2.5</v>
      </c>
      <c r="MYG4765" s="34">
        <v>-2</v>
      </c>
      <c r="MYH4765" s="34">
        <v>-1.5</v>
      </c>
      <c r="MYI4765" s="34">
        <v>-1</v>
      </c>
      <c r="MYJ4765" s="34">
        <v>-0.5</v>
      </c>
      <c r="MYK4765" s="34">
        <v>0</v>
      </c>
      <c r="MYL4765" s="34">
        <v>0.5</v>
      </c>
      <c r="MYM4765" s="34">
        <v>1</v>
      </c>
      <c r="MYN4765" s="34">
        <v>1.5</v>
      </c>
      <c r="MYO4765" s="34">
        <v>2</v>
      </c>
      <c r="MYP4765" s="34">
        <v>2.5</v>
      </c>
      <c r="MYQ4765" s="34">
        <v>3</v>
      </c>
      <c r="MYR4765" s="34">
        <v>3.5</v>
      </c>
      <c r="MYS4765" s="34">
        <v>4</v>
      </c>
      <c r="MYT4765" s="34">
        <v>4.5</v>
      </c>
      <c r="MYU4765" s="34">
        <v>5</v>
      </c>
      <c r="MYW4765" s="913"/>
      <c r="MYX4765" s="31">
        <v>1</v>
      </c>
      <c r="MYY4765" s="34">
        <v>0</v>
      </c>
      <c r="MYZ4765" s="34">
        <v>-1</v>
      </c>
      <c r="MZA4765" s="34">
        <v>-2</v>
      </c>
      <c r="MZB4765" s="34">
        <v>-3</v>
      </c>
      <c r="MZC4765" s="34">
        <v>-4</v>
      </c>
      <c r="MZD4765" s="34">
        <v>-5</v>
      </c>
      <c r="MZE4765" s="908"/>
      <c r="MZF4765" s="909"/>
      <c r="MZG4765" s="34">
        <v>-5</v>
      </c>
      <c r="MZH4765" s="34">
        <v>-4.5</v>
      </c>
      <c r="MZI4765" s="34">
        <v>-4</v>
      </c>
      <c r="MZJ4765" s="34">
        <v>-3.5</v>
      </c>
      <c r="MZK4765" s="34">
        <v>-3</v>
      </c>
      <c r="MZL4765" s="34">
        <v>-2.5</v>
      </c>
      <c r="MZM4765" s="34">
        <v>-2</v>
      </c>
      <c r="MZN4765" s="34">
        <v>-1.5</v>
      </c>
      <c r="MZO4765" s="34">
        <v>-1</v>
      </c>
      <c r="MZP4765" s="34">
        <v>-0.5</v>
      </c>
      <c r="MZQ4765" s="34">
        <v>0</v>
      </c>
      <c r="MZR4765" s="34">
        <v>0.5</v>
      </c>
      <c r="MZS4765" s="34">
        <v>1</v>
      </c>
      <c r="MZT4765" s="34">
        <v>1.5</v>
      </c>
      <c r="MZU4765" s="34">
        <v>2</v>
      </c>
      <c r="MZV4765" s="34">
        <v>2.5</v>
      </c>
      <c r="MZW4765" s="34">
        <v>3</v>
      </c>
      <c r="MZX4765" s="34">
        <v>3.5</v>
      </c>
      <c r="MZY4765" s="34">
        <v>4</v>
      </c>
      <c r="MZZ4765" s="34">
        <v>4.5</v>
      </c>
      <c r="NAA4765" s="34">
        <v>5</v>
      </c>
      <c r="NAC4765" s="913"/>
      <c r="NAD4765" s="31">
        <v>1</v>
      </c>
      <c r="NAE4765" s="34">
        <v>0</v>
      </c>
      <c r="NAF4765" s="34">
        <v>-1</v>
      </c>
      <c r="NAG4765" s="34">
        <v>-2</v>
      </c>
      <c r="NAH4765" s="34">
        <v>-3</v>
      </c>
      <c r="NAI4765" s="34">
        <v>-4</v>
      </c>
      <c r="NAJ4765" s="34">
        <v>-5</v>
      </c>
      <c r="NAK4765" s="908"/>
      <c r="NAL4765" s="909"/>
      <c r="NAM4765" s="34">
        <v>-5</v>
      </c>
      <c r="NAN4765" s="34">
        <v>-4.5</v>
      </c>
      <c r="NAO4765" s="34">
        <v>-4</v>
      </c>
      <c r="NAP4765" s="34">
        <v>-3.5</v>
      </c>
      <c r="NAQ4765" s="34">
        <v>-3</v>
      </c>
      <c r="NAR4765" s="34">
        <v>-2.5</v>
      </c>
      <c r="NAS4765" s="34">
        <v>-2</v>
      </c>
      <c r="NAT4765" s="34">
        <v>-1.5</v>
      </c>
      <c r="NAU4765" s="34">
        <v>-1</v>
      </c>
      <c r="NAV4765" s="34">
        <v>-0.5</v>
      </c>
      <c r="NAW4765" s="34">
        <v>0</v>
      </c>
      <c r="NAX4765" s="34">
        <v>0.5</v>
      </c>
      <c r="NAY4765" s="34">
        <v>1</v>
      </c>
      <c r="NAZ4765" s="34">
        <v>1.5</v>
      </c>
      <c r="NBA4765" s="34">
        <v>2</v>
      </c>
      <c r="NBB4765" s="34">
        <v>2.5</v>
      </c>
      <c r="NBC4765" s="34">
        <v>3</v>
      </c>
      <c r="NBD4765" s="34">
        <v>3.5</v>
      </c>
      <c r="NBE4765" s="34">
        <v>4</v>
      </c>
      <c r="NBF4765" s="34">
        <v>4.5</v>
      </c>
      <c r="NBG4765" s="34">
        <v>5</v>
      </c>
      <c r="NBI4765" s="913"/>
      <c r="NBJ4765" s="31">
        <v>1</v>
      </c>
      <c r="NBK4765" s="34">
        <v>0</v>
      </c>
      <c r="NBL4765" s="34">
        <v>-1</v>
      </c>
      <c r="NBM4765" s="34">
        <v>-2</v>
      </c>
      <c r="NBN4765" s="34">
        <v>-3</v>
      </c>
      <c r="NBO4765" s="34">
        <v>-4</v>
      </c>
      <c r="NBP4765" s="34">
        <v>-5</v>
      </c>
      <c r="NBQ4765" s="908"/>
      <c r="NBR4765" s="909"/>
      <c r="NBS4765" s="34">
        <v>-5</v>
      </c>
      <c r="NBT4765" s="34">
        <v>-4.5</v>
      </c>
      <c r="NBU4765" s="34">
        <v>-4</v>
      </c>
      <c r="NBV4765" s="34">
        <v>-3.5</v>
      </c>
      <c r="NBW4765" s="34">
        <v>-3</v>
      </c>
      <c r="NBX4765" s="34">
        <v>-2.5</v>
      </c>
      <c r="NBY4765" s="34">
        <v>-2</v>
      </c>
      <c r="NBZ4765" s="34">
        <v>-1.5</v>
      </c>
      <c r="NCA4765" s="34">
        <v>-1</v>
      </c>
      <c r="NCB4765" s="34">
        <v>-0.5</v>
      </c>
      <c r="NCC4765" s="34">
        <v>0</v>
      </c>
      <c r="NCD4765" s="34">
        <v>0.5</v>
      </c>
      <c r="NCE4765" s="34">
        <v>1</v>
      </c>
      <c r="NCF4765" s="34">
        <v>1.5</v>
      </c>
      <c r="NCG4765" s="34">
        <v>2</v>
      </c>
      <c r="NCH4765" s="34">
        <v>2.5</v>
      </c>
      <c r="NCI4765" s="34">
        <v>3</v>
      </c>
      <c r="NCJ4765" s="34">
        <v>3.5</v>
      </c>
      <c r="NCK4765" s="34">
        <v>4</v>
      </c>
      <c r="NCL4765" s="34">
        <v>4.5</v>
      </c>
      <c r="NCM4765" s="34">
        <v>5</v>
      </c>
      <c r="NCO4765" s="913"/>
      <c r="NCP4765" s="31">
        <v>1</v>
      </c>
      <c r="NCQ4765" s="34">
        <v>0</v>
      </c>
      <c r="NCR4765" s="34">
        <v>-1</v>
      </c>
      <c r="NCS4765" s="34">
        <v>-2</v>
      </c>
      <c r="NCT4765" s="34">
        <v>-3</v>
      </c>
      <c r="NCU4765" s="34">
        <v>-4</v>
      </c>
      <c r="NCV4765" s="34">
        <v>-5</v>
      </c>
      <c r="NCW4765" s="908"/>
      <c r="NCX4765" s="909"/>
      <c r="NCY4765" s="34">
        <v>-5</v>
      </c>
      <c r="NCZ4765" s="34">
        <v>-4.5</v>
      </c>
      <c r="NDA4765" s="34">
        <v>-4</v>
      </c>
      <c r="NDB4765" s="34">
        <v>-3.5</v>
      </c>
      <c r="NDC4765" s="34">
        <v>-3</v>
      </c>
      <c r="NDD4765" s="34">
        <v>-2.5</v>
      </c>
      <c r="NDE4765" s="34">
        <v>-2</v>
      </c>
      <c r="NDF4765" s="34">
        <v>-1.5</v>
      </c>
      <c r="NDG4765" s="34">
        <v>-1</v>
      </c>
      <c r="NDH4765" s="34">
        <v>-0.5</v>
      </c>
      <c r="NDI4765" s="34">
        <v>0</v>
      </c>
      <c r="NDJ4765" s="34">
        <v>0.5</v>
      </c>
      <c r="NDK4765" s="34">
        <v>1</v>
      </c>
      <c r="NDL4765" s="34">
        <v>1.5</v>
      </c>
      <c r="NDM4765" s="34">
        <v>2</v>
      </c>
      <c r="NDN4765" s="34">
        <v>2.5</v>
      </c>
      <c r="NDO4765" s="34">
        <v>3</v>
      </c>
      <c r="NDP4765" s="34">
        <v>3.5</v>
      </c>
      <c r="NDQ4765" s="34">
        <v>4</v>
      </c>
      <c r="NDR4765" s="34">
        <v>4.5</v>
      </c>
      <c r="NDS4765" s="34">
        <v>5</v>
      </c>
      <c r="NDU4765" s="913"/>
      <c r="NDV4765" s="31">
        <v>1</v>
      </c>
      <c r="NDW4765" s="34">
        <v>0</v>
      </c>
      <c r="NDX4765" s="34">
        <v>-1</v>
      </c>
      <c r="NDY4765" s="34">
        <v>-2</v>
      </c>
      <c r="NDZ4765" s="34">
        <v>-3</v>
      </c>
      <c r="NEA4765" s="34">
        <v>-4</v>
      </c>
      <c r="NEB4765" s="34">
        <v>-5</v>
      </c>
      <c r="NEC4765" s="908"/>
      <c r="NED4765" s="909"/>
      <c r="NEE4765" s="34">
        <v>-5</v>
      </c>
      <c r="NEF4765" s="34">
        <v>-4.5</v>
      </c>
      <c r="NEG4765" s="34">
        <v>-4</v>
      </c>
      <c r="NEH4765" s="34">
        <v>-3.5</v>
      </c>
      <c r="NEI4765" s="34">
        <v>-3</v>
      </c>
      <c r="NEJ4765" s="34">
        <v>-2.5</v>
      </c>
      <c r="NEK4765" s="34">
        <v>-2</v>
      </c>
      <c r="NEL4765" s="34">
        <v>-1.5</v>
      </c>
      <c r="NEM4765" s="34">
        <v>-1</v>
      </c>
      <c r="NEN4765" s="34">
        <v>-0.5</v>
      </c>
      <c r="NEO4765" s="34">
        <v>0</v>
      </c>
      <c r="NEP4765" s="34">
        <v>0.5</v>
      </c>
      <c r="NEQ4765" s="34">
        <v>1</v>
      </c>
      <c r="NER4765" s="34">
        <v>1.5</v>
      </c>
      <c r="NES4765" s="34">
        <v>2</v>
      </c>
      <c r="NET4765" s="34">
        <v>2.5</v>
      </c>
      <c r="NEU4765" s="34">
        <v>3</v>
      </c>
      <c r="NEV4765" s="34">
        <v>3.5</v>
      </c>
      <c r="NEW4765" s="34">
        <v>4</v>
      </c>
      <c r="NEX4765" s="34">
        <v>4.5</v>
      </c>
      <c r="NEY4765" s="34">
        <v>5</v>
      </c>
      <c r="NFA4765" s="913"/>
      <c r="NFB4765" s="31">
        <v>1</v>
      </c>
      <c r="NFC4765" s="34">
        <v>0</v>
      </c>
      <c r="NFD4765" s="34">
        <v>-1</v>
      </c>
      <c r="NFE4765" s="34">
        <v>-2</v>
      </c>
      <c r="NFF4765" s="34">
        <v>-3</v>
      </c>
      <c r="NFG4765" s="34">
        <v>-4</v>
      </c>
      <c r="NFH4765" s="34">
        <v>-5</v>
      </c>
      <c r="NFI4765" s="908"/>
      <c r="NFJ4765" s="909"/>
      <c r="NFK4765" s="34">
        <v>-5</v>
      </c>
      <c r="NFL4765" s="34">
        <v>-4.5</v>
      </c>
      <c r="NFM4765" s="34">
        <v>-4</v>
      </c>
      <c r="NFN4765" s="34">
        <v>-3.5</v>
      </c>
      <c r="NFO4765" s="34">
        <v>-3</v>
      </c>
      <c r="NFP4765" s="34">
        <v>-2.5</v>
      </c>
      <c r="NFQ4765" s="34">
        <v>-2</v>
      </c>
      <c r="NFR4765" s="34">
        <v>-1.5</v>
      </c>
      <c r="NFS4765" s="34">
        <v>-1</v>
      </c>
      <c r="NFT4765" s="34">
        <v>-0.5</v>
      </c>
      <c r="NFU4765" s="34">
        <v>0</v>
      </c>
      <c r="NFV4765" s="34">
        <v>0.5</v>
      </c>
      <c r="NFW4765" s="34">
        <v>1</v>
      </c>
      <c r="NFX4765" s="34">
        <v>1.5</v>
      </c>
      <c r="NFY4765" s="34">
        <v>2</v>
      </c>
      <c r="NFZ4765" s="34">
        <v>2.5</v>
      </c>
      <c r="NGA4765" s="34">
        <v>3</v>
      </c>
      <c r="NGB4765" s="34">
        <v>3.5</v>
      </c>
      <c r="NGC4765" s="34">
        <v>4</v>
      </c>
      <c r="NGD4765" s="34">
        <v>4.5</v>
      </c>
      <c r="NGE4765" s="34">
        <v>5</v>
      </c>
      <c r="NGG4765" s="913"/>
      <c r="NGH4765" s="31">
        <v>1</v>
      </c>
      <c r="NGI4765" s="34">
        <v>0</v>
      </c>
      <c r="NGJ4765" s="34">
        <v>-1</v>
      </c>
      <c r="NGK4765" s="34">
        <v>-2</v>
      </c>
      <c r="NGL4765" s="34">
        <v>-3</v>
      </c>
      <c r="NGM4765" s="34">
        <v>-4</v>
      </c>
      <c r="NGN4765" s="34">
        <v>-5</v>
      </c>
      <c r="NGO4765" s="908"/>
      <c r="NGP4765" s="909"/>
      <c r="NGQ4765" s="34">
        <v>-5</v>
      </c>
      <c r="NGR4765" s="34">
        <v>-4.5</v>
      </c>
      <c r="NGS4765" s="34">
        <v>-4</v>
      </c>
      <c r="NGT4765" s="34">
        <v>-3.5</v>
      </c>
      <c r="NGU4765" s="34">
        <v>-3</v>
      </c>
      <c r="NGV4765" s="34">
        <v>-2.5</v>
      </c>
      <c r="NGW4765" s="34">
        <v>-2</v>
      </c>
      <c r="NGX4765" s="34">
        <v>-1.5</v>
      </c>
      <c r="NGY4765" s="34">
        <v>-1</v>
      </c>
      <c r="NGZ4765" s="34">
        <v>-0.5</v>
      </c>
      <c r="NHA4765" s="34">
        <v>0</v>
      </c>
      <c r="NHB4765" s="34">
        <v>0.5</v>
      </c>
      <c r="NHC4765" s="34">
        <v>1</v>
      </c>
      <c r="NHD4765" s="34">
        <v>1.5</v>
      </c>
      <c r="NHE4765" s="34">
        <v>2</v>
      </c>
      <c r="NHF4765" s="34">
        <v>2.5</v>
      </c>
      <c r="NHG4765" s="34">
        <v>3</v>
      </c>
      <c r="NHH4765" s="34">
        <v>3.5</v>
      </c>
      <c r="NHI4765" s="34">
        <v>4</v>
      </c>
      <c r="NHJ4765" s="34">
        <v>4.5</v>
      </c>
      <c r="NHK4765" s="34">
        <v>5</v>
      </c>
      <c r="NHM4765" s="913"/>
      <c r="NHN4765" s="31">
        <v>1</v>
      </c>
      <c r="NHO4765" s="34">
        <v>0</v>
      </c>
      <c r="NHP4765" s="34">
        <v>-1</v>
      </c>
      <c r="NHQ4765" s="34">
        <v>-2</v>
      </c>
      <c r="NHR4765" s="34">
        <v>-3</v>
      </c>
      <c r="NHS4765" s="34">
        <v>-4</v>
      </c>
      <c r="NHT4765" s="34">
        <v>-5</v>
      </c>
      <c r="NHU4765" s="908"/>
      <c r="NHV4765" s="909"/>
      <c r="NHW4765" s="34">
        <v>-5</v>
      </c>
      <c r="NHX4765" s="34">
        <v>-4.5</v>
      </c>
      <c r="NHY4765" s="34">
        <v>-4</v>
      </c>
      <c r="NHZ4765" s="34">
        <v>-3.5</v>
      </c>
      <c r="NIA4765" s="34">
        <v>-3</v>
      </c>
      <c r="NIB4765" s="34">
        <v>-2.5</v>
      </c>
      <c r="NIC4765" s="34">
        <v>-2</v>
      </c>
      <c r="NID4765" s="34">
        <v>-1.5</v>
      </c>
      <c r="NIE4765" s="34">
        <v>-1</v>
      </c>
      <c r="NIF4765" s="34">
        <v>-0.5</v>
      </c>
      <c r="NIG4765" s="34">
        <v>0</v>
      </c>
      <c r="NIH4765" s="34">
        <v>0.5</v>
      </c>
      <c r="NII4765" s="34">
        <v>1</v>
      </c>
      <c r="NIJ4765" s="34">
        <v>1.5</v>
      </c>
      <c r="NIK4765" s="34">
        <v>2</v>
      </c>
      <c r="NIL4765" s="34">
        <v>2.5</v>
      </c>
      <c r="NIM4765" s="34">
        <v>3</v>
      </c>
      <c r="NIN4765" s="34">
        <v>3.5</v>
      </c>
      <c r="NIO4765" s="34">
        <v>4</v>
      </c>
      <c r="NIP4765" s="34">
        <v>4.5</v>
      </c>
      <c r="NIQ4765" s="34">
        <v>5</v>
      </c>
      <c r="NIS4765" s="913"/>
      <c r="NIT4765" s="31">
        <v>1</v>
      </c>
      <c r="NIU4765" s="34">
        <v>0</v>
      </c>
      <c r="NIV4765" s="34">
        <v>-1</v>
      </c>
      <c r="NIW4765" s="34">
        <v>-2</v>
      </c>
      <c r="NIX4765" s="34">
        <v>-3</v>
      </c>
      <c r="NIY4765" s="34">
        <v>-4</v>
      </c>
      <c r="NIZ4765" s="34">
        <v>-5</v>
      </c>
      <c r="NJA4765" s="908"/>
      <c r="NJB4765" s="909"/>
      <c r="NJC4765" s="34">
        <v>-5</v>
      </c>
      <c r="NJD4765" s="34">
        <v>-4.5</v>
      </c>
      <c r="NJE4765" s="34">
        <v>-4</v>
      </c>
      <c r="NJF4765" s="34">
        <v>-3.5</v>
      </c>
      <c r="NJG4765" s="34">
        <v>-3</v>
      </c>
      <c r="NJH4765" s="34">
        <v>-2.5</v>
      </c>
      <c r="NJI4765" s="34">
        <v>-2</v>
      </c>
      <c r="NJJ4765" s="34">
        <v>-1.5</v>
      </c>
      <c r="NJK4765" s="34">
        <v>-1</v>
      </c>
      <c r="NJL4765" s="34">
        <v>-0.5</v>
      </c>
      <c r="NJM4765" s="34">
        <v>0</v>
      </c>
      <c r="NJN4765" s="34">
        <v>0.5</v>
      </c>
      <c r="NJO4765" s="34">
        <v>1</v>
      </c>
      <c r="NJP4765" s="34">
        <v>1.5</v>
      </c>
      <c r="NJQ4765" s="34">
        <v>2</v>
      </c>
      <c r="NJR4765" s="34">
        <v>2.5</v>
      </c>
      <c r="NJS4765" s="34">
        <v>3</v>
      </c>
      <c r="NJT4765" s="34">
        <v>3.5</v>
      </c>
      <c r="NJU4765" s="34">
        <v>4</v>
      </c>
      <c r="NJV4765" s="34">
        <v>4.5</v>
      </c>
      <c r="NJW4765" s="34">
        <v>5</v>
      </c>
      <c r="NJY4765" s="913"/>
      <c r="NJZ4765" s="31">
        <v>1</v>
      </c>
      <c r="NKA4765" s="34">
        <v>0</v>
      </c>
      <c r="NKB4765" s="34">
        <v>-1</v>
      </c>
      <c r="NKC4765" s="34">
        <v>-2</v>
      </c>
      <c r="NKD4765" s="34">
        <v>-3</v>
      </c>
      <c r="NKE4765" s="34">
        <v>-4</v>
      </c>
      <c r="NKF4765" s="34">
        <v>-5</v>
      </c>
      <c r="NKG4765" s="908"/>
      <c r="NKH4765" s="909"/>
      <c r="NKI4765" s="34">
        <v>-5</v>
      </c>
      <c r="NKJ4765" s="34">
        <v>-4.5</v>
      </c>
      <c r="NKK4765" s="34">
        <v>-4</v>
      </c>
      <c r="NKL4765" s="34">
        <v>-3.5</v>
      </c>
      <c r="NKM4765" s="34">
        <v>-3</v>
      </c>
      <c r="NKN4765" s="34">
        <v>-2.5</v>
      </c>
      <c r="NKO4765" s="34">
        <v>-2</v>
      </c>
      <c r="NKP4765" s="34">
        <v>-1.5</v>
      </c>
      <c r="NKQ4765" s="34">
        <v>-1</v>
      </c>
      <c r="NKR4765" s="34">
        <v>-0.5</v>
      </c>
      <c r="NKS4765" s="34">
        <v>0</v>
      </c>
      <c r="NKT4765" s="34">
        <v>0.5</v>
      </c>
      <c r="NKU4765" s="34">
        <v>1</v>
      </c>
      <c r="NKV4765" s="34">
        <v>1.5</v>
      </c>
      <c r="NKW4765" s="34">
        <v>2</v>
      </c>
      <c r="NKX4765" s="34">
        <v>2.5</v>
      </c>
      <c r="NKY4765" s="34">
        <v>3</v>
      </c>
      <c r="NKZ4765" s="34">
        <v>3.5</v>
      </c>
      <c r="NLA4765" s="34">
        <v>4</v>
      </c>
      <c r="NLB4765" s="34">
        <v>4.5</v>
      </c>
      <c r="NLC4765" s="34">
        <v>5</v>
      </c>
      <c r="NLE4765" s="913"/>
      <c r="NLF4765" s="31">
        <v>1</v>
      </c>
      <c r="NLG4765" s="34">
        <v>0</v>
      </c>
      <c r="NLH4765" s="34">
        <v>-1</v>
      </c>
      <c r="NLI4765" s="34">
        <v>-2</v>
      </c>
      <c r="NLJ4765" s="34">
        <v>-3</v>
      </c>
      <c r="NLK4765" s="34">
        <v>-4</v>
      </c>
      <c r="NLL4765" s="34">
        <v>-5</v>
      </c>
      <c r="NLM4765" s="908"/>
      <c r="NLN4765" s="909"/>
      <c r="NLO4765" s="34">
        <v>-5</v>
      </c>
      <c r="NLP4765" s="34">
        <v>-4.5</v>
      </c>
      <c r="NLQ4765" s="34">
        <v>-4</v>
      </c>
      <c r="NLR4765" s="34">
        <v>-3.5</v>
      </c>
      <c r="NLS4765" s="34">
        <v>-3</v>
      </c>
      <c r="NLT4765" s="34">
        <v>-2.5</v>
      </c>
      <c r="NLU4765" s="34">
        <v>-2</v>
      </c>
      <c r="NLV4765" s="34">
        <v>-1.5</v>
      </c>
      <c r="NLW4765" s="34">
        <v>-1</v>
      </c>
      <c r="NLX4765" s="34">
        <v>-0.5</v>
      </c>
      <c r="NLY4765" s="34">
        <v>0</v>
      </c>
      <c r="NLZ4765" s="34">
        <v>0.5</v>
      </c>
      <c r="NMA4765" s="34">
        <v>1</v>
      </c>
      <c r="NMB4765" s="34">
        <v>1.5</v>
      </c>
      <c r="NMC4765" s="34">
        <v>2</v>
      </c>
      <c r="NMD4765" s="34">
        <v>2.5</v>
      </c>
      <c r="NME4765" s="34">
        <v>3</v>
      </c>
      <c r="NMF4765" s="34">
        <v>3.5</v>
      </c>
      <c r="NMG4765" s="34">
        <v>4</v>
      </c>
      <c r="NMH4765" s="34">
        <v>4.5</v>
      </c>
      <c r="NMI4765" s="34">
        <v>5</v>
      </c>
      <c r="NMK4765" s="913"/>
      <c r="NML4765" s="31">
        <v>1</v>
      </c>
      <c r="NMM4765" s="34">
        <v>0</v>
      </c>
      <c r="NMN4765" s="34">
        <v>-1</v>
      </c>
      <c r="NMO4765" s="34">
        <v>-2</v>
      </c>
      <c r="NMP4765" s="34">
        <v>-3</v>
      </c>
      <c r="NMQ4765" s="34">
        <v>-4</v>
      </c>
      <c r="NMR4765" s="34">
        <v>-5</v>
      </c>
      <c r="NMS4765" s="908"/>
      <c r="NMT4765" s="909"/>
      <c r="NMU4765" s="34">
        <v>-5</v>
      </c>
      <c r="NMV4765" s="34">
        <v>-4.5</v>
      </c>
      <c r="NMW4765" s="34">
        <v>-4</v>
      </c>
      <c r="NMX4765" s="34">
        <v>-3.5</v>
      </c>
      <c r="NMY4765" s="34">
        <v>-3</v>
      </c>
      <c r="NMZ4765" s="34">
        <v>-2.5</v>
      </c>
      <c r="NNA4765" s="34">
        <v>-2</v>
      </c>
      <c r="NNB4765" s="34">
        <v>-1.5</v>
      </c>
      <c r="NNC4765" s="34">
        <v>-1</v>
      </c>
      <c r="NND4765" s="34">
        <v>-0.5</v>
      </c>
      <c r="NNE4765" s="34">
        <v>0</v>
      </c>
      <c r="NNF4765" s="34">
        <v>0.5</v>
      </c>
      <c r="NNG4765" s="34">
        <v>1</v>
      </c>
      <c r="NNH4765" s="34">
        <v>1.5</v>
      </c>
      <c r="NNI4765" s="34">
        <v>2</v>
      </c>
      <c r="NNJ4765" s="34">
        <v>2.5</v>
      </c>
      <c r="NNK4765" s="34">
        <v>3</v>
      </c>
      <c r="NNL4765" s="34">
        <v>3.5</v>
      </c>
      <c r="NNM4765" s="34">
        <v>4</v>
      </c>
      <c r="NNN4765" s="34">
        <v>4.5</v>
      </c>
      <c r="NNO4765" s="34">
        <v>5</v>
      </c>
      <c r="NNQ4765" s="913"/>
      <c r="NNR4765" s="31">
        <v>1</v>
      </c>
      <c r="NNS4765" s="34">
        <v>0</v>
      </c>
      <c r="NNT4765" s="34">
        <v>-1</v>
      </c>
      <c r="NNU4765" s="34">
        <v>-2</v>
      </c>
      <c r="NNV4765" s="34">
        <v>-3</v>
      </c>
      <c r="NNW4765" s="34">
        <v>-4</v>
      </c>
      <c r="NNX4765" s="34">
        <v>-5</v>
      </c>
      <c r="NNY4765" s="908"/>
      <c r="NNZ4765" s="909"/>
      <c r="NOA4765" s="34">
        <v>-5</v>
      </c>
      <c r="NOB4765" s="34">
        <v>-4.5</v>
      </c>
      <c r="NOC4765" s="34">
        <v>-4</v>
      </c>
      <c r="NOD4765" s="34">
        <v>-3.5</v>
      </c>
      <c r="NOE4765" s="34">
        <v>-3</v>
      </c>
      <c r="NOF4765" s="34">
        <v>-2.5</v>
      </c>
      <c r="NOG4765" s="34">
        <v>-2</v>
      </c>
      <c r="NOH4765" s="34">
        <v>-1.5</v>
      </c>
      <c r="NOI4765" s="34">
        <v>-1</v>
      </c>
      <c r="NOJ4765" s="34">
        <v>-0.5</v>
      </c>
      <c r="NOK4765" s="34">
        <v>0</v>
      </c>
      <c r="NOL4765" s="34">
        <v>0.5</v>
      </c>
      <c r="NOM4765" s="34">
        <v>1</v>
      </c>
      <c r="NON4765" s="34">
        <v>1.5</v>
      </c>
      <c r="NOO4765" s="34">
        <v>2</v>
      </c>
      <c r="NOP4765" s="34">
        <v>2.5</v>
      </c>
      <c r="NOQ4765" s="34">
        <v>3</v>
      </c>
      <c r="NOR4765" s="34">
        <v>3.5</v>
      </c>
      <c r="NOS4765" s="34">
        <v>4</v>
      </c>
      <c r="NOT4765" s="34">
        <v>4.5</v>
      </c>
      <c r="NOU4765" s="34">
        <v>5</v>
      </c>
      <c r="NOW4765" s="913"/>
      <c r="NOX4765" s="31">
        <v>1</v>
      </c>
      <c r="NOY4765" s="34">
        <v>0</v>
      </c>
      <c r="NOZ4765" s="34">
        <v>-1</v>
      </c>
      <c r="NPA4765" s="34">
        <v>-2</v>
      </c>
      <c r="NPB4765" s="34">
        <v>-3</v>
      </c>
      <c r="NPC4765" s="34">
        <v>-4</v>
      </c>
      <c r="NPD4765" s="34">
        <v>-5</v>
      </c>
      <c r="NPE4765" s="908"/>
      <c r="NPF4765" s="909"/>
      <c r="NPG4765" s="34">
        <v>-5</v>
      </c>
      <c r="NPH4765" s="34">
        <v>-4.5</v>
      </c>
      <c r="NPI4765" s="34">
        <v>-4</v>
      </c>
      <c r="NPJ4765" s="34">
        <v>-3.5</v>
      </c>
      <c r="NPK4765" s="34">
        <v>-3</v>
      </c>
      <c r="NPL4765" s="34">
        <v>-2.5</v>
      </c>
      <c r="NPM4765" s="34">
        <v>-2</v>
      </c>
      <c r="NPN4765" s="34">
        <v>-1.5</v>
      </c>
      <c r="NPO4765" s="34">
        <v>-1</v>
      </c>
      <c r="NPP4765" s="34">
        <v>-0.5</v>
      </c>
      <c r="NPQ4765" s="34">
        <v>0</v>
      </c>
      <c r="NPR4765" s="34">
        <v>0.5</v>
      </c>
      <c r="NPS4765" s="34">
        <v>1</v>
      </c>
      <c r="NPT4765" s="34">
        <v>1.5</v>
      </c>
      <c r="NPU4765" s="34">
        <v>2</v>
      </c>
      <c r="NPV4765" s="34">
        <v>2.5</v>
      </c>
      <c r="NPW4765" s="34">
        <v>3</v>
      </c>
      <c r="NPX4765" s="34">
        <v>3.5</v>
      </c>
      <c r="NPY4765" s="34">
        <v>4</v>
      </c>
      <c r="NPZ4765" s="34">
        <v>4.5</v>
      </c>
      <c r="NQA4765" s="34">
        <v>5</v>
      </c>
      <c r="NQC4765" s="913"/>
      <c r="NQD4765" s="31">
        <v>1</v>
      </c>
      <c r="NQE4765" s="34">
        <v>0</v>
      </c>
      <c r="NQF4765" s="34">
        <v>-1</v>
      </c>
      <c r="NQG4765" s="34">
        <v>-2</v>
      </c>
      <c r="NQH4765" s="34">
        <v>-3</v>
      </c>
      <c r="NQI4765" s="34">
        <v>-4</v>
      </c>
      <c r="NQJ4765" s="34">
        <v>-5</v>
      </c>
      <c r="NQK4765" s="908"/>
      <c r="NQL4765" s="909"/>
      <c r="NQM4765" s="34">
        <v>-5</v>
      </c>
      <c r="NQN4765" s="34">
        <v>-4.5</v>
      </c>
      <c r="NQO4765" s="34">
        <v>-4</v>
      </c>
      <c r="NQP4765" s="34">
        <v>-3.5</v>
      </c>
      <c r="NQQ4765" s="34">
        <v>-3</v>
      </c>
      <c r="NQR4765" s="34">
        <v>-2.5</v>
      </c>
      <c r="NQS4765" s="34">
        <v>-2</v>
      </c>
      <c r="NQT4765" s="34">
        <v>-1.5</v>
      </c>
      <c r="NQU4765" s="34">
        <v>-1</v>
      </c>
      <c r="NQV4765" s="34">
        <v>-0.5</v>
      </c>
      <c r="NQW4765" s="34">
        <v>0</v>
      </c>
      <c r="NQX4765" s="34">
        <v>0.5</v>
      </c>
      <c r="NQY4765" s="34">
        <v>1</v>
      </c>
      <c r="NQZ4765" s="34">
        <v>1.5</v>
      </c>
      <c r="NRA4765" s="34">
        <v>2</v>
      </c>
      <c r="NRB4765" s="34">
        <v>2.5</v>
      </c>
      <c r="NRC4765" s="34">
        <v>3</v>
      </c>
      <c r="NRD4765" s="34">
        <v>3.5</v>
      </c>
      <c r="NRE4765" s="34">
        <v>4</v>
      </c>
      <c r="NRF4765" s="34">
        <v>4.5</v>
      </c>
      <c r="NRG4765" s="34">
        <v>5</v>
      </c>
      <c r="NRI4765" s="913"/>
      <c r="NRJ4765" s="31">
        <v>1</v>
      </c>
      <c r="NRK4765" s="34">
        <v>0</v>
      </c>
      <c r="NRL4765" s="34">
        <v>-1</v>
      </c>
      <c r="NRM4765" s="34">
        <v>-2</v>
      </c>
      <c r="NRN4765" s="34">
        <v>-3</v>
      </c>
      <c r="NRO4765" s="34">
        <v>-4</v>
      </c>
      <c r="NRP4765" s="34">
        <v>-5</v>
      </c>
      <c r="NRQ4765" s="908"/>
      <c r="NRR4765" s="909"/>
      <c r="NRS4765" s="34">
        <v>-5</v>
      </c>
      <c r="NRT4765" s="34">
        <v>-4.5</v>
      </c>
      <c r="NRU4765" s="34">
        <v>-4</v>
      </c>
      <c r="NRV4765" s="34">
        <v>-3.5</v>
      </c>
      <c r="NRW4765" s="34">
        <v>-3</v>
      </c>
      <c r="NRX4765" s="34">
        <v>-2.5</v>
      </c>
      <c r="NRY4765" s="34">
        <v>-2</v>
      </c>
      <c r="NRZ4765" s="34">
        <v>-1.5</v>
      </c>
      <c r="NSA4765" s="34">
        <v>-1</v>
      </c>
      <c r="NSB4765" s="34">
        <v>-0.5</v>
      </c>
      <c r="NSC4765" s="34">
        <v>0</v>
      </c>
      <c r="NSD4765" s="34">
        <v>0.5</v>
      </c>
      <c r="NSE4765" s="34">
        <v>1</v>
      </c>
      <c r="NSF4765" s="34">
        <v>1.5</v>
      </c>
      <c r="NSG4765" s="34">
        <v>2</v>
      </c>
      <c r="NSH4765" s="34">
        <v>2.5</v>
      </c>
      <c r="NSI4765" s="34">
        <v>3</v>
      </c>
      <c r="NSJ4765" s="34">
        <v>3.5</v>
      </c>
      <c r="NSK4765" s="34">
        <v>4</v>
      </c>
      <c r="NSL4765" s="34">
        <v>4.5</v>
      </c>
      <c r="NSM4765" s="34">
        <v>5</v>
      </c>
      <c r="NSO4765" s="913"/>
      <c r="NSP4765" s="31">
        <v>1</v>
      </c>
      <c r="NSQ4765" s="34">
        <v>0</v>
      </c>
      <c r="NSR4765" s="34">
        <v>-1</v>
      </c>
      <c r="NSS4765" s="34">
        <v>-2</v>
      </c>
      <c r="NST4765" s="34">
        <v>-3</v>
      </c>
      <c r="NSU4765" s="34">
        <v>-4</v>
      </c>
      <c r="NSV4765" s="34">
        <v>-5</v>
      </c>
      <c r="NSW4765" s="908"/>
      <c r="NSX4765" s="909"/>
      <c r="NSY4765" s="34">
        <v>-5</v>
      </c>
      <c r="NSZ4765" s="34">
        <v>-4.5</v>
      </c>
      <c r="NTA4765" s="34">
        <v>-4</v>
      </c>
      <c r="NTB4765" s="34">
        <v>-3.5</v>
      </c>
      <c r="NTC4765" s="34">
        <v>-3</v>
      </c>
      <c r="NTD4765" s="34">
        <v>-2.5</v>
      </c>
      <c r="NTE4765" s="34">
        <v>-2</v>
      </c>
      <c r="NTF4765" s="34">
        <v>-1.5</v>
      </c>
      <c r="NTG4765" s="34">
        <v>-1</v>
      </c>
      <c r="NTH4765" s="34">
        <v>-0.5</v>
      </c>
      <c r="NTI4765" s="34">
        <v>0</v>
      </c>
      <c r="NTJ4765" s="34">
        <v>0.5</v>
      </c>
      <c r="NTK4765" s="34">
        <v>1</v>
      </c>
      <c r="NTL4765" s="34">
        <v>1.5</v>
      </c>
      <c r="NTM4765" s="34">
        <v>2</v>
      </c>
      <c r="NTN4765" s="34">
        <v>2.5</v>
      </c>
      <c r="NTO4765" s="34">
        <v>3</v>
      </c>
      <c r="NTP4765" s="34">
        <v>3.5</v>
      </c>
      <c r="NTQ4765" s="34">
        <v>4</v>
      </c>
      <c r="NTR4765" s="34">
        <v>4.5</v>
      </c>
      <c r="NTS4765" s="34">
        <v>5</v>
      </c>
      <c r="NTU4765" s="913"/>
      <c r="NTV4765" s="31">
        <v>1</v>
      </c>
      <c r="NTW4765" s="34">
        <v>0</v>
      </c>
      <c r="NTX4765" s="34">
        <v>-1</v>
      </c>
      <c r="NTY4765" s="34">
        <v>-2</v>
      </c>
      <c r="NTZ4765" s="34">
        <v>-3</v>
      </c>
      <c r="NUA4765" s="34">
        <v>-4</v>
      </c>
      <c r="NUB4765" s="34">
        <v>-5</v>
      </c>
      <c r="NUC4765" s="908"/>
      <c r="NUD4765" s="909"/>
      <c r="NUE4765" s="34">
        <v>-5</v>
      </c>
      <c r="NUF4765" s="34">
        <v>-4.5</v>
      </c>
      <c r="NUG4765" s="34">
        <v>-4</v>
      </c>
      <c r="NUH4765" s="34">
        <v>-3.5</v>
      </c>
      <c r="NUI4765" s="34">
        <v>-3</v>
      </c>
      <c r="NUJ4765" s="34">
        <v>-2.5</v>
      </c>
      <c r="NUK4765" s="34">
        <v>-2</v>
      </c>
      <c r="NUL4765" s="34">
        <v>-1.5</v>
      </c>
      <c r="NUM4765" s="34">
        <v>-1</v>
      </c>
      <c r="NUN4765" s="34">
        <v>-0.5</v>
      </c>
      <c r="NUO4765" s="34">
        <v>0</v>
      </c>
      <c r="NUP4765" s="34">
        <v>0.5</v>
      </c>
      <c r="NUQ4765" s="34">
        <v>1</v>
      </c>
      <c r="NUR4765" s="34">
        <v>1.5</v>
      </c>
      <c r="NUS4765" s="34">
        <v>2</v>
      </c>
      <c r="NUT4765" s="34">
        <v>2.5</v>
      </c>
      <c r="NUU4765" s="34">
        <v>3</v>
      </c>
      <c r="NUV4765" s="34">
        <v>3.5</v>
      </c>
      <c r="NUW4765" s="34">
        <v>4</v>
      </c>
      <c r="NUX4765" s="34">
        <v>4.5</v>
      </c>
      <c r="NUY4765" s="34">
        <v>5</v>
      </c>
      <c r="NVA4765" s="913"/>
      <c r="NVB4765" s="31">
        <v>1</v>
      </c>
      <c r="NVC4765" s="34">
        <v>0</v>
      </c>
      <c r="NVD4765" s="34">
        <v>-1</v>
      </c>
      <c r="NVE4765" s="34">
        <v>-2</v>
      </c>
      <c r="NVF4765" s="34">
        <v>-3</v>
      </c>
      <c r="NVG4765" s="34">
        <v>-4</v>
      </c>
      <c r="NVH4765" s="34">
        <v>-5</v>
      </c>
      <c r="NVI4765" s="908"/>
      <c r="NVJ4765" s="909"/>
      <c r="NVK4765" s="34">
        <v>-5</v>
      </c>
      <c r="NVL4765" s="34">
        <v>-4.5</v>
      </c>
      <c r="NVM4765" s="34">
        <v>-4</v>
      </c>
      <c r="NVN4765" s="34">
        <v>-3.5</v>
      </c>
      <c r="NVO4765" s="34">
        <v>-3</v>
      </c>
      <c r="NVP4765" s="34">
        <v>-2.5</v>
      </c>
      <c r="NVQ4765" s="34">
        <v>-2</v>
      </c>
      <c r="NVR4765" s="34">
        <v>-1.5</v>
      </c>
      <c r="NVS4765" s="34">
        <v>-1</v>
      </c>
      <c r="NVT4765" s="34">
        <v>-0.5</v>
      </c>
      <c r="NVU4765" s="34">
        <v>0</v>
      </c>
      <c r="NVV4765" s="34">
        <v>0.5</v>
      </c>
      <c r="NVW4765" s="34">
        <v>1</v>
      </c>
      <c r="NVX4765" s="34">
        <v>1.5</v>
      </c>
      <c r="NVY4765" s="34">
        <v>2</v>
      </c>
      <c r="NVZ4765" s="34">
        <v>2.5</v>
      </c>
      <c r="NWA4765" s="34">
        <v>3</v>
      </c>
      <c r="NWB4765" s="34">
        <v>3.5</v>
      </c>
      <c r="NWC4765" s="34">
        <v>4</v>
      </c>
      <c r="NWD4765" s="34">
        <v>4.5</v>
      </c>
      <c r="NWE4765" s="34">
        <v>5</v>
      </c>
      <c r="NWG4765" s="913"/>
      <c r="NWH4765" s="31">
        <v>1</v>
      </c>
      <c r="NWI4765" s="34">
        <v>0</v>
      </c>
      <c r="NWJ4765" s="34">
        <v>-1</v>
      </c>
      <c r="NWK4765" s="34">
        <v>-2</v>
      </c>
      <c r="NWL4765" s="34">
        <v>-3</v>
      </c>
      <c r="NWM4765" s="34">
        <v>-4</v>
      </c>
      <c r="NWN4765" s="34">
        <v>-5</v>
      </c>
      <c r="NWO4765" s="908"/>
      <c r="NWP4765" s="909"/>
      <c r="NWQ4765" s="34">
        <v>-5</v>
      </c>
      <c r="NWR4765" s="34">
        <v>-4.5</v>
      </c>
      <c r="NWS4765" s="34">
        <v>-4</v>
      </c>
      <c r="NWT4765" s="34">
        <v>-3.5</v>
      </c>
      <c r="NWU4765" s="34">
        <v>-3</v>
      </c>
      <c r="NWV4765" s="34">
        <v>-2.5</v>
      </c>
      <c r="NWW4765" s="34">
        <v>-2</v>
      </c>
      <c r="NWX4765" s="34">
        <v>-1.5</v>
      </c>
      <c r="NWY4765" s="34">
        <v>-1</v>
      </c>
      <c r="NWZ4765" s="34">
        <v>-0.5</v>
      </c>
      <c r="NXA4765" s="34">
        <v>0</v>
      </c>
      <c r="NXB4765" s="34">
        <v>0.5</v>
      </c>
      <c r="NXC4765" s="34">
        <v>1</v>
      </c>
      <c r="NXD4765" s="34">
        <v>1.5</v>
      </c>
      <c r="NXE4765" s="34">
        <v>2</v>
      </c>
      <c r="NXF4765" s="34">
        <v>2.5</v>
      </c>
      <c r="NXG4765" s="34">
        <v>3</v>
      </c>
      <c r="NXH4765" s="34">
        <v>3.5</v>
      </c>
      <c r="NXI4765" s="34">
        <v>4</v>
      </c>
      <c r="NXJ4765" s="34">
        <v>4.5</v>
      </c>
      <c r="NXK4765" s="34">
        <v>5</v>
      </c>
      <c r="NXM4765" s="913"/>
      <c r="NXN4765" s="31">
        <v>1</v>
      </c>
      <c r="NXO4765" s="34">
        <v>0</v>
      </c>
      <c r="NXP4765" s="34">
        <v>-1</v>
      </c>
      <c r="NXQ4765" s="34">
        <v>-2</v>
      </c>
      <c r="NXR4765" s="34">
        <v>-3</v>
      </c>
      <c r="NXS4765" s="34">
        <v>-4</v>
      </c>
      <c r="NXT4765" s="34">
        <v>-5</v>
      </c>
      <c r="NXU4765" s="908"/>
      <c r="NXV4765" s="909"/>
      <c r="NXW4765" s="34">
        <v>-5</v>
      </c>
      <c r="NXX4765" s="34">
        <v>-4.5</v>
      </c>
      <c r="NXY4765" s="34">
        <v>-4</v>
      </c>
      <c r="NXZ4765" s="34">
        <v>-3.5</v>
      </c>
      <c r="NYA4765" s="34">
        <v>-3</v>
      </c>
      <c r="NYB4765" s="34">
        <v>-2.5</v>
      </c>
      <c r="NYC4765" s="34">
        <v>-2</v>
      </c>
      <c r="NYD4765" s="34">
        <v>-1.5</v>
      </c>
      <c r="NYE4765" s="34">
        <v>-1</v>
      </c>
      <c r="NYF4765" s="34">
        <v>-0.5</v>
      </c>
      <c r="NYG4765" s="34">
        <v>0</v>
      </c>
      <c r="NYH4765" s="34">
        <v>0.5</v>
      </c>
      <c r="NYI4765" s="34">
        <v>1</v>
      </c>
      <c r="NYJ4765" s="34">
        <v>1.5</v>
      </c>
      <c r="NYK4765" s="34">
        <v>2</v>
      </c>
      <c r="NYL4765" s="34">
        <v>2.5</v>
      </c>
      <c r="NYM4765" s="34">
        <v>3</v>
      </c>
      <c r="NYN4765" s="34">
        <v>3.5</v>
      </c>
      <c r="NYO4765" s="34">
        <v>4</v>
      </c>
      <c r="NYP4765" s="34">
        <v>4.5</v>
      </c>
      <c r="NYQ4765" s="34">
        <v>5</v>
      </c>
      <c r="NYS4765" s="913"/>
      <c r="NYT4765" s="31">
        <v>1</v>
      </c>
      <c r="NYU4765" s="34">
        <v>0</v>
      </c>
      <c r="NYV4765" s="34">
        <v>-1</v>
      </c>
      <c r="NYW4765" s="34">
        <v>-2</v>
      </c>
      <c r="NYX4765" s="34">
        <v>-3</v>
      </c>
      <c r="NYY4765" s="34">
        <v>-4</v>
      </c>
      <c r="NYZ4765" s="34">
        <v>-5</v>
      </c>
      <c r="NZA4765" s="908"/>
      <c r="NZB4765" s="909"/>
      <c r="NZC4765" s="34">
        <v>-5</v>
      </c>
      <c r="NZD4765" s="34">
        <v>-4.5</v>
      </c>
      <c r="NZE4765" s="34">
        <v>-4</v>
      </c>
      <c r="NZF4765" s="34">
        <v>-3.5</v>
      </c>
      <c r="NZG4765" s="34">
        <v>-3</v>
      </c>
      <c r="NZH4765" s="34">
        <v>-2.5</v>
      </c>
      <c r="NZI4765" s="34">
        <v>-2</v>
      </c>
      <c r="NZJ4765" s="34">
        <v>-1.5</v>
      </c>
      <c r="NZK4765" s="34">
        <v>-1</v>
      </c>
      <c r="NZL4765" s="34">
        <v>-0.5</v>
      </c>
      <c r="NZM4765" s="34">
        <v>0</v>
      </c>
      <c r="NZN4765" s="34">
        <v>0.5</v>
      </c>
      <c r="NZO4765" s="34">
        <v>1</v>
      </c>
      <c r="NZP4765" s="34">
        <v>1.5</v>
      </c>
      <c r="NZQ4765" s="34">
        <v>2</v>
      </c>
      <c r="NZR4765" s="34">
        <v>2.5</v>
      </c>
      <c r="NZS4765" s="34">
        <v>3</v>
      </c>
      <c r="NZT4765" s="34">
        <v>3.5</v>
      </c>
      <c r="NZU4765" s="34">
        <v>4</v>
      </c>
      <c r="NZV4765" s="34">
        <v>4.5</v>
      </c>
      <c r="NZW4765" s="34">
        <v>5</v>
      </c>
      <c r="NZY4765" s="913"/>
      <c r="NZZ4765" s="31">
        <v>1</v>
      </c>
      <c r="OAA4765" s="34">
        <v>0</v>
      </c>
      <c r="OAB4765" s="34">
        <v>-1</v>
      </c>
      <c r="OAC4765" s="34">
        <v>-2</v>
      </c>
      <c r="OAD4765" s="34">
        <v>-3</v>
      </c>
      <c r="OAE4765" s="34">
        <v>-4</v>
      </c>
      <c r="OAF4765" s="34">
        <v>-5</v>
      </c>
      <c r="OAG4765" s="908"/>
      <c r="OAH4765" s="909"/>
      <c r="OAI4765" s="34">
        <v>-5</v>
      </c>
      <c r="OAJ4765" s="34">
        <v>-4.5</v>
      </c>
      <c r="OAK4765" s="34">
        <v>-4</v>
      </c>
      <c r="OAL4765" s="34">
        <v>-3.5</v>
      </c>
      <c r="OAM4765" s="34">
        <v>-3</v>
      </c>
      <c r="OAN4765" s="34">
        <v>-2.5</v>
      </c>
      <c r="OAO4765" s="34">
        <v>-2</v>
      </c>
      <c r="OAP4765" s="34">
        <v>-1.5</v>
      </c>
      <c r="OAQ4765" s="34">
        <v>-1</v>
      </c>
      <c r="OAR4765" s="34">
        <v>-0.5</v>
      </c>
      <c r="OAS4765" s="34">
        <v>0</v>
      </c>
      <c r="OAT4765" s="34">
        <v>0.5</v>
      </c>
      <c r="OAU4765" s="34">
        <v>1</v>
      </c>
      <c r="OAV4765" s="34">
        <v>1.5</v>
      </c>
      <c r="OAW4765" s="34">
        <v>2</v>
      </c>
      <c r="OAX4765" s="34">
        <v>2.5</v>
      </c>
      <c r="OAY4765" s="34">
        <v>3</v>
      </c>
      <c r="OAZ4765" s="34">
        <v>3.5</v>
      </c>
      <c r="OBA4765" s="34">
        <v>4</v>
      </c>
      <c r="OBB4765" s="34">
        <v>4.5</v>
      </c>
      <c r="OBC4765" s="34">
        <v>5</v>
      </c>
      <c r="OBE4765" s="913"/>
      <c r="OBF4765" s="31">
        <v>1</v>
      </c>
      <c r="OBG4765" s="34">
        <v>0</v>
      </c>
      <c r="OBH4765" s="34">
        <v>-1</v>
      </c>
      <c r="OBI4765" s="34">
        <v>-2</v>
      </c>
      <c r="OBJ4765" s="34">
        <v>-3</v>
      </c>
      <c r="OBK4765" s="34">
        <v>-4</v>
      </c>
      <c r="OBL4765" s="34">
        <v>-5</v>
      </c>
      <c r="OBM4765" s="908"/>
      <c r="OBN4765" s="909"/>
      <c r="OBO4765" s="34">
        <v>-5</v>
      </c>
      <c r="OBP4765" s="34">
        <v>-4.5</v>
      </c>
      <c r="OBQ4765" s="34">
        <v>-4</v>
      </c>
      <c r="OBR4765" s="34">
        <v>-3.5</v>
      </c>
      <c r="OBS4765" s="34">
        <v>-3</v>
      </c>
      <c r="OBT4765" s="34">
        <v>-2.5</v>
      </c>
      <c r="OBU4765" s="34">
        <v>-2</v>
      </c>
      <c r="OBV4765" s="34">
        <v>-1.5</v>
      </c>
      <c r="OBW4765" s="34">
        <v>-1</v>
      </c>
      <c r="OBX4765" s="34">
        <v>-0.5</v>
      </c>
      <c r="OBY4765" s="34">
        <v>0</v>
      </c>
      <c r="OBZ4765" s="34">
        <v>0.5</v>
      </c>
      <c r="OCA4765" s="34">
        <v>1</v>
      </c>
      <c r="OCB4765" s="34">
        <v>1.5</v>
      </c>
      <c r="OCC4765" s="34">
        <v>2</v>
      </c>
      <c r="OCD4765" s="34">
        <v>2.5</v>
      </c>
      <c r="OCE4765" s="34">
        <v>3</v>
      </c>
      <c r="OCF4765" s="34">
        <v>3.5</v>
      </c>
      <c r="OCG4765" s="34">
        <v>4</v>
      </c>
      <c r="OCH4765" s="34">
        <v>4.5</v>
      </c>
      <c r="OCI4765" s="34">
        <v>5</v>
      </c>
      <c r="OCK4765" s="913"/>
      <c r="OCL4765" s="31">
        <v>1</v>
      </c>
      <c r="OCM4765" s="34">
        <v>0</v>
      </c>
      <c r="OCN4765" s="34">
        <v>-1</v>
      </c>
      <c r="OCO4765" s="34">
        <v>-2</v>
      </c>
      <c r="OCP4765" s="34">
        <v>-3</v>
      </c>
      <c r="OCQ4765" s="34">
        <v>-4</v>
      </c>
      <c r="OCR4765" s="34">
        <v>-5</v>
      </c>
      <c r="OCS4765" s="908"/>
      <c r="OCT4765" s="909"/>
      <c r="OCU4765" s="34">
        <v>-5</v>
      </c>
      <c r="OCV4765" s="34">
        <v>-4.5</v>
      </c>
      <c r="OCW4765" s="34">
        <v>-4</v>
      </c>
      <c r="OCX4765" s="34">
        <v>-3.5</v>
      </c>
      <c r="OCY4765" s="34">
        <v>-3</v>
      </c>
      <c r="OCZ4765" s="34">
        <v>-2.5</v>
      </c>
      <c r="ODA4765" s="34">
        <v>-2</v>
      </c>
      <c r="ODB4765" s="34">
        <v>-1.5</v>
      </c>
      <c r="ODC4765" s="34">
        <v>-1</v>
      </c>
      <c r="ODD4765" s="34">
        <v>-0.5</v>
      </c>
      <c r="ODE4765" s="34">
        <v>0</v>
      </c>
      <c r="ODF4765" s="34">
        <v>0.5</v>
      </c>
      <c r="ODG4765" s="34">
        <v>1</v>
      </c>
      <c r="ODH4765" s="34">
        <v>1.5</v>
      </c>
      <c r="ODI4765" s="34">
        <v>2</v>
      </c>
      <c r="ODJ4765" s="34">
        <v>2.5</v>
      </c>
      <c r="ODK4765" s="34">
        <v>3</v>
      </c>
      <c r="ODL4765" s="34">
        <v>3.5</v>
      </c>
      <c r="ODM4765" s="34">
        <v>4</v>
      </c>
      <c r="ODN4765" s="34">
        <v>4.5</v>
      </c>
      <c r="ODO4765" s="34">
        <v>5</v>
      </c>
      <c r="ODQ4765" s="913"/>
      <c r="ODR4765" s="31">
        <v>1</v>
      </c>
      <c r="ODS4765" s="34">
        <v>0</v>
      </c>
      <c r="ODT4765" s="34">
        <v>-1</v>
      </c>
      <c r="ODU4765" s="34">
        <v>-2</v>
      </c>
      <c r="ODV4765" s="34">
        <v>-3</v>
      </c>
      <c r="ODW4765" s="34">
        <v>-4</v>
      </c>
      <c r="ODX4765" s="34">
        <v>-5</v>
      </c>
      <c r="ODY4765" s="908"/>
      <c r="ODZ4765" s="909"/>
      <c r="OEA4765" s="34">
        <v>-5</v>
      </c>
      <c r="OEB4765" s="34">
        <v>-4.5</v>
      </c>
      <c r="OEC4765" s="34">
        <v>-4</v>
      </c>
      <c r="OED4765" s="34">
        <v>-3.5</v>
      </c>
      <c r="OEE4765" s="34">
        <v>-3</v>
      </c>
      <c r="OEF4765" s="34">
        <v>-2.5</v>
      </c>
      <c r="OEG4765" s="34">
        <v>-2</v>
      </c>
      <c r="OEH4765" s="34">
        <v>-1.5</v>
      </c>
      <c r="OEI4765" s="34">
        <v>-1</v>
      </c>
      <c r="OEJ4765" s="34">
        <v>-0.5</v>
      </c>
      <c r="OEK4765" s="34">
        <v>0</v>
      </c>
      <c r="OEL4765" s="34">
        <v>0.5</v>
      </c>
      <c r="OEM4765" s="34">
        <v>1</v>
      </c>
      <c r="OEN4765" s="34">
        <v>1.5</v>
      </c>
      <c r="OEO4765" s="34">
        <v>2</v>
      </c>
      <c r="OEP4765" s="34">
        <v>2.5</v>
      </c>
      <c r="OEQ4765" s="34">
        <v>3</v>
      </c>
      <c r="OER4765" s="34">
        <v>3.5</v>
      </c>
      <c r="OES4765" s="34">
        <v>4</v>
      </c>
      <c r="OET4765" s="34">
        <v>4.5</v>
      </c>
      <c r="OEU4765" s="34">
        <v>5</v>
      </c>
      <c r="OEW4765" s="913"/>
      <c r="OEX4765" s="31">
        <v>1</v>
      </c>
      <c r="OEY4765" s="34">
        <v>0</v>
      </c>
      <c r="OEZ4765" s="34">
        <v>-1</v>
      </c>
      <c r="OFA4765" s="34">
        <v>-2</v>
      </c>
      <c r="OFB4765" s="34">
        <v>-3</v>
      </c>
      <c r="OFC4765" s="34">
        <v>-4</v>
      </c>
      <c r="OFD4765" s="34">
        <v>-5</v>
      </c>
      <c r="OFE4765" s="908"/>
      <c r="OFF4765" s="909"/>
      <c r="OFG4765" s="34">
        <v>-5</v>
      </c>
      <c r="OFH4765" s="34">
        <v>-4.5</v>
      </c>
      <c r="OFI4765" s="34">
        <v>-4</v>
      </c>
      <c r="OFJ4765" s="34">
        <v>-3.5</v>
      </c>
      <c r="OFK4765" s="34">
        <v>-3</v>
      </c>
      <c r="OFL4765" s="34">
        <v>-2.5</v>
      </c>
      <c r="OFM4765" s="34">
        <v>-2</v>
      </c>
      <c r="OFN4765" s="34">
        <v>-1.5</v>
      </c>
      <c r="OFO4765" s="34">
        <v>-1</v>
      </c>
      <c r="OFP4765" s="34">
        <v>-0.5</v>
      </c>
      <c r="OFQ4765" s="34">
        <v>0</v>
      </c>
      <c r="OFR4765" s="34">
        <v>0.5</v>
      </c>
      <c r="OFS4765" s="34">
        <v>1</v>
      </c>
      <c r="OFT4765" s="34">
        <v>1.5</v>
      </c>
      <c r="OFU4765" s="34">
        <v>2</v>
      </c>
      <c r="OFV4765" s="34">
        <v>2.5</v>
      </c>
      <c r="OFW4765" s="34">
        <v>3</v>
      </c>
      <c r="OFX4765" s="34">
        <v>3.5</v>
      </c>
      <c r="OFY4765" s="34">
        <v>4</v>
      </c>
      <c r="OFZ4765" s="34">
        <v>4.5</v>
      </c>
      <c r="OGA4765" s="34">
        <v>5</v>
      </c>
      <c r="OGC4765" s="913"/>
      <c r="OGD4765" s="31">
        <v>1</v>
      </c>
      <c r="OGE4765" s="34">
        <v>0</v>
      </c>
      <c r="OGF4765" s="34">
        <v>-1</v>
      </c>
      <c r="OGG4765" s="34">
        <v>-2</v>
      </c>
      <c r="OGH4765" s="34">
        <v>-3</v>
      </c>
      <c r="OGI4765" s="34">
        <v>-4</v>
      </c>
      <c r="OGJ4765" s="34">
        <v>-5</v>
      </c>
      <c r="OGK4765" s="908"/>
      <c r="OGL4765" s="909"/>
      <c r="OGM4765" s="34">
        <v>-5</v>
      </c>
      <c r="OGN4765" s="34">
        <v>-4.5</v>
      </c>
      <c r="OGO4765" s="34">
        <v>-4</v>
      </c>
      <c r="OGP4765" s="34">
        <v>-3.5</v>
      </c>
      <c r="OGQ4765" s="34">
        <v>-3</v>
      </c>
      <c r="OGR4765" s="34">
        <v>-2.5</v>
      </c>
      <c r="OGS4765" s="34">
        <v>-2</v>
      </c>
      <c r="OGT4765" s="34">
        <v>-1.5</v>
      </c>
      <c r="OGU4765" s="34">
        <v>-1</v>
      </c>
      <c r="OGV4765" s="34">
        <v>-0.5</v>
      </c>
      <c r="OGW4765" s="34">
        <v>0</v>
      </c>
      <c r="OGX4765" s="34">
        <v>0.5</v>
      </c>
      <c r="OGY4765" s="34">
        <v>1</v>
      </c>
      <c r="OGZ4765" s="34">
        <v>1.5</v>
      </c>
      <c r="OHA4765" s="34">
        <v>2</v>
      </c>
      <c r="OHB4765" s="34">
        <v>2.5</v>
      </c>
      <c r="OHC4765" s="34">
        <v>3</v>
      </c>
      <c r="OHD4765" s="34">
        <v>3.5</v>
      </c>
      <c r="OHE4765" s="34">
        <v>4</v>
      </c>
      <c r="OHF4765" s="34">
        <v>4.5</v>
      </c>
      <c r="OHG4765" s="34">
        <v>5</v>
      </c>
      <c r="OHI4765" s="913"/>
      <c r="OHJ4765" s="31">
        <v>1</v>
      </c>
      <c r="OHK4765" s="34">
        <v>0</v>
      </c>
      <c r="OHL4765" s="34">
        <v>-1</v>
      </c>
      <c r="OHM4765" s="34">
        <v>-2</v>
      </c>
      <c r="OHN4765" s="34">
        <v>-3</v>
      </c>
      <c r="OHO4765" s="34">
        <v>-4</v>
      </c>
      <c r="OHP4765" s="34">
        <v>-5</v>
      </c>
      <c r="OHQ4765" s="908"/>
      <c r="OHR4765" s="909"/>
      <c r="OHS4765" s="34">
        <v>-5</v>
      </c>
      <c r="OHT4765" s="34">
        <v>-4.5</v>
      </c>
      <c r="OHU4765" s="34">
        <v>-4</v>
      </c>
      <c r="OHV4765" s="34">
        <v>-3.5</v>
      </c>
      <c r="OHW4765" s="34">
        <v>-3</v>
      </c>
      <c r="OHX4765" s="34">
        <v>-2.5</v>
      </c>
      <c r="OHY4765" s="34">
        <v>-2</v>
      </c>
      <c r="OHZ4765" s="34">
        <v>-1.5</v>
      </c>
      <c r="OIA4765" s="34">
        <v>-1</v>
      </c>
      <c r="OIB4765" s="34">
        <v>-0.5</v>
      </c>
      <c r="OIC4765" s="34">
        <v>0</v>
      </c>
      <c r="OID4765" s="34">
        <v>0.5</v>
      </c>
      <c r="OIE4765" s="34">
        <v>1</v>
      </c>
      <c r="OIF4765" s="34">
        <v>1.5</v>
      </c>
      <c r="OIG4765" s="34">
        <v>2</v>
      </c>
      <c r="OIH4765" s="34">
        <v>2.5</v>
      </c>
      <c r="OII4765" s="34">
        <v>3</v>
      </c>
      <c r="OIJ4765" s="34">
        <v>3.5</v>
      </c>
      <c r="OIK4765" s="34">
        <v>4</v>
      </c>
      <c r="OIL4765" s="34">
        <v>4.5</v>
      </c>
      <c r="OIM4765" s="34">
        <v>5</v>
      </c>
      <c r="OIO4765" s="913"/>
      <c r="OIP4765" s="31">
        <v>1</v>
      </c>
      <c r="OIQ4765" s="34">
        <v>0</v>
      </c>
      <c r="OIR4765" s="34">
        <v>-1</v>
      </c>
      <c r="OIS4765" s="34">
        <v>-2</v>
      </c>
      <c r="OIT4765" s="34">
        <v>-3</v>
      </c>
      <c r="OIU4765" s="34">
        <v>-4</v>
      </c>
      <c r="OIV4765" s="34">
        <v>-5</v>
      </c>
      <c r="OIW4765" s="908"/>
      <c r="OIX4765" s="909"/>
      <c r="OIY4765" s="34">
        <v>-5</v>
      </c>
      <c r="OIZ4765" s="34">
        <v>-4.5</v>
      </c>
      <c r="OJA4765" s="34">
        <v>-4</v>
      </c>
      <c r="OJB4765" s="34">
        <v>-3.5</v>
      </c>
      <c r="OJC4765" s="34">
        <v>-3</v>
      </c>
      <c r="OJD4765" s="34">
        <v>-2.5</v>
      </c>
      <c r="OJE4765" s="34">
        <v>-2</v>
      </c>
      <c r="OJF4765" s="34">
        <v>-1.5</v>
      </c>
      <c r="OJG4765" s="34">
        <v>-1</v>
      </c>
      <c r="OJH4765" s="34">
        <v>-0.5</v>
      </c>
      <c r="OJI4765" s="34">
        <v>0</v>
      </c>
      <c r="OJJ4765" s="34">
        <v>0.5</v>
      </c>
      <c r="OJK4765" s="34">
        <v>1</v>
      </c>
      <c r="OJL4765" s="34">
        <v>1.5</v>
      </c>
      <c r="OJM4765" s="34">
        <v>2</v>
      </c>
      <c r="OJN4765" s="34">
        <v>2.5</v>
      </c>
      <c r="OJO4765" s="34">
        <v>3</v>
      </c>
      <c r="OJP4765" s="34">
        <v>3.5</v>
      </c>
      <c r="OJQ4765" s="34">
        <v>4</v>
      </c>
      <c r="OJR4765" s="34">
        <v>4.5</v>
      </c>
      <c r="OJS4765" s="34">
        <v>5</v>
      </c>
      <c r="OJU4765" s="913"/>
      <c r="OJV4765" s="31">
        <v>1</v>
      </c>
      <c r="OJW4765" s="34">
        <v>0</v>
      </c>
      <c r="OJX4765" s="34">
        <v>-1</v>
      </c>
      <c r="OJY4765" s="34">
        <v>-2</v>
      </c>
      <c r="OJZ4765" s="34">
        <v>-3</v>
      </c>
      <c r="OKA4765" s="34">
        <v>-4</v>
      </c>
      <c r="OKB4765" s="34">
        <v>-5</v>
      </c>
      <c r="OKC4765" s="908"/>
      <c r="OKD4765" s="909"/>
      <c r="OKE4765" s="34">
        <v>-5</v>
      </c>
      <c r="OKF4765" s="34">
        <v>-4.5</v>
      </c>
      <c r="OKG4765" s="34">
        <v>-4</v>
      </c>
      <c r="OKH4765" s="34">
        <v>-3.5</v>
      </c>
      <c r="OKI4765" s="34">
        <v>-3</v>
      </c>
      <c r="OKJ4765" s="34">
        <v>-2.5</v>
      </c>
      <c r="OKK4765" s="34">
        <v>-2</v>
      </c>
      <c r="OKL4765" s="34">
        <v>-1.5</v>
      </c>
      <c r="OKM4765" s="34">
        <v>-1</v>
      </c>
      <c r="OKN4765" s="34">
        <v>-0.5</v>
      </c>
      <c r="OKO4765" s="34">
        <v>0</v>
      </c>
      <c r="OKP4765" s="34">
        <v>0.5</v>
      </c>
      <c r="OKQ4765" s="34">
        <v>1</v>
      </c>
      <c r="OKR4765" s="34">
        <v>1.5</v>
      </c>
      <c r="OKS4765" s="34">
        <v>2</v>
      </c>
      <c r="OKT4765" s="34">
        <v>2.5</v>
      </c>
      <c r="OKU4765" s="34">
        <v>3</v>
      </c>
      <c r="OKV4765" s="34">
        <v>3.5</v>
      </c>
      <c r="OKW4765" s="34">
        <v>4</v>
      </c>
      <c r="OKX4765" s="34">
        <v>4.5</v>
      </c>
      <c r="OKY4765" s="34">
        <v>5</v>
      </c>
      <c r="OLA4765" s="913"/>
      <c r="OLB4765" s="31">
        <v>1</v>
      </c>
      <c r="OLC4765" s="34">
        <v>0</v>
      </c>
      <c r="OLD4765" s="34">
        <v>-1</v>
      </c>
      <c r="OLE4765" s="34">
        <v>-2</v>
      </c>
      <c r="OLF4765" s="34">
        <v>-3</v>
      </c>
      <c r="OLG4765" s="34">
        <v>-4</v>
      </c>
      <c r="OLH4765" s="34">
        <v>-5</v>
      </c>
      <c r="OLI4765" s="908"/>
      <c r="OLJ4765" s="909"/>
      <c r="OLK4765" s="34">
        <v>-5</v>
      </c>
      <c r="OLL4765" s="34">
        <v>-4.5</v>
      </c>
      <c r="OLM4765" s="34">
        <v>-4</v>
      </c>
      <c r="OLN4765" s="34">
        <v>-3.5</v>
      </c>
      <c r="OLO4765" s="34">
        <v>-3</v>
      </c>
      <c r="OLP4765" s="34">
        <v>-2.5</v>
      </c>
      <c r="OLQ4765" s="34">
        <v>-2</v>
      </c>
      <c r="OLR4765" s="34">
        <v>-1.5</v>
      </c>
      <c r="OLS4765" s="34">
        <v>-1</v>
      </c>
      <c r="OLT4765" s="34">
        <v>-0.5</v>
      </c>
      <c r="OLU4765" s="34">
        <v>0</v>
      </c>
      <c r="OLV4765" s="34">
        <v>0.5</v>
      </c>
      <c r="OLW4765" s="34">
        <v>1</v>
      </c>
      <c r="OLX4765" s="34">
        <v>1.5</v>
      </c>
      <c r="OLY4765" s="34">
        <v>2</v>
      </c>
      <c r="OLZ4765" s="34">
        <v>2.5</v>
      </c>
      <c r="OMA4765" s="34">
        <v>3</v>
      </c>
      <c r="OMB4765" s="34">
        <v>3.5</v>
      </c>
      <c r="OMC4765" s="34">
        <v>4</v>
      </c>
      <c r="OMD4765" s="34">
        <v>4.5</v>
      </c>
      <c r="OME4765" s="34">
        <v>5</v>
      </c>
      <c r="OMG4765" s="913"/>
      <c r="OMH4765" s="31">
        <v>1</v>
      </c>
      <c r="OMI4765" s="34">
        <v>0</v>
      </c>
      <c r="OMJ4765" s="34">
        <v>-1</v>
      </c>
      <c r="OMK4765" s="34">
        <v>-2</v>
      </c>
      <c r="OML4765" s="34">
        <v>-3</v>
      </c>
      <c r="OMM4765" s="34">
        <v>-4</v>
      </c>
      <c r="OMN4765" s="34">
        <v>-5</v>
      </c>
      <c r="OMO4765" s="908"/>
      <c r="OMP4765" s="909"/>
      <c r="OMQ4765" s="34">
        <v>-5</v>
      </c>
      <c r="OMR4765" s="34">
        <v>-4.5</v>
      </c>
      <c r="OMS4765" s="34">
        <v>-4</v>
      </c>
      <c r="OMT4765" s="34">
        <v>-3.5</v>
      </c>
      <c r="OMU4765" s="34">
        <v>-3</v>
      </c>
      <c r="OMV4765" s="34">
        <v>-2.5</v>
      </c>
      <c r="OMW4765" s="34">
        <v>-2</v>
      </c>
      <c r="OMX4765" s="34">
        <v>-1.5</v>
      </c>
      <c r="OMY4765" s="34">
        <v>-1</v>
      </c>
      <c r="OMZ4765" s="34">
        <v>-0.5</v>
      </c>
      <c r="ONA4765" s="34">
        <v>0</v>
      </c>
      <c r="ONB4765" s="34">
        <v>0.5</v>
      </c>
      <c r="ONC4765" s="34">
        <v>1</v>
      </c>
      <c r="OND4765" s="34">
        <v>1.5</v>
      </c>
      <c r="ONE4765" s="34">
        <v>2</v>
      </c>
      <c r="ONF4765" s="34">
        <v>2.5</v>
      </c>
      <c r="ONG4765" s="34">
        <v>3</v>
      </c>
      <c r="ONH4765" s="34">
        <v>3.5</v>
      </c>
      <c r="ONI4765" s="34">
        <v>4</v>
      </c>
      <c r="ONJ4765" s="34">
        <v>4.5</v>
      </c>
      <c r="ONK4765" s="34">
        <v>5</v>
      </c>
      <c r="ONM4765" s="913"/>
      <c r="ONN4765" s="31">
        <v>1</v>
      </c>
      <c r="ONO4765" s="34">
        <v>0</v>
      </c>
      <c r="ONP4765" s="34">
        <v>-1</v>
      </c>
      <c r="ONQ4765" s="34">
        <v>-2</v>
      </c>
      <c r="ONR4765" s="34">
        <v>-3</v>
      </c>
      <c r="ONS4765" s="34">
        <v>-4</v>
      </c>
      <c r="ONT4765" s="34">
        <v>-5</v>
      </c>
      <c r="ONU4765" s="908"/>
      <c r="ONV4765" s="909"/>
      <c r="ONW4765" s="34">
        <v>-5</v>
      </c>
      <c r="ONX4765" s="34">
        <v>-4.5</v>
      </c>
      <c r="ONY4765" s="34">
        <v>-4</v>
      </c>
      <c r="ONZ4765" s="34">
        <v>-3.5</v>
      </c>
      <c r="OOA4765" s="34">
        <v>-3</v>
      </c>
      <c r="OOB4765" s="34">
        <v>-2.5</v>
      </c>
      <c r="OOC4765" s="34">
        <v>-2</v>
      </c>
      <c r="OOD4765" s="34">
        <v>-1.5</v>
      </c>
      <c r="OOE4765" s="34">
        <v>-1</v>
      </c>
      <c r="OOF4765" s="34">
        <v>-0.5</v>
      </c>
      <c r="OOG4765" s="34">
        <v>0</v>
      </c>
      <c r="OOH4765" s="34">
        <v>0.5</v>
      </c>
      <c r="OOI4765" s="34">
        <v>1</v>
      </c>
      <c r="OOJ4765" s="34">
        <v>1.5</v>
      </c>
      <c r="OOK4765" s="34">
        <v>2</v>
      </c>
      <c r="OOL4765" s="34">
        <v>2.5</v>
      </c>
      <c r="OOM4765" s="34">
        <v>3</v>
      </c>
      <c r="OON4765" s="34">
        <v>3.5</v>
      </c>
      <c r="OOO4765" s="34">
        <v>4</v>
      </c>
      <c r="OOP4765" s="34">
        <v>4.5</v>
      </c>
      <c r="OOQ4765" s="34">
        <v>5</v>
      </c>
      <c r="OOS4765" s="913"/>
      <c r="OOT4765" s="31">
        <v>1</v>
      </c>
      <c r="OOU4765" s="34">
        <v>0</v>
      </c>
      <c r="OOV4765" s="34">
        <v>-1</v>
      </c>
      <c r="OOW4765" s="34">
        <v>-2</v>
      </c>
      <c r="OOX4765" s="34">
        <v>-3</v>
      </c>
      <c r="OOY4765" s="34">
        <v>-4</v>
      </c>
      <c r="OOZ4765" s="34">
        <v>-5</v>
      </c>
      <c r="OPA4765" s="908"/>
      <c r="OPB4765" s="909"/>
      <c r="OPC4765" s="34">
        <v>-5</v>
      </c>
      <c r="OPD4765" s="34">
        <v>-4.5</v>
      </c>
      <c r="OPE4765" s="34">
        <v>-4</v>
      </c>
      <c r="OPF4765" s="34">
        <v>-3.5</v>
      </c>
      <c r="OPG4765" s="34">
        <v>-3</v>
      </c>
      <c r="OPH4765" s="34">
        <v>-2.5</v>
      </c>
      <c r="OPI4765" s="34">
        <v>-2</v>
      </c>
      <c r="OPJ4765" s="34">
        <v>-1.5</v>
      </c>
      <c r="OPK4765" s="34">
        <v>-1</v>
      </c>
      <c r="OPL4765" s="34">
        <v>-0.5</v>
      </c>
      <c r="OPM4765" s="34">
        <v>0</v>
      </c>
      <c r="OPN4765" s="34">
        <v>0.5</v>
      </c>
      <c r="OPO4765" s="34">
        <v>1</v>
      </c>
      <c r="OPP4765" s="34">
        <v>1.5</v>
      </c>
      <c r="OPQ4765" s="34">
        <v>2</v>
      </c>
      <c r="OPR4765" s="34">
        <v>2.5</v>
      </c>
      <c r="OPS4765" s="34">
        <v>3</v>
      </c>
      <c r="OPT4765" s="34">
        <v>3.5</v>
      </c>
      <c r="OPU4765" s="34">
        <v>4</v>
      </c>
      <c r="OPV4765" s="34">
        <v>4.5</v>
      </c>
      <c r="OPW4765" s="34">
        <v>5</v>
      </c>
      <c r="OPY4765" s="913"/>
      <c r="OPZ4765" s="31">
        <v>1</v>
      </c>
      <c r="OQA4765" s="34">
        <v>0</v>
      </c>
      <c r="OQB4765" s="34">
        <v>-1</v>
      </c>
      <c r="OQC4765" s="34">
        <v>-2</v>
      </c>
      <c r="OQD4765" s="34">
        <v>-3</v>
      </c>
      <c r="OQE4765" s="34">
        <v>-4</v>
      </c>
      <c r="OQF4765" s="34">
        <v>-5</v>
      </c>
      <c r="OQG4765" s="908"/>
      <c r="OQH4765" s="909"/>
      <c r="OQI4765" s="34">
        <v>-5</v>
      </c>
      <c r="OQJ4765" s="34">
        <v>-4.5</v>
      </c>
      <c r="OQK4765" s="34">
        <v>-4</v>
      </c>
      <c r="OQL4765" s="34">
        <v>-3.5</v>
      </c>
      <c r="OQM4765" s="34">
        <v>-3</v>
      </c>
      <c r="OQN4765" s="34">
        <v>-2.5</v>
      </c>
      <c r="OQO4765" s="34">
        <v>-2</v>
      </c>
      <c r="OQP4765" s="34">
        <v>-1.5</v>
      </c>
      <c r="OQQ4765" s="34">
        <v>-1</v>
      </c>
      <c r="OQR4765" s="34">
        <v>-0.5</v>
      </c>
      <c r="OQS4765" s="34">
        <v>0</v>
      </c>
      <c r="OQT4765" s="34">
        <v>0.5</v>
      </c>
      <c r="OQU4765" s="34">
        <v>1</v>
      </c>
      <c r="OQV4765" s="34">
        <v>1.5</v>
      </c>
      <c r="OQW4765" s="34">
        <v>2</v>
      </c>
      <c r="OQX4765" s="34">
        <v>2.5</v>
      </c>
      <c r="OQY4765" s="34">
        <v>3</v>
      </c>
      <c r="OQZ4765" s="34">
        <v>3.5</v>
      </c>
      <c r="ORA4765" s="34">
        <v>4</v>
      </c>
      <c r="ORB4765" s="34">
        <v>4.5</v>
      </c>
      <c r="ORC4765" s="34">
        <v>5</v>
      </c>
      <c r="ORE4765" s="913"/>
      <c r="ORF4765" s="31">
        <v>1</v>
      </c>
      <c r="ORG4765" s="34">
        <v>0</v>
      </c>
      <c r="ORH4765" s="34">
        <v>-1</v>
      </c>
      <c r="ORI4765" s="34">
        <v>-2</v>
      </c>
      <c r="ORJ4765" s="34">
        <v>-3</v>
      </c>
      <c r="ORK4765" s="34">
        <v>-4</v>
      </c>
      <c r="ORL4765" s="34">
        <v>-5</v>
      </c>
      <c r="ORM4765" s="908"/>
      <c r="ORN4765" s="909"/>
      <c r="ORO4765" s="34">
        <v>-5</v>
      </c>
      <c r="ORP4765" s="34">
        <v>-4.5</v>
      </c>
      <c r="ORQ4765" s="34">
        <v>-4</v>
      </c>
      <c r="ORR4765" s="34">
        <v>-3.5</v>
      </c>
      <c r="ORS4765" s="34">
        <v>-3</v>
      </c>
      <c r="ORT4765" s="34">
        <v>-2.5</v>
      </c>
      <c r="ORU4765" s="34">
        <v>-2</v>
      </c>
      <c r="ORV4765" s="34">
        <v>-1.5</v>
      </c>
      <c r="ORW4765" s="34">
        <v>-1</v>
      </c>
      <c r="ORX4765" s="34">
        <v>-0.5</v>
      </c>
      <c r="ORY4765" s="34">
        <v>0</v>
      </c>
      <c r="ORZ4765" s="34">
        <v>0.5</v>
      </c>
      <c r="OSA4765" s="34">
        <v>1</v>
      </c>
      <c r="OSB4765" s="34">
        <v>1.5</v>
      </c>
      <c r="OSC4765" s="34">
        <v>2</v>
      </c>
      <c r="OSD4765" s="34">
        <v>2.5</v>
      </c>
      <c r="OSE4765" s="34">
        <v>3</v>
      </c>
      <c r="OSF4765" s="34">
        <v>3.5</v>
      </c>
      <c r="OSG4765" s="34">
        <v>4</v>
      </c>
      <c r="OSH4765" s="34">
        <v>4.5</v>
      </c>
      <c r="OSI4765" s="34">
        <v>5</v>
      </c>
      <c r="OSK4765" s="913"/>
      <c r="OSL4765" s="31">
        <v>1</v>
      </c>
      <c r="OSM4765" s="34">
        <v>0</v>
      </c>
      <c r="OSN4765" s="34">
        <v>-1</v>
      </c>
      <c r="OSO4765" s="34">
        <v>-2</v>
      </c>
      <c r="OSP4765" s="34">
        <v>-3</v>
      </c>
      <c r="OSQ4765" s="34">
        <v>-4</v>
      </c>
      <c r="OSR4765" s="34">
        <v>-5</v>
      </c>
      <c r="OSS4765" s="908"/>
      <c r="OST4765" s="909"/>
      <c r="OSU4765" s="34">
        <v>-5</v>
      </c>
      <c r="OSV4765" s="34">
        <v>-4.5</v>
      </c>
      <c r="OSW4765" s="34">
        <v>-4</v>
      </c>
      <c r="OSX4765" s="34">
        <v>-3.5</v>
      </c>
      <c r="OSY4765" s="34">
        <v>-3</v>
      </c>
      <c r="OSZ4765" s="34">
        <v>-2.5</v>
      </c>
      <c r="OTA4765" s="34">
        <v>-2</v>
      </c>
      <c r="OTB4765" s="34">
        <v>-1.5</v>
      </c>
      <c r="OTC4765" s="34">
        <v>-1</v>
      </c>
      <c r="OTD4765" s="34">
        <v>-0.5</v>
      </c>
      <c r="OTE4765" s="34">
        <v>0</v>
      </c>
      <c r="OTF4765" s="34">
        <v>0.5</v>
      </c>
      <c r="OTG4765" s="34">
        <v>1</v>
      </c>
      <c r="OTH4765" s="34">
        <v>1.5</v>
      </c>
      <c r="OTI4765" s="34">
        <v>2</v>
      </c>
      <c r="OTJ4765" s="34">
        <v>2.5</v>
      </c>
      <c r="OTK4765" s="34">
        <v>3</v>
      </c>
      <c r="OTL4765" s="34">
        <v>3.5</v>
      </c>
      <c r="OTM4765" s="34">
        <v>4</v>
      </c>
      <c r="OTN4765" s="34">
        <v>4.5</v>
      </c>
      <c r="OTO4765" s="34">
        <v>5</v>
      </c>
      <c r="OTQ4765" s="913"/>
      <c r="OTR4765" s="31">
        <v>1</v>
      </c>
      <c r="OTS4765" s="34">
        <v>0</v>
      </c>
      <c r="OTT4765" s="34">
        <v>-1</v>
      </c>
      <c r="OTU4765" s="34">
        <v>-2</v>
      </c>
      <c r="OTV4765" s="34">
        <v>-3</v>
      </c>
      <c r="OTW4765" s="34">
        <v>-4</v>
      </c>
      <c r="OTX4765" s="34">
        <v>-5</v>
      </c>
      <c r="OTY4765" s="908"/>
      <c r="OTZ4765" s="909"/>
      <c r="OUA4765" s="34">
        <v>-5</v>
      </c>
      <c r="OUB4765" s="34">
        <v>-4.5</v>
      </c>
      <c r="OUC4765" s="34">
        <v>-4</v>
      </c>
      <c r="OUD4765" s="34">
        <v>-3.5</v>
      </c>
      <c r="OUE4765" s="34">
        <v>-3</v>
      </c>
      <c r="OUF4765" s="34">
        <v>-2.5</v>
      </c>
      <c r="OUG4765" s="34">
        <v>-2</v>
      </c>
      <c r="OUH4765" s="34">
        <v>-1.5</v>
      </c>
      <c r="OUI4765" s="34">
        <v>-1</v>
      </c>
      <c r="OUJ4765" s="34">
        <v>-0.5</v>
      </c>
      <c r="OUK4765" s="34">
        <v>0</v>
      </c>
      <c r="OUL4765" s="34">
        <v>0.5</v>
      </c>
      <c r="OUM4765" s="34">
        <v>1</v>
      </c>
      <c r="OUN4765" s="34">
        <v>1.5</v>
      </c>
      <c r="OUO4765" s="34">
        <v>2</v>
      </c>
      <c r="OUP4765" s="34">
        <v>2.5</v>
      </c>
      <c r="OUQ4765" s="34">
        <v>3</v>
      </c>
      <c r="OUR4765" s="34">
        <v>3.5</v>
      </c>
      <c r="OUS4765" s="34">
        <v>4</v>
      </c>
      <c r="OUT4765" s="34">
        <v>4.5</v>
      </c>
      <c r="OUU4765" s="34">
        <v>5</v>
      </c>
      <c r="OUW4765" s="913"/>
      <c r="OUX4765" s="31">
        <v>1</v>
      </c>
      <c r="OUY4765" s="34">
        <v>0</v>
      </c>
      <c r="OUZ4765" s="34">
        <v>-1</v>
      </c>
      <c r="OVA4765" s="34">
        <v>-2</v>
      </c>
      <c r="OVB4765" s="34">
        <v>-3</v>
      </c>
      <c r="OVC4765" s="34">
        <v>-4</v>
      </c>
      <c r="OVD4765" s="34">
        <v>-5</v>
      </c>
      <c r="OVE4765" s="908"/>
      <c r="OVF4765" s="909"/>
      <c r="OVG4765" s="34">
        <v>-5</v>
      </c>
      <c r="OVH4765" s="34">
        <v>-4.5</v>
      </c>
      <c r="OVI4765" s="34">
        <v>-4</v>
      </c>
      <c r="OVJ4765" s="34">
        <v>-3.5</v>
      </c>
      <c r="OVK4765" s="34">
        <v>-3</v>
      </c>
      <c r="OVL4765" s="34">
        <v>-2.5</v>
      </c>
      <c r="OVM4765" s="34">
        <v>-2</v>
      </c>
      <c r="OVN4765" s="34">
        <v>-1.5</v>
      </c>
      <c r="OVO4765" s="34">
        <v>-1</v>
      </c>
      <c r="OVP4765" s="34">
        <v>-0.5</v>
      </c>
      <c r="OVQ4765" s="34">
        <v>0</v>
      </c>
      <c r="OVR4765" s="34">
        <v>0.5</v>
      </c>
      <c r="OVS4765" s="34">
        <v>1</v>
      </c>
      <c r="OVT4765" s="34">
        <v>1.5</v>
      </c>
      <c r="OVU4765" s="34">
        <v>2</v>
      </c>
      <c r="OVV4765" s="34">
        <v>2.5</v>
      </c>
      <c r="OVW4765" s="34">
        <v>3</v>
      </c>
      <c r="OVX4765" s="34">
        <v>3.5</v>
      </c>
      <c r="OVY4765" s="34">
        <v>4</v>
      </c>
      <c r="OVZ4765" s="34">
        <v>4.5</v>
      </c>
      <c r="OWA4765" s="34">
        <v>5</v>
      </c>
      <c r="OWC4765" s="913"/>
      <c r="OWD4765" s="31">
        <v>1</v>
      </c>
      <c r="OWE4765" s="34">
        <v>0</v>
      </c>
      <c r="OWF4765" s="34">
        <v>-1</v>
      </c>
      <c r="OWG4765" s="34">
        <v>-2</v>
      </c>
      <c r="OWH4765" s="34">
        <v>-3</v>
      </c>
      <c r="OWI4765" s="34">
        <v>-4</v>
      </c>
      <c r="OWJ4765" s="34">
        <v>-5</v>
      </c>
      <c r="OWK4765" s="908"/>
      <c r="OWL4765" s="909"/>
      <c r="OWM4765" s="34">
        <v>-5</v>
      </c>
      <c r="OWN4765" s="34">
        <v>-4.5</v>
      </c>
      <c r="OWO4765" s="34">
        <v>-4</v>
      </c>
      <c r="OWP4765" s="34">
        <v>-3.5</v>
      </c>
      <c r="OWQ4765" s="34">
        <v>-3</v>
      </c>
      <c r="OWR4765" s="34">
        <v>-2.5</v>
      </c>
      <c r="OWS4765" s="34">
        <v>-2</v>
      </c>
      <c r="OWT4765" s="34">
        <v>-1.5</v>
      </c>
      <c r="OWU4765" s="34">
        <v>-1</v>
      </c>
      <c r="OWV4765" s="34">
        <v>-0.5</v>
      </c>
      <c r="OWW4765" s="34">
        <v>0</v>
      </c>
      <c r="OWX4765" s="34">
        <v>0.5</v>
      </c>
      <c r="OWY4765" s="34">
        <v>1</v>
      </c>
      <c r="OWZ4765" s="34">
        <v>1.5</v>
      </c>
      <c r="OXA4765" s="34">
        <v>2</v>
      </c>
      <c r="OXB4765" s="34">
        <v>2.5</v>
      </c>
      <c r="OXC4765" s="34">
        <v>3</v>
      </c>
      <c r="OXD4765" s="34">
        <v>3.5</v>
      </c>
      <c r="OXE4765" s="34">
        <v>4</v>
      </c>
      <c r="OXF4765" s="34">
        <v>4.5</v>
      </c>
      <c r="OXG4765" s="34">
        <v>5</v>
      </c>
      <c r="OXI4765" s="913"/>
      <c r="OXJ4765" s="31">
        <v>1</v>
      </c>
      <c r="OXK4765" s="34">
        <v>0</v>
      </c>
      <c r="OXL4765" s="34">
        <v>-1</v>
      </c>
      <c r="OXM4765" s="34">
        <v>-2</v>
      </c>
      <c r="OXN4765" s="34">
        <v>-3</v>
      </c>
      <c r="OXO4765" s="34">
        <v>-4</v>
      </c>
      <c r="OXP4765" s="34">
        <v>-5</v>
      </c>
      <c r="OXQ4765" s="908"/>
      <c r="OXR4765" s="909"/>
      <c r="OXS4765" s="34">
        <v>-5</v>
      </c>
      <c r="OXT4765" s="34">
        <v>-4.5</v>
      </c>
      <c r="OXU4765" s="34">
        <v>-4</v>
      </c>
      <c r="OXV4765" s="34">
        <v>-3.5</v>
      </c>
      <c r="OXW4765" s="34">
        <v>-3</v>
      </c>
      <c r="OXX4765" s="34">
        <v>-2.5</v>
      </c>
      <c r="OXY4765" s="34">
        <v>-2</v>
      </c>
      <c r="OXZ4765" s="34">
        <v>-1.5</v>
      </c>
      <c r="OYA4765" s="34">
        <v>-1</v>
      </c>
      <c r="OYB4765" s="34">
        <v>-0.5</v>
      </c>
      <c r="OYC4765" s="34">
        <v>0</v>
      </c>
      <c r="OYD4765" s="34">
        <v>0.5</v>
      </c>
      <c r="OYE4765" s="34">
        <v>1</v>
      </c>
      <c r="OYF4765" s="34">
        <v>1.5</v>
      </c>
      <c r="OYG4765" s="34">
        <v>2</v>
      </c>
      <c r="OYH4765" s="34">
        <v>2.5</v>
      </c>
      <c r="OYI4765" s="34">
        <v>3</v>
      </c>
      <c r="OYJ4765" s="34">
        <v>3.5</v>
      </c>
      <c r="OYK4765" s="34">
        <v>4</v>
      </c>
      <c r="OYL4765" s="34">
        <v>4.5</v>
      </c>
      <c r="OYM4765" s="34">
        <v>5</v>
      </c>
      <c r="OYO4765" s="913"/>
      <c r="OYP4765" s="31">
        <v>1</v>
      </c>
      <c r="OYQ4765" s="34">
        <v>0</v>
      </c>
      <c r="OYR4765" s="34">
        <v>-1</v>
      </c>
      <c r="OYS4765" s="34">
        <v>-2</v>
      </c>
      <c r="OYT4765" s="34">
        <v>-3</v>
      </c>
      <c r="OYU4765" s="34">
        <v>-4</v>
      </c>
      <c r="OYV4765" s="34">
        <v>-5</v>
      </c>
      <c r="OYW4765" s="908"/>
      <c r="OYX4765" s="909"/>
      <c r="OYY4765" s="34">
        <v>-5</v>
      </c>
      <c r="OYZ4765" s="34">
        <v>-4.5</v>
      </c>
      <c r="OZA4765" s="34">
        <v>-4</v>
      </c>
      <c r="OZB4765" s="34">
        <v>-3.5</v>
      </c>
      <c r="OZC4765" s="34">
        <v>-3</v>
      </c>
      <c r="OZD4765" s="34">
        <v>-2.5</v>
      </c>
      <c r="OZE4765" s="34">
        <v>-2</v>
      </c>
      <c r="OZF4765" s="34">
        <v>-1.5</v>
      </c>
      <c r="OZG4765" s="34">
        <v>-1</v>
      </c>
      <c r="OZH4765" s="34">
        <v>-0.5</v>
      </c>
      <c r="OZI4765" s="34">
        <v>0</v>
      </c>
      <c r="OZJ4765" s="34">
        <v>0.5</v>
      </c>
      <c r="OZK4765" s="34">
        <v>1</v>
      </c>
      <c r="OZL4765" s="34">
        <v>1.5</v>
      </c>
      <c r="OZM4765" s="34">
        <v>2</v>
      </c>
      <c r="OZN4765" s="34">
        <v>2.5</v>
      </c>
      <c r="OZO4765" s="34">
        <v>3</v>
      </c>
      <c r="OZP4765" s="34">
        <v>3.5</v>
      </c>
      <c r="OZQ4765" s="34">
        <v>4</v>
      </c>
      <c r="OZR4765" s="34">
        <v>4.5</v>
      </c>
      <c r="OZS4765" s="34">
        <v>5</v>
      </c>
      <c r="OZU4765" s="913"/>
      <c r="OZV4765" s="31">
        <v>1</v>
      </c>
      <c r="OZW4765" s="34">
        <v>0</v>
      </c>
      <c r="OZX4765" s="34">
        <v>-1</v>
      </c>
      <c r="OZY4765" s="34">
        <v>-2</v>
      </c>
      <c r="OZZ4765" s="34">
        <v>-3</v>
      </c>
      <c r="PAA4765" s="34">
        <v>-4</v>
      </c>
      <c r="PAB4765" s="34">
        <v>-5</v>
      </c>
      <c r="PAC4765" s="908"/>
      <c r="PAD4765" s="909"/>
      <c r="PAE4765" s="34">
        <v>-5</v>
      </c>
      <c r="PAF4765" s="34">
        <v>-4.5</v>
      </c>
      <c r="PAG4765" s="34">
        <v>-4</v>
      </c>
      <c r="PAH4765" s="34">
        <v>-3.5</v>
      </c>
      <c r="PAI4765" s="34">
        <v>-3</v>
      </c>
      <c r="PAJ4765" s="34">
        <v>-2.5</v>
      </c>
      <c r="PAK4765" s="34">
        <v>-2</v>
      </c>
      <c r="PAL4765" s="34">
        <v>-1.5</v>
      </c>
      <c r="PAM4765" s="34">
        <v>-1</v>
      </c>
      <c r="PAN4765" s="34">
        <v>-0.5</v>
      </c>
      <c r="PAO4765" s="34">
        <v>0</v>
      </c>
      <c r="PAP4765" s="34">
        <v>0.5</v>
      </c>
      <c r="PAQ4765" s="34">
        <v>1</v>
      </c>
      <c r="PAR4765" s="34">
        <v>1.5</v>
      </c>
      <c r="PAS4765" s="34">
        <v>2</v>
      </c>
      <c r="PAT4765" s="34">
        <v>2.5</v>
      </c>
      <c r="PAU4765" s="34">
        <v>3</v>
      </c>
      <c r="PAV4765" s="34">
        <v>3.5</v>
      </c>
      <c r="PAW4765" s="34">
        <v>4</v>
      </c>
      <c r="PAX4765" s="34">
        <v>4.5</v>
      </c>
      <c r="PAY4765" s="34">
        <v>5</v>
      </c>
      <c r="PBA4765" s="913"/>
      <c r="PBB4765" s="31">
        <v>1</v>
      </c>
      <c r="PBC4765" s="34">
        <v>0</v>
      </c>
      <c r="PBD4765" s="34">
        <v>-1</v>
      </c>
      <c r="PBE4765" s="34">
        <v>-2</v>
      </c>
      <c r="PBF4765" s="34">
        <v>-3</v>
      </c>
      <c r="PBG4765" s="34">
        <v>-4</v>
      </c>
      <c r="PBH4765" s="34">
        <v>-5</v>
      </c>
      <c r="PBI4765" s="908"/>
      <c r="PBJ4765" s="909"/>
      <c r="PBK4765" s="34">
        <v>-5</v>
      </c>
      <c r="PBL4765" s="34">
        <v>-4.5</v>
      </c>
      <c r="PBM4765" s="34">
        <v>-4</v>
      </c>
      <c r="PBN4765" s="34">
        <v>-3.5</v>
      </c>
      <c r="PBO4765" s="34">
        <v>-3</v>
      </c>
      <c r="PBP4765" s="34">
        <v>-2.5</v>
      </c>
      <c r="PBQ4765" s="34">
        <v>-2</v>
      </c>
      <c r="PBR4765" s="34">
        <v>-1.5</v>
      </c>
      <c r="PBS4765" s="34">
        <v>-1</v>
      </c>
      <c r="PBT4765" s="34">
        <v>-0.5</v>
      </c>
      <c r="PBU4765" s="34">
        <v>0</v>
      </c>
      <c r="PBV4765" s="34">
        <v>0.5</v>
      </c>
      <c r="PBW4765" s="34">
        <v>1</v>
      </c>
      <c r="PBX4765" s="34">
        <v>1.5</v>
      </c>
      <c r="PBY4765" s="34">
        <v>2</v>
      </c>
      <c r="PBZ4765" s="34">
        <v>2.5</v>
      </c>
      <c r="PCA4765" s="34">
        <v>3</v>
      </c>
      <c r="PCB4765" s="34">
        <v>3.5</v>
      </c>
      <c r="PCC4765" s="34">
        <v>4</v>
      </c>
      <c r="PCD4765" s="34">
        <v>4.5</v>
      </c>
      <c r="PCE4765" s="34">
        <v>5</v>
      </c>
      <c r="PCG4765" s="913"/>
      <c r="PCH4765" s="31">
        <v>1</v>
      </c>
      <c r="PCI4765" s="34">
        <v>0</v>
      </c>
      <c r="PCJ4765" s="34">
        <v>-1</v>
      </c>
      <c r="PCK4765" s="34">
        <v>-2</v>
      </c>
      <c r="PCL4765" s="34">
        <v>-3</v>
      </c>
      <c r="PCM4765" s="34">
        <v>-4</v>
      </c>
      <c r="PCN4765" s="34">
        <v>-5</v>
      </c>
      <c r="PCO4765" s="908"/>
      <c r="PCP4765" s="909"/>
      <c r="PCQ4765" s="34">
        <v>-5</v>
      </c>
      <c r="PCR4765" s="34">
        <v>-4.5</v>
      </c>
      <c r="PCS4765" s="34">
        <v>-4</v>
      </c>
      <c r="PCT4765" s="34">
        <v>-3.5</v>
      </c>
      <c r="PCU4765" s="34">
        <v>-3</v>
      </c>
      <c r="PCV4765" s="34">
        <v>-2.5</v>
      </c>
      <c r="PCW4765" s="34">
        <v>-2</v>
      </c>
      <c r="PCX4765" s="34">
        <v>-1.5</v>
      </c>
      <c r="PCY4765" s="34">
        <v>-1</v>
      </c>
      <c r="PCZ4765" s="34">
        <v>-0.5</v>
      </c>
      <c r="PDA4765" s="34">
        <v>0</v>
      </c>
      <c r="PDB4765" s="34">
        <v>0.5</v>
      </c>
      <c r="PDC4765" s="34">
        <v>1</v>
      </c>
      <c r="PDD4765" s="34">
        <v>1.5</v>
      </c>
      <c r="PDE4765" s="34">
        <v>2</v>
      </c>
      <c r="PDF4765" s="34">
        <v>2.5</v>
      </c>
      <c r="PDG4765" s="34">
        <v>3</v>
      </c>
      <c r="PDH4765" s="34">
        <v>3.5</v>
      </c>
      <c r="PDI4765" s="34">
        <v>4</v>
      </c>
      <c r="PDJ4765" s="34">
        <v>4.5</v>
      </c>
      <c r="PDK4765" s="34">
        <v>5</v>
      </c>
      <c r="PDM4765" s="913"/>
      <c r="PDN4765" s="31">
        <v>1</v>
      </c>
      <c r="PDO4765" s="34">
        <v>0</v>
      </c>
      <c r="PDP4765" s="34">
        <v>-1</v>
      </c>
      <c r="PDQ4765" s="34">
        <v>-2</v>
      </c>
      <c r="PDR4765" s="34">
        <v>-3</v>
      </c>
      <c r="PDS4765" s="34">
        <v>-4</v>
      </c>
      <c r="PDT4765" s="34">
        <v>-5</v>
      </c>
      <c r="PDU4765" s="908"/>
      <c r="PDV4765" s="909"/>
      <c r="PDW4765" s="34">
        <v>-5</v>
      </c>
      <c r="PDX4765" s="34">
        <v>-4.5</v>
      </c>
      <c r="PDY4765" s="34">
        <v>-4</v>
      </c>
      <c r="PDZ4765" s="34">
        <v>-3.5</v>
      </c>
      <c r="PEA4765" s="34">
        <v>-3</v>
      </c>
      <c r="PEB4765" s="34">
        <v>-2.5</v>
      </c>
      <c r="PEC4765" s="34">
        <v>-2</v>
      </c>
      <c r="PED4765" s="34">
        <v>-1.5</v>
      </c>
      <c r="PEE4765" s="34">
        <v>-1</v>
      </c>
      <c r="PEF4765" s="34">
        <v>-0.5</v>
      </c>
      <c r="PEG4765" s="34">
        <v>0</v>
      </c>
      <c r="PEH4765" s="34">
        <v>0.5</v>
      </c>
      <c r="PEI4765" s="34">
        <v>1</v>
      </c>
      <c r="PEJ4765" s="34">
        <v>1.5</v>
      </c>
      <c r="PEK4765" s="34">
        <v>2</v>
      </c>
      <c r="PEL4765" s="34">
        <v>2.5</v>
      </c>
      <c r="PEM4765" s="34">
        <v>3</v>
      </c>
      <c r="PEN4765" s="34">
        <v>3.5</v>
      </c>
      <c r="PEO4765" s="34">
        <v>4</v>
      </c>
      <c r="PEP4765" s="34">
        <v>4.5</v>
      </c>
      <c r="PEQ4765" s="34">
        <v>5</v>
      </c>
      <c r="PES4765" s="913"/>
      <c r="PET4765" s="31">
        <v>1</v>
      </c>
      <c r="PEU4765" s="34">
        <v>0</v>
      </c>
      <c r="PEV4765" s="34">
        <v>-1</v>
      </c>
      <c r="PEW4765" s="34">
        <v>-2</v>
      </c>
      <c r="PEX4765" s="34">
        <v>-3</v>
      </c>
      <c r="PEY4765" s="34">
        <v>-4</v>
      </c>
      <c r="PEZ4765" s="34">
        <v>-5</v>
      </c>
      <c r="PFA4765" s="908"/>
      <c r="PFB4765" s="909"/>
      <c r="PFC4765" s="34">
        <v>-5</v>
      </c>
      <c r="PFD4765" s="34">
        <v>-4.5</v>
      </c>
      <c r="PFE4765" s="34">
        <v>-4</v>
      </c>
      <c r="PFF4765" s="34">
        <v>-3.5</v>
      </c>
      <c r="PFG4765" s="34">
        <v>-3</v>
      </c>
      <c r="PFH4765" s="34">
        <v>-2.5</v>
      </c>
      <c r="PFI4765" s="34">
        <v>-2</v>
      </c>
      <c r="PFJ4765" s="34">
        <v>-1.5</v>
      </c>
      <c r="PFK4765" s="34">
        <v>-1</v>
      </c>
      <c r="PFL4765" s="34">
        <v>-0.5</v>
      </c>
      <c r="PFM4765" s="34">
        <v>0</v>
      </c>
      <c r="PFN4765" s="34">
        <v>0.5</v>
      </c>
      <c r="PFO4765" s="34">
        <v>1</v>
      </c>
      <c r="PFP4765" s="34">
        <v>1.5</v>
      </c>
      <c r="PFQ4765" s="34">
        <v>2</v>
      </c>
      <c r="PFR4765" s="34">
        <v>2.5</v>
      </c>
      <c r="PFS4765" s="34">
        <v>3</v>
      </c>
      <c r="PFT4765" s="34">
        <v>3.5</v>
      </c>
      <c r="PFU4765" s="34">
        <v>4</v>
      </c>
      <c r="PFV4765" s="34">
        <v>4.5</v>
      </c>
      <c r="PFW4765" s="34">
        <v>5</v>
      </c>
      <c r="PFY4765" s="913"/>
      <c r="PFZ4765" s="31">
        <v>1</v>
      </c>
      <c r="PGA4765" s="34">
        <v>0</v>
      </c>
      <c r="PGB4765" s="34">
        <v>-1</v>
      </c>
      <c r="PGC4765" s="34">
        <v>-2</v>
      </c>
      <c r="PGD4765" s="34">
        <v>-3</v>
      </c>
      <c r="PGE4765" s="34">
        <v>-4</v>
      </c>
      <c r="PGF4765" s="34">
        <v>-5</v>
      </c>
      <c r="PGG4765" s="908"/>
      <c r="PGH4765" s="909"/>
      <c r="PGI4765" s="34">
        <v>-5</v>
      </c>
      <c r="PGJ4765" s="34">
        <v>-4.5</v>
      </c>
      <c r="PGK4765" s="34">
        <v>-4</v>
      </c>
      <c r="PGL4765" s="34">
        <v>-3.5</v>
      </c>
      <c r="PGM4765" s="34">
        <v>-3</v>
      </c>
      <c r="PGN4765" s="34">
        <v>-2.5</v>
      </c>
      <c r="PGO4765" s="34">
        <v>-2</v>
      </c>
      <c r="PGP4765" s="34">
        <v>-1.5</v>
      </c>
      <c r="PGQ4765" s="34">
        <v>-1</v>
      </c>
      <c r="PGR4765" s="34">
        <v>-0.5</v>
      </c>
      <c r="PGS4765" s="34">
        <v>0</v>
      </c>
      <c r="PGT4765" s="34">
        <v>0.5</v>
      </c>
      <c r="PGU4765" s="34">
        <v>1</v>
      </c>
      <c r="PGV4765" s="34">
        <v>1.5</v>
      </c>
      <c r="PGW4765" s="34">
        <v>2</v>
      </c>
      <c r="PGX4765" s="34">
        <v>2.5</v>
      </c>
      <c r="PGY4765" s="34">
        <v>3</v>
      </c>
      <c r="PGZ4765" s="34">
        <v>3.5</v>
      </c>
      <c r="PHA4765" s="34">
        <v>4</v>
      </c>
      <c r="PHB4765" s="34">
        <v>4.5</v>
      </c>
      <c r="PHC4765" s="34">
        <v>5</v>
      </c>
      <c r="PHE4765" s="913"/>
      <c r="PHF4765" s="31">
        <v>1</v>
      </c>
      <c r="PHG4765" s="34">
        <v>0</v>
      </c>
      <c r="PHH4765" s="34">
        <v>-1</v>
      </c>
      <c r="PHI4765" s="34">
        <v>-2</v>
      </c>
      <c r="PHJ4765" s="34">
        <v>-3</v>
      </c>
      <c r="PHK4765" s="34">
        <v>-4</v>
      </c>
      <c r="PHL4765" s="34">
        <v>-5</v>
      </c>
      <c r="PHM4765" s="908"/>
      <c r="PHN4765" s="909"/>
      <c r="PHO4765" s="34">
        <v>-5</v>
      </c>
      <c r="PHP4765" s="34">
        <v>-4.5</v>
      </c>
      <c r="PHQ4765" s="34">
        <v>-4</v>
      </c>
      <c r="PHR4765" s="34">
        <v>-3.5</v>
      </c>
      <c r="PHS4765" s="34">
        <v>-3</v>
      </c>
      <c r="PHT4765" s="34">
        <v>-2.5</v>
      </c>
      <c r="PHU4765" s="34">
        <v>-2</v>
      </c>
      <c r="PHV4765" s="34">
        <v>-1.5</v>
      </c>
      <c r="PHW4765" s="34">
        <v>-1</v>
      </c>
      <c r="PHX4765" s="34">
        <v>-0.5</v>
      </c>
      <c r="PHY4765" s="34">
        <v>0</v>
      </c>
      <c r="PHZ4765" s="34">
        <v>0.5</v>
      </c>
      <c r="PIA4765" s="34">
        <v>1</v>
      </c>
      <c r="PIB4765" s="34">
        <v>1.5</v>
      </c>
      <c r="PIC4765" s="34">
        <v>2</v>
      </c>
      <c r="PID4765" s="34">
        <v>2.5</v>
      </c>
      <c r="PIE4765" s="34">
        <v>3</v>
      </c>
      <c r="PIF4765" s="34">
        <v>3.5</v>
      </c>
      <c r="PIG4765" s="34">
        <v>4</v>
      </c>
      <c r="PIH4765" s="34">
        <v>4.5</v>
      </c>
      <c r="PII4765" s="34">
        <v>5</v>
      </c>
      <c r="PIK4765" s="913"/>
      <c r="PIL4765" s="31">
        <v>1</v>
      </c>
      <c r="PIM4765" s="34">
        <v>0</v>
      </c>
      <c r="PIN4765" s="34">
        <v>-1</v>
      </c>
      <c r="PIO4765" s="34">
        <v>-2</v>
      </c>
      <c r="PIP4765" s="34">
        <v>-3</v>
      </c>
      <c r="PIQ4765" s="34">
        <v>-4</v>
      </c>
      <c r="PIR4765" s="34">
        <v>-5</v>
      </c>
      <c r="PIS4765" s="908"/>
      <c r="PIT4765" s="909"/>
      <c r="PIU4765" s="34">
        <v>-5</v>
      </c>
      <c r="PIV4765" s="34">
        <v>-4.5</v>
      </c>
      <c r="PIW4765" s="34">
        <v>-4</v>
      </c>
      <c r="PIX4765" s="34">
        <v>-3.5</v>
      </c>
      <c r="PIY4765" s="34">
        <v>-3</v>
      </c>
      <c r="PIZ4765" s="34">
        <v>-2.5</v>
      </c>
      <c r="PJA4765" s="34">
        <v>-2</v>
      </c>
      <c r="PJB4765" s="34">
        <v>-1.5</v>
      </c>
      <c r="PJC4765" s="34">
        <v>-1</v>
      </c>
      <c r="PJD4765" s="34">
        <v>-0.5</v>
      </c>
      <c r="PJE4765" s="34">
        <v>0</v>
      </c>
      <c r="PJF4765" s="34">
        <v>0.5</v>
      </c>
      <c r="PJG4765" s="34">
        <v>1</v>
      </c>
      <c r="PJH4765" s="34">
        <v>1.5</v>
      </c>
      <c r="PJI4765" s="34">
        <v>2</v>
      </c>
      <c r="PJJ4765" s="34">
        <v>2.5</v>
      </c>
      <c r="PJK4765" s="34">
        <v>3</v>
      </c>
      <c r="PJL4765" s="34">
        <v>3.5</v>
      </c>
      <c r="PJM4765" s="34">
        <v>4</v>
      </c>
      <c r="PJN4765" s="34">
        <v>4.5</v>
      </c>
      <c r="PJO4765" s="34">
        <v>5</v>
      </c>
      <c r="PJQ4765" s="913"/>
      <c r="PJR4765" s="31">
        <v>1</v>
      </c>
      <c r="PJS4765" s="34">
        <v>0</v>
      </c>
      <c r="PJT4765" s="34">
        <v>-1</v>
      </c>
      <c r="PJU4765" s="34">
        <v>-2</v>
      </c>
      <c r="PJV4765" s="34">
        <v>-3</v>
      </c>
      <c r="PJW4765" s="34">
        <v>-4</v>
      </c>
      <c r="PJX4765" s="34">
        <v>-5</v>
      </c>
      <c r="PJY4765" s="908"/>
      <c r="PJZ4765" s="909"/>
      <c r="PKA4765" s="34">
        <v>-5</v>
      </c>
      <c r="PKB4765" s="34">
        <v>-4.5</v>
      </c>
      <c r="PKC4765" s="34">
        <v>-4</v>
      </c>
      <c r="PKD4765" s="34">
        <v>-3.5</v>
      </c>
      <c r="PKE4765" s="34">
        <v>-3</v>
      </c>
      <c r="PKF4765" s="34">
        <v>-2.5</v>
      </c>
      <c r="PKG4765" s="34">
        <v>-2</v>
      </c>
      <c r="PKH4765" s="34">
        <v>-1.5</v>
      </c>
      <c r="PKI4765" s="34">
        <v>-1</v>
      </c>
      <c r="PKJ4765" s="34">
        <v>-0.5</v>
      </c>
      <c r="PKK4765" s="34">
        <v>0</v>
      </c>
      <c r="PKL4765" s="34">
        <v>0.5</v>
      </c>
      <c r="PKM4765" s="34">
        <v>1</v>
      </c>
      <c r="PKN4765" s="34">
        <v>1.5</v>
      </c>
      <c r="PKO4765" s="34">
        <v>2</v>
      </c>
      <c r="PKP4765" s="34">
        <v>2.5</v>
      </c>
      <c r="PKQ4765" s="34">
        <v>3</v>
      </c>
      <c r="PKR4765" s="34">
        <v>3.5</v>
      </c>
      <c r="PKS4765" s="34">
        <v>4</v>
      </c>
      <c r="PKT4765" s="34">
        <v>4.5</v>
      </c>
      <c r="PKU4765" s="34">
        <v>5</v>
      </c>
      <c r="PKW4765" s="913"/>
      <c r="PKX4765" s="31">
        <v>1</v>
      </c>
      <c r="PKY4765" s="34">
        <v>0</v>
      </c>
      <c r="PKZ4765" s="34">
        <v>-1</v>
      </c>
      <c r="PLA4765" s="34">
        <v>-2</v>
      </c>
      <c r="PLB4765" s="34">
        <v>-3</v>
      </c>
      <c r="PLC4765" s="34">
        <v>-4</v>
      </c>
      <c r="PLD4765" s="34">
        <v>-5</v>
      </c>
      <c r="PLE4765" s="908"/>
      <c r="PLF4765" s="909"/>
      <c r="PLG4765" s="34">
        <v>-5</v>
      </c>
      <c r="PLH4765" s="34">
        <v>-4.5</v>
      </c>
      <c r="PLI4765" s="34">
        <v>-4</v>
      </c>
      <c r="PLJ4765" s="34">
        <v>-3.5</v>
      </c>
      <c r="PLK4765" s="34">
        <v>-3</v>
      </c>
      <c r="PLL4765" s="34">
        <v>-2.5</v>
      </c>
      <c r="PLM4765" s="34">
        <v>-2</v>
      </c>
      <c r="PLN4765" s="34">
        <v>-1.5</v>
      </c>
      <c r="PLO4765" s="34">
        <v>-1</v>
      </c>
      <c r="PLP4765" s="34">
        <v>-0.5</v>
      </c>
      <c r="PLQ4765" s="34">
        <v>0</v>
      </c>
      <c r="PLR4765" s="34">
        <v>0.5</v>
      </c>
      <c r="PLS4765" s="34">
        <v>1</v>
      </c>
      <c r="PLT4765" s="34">
        <v>1.5</v>
      </c>
      <c r="PLU4765" s="34">
        <v>2</v>
      </c>
      <c r="PLV4765" s="34">
        <v>2.5</v>
      </c>
      <c r="PLW4765" s="34">
        <v>3</v>
      </c>
      <c r="PLX4765" s="34">
        <v>3.5</v>
      </c>
      <c r="PLY4765" s="34">
        <v>4</v>
      </c>
      <c r="PLZ4765" s="34">
        <v>4.5</v>
      </c>
      <c r="PMA4765" s="34">
        <v>5</v>
      </c>
      <c r="PMC4765" s="913"/>
      <c r="PMD4765" s="31">
        <v>1</v>
      </c>
      <c r="PME4765" s="34">
        <v>0</v>
      </c>
      <c r="PMF4765" s="34">
        <v>-1</v>
      </c>
      <c r="PMG4765" s="34">
        <v>-2</v>
      </c>
      <c r="PMH4765" s="34">
        <v>-3</v>
      </c>
      <c r="PMI4765" s="34">
        <v>-4</v>
      </c>
      <c r="PMJ4765" s="34">
        <v>-5</v>
      </c>
      <c r="PMK4765" s="908"/>
      <c r="PML4765" s="909"/>
      <c r="PMM4765" s="34">
        <v>-5</v>
      </c>
      <c r="PMN4765" s="34">
        <v>-4.5</v>
      </c>
      <c r="PMO4765" s="34">
        <v>-4</v>
      </c>
      <c r="PMP4765" s="34">
        <v>-3.5</v>
      </c>
      <c r="PMQ4765" s="34">
        <v>-3</v>
      </c>
      <c r="PMR4765" s="34">
        <v>-2.5</v>
      </c>
      <c r="PMS4765" s="34">
        <v>-2</v>
      </c>
      <c r="PMT4765" s="34">
        <v>-1.5</v>
      </c>
      <c r="PMU4765" s="34">
        <v>-1</v>
      </c>
      <c r="PMV4765" s="34">
        <v>-0.5</v>
      </c>
      <c r="PMW4765" s="34">
        <v>0</v>
      </c>
      <c r="PMX4765" s="34">
        <v>0.5</v>
      </c>
      <c r="PMY4765" s="34">
        <v>1</v>
      </c>
      <c r="PMZ4765" s="34">
        <v>1.5</v>
      </c>
      <c r="PNA4765" s="34">
        <v>2</v>
      </c>
      <c r="PNB4765" s="34">
        <v>2.5</v>
      </c>
      <c r="PNC4765" s="34">
        <v>3</v>
      </c>
      <c r="PND4765" s="34">
        <v>3.5</v>
      </c>
      <c r="PNE4765" s="34">
        <v>4</v>
      </c>
      <c r="PNF4765" s="34">
        <v>4.5</v>
      </c>
      <c r="PNG4765" s="34">
        <v>5</v>
      </c>
      <c r="PNI4765" s="913"/>
      <c r="PNJ4765" s="31">
        <v>1</v>
      </c>
      <c r="PNK4765" s="34">
        <v>0</v>
      </c>
      <c r="PNL4765" s="34">
        <v>-1</v>
      </c>
      <c r="PNM4765" s="34">
        <v>-2</v>
      </c>
      <c r="PNN4765" s="34">
        <v>-3</v>
      </c>
      <c r="PNO4765" s="34">
        <v>-4</v>
      </c>
      <c r="PNP4765" s="34">
        <v>-5</v>
      </c>
      <c r="PNQ4765" s="908"/>
      <c r="PNR4765" s="909"/>
      <c r="PNS4765" s="34">
        <v>-5</v>
      </c>
      <c r="PNT4765" s="34">
        <v>-4.5</v>
      </c>
      <c r="PNU4765" s="34">
        <v>-4</v>
      </c>
      <c r="PNV4765" s="34">
        <v>-3.5</v>
      </c>
      <c r="PNW4765" s="34">
        <v>-3</v>
      </c>
      <c r="PNX4765" s="34">
        <v>-2.5</v>
      </c>
      <c r="PNY4765" s="34">
        <v>-2</v>
      </c>
      <c r="PNZ4765" s="34">
        <v>-1.5</v>
      </c>
      <c r="POA4765" s="34">
        <v>-1</v>
      </c>
      <c r="POB4765" s="34">
        <v>-0.5</v>
      </c>
      <c r="POC4765" s="34">
        <v>0</v>
      </c>
      <c r="POD4765" s="34">
        <v>0.5</v>
      </c>
      <c r="POE4765" s="34">
        <v>1</v>
      </c>
      <c r="POF4765" s="34">
        <v>1.5</v>
      </c>
      <c r="POG4765" s="34">
        <v>2</v>
      </c>
      <c r="POH4765" s="34">
        <v>2.5</v>
      </c>
      <c r="POI4765" s="34">
        <v>3</v>
      </c>
      <c r="POJ4765" s="34">
        <v>3.5</v>
      </c>
      <c r="POK4765" s="34">
        <v>4</v>
      </c>
      <c r="POL4765" s="34">
        <v>4.5</v>
      </c>
      <c r="POM4765" s="34">
        <v>5</v>
      </c>
      <c r="POO4765" s="913"/>
      <c r="POP4765" s="31">
        <v>1</v>
      </c>
      <c r="POQ4765" s="34">
        <v>0</v>
      </c>
      <c r="POR4765" s="34">
        <v>-1</v>
      </c>
      <c r="POS4765" s="34">
        <v>-2</v>
      </c>
      <c r="POT4765" s="34">
        <v>-3</v>
      </c>
      <c r="POU4765" s="34">
        <v>-4</v>
      </c>
      <c r="POV4765" s="34">
        <v>-5</v>
      </c>
      <c r="POW4765" s="908"/>
      <c r="POX4765" s="909"/>
      <c r="POY4765" s="34">
        <v>-5</v>
      </c>
      <c r="POZ4765" s="34">
        <v>-4.5</v>
      </c>
      <c r="PPA4765" s="34">
        <v>-4</v>
      </c>
      <c r="PPB4765" s="34">
        <v>-3.5</v>
      </c>
      <c r="PPC4765" s="34">
        <v>-3</v>
      </c>
      <c r="PPD4765" s="34">
        <v>-2.5</v>
      </c>
      <c r="PPE4765" s="34">
        <v>-2</v>
      </c>
      <c r="PPF4765" s="34">
        <v>-1.5</v>
      </c>
      <c r="PPG4765" s="34">
        <v>-1</v>
      </c>
      <c r="PPH4765" s="34">
        <v>-0.5</v>
      </c>
      <c r="PPI4765" s="34">
        <v>0</v>
      </c>
      <c r="PPJ4765" s="34">
        <v>0.5</v>
      </c>
      <c r="PPK4765" s="34">
        <v>1</v>
      </c>
      <c r="PPL4765" s="34">
        <v>1.5</v>
      </c>
      <c r="PPM4765" s="34">
        <v>2</v>
      </c>
      <c r="PPN4765" s="34">
        <v>2.5</v>
      </c>
      <c r="PPO4765" s="34">
        <v>3</v>
      </c>
      <c r="PPP4765" s="34">
        <v>3.5</v>
      </c>
      <c r="PPQ4765" s="34">
        <v>4</v>
      </c>
      <c r="PPR4765" s="34">
        <v>4.5</v>
      </c>
      <c r="PPS4765" s="34">
        <v>5</v>
      </c>
      <c r="PPU4765" s="913"/>
      <c r="PPV4765" s="31">
        <v>1</v>
      </c>
      <c r="PPW4765" s="34">
        <v>0</v>
      </c>
      <c r="PPX4765" s="34">
        <v>-1</v>
      </c>
      <c r="PPY4765" s="34">
        <v>-2</v>
      </c>
      <c r="PPZ4765" s="34">
        <v>-3</v>
      </c>
      <c r="PQA4765" s="34">
        <v>-4</v>
      </c>
      <c r="PQB4765" s="34">
        <v>-5</v>
      </c>
      <c r="PQC4765" s="908"/>
      <c r="PQD4765" s="909"/>
      <c r="PQE4765" s="34">
        <v>-5</v>
      </c>
      <c r="PQF4765" s="34">
        <v>-4.5</v>
      </c>
      <c r="PQG4765" s="34">
        <v>-4</v>
      </c>
      <c r="PQH4765" s="34">
        <v>-3.5</v>
      </c>
      <c r="PQI4765" s="34">
        <v>-3</v>
      </c>
      <c r="PQJ4765" s="34">
        <v>-2.5</v>
      </c>
      <c r="PQK4765" s="34">
        <v>-2</v>
      </c>
      <c r="PQL4765" s="34">
        <v>-1.5</v>
      </c>
      <c r="PQM4765" s="34">
        <v>-1</v>
      </c>
      <c r="PQN4765" s="34">
        <v>-0.5</v>
      </c>
      <c r="PQO4765" s="34">
        <v>0</v>
      </c>
      <c r="PQP4765" s="34">
        <v>0.5</v>
      </c>
      <c r="PQQ4765" s="34">
        <v>1</v>
      </c>
      <c r="PQR4765" s="34">
        <v>1.5</v>
      </c>
      <c r="PQS4765" s="34">
        <v>2</v>
      </c>
      <c r="PQT4765" s="34">
        <v>2.5</v>
      </c>
      <c r="PQU4765" s="34">
        <v>3</v>
      </c>
      <c r="PQV4765" s="34">
        <v>3.5</v>
      </c>
      <c r="PQW4765" s="34">
        <v>4</v>
      </c>
      <c r="PQX4765" s="34">
        <v>4.5</v>
      </c>
      <c r="PQY4765" s="34">
        <v>5</v>
      </c>
      <c r="PRA4765" s="913"/>
      <c r="PRB4765" s="31">
        <v>1</v>
      </c>
      <c r="PRC4765" s="34">
        <v>0</v>
      </c>
      <c r="PRD4765" s="34">
        <v>-1</v>
      </c>
      <c r="PRE4765" s="34">
        <v>-2</v>
      </c>
      <c r="PRF4765" s="34">
        <v>-3</v>
      </c>
      <c r="PRG4765" s="34">
        <v>-4</v>
      </c>
      <c r="PRH4765" s="34">
        <v>-5</v>
      </c>
      <c r="PRI4765" s="908"/>
      <c r="PRJ4765" s="909"/>
      <c r="PRK4765" s="34">
        <v>-5</v>
      </c>
      <c r="PRL4765" s="34">
        <v>-4.5</v>
      </c>
      <c r="PRM4765" s="34">
        <v>-4</v>
      </c>
      <c r="PRN4765" s="34">
        <v>-3.5</v>
      </c>
      <c r="PRO4765" s="34">
        <v>-3</v>
      </c>
      <c r="PRP4765" s="34">
        <v>-2.5</v>
      </c>
      <c r="PRQ4765" s="34">
        <v>-2</v>
      </c>
      <c r="PRR4765" s="34">
        <v>-1.5</v>
      </c>
      <c r="PRS4765" s="34">
        <v>-1</v>
      </c>
      <c r="PRT4765" s="34">
        <v>-0.5</v>
      </c>
      <c r="PRU4765" s="34">
        <v>0</v>
      </c>
      <c r="PRV4765" s="34">
        <v>0.5</v>
      </c>
      <c r="PRW4765" s="34">
        <v>1</v>
      </c>
      <c r="PRX4765" s="34">
        <v>1.5</v>
      </c>
      <c r="PRY4765" s="34">
        <v>2</v>
      </c>
      <c r="PRZ4765" s="34">
        <v>2.5</v>
      </c>
      <c r="PSA4765" s="34">
        <v>3</v>
      </c>
      <c r="PSB4765" s="34">
        <v>3.5</v>
      </c>
      <c r="PSC4765" s="34">
        <v>4</v>
      </c>
      <c r="PSD4765" s="34">
        <v>4.5</v>
      </c>
      <c r="PSE4765" s="34">
        <v>5</v>
      </c>
      <c r="PSG4765" s="913"/>
      <c r="PSH4765" s="31">
        <v>1</v>
      </c>
      <c r="PSI4765" s="34">
        <v>0</v>
      </c>
      <c r="PSJ4765" s="34">
        <v>-1</v>
      </c>
      <c r="PSK4765" s="34">
        <v>-2</v>
      </c>
      <c r="PSL4765" s="34">
        <v>-3</v>
      </c>
      <c r="PSM4765" s="34">
        <v>-4</v>
      </c>
      <c r="PSN4765" s="34">
        <v>-5</v>
      </c>
      <c r="PSO4765" s="908"/>
      <c r="PSP4765" s="909"/>
      <c r="PSQ4765" s="34">
        <v>-5</v>
      </c>
      <c r="PSR4765" s="34">
        <v>-4.5</v>
      </c>
      <c r="PSS4765" s="34">
        <v>-4</v>
      </c>
      <c r="PST4765" s="34">
        <v>-3.5</v>
      </c>
      <c r="PSU4765" s="34">
        <v>-3</v>
      </c>
      <c r="PSV4765" s="34">
        <v>-2.5</v>
      </c>
      <c r="PSW4765" s="34">
        <v>-2</v>
      </c>
      <c r="PSX4765" s="34">
        <v>-1.5</v>
      </c>
      <c r="PSY4765" s="34">
        <v>-1</v>
      </c>
      <c r="PSZ4765" s="34">
        <v>-0.5</v>
      </c>
      <c r="PTA4765" s="34">
        <v>0</v>
      </c>
      <c r="PTB4765" s="34">
        <v>0.5</v>
      </c>
      <c r="PTC4765" s="34">
        <v>1</v>
      </c>
      <c r="PTD4765" s="34">
        <v>1.5</v>
      </c>
      <c r="PTE4765" s="34">
        <v>2</v>
      </c>
      <c r="PTF4765" s="34">
        <v>2.5</v>
      </c>
      <c r="PTG4765" s="34">
        <v>3</v>
      </c>
      <c r="PTH4765" s="34">
        <v>3.5</v>
      </c>
      <c r="PTI4765" s="34">
        <v>4</v>
      </c>
      <c r="PTJ4765" s="34">
        <v>4.5</v>
      </c>
      <c r="PTK4765" s="34">
        <v>5</v>
      </c>
      <c r="PTM4765" s="913"/>
      <c r="PTN4765" s="31">
        <v>1</v>
      </c>
      <c r="PTO4765" s="34">
        <v>0</v>
      </c>
      <c r="PTP4765" s="34">
        <v>-1</v>
      </c>
      <c r="PTQ4765" s="34">
        <v>-2</v>
      </c>
      <c r="PTR4765" s="34">
        <v>-3</v>
      </c>
      <c r="PTS4765" s="34">
        <v>-4</v>
      </c>
      <c r="PTT4765" s="34">
        <v>-5</v>
      </c>
      <c r="PTU4765" s="908"/>
      <c r="PTV4765" s="909"/>
      <c r="PTW4765" s="34">
        <v>-5</v>
      </c>
      <c r="PTX4765" s="34">
        <v>-4.5</v>
      </c>
      <c r="PTY4765" s="34">
        <v>-4</v>
      </c>
      <c r="PTZ4765" s="34">
        <v>-3.5</v>
      </c>
      <c r="PUA4765" s="34">
        <v>-3</v>
      </c>
      <c r="PUB4765" s="34">
        <v>-2.5</v>
      </c>
      <c r="PUC4765" s="34">
        <v>-2</v>
      </c>
      <c r="PUD4765" s="34">
        <v>-1.5</v>
      </c>
      <c r="PUE4765" s="34">
        <v>-1</v>
      </c>
      <c r="PUF4765" s="34">
        <v>-0.5</v>
      </c>
      <c r="PUG4765" s="34">
        <v>0</v>
      </c>
      <c r="PUH4765" s="34">
        <v>0.5</v>
      </c>
      <c r="PUI4765" s="34">
        <v>1</v>
      </c>
      <c r="PUJ4765" s="34">
        <v>1.5</v>
      </c>
      <c r="PUK4765" s="34">
        <v>2</v>
      </c>
      <c r="PUL4765" s="34">
        <v>2.5</v>
      </c>
      <c r="PUM4765" s="34">
        <v>3</v>
      </c>
      <c r="PUN4765" s="34">
        <v>3.5</v>
      </c>
      <c r="PUO4765" s="34">
        <v>4</v>
      </c>
      <c r="PUP4765" s="34">
        <v>4.5</v>
      </c>
      <c r="PUQ4765" s="34">
        <v>5</v>
      </c>
      <c r="PUS4765" s="913"/>
      <c r="PUT4765" s="31">
        <v>1</v>
      </c>
      <c r="PUU4765" s="34">
        <v>0</v>
      </c>
      <c r="PUV4765" s="34">
        <v>-1</v>
      </c>
      <c r="PUW4765" s="34">
        <v>-2</v>
      </c>
      <c r="PUX4765" s="34">
        <v>-3</v>
      </c>
      <c r="PUY4765" s="34">
        <v>-4</v>
      </c>
      <c r="PUZ4765" s="34">
        <v>-5</v>
      </c>
      <c r="PVA4765" s="908"/>
      <c r="PVB4765" s="909"/>
      <c r="PVC4765" s="34">
        <v>-5</v>
      </c>
      <c r="PVD4765" s="34">
        <v>-4.5</v>
      </c>
      <c r="PVE4765" s="34">
        <v>-4</v>
      </c>
      <c r="PVF4765" s="34">
        <v>-3.5</v>
      </c>
      <c r="PVG4765" s="34">
        <v>-3</v>
      </c>
      <c r="PVH4765" s="34">
        <v>-2.5</v>
      </c>
      <c r="PVI4765" s="34">
        <v>-2</v>
      </c>
      <c r="PVJ4765" s="34">
        <v>-1.5</v>
      </c>
      <c r="PVK4765" s="34">
        <v>-1</v>
      </c>
      <c r="PVL4765" s="34">
        <v>-0.5</v>
      </c>
      <c r="PVM4765" s="34">
        <v>0</v>
      </c>
      <c r="PVN4765" s="34">
        <v>0.5</v>
      </c>
      <c r="PVO4765" s="34">
        <v>1</v>
      </c>
      <c r="PVP4765" s="34">
        <v>1.5</v>
      </c>
      <c r="PVQ4765" s="34">
        <v>2</v>
      </c>
      <c r="PVR4765" s="34">
        <v>2.5</v>
      </c>
      <c r="PVS4765" s="34">
        <v>3</v>
      </c>
      <c r="PVT4765" s="34">
        <v>3.5</v>
      </c>
      <c r="PVU4765" s="34">
        <v>4</v>
      </c>
      <c r="PVV4765" s="34">
        <v>4.5</v>
      </c>
      <c r="PVW4765" s="34">
        <v>5</v>
      </c>
      <c r="PVY4765" s="913"/>
      <c r="PVZ4765" s="31">
        <v>1</v>
      </c>
      <c r="PWA4765" s="34">
        <v>0</v>
      </c>
      <c r="PWB4765" s="34">
        <v>-1</v>
      </c>
      <c r="PWC4765" s="34">
        <v>-2</v>
      </c>
      <c r="PWD4765" s="34">
        <v>-3</v>
      </c>
      <c r="PWE4765" s="34">
        <v>-4</v>
      </c>
      <c r="PWF4765" s="34">
        <v>-5</v>
      </c>
      <c r="PWG4765" s="908"/>
      <c r="PWH4765" s="909"/>
      <c r="PWI4765" s="34">
        <v>-5</v>
      </c>
      <c r="PWJ4765" s="34">
        <v>-4.5</v>
      </c>
      <c r="PWK4765" s="34">
        <v>-4</v>
      </c>
      <c r="PWL4765" s="34">
        <v>-3.5</v>
      </c>
      <c r="PWM4765" s="34">
        <v>-3</v>
      </c>
      <c r="PWN4765" s="34">
        <v>-2.5</v>
      </c>
      <c r="PWO4765" s="34">
        <v>-2</v>
      </c>
      <c r="PWP4765" s="34">
        <v>-1.5</v>
      </c>
      <c r="PWQ4765" s="34">
        <v>-1</v>
      </c>
      <c r="PWR4765" s="34">
        <v>-0.5</v>
      </c>
      <c r="PWS4765" s="34">
        <v>0</v>
      </c>
      <c r="PWT4765" s="34">
        <v>0.5</v>
      </c>
      <c r="PWU4765" s="34">
        <v>1</v>
      </c>
      <c r="PWV4765" s="34">
        <v>1.5</v>
      </c>
      <c r="PWW4765" s="34">
        <v>2</v>
      </c>
      <c r="PWX4765" s="34">
        <v>2.5</v>
      </c>
      <c r="PWY4765" s="34">
        <v>3</v>
      </c>
      <c r="PWZ4765" s="34">
        <v>3.5</v>
      </c>
      <c r="PXA4765" s="34">
        <v>4</v>
      </c>
      <c r="PXB4765" s="34">
        <v>4.5</v>
      </c>
      <c r="PXC4765" s="34">
        <v>5</v>
      </c>
      <c r="PXE4765" s="913"/>
      <c r="PXF4765" s="31">
        <v>1</v>
      </c>
      <c r="PXG4765" s="34">
        <v>0</v>
      </c>
      <c r="PXH4765" s="34">
        <v>-1</v>
      </c>
      <c r="PXI4765" s="34">
        <v>-2</v>
      </c>
      <c r="PXJ4765" s="34">
        <v>-3</v>
      </c>
      <c r="PXK4765" s="34">
        <v>-4</v>
      </c>
      <c r="PXL4765" s="34">
        <v>-5</v>
      </c>
      <c r="PXM4765" s="908"/>
      <c r="PXN4765" s="909"/>
      <c r="PXO4765" s="34">
        <v>-5</v>
      </c>
      <c r="PXP4765" s="34">
        <v>-4.5</v>
      </c>
      <c r="PXQ4765" s="34">
        <v>-4</v>
      </c>
      <c r="PXR4765" s="34">
        <v>-3.5</v>
      </c>
      <c r="PXS4765" s="34">
        <v>-3</v>
      </c>
      <c r="PXT4765" s="34">
        <v>-2.5</v>
      </c>
      <c r="PXU4765" s="34">
        <v>-2</v>
      </c>
      <c r="PXV4765" s="34">
        <v>-1.5</v>
      </c>
      <c r="PXW4765" s="34">
        <v>-1</v>
      </c>
      <c r="PXX4765" s="34">
        <v>-0.5</v>
      </c>
      <c r="PXY4765" s="34">
        <v>0</v>
      </c>
      <c r="PXZ4765" s="34">
        <v>0.5</v>
      </c>
      <c r="PYA4765" s="34">
        <v>1</v>
      </c>
      <c r="PYB4765" s="34">
        <v>1.5</v>
      </c>
      <c r="PYC4765" s="34">
        <v>2</v>
      </c>
      <c r="PYD4765" s="34">
        <v>2.5</v>
      </c>
      <c r="PYE4765" s="34">
        <v>3</v>
      </c>
      <c r="PYF4765" s="34">
        <v>3.5</v>
      </c>
      <c r="PYG4765" s="34">
        <v>4</v>
      </c>
      <c r="PYH4765" s="34">
        <v>4.5</v>
      </c>
      <c r="PYI4765" s="34">
        <v>5</v>
      </c>
      <c r="PYK4765" s="913"/>
      <c r="PYL4765" s="31">
        <v>1</v>
      </c>
      <c r="PYM4765" s="34">
        <v>0</v>
      </c>
      <c r="PYN4765" s="34">
        <v>-1</v>
      </c>
      <c r="PYO4765" s="34">
        <v>-2</v>
      </c>
      <c r="PYP4765" s="34">
        <v>-3</v>
      </c>
      <c r="PYQ4765" s="34">
        <v>-4</v>
      </c>
      <c r="PYR4765" s="34">
        <v>-5</v>
      </c>
      <c r="PYS4765" s="908"/>
      <c r="PYT4765" s="909"/>
      <c r="PYU4765" s="34">
        <v>-5</v>
      </c>
      <c r="PYV4765" s="34">
        <v>-4.5</v>
      </c>
      <c r="PYW4765" s="34">
        <v>-4</v>
      </c>
      <c r="PYX4765" s="34">
        <v>-3.5</v>
      </c>
      <c r="PYY4765" s="34">
        <v>-3</v>
      </c>
      <c r="PYZ4765" s="34">
        <v>-2.5</v>
      </c>
      <c r="PZA4765" s="34">
        <v>-2</v>
      </c>
      <c r="PZB4765" s="34">
        <v>-1.5</v>
      </c>
      <c r="PZC4765" s="34">
        <v>-1</v>
      </c>
      <c r="PZD4765" s="34">
        <v>-0.5</v>
      </c>
      <c r="PZE4765" s="34">
        <v>0</v>
      </c>
      <c r="PZF4765" s="34">
        <v>0.5</v>
      </c>
      <c r="PZG4765" s="34">
        <v>1</v>
      </c>
      <c r="PZH4765" s="34">
        <v>1.5</v>
      </c>
      <c r="PZI4765" s="34">
        <v>2</v>
      </c>
      <c r="PZJ4765" s="34">
        <v>2.5</v>
      </c>
      <c r="PZK4765" s="34">
        <v>3</v>
      </c>
      <c r="PZL4765" s="34">
        <v>3.5</v>
      </c>
      <c r="PZM4765" s="34">
        <v>4</v>
      </c>
      <c r="PZN4765" s="34">
        <v>4.5</v>
      </c>
      <c r="PZO4765" s="34">
        <v>5</v>
      </c>
      <c r="PZQ4765" s="913"/>
      <c r="PZR4765" s="31">
        <v>1</v>
      </c>
      <c r="PZS4765" s="34">
        <v>0</v>
      </c>
      <c r="PZT4765" s="34">
        <v>-1</v>
      </c>
      <c r="PZU4765" s="34">
        <v>-2</v>
      </c>
      <c r="PZV4765" s="34">
        <v>-3</v>
      </c>
      <c r="PZW4765" s="34">
        <v>-4</v>
      </c>
      <c r="PZX4765" s="34">
        <v>-5</v>
      </c>
      <c r="PZY4765" s="908"/>
      <c r="PZZ4765" s="909"/>
      <c r="QAA4765" s="34">
        <v>-5</v>
      </c>
      <c r="QAB4765" s="34">
        <v>-4.5</v>
      </c>
      <c r="QAC4765" s="34">
        <v>-4</v>
      </c>
      <c r="QAD4765" s="34">
        <v>-3.5</v>
      </c>
      <c r="QAE4765" s="34">
        <v>-3</v>
      </c>
      <c r="QAF4765" s="34">
        <v>-2.5</v>
      </c>
      <c r="QAG4765" s="34">
        <v>-2</v>
      </c>
      <c r="QAH4765" s="34">
        <v>-1.5</v>
      </c>
      <c r="QAI4765" s="34">
        <v>-1</v>
      </c>
      <c r="QAJ4765" s="34">
        <v>-0.5</v>
      </c>
      <c r="QAK4765" s="34">
        <v>0</v>
      </c>
      <c r="QAL4765" s="34">
        <v>0.5</v>
      </c>
      <c r="QAM4765" s="34">
        <v>1</v>
      </c>
      <c r="QAN4765" s="34">
        <v>1.5</v>
      </c>
      <c r="QAO4765" s="34">
        <v>2</v>
      </c>
      <c r="QAP4765" s="34">
        <v>2.5</v>
      </c>
      <c r="QAQ4765" s="34">
        <v>3</v>
      </c>
      <c r="QAR4765" s="34">
        <v>3.5</v>
      </c>
      <c r="QAS4765" s="34">
        <v>4</v>
      </c>
      <c r="QAT4765" s="34">
        <v>4.5</v>
      </c>
      <c r="QAU4765" s="34">
        <v>5</v>
      </c>
      <c r="QAW4765" s="913"/>
      <c r="QAX4765" s="31">
        <v>1</v>
      </c>
      <c r="QAY4765" s="34">
        <v>0</v>
      </c>
      <c r="QAZ4765" s="34">
        <v>-1</v>
      </c>
      <c r="QBA4765" s="34">
        <v>-2</v>
      </c>
      <c r="QBB4765" s="34">
        <v>-3</v>
      </c>
      <c r="QBC4765" s="34">
        <v>-4</v>
      </c>
      <c r="QBD4765" s="34">
        <v>-5</v>
      </c>
      <c r="QBE4765" s="908"/>
      <c r="QBF4765" s="909"/>
      <c r="QBG4765" s="34">
        <v>-5</v>
      </c>
      <c r="QBH4765" s="34">
        <v>-4.5</v>
      </c>
      <c r="QBI4765" s="34">
        <v>-4</v>
      </c>
      <c r="QBJ4765" s="34">
        <v>-3.5</v>
      </c>
      <c r="QBK4765" s="34">
        <v>-3</v>
      </c>
      <c r="QBL4765" s="34">
        <v>-2.5</v>
      </c>
      <c r="QBM4765" s="34">
        <v>-2</v>
      </c>
      <c r="QBN4765" s="34">
        <v>-1.5</v>
      </c>
      <c r="QBO4765" s="34">
        <v>-1</v>
      </c>
      <c r="QBP4765" s="34">
        <v>-0.5</v>
      </c>
      <c r="QBQ4765" s="34">
        <v>0</v>
      </c>
      <c r="QBR4765" s="34">
        <v>0.5</v>
      </c>
      <c r="QBS4765" s="34">
        <v>1</v>
      </c>
      <c r="QBT4765" s="34">
        <v>1.5</v>
      </c>
      <c r="QBU4765" s="34">
        <v>2</v>
      </c>
      <c r="QBV4765" s="34">
        <v>2.5</v>
      </c>
      <c r="QBW4765" s="34">
        <v>3</v>
      </c>
      <c r="QBX4765" s="34">
        <v>3.5</v>
      </c>
      <c r="QBY4765" s="34">
        <v>4</v>
      </c>
      <c r="QBZ4765" s="34">
        <v>4.5</v>
      </c>
      <c r="QCA4765" s="34">
        <v>5</v>
      </c>
      <c r="QCC4765" s="913"/>
      <c r="QCD4765" s="31">
        <v>1</v>
      </c>
      <c r="QCE4765" s="34">
        <v>0</v>
      </c>
      <c r="QCF4765" s="34">
        <v>-1</v>
      </c>
      <c r="QCG4765" s="34">
        <v>-2</v>
      </c>
      <c r="QCH4765" s="34">
        <v>-3</v>
      </c>
      <c r="QCI4765" s="34">
        <v>-4</v>
      </c>
      <c r="QCJ4765" s="34">
        <v>-5</v>
      </c>
      <c r="QCK4765" s="908"/>
      <c r="QCL4765" s="909"/>
      <c r="QCM4765" s="34">
        <v>-5</v>
      </c>
      <c r="QCN4765" s="34">
        <v>-4.5</v>
      </c>
      <c r="QCO4765" s="34">
        <v>-4</v>
      </c>
      <c r="QCP4765" s="34">
        <v>-3.5</v>
      </c>
      <c r="QCQ4765" s="34">
        <v>-3</v>
      </c>
      <c r="QCR4765" s="34">
        <v>-2.5</v>
      </c>
      <c r="QCS4765" s="34">
        <v>-2</v>
      </c>
      <c r="QCT4765" s="34">
        <v>-1.5</v>
      </c>
      <c r="QCU4765" s="34">
        <v>-1</v>
      </c>
      <c r="QCV4765" s="34">
        <v>-0.5</v>
      </c>
      <c r="QCW4765" s="34">
        <v>0</v>
      </c>
      <c r="QCX4765" s="34">
        <v>0.5</v>
      </c>
      <c r="QCY4765" s="34">
        <v>1</v>
      </c>
      <c r="QCZ4765" s="34">
        <v>1.5</v>
      </c>
      <c r="QDA4765" s="34">
        <v>2</v>
      </c>
      <c r="QDB4765" s="34">
        <v>2.5</v>
      </c>
      <c r="QDC4765" s="34">
        <v>3</v>
      </c>
      <c r="QDD4765" s="34">
        <v>3.5</v>
      </c>
      <c r="QDE4765" s="34">
        <v>4</v>
      </c>
      <c r="QDF4765" s="34">
        <v>4.5</v>
      </c>
      <c r="QDG4765" s="34">
        <v>5</v>
      </c>
      <c r="QDI4765" s="913"/>
      <c r="QDJ4765" s="31">
        <v>1</v>
      </c>
      <c r="QDK4765" s="34">
        <v>0</v>
      </c>
      <c r="QDL4765" s="34">
        <v>-1</v>
      </c>
      <c r="QDM4765" s="34">
        <v>-2</v>
      </c>
      <c r="QDN4765" s="34">
        <v>-3</v>
      </c>
      <c r="QDO4765" s="34">
        <v>-4</v>
      </c>
      <c r="QDP4765" s="34">
        <v>-5</v>
      </c>
      <c r="QDQ4765" s="908"/>
      <c r="QDR4765" s="909"/>
      <c r="QDS4765" s="34">
        <v>-5</v>
      </c>
      <c r="QDT4765" s="34">
        <v>-4.5</v>
      </c>
      <c r="QDU4765" s="34">
        <v>-4</v>
      </c>
      <c r="QDV4765" s="34">
        <v>-3.5</v>
      </c>
      <c r="QDW4765" s="34">
        <v>-3</v>
      </c>
      <c r="QDX4765" s="34">
        <v>-2.5</v>
      </c>
      <c r="QDY4765" s="34">
        <v>-2</v>
      </c>
      <c r="QDZ4765" s="34">
        <v>-1.5</v>
      </c>
      <c r="QEA4765" s="34">
        <v>-1</v>
      </c>
      <c r="QEB4765" s="34">
        <v>-0.5</v>
      </c>
      <c r="QEC4765" s="34">
        <v>0</v>
      </c>
      <c r="QED4765" s="34">
        <v>0.5</v>
      </c>
      <c r="QEE4765" s="34">
        <v>1</v>
      </c>
      <c r="QEF4765" s="34">
        <v>1.5</v>
      </c>
      <c r="QEG4765" s="34">
        <v>2</v>
      </c>
      <c r="QEH4765" s="34">
        <v>2.5</v>
      </c>
      <c r="QEI4765" s="34">
        <v>3</v>
      </c>
      <c r="QEJ4765" s="34">
        <v>3.5</v>
      </c>
      <c r="QEK4765" s="34">
        <v>4</v>
      </c>
      <c r="QEL4765" s="34">
        <v>4.5</v>
      </c>
      <c r="QEM4765" s="34">
        <v>5</v>
      </c>
      <c r="QEO4765" s="913"/>
      <c r="QEP4765" s="31">
        <v>1</v>
      </c>
      <c r="QEQ4765" s="34">
        <v>0</v>
      </c>
      <c r="QER4765" s="34">
        <v>-1</v>
      </c>
      <c r="QES4765" s="34">
        <v>-2</v>
      </c>
      <c r="QET4765" s="34">
        <v>-3</v>
      </c>
      <c r="QEU4765" s="34">
        <v>-4</v>
      </c>
      <c r="QEV4765" s="34">
        <v>-5</v>
      </c>
      <c r="QEW4765" s="908"/>
      <c r="QEX4765" s="909"/>
      <c r="QEY4765" s="34">
        <v>-5</v>
      </c>
      <c r="QEZ4765" s="34">
        <v>-4.5</v>
      </c>
      <c r="QFA4765" s="34">
        <v>-4</v>
      </c>
      <c r="QFB4765" s="34">
        <v>-3.5</v>
      </c>
      <c r="QFC4765" s="34">
        <v>-3</v>
      </c>
      <c r="QFD4765" s="34">
        <v>-2.5</v>
      </c>
      <c r="QFE4765" s="34">
        <v>-2</v>
      </c>
      <c r="QFF4765" s="34">
        <v>-1.5</v>
      </c>
      <c r="QFG4765" s="34">
        <v>-1</v>
      </c>
      <c r="QFH4765" s="34">
        <v>-0.5</v>
      </c>
      <c r="QFI4765" s="34">
        <v>0</v>
      </c>
      <c r="QFJ4765" s="34">
        <v>0.5</v>
      </c>
      <c r="QFK4765" s="34">
        <v>1</v>
      </c>
      <c r="QFL4765" s="34">
        <v>1.5</v>
      </c>
      <c r="QFM4765" s="34">
        <v>2</v>
      </c>
      <c r="QFN4765" s="34">
        <v>2.5</v>
      </c>
      <c r="QFO4765" s="34">
        <v>3</v>
      </c>
      <c r="QFP4765" s="34">
        <v>3.5</v>
      </c>
      <c r="QFQ4765" s="34">
        <v>4</v>
      </c>
      <c r="QFR4765" s="34">
        <v>4.5</v>
      </c>
      <c r="QFS4765" s="34">
        <v>5</v>
      </c>
      <c r="QFU4765" s="913"/>
      <c r="QFV4765" s="31">
        <v>1</v>
      </c>
      <c r="QFW4765" s="34">
        <v>0</v>
      </c>
      <c r="QFX4765" s="34">
        <v>-1</v>
      </c>
      <c r="QFY4765" s="34">
        <v>-2</v>
      </c>
      <c r="QFZ4765" s="34">
        <v>-3</v>
      </c>
      <c r="QGA4765" s="34">
        <v>-4</v>
      </c>
      <c r="QGB4765" s="34">
        <v>-5</v>
      </c>
      <c r="QGC4765" s="908"/>
      <c r="QGD4765" s="909"/>
      <c r="QGE4765" s="34">
        <v>-5</v>
      </c>
      <c r="QGF4765" s="34">
        <v>-4.5</v>
      </c>
      <c r="QGG4765" s="34">
        <v>-4</v>
      </c>
      <c r="QGH4765" s="34">
        <v>-3.5</v>
      </c>
      <c r="QGI4765" s="34">
        <v>-3</v>
      </c>
      <c r="QGJ4765" s="34">
        <v>-2.5</v>
      </c>
      <c r="QGK4765" s="34">
        <v>-2</v>
      </c>
      <c r="QGL4765" s="34">
        <v>-1.5</v>
      </c>
      <c r="QGM4765" s="34">
        <v>-1</v>
      </c>
      <c r="QGN4765" s="34">
        <v>-0.5</v>
      </c>
      <c r="QGO4765" s="34">
        <v>0</v>
      </c>
      <c r="QGP4765" s="34">
        <v>0.5</v>
      </c>
      <c r="QGQ4765" s="34">
        <v>1</v>
      </c>
      <c r="QGR4765" s="34">
        <v>1.5</v>
      </c>
      <c r="QGS4765" s="34">
        <v>2</v>
      </c>
      <c r="QGT4765" s="34">
        <v>2.5</v>
      </c>
      <c r="QGU4765" s="34">
        <v>3</v>
      </c>
      <c r="QGV4765" s="34">
        <v>3.5</v>
      </c>
      <c r="QGW4765" s="34">
        <v>4</v>
      </c>
      <c r="QGX4765" s="34">
        <v>4.5</v>
      </c>
      <c r="QGY4765" s="34">
        <v>5</v>
      </c>
      <c r="QHA4765" s="913"/>
      <c r="QHB4765" s="31">
        <v>1</v>
      </c>
      <c r="QHC4765" s="34">
        <v>0</v>
      </c>
      <c r="QHD4765" s="34">
        <v>-1</v>
      </c>
      <c r="QHE4765" s="34">
        <v>-2</v>
      </c>
      <c r="QHF4765" s="34">
        <v>-3</v>
      </c>
      <c r="QHG4765" s="34">
        <v>-4</v>
      </c>
      <c r="QHH4765" s="34">
        <v>-5</v>
      </c>
      <c r="QHI4765" s="908"/>
      <c r="QHJ4765" s="909"/>
      <c r="QHK4765" s="34">
        <v>-5</v>
      </c>
      <c r="QHL4765" s="34">
        <v>-4.5</v>
      </c>
      <c r="QHM4765" s="34">
        <v>-4</v>
      </c>
      <c r="QHN4765" s="34">
        <v>-3.5</v>
      </c>
      <c r="QHO4765" s="34">
        <v>-3</v>
      </c>
      <c r="QHP4765" s="34">
        <v>-2.5</v>
      </c>
      <c r="QHQ4765" s="34">
        <v>-2</v>
      </c>
      <c r="QHR4765" s="34">
        <v>-1.5</v>
      </c>
      <c r="QHS4765" s="34">
        <v>-1</v>
      </c>
      <c r="QHT4765" s="34">
        <v>-0.5</v>
      </c>
      <c r="QHU4765" s="34">
        <v>0</v>
      </c>
      <c r="QHV4765" s="34">
        <v>0.5</v>
      </c>
      <c r="QHW4765" s="34">
        <v>1</v>
      </c>
      <c r="QHX4765" s="34">
        <v>1.5</v>
      </c>
      <c r="QHY4765" s="34">
        <v>2</v>
      </c>
      <c r="QHZ4765" s="34">
        <v>2.5</v>
      </c>
      <c r="QIA4765" s="34">
        <v>3</v>
      </c>
      <c r="QIB4765" s="34">
        <v>3.5</v>
      </c>
      <c r="QIC4765" s="34">
        <v>4</v>
      </c>
      <c r="QID4765" s="34">
        <v>4.5</v>
      </c>
      <c r="QIE4765" s="34">
        <v>5</v>
      </c>
      <c r="QIG4765" s="913"/>
      <c r="QIH4765" s="31">
        <v>1</v>
      </c>
      <c r="QII4765" s="34">
        <v>0</v>
      </c>
      <c r="QIJ4765" s="34">
        <v>-1</v>
      </c>
      <c r="QIK4765" s="34">
        <v>-2</v>
      </c>
      <c r="QIL4765" s="34">
        <v>-3</v>
      </c>
      <c r="QIM4765" s="34">
        <v>-4</v>
      </c>
      <c r="QIN4765" s="34">
        <v>-5</v>
      </c>
      <c r="QIO4765" s="908"/>
      <c r="QIP4765" s="909"/>
      <c r="QIQ4765" s="34">
        <v>-5</v>
      </c>
      <c r="QIR4765" s="34">
        <v>-4.5</v>
      </c>
      <c r="QIS4765" s="34">
        <v>-4</v>
      </c>
      <c r="QIT4765" s="34">
        <v>-3.5</v>
      </c>
      <c r="QIU4765" s="34">
        <v>-3</v>
      </c>
      <c r="QIV4765" s="34">
        <v>-2.5</v>
      </c>
      <c r="QIW4765" s="34">
        <v>-2</v>
      </c>
      <c r="QIX4765" s="34">
        <v>-1.5</v>
      </c>
      <c r="QIY4765" s="34">
        <v>-1</v>
      </c>
      <c r="QIZ4765" s="34">
        <v>-0.5</v>
      </c>
      <c r="QJA4765" s="34">
        <v>0</v>
      </c>
      <c r="QJB4765" s="34">
        <v>0.5</v>
      </c>
      <c r="QJC4765" s="34">
        <v>1</v>
      </c>
      <c r="QJD4765" s="34">
        <v>1.5</v>
      </c>
      <c r="QJE4765" s="34">
        <v>2</v>
      </c>
      <c r="QJF4765" s="34">
        <v>2.5</v>
      </c>
      <c r="QJG4765" s="34">
        <v>3</v>
      </c>
      <c r="QJH4765" s="34">
        <v>3.5</v>
      </c>
      <c r="QJI4765" s="34">
        <v>4</v>
      </c>
      <c r="QJJ4765" s="34">
        <v>4.5</v>
      </c>
      <c r="QJK4765" s="34">
        <v>5</v>
      </c>
      <c r="QJM4765" s="913"/>
      <c r="QJN4765" s="31">
        <v>1</v>
      </c>
      <c r="QJO4765" s="34">
        <v>0</v>
      </c>
      <c r="QJP4765" s="34">
        <v>-1</v>
      </c>
      <c r="QJQ4765" s="34">
        <v>-2</v>
      </c>
      <c r="QJR4765" s="34">
        <v>-3</v>
      </c>
      <c r="QJS4765" s="34">
        <v>-4</v>
      </c>
      <c r="QJT4765" s="34">
        <v>-5</v>
      </c>
      <c r="QJU4765" s="908"/>
      <c r="QJV4765" s="909"/>
      <c r="QJW4765" s="34">
        <v>-5</v>
      </c>
      <c r="QJX4765" s="34">
        <v>-4.5</v>
      </c>
      <c r="QJY4765" s="34">
        <v>-4</v>
      </c>
      <c r="QJZ4765" s="34">
        <v>-3.5</v>
      </c>
      <c r="QKA4765" s="34">
        <v>-3</v>
      </c>
      <c r="QKB4765" s="34">
        <v>-2.5</v>
      </c>
      <c r="QKC4765" s="34">
        <v>-2</v>
      </c>
      <c r="QKD4765" s="34">
        <v>-1.5</v>
      </c>
      <c r="QKE4765" s="34">
        <v>-1</v>
      </c>
      <c r="QKF4765" s="34">
        <v>-0.5</v>
      </c>
      <c r="QKG4765" s="34">
        <v>0</v>
      </c>
      <c r="QKH4765" s="34">
        <v>0.5</v>
      </c>
      <c r="QKI4765" s="34">
        <v>1</v>
      </c>
      <c r="QKJ4765" s="34">
        <v>1.5</v>
      </c>
      <c r="QKK4765" s="34">
        <v>2</v>
      </c>
      <c r="QKL4765" s="34">
        <v>2.5</v>
      </c>
      <c r="QKM4765" s="34">
        <v>3</v>
      </c>
      <c r="QKN4765" s="34">
        <v>3.5</v>
      </c>
      <c r="QKO4765" s="34">
        <v>4</v>
      </c>
      <c r="QKP4765" s="34">
        <v>4.5</v>
      </c>
      <c r="QKQ4765" s="34">
        <v>5</v>
      </c>
      <c r="QKS4765" s="913"/>
      <c r="QKT4765" s="31">
        <v>1</v>
      </c>
      <c r="QKU4765" s="34">
        <v>0</v>
      </c>
      <c r="QKV4765" s="34">
        <v>-1</v>
      </c>
      <c r="QKW4765" s="34">
        <v>-2</v>
      </c>
      <c r="QKX4765" s="34">
        <v>-3</v>
      </c>
      <c r="QKY4765" s="34">
        <v>-4</v>
      </c>
      <c r="QKZ4765" s="34">
        <v>-5</v>
      </c>
      <c r="QLA4765" s="908"/>
      <c r="QLB4765" s="909"/>
      <c r="QLC4765" s="34">
        <v>-5</v>
      </c>
      <c r="QLD4765" s="34">
        <v>-4.5</v>
      </c>
      <c r="QLE4765" s="34">
        <v>-4</v>
      </c>
      <c r="QLF4765" s="34">
        <v>-3.5</v>
      </c>
      <c r="QLG4765" s="34">
        <v>-3</v>
      </c>
      <c r="QLH4765" s="34">
        <v>-2.5</v>
      </c>
      <c r="QLI4765" s="34">
        <v>-2</v>
      </c>
      <c r="QLJ4765" s="34">
        <v>-1.5</v>
      </c>
      <c r="QLK4765" s="34">
        <v>-1</v>
      </c>
      <c r="QLL4765" s="34">
        <v>-0.5</v>
      </c>
      <c r="QLM4765" s="34">
        <v>0</v>
      </c>
      <c r="QLN4765" s="34">
        <v>0.5</v>
      </c>
      <c r="QLO4765" s="34">
        <v>1</v>
      </c>
      <c r="QLP4765" s="34">
        <v>1.5</v>
      </c>
      <c r="QLQ4765" s="34">
        <v>2</v>
      </c>
      <c r="QLR4765" s="34">
        <v>2.5</v>
      </c>
      <c r="QLS4765" s="34">
        <v>3</v>
      </c>
      <c r="QLT4765" s="34">
        <v>3.5</v>
      </c>
      <c r="QLU4765" s="34">
        <v>4</v>
      </c>
      <c r="QLV4765" s="34">
        <v>4.5</v>
      </c>
      <c r="QLW4765" s="34">
        <v>5</v>
      </c>
      <c r="QLY4765" s="913"/>
      <c r="QLZ4765" s="31">
        <v>1</v>
      </c>
      <c r="QMA4765" s="34">
        <v>0</v>
      </c>
      <c r="QMB4765" s="34">
        <v>-1</v>
      </c>
      <c r="QMC4765" s="34">
        <v>-2</v>
      </c>
      <c r="QMD4765" s="34">
        <v>-3</v>
      </c>
      <c r="QME4765" s="34">
        <v>-4</v>
      </c>
      <c r="QMF4765" s="34">
        <v>-5</v>
      </c>
      <c r="QMG4765" s="908"/>
      <c r="QMH4765" s="909"/>
      <c r="QMI4765" s="34">
        <v>-5</v>
      </c>
      <c r="QMJ4765" s="34">
        <v>-4.5</v>
      </c>
      <c r="QMK4765" s="34">
        <v>-4</v>
      </c>
      <c r="QML4765" s="34">
        <v>-3.5</v>
      </c>
      <c r="QMM4765" s="34">
        <v>-3</v>
      </c>
      <c r="QMN4765" s="34">
        <v>-2.5</v>
      </c>
      <c r="QMO4765" s="34">
        <v>-2</v>
      </c>
      <c r="QMP4765" s="34">
        <v>-1.5</v>
      </c>
      <c r="QMQ4765" s="34">
        <v>-1</v>
      </c>
      <c r="QMR4765" s="34">
        <v>-0.5</v>
      </c>
      <c r="QMS4765" s="34">
        <v>0</v>
      </c>
      <c r="QMT4765" s="34">
        <v>0.5</v>
      </c>
      <c r="QMU4765" s="34">
        <v>1</v>
      </c>
      <c r="QMV4765" s="34">
        <v>1.5</v>
      </c>
      <c r="QMW4765" s="34">
        <v>2</v>
      </c>
      <c r="QMX4765" s="34">
        <v>2.5</v>
      </c>
      <c r="QMY4765" s="34">
        <v>3</v>
      </c>
      <c r="QMZ4765" s="34">
        <v>3.5</v>
      </c>
      <c r="QNA4765" s="34">
        <v>4</v>
      </c>
      <c r="QNB4765" s="34">
        <v>4.5</v>
      </c>
      <c r="QNC4765" s="34">
        <v>5</v>
      </c>
      <c r="QNE4765" s="913"/>
      <c r="QNF4765" s="31">
        <v>1</v>
      </c>
      <c r="QNG4765" s="34">
        <v>0</v>
      </c>
      <c r="QNH4765" s="34">
        <v>-1</v>
      </c>
      <c r="QNI4765" s="34">
        <v>-2</v>
      </c>
      <c r="QNJ4765" s="34">
        <v>-3</v>
      </c>
      <c r="QNK4765" s="34">
        <v>-4</v>
      </c>
      <c r="QNL4765" s="34">
        <v>-5</v>
      </c>
      <c r="QNM4765" s="908"/>
      <c r="QNN4765" s="909"/>
      <c r="QNO4765" s="34">
        <v>-5</v>
      </c>
      <c r="QNP4765" s="34">
        <v>-4.5</v>
      </c>
      <c r="QNQ4765" s="34">
        <v>-4</v>
      </c>
      <c r="QNR4765" s="34">
        <v>-3.5</v>
      </c>
      <c r="QNS4765" s="34">
        <v>-3</v>
      </c>
      <c r="QNT4765" s="34">
        <v>-2.5</v>
      </c>
      <c r="QNU4765" s="34">
        <v>-2</v>
      </c>
      <c r="QNV4765" s="34">
        <v>-1.5</v>
      </c>
      <c r="QNW4765" s="34">
        <v>-1</v>
      </c>
      <c r="QNX4765" s="34">
        <v>-0.5</v>
      </c>
      <c r="QNY4765" s="34">
        <v>0</v>
      </c>
      <c r="QNZ4765" s="34">
        <v>0.5</v>
      </c>
      <c r="QOA4765" s="34">
        <v>1</v>
      </c>
      <c r="QOB4765" s="34">
        <v>1.5</v>
      </c>
      <c r="QOC4765" s="34">
        <v>2</v>
      </c>
      <c r="QOD4765" s="34">
        <v>2.5</v>
      </c>
      <c r="QOE4765" s="34">
        <v>3</v>
      </c>
      <c r="QOF4765" s="34">
        <v>3.5</v>
      </c>
      <c r="QOG4765" s="34">
        <v>4</v>
      </c>
      <c r="QOH4765" s="34">
        <v>4.5</v>
      </c>
      <c r="QOI4765" s="34">
        <v>5</v>
      </c>
      <c r="QOK4765" s="913"/>
      <c r="QOL4765" s="31">
        <v>1</v>
      </c>
      <c r="QOM4765" s="34">
        <v>0</v>
      </c>
      <c r="QON4765" s="34">
        <v>-1</v>
      </c>
      <c r="QOO4765" s="34">
        <v>-2</v>
      </c>
      <c r="QOP4765" s="34">
        <v>-3</v>
      </c>
      <c r="QOQ4765" s="34">
        <v>-4</v>
      </c>
      <c r="QOR4765" s="34">
        <v>-5</v>
      </c>
      <c r="QOS4765" s="908"/>
      <c r="QOT4765" s="909"/>
      <c r="QOU4765" s="34">
        <v>-5</v>
      </c>
      <c r="QOV4765" s="34">
        <v>-4.5</v>
      </c>
      <c r="QOW4765" s="34">
        <v>-4</v>
      </c>
      <c r="QOX4765" s="34">
        <v>-3.5</v>
      </c>
      <c r="QOY4765" s="34">
        <v>-3</v>
      </c>
      <c r="QOZ4765" s="34">
        <v>-2.5</v>
      </c>
      <c r="QPA4765" s="34">
        <v>-2</v>
      </c>
      <c r="QPB4765" s="34">
        <v>-1.5</v>
      </c>
      <c r="QPC4765" s="34">
        <v>-1</v>
      </c>
      <c r="QPD4765" s="34">
        <v>-0.5</v>
      </c>
      <c r="QPE4765" s="34">
        <v>0</v>
      </c>
      <c r="QPF4765" s="34">
        <v>0.5</v>
      </c>
      <c r="QPG4765" s="34">
        <v>1</v>
      </c>
      <c r="QPH4765" s="34">
        <v>1.5</v>
      </c>
      <c r="QPI4765" s="34">
        <v>2</v>
      </c>
      <c r="QPJ4765" s="34">
        <v>2.5</v>
      </c>
      <c r="QPK4765" s="34">
        <v>3</v>
      </c>
      <c r="QPL4765" s="34">
        <v>3.5</v>
      </c>
      <c r="QPM4765" s="34">
        <v>4</v>
      </c>
      <c r="QPN4765" s="34">
        <v>4.5</v>
      </c>
      <c r="QPO4765" s="34">
        <v>5</v>
      </c>
      <c r="QPQ4765" s="913"/>
      <c r="QPR4765" s="31">
        <v>1</v>
      </c>
      <c r="QPS4765" s="34">
        <v>0</v>
      </c>
      <c r="QPT4765" s="34">
        <v>-1</v>
      </c>
      <c r="QPU4765" s="34">
        <v>-2</v>
      </c>
      <c r="QPV4765" s="34">
        <v>-3</v>
      </c>
      <c r="QPW4765" s="34">
        <v>-4</v>
      </c>
      <c r="QPX4765" s="34">
        <v>-5</v>
      </c>
      <c r="QPY4765" s="908"/>
      <c r="QPZ4765" s="909"/>
      <c r="QQA4765" s="34">
        <v>-5</v>
      </c>
      <c r="QQB4765" s="34">
        <v>-4.5</v>
      </c>
      <c r="QQC4765" s="34">
        <v>-4</v>
      </c>
      <c r="QQD4765" s="34">
        <v>-3.5</v>
      </c>
      <c r="QQE4765" s="34">
        <v>-3</v>
      </c>
      <c r="QQF4765" s="34">
        <v>-2.5</v>
      </c>
      <c r="QQG4765" s="34">
        <v>-2</v>
      </c>
      <c r="QQH4765" s="34">
        <v>-1.5</v>
      </c>
      <c r="QQI4765" s="34">
        <v>-1</v>
      </c>
      <c r="QQJ4765" s="34">
        <v>-0.5</v>
      </c>
      <c r="QQK4765" s="34">
        <v>0</v>
      </c>
      <c r="QQL4765" s="34">
        <v>0.5</v>
      </c>
      <c r="QQM4765" s="34">
        <v>1</v>
      </c>
      <c r="QQN4765" s="34">
        <v>1.5</v>
      </c>
      <c r="QQO4765" s="34">
        <v>2</v>
      </c>
      <c r="QQP4765" s="34">
        <v>2.5</v>
      </c>
      <c r="QQQ4765" s="34">
        <v>3</v>
      </c>
      <c r="QQR4765" s="34">
        <v>3.5</v>
      </c>
      <c r="QQS4765" s="34">
        <v>4</v>
      </c>
      <c r="QQT4765" s="34">
        <v>4.5</v>
      </c>
      <c r="QQU4765" s="34">
        <v>5</v>
      </c>
      <c r="QQW4765" s="913"/>
      <c r="QQX4765" s="31">
        <v>1</v>
      </c>
      <c r="QQY4765" s="34">
        <v>0</v>
      </c>
      <c r="QQZ4765" s="34">
        <v>-1</v>
      </c>
      <c r="QRA4765" s="34">
        <v>-2</v>
      </c>
      <c r="QRB4765" s="34">
        <v>-3</v>
      </c>
      <c r="QRC4765" s="34">
        <v>-4</v>
      </c>
      <c r="QRD4765" s="34">
        <v>-5</v>
      </c>
      <c r="QRE4765" s="908"/>
      <c r="QRF4765" s="909"/>
      <c r="QRG4765" s="34">
        <v>-5</v>
      </c>
      <c r="QRH4765" s="34">
        <v>-4.5</v>
      </c>
      <c r="QRI4765" s="34">
        <v>-4</v>
      </c>
      <c r="QRJ4765" s="34">
        <v>-3.5</v>
      </c>
      <c r="QRK4765" s="34">
        <v>-3</v>
      </c>
      <c r="QRL4765" s="34">
        <v>-2.5</v>
      </c>
      <c r="QRM4765" s="34">
        <v>-2</v>
      </c>
      <c r="QRN4765" s="34">
        <v>-1.5</v>
      </c>
      <c r="QRO4765" s="34">
        <v>-1</v>
      </c>
      <c r="QRP4765" s="34">
        <v>-0.5</v>
      </c>
      <c r="QRQ4765" s="34">
        <v>0</v>
      </c>
      <c r="QRR4765" s="34">
        <v>0.5</v>
      </c>
      <c r="QRS4765" s="34">
        <v>1</v>
      </c>
      <c r="QRT4765" s="34">
        <v>1.5</v>
      </c>
      <c r="QRU4765" s="34">
        <v>2</v>
      </c>
      <c r="QRV4765" s="34">
        <v>2.5</v>
      </c>
      <c r="QRW4765" s="34">
        <v>3</v>
      </c>
      <c r="QRX4765" s="34">
        <v>3.5</v>
      </c>
      <c r="QRY4765" s="34">
        <v>4</v>
      </c>
      <c r="QRZ4765" s="34">
        <v>4.5</v>
      </c>
      <c r="QSA4765" s="34">
        <v>5</v>
      </c>
      <c r="QSC4765" s="913"/>
      <c r="QSD4765" s="31">
        <v>1</v>
      </c>
      <c r="QSE4765" s="34">
        <v>0</v>
      </c>
      <c r="QSF4765" s="34">
        <v>-1</v>
      </c>
      <c r="QSG4765" s="34">
        <v>-2</v>
      </c>
      <c r="QSH4765" s="34">
        <v>-3</v>
      </c>
      <c r="QSI4765" s="34">
        <v>-4</v>
      </c>
      <c r="QSJ4765" s="34">
        <v>-5</v>
      </c>
      <c r="QSK4765" s="908"/>
      <c r="QSL4765" s="909"/>
      <c r="QSM4765" s="34">
        <v>-5</v>
      </c>
      <c r="QSN4765" s="34">
        <v>-4.5</v>
      </c>
      <c r="QSO4765" s="34">
        <v>-4</v>
      </c>
      <c r="QSP4765" s="34">
        <v>-3.5</v>
      </c>
      <c r="QSQ4765" s="34">
        <v>-3</v>
      </c>
      <c r="QSR4765" s="34">
        <v>-2.5</v>
      </c>
      <c r="QSS4765" s="34">
        <v>-2</v>
      </c>
      <c r="QST4765" s="34">
        <v>-1.5</v>
      </c>
      <c r="QSU4765" s="34">
        <v>-1</v>
      </c>
      <c r="QSV4765" s="34">
        <v>-0.5</v>
      </c>
      <c r="QSW4765" s="34">
        <v>0</v>
      </c>
      <c r="QSX4765" s="34">
        <v>0.5</v>
      </c>
      <c r="QSY4765" s="34">
        <v>1</v>
      </c>
      <c r="QSZ4765" s="34">
        <v>1.5</v>
      </c>
      <c r="QTA4765" s="34">
        <v>2</v>
      </c>
      <c r="QTB4765" s="34">
        <v>2.5</v>
      </c>
      <c r="QTC4765" s="34">
        <v>3</v>
      </c>
      <c r="QTD4765" s="34">
        <v>3.5</v>
      </c>
      <c r="QTE4765" s="34">
        <v>4</v>
      </c>
      <c r="QTF4765" s="34">
        <v>4.5</v>
      </c>
      <c r="QTG4765" s="34">
        <v>5</v>
      </c>
      <c r="QTI4765" s="913"/>
      <c r="QTJ4765" s="31">
        <v>1</v>
      </c>
      <c r="QTK4765" s="34">
        <v>0</v>
      </c>
      <c r="QTL4765" s="34">
        <v>-1</v>
      </c>
      <c r="QTM4765" s="34">
        <v>-2</v>
      </c>
      <c r="QTN4765" s="34">
        <v>-3</v>
      </c>
      <c r="QTO4765" s="34">
        <v>-4</v>
      </c>
      <c r="QTP4765" s="34">
        <v>-5</v>
      </c>
      <c r="QTQ4765" s="908"/>
      <c r="QTR4765" s="909"/>
      <c r="QTS4765" s="34">
        <v>-5</v>
      </c>
      <c r="QTT4765" s="34">
        <v>-4.5</v>
      </c>
      <c r="QTU4765" s="34">
        <v>-4</v>
      </c>
      <c r="QTV4765" s="34">
        <v>-3.5</v>
      </c>
      <c r="QTW4765" s="34">
        <v>-3</v>
      </c>
      <c r="QTX4765" s="34">
        <v>-2.5</v>
      </c>
      <c r="QTY4765" s="34">
        <v>-2</v>
      </c>
      <c r="QTZ4765" s="34">
        <v>-1.5</v>
      </c>
      <c r="QUA4765" s="34">
        <v>-1</v>
      </c>
      <c r="QUB4765" s="34">
        <v>-0.5</v>
      </c>
      <c r="QUC4765" s="34">
        <v>0</v>
      </c>
      <c r="QUD4765" s="34">
        <v>0.5</v>
      </c>
      <c r="QUE4765" s="34">
        <v>1</v>
      </c>
      <c r="QUF4765" s="34">
        <v>1.5</v>
      </c>
      <c r="QUG4765" s="34">
        <v>2</v>
      </c>
      <c r="QUH4765" s="34">
        <v>2.5</v>
      </c>
      <c r="QUI4765" s="34">
        <v>3</v>
      </c>
      <c r="QUJ4765" s="34">
        <v>3.5</v>
      </c>
      <c r="QUK4765" s="34">
        <v>4</v>
      </c>
      <c r="QUL4765" s="34">
        <v>4.5</v>
      </c>
      <c r="QUM4765" s="34">
        <v>5</v>
      </c>
      <c r="QUO4765" s="913"/>
      <c r="QUP4765" s="31">
        <v>1</v>
      </c>
      <c r="QUQ4765" s="34">
        <v>0</v>
      </c>
      <c r="QUR4765" s="34">
        <v>-1</v>
      </c>
      <c r="QUS4765" s="34">
        <v>-2</v>
      </c>
      <c r="QUT4765" s="34">
        <v>-3</v>
      </c>
      <c r="QUU4765" s="34">
        <v>-4</v>
      </c>
      <c r="QUV4765" s="34">
        <v>-5</v>
      </c>
      <c r="QUW4765" s="908"/>
      <c r="QUX4765" s="909"/>
      <c r="QUY4765" s="34">
        <v>-5</v>
      </c>
      <c r="QUZ4765" s="34">
        <v>-4.5</v>
      </c>
      <c r="QVA4765" s="34">
        <v>-4</v>
      </c>
      <c r="QVB4765" s="34">
        <v>-3.5</v>
      </c>
      <c r="QVC4765" s="34">
        <v>-3</v>
      </c>
      <c r="QVD4765" s="34">
        <v>-2.5</v>
      </c>
      <c r="QVE4765" s="34">
        <v>-2</v>
      </c>
      <c r="QVF4765" s="34">
        <v>-1.5</v>
      </c>
      <c r="QVG4765" s="34">
        <v>-1</v>
      </c>
      <c r="QVH4765" s="34">
        <v>-0.5</v>
      </c>
      <c r="QVI4765" s="34">
        <v>0</v>
      </c>
      <c r="QVJ4765" s="34">
        <v>0.5</v>
      </c>
      <c r="QVK4765" s="34">
        <v>1</v>
      </c>
      <c r="QVL4765" s="34">
        <v>1.5</v>
      </c>
      <c r="QVM4765" s="34">
        <v>2</v>
      </c>
      <c r="QVN4765" s="34">
        <v>2.5</v>
      </c>
      <c r="QVO4765" s="34">
        <v>3</v>
      </c>
      <c r="QVP4765" s="34">
        <v>3.5</v>
      </c>
      <c r="QVQ4765" s="34">
        <v>4</v>
      </c>
      <c r="QVR4765" s="34">
        <v>4.5</v>
      </c>
      <c r="QVS4765" s="34">
        <v>5</v>
      </c>
      <c r="QVU4765" s="913"/>
      <c r="QVV4765" s="31">
        <v>1</v>
      </c>
      <c r="QVW4765" s="34">
        <v>0</v>
      </c>
      <c r="QVX4765" s="34">
        <v>-1</v>
      </c>
      <c r="QVY4765" s="34">
        <v>-2</v>
      </c>
      <c r="QVZ4765" s="34">
        <v>-3</v>
      </c>
      <c r="QWA4765" s="34">
        <v>-4</v>
      </c>
      <c r="QWB4765" s="34">
        <v>-5</v>
      </c>
      <c r="QWC4765" s="908"/>
      <c r="QWD4765" s="909"/>
      <c r="QWE4765" s="34">
        <v>-5</v>
      </c>
      <c r="QWF4765" s="34">
        <v>-4.5</v>
      </c>
      <c r="QWG4765" s="34">
        <v>-4</v>
      </c>
      <c r="QWH4765" s="34">
        <v>-3.5</v>
      </c>
      <c r="QWI4765" s="34">
        <v>-3</v>
      </c>
      <c r="QWJ4765" s="34">
        <v>-2.5</v>
      </c>
      <c r="QWK4765" s="34">
        <v>-2</v>
      </c>
      <c r="QWL4765" s="34">
        <v>-1.5</v>
      </c>
      <c r="QWM4765" s="34">
        <v>-1</v>
      </c>
      <c r="QWN4765" s="34">
        <v>-0.5</v>
      </c>
      <c r="QWO4765" s="34">
        <v>0</v>
      </c>
      <c r="QWP4765" s="34">
        <v>0.5</v>
      </c>
      <c r="QWQ4765" s="34">
        <v>1</v>
      </c>
      <c r="QWR4765" s="34">
        <v>1.5</v>
      </c>
      <c r="QWS4765" s="34">
        <v>2</v>
      </c>
      <c r="QWT4765" s="34">
        <v>2.5</v>
      </c>
      <c r="QWU4765" s="34">
        <v>3</v>
      </c>
      <c r="QWV4765" s="34">
        <v>3.5</v>
      </c>
      <c r="QWW4765" s="34">
        <v>4</v>
      </c>
      <c r="QWX4765" s="34">
        <v>4.5</v>
      </c>
      <c r="QWY4765" s="34">
        <v>5</v>
      </c>
      <c r="QXA4765" s="913"/>
      <c r="QXB4765" s="31">
        <v>1</v>
      </c>
      <c r="QXC4765" s="34">
        <v>0</v>
      </c>
      <c r="QXD4765" s="34">
        <v>-1</v>
      </c>
      <c r="QXE4765" s="34">
        <v>-2</v>
      </c>
      <c r="QXF4765" s="34">
        <v>-3</v>
      </c>
      <c r="QXG4765" s="34">
        <v>-4</v>
      </c>
      <c r="QXH4765" s="34">
        <v>-5</v>
      </c>
      <c r="QXI4765" s="908"/>
      <c r="QXJ4765" s="909"/>
      <c r="QXK4765" s="34">
        <v>-5</v>
      </c>
      <c r="QXL4765" s="34">
        <v>-4.5</v>
      </c>
      <c r="QXM4765" s="34">
        <v>-4</v>
      </c>
      <c r="QXN4765" s="34">
        <v>-3.5</v>
      </c>
      <c r="QXO4765" s="34">
        <v>-3</v>
      </c>
      <c r="QXP4765" s="34">
        <v>-2.5</v>
      </c>
      <c r="QXQ4765" s="34">
        <v>-2</v>
      </c>
      <c r="QXR4765" s="34">
        <v>-1.5</v>
      </c>
      <c r="QXS4765" s="34">
        <v>-1</v>
      </c>
      <c r="QXT4765" s="34">
        <v>-0.5</v>
      </c>
      <c r="QXU4765" s="34">
        <v>0</v>
      </c>
      <c r="QXV4765" s="34">
        <v>0.5</v>
      </c>
      <c r="QXW4765" s="34">
        <v>1</v>
      </c>
      <c r="QXX4765" s="34">
        <v>1.5</v>
      </c>
      <c r="QXY4765" s="34">
        <v>2</v>
      </c>
      <c r="QXZ4765" s="34">
        <v>2.5</v>
      </c>
      <c r="QYA4765" s="34">
        <v>3</v>
      </c>
      <c r="QYB4765" s="34">
        <v>3.5</v>
      </c>
      <c r="QYC4765" s="34">
        <v>4</v>
      </c>
      <c r="QYD4765" s="34">
        <v>4.5</v>
      </c>
      <c r="QYE4765" s="34">
        <v>5</v>
      </c>
      <c r="QYG4765" s="913"/>
      <c r="QYH4765" s="31">
        <v>1</v>
      </c>
      <c r="QYI4765" s="34">
        <v>0</v>
      </c>
      <c r="QYJ4765" s="34">
        <v>-1</v>
      </c>
      <c r="QYK4765" s="34">
        <v>-2</v>
      </c>
      <c r="QYL4765" s="34">
        <v>-3</v>
      </c>
      <c r="QYM4765" s="34">
        <v>-4</v>
      </c>
      <c r="QYN4765" s="34">
        <v>-5</v>
      </c>
      <c r="QYO4765" s="908"/>
      <c r="QYP4765" s="909"/>
      <c r="QYQ4765" s="34">
        <v>-5</v>
      </c>
      <c r="QYR4765" s="34">
        <v>-4.5</v>
      </c>
      <c r="QYS4765" s="34">
        <v>-4</v>
      </c>
      <c r="QYT4765" s="34">
        <v>-3.5</v>
      </c>
      <c r="QYU4765" s="34">
        <v>-3</v>
      </c>
      <c r="QYV4765" s="34">
        <v>-2.5</v>
      </c>
      <c r="QYW4765" s="34">
        <v>-2</v>
      </c>
      <c r="QYX4765" s="34">
        <v>-1.5</v>
      </c>
      <c r="QYY4765" s="34">
        <v>-1</v>
      </c>
      <c r="QYZ4765" s="34">
        <v>-0.5</v>
      </c>
      <c r="QZA4765" s="34">
        <v>0</v>
      </c>
      <c r="QZB4765" s="34">
        <v>0.5</v>
      </c>
      <c r="QZC4765" s="34">
        <v>1</v>
      </c>
      <c r="QZD4765" s="34">
        <v>1.5</v>
      </c>
      <c r="QZE4765" s="34">
        <v>2</v>
      </c>
      <c r="QZF4765" s="34">
        <v>2.5</v>
      </c>
      <c r="QZG4765" s="34">
        <v>3</v>
      </c>
      <c r="QZH4765" s="34">
        <v>3.5</v>
      </c>
      <c r="QZI4765" s="34">
        <v>4</v>
      </c>
      <c r="QZJ4765" s="34">
        <v>4.5</v>
      </c>
      <c r="QZK4765" s="34">
        <v>5</v>
      </c>
      <c r="QZM4765" s="913"/>
      <c r="QZN4765" s="31">
        <v>1</v>
      </c>
      <c r="QZO4765" s="34">
        <v>0</v>
      </c>
      <c r="QZP4765" s="34">
        <v>-1</v>
      </c>
      <c r="QZQ4765" s="34">
        <v>-2</v>
      </c>
      <c r="QZR4765" s="34">
        <v>-3</v>
      </c>
      <c r="QZS4765" s="34">
        <v>-4</v>
      </c>
      <c r="QZT4765" s="34">
        <v>-5</v>
      </c>
      <c r="QZU4765" s="908"/>
      <c r="QZV4765" s="909"/>
      <c r="QZW4765" s="34">
        <v>-5</v>
      </c>
      <c r="QZX4765" s="34">
        <v>-4.5</v>
      </c>
      <c r="QZY4765" s="34">
        <v>-4</v>
      </c>
      <c r="QZZ4765" s="34">
        <v>-3.5</v>
      </c>
      <c r="RAA4765" s="34">
        <v>-3</v>
      </c>
      <c r="RAB4765" s="34">
        <v>-2.5</v>
      </c>
      <c r="RAC4765" s="34">
        <v>-2</v>
      </c>
      <c r="RAD4765" s="34">
        <v>-1.5</v>
      </c>
      <c r="RAE4765" s="34">
        <v>-1</v>
      </c>
      <c r="RAF4765" s="34">
        <v>-0.5</v>
      </c>
      <c r="RAG4765" s="34">
        <v>0</v>
      </c>
      <c r="RAH4765" s="34">
        <v>0.5</v>
      </c>
      <c r="RAI4765" s="34">
        <v>1</v>
      </c>
      <c r="RAJ4765" s="34">
        <v>1.5</v>
      </c>
      <c r="RAK4765" s="34">
        <v>2</v>
      </c>
      <c r="RAL4765" s="34">
        <v>2.5</v>
      </c>
      <c r="RAM4765" s="34">
        <v>3</v>
      </c>
      <c r="RAN4765" s="34">
        <v>3.5</v>
      </c>
      <c r="RAO4765" s="34">
        <v>4</v>
      </c>
      <c r="RAP4765" s="34">
        <v>4.5</v>
      </c>
      <c r="RAQ4765" s="34">
        <v>5</v>
      </c>
      <c r="RAS4765" s="913"/>
      <c r="RAT4765" s="31">
        <v>1</v>
      </c>
      <c r="RAU4765" s="34">
        <v>0</v>
      </c>
      <c r="RAV4765" s="34">
        <v>-1</v>
      </c>
      <c r="RAW4765" s="34">
        <v>-2</v>
      </c>
      <c r="RAX4765" s="34">
        <v>-3</v>
      </c>
      <c r="RAY4765" s="34">
        <v>-4</v>
      </c>
      <c r="RAZ4765" s="34">
        <v>-5</v>
      </c>
      <c r="RBA4765" s="908"/>
      <c r="RBB4765" s="909"/>
      <c r="RBC4765" s="34">
        <v>-5</v>
      </c>
      <c r="RBD4765" s="34">
        <v>-4.5</v>
      </c>
      <c r="RBE4765" s="34">
        <v>-4</v>
      </c>
      <c r="RBF4765" s="34">
        <v>-3.5</v>
      </c>
      <c r="RBG4765" s="34">
        <v>-3</v>
      </c>
      <c r="RBH4765" s="34">
        <v>-2.5</v>
      </c>
      <c r="RBI4765" s="34">
        <v>-2</v>
      </c>
      <c r="RBJ4765" s="34">
        <v>-1.5</v>
      </c>
      <c r="RBK4765" s="34">
        <v>-1</v>
      </c>
      <c r="RBL4765" s="34">
        <v>-0.5</v>
      </c>
      <c r="RBM4765" s="34">
        <v>0</v>
      </c>
      <c r="RBN4765" s="34">
        <v>0.5</v>
      </c>
      <c r="RBO4765" s="34">
        <v>1</v>
      </c>
      <c r="RBP4765" s="34">
        <v>1.5</v>
      </c>
      <c r="RBQ4765" s="34">
        <v>2</v>
      </c>
      <c r="RBR4765" s="34">
        <v>2.5</v>
      </c>
      <c r="RBS4765" s="34">
        <v>3</v>
      </c>
      <c r="RBT4765" s="34">
        <v>3.5</v>
      </c>
      <c r="RBU4765" s="34">
        <v>4</v>
      </c>
      <c r="RBV4765" s="34">
        <v>4.5</v>
      </c>
      <c r="RBW4765" s="34">
        <v>5</v>
      </c>
      <c r="RBY4765" s="913"/>
      <c r="RBZ4765" s="31">
        <v>1</v>
      </c>
      <c r="RCA4765" s="34">
        <v>0</v>
      </c>
      <c r="RCB4765" s="34">
        <v>-1</v>
      </c>
      <c r="RCC4765" s="34">
        <v>-2</v>
      </c>
      <c r="RCD4765" s="34">
        <v>-3</v>
      </c>
      <c r="RCE4765" s="34">
        <v>-4</v>
      </c>
      <c r="RCF4765" s="34">
        <v>-5</v>
      </c>
      <c r="RCG4765" s="908"/>
      <c r="RCH4765" s="909"/>
      <c r="RCI4765" s="34">
        <v>-5</v>
      </c>
      <c r="RCJ4765" s="34">
        <v>-4.5</v>
      </c>
      <c r="RCK4765" s="34">
        <v>-4</v>
      </c>
      <c r="RCL4765" s="34">
        <v>-3.5</v>
      </c>
      <c r="RCM4765" s="34">
        <v>-3</v>
      </c>
      <c r="RCN4765" s="34">
        <v>-2.5</v>
      </c>
      <c r="RCO4765" s="34">
        <v>-2</v>
      </c>
      <c r="RCP4765" s="34">
        <v>-1.5</v>
      </c>
      <c r="RCQ4765" s="34">
        <v>-1</v>
      </c>
      <c r="RCR4765" s="34">
        <v>-0.5</v>
      </c>
      <c r="RCS4765" s="34">
        <v>0</v>
      </c>
      <c r="RCT4765" s="34">
        <v>0.5</v>
      </c>
      <c r="RCU4765" s="34">
        <v>1</v>
      </c>
      <c r="RCV4765" s="34">
        <v>1.5</v>
      </c>
      <c r="RCW4765" s="34">
        <v>2</v>
      </c>
      <c r="RCX4765" s="34">
        <v>2.5</v>
      </c>
      <c r="RCY4765" s="34">
        <v>3</v>
      </c>
      <c r="RCZ4765" s="34">
        <v>3.5</v>
      </c>
      <c r="RDA4765" s="34">
        <v>4</v>
      </c>
      <c r="RDB4765" s="34">
        <v>4.5</v>
      </c>
      <c r="RDC4765" s="34">
        <v>5</v>
      </c>
      <c r="RDE4765" s="913"/>
      <c r="RDF4765" s="31">
        <v>1</v>
      </c>
      <c r="RDG4765" s="34">
        <v>0</v>
      </c>
      <c r="RDH4765" s="34">
        <v>-1</v>
      </c>
      <c r="RDI4765" s="34">
        <v>-2</v>
      </c>
      <c r="RDJ4765" s="34">
        <v>-3</v>
      </c>
      <c r="RDK4765" s="34">
        <v>-4</v>
      </c>
      <c r="RDL4765" s="34">
        <v>-5</v>
      </c>
      <c r="RDM4765" s="908"/>
      <c r="RDN4765" s="909"/>
      <c r="RDO4765" s="34">
        <v>-5</v>
      </c>
      <c r="RDP4765" s="34">
        <v>-4.5</v>
      </c>
      <c r="RDQ4765" s="34">
        <v>-4</v>
      </c>
      <c r="RDR4765" s="34">
        <v>-3.5</v>
      </c>
      <c r="RDS4765" s="34">
        <v>-3</v>
      </c>
      <c r="RDT4765" s="34">
        <v>-2.5</v>
      </c>
      <c r="RDU4765" s="34">
        <v>-2</v>
      </c>
      <c r="RDV4765" s="34">
        <v>-1.5</v>
      </c>
      <c r="RDW4765" s="34">
        <v>-1</v>
      </c>
      <c r="RDX4765" s="34">
        <v>-0.5</v>
      </c>
      <c r="RDY4765" s="34">
        <v>0</v>
      </c>
      <c r="RDZ4765" s="34">
        <v>0.5</v>
      </c>
      <c r="REA4765" s="34">
        <v>1</v>
      </c>
      <c r="REB4765" s="34">
        <v>1.5</v>
      </c>
      <c r="REC4765" s="34">
        <v>2</v>
      </c>
      <c r="RED4765" s="34">
        <v>2.5</v>
      </c>
      <c r="REE4765" s="34">
        <v>3</v>
      </c>
      <c r="REF4765" s="34">
        <v>3.5</v>
      </c>
      <c r="REG4765" s="34">
        <v>4</v>
      </c>
      <c r="REH4765" s="34">
        <v>4.5</v>
      </c>
      <c r="REI4765" s="34">
        <v>5</v>
      </c>
      <c r="REK4765" s="913"/>
      <c r="REL4765" s="31">
        <v>1</v>
      </c>
      <c r="REM4765" s="34">
        <v>0</v>
      </c>
      <c r="REN4765" s="34">
        <v>-1</v>
      </c>
      <c r="REO4765" s="34">
        <v>-2</v>
      </c>
      <c r="REP4765" s="34">
        <v>-3</v>
      </c>
      <c r="REQ4765" s="34">
        <v>-4</v>
      </c>
      <c r="RER4765" s="34">
        <v>-5</v>
      </c>
      <c r="RES4765" s="908"/>
      <c r="RET4765" s="909"/>
      <c r="REU4765" s="34">
        <v>-5</v>
      </c>
      <c r="REV4765" s="34">
        <v>-4.5</v>
      </c>
      <c r="REW4765" s="34">
        <v>-4</v>
      </c>
      <c r="REX4765" s="34">
        <v>-3.5</v>
      </c>
      <c r="REY4765" s="34">
        <v>-3</v>
      </c>
      <c r="REZ4765" s="34">
        <v>-2.5</v>
      </c>
      <c r="RFA4765" s="34">
        <v>-2</v>
      </c>
      <c r="RFB4765" s="34">
        <v>-1.5</v>
      </c>
      <c r="RFC4765" s="34">
        <v>-1</v>
      </c>
      <c r="RFD4765" s="34">
        <v>-0.5</v>
      </c>
      <c r="RFE4765" s="34">
        <v>0</v>
      </c>
      <c r="RFF4765" s="34">
        <v>0.5</v>
      </c>
      <c r="RFG4765" s="34">
        <v>1</v>
      </c>
      <c r="RFH4765" s="34">
        <v>1.5</v>
      </c>
      <c r="RFI4765" s="34">
        <v>2</v>
      </c>
      <c r="RFJ4765" s="34">
        <v>2.5</v>
      </c>
      <c r="RFK4765" s="34">
        <v>3</v>
      </c>
      <c r="RFL4765" s="34">
        <v>3.5</v>
      </c>
      <c r="RFM4765" s="34">
        <v>4</v>
      </c>
      <c r="RFN4765" s="34">
        <v>4.5</v>
      </c>
      <c r="RFO4765" s="34">
        <v>5</v>
      </c>
      <c r="RFQ4765" s="913"/>
      <c r="RFR4765" s="31">
        <v>1</v>
      </c>
      <c r="RFS4765" s="34">
        <v>0</v>
      </c>
      <c r="RFT4765" s="34">
        <v>-1</v>
      </c>
      <c r="RFU4765" s="34">
        <v>-2</v>
      </c>
      <c r="RFV4765" s="34">
        <v>-3</v>
      </c>
      <c r="RFW4765" s="34">
        <v>-4</v>
      </c>
      <c r="RFX4765" s="34">
        <v>-5</v>
      </c>
      <c r="RFY4765" s="908"/>
      <c r="RFZ4765" s="909"/>
      <c r="RGA4765" s="34">
        <v>-5</v>
      </c>
      <c r="RGB4765" s="34">
        <v>-4.5</v>
      </c>
      <c r="RGC4765" s="34">
        <v>-4</v>
      </c>
      <c r="RGD4765" s="34">
        <v>-3.5</v>
      </c>
      <c r="RGE4765" s="34">
        <v>-3</v>
      </c>
      <c r="RGF4765" s="34">
        <v>-2.5</v>
      </c>
      <c r="RGG4765" s="34">
        <v>-2</v>
      </c>
      <c r="RGH4765" s="34">
        <v>-1.5</v>
      </c>
      <c r="RGI4765" s="34">
        <v>-1</v>
      </c>
      <c r="RGJ4765" s="34">
        <v>-0.5</v>
      </c>
      <c r="RGK4765" s="34">
        <v>0</v>
      </c>
      <c r="RGL4765" s="34">
        <v>0.5</v>
      </c>
      <c r="RGM4765" s="34">
        <v>1</v>
      </c>
      <c r="RGN4765" s="34">
        <v>1.5</v>
      </c>
      <c r="RGO4765" s="34">
        <v>2</v>
      </c>
      <c r="RGP4765" s="34">
        <v>2.5</v>
      </c>
      <c r="RGQ4765" s="34">
        <v>3</v>
      </c>
      <c r="RGR4765" s="34">
        <v>3.5</v>
      </c>
      <c r="RGS4765" s="34">
        <v>4</v>
      </c>
      <c r="RGT4765" s="34">
        <v>4.5</v>
      </c>
      <c r="RGU4765" s="34">
        <v>5</v>
      </c>
      <c r="RGW4765" s="913"/>
      <c r="RGX4765" s="31">
        <v>1</v>
      </c>
      <c r="RGY4765" s="34">
        <v>0</v>
      </c>
      <c r="RGZ4765" s="34">
        <v>-1</v>
      </c>
      <c r="RHA4765" s="34">
        <v>-2</v>
      </c>
      <c r="RHB4765" s="34">
        <v>-3</v>
      </c>
      <c r="RHC4765" s="34">
        <v>-4</v>
      </c>
      <c r="RHD4765" s="34">
        <v>-5</v>
      </c>
      <c r="RHE4765" s="908"/>
      <c r="RHF4765" s="909"/>
      <c r="RHG4765" s="34">
        <v>-5</v>
      </c>
      <c r="RHH4765" s="34">
        <v>-4.5</v>
      </c>
      <c r="RHI4765" s="34">
        <v>-4</v>
      </c>
      <c r="RHJ4765" s="34">
        <v>-3.5</v>
      </c>
      <c r="RHK4765" s="34">
        <v>-3</v>
      </c>
      <c r="RHL4765" s="34">
        <v>-2.5</v>
      </c>
      <c r="RHM4765" s="34">
        <v>-2</v>
      </c>
      <c r="RHN4765" s="34">
        <v>-1.5</v>
      </c>
      <c r="RHO4765" s="34">
        <v>-1</v>
      </c>
      <c r="RHP4765" s="34">
        <v>-0.5</v>
      </c>
      <c r="RHQ4765" s="34">
        <v>0</v>
      </c>
      <c r="RHR4765" s="34">
        <v>0.5</v>
      </c>
      <c r="RHS4765" s="34">
        <v>1</v>
      </c>
      <c r="RHT4765" s="34">
        <v>1.5</v>
      </c>
      <c r="RHU4765" s="34">
        <v>2</v>
      </c>
      <c r="RHV4765" s="34">
        <v>2.5</v>
      </c>
      <c r="RHW4765" s="34">
        <v>3</v>
      </c>
      <c r="RHX4765" s="34">
        <v>3.5</v>
      </c>
      <c r="RHY4765" s="34">
        <v>4</v>
      </c>
      <c r="RHZ4765" s="34">
        <v>4.5</v>
      </c>
      <c r="RIA4765" s="34">
        <v>5</v>
      </c>
      <c r="RIC4765" s="913"/>
      <c r="RID4765" s="31">
        <v>1</v>
      </c>
      <c r="RIE4765" s="34">
        <v>0</v>
      </c>
      <c r="RIF4765" s="34">
        <v>-1</v>
      </c>
      <c r="RIG4765" s="34">
        <v>-2</v>
      </c>
      <c r="RIH4765" s="34">
        <v>-3</v>
      </c>
      <c r="RII4765" s="34">
        <v>-4</v>
      </c>
      <c r="RIJ4765" s="34">
        <v>-5</v>
      </c>
      <c r="RIK4765" s="908"/>
      <c r="RIL4765" s="909"/>
      <c r="RIM4765" s="34">
        <v>-5</v>
      </c>
      <c r="RIN4765" s="34">
        <v>-4.5</v>
      </c>
      <c r="RIO4765" s="34">
        <v>-4</v>
      </c>
      <c r="RIP4765" s="34">
        <v>-3.5</v>
      </c>
      <c r="RIQ4765" s="34">
        <v>-3</v>
      </c>
      <c r="RIR4765" s="34">
        <v>-2.5</v>
      </c>
      <c r="RIS4765" s="34">
        <v>-2</v>
      </c>
      <c r="RIT4765" s="34">
        <v>-1.5</v>
      </c>
      <c r="RIU4765" s="34">
        <v>-1</v>
      </c>
      <c r="RIV4765" s="34">
        <v>-0.5</v>
      </c>
      <c r="RIW4765" s="34">
        <v>0</v>
      </c>
      <c r="RIX4765" s="34">
        <v>0.5</v>
      </c>
      <c r="RIY4765" s="34">
        <v>1</v>
      </c>
      <c r="RIZ4765" s="34">
        <v>1.5</v>
      </c>
      <c r="RJA4765" s="34">
        <v>2</v>
      </c>
      <c r="RJB4765" s="34">
        <v>2.5</v>
      </c>
      <c r="RJC4765" s="34">
        <v>3</v>
      </c>
      <c r="RJD4765" s="34">
        <v>3.5</v>
      </c>
      <c r="RJE4765" s="34">
        <v>4</v>
      </c>
      <c r="RJF4765" s="34">
        <v>4.5</v>
      </c>
      <c r="RJG4765" s="34">
        <v>5</v>
      </c>
      <c r="RJI4765" s="913"/>
      <c r="RJJ4765" s="31">
        <v>1</v>
      </c>
      <c r="RJK4765" s="34">
        <v>0</v>
      </c>
      <c r="RJL4765" s="34">
        <v>-1</v>
      </c>
      <c r="RJM4765" s="34">
        <v>-2</v>
      </c>
      <c r="RJN4765" s="34">
        <v>-3</v>
      </c>
      <c r="RJO4765" s="34">
        <v>-4</v>
      </c>
      <c r="RJP4765" s="34">
        <v>-5</v>
      </c>
      <c r="RJQ4765" s="908"/>
      <c r="RJR4765" s="909"/>
      <c r="RJS4765" s="34">
        <v>-5</v>
      </c>
      <c r="RJT4765" s="34">
        <v>-4.5</v>
      </c>
      <c r="RJU4765" s="34">
        <v>-4</v>
      </c>
      <c r="RJV4765" s="34">
        <v>-3.5</v>
      </c>
      <c r="RJW4765" s="34">
        <v>-3</v>
      </c>
      <c r="RJX4765" s="34">
        <v>-2.5</v>
      </c>
      <c r="RJY4765" s="34">
        <v>-2</v>
      </c>
      <c r="RJZ4765" s="34">
        <v>-1.5</v>
      </c>
      <c r="RKA4765" s="34">
        <v>-1</v>
      </c>
      <c r="RKB4765" s="34">
        <v>-0.5</v>
      </c>
      <c r="RKC4765" s="34">
        <v>0</v>
      </c>
      <c r="RKD4765" s="34">
        <v>0.5</v>
      </c>
      <c r="RKE4765" s="34">
        <v>1</v>
      </c>
      <c r="RKF4765" s="34">
        <v>1.5</v>
      </c>
      <c r="RKG4765" s="34">
        <v>2</v>
      </c>
      <c r="RKH4765" s="34">
        <v>2.5</v>
      </c>
      <c r="RKI4765" s="34">
        <v>3</v>
      </c>
      <c r="RKJ4765" s="34">
        <v>3.5</v>
      </c>
      <c r="RKK4765" s="34">
        <v>4</v>
      </c>
      <c r="RKL4765" s="34">
        <v>4.5</v>
      </c>
      <c r="RKM4765" s="34">
        <v>5</v>
      </c>
      <c r="RKO4765" s="913"/>
      <c r="RKP4765" s="31">
        <v>1</v>
      </c>
      <c r="RKQ4765" s="34">
        <v>0</v>
      </c>
      <c r="RKR4765" s="34">
        <v>-1</v>
      </c>
      <c r="RKS4765" s="34">
        <v>-2</v>
      </c>
      <c r="RKT4765" s="34">
        <v>-3</v>
      </c>
      <c r="RKU4765" s="34">
        <v>-4</v>
      </c>
      <c r="RKV4765" s="34">
        <v>-5</v>
      </c>
      <c r="RKW4765" s="908"/>
      <c r="RKX4765" s="909"/>
      <c r="RKY4765" s="34">
        <v>-5</v>
      </c>
      <c r="RKZ4765" s="34">
        <v>-4.5</v>
      </c>
      <c r="RLA4765" s="34">
        <v>-4</v>
      </c>
      <c r="RLB4765" s="34">
        <v>-3.5</v>
      </c>
      <c r="RLC4765" s="34">
        <v>-3</v>
      </c>
      <c r="RLD4765" s="34">
        <v>-2.5</v>
      </c>
      <c r="RLE4765" s="34">
        <v>-2</v>
      </c>
      <c r="RLF4765" s="34">
        <v>-1.5</v>
      </c>
      <c r="RLG4765" s="34">
        <v>-1</v>
      </c>
      <c r="RLH4765" s="34">
        <v>-0.5</v>
      </c>
      <c r="RLI4765" s="34">
        <v>0</v>
      </c>
      <c r="RLJ4765" s="34">
        <v>0.5</v>
      </c>
      <c r="RLK4765" s="34">
        <v>1</v>
      </c>
      <c r="RLL4765" s="34">
        <v>1.5</v>
      </c>
      <c r="RLM4765" s="34">
        <v>2</v>
      </c>
      <c r="RLN4765" s="34">
        <v>2.5</v>
      </c>
      <c r="RLO4765" s="34">
        <v>3</v>
      </c>
      <c r="RLP4765" s="34">
        <v>3.5</v>
      </c>
      <c r="RLQ4765" s="34">
        <v>4</v>
      </c>
      <c r="RLR4765" s="34">
        <v>4.5</v>
      </c>
      <c r="RLS4765" s="34">
        <v>5</v>
      </c>
      <c r="RLU4765" s="913"/>
      <c r="RLV4765" s="31">
        <v>1</v>
      </c>
      <c r="RLW4765" s="34">
        <v>0</v>
      </c>
      <c r="RLX4765" s="34">
        <v>-1</v>
      </c>
      <c r="RLY4765" s="34">
        <v>-2</v>
      </c>
      <c r="RLZ4765" s="34">
        <v>-3</v>
      </c>
      <c r="RMA4765" s="34">
        <v>-4</v>
      </c>
      <c r="RMB4765" s="34">
        <v>-5</v>
      </c>
      <c r="RMC4765" s="908"/>
      <c r="RMD4765" s="909"/>
      <c r="RME4765" s="34">
        <v>-5</v>
      </c>
      <c r="RMF4765" s="34">
        <v>-4.5</v>
      </c>
      <c r="RMG4765" s="34">
        <v>-4</v>
      </c>
      <c r="RMH4765" s="34">
        <v>-3.5</v>
      </c>
      <c r="RMI4765" s="34">
        <v>-3</v>
      </c>
      <c r="RMJ4765" s="34">
        <v>-2.5</v>
      </c>
      <c r="RMK4765" s="34">
        <v>-2</v>
      </c>
      <c r="RML4765" s="34">
        <v>-1.5</v>
      </c>
      <c r="RMM4765" s="34">
        <v>-1</v>
      </c>
      <c r="RMN4765" s="34">
        <v>-0.5</v>
      </c>
      <c r="RMO4765" s="34">
        <v>0</v>
      </c>
      <c r="RMP4765" s="34">
        <v>0.5</v>
      </c>
      <c r="RMQ4765" s="34">
        <v>1</v>
      </c>
      <c r="RMR4765" s="34">
        <v>1.5</v>
      </c>
      <c r="RMS4765" s="34">
        <v>2</v>
      </c>
      <c r="RMT4765" s="34">
        <v>2.5</v>
      </c>
      <c r="RMU4765" s="34">
        <v>3</v>
      </c>
      <c r="RMV4765" s="34">
        <v>3.5</v>
      </c>
      <c r="RMW4765" s="34">
        <v>4</v>
      </c>
      <c r="RMX4765" s="34">
        <v>4.5</v>
      </c>
      <c r="RMY4765" s="34">
        <v>5</v>
      </c>
      <c r="RNA4765" s="913"/>
      <c r="RNB4765" s="31">
        <v>1</v>
      </c>
      <c r="RNC4765" s="34">
        <v>0</v>
      </c>
      <c r="RND4765" s="34">
        <v>-1</v>
      </c>
      <c r="RNE4765" s="34">
        <v>-2</v>
      </c>
      <c r="RNF4765" s="34">
        <v>-3</v>
      </c>
      <c r="RNG4765" s="34">
        <v>-4</v>
      </c>
      <c r="RNH4765" s="34">
        <v>-5</v>
      </c>
      <c r="RNI4765" s="908"/>
      <c r="RNJ4765" s="909"/>
      <c r="RNK4765" s="34">
        <v>-5</v>
      </c>
      <c r="RNL4765" s="34">
        <v>-4.5</v>
      </c>
      <c r="RNM4765" s="34">
        <v>-4</v>
      </c>
      <c r="RNN4765" s="34">
        <v>-3.5</v>
      </c>
      <c r="RNO4765" s="34">
        <v>-3</v>
      </c>
      <c r="RNP4765" s="34">
        <v>-2.5</v>
      </c>
      <c r="RNQ4765" s="34">
        <v>-2</v>
      </c>
      <c r="RNR4765" s="34">
        <v>-1.5</v>
      </c>
      <c r="RNS4765" s="34">
        <v>-1</v>
      </c>
      <c r="RNT4765" s="34">
        <v>-0.5</v>
      </c>
      <c r="RNU4765" s="34">
        <v>0</v>
      </c>
      <c r="RNV4765" s="34">
        <v>0.5</v>
      </c>
      <c r="RNW4765" s="34">
        <v>1</v>
      </c>
      <c r="RNX4765" s="34">
        <v>1.5</v>
      </c>
      <c r="RNY4765" s="34">
        <v>2</v>
      </c>
      <c r="RNZ4765" s="34">
        <v>2.5</v>
      </c>
      <c r="ROA4765" s="34">
        <v>3</v>
      </c>
      <c r="ROB4765" s="34">
        <v>3.5</v>
      </c>
      <c r="ROC4765" s="34">
        <v>4</v>
      </c>
      <c r="ROD4765" s="34">
        <v>4.5</v>
      </c>
      <c r="ROE4765" s="34">
        <v>5</v>
      </c>
      <c r="ROG4765" s="913"/>
      <c r="ROH4765" s="31">
        <v>1</v>
      </c>
      <c r="ROI4765" s="34">
        <v>0</v>
      </c>
      <c r="ROJ4765" s="34">
        <v>-1</v>
      </c>
      <c r="ROK4765" s="34">
        <v>-2</v>
      </c>
      <c r="ROL4765" s="34">
        <v>-3</v>
      </c>
      <c r="ROM4765" s="34">
        <v>-4</v>
      </c>
      <c r="RON4765" s="34">
        <v>-5</v>
      </c>
      <c r="ROO4765" s="908"/>
      <c r="ROP4765" s="909"/>
      <c r="ROQ4765" s="34">
        <v>-5</v>
      </c>
      <c r="ROR4765" s="34">
        <v>-4.5</v>
      </c>
      <c r="ROS4765" s="34">
        <v>-4</v>
      </c>
      <c r="ROT4765" s="34">
        <v>-3.5</v>
      </c>
      <c r="ROU4765" s="34">
        <v>-3</v>
      </c>
      <c r="ROV4765" s="34">
        <v>-2.5</v>
      </c>
      <c r="ROW4765" s="34">
        <v>-2</v>
      </c>
      <c r="ROX4765" s="34">
        <v>-1.5</v>
      </c>
      <c r="ROY4765" s="34">
        <v>-1</v>
      </c>
      <c r="ROZ4765" s="34">
        <v>-0.5</v>
      </c>
      <c r="RPA4765" s="34">
        <v>0</v>
      </c>
      <c r="RPB4765" s="34">
        <v>0.5</v>
      </c>
      <c r="RPC4765" s="34">
        <v>1</v>
      </c>
      <c r="RPD4765" s="34">
        <v>1.5</v>
      </c>
      <c r="RPE4765" s="34">
        <v>2</v>
      </c>
      <c r="RPF4765" s="34">
        <v>2.5</v>
      </c>
      <c r="RPG4765" s="34">
        <v>3</v>
      </c>
      <c r="RPH4765" s="34">
        <v>3.5</v>
      </c>
      <c r="RPI4765" s="34">
        <v>4</v>
      </c>
      <c r="RPJ4765" s="34">
        <v>4.5</v>
      </c>
      <c r="RPK4765" s="34">
        <v>5</v>
      </c>
      <c r="RPM4765" s="913"/>
      <c r="RPN4765" s="31">
        <v>1</v>
      </c>
      <c r="RPO4765" s="34">
        <v>0</v>
      </c>
      <c r="RPP4765" s="34">
        <v>-1</v>
      </c>
      <c r="RPQ4765" s="34">
        <v>-2</v>
      </c>
      <c r="RPR4765" s="34">
        <v>-3</v>
      </c>
      <c r="RPS4765" s="34">
        <v>-4</v>
      </c>
      <c r="RPT4765" s="34">
        <v>-5</v>
      </c>
      <c r="RPU4765" s="908"/>
      <c r="RPV4765" s="909"/>
      <c r="RPW4765" s="34">
        <v>-5</v>
      </c>
      <c r="RPX4765" s="34">
        <v>-4.5</v>
      </c>
      <c r="RPY4765" s="34">
        <v>-4</v>
      </c>
      <c r="RPZ4765" s="34">
        <v>-3.5</v>
      </c>
      <c r="RQA4765" s="34">
        <v>-3</v>
      </c>
      <c r="RQB4765" s="34">
        <v>-2.5</v>
      </c>
      <c r="RQC4765" s="34">
        <v>-2</v>
      </c>
      <c r="RQD4765" s="34">
        <v>-1.5</v>
      </c>
      <c r="RQE4765" s="34">
        <v>-1</v>
      </c>
      <c r="RQF4765" s="34">
        <v>-0.5</v>
      </c>
      <c r="RQG4765" s="34">
        <v>0</v>
      </c>
      <c r="RQH4765" s="34">
        <v>0.5</v>
      </c>
      <c r="RQI4765" s="34">
        <v>1</v>
      </c>
      <c r="RQJ4765" s="34">
        <v>1.5</v>
      </c>
      <c r="RQK4765" s="34">
        <v>2</v>
      </c>
      <c r="RQL4765" s="34">
        <v>2.5</v>
      </c>
      <c r="RQM4765" s="34">
        <v>3</v>
      </c>
      <c r="RQN4765" s="34">
        <v>3.5</v>
      </c>
      <c r="RQO4765" s="34">
        <v>4</v>
      </c>
      <c r="RQP4765" s="34">
        <v>4.5</v>
      </c>
      <c r="RQQ4765" s="34">
        <v>5</v>
      </c>
      <c r="RQS4765" s="913"/>
      <c r="RQT4765" s="31">
        <v>1</v>
      </c>
      <c r="RQU4765" s="34">
        <v>0</v>
      </c>
      <c r="RQV4765" s="34">
        <v>-1</v>
      </c>
      <c r="RQW4765" s="34">
        <v>-2</v>
      </c>
      <c r="RQX4765" s="34">
        <v>-3</v>
      </c>
      <c r="RQY4765" s="34">
        <v>-4</v>
      </c>
      <c r="RQZ4765" s="34">
        <v>-5</v>
      </c>
      <c r="RRA4765" s="908"/>
      <c r="RRB4765" s="909"/>
      <c r="RRC4765" s="34">
        <v>-5</v>
      </c>
      <c r="RRD4765" s="34">
        <v>-4.5</v>
      </c>
      <c r="RRE4765" s="34">
        <v>-4</v>
      </c>
      <c r="RRF4765" s="34">
        <v>-3.5</v>
      </c>
      <c r="RRG4765" s="34">
        <v>-3</v>
      </c>
      <c r="RRH4765" s="34">
        <v>-2.5</v>
      </c>
      <c r="RRI4765" s="34">
        <v>-2</v>
      </c>
      <c r="RRJ4765" s="34">
        <v>-1.5</v>
      </c>
      <c r="RRK4765" s="34">
        <v>-1</v>
      </c>
      <c r="RRL4765" s="34">
        <v>-0.5</v>
      </c>
      <c r="RRM4765" s="34">
        <v>0</v>
      </c>
      <c r="RRN4765" s="34">
        <v>0.5</v>
      </c>
      <c r="RRO4765" s="34">
        <v>1</v>
      </c>
      <c r="RRP4765" s="34">
        <v>1.5</v>
      </c>
      <c r="RRQ4765" s="34">
        <v>2</v>
      </c>
      <c r="RRR4765" s="34">
        <v>2.5</v>
      </c>
      <c r="RRS4765" s="34">
        <v>3</v>
      </c>
      <c r="RRT4765" s="34">
        <v>3.5</v>
      </c>
      <c r="RRU4765" s="34">
        <v>4</v>
      </c>
      <c r="RRV4765" s="34">
        <v>4.5</v>
      </c>
      <c r="RRW4765" s="34">
        <v>5</v>
      </c>
      <c r="RRY4765" s="913"/>
      <c r="RRZ4765" s="31">
        <v>1</v>
      </c>
      <c r="RSA4765" s="34">
        <v>0</v>
      </c>
      <c r="RSB4765" s="34">
        <v>-1</v>
      </c>
      <c r="RSC4765" s="34">
        <v>-2</v>
      </c>
      <c r="RSD4765" s="34">
        <v>-3</v>
      </c>
      <c r="RSE4765" s="34">
        <v>-4</v>
      </c>
      <c r="RSF4765" s="34">
        <v>-5</v>
      </c>
      <c r="RSG4765" s="908"/>
      <c r="RSH4765" s="909"/>
      <c r="RSI4765" s="34">
        <v>-5</v>
      </c>
      <c r="RSJ4765" s="34">
        <v>-4.5</v>
      </c>
      <c r="RSK4765" s="34">
        <v>-4</v>
      </c>
      <c r="RSL4765" s="34">
        <v>-3.5</v>
      </c>
      <c r="RSM4765" s="34">
        <v>-3</v>
      </c>
      <c r="RSN4765" s="34">
        <v>-2.5</v>
      </c>
      <c r="RSO4765" s="34">
        <v>-2</v>
      </c>
      <c r="RSP4765" s="34">
        <v>-1.5</v>
      </c>
      <c r="RSQ4765" s="34">
        <v>-1</v>
      </c>
      <c r="RSR4765" s="34">
        <v>-0.5</v>
      </c>
      <c r="RSS4765" s="34">
        <v>0</v>
      </c>
      <c r="RST4765" s="34">
        <v>0.5</v>
      </c>
      <c r="RSU4765" s="34">
        <v>1</v>
      </c>
      <c r="RSV4765" s="34">
        <v>1.5</v>
      </c>
      <c r="RSW4765" s="34">
        <v>2</v>
      </c>
      <c r="RSX4765" s="34">
        <v>2.5</v>
      </c>
      <c r="RSY4765" s="34">
        <v>3</v>
      </c>
      <c r="RSZ4765" s="34">
        <v>3.5</v>
      </c>
      <c r="RTA4765" s="34">
        <v>4</v>
      </c>
      <c r="RTB4765" s="34">
        <v>4.5</v>
      </c>
      <c r="RTC4765" s="34">
        <v>5</v>
      </c>
      <c r="RTE4765" s="913"/>
      <c r="RTF4765" s="31">
        <v>1</v>
      </c>
      <c r="RTG4765" s="34">
        <v>0</v>
      </c>
      <c r="RTH4765" s="34">
        <v>-1</v>
      </c>
      <c r="RTI4765" s="34">
        <v>-2</v>
      </c>
      <c r="RTJ4765" s="34">
        <v>-3</v>
      </c>
      <c r="RTK4765" s="34">
        <v>-4</v>
      </c>
      <c r="RTL4765" s="34">
        <v>-5</v>
      </c>
      <c r="RTM4765" s="908"/>
      <c r="RTN4765" s="909"/>
      <c r="RTO4765" s="34">
        <v>-5</v>
      </c>
      <c r="RTP4765" s="34">
        <v>-4.5</v>
      </c>
      <c r="RTQ4765" s="34">
        <v>-4</v>
      </c>
      <c r="RTR4765" s="34">
        <v>-3.5</v>
      </c>
      <c r="RTS4765" s="34">
        <v>-3</v>
      </c>
      <c r="RTT4765" s="34">
        <v>-2.5</v>
      </c>
      <c r="RTU4765" s="34">
        <v>-2</v>
      </c>
      <c r="RTV4765" s="34">
        <v>-1.5</v>
      </c>
      <c r="RTW4765" s="34">
        <v>-1</v>
      </c>
      <c r="RTX4765" s="34">
        <v>-0.5</v>
      </c>
      <c r="RTY4765" s="34">
        <v>0</v>
      </c>
      <c r="RTZ4765" s="34">
        <v>0.5</v>
      </c>
      <c r="RUA4765" s="34">
        <v>1</v>
      </c>
      <c r="RUB4765" s="34">
        <v>1.5</v>
      </c>
      <c r="RUC4765" s="34">
        <v>2</v>
      </c>
      <c r="RUD4765" s="34">
        <v>2.5</v>
      </c>
      <c r="RUE4765" s="34">
        <v>3</v>
      </c>
      <c r="RUF4765" s="34">
        <v>3.5</v>
      </c>
      <c r="RUG4765" s="34">
        <v>4</v>
      </c>
      <c r="RUH4765" s="34">
        <v>4.5</v>
      </c>
      <c r="RUI4765" s="34">
        <v>5</v>
      </c>
      <c r="RUK4765" s="913"/>
      <c r="RUL4765" s="31">
        <v>1</v>
      </c>
      <c r="RUM4765" s="34">
        <v>0</v>
      </c>
      <c r="RUN4765" s="34">
        <v>-1</v>
      </c>
      <c r="RUO4765" s="34">
        <v>-2</v>
      </c>
      <c r="RUP4765" s="34">
        <v>-3</v>
      </c>
      <c r="RUQ4765" s="34">
        <v>-4</v>
      </c>
      <c r="RUR4765" s="34">
        <v>-5</v>
      </c>
      <c r="RUS4765" s="908"/>
      <c r="RUT4765" s="909"/>
      <c r="RUU4765" s="34">
        <v>-5</v>
      </c>
      <c r="RUV4765" s="34">
        <v>-4.5</v>
      </c>
      <c r="RUW4765" s="34">
        <v>-4</v>
      </c>
      <c r="RUX4765" s="34">
        <v>-3.5</v>
      </c>
      <c r="RUY4765" s="34">
        <v>-3</v>
      </c>
      <c r="RUZ4765" s="34">
        <v>-2.5</v>
      </c>
      <c r="RVA4765" s="34">
        <v>-2</v>
      </c>
      <c r="RVB4765" s="34">
        <v>-1.5</v>
      </c>
      <c r="RVC4765" s="34">
        <v>-1</v>
      </c>
      <c r="RVD4765" s="34">
        <v>-0.5</v>
      </c>
      <c r="RVE4765" s="34">
        <v>0</v>
      </c>
      <c r="RVF4765" s="34">
        <v>0.5</v>
      </c>
      <c r="RVG4765" s="34">
        <v>1</v>
      </c>
      <c r="RVH4765" s="34">
        <v>1.5</v>
      </c>
      <c r="RVI4765" s="34">
        <v>2</v>
      </c>
      <c r="RVJ4765" s="34">
        <v>2.5</v>
      </c>
      <c r="RVK4765" s="34">
        <v>3</v>
      </c>
      <c r="RVL4765" s="34">
        <v>3.5</v>
      </c>
      <c r="RVM4765" s="34">
        <v>4</v>
      </c>
      <c r="RVN4765" s="34">
        <v>4.5</v>
      </c>
      <c r="RVO4765" s="34">
        <v>5</v>
      </c>
      <c r="RVQ4765" s="913"/>
      <c r="RVR4765" s="31">
        <v>1</v>
      </c>
      <c r="RVS4765" s="34">
        <v>0</v>
      </c>
      <c r="RVT4765" s="34">
        <v>-1</v>
      </c>
      <c r="RVU4765" s="34">
        <v>-2</v>
      </c>
      <c r="RVV4765" s="34">
        <v>-3</v>
      </c>
      <c r="RVW4765" s="34">
        <v>-4</v>
      </c>
      <c r="RVX4765" s="34">
        <v>-5</v>
      </c>
      <c r="RVY4765" s="908"/>
      <c r="RVZ4765" s="909"/>
      <c r="RWA4765" s="34">
        <v>-5</v>
      </c>
      <c r="RWB4765" s="34">
        <v>-4.5</v>
      </c>
      <c r="RWC4765" s="34">
        <v>-4</v>
      </c>
      <c r="RWD4765" s="34">
        <v>-3.5</v>
      </c>
      <c r="RWE4765" s="34">
        <v>-3</v>
      </c>
      <c r="RWF4765" s="34">
        <v>-2.5</v>
      </c>
      <c r="RWG4765" s="34">
        <v>-2</v>
      </c>
      <c r="RWH4765" s="34">
        <v>-1.5</v>
      </c>
      <c r="RWI4765" s="34">
        <v>-1</v>
      </c>
      <c r="RWJ4765" s="34">
        <v>-0.5</v>
      </c>
      <c r="RWK4765" s="34">
        <v>0</v>
      </c>
      <c r="RWL4765" s="34">
        <v>0.5</v>
      </c>
      <c r="RWM4765" s="34">
        <v>1</v>
      </c>
      <c r="RWN4765" s="34">
        <v>1.5</v>
      </c>
      <c r="RWO4765" s="34">
        <v>2</v>
      </c>
      <c r="RWP4765" s="34">
        <v>2.5</v>
      </c>
      <c r="RWQ4765" s="34">
        <v>3</v>
      </c>
      <c r="RWR4765" s="34">
        <v>3.5</v>
      </c>
      <c r="RWS4765" s="34">
        <v>4</v>
      </c>
      <c r="RWT4765" s="34">
        <v>4.5</v>
      </c>
      <c r="RWU4765" s="34">
        <v>5</v>
      </c>
      <c r="RWW4765" s="913"/>
      <c r="RWX4765" s="31">
        <v>1</v>
      </c>
      <c r="RWY4765" s="34">
        <v>0</v>
      </c>
      <c r="RWZ4765" s="34">
        <v>-1</v>
      </c>
      <c r="RXA4765" s="34">
        <v>-2</v>
      </c>
      <c r="RXB4765" s="34">
        <v>-3</v>
      </c>
      <c r="RXC4765" s="34">
        <v>-4</v>
      </c>
      <c r="RXD4765" s="34">
        <v>-5</v>
      </c>
      <c r="RXE4765" s="908"/>
      <c r="RXF4765" s="909"/>
      <c r="RXG4765" s="34">
        <v>-5</v>
      </c>
      <c r="RXH4765" s="34">
        <v>-4.5</v>
      </c>
      <c r="RXI4765" s="34">
        <v>-4</v>
      </c>
      <c r="RXJ4765" s="34">
        <v>-3.5</v>
      </c>
      <c r="RXK4765" s="34">
        <v>-3</v>
      </c>
      <c r="RXL4765" s="34">
        <v>-2.5</v>
      </c>
      <c r="RXM4765" s="34">
        <v>-2</v>
      </c>
      <c r="RXN4765" s="34">
        <v>-1.5</v>
      </c>
      <c r="RXO4765" s="34">
        <v>-1</v>
      </c>
      <c r="RXP4765" s="34">
        <v>-0.5</v>
      </c>
      <c r="RXQ4765" s="34">
        <v>0</v>
      </c>
      <c r="RXR4765" s="34">
        <v>0.5</v>
      </c>
      <c r="RXS4765" s="34">
        <v>1</v>
      </c>
      <c r="RXT4765" s="34">
        <v>1.5</v>
      </c>
      <c r="RXU4765" s="34">
        <v>2</v>
      </c>
      <c r="RXV4765" s="34">
        <v>2.5</v>
      </c>
      <c r="RXW4765" s="34">
        <v>3</v>
      </c>
      <c r="RXX4765" s="34">
        <v>3.5</v>
      </c>
      <c r="RXY4765" s="34">
        <v>4</v>
      </c>
      <c r="RXZ4765" s="34">
        <v>4.5</v>
      </c>
      <c r="RYA4765" s="34">
        <v>5</v>
      </c>
      <c r="RYC4765" s="913"/>
      <c r="RYD4765" s="31">
        <v>1</v>
      </c>
      <c r="RYE4765" s="34">
        <v>0</v>
      </c>
      <c r="RYF4765" s="34">
        <v>-1</v>
      </c>
      <c r="RYG4765" s="34">
        <v>-2</v>
      </c>
      <c r="RYH4765" s="34">
        <v>-3</v>
      </c>
      <c r="RYI4765" s="34">
        <v>-4</v>
      </c>
      <c r="RYJ4765" s="34">
        <v>-5</v>
      </c>
      <c r="RYK4765" s="908"/>
      <c r="RYL4765" s="909"/>
      <c r="RYM4765" s="34">
        <v>-5</v>
      </c>
      <c r="RYN4765" s="34">
        <v>-4.5</v>
      </c>
      <c r="RYO4765" s="34">
        <v>-4</v>
      </c>
      <c r="RYP4765" s="34">
        <v>-3.5</v>
      </c>
      <c r="RYQ4765" s="34">
        <v>-3</v>
      </c>
      <c r="RYR4765" s="34">
        <v>-2.5</v>
      </c>
      <c r="RYS4765" s="34">
        <v>-2</v>
      </c>
      <c r="RYT4765" s="34">
        <v>-1.5</v>
      </c>
      <c r="RYU4765" s="34">
        <v>-1</v>
      </c>
      <c r="RYV4765" s="34">
        <v>-0.5</v>
      </c>
      <c r="RYW4765" s="34">
        <v>0</v>
      </c>
      <c r="RYX4765" s="34">
        <v>0.5</v>
      </c>
      <c r="RYY4765" s="34">
        <v>1</v>
      </c>
      <c r="RYZ4765" s="34">
        <v>1.5</v>
      </c>
      <c r="RZA4765" s="34">
        <v>2</v>
      </c>
      <c r="RZB4765" s="34">
        <v>2.5</v>
      </c>
      <c r="RZC4765" s="34">
        <v>3</v>
      </c>
      <c r="RZD4765" s="34">
        <v>3.5</v>
      </c>
      <c r="RZE4765" s="34">
        <v>4</v>
      </c>
      <c r="RZF4765" s="34">
        <v>4.5</v>
      </c>
      <c r="RZG4765" s="34">
        <v>5</v>
      </c>
      <c r="RZI4765" s="913"/>
      <c r="RZJ4765" s="31">
        <v>1</v>
      </c>
      <c r="RZK4765" s="34">
        <v>0</v>
      </c>
      <c r="RZL4765" s="34">
        <v>-1</v>
      </c>
      <c r="RZM4765" s="34">
        <v>-2</v>
      </c>
      <c r="RZN4765" s="34">
        <v>-3</v>
      </c>
      <c r="RZO4765" s="34">
        <v>-4</v>
      </c>
      <c r="RZP4765" s="34">
        <v>-5</v>
      </c>
      <c r="RZQ4765" s="908"/>
      <c r="RZR4765" s="909"/>
      <c r="RZS4765" s="34">
        <v>-5</v>
      </c>
      <c r="RZT4765" s="34">
        <v>-4.5</v>
      </c>
      <c r="RZU4765" s="34">
        <v>-4</v>
      </c>
      <c r="RZV4765" s="34">
        <v>-3.5</v>
      </c>
      <c r="RZW4765" s="34">
        <v>-3</v>
      </c>
      <c r="RZX4765" s="34">
        <v>-2.5</v>
      </c>
      <c r="RZY4765" s="34">
        <v>-2</v>
      </c>
      <c r="RZZ4765" s="34">
        <v>-1.5</v>
      </c>
      <c r="SAA4765" s="34">
        <v>-1</v>
      </c>
      <c r="SAB4765" s="34">
        <v>-0.5</v>
      </c>
      <c r="SAC4765" s="34">
        <v>0</v>
      </c>
      <c r="SAD4765" s="34">
        <v>0.5</v>
      </c>
      <c r="SAE4765" s="34">
        <v>1</v>
      </c>
      <c r="SAF4765" s="34">
        <v>1.5</v>
      </c>
      <c r="SAG4765" s="34">
        <v>2</v>
      </c>
      <c r="SAH4765" s="34">
        <v>2.5</v>
      </c>
      <c r="SAI4765" s="34">
        <v>3</v>
      </c>
      <c r="SAJ4765" s="34">
        <v>3.5</v>
      </c>
      <c r="SAK4765" s="34">
        <v>4</v>
      </c>
      <c r="SAL4765" s="34">
        <v>4.5</v>
      </c>
      <c r="SAM4765" s="34">
        <v>5</v>
      </c>
      <c r="SAO4765" s="913"/>
      <c r="SAP4765" s="31">
        <v>1</v>
      </c>
      <c r="SAQ4765" s="34">
        <v>0</v>
      </c>
      <c r="SAR4765" s="34">
        <v>-1</v>
      </c>
      <c r="SAS4765" s="34">
        <v>-2</v>
      </c>
      <c r="SAT4765" s="34">
        <v>-3</v>
      </c>
      <c r="SAU4765" s="34">
        <v>-4</v>
      </c>
      <c r="SAV4765" s="34">
        <v>-5</v>
      </c>
      <c r="SAW4765" s="908"/>
      <c r="SAX4765" s="909"/>
      <c r="SAY4765" s="34">
        <v>-5</v>
      </c>
      <c r="SAZ4765" s="34">
        <v>-4.5</v>
      </c>
      <c r="SBA4765" s="34">
        <v>-4</v>
      </c>
      <c r="SBB4765" s="34">
        <v>-3.5</v>
      </c>
      <c r="SBC4765" s="34">
        <v>-3</v>
      </c>
      <c r="SBD4765" s="34">
        <v>-2.5</v>
      </c>
      <c r="SBE4765" s="34">
        <v>-2</v>
      </c>
      <c r="SBF4765" s="34">
        <v>-1.5</v>
      </c>
      <c r="SBG4765" s="34">
        <v>-1</v>
      </c>
      <c r="SBH4765" s="34">
        <v>-0.5</v>
      </c>
      <c r="SBI4765" s="34">
        <v>0</v>
      </c>
      <c r="SBJ4765" s="34">
        <v>0.5</v>
      </c>
      <c r="SBK4765" s="34">
        <v>1</v>
      </c>
      <c r="SBL4765" s="34">
        <v>1.5</v>
      </c>
      <c r="SBM4765" s="34">
        <v>2</v>
      </c>
      <c r="SBN4765" s="34">
        <v>2.5</v>
      </c>
      <c r="SBO4765" s="34">
        <v>3</v>
      </c>
      <c r="SBP4765" s="34">
        <v>3.5</v>
      </c>
      <c r="SBQ4765" s="34">
        <v>4</v>
      </c>
      <c r="SBR4765" s="34">
        <v>4.5</v>
      </c>
      <c r="SBS4765" s="34">
        <v>5</v>
      </c>
      <c r="SBU4765" s="913"/>
      <c r="SBV4765" s="31">
        <v>1</v>
      </c>
      <c r="SBW4765" s="34">
        <v>0</v>
      </c>
      <c r="SBX4765" s="34">
        <v>-1</v>
      </c>
      <c r="SBY4765" s="34">
        <v>-2</v>
      </c>
      <c r="SBZ4765" s="34">
        <v>-3</v>
      </c>
      <c r="SCA4765" s="34">
        <v>-4</v>
      </c>
      <c r="SCB4765" s="34">
        <v>-5</v>
      </c>
      <c r="SCC4765" s="908"/>
      <c r="SCD4765" s="909"/>
      <c r="SCE4765" s="34">
        <v>-5</v>
      </c>
      <c r="SCF4765" s="34">
        <v>-4.5</v>
      </c>
      <c r="SCG4765" s="34">
        <v>-4</v>
      </c>
      <c r="SCH4765" s="34">
        <v>-3.5</v>
      </c>
      <c r="SCI4765" s="34">
        <v>-3</v>
      </c>
      <c r="SCJ4765" s="34">
        <v>-2.5</v>
      </c>
      <c r="SCK4765" s="34">
        <v>-2</v>
      </c>
      <c r="SCL4765" s="34">
        <v>-1.5</v>
      </c>
      <c r="SCM4765" s="34">
        <v>-1</v>
      </c>
      <c r="SCN4765" s="34">
        <v>-0.5</v>
      </c>
      <c r="SCO4765" s="34">
        <v>0</v>
      </c>
      <c r="SCP4765" s="34">
        <v>0.5</v>
      </c>
      <c r="SCQ4765" s="34">
        <v>1</v>
      </c>
      <c r="SCR4765" s="34">
        <v>1.5</v>
      </c>
      <c r="SCS4765" s="34">
        <v>2</v>
      </c>
      <c r="SCT4765" s="34">
        <v>2.5</v>
      </c>
      <c r="SCU4765" s="34">
        <v>3</v>
      </c>
      <c r="SCV4765" s="34">
        <v>3.5</v>
      </c>
      <c r="SCW4765" s="34">
        <v>4</v>
      </c>
      <c r="SCX4765" s="34">
        <v>4.5</v>
      </c>
      <c r="SCY4765" s="34">
        <v>5</v>
      </c>
      <c r="SDA4765" s="913"/>
      <c r="SDB4765" s="31">
        <v>1</v>
      </c>
      <c r="SDC4765" s="34">
        <v>0</v>
      </c>
      <c r="SDD4765" s="34">
        <v>-1</v>
      </c>
      <c r="SDE4765" s="34">
        <v>-2</v>
      </c>
      <c r="SDF4765" s="34">
        <v>-3</v>
      </c>
      <c r="SDG4765" s="34">
        <v>-4</v>
      </c>
      <c r="SDH4765" s="34">
        <v>-5</v>
      </c>
      <c r="SDI4765" s="908"/>
      <c r="SDJ4765" s="909"/>
      <c r="SDK4765" s="34">
        <v>-5</v>
      </c>
      <c r="SDL4765" s="34">
        <v>-4.5</v>
      </c>
      <c r="SDM4765" s="34">
        <v>-4</v>
      </c>
      <c r="SDN4765" s="34">
        <v>-3.5</v>
      </c>
      <c r="SDO4765" s="34">
        <v>-3</v>
      </c>
      <c r="SDP4765" s="34">
        <v>-2.5</v>
      </c>
      <c r="SDQ4765" s="34">
        <v>-2</v>
      </c>
      <c r="SDR4765" s="34">
        <v>-1.5</v>
      </c>
      <c r="SDS4765" s="34">
        <v>-1</v>
      </c>
      <c r="SDT4765" s="34">
        <v>-0.5</v>
      </c>
      <c r="SDU4765" s="34">
        <v>0</v>
      </c>
      <c r="SDV4765" s="34">
        <v>0.5</v>
      </c>
      <c r="SDW4765" s="34">
        <v>1</v>
      </c>
      <c r="SDX4765" s="34">
        <v>1.5</v>
      </c>
      <c r="SDY4765" s="34">
        <v>2</v>
      </c>
      <c r="SDZ4765" s="34">
        <v>2.5</v>
      </c>
      <c r="SEA4765" s="34">
        <v>3</v>
      </c>
      <c r="SEB4765" s="34">
        <v>3.5</v>
      </c>
      <c r="SEC4765" s="34">
        <v>4</v>
      </c>
      <c r="SED4765" s="34">
        <v>4.5</v>
      </c>
      <c r="SEE4765" s="34">
        <v>5</v>
      </c>
      <c r="SEG4765" s="913"/>
      <c r="SEH4765" s="31">
        <v>1</v>
      </c>
      <c r="SEI4765" s="34">
        <v>0</v>
      </c>
      <c r="SEJ4765" s="34">
        <v>-1</v>
      </c>
      <c r="SEK4765" s="34">
        <v>-2</v>
      </c>
      <c r="SEL4765" s="34">
        <v>-3</v>
      </c>
      <c r="SEM4765" s="34">
        <v>-4</v>
      </c>
      <c r="SEN4765" s="34">
        <v>-5</v>
      </c>
      <c r="SEO4765" s="908"/>
      <c r="SEP4765" s="909"/>
      <c r="SEQ4765" s="34">
        <v>-5</v>
      </c>
      <c r="SER4765" s="34">
        <v>-4.5</v>
      </c>
      <c r="SES4765" s="34">
        <v>-4</v>
      </c>
      <c r="SET4765" s="34">
        <v>-3.5</v>
      </c>
      <c r="SEU4765" s="34">
        <v>-3</v>
      </c>
      <c r="SEV4765" s="34">
        <v>-2.5</v>
      </c>
      <c r="SEW4765" s="34">
        <v>-2</v>
      </c>
      <c r="SEX4765" s="34">
        <v>-1.5</v>
      </c>
      <c r="SEY4765" s="34">
        <v>-1</v>
      </c>
      <c r="SEZ4765" s="34">
        <v>-0.5</v>
      </c>
      <c r="SFA4765" s="34">
        <v>0</v>
      </c>
      <c r="SFB4765" s="34">
        <v>0.5</v>
      </c>
      <c r="SFC4765" s="34">
        <v>1</v>
      </c>
      <c r="SFD4765" s="34">
        <v>1.5</v>
      </c>
      <c r="SFE4765" s="34">
        <v>2</v>
      </c>
      <c r="SFF4765" s="34">
        <v>2.5</v>
      </c>
      <c r="SFG4765" s="34">
        <v>3</v>
      </c>
      <c r="SFH4765" s="34">
        <v>3.5</v>
      </c>
      <c r="SFI4765" s="34">
        <v>4</v>
      </c>
      <c r="SFJ4765" s="34">
        <v>4.5</v>
      </c>
      <c r="SFK4765" s="34">
        <v>5</v>
      </c>
      <c r="SFM4765" s="913"/>
      <c r="SFN4765" s="31">
        <v>1</v>
      </c>
      <c r="SFO4765" s="34">
        <v>0</v>
      </c>
      <c r="SFP4765" s="34">
        <v>-1</v>
      </c>
      <c r="SFQ4765" s="34">
        <v>-2</v>
      </c>
      <c r="SFR4765" s="34">
        <v>-3</v>
      </c>
      <c r="SFS4765" s="34">
        <v>-4</v>
      </c>
      <c r="SFT4765" s="34">
        <v>-5</v>
      </c>
      <c r="SFU4765" s="908"/>
      <c r="SFV4765" s="909"/>
      <c r="SFW4765" s="34">
        <v>-5</v>
      </c>
      <c r="SFX4765" s="34">
        <v>-4.5</v>
      </c>
      <c r="SFY4765" s="34">
        <v>-4</v>
      </c>
      <c r="SFZ4765" s="34">
        <v>-3.5</v>
      </c>
      <c r="SGA4765" s="34">
        <v>-3</v>
      </c>
      <c r="SGB4765" s="34">
        <v>-2.5</v>
      </c>
      <c r="SGC4765" s="34">
        <v>-2</v>
      </c>
      <c r="SGD4765" s="34">
        <v>-1.5</v>
      </c>
      <c r="SGE4765" s="34">
        <v>-1</v>
      </c>
      <c r="SGF4765" s="34">
        <v>-0.5</v>
      </c>
      <c r="SGG4765" s="34">
        <v>0</v>
      </c>
      <c r="SGH4765" s="34">
        <v>0.5</v>
      </c>
      <c r="SGI4765" s="34">
        <v>1</v>
      </c>
      <c r="SGJ4765" s="34">
        <v>1.5</v>
      </c>
      <c r="SGK4765" s="34">
        <v>2</v>
      </c>
      <c r="SGL4765" s="34">
        <v>2.5</v>
      </c>
      <c r="SGM4765" s="34">
        <v>3</v>
      </c>
      <c r="SGN4765" s="34">
        <v>3.5</v>
      </c>
      <c r="SGO4765" s="34">
        <v>4</v>
      </c>
      <c r="SGP4765" s="34">
        <v>4.5</v>
      </c>
      <c r="SGQ4765" s="34">
        <v>5</v>
      </c>
      <c r="SGS4765" s="913"/>
      <c r="SGT4765" s="31">
        <v>1</v>
      </c>
      <c r="SGU4765" s="34">
        <v>0</v>
      </c>
      <c r="SGV4765" s="34">
        <v>-1</v>
      </c>
      <c r="SGW4765" s="34">
        <v>-2</v>
      </c>
      <c r="SGX4765" s="34">
        <v>-3</v>
      </c>
      <c r="SGY4765" s="34">
        <v>-4</v>
      </c>
      <c r="SGZ4765" s="34">
        <v>-5</v>
      </c>
      <c r="SHA4765" s="908"/>
      <c r="SHB4765" s="909"/>
      <c r="SHC4765" s="34">
        <v>-5</v>
      </c>
      <c r="SHD4765" s="34">
        <v>-4.5</v>
      </c>
      <c r="SHE4765" s="34">
        <v>-4</v>
      </c>
      <c r="SHF4765" s="34">
        <v>-3.5</v>
      </c>
      <c r="SHG4765" s="34">
        <v>-3</v>
      </c>
      <c r="SHH4765" s="34">
        <v>-2.5</v>
      </c>
      <c r="SHI4765" s="34">
        <v>-2</v>
      </c>
      <c r="SHJ4765" s="34">
        <v>-1.5</v>
      </c>
      <c r="SHK4765" s="34">
        <v>-1</v>
      </c>
      <c r="SHL4765" s="34">
        <v>-0.5</v>
      </c>
      <c r="SHM4765" s="34">
        <v>0</v>
      </c>
      <c r="SHN4765" s="34">
        <v>0.5</v>
      </c>
      <c r="SHO4765" s="34">
        <v>1</v>
      </c>
      <c r="SHP4765" s="34">
        <v>1.5</v>
      </c>
      <c r="SHQ4765" s="34">
        <v>2</v>
      </c>
      <c r="SHR4765" s="34">
        <v>2.5</v>
      </c>
      <c r="SHS4765" s="34">
        <v>3</v>
      </c>
      <c r="SHT4765" s="34">
        <v>3.5</v>
      </c>
      <c r="SHU4765" s="34">
        <v>4</v>
      </c>
      <c r="SHV4765" s="34">
        <v>4.5</v>
      </c>
      <c r="SHW4765" s="34">
        <v>5</v>
      </c>
      <c r="SHY4765" s="913"/>
      <c r="SHZ4765" s="31">
        <v>1</v>
      </c>
      <c r="SIA4765" s="34">
        <v>0</v>
      </c>
      <c r="SIB4765" s="34">
        <v>-1</v>
      </c>
      <c r="SIC4765" s="34">
        <v>-2</v>
      </c>
      <c r="SID4765" s="34">
        <v>-3</v>
      </c>
      <c r="SIE4765" s="34">
        <v>-4</v>
      </c>
      <c r="SIF4765" s="34">
        <v>-5</v>
      </c>
      <c r="SIG4765" s="908"/>
      <c r="SIH4765" s="909"/>
      <c r="SII4765" s="34">
        <v>-5</v>
      </c>
      <c r="SIJ4765" s="34">
        <v>-4.5</v>
      </c>
      <c r="SIK4765" s="34">
        <v>-4</v>
      </c>
      <c r="SIL4765" s="34">
        <v>-3.5</v>
      </c>
      <c r="SIM4765" s="34">
        <v>-3</v>
      </c>
      <c r="SIN4765" s="34">
        <v>-2.5</v>
      </c>
      <c r="SIO4765" s="34">
        <v>-2</v>
      </c>
      <c r="SIP4765" s="34">
        <v>-1.5</v>
      </c>
      <c r="SIQ4765" s="34">
        <v>-1</v>
      </c>
      <c r="SIR4765" s="34">
        <v>-0.5</v>
      </c>
      <c r="SIS4765" s="34">
        <v>0</v>
      </c>
      <c r="SIT4765" s="34">
        <v>0.5</v>
      </c>
      <c r="SIU4765" s="34">
        <v>1</v>
      </c>
      <c r="SIV4765" s="34">
        <v>1.5</v>
      </c>
      <c r="SIW4765" s="34">
        <v>2</v>
      </c>
      <c r="SIX4765" s="34">
        <v>2.5</v>
      </c>
      <c r="SIY4765" s="34">
        <v>3</v>
      </c>
      <c r="SIZ4765" s="34">
        <v>3.5</v>
      </c>
      <c r="SJA4765" s="34">
        <v>4</v>
      </c>
      <c r="SJB4765" s="34">
        <v>4.5</v>
      </c>
      <c r="SJC4765" s="34">
        <v>5</v>
      </c>
      <c r="SJE4765" s="913"/>
      <c r="SJF4765" s="31">
        <v>1</v>
      </c>
      <c r="SJG4765" s="34">
        <v>0</v>
      </c>
      <c r="SJH4765" s="34">
        <v>-1</v>
      </c>
      <c r="SJI4765" s="34">
        <v>-2</v>
      </c>
      <c r="SJJ4765" s="34">
        <v>-3</v>
      </c>
      <c r="SJK4765" s="34">
        <v>-4</v>
      </c>
      <c r="SJL4765" s="34">
        <v>-5</v>
      </c>
      <c r="SJM4765" s="908"/>
      <c r="SJN4765" s="909"/>
      <c r="SJO4765" s="34">
        <v>-5</v>
      </c>
      <c r="SJP4765" s="34">
        <v>-4.5</v>
      </c>
      <c r="SJQ4765" s="34">
        <v>-4</v>
      </c>
      <c r="SJR4765" s="34">
        <v>-3.5</v>
      </c>
      <c r="SJS4765" s="34">
        <v>-3</v>
      </c>
      <c r="SJT4765" s="34">
        <v>-2.5</v>
      </c>
      <c r="SJU4765" s="34">
        <v>-2</v>
      </c>
      <c r="SJV4765" s="34">
        <v>-1.5</v>
      </c>
      <c r="SJW4765" s="34">
        <v>-1</v>
      </c>
      <c r="SJX4765" s="34">
        <v>-0.5</v>
      </c>
      <c r="SJY4765" s="34">
        <v>0</v>
      </c>
      <c r="SJZ4765" s="34">
        <v>0.5</v>
      </c>
      <c r="SKA4765" s="34">
        <v>1</v>
      </c>
      <c r="SKB4765" s="34">
        <v>1.5</v>
      </c>
      <c r="SKC4765" s="34">
        <v>2</v>
      </c>
      <c r="SKD4765" s="34">
        <v>2.5</v>
      </c>
      <c r="SKE4765" s="34">
        <v>3</v>
      </c>
      <c r="SKF4765" s="34">
        <v>3.5</v>
      </c>
      <c r="SKG4765" s="34">
        <v>4</v>
      </c>
      <c r="SKH4765" s="34">
        <v>4.5</v>
      </c>
      <c r="SKI4765" s="34">
        <v>5</v>
      </c>
      <c r="SKK4765" s="913"/>
      <c r="SKL4765" s="31">
        <v>1</v>
      </c>
      <c r="SKM4765" s="34">
        <v>0</v>
      </c>
      <c r="SKN4765" s="34">
        <v>-1</v>
      </c>
      <c r="SKO4765" s="34">
        <v>-2</v>
      </c>
      <c r="SKP4765" s="34">
        <v>-3</v>
      </c>
      <c r="SKQ4765" s="34">
        <v>-4</v>
      </c>
      <c r="SKR4765" s="34">
        <v>-5</v>
      </c>
      <c r="SKS4765" s="908"/>
      <c r="SKT4765" s="909"/>
      <c r="SKU4765" s="34">
        <v>-5</v>
      </c>
      <c r="SKV4765" s="34">
        <v>-4.5</v>
      </c>
      <c r="SKW4765" s="34">
        <v>-4</v>
      </c>
      <c r="SKX4765" s="34">
        <v>-3.5</v>
      </c>
      <c r="SKY4765" s="34">
        <v>-3</v>
      </c>
      <c r="SKZ4765" s="34">
        <v>-2.5</v>
      </c>
      <c r="SLA4765" s="34">
        <v>-2</v>
      </c>
      <c r="SLB4765" s="34">
        <v>-1.5</v>
      </c>
      <c r="SLC4765" s="34">
        <v>-1</v>
      </c>
      <c r="SLD4765" s="34">
        <v>-0.5</v>
      </c>
      <c r="SLE4765" s="34">
        <v>0</v>
      </c>
      <c r="SLF4765" s="34">
        <v>0.5</v>
      </c>
      <c r="SLG4765" s="34">
        <v>1</v>
      </c>
      <c r="SLH4765" s="34">
        <v>1.5</v>
      </c>
      <c r="SLI4765" s="34">
        <v>2</v>
      </c>
      <c r="SLJ4765" s="34">
        <v>2.5</v>
      </c>
      <c r="SLK4765" s="34">
        <v>3</v>
      </c>
      <c r="SLL4765" s="34">
        <v>3.5</v>
      </c>
      <c r="SLM4765" s="34">
        <v>4</v>
      </c>
      <c r="SLN4765" s="34">
        <v>4.5</v>
      </c>
      <c r="SLO4765" s="34">
        <v>5</v>
      </c>
      <c r="SLQ4765" s="913"/>
      <c r="SLR4765" s="31">
        <v>1</v>
      </c>
      <c r="SLS4765" s="34">
        <v>0</v>
      </c>
      <c r="SLT4765" s="34">
        <v>-1</v>
      </c>
      <c r="SLU4765" s="34">
        <v>-2</v>
      </c>
      <c r="SLV4765" s="34">
        <v>-3</v>
      </c>
      <c r="SLW4765" s="34">
        <v>-4</v>
      </c>
      <c r="SLX4765" s="34">
        <v>-5</v>
      </c>
      <c r="SLY4765" s="908"/>
      <c r="SLZ4765" s="909"/>
      <c r="SMA4765" s="34">
        <v>-5</v>
      </c>
      <c r="SMB4765" s="34">
        <v>-4.5</v>
      </c>
      <c r="SMC4765" s="34">
        <v>-4</v>
      </c>
      <c r="SMD4765" s="34">
        <v>-3.5</v>
      </c>
      <c r="SME4765" s="34">
        <v>-3</v>
      </c>
      <c r="SMF4765" s="34">
        <v>-2.5</v>
      </c>
      <c r="SMG4765" s="34">
        <v>-2</v>
      </c>
      <c r="SMH4765" s="34">
        <v>-1.5</v>
      </c>
      <c r="SMI4765" s="34">
        <v>-1</v>
      </c>
      <c r="SMJ4765" s="34">
        <v>-0.5</v>
      </c>
      <c r="SMK4765" s="34">
        <v>0</v>
      </c>
      <c r="SML4765" s="34">
        <v>0.5</v>
      </c>
      <c r="SMM4765" s="34">
        <v>1</v>
      </c>
      <c r="SMN4765" s="34">
        <v>1.5</v>
      </c>
      <c r="SMO4765" s="34">
        <v>2</v>
      </c>
      <c r="SMP4765" s="34">
        <v>2.5</v>
      </c>
      <c r="SMQ4765" s="34">
        <v>3</v>
      </c>
      <c r="SMR4765" s="34">
        <v>3.5</v>
      </c>
      <c r="SMS4765" s="34">
        <v>4</v>
      </c>
      <c r="SMT4765" s="34">
        <v>4.5</v>
      </c>
      <c r="SMU4765" s="34">
        <v>5</v>
      </c>
      <c r="SMW4765" s="913"/>
      <c r="SMX4765" s="31">
        <v>1</v>
      </c>
      <c r="SMY4765" s="34">
        <v>0</v>
      </c>
      <c r="SMZ4765" s="34">
        <v>-1</v>
      </c>
      <c r="SNA4765" s="34">
        <v>-2</v>
      </c>
      <c r="SNB4765" s="34">
        <v>-3</v>
      </c>
      <c r="SNC4765" s="34">
        <v>-4</v>
      </c>
      <c r="SND4765" s="34">
        <v>-5</v>
      </c>
      <c r="SNE4765" s="908"/>
      <c r="SNF4765" s="909"/>
      <c r="SNG4765" s="34">
        <v>-5</v>
      </c>
      <c r="SNH4765" s="34">
        <v>-4.5</v>
      </c>
      <c r="SNI4765" s="34">
        <v>-4</v>
      </c>
      <c r="SNJ4765" s="34">
        <v>-3.5</v>
      </c>
      <c r="SNK4765" s="34">
        <v>-3</v>
      </c>
      <c r="SNL4765" s="34">
        <v>-2.5</v>
      </c>
      <c r="SNM4765" s="34">
        <v>-2</v>
      </c>
      <c r="SNN4765" s="34">
        <v>-1.5</v>
      </c>
      <c r="SNO4765" s="34">
        <v>-1</v>
      </c>
      <c r="SNP4765" s="34">
        <v>-0.5</v>
      </c>
      <c r="SNQ4765" s="34">
        <v>0</v>
      </c>
      <c r="SNR4765" s="34">
        <v>0.5</v>
      </c>
      <c r="SNS4765" s="34">
        <v>1</v>
      </c>
      <c r="SNT4765" s="34">
        <v>1.5</v>
      </c>
      <c r="SNU4765" s="34">
        <v>2</v>
      </c>
      <c r="SNV4765" s="34">
        <v>2.5</v>
      </c>
      <c r="SNW4765" s="34">
        <v>3</v>
      </c>
      <c r="SNX4765" s="34">
        <v>3.5</v>
      </c>
      <c r="SNY4765" s="34">
        <v>4</v>
      </c>
      <c r="SNZ4765" s="34">
        <v>4.5</v>
      </c>
      <c r="SOA4765" s="34">
        <v>5</v>
      </c>
      <c r="SOC4765" s="913"/>
      <c r="SOD4765" s="31">
        <v>1</v>
      </c>
      <c r="SOE4765" s="34">
        <v>0</v>
      </c>
      <c r="SOF4765" s="34">
        <v>-1</v>
      </c>
      <c r="SOG4765" s="34">
        <v>-2</v>
      </c>
      <c r="SOH4765" s="34">
        <v>-3</v>
      </c>
      <c r="SOI4765" s="34">
        <v>-4</v>
      </c>
      <c r="SOJ4765" s="34">
        <v>-5</v>
      </c>
      <c r="SOK4765" s="908"/>
      <c r="SOL4765" s="909"/>
      <c r="SOM4765" s="34">
        <v>-5</v>
      </c>
      <c r="SON4765" s="34">
        <v>-4.5</v>
      </c>
      <c r="SOO4765" s="34">
        <v>-4</v>
      </c>
      <c r="SOP4765" s="34">
        <v>-3.5</v>
      </c>
      <c r="SOQ4765" s="34">
        <v>-3</v>
      </c>
      <c r="SOR4765" s="34">
        <v>-2.5</v>
      </c>
      <c r="SOS4765" s="34">
        <v>-2</v>
      </c>
      <c r="SOT4765" s="34">
        <v>-1.5</v>
      </c>
      <c r="SOU4765" s="34">
        <v>-1</v>
      </c>
      <c r="SOV4765" s="34">
        <v>-0.5</v>
      </c>
      <c r="SOW4765" s="34">
        <v>0</v>
      </c>
      <c r="SOX4765" s="34">
        <v>0.5</v>
      </c>
      <c r="SOY4765" s="34">
        <v>1</v>
      </c>
      <c r="SOZ4765" s="34">
        <v>1.5</v>
      </c>
      <c r="SPA4765" s="34">
        <v>2</v>
      </c>
      <c r="SPB4765" s="34">
        <v>2.5</v>
      </c>
      <c r="SPC4765" s="34">
        <v>3</v>
      </c>
      <c r="SPD4765" s="34">
        <v>3.5</v>
      </c>
      <c r="SPE4765" s="34">
        <v>4</v>
      </c>
      <c r="SPF4765" s="34">
        <v>4.5</v>
      </c>
      <c r="SPG4765" s="34">
        <v>5</v>
      </c>
      <c r="SPI4765" s="913"/>
      <c r="SPJ4765" s="31">
        <v>1</v>
      </c>
      <c r="SPK4765" s="34">
        <v>0</v>
      </c>
      <c r="SPL4765" s="34">
        <v>-1</v>
      </c>
      <c r="SPM4765" s="34">
        <v>-2</v>
      </c>
      <c r="SPN4765" s="34">
        <v>-3</v>
      </c>
      <c r="SPO4765" s="34">
        <v>-4</v>
      </c>
      <c r="SPP4765" s="34">
        <v>-5</v>
      </c>
      <c r="SPQ4765" s="908"/>
      <c r="SPR4765" s="909"/>
      <c r="SPS4765" s="34">
        <v>-5</v>
      </c>
      <c r="SPT4765" s="34">
        <v>-4.5</v>
      </c>
      <c r="SPU4765" s="34">
        <v>-4</v>
      </c>
      <c r="SPV4765" s="34">
        <v>-3.5</v>
      </c>
      <c r="SPW4765" s="34">
        <v>-3</v>
      </c>
      <c r="SPX4765" s="34">
        <v>-2.5</v>
      </c>
      <c r="SPY4765" s="34">
        <v>-2</v>
      </c>
      <c r="SPZ4765" s="34">
        <v>-1.5</v>
      </c>
      <c r="SQA4765" s="34">
        <v>-1</v>
      </c>
      <c r="SQB4765" s="34">
        <v>-0.5</v>
      </c>
      <c r="SQC4765" s="34">
        <v>0</v>
      </c>
      <c r="SQD4765" s="34">
        <v>0.5</v>
      </c>
      <c r="SQE4765" s="34">
        <v>1</v>
      </c>
      <c r="SQF4765" s="34">
        <v>1.5</v>
      </c>
      <c r="SQG4765" s="34">
        <v>2</v>
      </c>
      <c r="SQH4765" s="34">
        <v>2.5</v>
      </c>
      <c r="SQI4765" s="34">
        <v>3</v>
      </c>
      <c r="SQJ4765" s="34">
        <v>3.5</v>
      </c>
      <c r="SQK4765" s="34">
        <v>4</v>
      </c>
      <c r="SQL4765" s="34">
        <v>4.5</v>
      </c>
      <c r="SQM4765" s="34">
        <v>5</v>
      </c>
      <c r="SQO4765" s="913"/>
      <c r="SQP4765" s="31">
        <v>1</v>
      </c>
      <c r="SQQ4765" s="34">
        <v>0</v>
      </c>
      <c r="SQR4765" s="34">
        <v>-1</v>
      </c>
      <c r="SQS4765" s="34">
        <v>-2</v>
      </c>
      <c r="SQT4765" s="34">
        <v>-3</v>
      </c>
      <c r="SQU4765" s="34">
        <v>-4</v>
      </c>
      <c r="SQV4765" s="34">
        <v>-5</v>
      </c>
      <c r="SQW4765" s="908"/>
      <c r="SQX4765" s="909"/>
      <c r="SQY4765" s="34">
        <v>-5</v>
      </c>
      <c r="SQZ4765" s="34">
        <v>-4.5</v>
      </c>
      <c r="SRA4765" s="34">
        <v>-4</v>
      </c>
      <c r="SRB4765" s="34">
        <v>-3.5</v>
      </c>
      <c r="SRC4765" s="34">
        <v>-3</v>
      </c>
      <c r="SRD4765" s="34">
        <v>-2.5</v>
      </c>
      <c r="SRE4765" s="34">
        <v>-2</v>
      </c>
      <c r="SRF4765" s="34">
        <v>-1.5</v>
      </c>
      <c r="SRG4765" s="34">
        <v>-1</v>
      </c>
      <c r="SRH4765" s="34">
        <v>-0.5</v>
      </c>
      <c r="SRI4765" s="34">
        <v>0</v>
      </c>
      <c r="SRJ4765" s="34">
        <v>0.5</v>
      </c>
      <c r="SRK4765" s="34">
        <v>1</v>
      </c>
      <c r="SRL4765" s="34">
        <v>1.5</v>
      </c>
      <c r="SRM4765" s="34">
        <v>2</v>
      </c>
      <c r="SRN4765" s="34">
        <v>2.5</v>
      </c>
      <c r="SRO4765" s="34">
        <v>3</v>
      </c>
      <c r="SRP4765" s="34">
        <v>3.5</v>
      </c>
      <c r="SRQ4765" s="34">
        <v>4</v>
      </c>
      <c r="SRR4765" s="34">
        <v>4.5</v>
      </c>
      <c r="SRS4765" s="34">
        <v>5</v>
      </c>
      <c r="SRU4765" s="913"/>
      <c r="SRV4765" s="31">
        <v>1</v>
      </c>
      <c r="SRW4765" s="34">
        <v>0</v>
      </c>
      <c r="SRX4765" s="34">
        <v>-1</v>
      </c>
      <c r="SRY4765" s="34">
        <v>-2</v>
      </c>
      <c r="SRZ4765" s="34">
        <v>-3</v>
      </c>
      <c r="SSA4765" s="34">
        <v>-4</v>
      </c>
      <c r="SSB4765" s="34">
        <v>-5</v>
      </c>
      <c r="SSC4765" s="908"/>
      <c r="SSD4765" s="909"/>
      <c r="SSE4765" s="34">
        <v>-5</v>
      </c>
      <c r="SSF4765" s="34">
        <v>-4.5</v>
      </c>
      <c r="SSG4765" s="34">
        <v>-4</v>
      </c>
      <c r="SSH4765" s="34">
        <v>-3.5</v>
      </c>
      <c r="SSI4765" s="34">
        <v>-3</v>
      </c>
      <c r="SSJ4765" s="34">
        <v>-2.5</v>
      </c>
      <c r="SSK4765" s="34">
        <v>-2</v>
      </c>
      <c r="SSL4765" s="34">
        <v>-1.5</v>
      </c>
      <c r="SSM4765" s="34">
        <v>-1</v>
      </c>
      <c r="SSN4765" s="34">
        <v>-0.5</v>
      </c>
      <c r="SSO4765" s="34">
        <v>0</v>
      </c>
      <c r="SSP4765" s="34">
        <v>0.5</v>
      </c>
      <c r="SSQ4765" s="34">
        <v>1</v>
      </c>
      <c r="SSR4765" s="34">
        <v>1.5</v>
      </c>
      <c r="SSS4765" s="34">
        <v>2</v>
      </c>
      <c r="SST4765" s="34">
        <v>2.5</v>
      </c>
      <c r="SSU4765" s="34">
        <v>3</v>
      </c>
      <c r="SSV4765" s="34">
        <v>3.5</v>
      </c>
      <c r="SSW4765" s="34">
        <v>4</v>
      </c>
      <c r="SSX4765" s="34">
        <v>4.5</v>
      </c>
      <c r="SSY4765" s="34">
        <v>5</v>
      </c>
      <c r="STA4765" s="913"/>
      <c r="STB4765" s="31">
        <v>1</v>
      </c>
      <c r="STC4765" s="34">
        <v>0</v>
      </c>
      <c r="STD4765" s="34">
        <v>-1</v>
      </c>
      <c r="STE4765" s="34">
        <v>-2</v>
      </c>
      <c r="STF4765" s="34">
        <v>-3</v>
      </c>
      <c r="STG4765" s="34">
        <v>-4</v>
      </c>
      <c r="STH4765" s="34">
        <v>-5</v>
      </c>
      <c r="STI4765" s="908"/>
      <c r="STJ4765" s="909"/>
      <c r="STK4765" s="34">
        <v>-5</v>
      </c>
      <c r="STL4765" s="34">
        <v>-4.5</v>
      </c>
      <c r="STM4765" s="34">
        <v>-4</v>
      </c>
      <c r="STN4765" s="34">
        <v>-3.5</v>
      </c>
      <c r="STO4765" s="34">
        <v>-3</v>
      </c>
      <c r="STP4765" s="34">
        <v>-2.5</v>
      </c>
      <c r="STQ4765" s="34">
        <v>-2</v>
      </c>
      <c r="STR4765" s="34">
        <v>-1.5</v>
      </c>
      <c r="STS4765" s="34">
        <v>-1</v>
      </c>
      <c r="STT4765" s="34">
        <v>-0.5</v>
      </c>
      <c r="STU4765" s="34">
        <v>0</v>
      </c>
      <c r="STV4765" s="34">
        <v>0.5</v>
      </c>
      <c r="STW4765" s="34">
        <v>1</v>
      </c>
      <c r="STX4765" s="34">
        <v>1.5</v>
      </c>
      <c r="STY4765" s="34">
        <v>2</v>
      </c>
      <c r="STZ4765" s="34">
        <v>2.5</v>
      </c>
      <c r="SUA4765" s="34">
        <v>3</v>
      </c>
      <c r="SUB4765" s="34">
        <v>3.5</v>
      </c>
      <c r="SUC4765" s="34">
        <v>4</v>
      </c>
      <c r="SUD4765" s="34">
        <v>4.5</v>
      </c>
      <c r="SUE4765" s="34">
        <v>5</v>
      </c>
      <c r="SUG4765" s="913"/>
      <c r="SUH4765" s="31">
        <v>1</v>
      </c>
      <c r="SUI4765" s="34">
        <v>0</v>
      </c>
      <c r="SUJ4765" s="34">
        <v>-1</v>
      </c>
      <c r="SUK4765" s="34">
        <v>-2</v>
      </c>
      <c r="SUL4765" s="34">
        <v>-3</v>
      </c>
      <c r="SUM4765" s="34">
        <v>-4</v>
      </c>
      <c r="SUN4765" s="34">
        <v>-5</v>
      </c>
      <c r="SUO4765" s="908"/>
      <c r="SUP4765" s="909"/>
      <c r="SUQ4765" s="34">
        <v>-5</v>
      </c>
      <c r="SUR4765" s="34">
        <v>-4.5</v>
      </c>
      <c r="SUS4765" s="34">
        <v>-4</v>
      </c>
      <c r="SUT4765" s="34">
        <v>-3.5</v>
      </c>
      <c r="SUU4765" s="34">
        <v>-3</v>
      </c>
      <c r="SUV4765" s="34">
        <v>-2.5</v>
      </c>
      <c r="SUW4765" s="34">
        <v>-2</v>
      </c>
      <c r="SUX4765" s="34">
        <v>-1.5</v>
      </c>
      <c r="SUY4765" s="34">
        <v>-1</v>
      </c>
      <c r="SUZ4765" s="34">
        <v>-0.5</v>
      </c>
      <c r="SVA4765" s="34">
        <v>0</v>
      </c>
      <c r="SVB4765" s="34">
        <v>0.5</v>
      </c>
      <c r="SVC4765" s="34">
        <v>1</v>
      </c>
      <c r="SVD4765" s="34">
        <v>1.5</v>
      </c>
      <c r="SVE4765" s="34">
        <v>2</v>
      </c>
      <c r="SVF4765" s="34">
        <v>2.5</v>
      </c>
      <c r="SVG4765" s="34">
        <v>3</v>
      </c>
      <c r="SVH4765" s="34">
        <v>3.5</v>
      </c>
      <c r="SVI4765" s="34">
        <v>4</v>
      </c>
      <c r="SVJ4765" s="34">
        <v>4.5</v>
      </c>
      <c r="SVK4765" s="34">
        <v>5</v>
      </c>
      <c r="SVM4765" s="913"/>
      <c r="SVN4765" s="31">
        <v>1</v>
      </c>
      <c r="SVO4765" s="34">
        <v>0</v>
      </c>
      <c r="SVP4765" s="34">
        <v>-1</v>
      </c>
      <c r="SVQ4765" s="34">
        <v>-2</v>
      </c>
      <c r="SVR4765" s="34">
        <v>-3</v>
      </c>
      <c r="SVS4765" s="34">
        <v>-4</v>
      </c>
      <c r="SVT4765" s="34">
        <v>-5</v>
      </c>
      <c r="SVU4765" s="908"/>
      <c r="SVV4765" s="909"/>
      <c r="SVW4765" s="34">
        <v>-5</v>
      </c>
      <c r="SVX4765" s="34">
        <v>-4.5</v>
      </c>
      <c r="SVY4765" s="34">
        <v>-4</v>
      </c>
      <c r="SVZ4765" s="34">
        <v>-3.5</v>
      </c>
      <c r="SWA4765" s="34">
        <v>-3</v>
      </c>
      <c r="SWB4765" s="34">
        <v>-2.5</v>
      </c>
      <c r="SWC4765" s="34">
        <v>-2</v>
      </c>
      <c r="SWD4765" s="34">
        <v>-1.5</v>
      </c>
      <c r="SWE4765" s="34">
        <v>-1</v>
      </c>
      <c r="SWF4765" s="34">
        <v>-0.5</v>
      </c>
      <c r="SWG4765" s="34">
        <v>0</v>
      </c>
      <c r="SWH4765" s="34">
        <v>0.5</v>
      </c>
      <c r="SWI4765" s="34">
        <v>1</v>
      </c>
      <c r="SWJ4765" s="34">
        <v>1.5</v>
      </c>
      <c r="SWK4765" s="34">
        <v>2</v>
      </c>
      <c r="SWL4765" s="34">
        <v>2.5</v>
      </c>
      <c r="SWM4765" s="34">
        <v>3</v>
      </c>
      <c r="SWN4765" s="34">
        <v>3.5</v>
      </c>
      <c r="SWO4765" s="34">
        <v>4</v>
      </c>
      <c r="SWP4765" s="34">
        <v>4.5</v>
      </c>
      <c r="SWQ4765" s="34">
        <v>5</v>
      </c>
      <c r="SWS4765" s="913"/>
      <c r="SWT4765" s="31">
        <v>1</v>
      </c>
      <c r="SWU4765" s="34">
        <v>0</v>
      </c>
      <c r="SWV4765" s="34">
        <v>-1</v>
      </c>
      <c r="SWW4765" s="34">
        <v>-2</v>
      </c>
      <c r="SWX4765" s="34">
        <v>-3</v>
      </c>
      <c r="SWY4765" s="34">
        <v>-4</v>
      </c>
      <c r="SWZ4765" s="34">
        <v>-5</v>
      </c>
      <c r="SXA4765" s="908"/>
      <c r="SXB4765" s="909"/>
      <c r="SXC4765" s="34">
        <v>-5</v>
      </c>
      <c r="SXD4765" s="34">
        <v>-4.5</v>
      </c>
      <c r="SXE4765" s="34">
        <v>-4</v>
      </c>
      <c r="SXF4765" s="34">
        <v>-3.5</v>
      </c>
      <c r="SXG4765" s="34">
        <v>-3</v>
      </c>
      <c r="SXH4765" s="34">
        <v>-2.5</v>
      </c>
      <c r="SXI4765" s="34">
        <v>-2</v>
      </c>
      <c r="SXJ4765" s="34">
        <v>-1.5</v>
      </c>
      <c r="SXK4765" s="34">
        <v>-1</v>
      </c>
      <c r="SXL4765" s="34">
        <v>-0.5</v>
      </c>
      <c r="SXM4765" s="34">
        <v>0</v>
      </c>
      <c r="SXN4765" s="34">
        <v>0.5</v>
      </c>
      <c r="SXO4765" s="34">
        <v>1</v>
      </c>
      <c r="SXP4765" s="34">
        <v>1.5</v>
      </c>
      <c r="SXQ4765" s="34">
        <v>2</v>
      </c>
      <c r="SXR4765" s="34">
        <v>2.5</v>
      </c>
      <c r="SXS4765" s="34">
        <v>3</v>
      </c>
      <c r="SXT4765" s="34">
        <v>3.5</v>
      </c>
      <c r="SXU4765" s="34">
        <v>4</v>
      </c>
      <c r="SXV4765" s="34">
        <v>4.5</v>
      </c>
      <c r="SXW4765" s="34">
        <v>5</v>
      </c>
      <c r="SXY4765" s="913"/>
      <c r="SXZ4765" s="31">
        <v>1</v>
      </c>
      <c r="SYA4765" s="34">
        <v>0</v>
      </c>
      <c r="SYB4765" s="34">
        <v>-1</v>
      </c>
      <c r="SYC4765" s="34">
        <v>-2</v>
      </c>
      <c r="SYD4765" s="34">
        <v>-3</v>
      </c>
      <c r="SYE4765" s="34">
        <v>-4</v>
      </c>
      <c r="SYF4765" s="34">
        <v>-5</v>
      </c>
      <c r="SYG4765" s="908"/>
      <c r="SYH4765" s="909"/>
      <c r="SYI4765" s="34">
        <v>-5</v>
      </c>
      <c r="SYJ4765" s="34">
        <v>-4.5</v>
      </c>
      <c r="SYK4765" s="34">
        <v>-4</v>
      </c>
      <c r="SYL4765" s="34">
        <v>-3.5</v>
      </c>
      <c r="SYM4765" s="34">
        <v>-3</v>
      </c>
      <c r="SYN4765" s="34">
        <v>-2.5</v>
      </c>
      <c r="SYO4765" s="34">
        <v>-2</v>
      </c>
      <c r="SYP4765" s="34">
        <v>-1.5</v>
      </c>
      <c r="SYQ4765" s="34">
        <v>-1</v>
      </c>
      <c r="SYR4765" s="34">
        <v>-0.5</v>
      </c>
      <c r="SYS4765" s="34">
        <v>0</v>
      </c>
      <c r="SYT4765" s="34">
        <v>0.5</v>
      </c>
      <c r="SYU4765" s="34">
        <v>1</v>
      </c>
      <c r="SYV4765" s="34">
        <v>1.5</v>
      </c>
      <c r="SYW4765" s="34">
        <v>2</v>
      </c>
      <c r="SYX4765" s="34">
        <v>2.5</v>
      </c>
      <c r="SYY4765" s="34">
        <v>3</v>
      </c>
      <c r="SYZ4765" s="34">
        <v>3.5</v>
      </c>
      <c r="SZA4765" s="34">
        <v>4</v>
      </c>
      <c r="SZB4765" s="34">
        <v>4.5</v>
      </c>
      <c r="SZC4765" s="34">
        <v>5</v>
      </c>
      <c r="SZE4765" s="913"/>
      <c r="SZF4765" s="31">
        <v>1</v>
      </c>
      <c r="SZG4765" s="34">
        <v>0</v>
      </c>
      <c r="SZH4765" s="34">
        <v>-1</v>
      </c>
      <c r="SZI4765" s="34">
        <v>-2</v>
      </c>
      <c r="SZJ4765" s="34">
        <v>-3</v>
      </c>
      <c r="SZK4765" s="34">
        <v>-4</v>
      </c>
      <c r="SZL4765" s="34">
        <v>-5</v>
      </c>
      <c r="SZM4765" s="908"/>
      <c r="SZN4765" s="909"/>
      <c r="SZO4765" s="34">
        <v>-5</v>
      </c>
      <c r="SZP4765" s="34">
        <v>-4.5</v>
      </c>
      <c r="SZQ4765" s="34">
        <v>-4</v>
      </c>
      <c r="SZR4765" s="34">
        <v>-3.5</v>
      </c>
      <c r="SZS4765" s="34">
        <v>-3</v>
      </c>
      <c r="SZT4765" s="34">
        <v>-2.5</v>
      </c>
      <c r="SZU4765" s="34">
        <v>-2</v>
      </c>
      <c r="SZV4765" s="34">
        <v>-1.5</v>
      </c>
      <c r="SZW4765" s="34">
        <v>-1</v>
      </c>
      <c r="SZX4765" s="34">
        <v>-0.5</v>
      </c>
      <c r="SZY4765" s="34">
        <v>0</v>
      </c>
      <c r="SZZ4765" s="34">
        <v>0.5</v>
      </c>
      <c r="TAA4765" s="34">
        <v>1</v>
      </c>
      <c r="TAB4765" s="34">
        <v>1.5</v>
      </c>
      <c r="TAC4765" s="34">
        <v>2</v>
      </c>
      <c r="TAD4765" s="34">
        <v>2.5</v>
      </c>
      <c r="TAE4765" s="34">
        <v>3</v>
      </c>
      <c r="TAF4765" s="34">
        <v>3.5</v>
      </c>
      <c r="TAG4765" s="34">
        <v>4</v>
      </c>
      <c r="TAH4765" s="34">
        <v>4.5</v>
      </c>
      <c r="TAI4765" s="34">
        <v>5</v>
      </c>
      <c r="TAK4765" s="913"/>
      <c r="TAL4765" s="31">
        <v>1</v>
      </c>
      <c r="TAM4765" s="34">
        <v>0</v>
      </c>
      <c r="TAN4765" s="34">
        <v>-1</v>
      </c>
      <c r="TAO4765" s="34">
        <v>-2</v>
      </c>
      <c r="TAP4765" s="34">
        <v>-3</v>
      </c>
      <c r="TAQ4765" s="34">
        <v>-4</v>
      </c>
      <c r="TAR4765" s="34">
        <v>-5</v>
      </c>
      <c r="TAS4765" s="908"/>
      <c r="TAT4765" s="909"/>
      <c r="TAU4765" s="34">
        <v>-5</v>
      </c>
      <c r="TAV4765" s="34">
        <v>-4.5</v>
      </c>
      <c r="TAW4765" s="34">
        <v>-4</v>
      </c>
      <c r="TAX4765" s="34">
        <v>-3.5</v>
      </c>
      <c r="TAY4765" s="34">
        <v>-3</v>
      </c>
      <c r="TAZ4765" s="34">
        <v>-2.5</v>
      </c>
      <c r="TBA4765" s="34">
        <v>-2</v>
      </c>
      <c r="TBB4765" s="34">
        <v>-1.5</v>
      </c>
      <c r="TBC4765" s="34">
        <v>-1</v>
      </c>
      <c r="TBD4765" s="34">
        <v>-0.5</v>
      </c>
      <c r="TBE4765" s="34">
        <v>0</v>
      </c>
      <c r="TBF4765" s="34">
        <v>0.5</v>
      </c>
      <c r="TBG4765" s="34">
        <v>1</v>
      </c>
      <c r="TBH4765" s="34">
        <v>1.5</v>
      </c>
      <c r="TBI4765" s="34">
        <v>2</v>
      </c>
      <c r="TBJ4765" s="34">
        <v>2.5</v>
      </c>
      <c r="TBK4765" s="34">
        <v>3</v>
      </c>
      <c r="TBL4765" s="34">
        <v>3.5</v>
      </c>
      <c r="TBM4765" s="34">
        <v>4</v>
      </c>
      <c r="TBN4765" s="34">
        <v>4.5</v>
      </c>
      <c r="TBO4765" s="34">
        <v>5</v>
      </c>
      <c r="TBQ4765" s="913"/>
      <c r="TBR4765" s="31">
        <v>1</v>
      </c>
      <c r="TBS4765" s="34">
        <v>0</v>
      </c>
      <c r="TBT4765" s="34">
        <v>-1</v>
      </c>
      <c r="TBU4765" s="34">
        <v>-2</v>
      </c>
      <c r="TBV4765" s="34">
        <v>-3</v>
      </c>
      <c r="TBW4765" s="34">
        <v>-4</v>
      </c>
      <c r="TBX4765" s="34">
        <v>-5</v>
      </c>
      <c r="TBY4765" s="908"/>
      <c r="TBZ4765" s="909"/>
      <c r="TCA4765" s="34">
        <v>-5</v>
      </c>
      <c r="TCB4765" s="34">
        <v>-4.5</v>
      </c>
      <c r="TCC4765" s="34">
        <v>-4</v>
      </c>
      <c r="TCD4765" s="34">
        <v>-3.5</v>
      </c>
      <c r="TCE4765" s="34">
        <v>-3</v>
      </c>
      <c r="TCF4765" s="34">
        <v>-2.5</v>
      </c>
      <c r="TCG4765" s="34">
        <v>-2</v>
      </c>
      <c r="TCH4765" s="34">
        <v>-1.5</v>
      </c>
      <c r="TCI4765" s="34">
        <v>-1</v>
      </c>
      <c r="TCJ4765" s="34">
        <v>-0.5</v>
      </c>
      <c r="TCK4765" s="34">
        <v>0</v>
      </c>
      <c r="TCL4765" s="34">
        <v>0.5</v>
      </c>
      <c r="TCM4765" s="34">
        <v>1</v>
      </c>
      <c r="TCN4765" s="34">
        <v>1.5</v>
      </c>
      <c r="TCO4765" s="34">
        <v>2</v>
      </c>
      <c r="TCP4765" s="34">
        <v>2.5</v>
      </c>
      <c r="TCQ4765" s="34">
        <v>3</v>
      </c>
      <c r="TCR4765" s="34">
        <v>3.5</v>
      </c>
      <c r="TCS4765" s="34">
        <v>4</v>
      </c>
      <c r="TCT4765" s="34">
        <v>4.5</v>
      </c>
      <c r="TCU4765" s="34">
        <v>5</v>
      </c>
      <c r="TCW4765" s="913"/>
      <c r="TCX4765" s="31">
        <v>1</v>
      </c>
      <c r="TCY4765" s="34">
        <v>0</v>
      </c>
      <c r="TCZ4765" s="34">
        <v>-1</v>
      </c>
      <c r="TDA4765" s="34">
        <v>-2</v>
      </c>
      <c r="TDB4765" s="34">
        <v>-3</v>
      </c>
      <c r="TDC4765" s="34">
        <v>-4</v>
      </c>
      <c r="TDD4765" s="34">
        <v>-5</v>
      </c>
      <c r="TDE4765" s="908"/>
      <c r="TDF4765" s="909"/>
      <c r="TDG4765" s="34">
        <v>-5</v>
      </c>
      <c r="TDH4765" s="34">
        <v>-4.5</v>
      </c>
      <c r="TDI4765" s="34">
        <v>-4</v>
      </c>
      <c r="TDJ4765" s="34">
        <v>-3.5</v>
      </c>
      <c r="TDK4765" s="34">
        <v>-3</v>
      </c>
      <c r="TDL4765" s="34">
        <v>-2.5</v>
      </c>
      <c r="TDM4765" s="34">
        <v>-2</v>
      </c>
      <c r="TDN4765" s="34">
        <v>-1.5</v>
      </c>
      <c r="TDO4765" s="34">
        <v>-1</v>
      </c>
      <c r="TDP4765" s="34">
        <v>-0.5</v>
      </c>
      <c r="TDQ4765" s="34">
        <v>0</v>
      </c>
      <c r="TDR4765" s="34">
        <v>0.5</v>
      </c>
      <c r="TDS4765" s="34">
        <v>1</v>
      </c>
      <c r="TDT4765" s="34">
        <v>1.5</v>
      </c>
      <c r="TDU4765" s="34">
        <v>2</v>
      </c>
      <c r="TDV4765" s="34">
        <v>2.5</v>
      </c>
      <c r="TDW4765" s="34">
        <v>3</v>
      </c>
      <c r="TDX4765" s="34">
        <v>3.5</v>
      </c>
      <c r="TDY4765" s="34">
        <v>4</v>
      </c>
      <c r="TDZ4765" s="34">
        <v>4.5</v>
      </c>
      <c r="TEA4765" s="34">
        <v>5</v>
      </c>
      <c r="TEC4765" s="913"/>
      <c r="TED4765" s="31">
        <v>1</v>
      </c>
      <c r="TEE4765" s="34">
        <v>0</v>
      </c>
      <c r="TEF4765" s="34">
        <v>-1</v>
      </c>
      <c r="TEG4765" s="34">
        <v>-2</v>
      </c>
      <c r="TEH4765" s="34">
        <v>-3</v>
      </c>
      <c r="TEI4765" s="34">
        <v>-4</v>
      </c>
      <c r="TEJ4765" s="34">
        <v>-5</v>
      </c>
      <c r="TEK4765" s="908"/>
      <c r="TEL4765" s="909"/>
      <c r="TEM4765" s="34">
        <v>-5</v>
      </c>
      <c r="TEN4765" s="34">
        <v>-4.5</v>
      </c>
      <c r="TEO4765" s="34">
        <v>-4</v>
      </c>
      <c r="TEP4765" s="34">
        <v>-3.5</v>
      </c>
      <c r="TEQ4765" s="34">
        <v>-3</v>
      </c>
      <c r="TER4765" s="34">
        <v>-2.5</v>
      </c>
      <c r="TES4765" s="34">
        <v>-2</v>
      </c>
      <c r="TET4765" s="34">
        <v>-1.5</v>
      </c>
      <c r="TEU4765" s="34">
        <v>-1</v>
      </c>
      <c r="TEV4765" s="34">
        <v>-0.5</v>
      </c>
      <c r="TEW4765" s="34">
        <v>0</v>
      </c>
      <c r="TEX4765" s="34">
        <v>0.5</v>
      </c>
      <c r="TEY4765" s="34">
        <v>1</v>
      </c>
      <c r="TEZ4765" s="34">
        <v>1.5</v>
      </c>
      <c r="TFA4765" s="34">
        <v>2</v>
      </c>
      <c r="TFB4765" s="34">
        <v>2.5</v>
      </c>
      <c r="TFC4765" s="34">
        <v>3</v>
      </c>
      <c r="TFD4765" s="34">
        <v>3.5</v>
      </c>
      <c r="TFE4765" s="34">
        <v>4</v>
      </c>
      <c r="TFF4765" s="34">
        <v>4.5</v>
      </c>
      <c r="TFG4765" s="34">
        <v>5</v>
      </c>
      <c r="TFI4765" s="913"/>
      <c r="TFJ4765" s="31">
        <v>1</v>
      </c>
      <c r="TFK4765" s="34">
        <v>0</v>
      </c>
      <c r="TFL4765" s="34">
        <v>-1</v>
      </c>
      <c r="TFM4765" s="34">
        <v>-2</v>
      </c>
      <c r="TFN4765" s="34">
        <v>-3</v>
      </c>
      <c r="TFO4765" s="34">
        <v>-4</v>
      </c>
      <c r="TFP4765" s="34">
        <v>-5</v>
      </c>
      <c r="TFQ4765" s="908"/>
      <c r="TFR4765" s="909"/>
      <c r="TFS4765" s="34">
        <v>-5</v>
      </c>
      <c r="TFT4765" s="34">
        <v>-4.5</v>
      </c>
      <c r="TFU4765" s="34">
        <v>-4</v>
      </c>
      <c r="TFV4765" s="34">
        <v>-3.5</v>
      </c>
      <c r="TFW4765" s="34">
        <v>-3</v>
      </c>
      <c r="TFX4765" s="34">
        <v>-2.5</v>
      </c>
      <c r="TFY4765" s="34">
        <v>-2</v>
      </c>
      <c r="TFZ4765" s="34">
        <v>-1.5</v>
      </c>
      <c r="TGA4765" s="34">
        <v>-1</v>
      </c>
      <c r="TGB4765" s="34">
        <v>-0.5</v>
      </c>
      <c r="TGC4765" s="34">
        <v>0</v>
      </c>
      <c r="TGD4765" s="34">
        <v>0.5</v>
      </c>
      <c r="TGE4765" s="34">
        <v>1</v>
      </c>
      <c r="TGF4765" s="34">
        <v>1.5</v>
      </c>
      <c r="TGG4765" s="34">
        <v>2</v>
      </c>
      <c r="TGH4765" s="34">
        <v>2.5</v>
      </c>
      <c r="TGI4765" s="34">
        <v>3</v>
      </c>
      <c r="TGJ4765" s="34">
        <v>3.5</v>
      </c>
      <c r="TGK4765" s="34">
        <v>4</v>
      </c>
      <c r="TGL4765" s="34">
        <v>4.5</v>
      </c>
      <c r="TGM4765" s="34">
        <v>5</v>
      </c>
      <c r="TGO4765" s="913"/>
      <c r="TGP4765" s="31">
        <v>1</v>
      </c>
      <c r="TGQ4765" s="34">
        <v>0</v>
      </c>
      <c r="TGR4765" s="34">
        <v>-1</v>
      </c>
      <c r="TGS4765" s="34">
        <v>-2</v>
      </c>
      <c r="TGT4765" s="34">
        <v>-3</v>
      </c>
      <c r="TGU4765" s="34">
        <v>-4</v>
      </c>
      <c r="TGV4765" s="34">
        <v>-5</v>
      </c>
      <c r="TGW4765" s="908"/>
      <c r="TGX4765" s="909"/>
      <c r="TGY4765" s="34">
        <v>-5</v>
      </c>
      <c r="TGZ4765" s="34">
        <v>-4.5</v>
      </c>
      <c r="THA4765" s="34">
        <v>-4</v>
      </c>
      <c r="THB4765" s="34">
        <v>-3.5</v>
      </c>
      <c r="THC4765" s="34">
        <v>-3</v>
      </c>
      <c r="THD4765" s="34">
        <v>-2.5</v>
      </c>
      <c r="THE4765" s="34">
        <v>-2</v>
      </c>
      <c r="THF4765" s="34">
        <v>-1.5</v>
      </c>
      <c r="THG4765" s="34">
        <v>-1</v>
      </c>
      <c r="THH4765" s="34">
        <v>-0.5</v>
      </c>
      <c r="THI4765" s="34">
        <v>0</v>
      </c>
      <c r="THJ4765" s="34">
        <v>0.5</v>
      </c>
      <c r="THK4765" s="34">
        <v>1</v>
      </c>
      <c r="THL4765" s="34">
        <v>1.5</v>
      </c>
      <c r="THM4765" s="34">
        <v>2</v>
      </c>
      <c r="THN4765" s="34">
        <v>2.5</v>
      </c>
      <c r="THO4765" s="34">
        <v>3</v>
      </c>
      <c r="THP4765" s="34">
        <v>3.5</v>
      </c>
      <c r="THQ4765" s="34">
        <v>4</v>
      </c>
      <c r="THR4765" s="34">
        <v>4.5</v>
      </c>
      <c r="THS4765" s="34">
        <v>5</v>
      </c>
      <c r="THU4765" s="913"/>
      <c r="THV4765" s="31">
        <v>1</v>
      </c>
      <c r="THW4765" s="34">
        <v>0</v>
      </c>
      <c r="THX4765" s="34">
        <v>-1</v>
      </c>
      <c r="THY4765" s="34">
        <v>-2</v>
      </c>
      <c r="THZ4765" s="34">
        <v>-3</v>
      </c>
      <c r="TIA4765" s="34">
        <v>-4</v>
      </c>
      <c r="TIB4765" s="34">
        <v>-5</v>
      </c>
      <c r="TIC4765" s="908"/>
      <c r="TID4765" s="909"/>
      <c r="TIE4765" s="34">
        <v>-5</v>
      </c>
      <c r="TIF4765" s="34">
        <v>-4.5</v>
      </c>
      <c r="TIG4765" s="34">
        <v>-4</v>
      </c>
      <c r="TIH4765" s="34">
        <v>-3.5</v>
      </c>
      <c r="TII4765" s="34">
        <v>-3</v>
      </c>
      <c r="TIJ4765" s="34">
        <v>-2.5</v>
      </c>
      <c r="TIK4765" s="34">
        <v>-2</v>
      </c>
      <c r="TIL4765" s="34">
        <v>-1.5</v>
      </c>
      <c r="TIM4765" s="34">
        <v>-1</v>
      </c>
      <c r="TIN4765" s="34">
        <v>-0.5</v>
      </c>
      <c r="TIO4765" s="34">
        <v>0</v>
      </c>
      <c r="TIP4765" s="34">
        <v>0.5</v>
      </c>
      <c r="TIQ4765" s="34">
        <v>1</v>
      </c>
      <c r="TIR4765" s="34">
        <v>1.5</v>
      </c>
      <c r="TIS4765" s="34">
        <v>2</v>
      </c>
      <c r="TIT4765" s="34">
        <v>2.5</v>
      </c>
      <c r="TIU4765" s="34">
        <v>3</v>
      </c>
      <c r="TIV4765" s="34">
        <v>3.5</v>
      </c>
      <c r="TIW4765" s="34">
        <v>4</v>
      </c>
      <c r="TIX4765" s="34">
        <v>4.5</v>
      </c>
      <c r="TIY4765" s="34">
        <v>5</v>
      </c>
      <c r="TJA4765" s="913"/>
      <c r="TJB4765" s="31">
        <v>1</v>
      </c>
      <c r="TJC4765" s="34">
        <v>0</v>
      </c>
      <c r="TJD4765" s="34">
        <v>-1</v>
      </c>
      <c r="TJE4765" s="34">
        <v>-2</v>
      </c>
      <c r="TJF4765" s="34">
        <v>-3</v>
      </c>
      <c r="TJG4765" s="34">
        <v>-4</v>
      </c>
      <c r="TJH4765" s="34">
        <v>-5</v>
      </c>
      <c r="TJI4765" s="908"/>
      <c r="TJJ4765" s="909"/>
      <c r="TJK4765" s="34">
        <v>-5</v>
      </c>
      <c r="TJL4765" s="34">
        <v>-4.5</v>
      </c>
      <c r="TJM4765" s="34">
        <v>-4</v>
      </c>
      <c r="TJN4765" s="34">
        <v>-3.5</v>
      </c>
      <c r="TJO4765" s="34">
        <v>-3</v>
      </c>
      <c r="TJP4765" s="34">
        <v>-2.5</v>
      </c>
      <c r="TJQ4765" s="34">
        <v>-2</v>
      </c>
      <c r="TJR4765" s="34">
        <v>-1.5</v>
      </c>
      <c r="TJS4765" s="34">
        <v>-1</v>
      </c>
      <c r="TJT4765" s="34">
        <v>-0.5</v>
      </c>
      <c r="TJU4765" s="34">
        <v>0</v>
      </c>
      <c r="TJV4765" s="34">
        <v>0.5</v>
      </c>
      <c r="TJW4765" s="34">
        <v>1</v>
      </c>
      <c r="TJX4765" s="34">
        <v>1.5</v>
      </c>
      <c r="TJY4765" s="34">
        <v>2</v>
      </c>
      <c r="TJZ4765" s="34">
        <v>2.5</v>
      </c>
      <c r="TKA4765" s="34">
        <v>3</v>
      </c>
      <c r="TKB4765" s="34">
        <v>3.5</v>
      </c>
      <c r="TKC4765" s="34">
        <v>4</v>
      </c>
      <c r="TKD4765" s="34">
        <v>4.5</v>
      </c>
      <c r="TKE4765" s="34">
        <v>5</v>
      </c>
      <c r="TKG4765" s="913"/>
      <c r="TKH4765" s="31">
        <v>1</v>
      </c>
      <c r="TKI4765" s="34">
        <v>0</v>
      </c>
      <c r="TKJ4765" s="34">
        <v>-1</v>
      </c>
      <c r="TKK4765" s="34">
        <v>-2</v>
      </c>
      <c r="TKL4765" s="34">
        <v>-3</v>
      </c>
      <c r="TKM4765" s="34">
        <v>-4</v>
      </c>
      <c r="TKN4765" s="34">
        <v>-5</v>
      </c>
      <c r="TKO4765" s="908"/>
      <c r="TKP4765" s="909"/>
      <c r="TKQ4765" s="34">
        <v>-5</v>
      </c>
      <c r="TKR4765" s="34">
        <v>-4.5</v>
      </c>
      <c r="TKS4765" s="34">
        <v>-4</v>
      </c>
      <c r="TKT4765" s="34">
        <v>-3.5</v>
      </c>
      <c r="TKU4765" s="34">
        <v>-3</v>
      </c>
      <c r="TKV4765" s="34">
        <v>-2.5</v>
      </c>
      <c r="TKW4765" s="34">
        <v>-2</v>
      </c>
      <c r="TKX4765" s="34">
        <v>-1.5</v>
      </c>
      <c r="TKY4765" s="34">
        <v>-1</v>
      </c>
      <c r="TKZ4765" s="34">
        <v>-0.5</v>
      </c>
      <c r="TLA4765" s="34">
        <v>0</v>
      </c>
      <c r="TLB4765" s="34">
        <v>0.5</v>
      </c>
      <c r="TLC4765" s="34">
        <v>1</v>
      </c>
      <c r="TLD4765" s="34">
        <v>1.5</v>
      </c>
      <c r="TLE4765" s="34">
        <v>2</v>
      </c>
      <c r="TLF4765" s="34">
        <v>2.5</v>
      </c>
      <c r="TLG4765" s="34">
        <v>3</v>
      </c>
      <c r="TLH4765" s="34">
        <v>3.5</v>
      </c>
      <c r="TLI4765" s="34">
        <v>4</v>
      </c>
      <c r="TLJ4765" s="34">
        <v>4.5</v>
      </c>
      <c r="TLK4765" s="34">
        <v>5</v>
      </c>
      <c r="TLM4765" s="913"/>
      <c r="TLN4765" s="31">
        <v>1</v>
      </c>
      <c r="TLO4765" s="34">
        <v>0</v>
      </c>
      <c r="TLP4765" s="34">
        <v>-1</v>
      </c>
      <c r="TLQ4765" s="34">
        <v>-2</v>
      </c>
      <c r="TLR4765" s="34">
        <v>-3</v>
      </c>
      <c r="TLS4765" s="34">
        <v>-4</v>
      </c>
      <c r="TLT4765" s="34">
        <v>-5</v>
      </c>
      <c r="TLU4765" s="908"/>
      <c r="TLV4765" s="909"/>
      <c r="TLW4765" s="34">
        <v>-5</v>
      </c>
      <c r="TLX4765" s="34">
        <v>-4.5</v>
      </c>
      <c r="TLY4765" s="34">
        <v>-4</v>
      </c>
      <c r="TLZ4765" s="34">
        <v>-3.5</v>
      </c>
      <c r="TMA4765" s="34">
        <v>-3</v>
      </c>
      <c r="TMB4765" s="34">
        <v>-2.5</v>
      </c>
      <c r="TMC4765" s="34">
        <v>-2</v>
      </c>
      <c r="TMD4765" s="34">
        <v>-1.5</v>
      </c>
      <c r="TME4765" s="34">
        <v>-1</v>
      </c>
      <c r="TMF4765" s="34">
        <v>-0.5</v>
      </c>
      <c r="TMG4765" s="34">
        <v>0</v>
      </c>
      <c r="TMH4765" s="34">
        <v>0.5</v>
      </c>
      <c r="TMI4765" s="34">
        <v>1</v>
      </c>
      <c r="TMJ4765" s="34">
        <v>1.5</v>
      </c>
      <c r="TMK4765" s="34">
        <v>2</v>
      </c>
      <c r="TML4765" s="34">
        <v>2.5</v>
      </c>
      <c r="TMM4765" s="34">
        <v>3</v>
      </c>
      <c r="TMN4765" s="34">
        <v>3.5</v>
      </c>
      <c r="TMO4765" s="34">
        <v>4</v>
      </c>
      <c r="TMP4765" s="34">
        <v>4.5</v>
      </c>
      <c r="TMQ4765" s="34">
        <v>5</v>
      </c>
      <c r="TMS4765" s="913"/>
      <c r="TMT4765" s="31">
        <v>1</v>
      </c>
      <c r="TMU4765" s="34">
        <v>0</v>
      </c>
      <c r="TMV4765" s="34">
        <v>-1</v>
      </c>
      <c r="TMW4765" s="34">
        <v>-2</v>
      </c>
      <c r="TMX4765" s="34">
        <v>-3</v>
      </c>
      <c r="TMY4765" s="34">
        <v>-4</v>
      </c>
      <c r="TMZ4765" s="34">
        <v>-5</v>
      </c>
      <c r="TNA4765" s="908"/>
      <c r="TNB4765" s="909"/>
      <c r="TNC4765" s="34">
        <v>-5</v>
      </c>
      <c r="TND4765" s="34">
        <v>-4.5</v>
      </c>
      <c r="TNE4765" s="34">
        <v>-4</v>
      </c>
      <c r="TNF4765" s="34">
        <v>-3.5</v>
      </c>
      <c r="TNG4765" s="34">
        <v>-3</v>
      </c>
      <c r="TNH4765" s="34">
        <v>-2.5</v>
      </c>
      <c r="TNI4765" s="34">
        <v>-2</v>
      </c>
      <c r="TNJ4765" s="34">
        <v>-1.5</v>
      </c>
      <c r="TNK4765" s="34">
        <v>-1</v>
      </c>
      <c r="TNL4765" s="34">
        <v>-0.5</v>
      </c>
      <c r="TNM4765" s="34">
        <v>0</v>
      </c>
      <c r="TNN4765" s="34">
        <v>0.5</v>
      </c>
      <c r="TNO4765" s="34">
        <v>1</v>
      </c>
      <c r="TNP4765" s="34">
        <v>1.5</v>
      </c>
      <c r="TNQ4765" s="34">
        <v>2</v>
      </c>
      <c r="TNR4765" s="34">
        <v>2.5</v>
      </c>
      <c r="TNS4765" s="34">
        <v>3</v>
      </c>
      <c r="TNT4765" s="34">
        <v>3.5</v>
      </c>
      <c r="TNU4765" s="34">
        <v>4</v>
      </c>
      <c r="TNV4765" s="34">
        <v>4.5</v>
      </c>
      <c r="TNW4765" s="34">
        <v>5</v>
      </c>
      <c r="TNY4765" s="913"/>
      <c r="TNZ4765" s="31">
        <v>1</v>
      </c>
      <c r="TOA4765" s="34">
        <v>0</v>
      </c>
      <c r="TOB4765" s="34">
        <v>-1</v>
      </c>
      <c r="TOC4765" s="34">
        <v>-2</v>
      </c>
      <c r="TOD4765" s="34">
        <v>-3</v>
      </c>
      <c r="TOE4765" s="34">
        <v>-4</v>
      </c>
      <c r="TOF4765" s="34">
        <v>-5</v>
      </c>
      <c r="TOG4765" s="908"/>
      <c r="TOH4765" s="909"/>
      <c r="TOI4765" s="34">
        <v>-5</v>
      </c>
      <c r="TOJ4765" s="34">
        <v>-4.5</v>
      </c>
      <c r="TOK4765" s="34">
        <v>-4</v>
      </c>
      <c r="TOL4765" s="34">
        <v>-3.5</v>
      </c>
      <c r="TOM4765" s="34">
        <v>-3</v>
      </c>
      <c r="TON4765" s="34">
        <v>-2.5</v>
      </c>
      <c r="TOO4765" s="34">
        <v>-2</v>
      </c>
      <c r="TOP4765" s="34">
        <v>-1.5</v>
      </c>
      <c r="TOQ4765" s="34">
        <v>-1</v>
      </c>
      <c r="TOR4765" s="34">
        <v>-0.5</v>
      </c>
      <c r="TOS4765" s="34">
        <v>0</v>
      </c>
      <c r="TOT4765" s="34">
        <v>0.5</v>
      </c>
      <c r="TOU4765" s="34">
        <v>1</v>
      </c>
      <c r="TOV4765" s="34">
        <v>1.5</v>
      </c>
      <c r="TOW4765" s="34">
        <v>2</v>
      </c>
      <c r="TOX4765" s="34">
        <v>2.5</v>
      </c>
      <c r="TOY4765" s="34">
        <v>3</v>
      </c>
      <c r="TOZ4765" s="34">
        <v>3.5</v>
      </c>
      <c r="TPA4765" s="34">
        <v>4</v>
      </c>
      <c r="TPB4765" s="34">
        <v>4.5</v>
      </c>
      <c r="TPC4765" s="34">
        <v>5</v>
      </c>
      <c r="TPE4765" s="913"/>
      <c r="TPF4765" s="31">
        <v>1</v>
      </c>
      <c r="TPG4765" s="34">
        <v>0</v>
      </c>
      <c r="TPH4765" s="34">
        <v>-1</v>
      </c>
      <c r="TPI4765" s="34">
        <v>-2</v>
      </c>
      <c r="TPJ4765" s="34">
        <v>-3</v>
      </c>
      <c r="TPK4765" s="34">
        <v>-4</v>
      </c>
      <c r="TPL4765" s="34">
        <v>-5</v>
      </c>
      <c r="TPM4765" s="908"/>
      <c r="TPN4765" s="909"/>
      <c r="TPO4765" s="34">
        <v>-5</v>
      </c>
      <c r="TPP4765" s="34">
        <v>-4.5</v>
      </c>
      <c r="TPQ4765" s="34">
        <v>-4</v>
      </c>
      <c r="TPR4765" s="34">
        <v>-3.5</v>
      </c>
      <c r="TPS4765" s="34">
        <v>-3</v>
      </c>
      <c r="TPT4765" s="34">
        <v>-2.5</v>
      </c>
      <c r="TPU4765" s="34">
        <v>-2</v>
      </c>
      <c r="TPV4765" s="34">
        <v>-1.5</v>
      </c>
      <c r="TPW4765" s="34">
        <v>-1</v>
      </c>
      <c r="TPX4765" s="34">
        <v>-0.5</v>
      </c>
      <c r="TPY4765" s="34">
        <v>0</v>
      </c>
      <c r="TPZ4765" s="34">
        <v>0.5</v>
      </c>
      <c r="TQA4765" s="34">
        <v>1</v>
      </c>
      <c r="TQB4765" s="34">
        <v>1.5</v>
      </c>
      <c r="TQC4765" s="34">
        <v>2</v>
      </c>
      <c r="TQD4765" s="34">
        <v>2.5</v>
      </c>
      <c r="TQE4765" s="34">
        <v>3</v>
      </c>
      <c r="TQF4765" s="34">
        <v>3.5</v>
      </c>
      <c r="TQG4765" s="34">
        <v>4</v>
      </c>
      <c r="TQH4765" s="34">
        <v>4.5</v>
      </c>
      <c r="TQI4765" s="34">
        <v>5</v>
      </c>
      <c r="TQK4765" s="913"/>
      <c r="TQL4765" s="31">
        <v>1</v>
      </c>
      <c r="TQM4765" s="34">
        <v>0</v>
      </c>
      <c r="TQN4765" s="34">
        <v>-1</v>
      </c>
      <c r="TQO4765" s="34">
        <v>-2</v>
      </c>
      <c r="TQP4765" s="34">
        <v>-3</v>
      </c>
      <c r="TQQ4765" s="34">
        <v>-4</v>
      </c>
      <c r="TQR4765" s="34">
        <v>-5</v>
      </c>
      <c r="TQS4765" s="908"/>
      <c r="TQT4765" s="909"/>
      <c r="TQU4765" s="34">
        <v>-5</v>
      </c>
      <c r="TQV4765" s="34">
        <v>-4.5</v>
      </c>
      <c r="TQW4765" s="34">
        <v>-4</v>
      </c>
      <c r="TQX4765" s="34">
        <v>-3.5</v>
      </c>
      <c r="TQY4765" s="34">
        <v>-3</v>
      </c>
      <c r="TQZ4765" s="34">
        <v>-2.5</v>
      </c>
      <c r="TRA4765" s="34">
        <v>-2</v>
      </c>
      <c r="TRB4765" s="34">
        <v>-1.5</v>
      </c>
      <c r="TRC4765" s="34">
        <v>-1</v>
      </c>
      <c r="TRD4765" s="34">
        <v>-0.5</v>
      </c>
      <c r="TRE4765" s="34">
        <v>0</v>
      </c>
      <c r="TRF4765" s="34">
        <v>0.5</v>
      </c>
      <c r="TRG4765" s="34">
        <v>1</v>
      </c>
      <c r="TRH4765" s="34">
        <v>1.5</v>
      </c>
      <c r="TRI4765" s="34">
        <v>2</v>
      </c>
      <c r="TRJ4765" s="34">
        <v>2.5</v>
      </c>
      <c r="TRK4765" s="34">
        <v>3</v>
      </c>
      <c r="TRL4765" s="34">
        <v>3.5</v>
      </c>
      <c r="TRM4765" s="34">
        <v>4</v>
      </c>
      <c r="TRN4765" s="34">
        <v>4.5</v>
      </c>
      <c r="TRO4765" s="34">
        <v>5</v>
      </c>
      <c r="TRQ4765" s="913"/>
      <c r="TRR4765" s="31">
        <v>1</v>
      </c>
      <c r="TRS4765" s="34">
        <v>0</v>
      </c>
      <c r="TRT4765" s="34">
        <v>-1</v>
      </c>
      <c r="TRU4765" s="34">
        <v>-2</v>
      </c>
      <c r="TRV4765" s="34">
        <v>-3</v>
      </c>
      <c r="TRW4765" s="34">
        <v>-4</v>
      </c>
      <c r="TRX4765" s="34">
        <v>-5</v>
      </c>
      <c r="TRY4765" s="908"/>
      <c r="TRZ4765" s="909"/>
      <c r="TSA4765" s="34">
        <v>-5</v>
      </c>
      <c r="TSB4765" s="34">
        <v>-4.5</v>
      </c>
      <c r="TSC4765" s="34">
        <v>-4</v>
      </c>
      <c r="TSD4765" s="34">
        <v>-3.5</v>
      </c>
      <c r="TSE4765" s="34">
        <v>-3</v>
      </c>
      <c r="TSF4765" s="34">
        <v>-2.5</v>
      </c>
      <c r="TSG4765" s="34">
        <v>-2</v>
      </c>
      <c r="TSH4765" s="34">
        <v>-1.5</v>
      </c>
      <c r="TSI4765" s="34">
        <v>-1</v>
      </c>
      <c r="TSJ4765" s="34">
        <v>-0.5</v>
      </c>
      <c r="TSK4765" s="34">
        <v>0</v>
      </c>
      <c r="TSL4765" s="34">
        <v>0.5</v>
      </c>
      <c r="TSM4765" s="34">
        <v>1</v>
      </c>
      <c r="TSN4765" s="34">
        <v>1.5</v>
      </c>
      <c r="TSO4765" s="34">
        <v>2</v>
      </c>
      <c r="TSP4765" s="34">
        <v>2.5</v>
      </c>
      <c r="TSQ4765" s="34">
        <v>3</v>
      </c>
      <c r="TSR4765" s="34">
        <v>3.5</v>
      </c>
      <c r="TSS4765" s="34">
        <v>4</v>
      </c>
      <c r="TST4765" s="34">
        <v>4.5</v>
      </c>
      <c r="TSU4765" s="34">
        <v>5</v>
      </c>
      <c r="TSW4765" s="913"/>
      <c r="TSX4765" s="31">
        <v>1</v>
      </c>
      <c r="TSY4765" s="34">
        <v>0</v>
      </c>
      <c r="TSZ4765" s="34">
        <v>-1</v>
      </c>
      <c r="TTA4765" s="34">
        <v>-2</v>
      </c>
      <c r="TTB4765" s="34">
        <v>-3</v>
      </c>
      <c r="TTC4765" s="34">
        <v>-4</v>
      </c>
      <c r="TTD4765" s="34">
        <v>-5</v>
      </c>
      <c r="TTE4765" s="908"/>
      <c r="TTF4765" s="909"/>
      <c r="TTG4765" s="34">
        <v>-5</v>
      </c>
      <c r="TTH4765" s="34">
        <v>-4.5</v>
      </c>
      <c r="TTI4765" s="34">
        <v>-4</v>
      </c>
      <c r="TTJ4765" s="34">
        <v>-3.5</v>
      </c>
      <c r="TTK4765" s="34">
        <v>-3</v>
      </c>
      <c r="TTL4765" s="34">
        <v>-2.5</v>
      </c>
      <c r="TTM4765" s="34">
        <v>-2</v>
      </c>
      <c r="TTN4765" s="34">
        <v>-1.5</v>
      </c>
      <c r="TTO4765" s="34">
        <v>-1</v>
      </c>
      <c r="TTP4765" s="34">
        <v>-0.5</v>
      </c>
      <c r="TTQ4765" s="34">
        <v>0</v>
      </c>
      <c r="TTR4765" s="34">
        <v>0.5</v>
      </c>
      <c r="TTS4765" s="34">
        <v>1</v>
      </c>
      <c r="TTT4765" s="34">
        <v>1.5</v>
      </c>
      <c r="TTU4765" s="34">
        <v>2</v>
      </c>
      <c r="TTV4765" s="34">
        <v>2.5</v>
      </c>
      <c r="TTW4765" s="34">
        <v>3</v>
      </c>
      <c r="TTX4765" s="34">
        <v>3.5</v>
      </c>
      <c r="TTY4765" s="34">
        <v>4</v>
      </c>
      <c r="TTZ4765" s="34">
        <v>4.5</v>
      </c>
      <c r="TUA4765" s="34">
        <v>5</v>
      </c>
      <c r="TUC4765" s="913"/>
      <c r="TUD4765" s="31">
        <v>1</v>
      </c>
      <c r="TUE4765" s="34">
        <v>0</v>
      </c>
      <c r="TUF4765" s="34">
        <v>-1</v>
      </c>
      <c r="TUG4765" s="34">
        <v>-2</v>
      </c>
      <c r="TUH4765" s="34">
        <v>-3</v>
      </c>
      <c r="TUI4765" s="34">
        <v>-4</v>
      </c>
      <c r="TUJ4765" s="34">
        <v>-5</v>
      </c>
      <c r="TUK4765" s="908"/>
      <c r="TUL4765" s="909"/>
      <c r="TUM4765" s="34">
        <v>-5</v>
      </c>
      <c r="TUN4765" s="34">
        <v>-4.5</v>
      </c>
      <c r="TUO4765" s="34">
        <v>-4</v>
      </c>
      <c r="TUP4765" s="34">
        <v>-3.5</v>
      </c>
      <c r="TUQ4765" s="34">
        <v>-3</v>
      </c>
      <c r="TUR4765" s="34">
        <v>-2.5</v>
      </c>
      <c r="TUS4765" s="34">
        <v>-2</v>
      </c>
      <c r="TUT4765" s="34">
        <v>-1.5</v>
      </c>
      <c r="TUU4765" s="34">
        <v>-1</v>
      </c>
      <c r="TUV4765" s="34">
        <v>-0.5</v>
      </c>
      <c r="TUW4765" s="34">
        <v>0</v>
      </c>
      <c r="TUX4765" s="34">
        <v>0.5</v>
      </c>
      <c r="TUY4765" s="34">
        <v>1</v>
      </c>
      <c r="TUZ4765" s="34">
        <v>1.5</v>
      </c>
      <c r="TVA4765" s="34">
        <v>2</v>
      </c>
      <c r="TVB4765" s="34">
        <v>2.5</v>
      </c>
      <c r="TVC4765" s="34">
        <v>3</v>
      </c>
      <c r="TVD4765" s="34">
        <v>3.5</v>
      </c>
      <c r="TVE4765" s="34">
        <v>4</v>
      </c>
      <c r="TVF4765" s="34">
        <v>4.5</v>
      </c>
      <c r="TVG4765" s="34">
        <v>5</v>
      </c>
      <c r="TVI4765" s="913"/>
      <c r="TVJ4765" s="31">
        <v>1</v>
      </c>
      <c r="TVK4765" s="34">
        <v>0</v>
      </c>
      <c r="TVL4765" s="34">
        <v>-1</v>
      </c>
      <c r="TVM4765" s="34">
        <v>-2</v>
      </c>
      <c r="TVN4765" s="34">
        <v>-3</v>
      </c>
      <c r="TVO4765" s="34">
        <v>-4</v>
      </c>
      <c r="TVP4765" s="34">
        <v>-5</v>
      </c>
      <c r="TVQ4765" s="908"/>
      <c r="TVR4765" s="909"/>
      <c r="TVS4765" s="34">
        <v>-5</v>
      </c>
      <c r="TVT4765" s="34">
        <v>-4.5</v>
      </c>
      <c r="TVU4765" s="34">
        <v>-4</v>
      </c>
      <c r="TVV4765" s="34">
        <v>-3.5</v>
      </c>
      <c r="TVW4765" s="34">
        <v>-3</v>
      </c>
      <c r="TVX4765" s="34">
        <v>-2.5</v>
      </c>
      <c r="TVY4765" s="34">
        <v>-2</v>
      </c>
      <c r="TVZ4765" s="34">
        <v>-1.5</v>
      </c>
      <c r="TWA4765" s="34">
        <v>-1</v>
      </c>
      <c r="TWB4765" s="34">
        <v>-0.5</v>
      </c>
      <c r="TWC4765" s="34">
        <v>0</v>
      </c>
      <c r="TWD4765" s="34">
        <v>0.5</v>
      </c>
      <c r="TWE4765" s="34">
        <v>1</v>
      </c>
      <c r="TWF4765" s="34">
        <v>1.5</v>
      </c>
      <c r="TWG4765" s="34">
        <v>2</v>
      </c>
      <c r="TWH4765" s="34">
        <v>2.5</v>
      </c>
      <c r="TWI4765" s="34">
        <v>3</v>
      </c>
      <c r="TWJ4765" s="34">
        <v>3.5</v>
      </c>
      <c r="TWK4765" s="34">
        <v>4</v>
      </c>
      <c r="TWL4765" s="34">
        <v>4.5</v>
      </c>
      <c r="TWM4765" s="34">
        <v>5</v>
      </c>
      <c r="TWO4765" s="913"/>
      <c r="TWP4765" s="31">
        <v>1</v>
      </c>
      <c r="TWQ4765" s="34">
        <v>0</v>
      </c>
      <c r="TWR4765" s="34">
        <v>-1</v>
      </c>
      <c r="TWS4765" s="34">
        <v>-2</v>
      </c>
      <c r="TWT4765" s="34">
        <v>-3</v>
      </c>
      <c r="TWU4765" s="34">
        <v>-4</v>
      </c>
      <c r="TWV4765" s="34">
        <v>-5</v>
      </c>
      <c r="TWW4765" s="908"/>
      <c r="TWX4765" s="909"/>
      <c r="TWY4765" s="34">
        <v>-5</v>
      </c>
      <c r="TWZ4765" s="34">
        <v>-4.5</v>
      </c>
      <c r="TXA4765" s="34">
        <v>-4</v>
      </c>
      <c r="TXB4765" s="34">
        <v>-3.5</v>
      </c>
      <c r="TXC4765" s="34">
        <v>-3</v>
      </c>
      <c r="TXD4765" s="34">
        <v>-2.5</v>
      </c>
      <c r="TXE4765" s="34">
        <v>-2</v>
      </c>
      <c r="TXF4765" s="34">
        <v>-1.5</v>
      </c>
      <c r="TXG4765" s="34">
        <v>-1</v>
      </c>
      <c r="TXH4765" s="34">
        <v>-0.5</v>
      </c>
      <c r="TXI4765" s="34">
        <v>0</v>
      </c>
      <c r="TXJ4765" s="34">
        <v>0.5</v>
      </c>
      <c r="TXK4765" s="34">
        <v>1</v>
      </c>
      <c r="TXL4765" s="34">
        <v>1.5</v>
      </c>
      <c r="TXM4765" s="34">
        <v>2</v>
      </c>
      <c r="TXN4765" s="34">
        <v>2.5</v>
      </c>
      <c r="TXO4765" s="34">
        <v>3</v>
      </c>
      <c r="TXP4765" s="34">
        <v>3.5</v>
      </c>
      <c r="TXQ4765" s="34">
        <v>4</v>
      </c>
      <c r="TXR4765" s="34">
        <v>4.5</v>
      </c>
      <c r="TXS4765" s="34">
        <v>5</v>
      </c>
      <c r="TXU4765" s="913"/>
      <c r="TXV4765" s="31">
        <v>1</v>
      </c>
      <c r="TXW4765" s="34">
        <v>0</v>
      </c>
      <c r="TXX4765" s="34">
        <v>-1</v>
      </c>
      <c r="TXY4765" s="34">
        <v>-2</v>
      </c>
      <c r="TXZ4765" s="34">
        <v>-3</v>
      </c>
      <c r="TYA4765" s="34">
        <v>-4</v>
      </c>
      <c r="TYB4765" s="34">
        <v>-5</v>
      </c>
      <c r="TYC4765" s="908"/>
      <c r="TYD4765" s="909"/>
      <c r="TYE4765" s="34">
        <v>-5</v>
      </c>
      <c r="TYF4765" s="34">
        <v>-4.5</v>
      </c>
      <c r="TYG4765" s="34">
        <v>-4</v>
      </c>
      <c r="TYH4765" s="34">
        <v>-3.5</v>
      </c>
      <c r="TYI4765" s="34">
        <v>-3</v>
      </c>
      <c r="TYJ4765" s="34">
        <v>-2.5</v>
      </c>
      <c r="TYK4765" s="34">
        <v>-2</v>
      </c>
      <c r="TYL4765" s="34">
        <v>-1.5</v>
      </c>
      <c r="TYM4765" s="34">
        <v>-1</v>
      </c>
      <c r="TYN4765" s="34">
        <v>-0.5</v>
      </c>
      <c r="TYO4765" s="34">
        <v>0</v>
      </c>
      <c r="TYP4765" s="34">
        <v>0.5</v>
      </c>
      <c r="TYQ4765" s="34">
        <v>1</v>
      </c>
      <c r="TYR4765" s="34">
        <v>1.5</v>
      </c>
      <c r="TYS4765" s="34">
        <v>2</v>
      </c>
      <c r="TYT4765" s="34">
        <v>2.5</v>
      </c>
      <c r="TYU4765" s="34">
        <v>3</v>
      </c>
      <c r="TYV4765" s="34">
        <v>3.5</v>
      </c>
      <c r="TYW4765" s="34">
        <v>4</v>
      </c>
      <c r="TYX4765" s="34">
        <v>4.5</v>
      </c>
      <c r="TYY4765" s="34">
        <v>5</v>
      </c>
      <c r="TZA4765" s="913"/>
      <c r="TZB4765" s="31">
        <v>1</v>
      </c>
      <c r="TZC4765" s="34">
        <v>0</v>
      </c>
      <c r="TZD4765" s="34">
        <v>-1</v>
      </c>
      <c r="TZE4765" s="34">
        <v>-2</v>
      </c>
      <c r="TZF4765" s="34">
        <v>-3</v>
      </c>
      <c r="TZG4765" s="34">
        <v>-4</v>
      </c>
      <c r="TZH4765" s="34">
        <v>-5</v>
      </c>
      <c r="TZI4765" s="908"/>
      <c r="TZJ4765" s="909"/>
      <c r="TZK4765" s="34">
        <v>-5</v>
      </c>
      <c r="TZL4765" s="34">
        <v>-4.5</v>
      </c>
      <c r="TZM4765" s="34">
        <v>-4</v>
      </c>
      <c r="TZN4765" s="34">
        <v>-3.5</v>
      </c>
      <c r="TZO4765" s="34">
        <v>-3</v>
      </c>
      <c r="TZP4765" s="34">
        <v>-2.5</v>
      </c>
      <c r="TZQ4765" s="34">
        <v>-2</v>
      </c>
      <c r="TZR4765" s="34">
        <v>-1.5</v>
      </c>
      <c r="TZS4765" s="34">
        <v>-1</v>
      </c>
      <c r="TZT4765" s="34">
        <v>-0.5</v>
      </c>
      <c r="TZU4765" s="34">
        <v>0</v>
      </c>
      <c r="TZV4765" s="34">
        <v>0.5</v>
      </c>
      <c r="TZW4765" s="34">
        <v>1</v>
      </c>
      <c r="TZX4765" s="34">
        <v>1.5</v>
      </c>
      <c r="TZY4765" s="34">
        <v>2</v>
      </c>
      <c r="TZZ4765" s="34">
        <v>2.5</v>
      </c>
      <c r="UAA4765" s="34">
        <v>3</v>
      </c>
      <c r="UAB4765" s="34">
        <v>3.5</v>
      </c>
      <c r="UAC4765" s="34">
        <v>4</v>
      </c>
      <c r="UAD4765" s="34">
        <v>4.5</v>
      </c>
      <c r="UAE4765" s="34">
        <v>5</v>
      </c>
      <c r="UAG4765" s="913"/>
      <c r="UAH4765" s="31">
        <v>1</v>
      </c>
      <c r="UAI4765" s="34">
        <v>0</v>
      </c>
      <c r="UAJ4765" s="34">
        <v>-1</v>
      </c>
      <c r="UAK4765" s="34">
        <v>-2</v>
      </c>
      <c r="UAL4765" s="34">
        <v>-3</v>
      </c>
      <c r="UAM4765" s="34">
        <v>-4</v>
      </c>
      <c r="UAN4765" s="34">
        <v>-5</v>
      </c>
      <c r="UAO4765" s="908"/>
      <c r="UAP4765" s="909"/>
      <c r="UAQ4765" s="34">
        <v>-5</v>
      </c>
      <c r="UAR4765" s="34">
        <v>-4.5</v>
      </c>
      <c r="UAS4765" s="34">
        <v>-4</v>
      </c>
      <c r="UAT4765" s="34">
        <v>-3.5</v>
      </c>
      <c r="UAU4765" s="34">
        <v>-3</v>
      </c>
      <c r="UAV4765" s="34">
        <v>-2.5</v>
      </c>
      <c r="UAW4765" s="34">
        <v>-2</v>
      </c>
      <c r="UAX4765" s="34">
        <v>-1.5</v>
      </c>
      <c r="UAY4765" s="34">
        <v>-1</v>
      </c>
      <c r="UAZ4765" s="34">
        <v>-0.5</v>
      </c>
      <c r="UBA4765" s="34">
        <v>0</v>
      </c>
      <c r="UBB4765" s="34">
        <v>0.5</v>
      </c>
      <c r="UBC4765" s="34">
        <v>1</v>
      </c>
      <c r="UBD4765" s="34">
        <v>1.5</v>
      </c>
      <c r="UBE4765" s="34">
        <v>2</v>
      </c>
      <c r="UBF4765" s="34">
        <v>2.5</v>
      </c>
      <c r="UBG4765" s="34">
        <v>3</v>
      </c>
      <c r="UBH4765" s="34">
        <v>3.5</v>
      </c>
      <c r="UBI4765" s="34">
        <v>4</v>
      </c>
      <c r="UBJ4765" s="34">
        <v>4.5</v>
      </c>
      <c r="UBK4765" s="34">
        <v>5</v>
      </c>
      <c r="UBM4765" s="913"/>
      <c r="UBN4765" s="31">
        <v>1</v>
      </c>
      <c r="UBO4765" s="34">
        <v>0</v>
      </c>
      <c r="UBP4765" s="34">
        <v>-1</v>
      </c>
      <c r="UBQ4765" s="34">
        <v>-2</v>
      </c>
      <c r="UBR4765" s="34">
        <v>-3</v>
      </c>
      <c r="UBS4765" s="34">
        <v>-4</v>
      </c>
      <c r="UBT4765" s="34">
        <v>-5</v>
      </c>
      <c r="UBU4765" s="908"/>
      <c r="UBV4765" s="909"/>
      <c r="UBW4765" s="34">
        <v>-5</v>
      </c>
      <c r="UBX4765" s="34">
        <v>-4.5</v>
      </c>
      <c r="UBY4765" s="34">
        <v>-4</v>
      </c>
      <c r="UBZ4765" s="34">
        <v>-3.5</v>
      </c>
      <c r="UCA4765" s="34">
        <v>-3</v>
      </c>
      <c r="UCB4765" s="34">
        <v>-2.5</v>
      </c>
      <c r="UCC4765" s="34">
        <v>-2</v>
      </c>
      <c r="UCD4765" s="34">
        <v>-1.5</v>
      </c>
      <c r="UCE4765" s="34">
        <v>-1</v>
      </c>
      <c r="UCF4765" s="34">
        <v>-0.5</v>
      </c>
      <c r="UCG4765" s="34">
        <v>0</v>
      </c>
      <c r="UCH4765" s="34">
        <v>0.5</v>
      </c>
      <c r="UCI4765" s="34">
        <v>1</v>
      </c>
      <c r="UCJ4765" s="34">
        <v>1.5</v>
      </c>
      <c r="UCK4765" s="34">
        <v>2</v>
      </c>
      <c r="UCL4765" s="34">
        <v>2.5</v>
      </c>
      <c r="UCM4765" s="34">
        <v>3</v>
      </c>
      <c r="UCN4765" s="34">
        <v>3.5</v>
      </c>
      <c r="UCO4765" s="34">
        <v>4</v>
      </c>
      <c r="UCP4765" s="34">
        <v>4.5</v>
      </c>
      <c r="UCQ4765" s="34">
        <v>5</v>
      </c>
      <c r="UCS4765" s="913"/>
      <c r="UCT4765" s="31">
        <v>1</v>
      </c>
      <c r="UCU4765" s="34">
        <v>0</v>
      </c>
      <c r="UCV4765" s="34">
        <v>-1</v>
      </c>
      <c r="UCW4765" s="34">
        <v>-2</v>
      </c>
      <c r="UCX4765" s="34">
        <v>-3</v>
      </c>
      <c r="UCY4765" s="34">
        <v>-4</v>
      </c>
      <c r="UCZ4765" s="34">
        <v>-5</v>
      </c>
      <c r="UDA4765" s="908"/>
      <c r="UDB4765" s="909"/>
      <c r="UDC4765" s="34">
        <v>-5</v>
      </c>
      <c r="UDD4765" s="34">
        <v>-4.5</v>
      </c>
      <c r="UDE4765" s="34">
        <v>-4</v>
      </c>
      <c r="UDF4765" s="34">
        <v>-3.5</v>
      </c>
      <c r="UDG4765" s="34">
        <v>-3</v>
      </c>
      <c r="UDH4765" s="34">
        <v>-2.5</v>
      </c>
      <c r="UDI4765" s="34">
        <v>-2</v>
      </c>
      <c r="UDJ4765" s="34">
        <v>-1.5</v>
      </c>
      <c r="UDK4765" s="34">
        <v>-1</v>
      </c>
      <c r="UDL4765" s="34">
        <v>-0.5</v>
      </c>
      <c r="UDM4765" s="34">
        <v>0</v>
      </c>
      <c r="UDN4765" s="34">
        <v>0.5</v>
      </c>
      <c r="UDO4765" s="34">
        <v>1</v>
      </c>
      <c r="UDP4765" s="34">
        <v>1.5</v>
      </c>
      <c r="UDQ4765" s="34">
        <v>2</v>
      </c>
      <c r="UDR4765" s="34">
        <v>2.5</v>
      </c>
      <c r="UDS4765" s="34">
        <v>3</v>
      </c>
      <c r="UDT4765" s="34">
        <v>3.5</v>
      </c>
      <c r="UDU4765" s="34">
        <v>4</v>
      </c>
      <c r="UDV4765" s="34">
        <v>4.5</v>
      </c>
      <c r="UDW4765" s="34">
        <v>5</v>
      </c>
      <c r="UDY4765" s="913"/>
      <c r="UDZ4765" s="31">
        <v>1</v>
      </c>
      <c r="UEA4765" s="34">
        <v>0</v>
      </c>
      <c r="UEB4765" s="34">
        <v>-1</v>
      </c>
      <c r="UEC4765" s="34">
        <v>-2</v>
      </c>
      <c r="UED4765" s="34">
        <v>-3</v>
      </c>
      <c r="UEE4765" s="34">
        <v>-4</v>
      </c>
      <c r="UEF4765" s="34">
        <v>-5</v>
      </c>
      <c r="UEG4765" s="908"/>
      <c r="UEH4765" s="909"/>
      <c r="UEI4765" s="34">
        <v>-5</v>
      </c>
      <c r="UEJ4765" s="34">
        <v>-4.5</v>
      </c>
      <c r="UEK4765" s="34">
        <v>-4</v>
      </c>
      <c r="UEL4765" s="34">
        <v>-3.5</v>
      </c>
      <c r="UEM4765" s="34">
        <v>-3</v>
      </c>
      <c r="UEN4765" s="34">
        <v>-2.5</v>
      </c>
      <c r="UEO4765" s="34">
        <v>-2</v>
      </c>
      <c r="UEP4765" s="34">
        <v>-1.5</v>
      </c>
      <c r="UEQ4765" s="34">
        <v>-1</v>
      </c>
      <c r="UER4765" s="34">
        <v>-0.5</v>
      </c>
      <c r="UES4765" s="34">
        <v>0</v>
      </c>
      <c r="UET4765" s="34">
        <v>0.5</v>
      </c>
      <c r="UEU4765" s="34">
        <v>1</v>
      </c>
      <c r="UEV4765" s="34">
        <v>1.5</v>
      </c>
      <c r="UEW4765" s="34">
        <v>2</v>
      </c>
      <c r="UEX4765" s="34">
        <v>2.5</v>
      </c>
      <c r="UEY4765" s="34">
        <v>3</v>
      </c>
      <c r="UEZ4765" s="34">
        <v>3.5</v>
      </c>
      <c r="UFA4765" s="34">
        <v>4</v>
      </c>
      <c r="UFB4765" s="34">
        <v>4.5</v>
      </c>
      <c r="UFC4765" s="34">
        <v>5</v>
      </c>
      <c r="UFE4765" s="913"/>
      <c r="UFF4765" s="31">
        <v>1</v>
      </c>
      <c r="UFG4765" s="34">
        <v>0</v>
      </c>
      <c r="UFH4765" s="34">
        <v>-1</v>
      </c>
      <c r="UFI4765" s="34">
        <v>-2</v>
      </c>
      <c r="UFJ4765" s="34">
        <v>-3</v>
      </c>
      <c r="UFK4765" s="34">
        <v>-4</v>
      </c>
      <c r="UFL4765" s="34">
        <v>-5</v>
      </c>
      <c r="UFM4765" s="908"/>
      <c r="UFN4765" s="909"/>
      <c r="UFO4765" s="34">
        <v>-5</v>
      </c>
      <c r="UFP4765" s="34">
        <v>-4.5</v>
      </c>
      <c r="UFQ4765" s="34">
        <v>-4</v>
      </c>
      <c r="UFR4765" s="34">
        <v>-3.5</v>
      </c>
      <c r="UFS4765" s="34">
        <v>-3</v>
      </c>
      <c r="UFT4765" s="34">
        <v>-2.5</v>
      </c>
      <c r="UFU4765" s="34">
        <v>-2</v>
      </c>
      <c r="UFV4765" s="34">
        <v>-1.5</v>
      </c>
      <c r="UFW4765" s="34">
        <v>-1</v>
      </c>
      <c r="UFX4765" s="34">
        <v>-0.5</v>
      </c>
      <c r="UFY4765" s="34">
        <v>0</v>
      </c>
      <c r="UFZ4765" s="34">
        <v>0.5</v>
      </c>
      <c r="UGA4765" s="34">
        <v>1</v>
      </c>
      <c r="UGB4765" s="34">
        <v>1.5</v>
      </c>
      <c r="UGC4765" s="34">
        <v>2</v>
      </c>
      <c r="UGD4765" s="34">
        <v>2.5</v>
      </c>
      <c r="UGE4765" s="34">
        <v>3</v>
      </c>
      <c r="UGF4765" s="34">
        <v>3.5</v>
      </c>
      <c r="UGG4765" s="34">
        <v>4</v>
      </c>
      <c r="UGH4765" s="34">
        <v>4.5</v>
      </c>
      <c r="UGI4765" s="34">
        <v>5</v>
      </c>
      <c r="UGK4765" s="913"/>
      <c r="UGL4765" s="31">
        <v>1</v>
      </c>
      <c r="UGM4765" s="34">
        <v>0</v>
      </c>
      <c r="UGN4765" s="34">
        <v>-1</v>
      </c>
      <c r="UGO4765" s="34">
        <v>-2</v>
      </c>
      <c r="UGP4765" s="34">
        <v>-3</v>
      </c>
      <c r="UGQ4765" s="34">
        <v>-4</v>
      </c>
      <c r="UGR4765" s="34">
        <v>-5</v>
      </c>
      <c r="UGS4765" s="908"/>
      <c r="UGT4765" s="909"/>
      <c r="UGU4765" s="34">
        <v>-5</v>
      </c>
      <c r="UGV4765" s="34">
        <v>-4.5</v>
      </c>
      <c r="UGW4765" s="34">
        <v>-4</v>
      </c>
      <c r="UGX4765" s="34">
        <v>-3.5</v>
      </c>
      <c r="UGY4765" s="34">
        <v>-3</v>
      </c>
      <c r="UGZ4765" s="34">
        <v>-2.5</v>
      </c>
      <c r="UHA4765" s="34">
        <v>-2</v>
      </c>
      <c r="UHB4765" s="34">
        <v>-1.5</v>
      </c>
      <c r="UHC4765" s="34">
        <v>-1</v>
      </c>
      <c r="UHD4765" s="34">
        <v>-0.5</v>
      </c>
      <c r="UHE4765" s="34">
        <v>0</v>
      </c>
      <c r="UHF4765" s="34">
        <v>0.5</v>
      </c>
      <c r="UHG4765" s="34">
        <v>1</v>
      </c>
      <c r="UHH4765" s="34">
        <v>1.5</v>
      </c>
      <c r="UHI4765" s="34">
        <v>2</v>
      </c>
      <c r="UHJ4765" s="34">
        <v>2.5</v>
      </c>
      <c r="UHK4765" s="34">
        <v>3</v>
      </c>
      <c r="UHL4765" s="34">
        <v>3.5</v>
      </c>
      <c r="UHM4765" s="34">
        <v>4</v>
      </c>
      <c r="UHN4765" s="34">
        <v>4.5</v>
      </c>
      <c r="UHO4765" s="34">
        <v>5</v>
      </c>
      <c r="UHQ4765" s="913"/>
      <c r="UHR4765" s="31">
        <v>1</v>
      </c>
      <c r="UHS4765" s="34">
        <v>0</v>
      </c>
      <c r="UHT4765" s="34">
        <v>-1</v>
      </c>
      <c r="UHU4765" s="34">
        <v>-2</v>
      </c>
      <c r="UHV4765" s="34">
        <v>-3</v>
      </c>
      <c r="UHW4765" s="34">
        <v>-4</v>
      </c>
      <c r="UHX4765" s="34">
        <v>-5</v>
      </c>
      <c r="UHY4765" s="908"/>
      <c r="UHZ4765" s="909"/>
      <c r="UIA4765" s="34">
        <v>-5</v>
      </c>
      <c r="UIB4765" s="34">
        <v>-4.5</v>
      </c>
      <c r="UIC4765" s="34">
        <v>-4</v>
      </c>
      <c r="UID4765" s="34">
        <v>-3.5</v>
      </c>
      <c r="UIE4765" s="34">
        <v>-3</v>
      </c>
      <c r="UIF4765" s="34">
        <v>-2.5</v>
      </c>
      <c r="UIG4765" s="34">
        <v>-2</v>
      </c>
      <c r="UIH4765" s="34">
        <v>-1.5</v>
      </c>
      <c r="UII4765" s="34">
        <v>-1</v>
      </c>
      <c r="UIJ4765" s="34">
        <v>-0.5</v>
      </c>
      <c r="UIK4765" s="34">
        <v>0</v>
      </c>
      <c r="UIL4765" s="34">
        <v>0.5</v>
      </c>
      <c r="UIM4765" s="34">
        <v>1</v>
      </c>
      <c r="UIN4765" s="34">
        <v>1.5</v>
      </c>
      <c r="UIO4765" s="34">
        <v>2</v>
      </c>
      <c r="UIP4765" s="34">
        <v>2.5</v>
      </c>
      <c r="UIQ4765" s="34">
        <v>3</v>
      </c>
      <c r="UIR4765" s="34">
        <v>3.5</v>
      </c>
      <c r="UIS4765" s="34">
        <v>4</v>
      </c>
      <c r="UIT4765" s="34">
        <v>4.5</v>
      </c>
      <c r="UIU4765" s="34">
        <v>5</v>
      </c>
      <c r="UIW4765" s="913"/>
      <c r="UIX4765" s="31">
        <v>1</v>
      </c>
      <c r="UIY4765" s="34">
        <v>0</v>
      </c>
      <c r="UIZ4765" s="34">
        <v>-1</v>
      </c>
      <c r="UJA4765" s="34">
        <v>-2</v>
      </c>
      <c r="UJB4765" s="34">
        <v>-3</v>
      </c>
      <c r="UJC4765" s="34">
        <v>-4</v>
      </c>
      <c r="UJD4765" s="34">
        <v>-5</v>
      </c>
      <c r="UJE4765" s="908"/>
      <c r="UJF4765" s="909"/>
      <c r="UJG4765" s="34">
        <v>-5</v>
      </c>
      <c r="UJH4765" s="34">
        <v>-4.5</v>
      </c>
      <c r="UJI4765" s="34">
        <v>-4</v>
      </c>
      <c r="UJJ4765" s="34">
        <v>-3.5</v>
      </c>
      <c r="UJK4765" s="34">
        <v>-3</v>
      </c>
      <c r="UJL4765" s="34">
        <v>-2.5</v>
      </c>
      <c r="UJM4765" s="34">
        <v>-2</v>
      </c>
      <c r="UJN4765" s="34">
        <v>-1.5</v>
      </c>
      <c r="UJO4765" s="34">
        <v>-1</v>
      </c>
      <c r="UJP4765" s="34">
        <v>-0.5</v>
      </c>
      <c r="UJQ4765" s="34">
        <v>0</v>
      </c>
      <c r="UJR4765" s="34">
        <v>0.5</v>
      </c>
      <c r="UJS4765" s="34">
        <v>1</v>
      </c>
      <c r="UJT4765" s="34">
        <v>1.5</v>
      </c>
      <c r="UJU4765" s="34">
        <v>2</v>
      </c>
      <c r="UJV4765" s="34">
        <v>2.5</v>
      </c>
      <c r="UJW4765" s="34">
        <v>3</v>
      </c>
      <c r="UJX4765" s="34">
        <v>3.5</v>
      </c>
      <c r="UJY4765" s="34">
        <v>4</v>
      </c>
      <c r="UJZ4765" s="34">
        <v>4.5</v>
      </c>
      <c r="UKA4765" s="34">
        <v>5</v>
      </c>
      <c r="UKC4765" s="913"/>
      <c r="UKD4765" s="31">
        <v>1</v>
      </c>
      <c r="UKE4765" s="34">
        <v>0</v>
      </c>
      <c r="UKF4765" s="34">
        <v>-1</v>
      </c>
      <c r="UKG4765" s="34">
        <v>-2</v>
      </c>
      <c r="UKH4765" s="34">
        <v>-3</v>
      </c>
      <c r="UKI4765" s="34">
        <v>-4</v>
      </c>
      <c r="UKJ4765" s="34">
        <v>-5</v>
      </c>
      <c r="UKK4765" s="908"/>
      <c r="UKL4765" s="909"/>
      <c r="UKM4765" s="34">
        <v>-5</v>
      </c>
      <c r="UKN4765" s="34">
        <v>-4.5</v>
      </c>
      <c r="UKO4765" s="34">
        <v>-4</v>
      </c>
      <c r="UKP4765" s="34">
        <v>-3.5</v>
      </c>
      <c r="UKQ4765" s="34">
        <v>-3</v>
      </c>
      <c r="UKR4765" s="34">
        <v>-2.5</v>
      </c>
      <c r="UKS4765" s="34">
        <v>-2</v>
      </c>
      <c r="UKT4765" s="34">
        <v>-1.5</v>
      </c>
      <c r="UKU4765" s="34">
        <v>-1</v>
      </c>
      <c r="UKV4765" s="34">
        <v>-0.5</v>
      </c>
      <c r="UKW4765" s="34">
        <v>0</v>
      </c>
      <c r="UKX4765" s="34">
        <v>0.5</v>
      </c>
      <c r="UKY4765" s="34">
        <v>1</v>
      </c>
      <c r="UKZ4765" s="34">
        <v>1.5</v>
      </c>
      <c r="ULA4765" s="34">
        <v>2</v>
      </c>
      <c r="ULB4765" s="34">
        <v>2.5</v>
      </c>
      <c r="ULC4765" s="34">
        <v>3</v>
      </c>
      <c r="ULD4765" s="34">
        <v>3.5</v>
      </c>
      <c r="ULE4765" s="34">
        <v>4</v>
      </c>
      <c r="ULF4765" s="34">
        <v>4.5</v>
      </c>
      <c r="ULG4765" s="34">
        <v>5</v>
      </c>
      <c r="ULI4765" s="913"/>
      <c r="ULJ4765" s="31">
        <v>1</v>
      </c>
      <c r="ULK4765" s="34">
        <v>0</v>
      </c>
      <c r="ULL4765" s="34">
        <v>-1</v>
      </c>
      <c r="ULM4765" s="34">
        <v>-2</v>
      </c>
      <c r="ULN4765" s="34">
        <v>-3</v>
      </c>
      <c r="ULO4765" s="34">
        <v>-4</v>
      </c>
      <c r="ULP4765" s="34">
        <v>-5</v>
      </c>
      <c r="ULQ4765" s="908"/>
      <c r="ULR4765" s="909"/>
      <c r="ULS4765" s="34">
        <v>-5</v>
      </c>
      <c r="ULT4765" s="34">
        <v>-4.5</v>
      </c>
      <c r="ULU4765" s="34">
        <v>-4</v>
      </c>
      <c r="ULV4765" s="34">
        <v>-3.5</v>
      </c>
      <c r="ULW4765" s="34">
        <v>-3</v>
      </c>
      <c r="ULX4765" s="34">
        <v>-2.5</v>
      </c>
      <c r="ULY4765" s="34">
        <v>-2</v>
      </c>
      <c r="ULZ4765" s="34">
        <v>-1.5</v>
      </c>
      <c r="UMA4765" s="34">
        <v>-1</v>
      </c>
      <c r="UMB4765" s="34">
        <v>-0.5</v>
      </c>
      <c r="UMC4765" s="34">
        <v>0</v>
      </c>
      <c r="UMD4765" s="34">
        <v>0.5</v>
      </c>
      <c r="UME4765" s="34">
        <v>1</v>
      </c>
      <c r="UMF4765" s="34">
        <v>1.5</v>
      </c>
      <c r="UMG4765" s="34">
        <v>2</v>
      </c>
      <c r="UMH4765" s="34">
        <v>2.5</v>
      </c>
      <c r="UMI4765" s="34">
        <v>3</v>
      </c>
      <c r="UMJ4765" s="34">
        <v>3.5</v>
      </c>
      <c r="UMK4765" s="34">
        <v>4</v>
      </c>
      <c r="UML4765" s="34">
        <v>4.5</v>
      </c>
      <c r="UMM4765" s="34">
        <v>5</v>
      </c>
      <c r="UMO4765" s="913"/>
      <c r="UMP4765" s="31">
        <v>1</v>
      </c>
      <c r="UMQ4765" s="34">
        <v>0</v>
      </c>
      <c r="UMR4765" s="34">
        <v>-1</v>
      </c>
      <c r="UMS4765" s="34">
        <v>-2</v>
      </c>
      <c r="UMT4765" s="34">
        <v>-3</v>
      </c>
      <c r="UMU4765" s="34">
        <v>-4</v>
      </c>
      <c r="UMV4765" s="34">
        <v>-5</v>
      </c>
      <c r="UMW4765" s="908"/>
      <c r="UMX4765" s="909"/>
      <c r="UMY4765" s="34">
        <v>-5</v>
      </c>
      <c r="UMZ4765" s="34">
        <v>-4.5</v>
      </c>
      <c r="UNA4765" s="34">
        <v>-4</v>
      </c>
      <c r="UNB4765" s="34">
        <v>-3.5</v>
      </c>
      <c r="UNC4765" s="34">
        <v>-3</v>
      </c>
      <c r="UND4765" s="34">
        <v>-2.5</v>
      </c>
      <c r="UNE4765" s="34">
        <v>-2</v>
      </c>
      <c r="UNF4765" s="34">
        <v>-1.5</v>
      </c>
      <c r="UNG4765" s="34">
        <v>-1</v>
      </c>
      <c r="UNH4765" s="34">
        <v>-0.5</v>
      </c>
      <c r="UNI4765" s="34">
        <v>0</v>
      </c>
      <c r="UNJ4765" s="34">
        <v>0.5</v>
      </c>
      <c r="UNK4765" s="34">
        <v>1</v>
      </c>
      <c r="UNL4765" s="34">
        <v>1.5</v>
      </c>
      <c r="UNM4765" s="34">
        <v>2</v>
      </c>
      <c r="UNN4765" s="34">
        <v>2.5</v>
      </c>
      <c r="UNO4765" s="34">
        <v>3</v>
      </c>
      <c r="UNP4765" s="34">
        <v>3.5</v>
      </c>
      <c r="UNQ4765" s="34">
        <v>4</v>
      </c>
      <c r="UNR4765" s="34">
        <v>4.5</v>
      </c>
      <c r="UNS4765" s="34">
        <v>5</v>
      </c>
      <c r="UNU4765" s="913"/>
      <c r="UNV4765" s="31">
        <v>1</v>
      </c>
      <c r="UNW4765" s="34">
        <v>0</v>
      </c>
      <c r="UNX4765" s="34">
        <v>-1</v>
      </c>
      <c r="UNY4765" s="34">
        <v>-2</v>
      </c>
      <c r="UNZ4765" s="34">
        <v>-3</v>
      </c>
      <c r="UOA4765" s="34">
        <v>-4</v>
      </c>
      <c r="UOB4765" s="34">
        <v>-5</v>
      </c>
      <c r="UOC4765" s="908"/>
      <c r="UOD4765" s="909"/>
      <c r="UOE4765" s="34">
        <v>-5</v>
      </c>
      <c r="UOF4765" s="34">
        <v>-4.5</v>
      </c>
      <c r="UOG4765" s="34">
        <v>-4</v>
      </c>
      <c r="UOH4765" s="34">
        <v>-3.5</v>
      </c>
      <c r="UOI4765" s="34">
        <v>-3</v>
      </c>
      <c r="UOJ4765" s="34">
        <v>-2.5</v>
      </c>
      <c r="UOK4765" s="34">
        <v>-2</v>
      </c>
      <c r="UOL4765" s="34">
        <v>-1.5</v>
      </c>
      <c r="UOM4765" s="34">
        <v>-1</v>
      </c>
      <c r="UON4765" s="34">
        <v>-0.5</v>
      </c>
      <c r="UOO4765" s="34">
        <v>0</v>
      </c>
      <c r="UOP4765" s="34">
        <v>0.5</v>
      </c>
      <c r="UOQ4765" s="34">
        <v>1</v>
      </c>
      <c r="UOR4765" s="34">
        <v>1.5</v>
      </c>
      <c r="UOS4765" s="34">
        <v>2</v>
      </c>
      <c r="UOT4765" s="34">
        <v>2.5</v>
      </c>
      <c r="UOU4765" s="34">
        <v>3</v>
      </c>
      <c r="UOV4765" s="34">
        <v>3.5</v>
      </c>
      <c r="UOW4765" s="34">
        <v>4</v>
      </c>
      <c r="UOX4765" s="34">
        <v>4.5</v>
      </c>
      <c r="UOY4765" s="34">
        <v>5</v>
      </c>
      <c r="UPA4765" s="913"/>
      <c r="UPB4765" s="31">
        <v>1</v>
      </c>
      <c r="UPC4765" s="34">
        <v>0</v>
      </c>
      <c r="UPD4765" s="34">
        <v>-1</v>
      </c>
      <c r="UPE4765" s="34">
        <v>-2</v>
      </c>
      <c r="UPF4765" s="34">
        <v>-3</v>
      </c>
      <c r="UPG4765" s="34">
        <v>-4</v>
      </c>
      <c r="UPH4765" s="34">
        <v>-5</v>
      </c>
      <c r="UPI4765" s="908"/>
      <c r="UPJ4765" s="909"/>
      <c r="UPK4765" s="34">
        <v>-5</v>
      </c>
      <c r="UPL4765" s="34">
        <v>-4.5</v>
      </c>
      <c r="UPM4765" s="34">
        <v>-4</v>
      </c>
      <c r="UPN4765" s="34">
        <v>-3.5</v>
      </c>
      <c r="UPO4765" s="34">
        <v>-3</v>
      </c>
      <c r="UPP4765" s="34">
        <v>-2.5</v>
      </c>
      <c r="UPQ4765" s="34">
        <v>-2</v>
      </c>
      <c r="UPR4765" s="34">
        <v>-1.5</v>
      </c>
      <c r="UPS4765" s="34">
        <v>-1</v>
      </c>
      <c r="UPT4765" s="34">
        <v>-0.5</v>
      </c>
      <c r="UPU4765" s="34">
        <v>0</v>
      </c>
      <c r="UPV4765" s="34">
        <v>0.5</v>
      </c>
      <c r="UPW4765" s="34">
        <v>1</v>
      </c>
      <c r="UPX4765" s="34">
        <v>1.5</v>
      </c>
      <c r="UPY4765" s="34">
        <v>2</v>
      </c>
      <c r="UPZ4765" s="34">
        <v>2.5</v>
      </c>
      <c r="UQA4765" s="34">
        <v>3</v>
      </c>
      <c r="UQB4765" s="34">
        <v>3.5</v>
      </c>
      <c r="UQC4765" s="34">
        <v>4</v>
      </c>
      <c r="UQD4765" s="34">
        <v>4.5</v>
      </c>
      <c r="UQE4765" s="34">
        <v>5</v>
      </c>
      <c r="UQG4765" s="913"/>
      <c r="UQH4765" s="31">
        <v>1</v>
      </c>
      <c r="UQI4765" s="34">
        <v>0</v>
      </c>
      <c r="UQJ4765" s="34">
        <v>-1</v>
      </c>
      <c r="UQK4765" s="34">
        <v>-2</v>
      </c>
      <c r="UQL4765" s="34">
        <v>-3</v>
      </c>
      <c r="UQM4765" s="34">
        <v>-4</v>
      </c>
      <c r="UQN4765" s="34">
        <v>-5</v>
      </c>
      <c r="UQO4765" s="908"/>
      <c r="UQP4765" s="909"/>
      <c r="UQQ4765" s="34">
        <v>-5</v>
      </c>
      <c r="UQR4765" s="34">
        <v>-4.5</v>
      </c>
      <c r="UQS4765" s="34">
        <v>-4</v>
      </c>
      <c r="UQT4765" s="34">
        <v>-3.5</v>
      </c>
      <c r="UQU4765" s="34">
        <v>-3</v>
      </c>
      <c r="UQV4765" s="34">
        <v>-2.5</v>
      </c>
      <c r="UQW4765" s="34">
        <v>-2</v>
      </c>
      <c r="UQX4765" s="34">
        <v>-1.5</v>
      </c>
      <c r="UQY4765" s="34">
        <v>-1</v>
      </c>
      <c r="UQZ4765" s="34">
        <v>-0.5</v>
      </c>
      <c r="URA4765" s="34">
        <v>0</v>
      </c>
      <c r="URB4765" s="34">
        <v>0.5</v>
      </c>
      <c r="URC4765" s="34">
        <v>1</v>
      </c>
      <c r="URD4765" s="34">
        <v>1.5</v>
      </c>
      <c r="URE4765" s="34">
        <v>2</v>
      </c>
      <c r="URF4765" s="34">
        <v>2.5</v>
      </c>
      <c r="URG4765" s="34">
        <v>3</v>
      </c>
      <c r="URH4765" s="34">
        <v>3.5</v>
      </c>
      <c r="URI4765" s="34">
        <v>4</v>
      </c>
      <c r="URJ4765" s="34">
        <v>4.5</v>
      </c>
      <c r="URK4765" s="34">
        <v>5</v>
      </c>
      <c r="URM4765" s="913"/>
      <c r="URN4765" s="31">
        <v>1</v>
      </c>
      <c r="URO4765" s="34">
        <v>0</v>
      </c>
      <c r="URP4765" s="34">
        <v>-1</v>
      </c>
      <c r="URQ4765" s="34">
        <v>-2</v>
      </c>
      <c r="URR4765" s="34">
        <v>-3</v>
      </c>
      <c r="URS4765" s="34">
        <v>-4</v>
      </c>
      <c r="URT4765" s="34">
        <v>-5</v>
      </c>
      <c r="URU4765" s="908"/>
      <c r="URV4765" s="909"/>
      <c r="URW4765" s="34">
        <v>-5</v>
      </c>
      <c r="URX4765" s="34">
        <v>-4.5</v>
      </c>
      <c r="URY4765" s="34">
        <v>-4</v>
      </c>
      <c r="URZ4765" s="34">
        <v>-3.5</v>
      </c>
      <c r="USA4765" s="34">
        <v>-3</v>
      </c>
      <c r="USB4765" s="34">
        <v>-2.5</v>
      </c>
      <c r="USC4765" s="34">
        <v>-2</v>
      </c>
      <c r="USD4765" s="34">
        <v>-1.5</v>
      </c>
      <c r="USE4765" s="34">
        <v>-1</v>
      </c>
      <c r="USF4765" s="34">
        <v>-0.5</v>
      </c>
      <c r="USG4765" s="34">
        <v>0</v>
      </c>
      <c r="USH4765" s="34">
        <v>0.5</v>
      </c>
      <c r="USI4765" s="34">
        <v>1</v>
      </c>
      <c r="USJ4765" s="34">
        <v>1.5</v>
      </c>
      <c r="USK4765" s="34">
        <v>2</v>
      </c>
      <c r="USL4765" s="34">
        <v>2.5</v>
      </c>
      <c r="USM4765" s="34">
        <v>3</v>
      </c>
      <c r="USN4765" s="34">
        <v>3.5</v>
      </c>
      <c r="USO4765" s="34">
        <v>4</v>
      </c>
      <c r="USP4765" s="34">
        <v>4.5</v>
      </c>
      <c r="USQ4765" s="34">
        <v>5</v>
      </c>
      <c r="USS4765" s="913"/>
      <c r="UST4765" s="31">
        <v>1</v>
      </c>
      <c r="USU4765" s="34">
        <v>0</v>
      </c>
      <c r="USV4765" s="34">
        <v>-1</v>
      </c>
      <c r="USW4765" s="34">
        <v>-2</v>
      </c>
      <c r="USX4765" s="34">
        <v>-3</v>
      </c>
      <c r="USY4765" s="34">
        <v>-4</v>
      </c>
      <c r="USZ4765" s="34">
        <v>-5</v>
      </c>
      <c r="UTA4765" s="908"/>
      <c r="UTB4765" s="909"/>
      <c r="UTC4765" s="34">
        <v>-5</v>
      </c>
      <c r="UTD4765" s="34">
        <v>-4.5</v>
      </c>
      <c r="UTE4765" s="34">
        <v>-4</v>
      </c>
      <c r="UTF4765" s="34">
        <v>-3.5</v>
      </c>
      <c r="UTG4765" s="34">
        <v>-3</v>
      </c>
      <c r="UTH4765" s="34">
        <v>-2.5</v>
      </c>
      <c r="UTI4765" s="34">
        <v>-2</v>
      </c>
      <c r="UTJ4765" s="34">
        <v>-1.5</v>
      </c>
      <c r="UTK4765" s="34">
        <v>-1</v>
      </c>
      <c r="UTL4765" s="34">
        <v>-0.5</v>
      </c>
      <c r="UTM4765" s="34">
        <v>0</v>
      </c>
      <c r="UTN4765" s="34">
        <v>0.5</v>
      </c>
      <c r="UTO4765" s="34">
        <v>1</v>
      </c>
      <c r="UTP4765" s="34">
        <v>1.5</v>
      </c>
      <c r="UTQ4765" s="34">
        <v>2</v>
      </c>
      <c r="UTR4765" s="34">
        <v>2.5</v>
      </c>
      <c r="UTS4765" s="34">
        <v>3</v>
      </c>
      <c r="UTT4765" s="34">
        <v>3.5</v>
      </c>
      <c r="UTU4765" s="34">
        <v>4</v>
      </c>
      <c r="UTV4765" s="34">
        <v>4.5</v>
      </c>
      <c r="UTW4765" s="34">
        <v>5</v>
      </c>
      <c r="UTY4765" s="913"/>
      <c r="UTZ4765" s="31">
        <v>1</v>
      </c>
      <c r="UUA4765" s="34">
        <v>0</v>
      </c>
      <c r="UUB4765" s="34">
        <v>-1</v>
      </c>
      <c r="UUC4765" s="34">
        <v>-2</v>
      </c>
      <c r="UUD4765" s="34">
        <v>-3</v>
      </c>
      <c r="UUE4765" s="34">
        <v>-4</v>
      </c>
      <c r="UUF4765" s="34">
        <v>-5</v>
      </c>
      <c r="UUG4765" s="908"/>
      <c r="UUH4765" s="909"/>
      <c r="UUI4765" s="34">
        <v>-5</v>
      </c>
      <c r="UUJ4765" s="34">
        <v>-4.5</v>
      </c>
      <c r="UUK4765" s="34">
        <v>-4</v>
      </c>
      <c r="UUL4765" s="34">
        <v>-3.5</v>
      </c>
      <c r="UUM4765" s="34">
        <v>-3</v>
      </c>
      <c r="UUN4765" s="34">
        <v>-2.5</v>
      </c>
      <c r="UUO4765" s="34">
        <v>-2</v>
      </c>
      <c r="UUP4765" s="34">
        <v>-1.5</v>
      </c>
      <c r="UUQ4765" s="34">
        <v>-1</v>
      </c>
      <c r="UUR4765" s="34">
        <v>-0.5</v>
      </c>
      <c r="UUS4765" s="34">
        <v>0</v>
      </c>
      <c r="UUT4765" s="34">
        <v>0.5</v>
      </c>
      <c r="UUU4765" s="34">
        <v>1</v>
      </c>
      <c r="UUV4765" s="34">
        <v>1.5</v>
      </c>
      <c r="UUW4765" s="34">
        <v>2</v>
      </c>
      <c r="UUX4765" s="34">
        <v>2.5</v>
      </c>
      <c r="UUY4765" s="34">
        <v>3</v>
      </c>
      <c r="UUZ4765" s="34">
        <v>3.5</v>
      </c>
      <c r="UVA4765" s="34">
        <v>4</v>
      </c>
      <c r="UVB4765" s="34">
        <v>4.5</v>
      </c>
      <c r="UVC4765" s="34">
        <v>5</v>
      </c>
      <c r="UVE4765" s="913"/>
      <c r="UVF4765" s="31">
        <v>1</v>
      </c>
      <c r="UVG4765" s="34">
        <v>0</v>
      </c>
      <c r="UVH4765" s="34">
        <v>-1</v>
      </c>
      <c r="UVI4765" s="34">
        <v>-2</v>
      </c>
      <c r="UVJ4765" s="34">
        <v>-3</v>
      </c>
      <c r="UVK4765" s="34">
        <v>-4</v>
      </c>
      <c r="UVL4765" s="34">
        <v>-5</v>
      </c>
      <c r="UVM4765" s="908"/>
      <c r="UVN4765" s="909"/>
      <c r="UVO4765" s="34">
        <v>-5</v>
      </c>
      <c r="UVP4765" s="34">
        <v>-4.5</v>
      </c>
      <c r="UVQ4765" s="34">
        <v>-4</v>
      </c>
      <c r="UVR4765" s="34">
        <v>-3.5</v>
      </c>
      <c r="UVS4765" s="34">
        <v>-3</v>
      </c>
      <c r="UVT4765" s="34">
        <v>-2.5</v>
      </c>
      <c r="UVU4765" s="34">
        <v>-2</v>
      </c>
      <c r="UVV4765" s="34">
        <v>-1.5</v>
      </c>
      <c r="UVW4765" s="34">
        <v>-1</v>
      </c>
      <c r="UVX4765" s="34">
        <v>-0.5</v>
      </c>
      <c r="UVY4765" s="34">
        <v>0</v>
      </c>
      <c r="UVZ4765" s="34">
        <v>0.5</v>
      </c>
      <c r="UWA4765" s="34">
        <v>1</v>
      </c>
      <c r="UWB4765" s="34">
        <v>1.5</v>
      </c>
      <c r="UWC4765" s="34">
        <v>2</v>
      </c>
      <c r="UWD4765" s="34">
        <v>2.5</v>
      </c>
      <c r="UWE4765" s="34">
        <v>3</v>
      </c>
      <c r="UWF4765" s="34">
        <v>3.5</v>
      </c>
      <c r="UWG4765" s="34">
        <v>4</v>
      </c>
      <c r="UWH4765" s="34">
        <v>4.5</v>
      </c>
      <c r="UWI4765" s="34">
        <v>5</v>
      </c>
      <c r="UWK4765" s="913"/>
      <c r="UWL4765" s="31">
        <v>1</v>
      </c>
      <c r="UWM4765" s="34">
        <v>0</v>
      </c>
      <c r="UWN4765" s="34">
        <v>-1</v>
      </c>
      <c r="UWO4765" s="34">
        <v>-2</v>
      </c>
      <c r="UWP4765" s="34">
        <v>-3</v>
      </c>
      <c r="UWQ4765" s="34">
        <v>-4</v>
      </c>
      <c r="UWR4765" s="34">
        <v>-5</v>
      </c>
      <c r="UWS4765" s="908"/>
      <c r="UWT4765" s="909"/>
      <c r="UWU4765" s="34">
        <v>-5</v>
      </c>
      <c r="UWV4765" s="34">
        <v>-4.5</v>
      </c>
      <c r="UWW4765" s="34">
        <v>-4</v>
      </c>
      <c r="UWX4765" s="34">
        <v>-3.5</v>
      </c>
      <c r="UWY4765" s="34">
        <v>-3</v>
      </c>
      <c r="UWZ4765" s="34">
        <v>-2.5</v>
      </c>
      <c r="UXA4765" s="34">
        <v>-2</v>
      </c>
      <c r="UXB4765" s="34">
        <v>-1.5</v>
      </c>
      <c r="UXC4765" s="34">
        <v>-1</v>
      </c>
      <c r="UXD4765" s="34">
        <v>-0.5</v>
      </c>
      <c r="UXE4765" s="34">
        <v>0</v>
      </c>
      <c r="UXF4765" s="34">
        <v>0.5</v>
      </c>
      <c r="UXG4765" s="34">
        <v>1</v>
      </c>
      <c r="UXH4765" s="34">
        <v>1.5</v>
      </c>
      <c r="UXI4765" s="34">
        <v>2</v>
      </c>
      <c r="UXJ4765" s="34">
        <v>2.5</v>
      </c>
      <c r="UXK4765" s="34">
        <v>3</v>
      </c>
      <c r="UXL4765" s="34">
        <v>3.5</v>
      </c>
      <c r="UXM4765" s="34">
        <v>4</v>
      </c>
      <c r="UXN4765" s="34">
        <v>4.5</v>
      </c>
      <c r="UXO4765" s="34">
        <v>5</v>
      </c>
      <c r="UXQ4765" s="913"/>
      <c r="UXR4765" s="31">
        <v>1</v>
      </c>
      <c r="UXS4765" s="34">
        <v>0</v>
      </c>
      <c r="UXT4765" s="34">
        <v>-1</v>
      </c>
      <c r="UXU4765" s="34">
        <v>-2</v>
      </c>
      <c r="UXV4765" s="34">
        <v>-3</v>
      </c>
      <c r="UXW4765" s="34">
        <v>-4</v>
      </c>
      <c r="UXX4765" s="34">
        <v>-5</v>
      </c>
      <c r="UXY4765" s="908"/>
      <c r="UXZ4765" s="909"/>
      <c r="UYA4765" s="34">
        <v>-5</v>
      </c>
      <c r="UYB4765" s="34">
        <v>-4.5</v>
      </c>
      <c r="UYC4765" s="34">
        <v>-4</v>
      </c>
      <c r="UYD4765" s="34">
        <v>-3.5</v>
      </c>
      <c r="UYE4765" s="34">
        <v>-3</v>
      </c>
      <c r="UYF4765" s="34">
        <v>-2.5</v>
      </c>
      <c r="UYG4765" s="34">
        <v>-2</v>
      </c>
      <c r="UYH4765" s="34">
        <v>-1.5</v>
      </c>
      <c r="UYI4765" s="34">
        <v>-1</v>
      </c>
      <c r="UYJ4765" s="34">
        <v>-0.5</v>
      </c>
      <c r="UYK4765" s="34">
        <v>0</v>
      </c>
      <c r="UYL4765" s="34">
        <v>0.5</v>
      </c>
      <c r="UYM4765" s="34">
        <v>1</v>
      </c>
      <c r="UYN4765" s="34">
        <v>1.5</v>
      </c>
      <c r="UYO4765" s="34">
        <v>2</v>
      </c>
      <c r="UYP4765" s="34">
        <v>2.5</v>
      </c>
      <c r="UYQ4765" s="34">
        <v>3</v>
      </c>
      <c r="UYR4765" s="34">
        <v>3.5</v>
      </c>
      <c r="UYS4765" s="34">
        <v>4</v>
      </c>
      <c r="UYT4765" s="34">
        <v>4.5</v>
      </c>
      <c r="UYU4765" s="34">
        <v>5</v>
      </c>
      <c r="UYW4765" s="913"/>
      <c r="UYX4765" s="31">
        <v>1</v>
      </c>
      <c r="UYY4765" s="34">
        <v>0</v>
      </c>
      <c r="UYZ4765" s="34">
        <v>-1</v>
      </c>
      <c r="UZA4765" s="34">
        <v>-2</v>
      </c>
      <c r="UZB4765" s="34">
        <v>-3</v>
      </c>
      <c r="UZC4765" s="34">
        <v>-4</v>
      </c>
      <c r="UZD4765" s="34">
        <v>-5</v>
      </c>
      <c r="UZE4765" s="908"/>
      <c r="UZF4765" s="909"/>
      <c r="UZG4765" s="34">
        <v>-5</v>
      </c>
      <c r="UZH4765" s="34">
        <v>-4.5</v>
      </c>
      <c r="UZI4765" s="34">
        <v>-4</v>
      </c>
      <c r="UZJ4765" s="34">
        <v>-3.5</v>
      </c>
      <c r="UZK4765" s="34">
        <v>-3</v>
      </c>
      <c r="UZL4765" s="34">
        <v>-2.5</v>
      </c>
      <c r="UZM4765" s="34">
        <v>-2</v>
      </c>
      <c r="UZN4765" s="34">
        <v>-1.5</v>
      </c>
      <c r="UZO4765" s="34">
        <v>-1</v>
      </c>
      <c r="UZP4765" s="34">
        <v>-0.5</v>
      </c>
      <c r="UZQ4765" s="34">
        <v>0</v>
      </c>
      <c r="UZR4765" s="34">
        <v>0.5</v>
      </c>
      <c r="UZS4765" s="34">
        <v>1</v>
      </c>
      <c r="UZT4765" s="34">
        <v>1.5</v>
      </c>
      <c r="UZU4765" s="34">
        <v>2</v>
      </c>
      <c r="UZV4765" s="34">
        <v>2.5</v>
      </c>
      <c r="UZW4765" s="34">
        <v>3</v>
      </c>
      <c r="UZX4765" s="34">
        <v>3.5</v>
      </c>
      <c r="UZY4765" s="34">
        <v>4</v>
      </c>
      <c r="UZZ4765" s="34">
        <v>4.5</v>
      </c>
      <c r="VAA4765" s="34">
        <v>5</v>
      </c>
      <c r="VAC4765" s="913"/>
      <c r="VAD4765" s="31">
        <v>1</v>
      </c>
      <c r="VAE4765" s="34">
        <v>0</v>
      </c>
      <c r="VAF4765" s="34">
        <v>-1</v>
      </c>
      <c r="VAG4765" s="34">
        <v>-2</v>
      </c>
      <c r="VAH4765" s="34">
        <v>-3</v>
      </c>
      <c r="VAI4765" s="34">
        <v>-4</v>
      </c>
      <c r="VAJ4765" s="34">
        <v>-5</v>
      </c>
      <c r="VAK4765" s="908"/>
      <c r="VAL4765" s="909"/>
      <c r="VAM4765" s="34">
        <v>-5</v>
      </c>
      <c r="VAN4765" s="34">
        <v>-4.5</v>
      </c>
      <c r="VAO4765" s="34">
        <v>-4</v>
      </c>
      <c r="VAP4765" s="34">
        <v>-3.5</v>
      </c>
      <c r="VAQ4765" s="34">
        <v>-3</v>
      </c>
      <c r="VAR4765" s="34">
        <v>-2.5</v>
      </c>
      <c r="VAS4765" s="34">
        <v>-2</v>
      </c>
      <c r="VAT4765" s="34">
        <v>-1.5</v>
      </c>
      <c r="VAU4765" s="34">
        <v>-1</v>
      </c>
      <c r="VAV4765" s="34">
        <v>-0.5</v>
      </c>
      <c r="VAW4765" s="34">
        <v>0</v>
      </c>
      <c r="VAX4765" s="34">
        <v>0.5</v>
      </c>
      <c r="VAY4765" s="34">
        <v>1</v>
      </c>
      <c r="VAZ4765" s="34">
        <v>1.5</v>
      </c>
      <c r="VBA4765" s="34">
        <v>2</v>
      </c>
      <c r="VBB4765" s="34">
        <v>2.5</v>
      </c>
      <c r="VBC4765" s="34">
        <v>3</v>
      </c>
      <c r="VBD4765" s="34">
        <v>3.5</v>
      </c>
      <c r="VBE4765" s="34">
        <v>4</v>
      </c>
      <c r="VBF4765" s="34">
        <v>4.5</v>
      </c>
      <c r="VBG4765" s="34">
        <v>5</v>
      </c>
      <c r="VBI4765" s="913"/>
      <c r="VBJ4765" s="31">
        <v>1</v>
      </c>
      <c r="VBK4765" s="34">
        <v>0</v>
      </c>
      <c r="VBL4765" s="34">
        <v>-1</v>
      </c>
      <c r="VBM4765" s="34">
        <v>-2</v>
      </c>
      <c r="VBN4765" s="34">
        <v>-3</v>
      </c>
      <c r="VBO4765" s="34">
        <v>-4</v>
      </c>
      <c r="VBP4765" s="34">
        <v>-5</v>
      </c>
      <c r="VBQ4765" s="908"/>
      <c r="VBR4765" s="909"/>
      <c r="VBS4765" s="34">
        <v>-5</v>
      </c>
      <c r="VBT4765" s="34">
        <v>-4.5</v>
      </c>
      <c r="VBU4765" s="34">
        <v>-4</v>
      </c>
      <c r="VBV4765" s="34">
        <v>-3.5</v>
      </c>
      <c r="VBW4765" s="34">
        <v>-3</v>
      </c>
      <c r="VBX4765" s="34">
        <v>-2.5</v>
      </c>
      <c r="VBY4765" s="34">
        <v>-2</v>
      </c>
      <c r="VBZ4765" s="34">
        <v>-1.5</v>
      </c>
      <c r="VCA4765" s="34">
        <v>-1</v>
      </c>
      <c r="VCB4765" s="34">
        <v>-0.5</v>
      </c>
      <c r="VCC4765" s="34">
        <v>0</v>
      </c>
      <c r="VCD4765" s="34">
        <v>0.5</v>
      </c>
      <c r="VCE4765" s="34">
        <v>1</v>
      </c>
      <c r="VCF4765" s="34">
        <v>1.5</v>
      </c>
      <c r="VCG4765" s="34">
        <v>2</v>
      </c>
      <c r="VCH4765" s="34">
        <v>2.5</v>
      </c>
      <c r="VCI4765" s="34">
        <v>3</v>
      </c>
      <c r="VCJ4765" s="34">
        <v>3.5</v>
      </c>
      <c r="VCK4765" s="34">
        <v>4</v>
      </c>
      <c r="VCL4765" s="34">
        <v>4.5</v>
      </c>
      <c r="VCM4765" s="34">
        <v>5</v>
      </c>
      <c r="VCO4765" s="913"/>
      <c r="VCP4765" s="31">
        <v>1</v>
      </c>
      <c r="VCQ4765" s="34">
        <v>0</v>
      </c>
      <c r="VCR4765" s="34">
        <v>-1</v>
      </c>
      <c r="VCS4765" s="34">
        <v>-2</v>
      </c>
      <c r="VCT4765" s="34">
        <v>-3</v>
      </c>
      <c r="VCU4765" s="34">
        <v>-4</v>
      </c>
      <c r="VCV4765" s="34">
        <v>-5</v>
      </c>
      <c r="VCW4765" s="908"/>
      <c r="VCX4765" s="909"/>
      <c r="VCY4765" s="34">
        <v>-5</v>
      </c>
      <c r="VCZ4765" s="34">
        <v>-4.5</v>
      </c>
      <c r="VDA4765" s="34">
        <v>-4</v>
      </c>
      <c r="VDB4765" s="34">
        <v>-3.5</v>
      </c>
      <c r="VDC4765" s="34">
        <v>-3</v>
      </c>
      <c r="VDD4765" s="34">
        <v>-2.5</v>
      </c>
      <c r="VDE4765" s="34">
        <v>-2</v>
      </c>
      <c r="VDF4765" s="34">
        <v>-1.5</v>
      </c>
      <c r="VDG4765" s="34">
        <v>-1</v>
      </c>
      <c r="VDH4765" s="34">
        <v>-0.5</v>
      </c>
      <c r="VDI4765" s="34">
        <v>0</v>
      </c>
      <c r="VDJ4765" s="34">
        <v>0.5</v>
      </c>
      <c r="VDK4765" s="34">
        <v>1</v>
      </c>
      <c r="VDL4765" s="34">
        <v>1.5</v>
      </c>
      <c r="VDM4765" s="34">
        <v>2</v>
      </c>
      <c r="VDN4765" s="34">
        <v>2.5</v>
      </c>
      <c r="VDO4765" s="34">
        <v>3</v>
      </c>
      <c r="VDP4765" s="34">
        <v>3.5</v>
      </c>
      <c r="VDQ4765" s="34">
        <v>4</v>
      </c>
      <c r="VDR4765" s="34">
        <v>4.5</v>
      </c>
      <c r="VDS4765" s="34">
        <v>5</v>
      </c>
      <c r="VDU4765" s="913"/>
      <c r="VDV4765" s="31">
        <v>1</v>
      </c>
      <c r="VDW4765" s="34">
        <v>0</v>
      </c>
      <c r="VDX4765" s="34">
        <v>-1</v>
      </c>
      <c r="VDY4765" s="34">
        <v>-2</v>
      </c>
      <c r="VDZ4765" s="34">
        <v>-3</v>
      </c>
      <c r="VEA4765" s="34">
        <v>-4</v>
      </c>
      <c r="VEB4765" s="34">
        <v>-5</v>
      </c>
      <c r="VEC4765" s="908"/>
      <c r="VED4765" s="909"/>
      <c r="VEE4765" s="34">
        <v>-5</v>
      </c>
      <c r="VEF4765" s="34">
        <v>-4.5</v>
      </c>
      <c r="VEG4765" s="34">
        <v>-4</v>
      </c>
      <c r="VEH4765" s="34">
        <v>-3.5</v>
      </c>
      <c r="VEI4765" s="34">
        <v>-3</v>
      </c>
      <c r="VEJ4765" s="34">
        <v>-2.5</v>
      </c>
      <c r="VEK4765" s="34">
        <v>-2</v>
      </c>
      <c r="VEL4765" s="34">
        <v>-1.5</v>
      </c>
      <c r="VEM4765" s="34">
        <v>-1</v>
      </c>
      <c r="VEN4765" s="34">
        <v>-0.5</v>
      </c>
      <c r="VEO4765" s="34">
        <v>0</v>
      </c>
      <c r="VEP4765" s="34">
        <v>0.5</v>
      </c>
      <c r="VEQ4765" s="34">
        <v>1</v>
      </c>
      <c r="VER4765" s="34">
        <v>1.5</v>
      </c>
      <c r="VES4765" s="34">
        <v>2</v>
      </c>
      <c r="VET4765" s="34">
        <v>2.5</v>
      </c>
      <c r="VEU4765" s="34">
        <v>3</v>
      </c>
      <c r="VEV4765" s="34">
        <v>3.5</v>
      </c>
      <c r="VEW4765" s="34">
        <v>4</v>
      </c>
      <c r="VEX4765" s="34">
        <v>4.5</v>
      </c>
      <c r="VEY4765" s="34">
        <v>5</v>
      </c>
      <c r="VFA4765" s="913"/>
      <c r="VFB4765" s="31">
        <v>1</v>
      </c>
      <c r="VFC4765" s="34">
        <v>0</v>
      </c>
      <c r="VFD4765" s="34">
        <v>-1</v>
      </c>
      <c r="VFE4765" s="34">
        <v>-2</v>
      </c>
      <c r="VFF4765" s="34">
        <v>-3</v>
      </c>
      <c r="VFG4765" s="34">
        <v>-4</v>
      </c>
      <c r="VFH4765" s="34">
        <v>-5</v>
      </c>
      <c r="VFI4765" s="908"/>
      <c r="VFJ4765" s="909"/>
      <c r="VFK4765" s="34">
        <v>-5</v>
      </c>
      <c r="VFL4765" s="34">
        <v>-4.5</v>
      </c>
      <c r="VFM4765" s="34">
        <v>-4</v>
      </c>
      <c r="VFN4765" s="34">
        <v>-3.5</v>
      </c>
      <c r="VFO4765" s="34">
        <v>-3</v>
      </c>
      <c r="VFP4765" s="34">
        <v>-2.5</v>
      </c>
      <c r="VFQ4765" s="34">
        <v>-2</v>
      </c>
      <c r="VFR4765" s="34">
        <v>-1.5</v>
      </c>
      <c r="VFS4765" s="34">
        <v>-1</v>
      </c>
      <c r="VFT4765" s="34">
        <v>-0.5</v>
      </c>
      <c r="VFU4765" s="34">
        <v>0</v>
      </c>
      <c r="VFV4765" s="34">
        <v>0.5</v>
      </c>
      <c r="VFW4765" s="34">
        <v>1</v>
      </c>
      <c r="VFX4765" s="34">
        <v>1.5</v>
      </c>
      <c r="VFY4765" s="34">
        <v>2</v>
      </c>
      <c r="VFZ4765" s="34">
        <v>2.5</v>
      </c>
      <c r="VGA4765" s="34">
        <v>3</v>
      </c>
      <c r="VGB4765" s="34">
        <v>3.5</v>
      </c>
      <c r="VGC4765" s="34">
        <v>4</v>
      </c>
      <c r="VGD4765" s="34">
        <v>4.5</v>
      </c>
      <c r="VGE4765" s="34">
        <v>5</v>
      </c>
      <c r="VGG4765" s="913"/>
      <c r="VGH4765" s="31">
        <v>1</v>
      </c>
      <c r="VGI4765" s="34">
        <v>0</v>
      </c>
      <c r="VGJ4765" s="34">
        <v>-1</v>
      </c>
      <c r="VGK4765" s="34">
        <v>-2</v>
      </c>
      <c r="VGL4765" s="34">
        <v>-3</v>
      </c>
      <c r="VGM4765" s="34">
        <v>-4</v>
      </c>
      <c r="VGN4765" s="34">
        <v>-5</v>
      </c>
      <c r="VGO4765" s="908"/>
      <c r="VGP4765" s="909"/>
      <c r="VGQ4765" s="34">
        <v>-5</v>
      </c>
      <c r="VGR4765" s="34">
        <v>-4.5</v>
      </c>
      <c r="VGS4765" s="34">
        <v>-4</v>
      </c>
      <c r="VGT4765" s="34">
        <v>-3.5</v>
      </c>
      <c r="VGU4765" s="34">
        <v>-3</v>
      </c>
      <c r="VGV4765" s="34">
        <v>-2.5</v>
      </c>
      <c r="VGW4765" s="34">
        <v>-2</v>
      </c>
      <c r="VGX4765" s="34">
        <v>-1.5</v>
      </c>
      <c r="VGY4765" s="34">
        <v>-1</v>
      </c>
      <c r="VGZ4765" s="34">
        <v>-0.5</v>
      </c>
      <c r="VHA4765" s="34">
        <v>0</v>
      </c>
      <c r="VHB4765" s="34">
        <v>0.5</v>
      </c>
      <c r="VHC4765" s="34">
        <v>1</v>
      </c>
      <c r="VHD4765" s="34">
        <v>1.5</v>
      </c>
      <c r="VHE4765" s="34">
        <v>2</v>
      </c>
      <c r="VHF4765" s="34">
        <v>2.5</v>
      </c>
      <c r="VHG4765" s="34">
        <v>3</v>
      </c>
      <c r="VHH4765" s="34">
        <v>3.5</v>
      </c>
      <c r="VHI4765" s="34">
        <v>4</v>
      </c>
      <c r="VHJ4765" s="34">
        <v>4.5</v>
      </c>
      <c r="VHK4765" s="34">
        <v>5</v>
      </c>
      <c r="VHM4765" s="913"/>
      <c r="VHN4765" s="31">
        <v>1</v>
      </c>
      <c r="VHO4765" s="34">
        <v>0</v>
      </c>
      <c r="VHP4765" s="34">
        <v>-1</v>
      </c>
      <c r="VHQ4765" s="34">
        <v>-2</v>
      </c>
      <c r="VHR4765" s="34">
        <v>-3</v>
      </c>
      <c r="VHS4765" s="34">
        <v>-4</v>
      </c>
      <c r="VHT4765" s="34">
        <v>-5</v>
      </c>
      <c r="VHU4765" s="908"/>
      <c r="VHV4765" s="909"/>
      <c r="VHW4765" s="34">
        <v>-5</v>
      </c>
      <c r="VHX4765" s="34">
        <v>-4.5</v>
      </c>
      <c r="VHY4765" s="34">
        <v>-4</v>
      </c>
      <c r="VHZ4765" s="34">
        <v>-3.5</v>
      </c>
      <c r="VIA4765" s="34">
        <v>-3</v>
      </c>
      <c r="VIB4765" s="34">
        <v>-2.5</v>
      </c>
      <c r="VIC4765" s="34">
        <v>-2</v>
      </c>
      <c r="VID4765" s="34">
        <v>-1.5</v>
      </c>
      <c r="VIE4765" s="34">
        <v>-1</v>
      </c>
      <c r="VIF4765" s="34">
        <v>-0.5</v>
      </c>
      <c r="VIG4765" s="34">
        <v>0</v>
      </c>
      <c r="VIH4765" s="34">
        <v>0.5</v>
      </c>
      <c r="VII4765" s="34">
        <v>1</v>
      </c>
      <c r="VIJ4765" s="34">
        <v>1.5</v>
      </c>
      <c r="VIK4765" s="34">
        <v>2</v>
      </c>
      <c r="VIL4765" s="34">
        <v>2.5</v>
      </c>
      <c r="VIM4765" s="34">
        <v>3</v>
      </c>
      <c r="VIN4765" s="34">
        <v>3.5</v>
      </c>
      <c r="VIO4765" s="34">
        <v>4</v>
      </c>
      <c r="VIP4765" s="34">
        <v>4.5</v>
      </c>
      <c r="VIQ4765" s="34">
        <v>5</v>
      </c>
      <c r="VIS4765" s="913"/>
      <c r="VIT4765" s="31">
        <v>1</v>
      </c>
      <c r="VIU4765" s="34">
        <v>0</v>
      </c>
      <c r="VIV4765" s="34">
        <v>-1</v>
      </c>
      <c r="VIW4765" s="34">
        <v>-2</v>
      </c>
      <c r="VIX4765" s="34">
        <v>-3</v>
      </c>
      <c r="VIY4765" s="34">
        <v>-4</v>
      </c>
      <c r="VIZ4765" s="34">
        <v>-5</v>
      </c>
      <c r="VJA4765" s="908"/>
      <c r="VJB4765" s="909"/>
      <c r="VJC4765" s="34">
        <v>-5</v>
      </c>
      <c r="VJD4765" s="34">
        <v>-4.5</v>
      </c>
      <c r="VJE4765" s="34">
        <v>-4</v>
      </c>
      <c r="VJF4765" s="34">
        <v>-3.5</v>
      </c>
      <c r="VJG4765" s="34">
        <v>-3</v>
      </c>
      <c r="VJH4765" s="34">
        <v>-2.5</v>
      </c>
      <c r="VJI4765" s="34">
        <v>-2</v>
      </c>
      <c r="VJJ4765" s="34">
        <v>-1.5</v>
      </c>
      <c r="VJK4765" s="34">
        <v>-1</v>
      </c>
      <c r="VJL4765" s="34">
        <v>-0.5</v>
      </c>
      <c r="VJM4765" s="34">
        <v>0</v>
      </c>
      <c r="VJN4765" s="34">
        <v>0.5</v>
      </c>
      <c r="VJO4765" s="34">
        <v>1</v>
      </c>
      <c r="VJP4765" s="34">
        <v>1.5</v>
      </c>
      <c r="VJQ4765" s="34">
        <v>2</v>
      </c>
      <c r="VJR4765" s="34">
        <v>2.5</v>
      </c>
      <c r="VJS4765" s="34">
        <v>3</v>
      </c>
      <c r="VJT4765" s="34">
        <v>3.5</v>
      </c>
      <c r="VJU4765" s="34">
        <v>4</v>
      </c>
      <c r="VJV4765" s="34">
        <v>4.5</v>
      </c>
      <c r="VJW4765" s="34">
        <v>5</v>
      </c>
      <c r="VJY4765" s="913"/>
      <c r="VJZ4765" s="31">
        <v>1</v>
      </c>
      <c r="VKA4765" s="34">
        <v>0</v>
      </c>
      <c r="VKB4765" s="34">
        <v>-1</v>
      </c>
      <c r="VKC4765" s="34">
        <v>-2</v>
      </c>
      <c r="VKD4765" s="34">
        <v>-3</v>
      </c>
      <c r="VKE4765" s="34">
        <v>-4</v>
      </c>
      <c r="VKF4765" s="34">
        <v>-5</v>
      </c>
      <c r="VKG4765" s="908"/>
      <c r="VKH4765" s="909"/>
      <c r="VKI4765" s="34">
        <v>-5</v>
      </c>
      <c r="VKJ4765" s="34">
        <v>-4.5</v>
      </c>
      <c r="VKK4765" s="34">
        <v>-4</v>
      </c>
      <c r="VKL4765" s="34">
        <v>-3.5</v>
      </c>
      <c r="VKM4765" s="34">
        <v>-3</v>
      </c>
      <c r="VKN4765" s="34">
        <v>-2.5</v>
      </c>
      <c r="VKO4765" s="34">
        <v>-2</v>
      </c>
      <c r="VKP4765" s="34">
        <v>-1.5</v>
      </c>
      <c r="VKQ4765" s="34">
        <v>-1</v>
      </c>
      <c r="VKR4765" s="34">
        <v>-0.5</v>
      </c>
      <c r="VKS4765" s="34">
        <v>0</v>
      </c>
      <c r="VKT4765" s="34">
        <v>0.5</v>
      </c>
      <c r="VKU4765" s="34">
        <v>1</v>
      </c>
      <c r="VKV4765" s="34">
        <v>1.5</v>
      </c>
      <c r="VKW4765" s="34">
        <v>2</v>
      </c>
      <c r="VKX4765" s="34">
        <v>2.5</v>
      </c>
      <c r="VKY4765" s="34">
        <v>3</v>
      </c>
      <c r="VKZ4765" s="34">
        <v>3.5</v>
      </c>
      <c r="VLA4765" s="34">
        <v>4</v>
      </c>
      <c r="VLB4765" s="34">
        <v>4.5</v>
      </c>
      <c r="VLC4765" s="34">
        <v>5</v>
      </c>
      <c r="VLE4765" s="913"/>
      <c r="VLF4765" s="31">
        <v>1</v>
      </c>
      <c r="VLG4765" s="34">
        <v>0</v>
      </c>
      <c r="VLH4765" s="34">
        <v>-1</v>
      </c>
      <c r="VLI4765" s="34">
        <v>-2</v>
      </c>
      <c r="VLJ4765" s="34">
        <v>-3</v>
      </c>
      <c r="VLK4765" s="34">
        <v>-4</v>
      </c>
      <c r="VLL4765" s="34">
        <v>-5</v>
      </c>
      <c r="VLM4765" s="908"/>
      <c r="VLN4765" s="909"/>
      <c r="VLO4765" s="34">
        <v>-5</v>
      </c>
      <c r="VLP4765" s="34">
        <v>-4.5</v>
      </c>
      <c r="VLQ4765" s="34">
        <v>-4</v>
      </c>
      <c r="VLR4765" s="34">
        <v>-3.5</v>
      </c>
      <c r="VLS4765" s="34">
        <v>-3</v>
      </c>
      <c r="VLT4765" s="34">
        <v>-2.5</v>
      </c>
      <c r="VLU4765" s="34">
        <v>-2</v>
      </c>
      <c r="VLV4765" s="34">
        <v>-1.5</v>
      </c>
      <c r="VLW4765" s="34">
        <v>-1</v>
      </c>
      <c r="VLX4765" s="34">
        <v>-0.5</v>
      </c>
      <c r="VLY4765" s="34">
        <v>0</v>
      </c>
      <c r="VLZ4765" s="34">
        <v>0.5</v>
      </c>
      <c r="VMA4765" s="34">
        <v>1</v>
      </c>
      <c r="VMB4765" s="34">
        <v>1.5</v>
      </c>
      <c r="VMC4765" s="34">
        <v>2</v>
      </c>
      <c r="VMD4765" s="34">
        <v>2.5</v>
      </c>
      <c r="VME4765" s="34">
        <v>3</v>
      </c>
      <c r="VMF4765" s="34">
        <v>3.5</v>
      </c>
      <c r="VMG4765" s="34">
        <v>4</v>
      </c>
      <c r="VMH4765" s="34">
        <v>4.5</v>
      </c>
      <c r="VMI4765" s="34">
        <v>5</v>
      </c>
      <c r="VMK4765" s="913"/>
      <c r="VML4765" s="31">
        <v>1</v>
      </c>
      <c r="VMM4765" s="34">
        <v>0</v>
      </c>
      <c r="VMN4765" s="34">
        <v>-1</v>
      </c>
      <c r="VMO4765" s="34">
        <v>-2</v>
      </c>
      <c r="VMP4765" s="34">
        <v>-3</v>
      </c>
      <c r="VMQ4765" s="34">
        <v>-4</v>
      </c>
      <c r="VMR4765" s="34">
        <v>-5</v>
      </c>
      <c r="VMS4765" s="908"/>
      <c r="VMT4765" s="909"/>
      <c r="VMU4765" s="34">
        <v>-5</v>
      </c>
      <c r="VMV4765" s="34">
        <v>-4.5</v>
      </c>
      <c r="VMW4765" s="34">
        <v>-4</v>
      </c>
      <c r="VMX4765" s="34">
        <v>-3.5</v>
      </c>
      <c r="VMY4765" s="34">
        <v>-3</v>
      </c>
      <c r="VMZ4765" s="34">
        <v>-2.5</v>
      </c>
      <c r="VNA4765" s="34">
        <v>-2</v>
      </c>
      <c r="VNB4765" s="34">
        <v>-1.5</v>
      </c>
      <c r="VNC4765" s="34">
        <v>-1</v>
      </c>
      <c r="VND4765" s="34">
        <v>-0.5</v>
      </c>
      <c r="VNE4765" s="34">
        <v>0</v>
      </c>
      <c r="VNF4765" s="34">
        <v>0.5</v>
      </c>
      <c r="VNG4765" s="34">
        <v>1</v>
      </c>
      <c r="VNH4765" s="34">
        <v>1.5</v>
      </c>
      <c r="VNI4765" s="34">
        <v>2</v>
      </c>
      <c r="VNJ4765" s="34">
        <v>2.5</v>
      </c>
      <c r="VNK4765" s="34">
        <v>3</v>
      </c>
      <c r="VNL4765" s="34">
        <v>3.5</v>
      </c>
      <c r="VNM4765" s="34">
        <v>4</v>
      </c>
      <c r="VNN4765" s="34">
        <v>4.5</v>
      </c>
      <c r="VNO4765" s="34">
        <v>5</v>
      </c>
      <c r="VNQ4765" s="913"/>
      <c r="VNR4765" s="31">
        <v>1</v>
      </c>
      <c r="VNS4765" s="34">
        <v>0</v>
      </c>
      <c r="VNT4765" s="34">
        <v>-1</v>
      </c>
      <c r="VNU4765" s="34">
        <v>-2</v>
      </c>
      <c r="VNV4765" s="34">
        <v>-3</v>
      </c>
      <c r="VNW4765" s="34">
        <v>-4</v>
      </c>
      <c r="VNX4765" s="34">
        <v>-5</v>
      </c>
      <c r="VNY4765" s="908"/>
      <c r="VNZ4765" s="909"/>
      <c r="VOA4765" s="34">
        <v>-5</v>
      </c>
      <c r="VOB4765" s="34">
        <v>-4.5</v>
      </c>
      <c r="VOC4765" s="34">
        <v>-4</v>
      </c>
      <c r="VOD4765" s="34">
        <v>-3.5</v>
      </c>
      <c r="VOE4765" s="34">
        <v>-3</v>
      </c>
      <c r="VOF4765" s="34">
        <v>-2.5</v>
      </c>
      <c r="VOG4765" s="34">
        <v>-2</v>
      </c>
      <c r="VOH4765" s="34">
        <v>-1.5</v>
      </c>
      <c r="VOI4765" s="34">
        <v>-1</v>
      </c>
      <c r="VOJ4765" s="34">
        <v>-0.5</v>
      </c>
      <c r="VOK4765" s="34">
        <v>0</v>
      </c>
      <c r="VOL4765" s="34">
        <v>0.5</v>
      </c>
      <c r="VOM4765" s="34">
        <v>1</v>
      </c>
      <c r="VON4765" s="34">
        <v>1.5</v>
      </c>
      <c r="VOO4765" s="34">
        <v>2</v>
      </c>
      <c r="VOP4765" s="34">
        <v>2.5</v>
      </c>
      <c r="VOQ4765" s="34">
        <v>3</v>
      </c>
      <c r="VOR4765" s="34">
        <v>3.5</v>
      </c>
      <c r="VOS4765" s="34">
        <v>4</v>
      </c>
      <c r="VOT4765" s="34">
        <v>4.5</v>
      </c>
      <c r="VOU4765" s="34">
        <v>5</v>
      </c>
      <c r="VOW4765" s="913"/>
      <c r="VOX4765" s="31">
        <v>1</v>
      </c>
      <c r="VOY4765" s="34">
        <v>0</v>
      </c>
      <c r="VOZ4765" s="34">
        <v>-1</v>
      </c>
      <c r="VPA4765" s="34">
        <v>-2</v>
      </c>
      <c r="VPB4765" s="34">
        <v>-3</v>
      </c>
      <c r="VPC4765" s="34">
        <v>-4</v>
      </c>
      <c r="VPD4765" s="34">
        <v>-5</v>
      </c>
      <c r="VPE4765" s="908"/>
      <c r="VPF4765" s="909"/>
      <c r="VPG4765" s="34">
        <v>-5</v>
      </c>
      <c r="VPH4765" s="34">
        <v>-4.5</v>
      </c>
      <c r="VPI4765" s="34">
        <v>-4</v>
      </c>
      <c r="VPJ4765" s="34">
        <v>-3.5</v>
      </c>
      <c r="VPK4765" s="34">
        <v>-3</v>
      </c>
      <c r="VPL4765" s="34">
        <v>-2.5</v>
      </c>
      <c r="VPM4765" s="34">
        <v>-2</v>
      </c>
      <c r="VPN4765" s="34">
        <v>-1.5</v>
      </c>
      <c r="VPO4765" s="34">
        <v>-1</v>
      </c>
      <c r="VPP4765" s="34">
        <v>-0.5</v>
      </c>
      <c r="VPQ4765" s="34">
        <v>0</v>
      </c>
      <c r="VPR4765" s="34">
        <v>0.5</v>
      </c>
      <c r="VPS4765" s="34">
        <v>1</v>
      </c>
      <c r="VPT4765" s="34">
        <v>1.5</v>
      </c>
      <c r="VPU4765" s="34">
        <v>2</v>
      </c>
      <c r="VPV4765" s="34">
        <v>2.5</v>
      </c>
      <c r="VPW4765" s="34">
        <v>3</v>
      </c>
      <c r="VPX4765" s="34">
        <v>3.5</v>
      </c>
      <c r="VPY4765" s="34">
        <v>4</v>
      </c>
      <c r="VPZ4765" s="34">
        <v>4.5</v>
      </c>
      <c r="VQA4765" s="34">
        <v>5</v>
      </c>
      <c r="VQC4765" s="913"/>
      <c r="VQD4765" s="31">
        <v>1</v>
      </c>
      <c r="VQE4765" s="34">
        <v>0</v>
      </c>
      <c r="VQF4765" s="34">
        <v>-1</v>
      </c>
      <c r="VQG4765" s="34">
        <v>-2</v>
      </c>
      <c r="VQH4765" s="34">
        <v>-3</v>
      </c>
      <c r="VQI4765" s="34">
        <v>-4</v>
      </c>
      <c r="VQJ4765" s="34">
        <v>-5</v>
      </c>
      <c r="VQK4765" s="908"/>
      <c r="VQL4765" s="909"/>
      <c r="VQM4765" s="34">
        <v>-5</v>
      </c>
      <c r="VQN4765" s="34">
        <v>-4.5</v>
      </c>
      <c r="VQO4765" s="34">
        <v>-4</v>
      </c>
      <c r="VQP4765" s="34">
        <v>-3.5</v>
      </c>
      <c r="VQQ4765" s="34">
        <v>-3</v>
      </c>
      <c r="VQR4765" s="34">
        <v>-2.5</v>
      </c>
      <c r="VQS4765" s="34">
        <v>-2</v>
      </c>
      <c r="VQT4765" s="34">
        <v>-1.5</v>
      </c>
      <c r="VQU4765" s="34">
        <v>-1</v>
      </c>
      <c r="VQV4765" s="34">
        <v>-0.5</v>
      </c>
      <c r="VQW4765" s="34">
        <v>0</v>
      </c>
      <c r="VQX4765" s="34">
        <v>0.5</v>
      </c>
      <c r="VQY4765" s="34">
        <v>1</v>
      </c>
      <c r="VQZ4765" s="34">
        <v>1.5</v>
      </c>
      <c r="VRA4765" s="34">
        <v>2</v>
      </c>
      <c r="VRB4765" s="34">
        <v>2.5</v>
      </c>
      <c r="VRC4765" s="34">
        <v>3</v>
      </c>
      <c r="VRD4765" s="34">
        <v>3.5</v>
      </c>
      <c r="VRE4765" s="34">
        <v>4</v>
      </c>
      <c r="VRF4765" s="34">
        <v>4.5</v>
      </c>
      <c r="VRG4765" s="34">
        <v>5</v>
      </c>
      <c r="VRI4765" s="913"/>
      <c r="VRJ4765" s="31">
        <v>1</v>
      </c>
      <c r="VRK4765" s="34">
        <v>0</v>
      </c>
      <c r="VRL4765" s="34">
        <v>-1</v>
      </c>
      <c r="VRM4765" s="34">
        <v>-2</v>
      </c>
      <c r="VRN4765" s="34">
        <v>-3</v>
      </c>
      <c r="VRO4765" s="34">
        <v>-4</v>
      </c>
      <c r="VRP4765" s="34">
        <v>-5</v>
      </c>
      <c r="VRQ4765" s="908"/>
      <c r="VRR4765" s="909"/>
      <c r="VRS4765" s="34">
        <v>-5</v>
      </c>
      <c r="VRT4765" s="34">
        <v>-4.5</v>
      </c>
      <c r="VRU4765" s="34">
        <v>-4</v>
      </c>
      <c r="VRV4765" s="34">
        <v>-3.5</v>
      </c>
      <c r="VRW4765" s="34">
        <v>-3</v>
      </c>
      <c r="VRX4765" s="34">
        <v>-2.5</v>
      </c>
      <c r="VRY4765" s="34">
        <v>-2</v>
      </c>
      <c r="VRZ4765" s="34">
        <v>-1.5</v>
      </c>
      <c r="VSA4765" s="34">
        <v>-1</v>
      </c>
      <c r="VSB4765" s="34">
        <v>-0.5</v>
      </c>
      <c r="VSC4765" s="34">
        <v>0</v>
      </c>
      <c r="VSD4765" s="34">
        <v>0.5</v>
      </c>
      <c r="VSE4765" s="34">
        <v>1</v>
      </c>
      <c r="VSF4765" s="34">
        <v>1.5</v>
      </c>
      <c r="VSG4765" s="34">
        <v>2</v>
      </c>
      <c r="VSH4765" s="34">
        <v>2.5</v>
      </c>
      <c r="VSI4765" s="34">
        <v>3</v>
      </c>
      <c r="VSJ4765" s="34">
        <v>3.5</v>
      </c>
      <c r="VSK4765" s="34">
        <v>4</v>
      </c>
      <c r="VSL4765" s="34">
        <v>4.5</v>
      </c>
      <c r="VSM4765" s="34">
        <v>5</v>
      </c>
      <c r="VSO4765" s="913"/>
      <c r="VSP4765" s="31">
        <v>1</v>
      </c>
      <c r="VSQ4765" s="34">
        <v>0</v>
      </c>
      <c r="VSR4765" s="34">
        <v>-1</v>
      </c>
      <c r="VSS4765" s="34">
        <v>-2</v>
      </c>
      <c r="VST4765" s="34">
        <v>-3</v>
      </c>
      <c r="VSU4765" s="34">
        <v>-4</v>
      </c>
      <c r="VSV4765" s="34">
        <v>-5</v>
      </c>
      <c r="VSW4765" s="908"/>
      <c r="VSX4765" s="909"/>
      <c r="VSY4765" s="34">
        <v>-5</v>
      </c>
      <c r="VSZ4765" s="34">
        <v>-4.5</v>
      </c>
      <c r="VTA4765" s="34">
        <v>-4</v>
      </c>
      <c r="VTB4765" s="34">
        <v>-3.5</v>
      </c>
      <c r="VTC4765" s="34">
        <v>-3</v>
      </c>
      <c r="VTD4765" s="34">
        <v>-2.5</v>
      </c>
      <c r="VTE4765" s="34">
        <v>-2</v>
      </c>
      <c r="VTF4765" s="34">
        <v>-1.5</v>
      </c>
      <c r="VTG4765" s="34">
        <v>-1</v>
      </c>
      <c r="VTH4765" s="34">
        <v>-0.5</v>
      </c>
      <c r="VTI4765" s="34">
        <v>0</v>
      </c>
      <c r="VTJ4765" s="34">
        <v>0.5</v>
      </c>
      <c r="VTK4765" s="34">
        <v>1</v>
      </c>
      <c r="VTL4765" s="34">
        <v>1.5</v>
      </c>
      <c r="VTM4765" s="34">
        <v>2</v>
      </c>
      <c r="VTN4765" s="34">
        <v>2.5</v>
      </c>
      <c r="VTO4765" s="34">
        <v>3</v>
      </c>
      <c r="VTP4765" s="34">
        <v>3.5</v>
      </c>
      <c r="VTQ4765" s="34">
        <v>4</v>
      </c>
      <c r="VTR4765" s="34">
        <v>4.5</v>
      </c>
      <c r="VTS4765" s="34">
        <v>5</v>
      </c>
      <c r="VTU4765" s="913"/>
      <c r="VTV4765" s="31">
        <v>1</v>
      </c>
      <c r="VTW4765" s="34">
        <v>0</v>
      </c>
      <c r="VTX4765" s="34">
        <v>-1</v>
      </c>
      <c r="VTY4765" s="34">
        <v>-2</v>
      </c>
      <c r="VTZ4765" s="34">
        <v>-3</v>
      </c>
      <c r="VUA4765" s="34">
        <v>-4</v>
      </c>
      <c r="VUB4765" s="34">
        <v>-5</v>
      </c>
      <c r="VUC4765" s="908"/>
      <c r="VUD4765" s="909"/>
      <c r="VUE4765" s="34">
        <v>-5</v>
      </c>
      <c r="VUF4765" s="34">
        <v>-4.5</v>
      </c>
      <c r="VUG4765" s="34">
        <v>-4</v>
      </c>
      <c r="VUH4765" s="34">
        <v>-3.5</v>
      </c>
      <c r="VUI4765" s="34">
        <v>-3</v>
      </c>
      <c r="VUJ4765" s="34">
        <v>-2.5</v>
      </c>
      <c r="VUK4765" s="34">
        <v>-2</v>
      </c>
      <c r="VUL4765" s="34">
        <v>-1.5</v>
      </c>
      <c r="VUM4765" s="34">
        <v>-1</v>
      </c>
      <c r="VUN4765" s="34">
        <v>-0.5</v>
      </c>
      <c r="VUO4765" s="34">
        <v>0</v>
      </c>
      <c r="VUP4765" s="34">
        <v>0.5</v>
      </c>
      <c r="VUQ4765" s="34">
        <v>1</v>
      </c>
      <c r="VUR4765" s="34">
        <v>1.5</v>
      </c>
      <c r="VUS4765" s="34">
        <v>2</v>
      </c>
      <c r="VUT4765" s="34">
        <v>2.5</v>
      </c>
      <c r="VUU4765" s="34">
        <v>3</v>
      </c>
      <c r="VUV4765" s="34">
        <v>3.5</v>
      </c>
      <c r="VUW4765" s="34">
        <v>4</v>
      </c>
      <c r="VUX4765" s="34">
        <v>4.5</v>
      </c>
      <c r="VUY4765" s="34">
        <v>5</v>
      </c>
      <c r="VVA4765" s="913"/>
      <c r="VVB4765" s="31">
        <v>1</v>
      </c>
      <c r="VVC4765" s="34">
        <v>0</v>
      </c>
      <c r="VVD4765" s="34">
        <v>-1</v>
      </c>
      <c r="VVE4765" s="34">
        <v>-2</v>
      </c>
      <c r="VVF4765" s="34">
        <v>-3</v>
      </c>
      <c r="VVG4765" s="34">
        <v>-4</v>
      </c>
      <c r="VVH4765" s="34">
        <v>-5</v>
      </c>
      <c r="VVI4765" s="908"/>
      <c r="VVJ4765" s="909"/>
      <c r="VVK4765" s="34">
        <v>-5</v>
      </c>
      <c r="VVL4765" s="34">
        <v>-4.5</v>
      </c>
      <c r="VVM4765" s="34">
        <v>-4</v>
      </c>
      <c r="VVN4765" s="34">
        <v>-3.5</v>
      </c>
      <c r="VVO4765" s="34">
        <v>-3</v>
      </c>
      <c r="VVP4765" s="34">
        <v>-2.5</v>
      </c>
      <c r="VVQ4765" s="34">
        <v>-2</v>
      </c>
      <c r="VVR4765" s="34">
        <v>-1.5</v>
      </c>
      <c r="VVS4765" s="34">
        <v>-1</v>
      </c>
      <c r="VVT4765" s="34">
        <v>-0.5</v>
      </c>
      <c r="VVU4765" s="34">
        <v>0</v>
      </c>
      <c r="VVV4765" s="34">
        <v>0.5</v>
      </c>
      <c r="VVW4765" s="34">
        <v>1</v>
      </c>
      <c r="VVX4765" s="34">
        <v>1.5</v>
      </c>
      <c r="VVY4765" s="34">
        <v>2</v>
      </c>
      <c r="VVZ4765" s="34">
        <v>2.5</v>
      </c>
      <c r="VWA4765" s="34">
        <v>3</v>
      </c>
      <c r="VWB4765" s="34">
        <v>3.5</v>
      </c>
      <c r="VWC4765" s="34">
        <v>4</v>
      </c>
      <c r="VWD4765" s="34">
        <v>4.5</v>
      </c>
      <c r="VWE4765" s="34">
        <v>5</v>
      </c>
      <c r="VWG4765" s="913"/>
      <c r="VWH4765" s="31">
        <v>1</v>
      </c>
      <c r="VWI4765" s="34">
        <v>0</v>
      </c>
      <c r="VWJ4765" s="34">
        <v>-1</v>
      </c>
      <c r="VWK4765" s="34">
        <v>-2</v>
      </c>
      <c r="VWL4765" s="34">
        <v>-3</v>
      </c>
      <c r="VWM4765" s="34">
        <v>-4</v>
      </c>
      <c r="VWN4765" s="34">
        <v>-5</v>
      </c>
      <c r="VWO4765" s="908"/>
      <c r="VWP4765" s="909"/>
      <c r="VWQ4765" s="34">
        <v>-5</v>
      </c>
      <c r="VWR4765" s="34">
        <v>-4.5</v>
      </c>
      <c r="VWS4765" s="34">
        <v>-4</v>
      </c>
      <c r="VWT4765" s="34">
        <v>-3.5</v>
      </c>
      <c r="VWU4765" s="34">
        <v>-3</v>
      </c>
      <c r="VWV4765" s="34">
        <v>-2.5</v>
      </c>
      <c r="VWW4765" s="34">
        <v>-2</v>
      </c>
      <c r="VWX4765" s="34">
        <v>-1.5</v>
      </c>
      <c r="VWY4765" s="34">
        <v>-1</v>
      </c>
      <c r="VWZ4765" s="34">
        <v>-0.5</v>
      </c>
      <c r="VXA4765" s="34">
        <v>0</v>
      </c>
      <c r="VXB4765" s="34">
        <v>0.5</v>
      </c>
      <c r="VXC4765" s="34">
        <v>1</v>
      </c>
      <c r="VXD4765" s="34">
        <v>1.5</v>
      </c>
      <c r="VXE4765" s="34">
        <v>2</v>
      </c>
      <c r="VXF4765" s="34">
        <v>2.5</v>
      </c>
      <c r="VXG4765" s="34">
        <v>3</v>
      </c>
      <c r="VXH4765" s="34">
        <v>3.5</v>
      </c>
      <c r="VXI4765" s="34">
        <v>4</v>
      </c>
      <c r="VXJ4765" s="34">
        <v>4.5</v>
      </c>
      <c r="VXK4765" s="34">
        <v>5</v>
      </c>
      <c r="VXM4765" s="913"/>
      <c r="VXN4765" s="31">
        <v>1</v>
      </c>
      <c r="VXO4765" s="34">
        <v>0</v>
      </c>
      <c r="VXP4765" s="34">
        <v>-1</v>
      </c>
      <c r="VXQ4765" s="34">
        <v>-2</v>
      </c>
      <c r="VXR4765" s="34">
        <v>-3</v>
      </c>
      <c r="VXS4765" s="34">
        <v>-4</v>
      </c>
      <c r="VXT4765" s="34">
        <v>-5</v>
      </c>
      <c r="VXU4765" s="908"/>
      <c r="VXV4765" s="909"/>
      <c r="VXW4765" s="34">
        <v>-5</v>
      </c>
      <c r="VXX4765" s="34">
        <v>-4.5</v>
      </c>
      <c r="VXY4765" s="34">
        <v>-4</v>
      </c>
      <c r="VXZ4765" s="34">
        <v>-3.5</v>
      </c>
      <c r="VYA4765" s="34">
        <v>-3</v>
      </c>
      <c r="VYB4765" s="34">
        <v>-2.5</v>
      </c>
      <c r="VYC4765" s="34">
        <v>-2</v>
      </c>
      <c r="VYD4765" s="34">
        <v>-1.5</v>
      </c>
      <c r="VYE4765" s="34">
        <v>-1</v>
      </c>
      <c r="VYF4765" s="34">
        <v>-0.5</v>
      </c>
      <c r="VYG4765" s="34">
        <v>0</v>
      </c>
      <c r="VYH4765" s="34">
        <v>0.5</v>
      </c>
      <c r="VYI4765" s="34">
        <v>1</v>
      </c>
      <c r="VYJ4765" s="34">
        <v>1.5</v>
      </c>
      <c r="VYK4765" s="34">
        <v>2</v>
      </c>
      <c r="VYL4765" s="34">
        <v>2.5</v>
      </c>
      <c r="VYM4765" s="34">
        <v>3</v>
      </c>
      <c r="VYN4765" s="34">
        <v>3.5</v>
      </c>
      <c r="VYO4765" s="34">
        <v>4</v>
      </c>
      <c r="VYP4765" s="34">
        <v>4.5</v>
      </c>
      <c r="VYQ4765" s="34">
        <v>5</v>
      </c>
      <c r="VYS4765" s="913"/>
      <c r="VYT4765" s="31">
        <v>1</v>
      </c>
      <c r="VYU4765" s="34">
        <v>0</v>
      </c>
      <c r="VYV4765" s="34">
        <v>-1</v>
      </c>
      <c r="VYW4765" s="34">
        <v>-2</v>
      </c>
      <c r="VYX4765" s="34">
        <v>-3</v>
      </c>
      <c r="VYY4765" s="34">
        <v>-4</v>
      </c>
      <c r="VYZ4765" s="34">
        <v>-5</v>
      </c>
      <c r="VZA4765" s="908"/>
      <c r="VZB4765" s="909"/>
      <c r="VZC4765" s="34">
        <v>-5</v>
      </c>
      <c r="VZD4765" s="34">
        <v>-4.5</v>
      </c>
      <c r="VZE4765" s="34">
        <v>-4</v>
      </c>
      <c r="VZF4765" s="34">
        <v>-3.5</v>
      </c>
      <c r="VZG4765" s="34">
        <v>-3</v>
      </c>
      <c r="VZH4765" s="34">
        <v>-2.5</v>
      </c>
      <c r="VZI4765" s="34">
        <v>-2</v>
      </c>
      <c r="VZJ4765" s="34">
        <v>-1.5</v>
      </c>
      <c r="VZK4765" s="34">
        <v>-1</v>
      </c>
      <c r="VZL4765" s="34">
        <v>-0.5</v>
      </c>
      <c r="VZM4765" s="34">
        <v>0</v>
      </c>
      <c r="VZN4765" s="34">
        <v>0.5</v>
      </c>
      <c r="VZO4765" s="34">
        <v>1</v>
      </c>
      <c r="VZP4765" s="34">
        <v>1.5</v>
      </c>
      <c r="VZQ4765" s="34">
        <v>2</v>
      </c>
      <c r="VZR4765" s="34">
        <v>2.5</v>
      </c>
      <c r="VZS4765" s="34">
        <v>3</v>
      </c>
      <c r="VZT4765" s="34">
        <v>3.5</v>
      </c>
      <c r="VZU4765" s="34">
        <v>4</v>
      </c>
      <c r="VZV4765" s="34">
        <v>4.5</v>
      </c>
      <c r="VZW4765" s="34">
        <v>5</v>
      </c>
      <c r="VZY4765" s="913"/>
      <c r="VZZ4765" s="31">
        <v>1</v>
      </c>
      <c r="WAA4765" s="34">
        <v>0</v>
      </c>
      <c r="WAB4765" s="34">
        <v>-1</v>
      </c>
      <c r="WAC4765" s="34">
        <v>-2</v>
      </c>
      <c r="WAD4765" s="34">
        <v>-3</v>
      </c>
      <c r="WAE4765" s="34">
        <v>-4</v>
      </c>
      <c r="WAF4765" s="34">
        <v>-5</v>
      </c>
      <c r="WAG4765" s="908"/>
      <c r="WAH4765" s="909"/>
      <c r="WAI4765" s="34">
        <v>-5</v>
      </c>
      <c r="WAJ4765" s="34">
        <v>-4.5</v>
      </c>
      <c r="WAK4765" s="34">
        <v>-4</v>
      </c>
      <c r="WAL4765" s="34">
        <v>-3.5</v>
      </c>
      <c r="WAM4765" s="34">
        <v>-3</v>
      </c>
      <c r="WAN4765" s="34">
        <v>-2.5</v>
      </c>
      <c r="WAO4765" s="34">
        <v>-2</v>
      </c>
      <c r="WAP4765" s="34">
        <v>-1.5</v>
      </c>
      <c r="WAQ4765" s="34">
        <v>-1</v>
      </c>
      <c r="WAR4765" s="34">
        <v>-0.5</v>
      </c>
      <c r="WAS4765" s="34">
        <v>0</v>
      </c>
      <c r="WAT4765" s="34">
        <v>0.5</v>
      </c>
      <c r="WAU4765" s="34">
        <v>1</v>
      </c>
      <c r="WAV4765" s="34">
        <v>1.5</v>
      </c>
      <c r="WAW4765" s="34">
        <v>2</v>
      </c>
      <c r="WAX4765" s="34">
        <v>2.5</v>
      </c>
      <c r="WAY4765" s="34">
        <v>3</v>
      </c>
      <c r="WAZ4765" s="34">
        <v>3.5</v>
      </c>
      <c r="WBA4765" s="34">
        <v>4</v>
      </c>
      <c r="WBB4765" s="34">
        <v>4.5</v>
      </c>
      <c r="WBC4765" s="34">
        <v>5</v>
      </c>
      <c r="WBE4765" s="913"/>
      <c r="WBF4765" s="31">
        <v>1</v>
      </c>
      <c r="WBG4765" s="34">
        <v>0</v>
      </c>
      <c r="WBH4765" s="34">
        <v>-1</v>
      </c>
      <c r="WBI4765" s="34">
        <v>-2</v>
      </c>
      <c r="WBJ4765" s="34">
        <v>-3</v>
      </c>
      <c r="WBK4765" s="34">
        <v>-4</v>
      </c>
      <c r="WBL4765" s="34">
        <v>-5</v>
      </c>
      <c r="WBM4765" s="908"/>
      <c r="WBN4765" s="909"/>
      <c r="WBO4765" s="34">
        <v>-5</v>
      </c>
      <c r="WBP4765" s="34">
        <v>-4.5</v>
      </c>
      <c r="WBQ4765" s="34">
        <v>-4</v>
      </c>
      <c r="WBR4765" s="34">
        <v>-3.5</v>
      </c>
      <c r="WBS4765" s="34">
        <v>-3</v>
      </c>
      <c r="WBT4765" s="34">
        <v>-2.5</v>
      </c>
      <c r="WBU4765" s="34">
        <v>-2</v>
      </c>
      <c r="WBV4765" s="34">
        <v>-1.5</v>
      </c>
      <c r="WBW4765" s="34">
        <v>-1</v>
      </c>
      <c r="WBX4765" s="34">
        <v>-0.5</v>
      </c>
      <c r="WBY4765" s="34">
        <v>0</v>
      </c>
      <c r="WBZ4765" s="34">
        <v>0.5</v>
      </c>
      <c r="WCA4765" s="34">
        <v>1</v>
      </c>
      <c r="WCB4765" s="34">
        <v>1.5</v>
      </c>
      <c r="WCC4765" s="34">
        <v>2</v>
      </c>
      <c r="WCD4765" s="34">
        <v>2.5</v>
      </c>
      <c r="WCE4765" s="34">
        <v>3</v>
      </c>
      <c r="WCF4765" s="34">
        <v>3.5</v>
      </c>
      <c r="WCG4765" s="34">
        <v>4</v>
      </c>
      <c r="WCH4765" s="34">
        <v>4.5</v>
      </c>
      <c r="WCI4765" s="34">
        <v>5</v>
      </c>
      <c r="WCK4765" s="913"/>
      <c r="WCL4765" s="31">
        <v>1</v>
      </c>
      <c r="WCM4765" s="34">
        <v>0</v>
      </c>
      <c r="WCN4765" s="34">
        <v>-1</v>
      </c>
      <c r="WCO4765" s="34">
        <v>-2</v>
      </c>
      <c r="WCP4765" s="34">
        <v>-3</v>
      </c>
      <c r="WCQ4765" s="34">
        <v>-4</v>
      </c>
      <c r="WCR4765" s="34">
        <v>-5</v>
      </c>
      <c r="WCS4765" s="908"/>
      <c r="WCT4765" s="909"/>
      <c r="WCU4765" s="34">
        <v>-5</v>
      </c>
      <c r="WCV4765" s="34">
        <v>-4.5</v>
      </c>
      <c r="WCW4765" s="34">
        <v>-4</v>
      </c>
      <c r="WCX4765" s="34">
        <v>-3.5</v>
      </c>
      <c r="WCY4765" s="34">
        <v>-3</v>
      </c>
      <c r="WCZ4765" s="34">
        <v>-2.5</v>
      </c>
      <c r="WDA4765" s="34">
        <v>-2</v>
      </c>
      <c r="WDB4765" s="34">
        <v>-1.5</v>
      </c>
      <c r="WDC4765" s="34">
        <v>-1</v>
      </c>
      <c r="WDD4765" s="34">
        <v>-0.5</v>
      </c>
      <c r="WDE4765" s="34">
        <v>0</v>
      </c>
      <c r="WDF4765" s="34">
        <v>0.5</v>
      </c>
      <c r="WDG4765" s="34">
        <v>1</v>
      </c>
      <c r="WDH4765" s="34">
        <v>1.5</v>
      </c>
      <c r="WDI4765" s="34">
        <v>2</v>
      </c>
      <c r="WDJ4765" s="34">
        <v>2.5</v>
      </c>
      <c r="WDK4765" s="34">
        <v>3</v>
      </c>
      <c r="WDL4765" s="34">
        <v>3.5</v>
      </c>
      <c r="WDM4765" s="34">
        <v>4</v>
      </c>
      <c r="WDN4765" s="34">
        <v>4.5</v>
      </c>
      <c r="WDO4765" s="34">
        <v>5</v>
      </c>
      <c r="WDQ4765" s="913"/>
      <c r="WDR4765" s="31">
        <v>1</v>
      </c>
      <c r="WDS4765" s="34">
        <v>0</v>
      </c>
      <c r="WDT4765" s="34">
        <v>-1</v>
      </c>
      <c r="WDU4765" s="34">
        <v>-2</v>
      </c>
      <c r="WDV4765" s="34">
        <v>-3</v>
      </c>
      <c r="WDW4765" s="34">
        <v>-4</v>
      </c>
      <c r="WDX4765" s="34">
        <v>-5</v>
      </c>
      <c r="WDY4765" s="908"/>
      <c r="WDZ4765" s="909"/>
      <c r="WEA4765" s="34">
        <v>-5</v>
      </c>
      <c r="WEB4765" s="34">
        <v>-4.5</v>
      </c>
      <c r="WEC4765" s="34">
        <v>-4</v>
      </c>
      <c r="WED4765" s="34">
        <v>-3.5</v>
      </c>
      <c r="WEE4765" s="34">
        <v>-3</v>
      </c>
      <c r="WEF4765" s="34">
        <v>-2.5</v>
      </c>
      <c r="WEG4765" s="34">
        <v>-2</v>
      </c>
      <c r="WEH4765" s="34">
        <v>-1.5</v>
      </c>
      <c r="WEI4765" s="34">
        <v>-1</v>
      </c>
      <c r="WEJ4765" s="34">
        <v>-0.5</v>
      </c>
      <c r="WEK4765" s="34">
        <v>0</v>
      </c>
      <c r="WEL4765" s="34">
        <v>0.5</v>
      </c>
      <c r="WEM4765" s="34">
        <v>1</v>
      </c>
      <c r="WEN4765" s="34">
        <v>1.5</v>
      </c>
      <c r="WEO4765" s="34">
        <v>2</v>
      </c>
      <c r="WEP4765" s="34">
        <v>2.5</v>
      </c>
      <c r="WEQ4765" s="34">
        <v>3</v>
      </c>
      <c r="WER4765" s="34">
        <v>3.5</v>
      </c>
      <c r="WES4765" s="34">
        <v>4</v>
      </c>
      <c r="WET4765" s="34">
        <v>4.5</v>
      </c>
      <c r="WEU4765" s="34">
        <v>5</v>
      </c>
      <c r="WEW4765" s="913"/>
      <c r="WEX4765" s="31">
        <v>1</v>
      </c>
      <c r="WEY4765" s="34">
        <v>0</v>
      </c>
      <c r="WEZ4765" s="34">
        <v>-1</v>
      </c>
      <c r="WFA4765" s="34">
        <v>-2</v>
      </c>
      <c r="WFB4765" s="34">
        <v>-3</v>
      </c>
      <c r="WFC4765" s="34">
        <v>-4</v>
      </c>
      <c r="WFD4765" s="34">
        <v>-5</v>
      </c>
      <c r="WFE4765" s="908"/>
      <c r="WFF4765" s="909"/>
      <c r="WFG4765" s="34">
        <v>-5</v>
      </c>
      <c r="WFH4765" s="34">
        <v>-4.5</v>
      </c>
      <c r="WFI4765" s="34">
        <v>-4</v>
      </c>
      <c r="WFJ4765" s="34">
        <v>-3.5</v>
      </c>
      <c r="WFK4765" s="34">
        <v>-3</v>
      </c>
      <c r="WFL4765" s="34">
        <v>-2.5</v>
      </c>
      <c r="WFM4765" s="34">
        <v>-2</v>
      </c>
      <c r="WFN4765" s="34">
        <v>-1.5</v>
      </c>
      <c r="WFO4765" s="34">
        <v>-1</v>
      </c>
      <c r="WFP4765" s="34">
        <v>-0.5</v>
      </c>
      <c r="WFQ4765" s="34">
        <v>0</v>
      </c>
      <c r="WFR4765" s="34">
        <v>0.5</v>
      </c>
      <c r="WFS4765" s="34">
        <v>1</v>
      </c>
      <c r="WFT4765" s="34">
        <v>1.5</v>
      </c>
      <c r="WFU4765" s="34">
        <v>2</v>
      </c>
      <c r="WFV4765" s="34">
        <v>2.5</v>
      </c>
      <c r="WFW4765" s="34">
        <v>3</v>
      </c>
      <c r="WFX4765" s="34">
        <v>3.5</v>
      </c>
      <c r="WFY4765" s="34">
        <v>4</v>
      </c>
      <c r="WFZ4765" s="34">
        <v>4.5</v>
      </c>
      <c r="WGA4765" s="34">
        <v>5</v>
      </c>
      <c r="WGC4765" s="913"/>
      <c r="WGD4765" s="31">
        <v>1</v>
      </c>
      <c r="WGE4765" s="34">
        <v>0</v>
      </c>
      <c r="WGF4765" s="34">
        <v>-1</v>
      </c>
      <c r="WGG4765" s="34">
        <v>-2</v>
      </c>
      <c r="WGH4765" s="34">
        <v>-3</v>
      </c>
      <c r="WGI4765" s="34">
        <v>-4</v>
      </c>
      <c r="WGJ4765" s="34">
        <v>-5</v>
      </c>
      <c r="WGK4765" s="908"/>
      <c r="WGL4765" s="909"/>
      <c r="WGM4765" s="34">
        <v>-5</v>
      </c>
      <c r="WGN4765" s="34">
        <v>-4.5</v>
      </c>
      <c r="WGO4765" s="34">
        <v>-4</v>
      </c>
      <c r="WGP4765" s="34">
        <v>-3.5</v>
      </c>
      <c r="WGQ4765" s="34">
        <v>-3</v>
      </c>
      <c r="WGR4765" s="34">
        <v>-2.5</v>
      </c>
      <c r="WGS4765" s="34">
        <v>-2</v>
      </c>
      <c r="WGT4765" s="34">
        <v>-1.5</v>
      </c>
      <c r="WGU4765" s="34">
        <v>-1</v>
      </c>
      <c r="WGV4765" s="34">
        <v>-0.5</v>
      </c>
      <c r="WGW4765" s="34">
        <v>0</v>
      </c>
      <c r="WGX4765" s="34">
        <v>0.5</v>
      </c>
      <c r="WGY4765" s="34">
        <v>1</v>
      </c>
      <c r="WGZ4765" s="34">
        <v>1.5</v>
      </c>
      <c r="WHA4765" s="34">
        <v>2</v>
      </c>
      <c r="WHB4765" s="34">
        <v>2.5</v>
      </c>
      <c r="WHC4765" s="34">
        <v>3</v>
      </c>
      <c r="WHD4765" s="34">
        <v>3.5</v>
      </c>
      <c r="WHE4765" s="34">
        <v>4</v>
      </c>
      <c r="WHF4765" s="34">
        <v>4.5</v>
      </c>
      <c r="WHG4765" s="34">
        <v>5</v>
      </c>
      <c r="WHI4765" s="913"/>
      <c r="WHJ4765" s="31">
        <v>1</v>
      </c>
      <c r="WHK4765" s="34">
        <v>0</v>
      </c>
      <c r="WHL4765" s="34">
        <v>-1</v>
      </c>
      <c r="WHM4765" s="34">
        <v>-2</v>
      </c>
      <c r="WHN4765" s="34">
        <v>-3</v>
      </c>
      <c r="WHO4765" s="34">
        <v>-4</v>
      </c>
      <c r="WHP4765" s="34">
        <v>-5</v>
      </c>
      <c r="WHQ4765" s="908"/>
      <c r="WHR4765" s="909"/>
      <c r="WHS4765" s="34">
        <v>-5</v>
      </c>
      <c r="WHT4765" s="34">
        <v>-4.5</v>
      </c>
      <c r="WHU4765" s="34">
        <v>-4</v>
      </c>
      <c r="WHV4765" s="34">
        <v>-3.5</v>
      </c>
      <c r="WHW4765" s="34">
        <v>-3</v>
      </c>
      <c r="WHX4765" s="34">
        <v>-2.5</v>
      </c>
      <c r="WHY4765" s="34">
        <v>-2</v>
      </c>
      <c r="WHZ4765" s="34">
        <v>-1.5</v>
      </c>
      <c r="WIA4765" s="34">
        <v>-1</v>
      </c>
      <c r="WIB4765" s="34">
        <v>-0.5</v>
      </c>
      <c r="WIC4765" s="34">
        <v>0</v>
      </c>
      <c r="WID4765" s="34">
        <v>0.5</v>
      </c>
      <c r="WIE4765" s="34">
        <v>1</v>
      </c>
      <c r="WIF4765" s="34">
        <v>1.5</v>
      </c>
      <c r="WIG4765" s="34">
        <v>2</v>
      </c>
      <c r="WIH4765" s="34">
        <v>2.5</v>
      </c>
      <c r="WII4765" s="34">
        <v>3</v>
      </c>
      <c r="WIJ4765" s="34">
        <v>3.5</v>
      </c>
      <c r="WIK4765" s="34">
        <v>4</v>
      </c>
      <c r="WIL4765" s="34">
        <v>4.5</v>
      </c>
      <c r="WIM4765" s="34">
        <v>5</v>
      </c>
      <c r="WIO4765" s="913"/>
      <c r="WIP4765" s="31">
        <v>1</v>
      </c>
      <c r="WIQ4765" s="34">
        <v>0</v>
      </c>
      <c r="WIR4765" s="34">
        <v>-1</v>
      </c>
      <c r="WIS4765" s="34">
        <v>-2</v>
      </c>
      <c r="WIT4765" s="34">
        <v>-3</v>
      </c>
      <c r="WIU4765" s="34">
        <v>-4</v>
      </c>
      <c r="WIV4765" s="34">
        <v>-5</v>
      </c>
      <c r="WIW4765" s="908"/>
      <c r="WIX4765" s="909"/>
      <c r="WIY4765" s="34">
        <v>-5</v>
      </c>
      <c r="WIZ4765" s="34">
        <v>-4.5</v>
      </c>
      <c r="WJA4765" s="34">
        <v>-4</v>
      </c>
      <c r="WJB4765" s="34">
        <v>-3.5</v>
      </c>
      <c r="WJC4765" s="34">
        <v>-3</v>
      </c>
      <c r="WJD4765" s="34">
        <v>-2.5</v>
      </c>
      <c r="WJE4765" s="34">
        <v>-2</v>
      </c>
      <c r="WJF4765" s="34">
        <v>-1.5</v>
      </c>
      <c r="WJG4765" s="34">
        <v>-1</v>
      </c>
      <c r="WJH4765" s="34">
        <v>-0.5</v>
      </c>
      <c r="WJI4765" s="34">
        <v>0</v>
      </c>
      <c r="WJJ4765" s="34">
        <v>0.5</v>
      </c>
      <c r="WJK4765" s="34">
        <v>1</v>
      </c>
      <c r="WJL4765" s="34">
        <v>1.5</v>
      </c>
      <c r="WJM4765" s="34">
        <v>2</v>
      </c>
      <c r="WJN4765" s="34">
        <v>2.5</v>
      </c>
      <c r="WJO4765" s="34">
        <v>3</v>
      </c>
      <c r="WJP4765" s="34">
        <v>3.5</v>
      </c>
      <c r="WJQ4765" s="34">
        <v>4</v>
      </c>
      <c r="WJR4765" s="34">
        <v>4.5</v>
      </c>
      <c r="WJS4765" s="34">
        <v>5</v>
      </c>
      <c r="WJU4765" s="913"/>
      <c r="WJV4765" s="31">
        <v>1</v>
      </c>
      <c r="WJW4765" s="34">
        <v>0</v>
      </c>
      <c r="WJX4765" s="34">
        <v>-1</v>
      </c>
      <c r="WJY4765" s="34">
        <v>-2</v>
      </c>
      <c r="WJZ4765" s="34">
        <v>-3</v>
      </c>
      <c r="WKA4765" s="34">
        <v>-4</v>
      </c>
      <c r="WKB4765" s="34">
        <v>-5</v>
      </c>
      <c r="WKC4765" s="908"/>
      <c r="WKD4765" s="909"/>
      <c r="WKE4765" s="34">
        <v>-5</v>
      </c>
      <c r="WKF4765" s="34">
        <v>-4.5</v>
      </c>
      <c r="WKG4765" s="34">
        <v>-4</v>
      </c>
      <c r="WKH4765" s="34">
        <v>-3.5</v>
      </c>
      <c r="WKI4765" s="34">
        <v>-3</v>
      </c>
      <c r="WKJ4765" s="34">
        <v>-2.5</v>
      </c>
      <c r="WKK4765" s="34">
        <v>-2</v>
      </c>
      <c r="WKL4765" s="34">
        <v>-1.5</v>
      </c>
      <c r="WKM4765" s="34">
        <v>-1</v>
      </c>
      <c r="WKN4765" s="34">
        <v>-0.5</v>
      </c>
      <c r="WKO4765" s="34">
        <v>0</v>
      </c>
      <c r="WKP4765" s="34">
        <v>0.5</v>
      </c>
      <c r="WKQ4765" s="34">
        <v>1</v>
      </c>
      <c r="WKR4765" s="34">
        <v>1.5</v>
      </c>
      <c r="WKS4765" s="34">
        <v>2</v>
      </c>
      <c r="WKT4765" s="34">
        <v>2.5</v>
      </c>
      <c r="WKU4765" s="34">
        <v>3</v>
      </c>
      <c r="WKV4765" s="34">
        <v>3.5</v>
      </c>
      <c r="WKW4765" s="34">
        <v>4</v>
      </c>
      <c r="WKX4765" s="34">
        <v>4.5</v>
      </c>
      <c r="WKY4765" s="34">
        <v>5</v>
      </c>
      <c r="WLA4765" s="913"/>
      <c r="WLB4765" s="31">
        <v>1</v>
      </c>
      <c r="WLC4765" s="34">
        <v>0</v>
      </c>
      <c r="WLD4765" s="34">
        <v>-1</v>
      </c>
      <c r="WLE4765" s="34">
        <v>-2</v>
      </c>
      <c r="WLF4765" s="34">
        <v>-3</v>
      </c>
      <c r="WLG4765" s="34">
        <v>-4</v>
      </c>
      <c r="WLH4765" s="34">
        <v>-5</v>
      </c>
      <c r="WLI4765" s="908"/>
      <c r="WLJ4765" s="909"/>
      <c r="WLK4765" s="34">
        <v>-5</v>
      </c>
      <c r="WLL4765" s="34">
        <v>-4.5</v>
      </c>
      <c r="WLM4765" s="34">
        <v>-4</v>
      </c>
      <c r="WLN4765" s="34">
        <v>-3.5</v>
      </c>
      <c r="WLO4765" s="34">
        <v>-3</v>
      </c>
      <c r="WLP4765" s="34">
        <v>-2.5</v>
      </c>
      <c r="WLQ4765" s="34">
        <v>-2</v>
      </c>
      <c r="WLR4765" s="34">
        <v>-1.5</v>
      </c>
      <c r="WLS4765" s="34">
        <v>-1</v>
      </c>
      <c r="WLT4765" s="34">
        <v>-0.5</v>
      </c>
      <c r="WLU4765" s="34">
        <v>0</v>
      </c>
      <c r="WLV4765" s="34">
        <v>0.5</v>
      </c>
      <c r="WLW4765" s="34">
        <v>1</v>
      </c>
      <c r="WLX4765" s="34">
        <v>1.5</v>
      </c>
      <c r="WLY4765" s="34">
        <v>2</v>
      </c>
      <c r="WLZ4765" s="34">
        <v>2.5</v>
      </c>
      <c r="WMA4765" s="34">
        <v>3</v>
      </c>
      <c r="WMB4765" s="34">
        <v>3.5</v>
      </c>
      <c r="WMC4765" s="34">
        <v>4</v>
      </c>
      <c r="WMD4765" s="34">
        <v>4.5</v>
      </c>
      <c r="WME4765" s="34">
        <v>5</v>
      </c>
      <c r="WMG4765" s="913"/>
      <c r="WMH4765" s="31">
        <v>1</v>
      </c>
      <c r="WMI4765" s="34">
        <v>0</v>
      </c>
      <c r="WMJ4765" s="34">
        <v>-1</v>
      </c>
      <c r="WMK4765" s="34">
        <v>-2</v>
      </c>
      <c r="WML4765" s="34">
        <v>-3</v>
      </c>
      <c r="WMM4765" s="34">
        <v>-4</v>
      </c>
      <c r="WMN4765" s="34">
        <v>-5</v>
      </c>
      <c r="WMO4765" s="908"/>
      <c r="WMP4765" s="909"/>
      <c r="WMQ4765" s="34">
        <v>-5</v>
      </c>
      <c r="WMR4765" s="34">
        <v>-4.5</v>
      </c>
      <c r="WMS4765" s="34">
        <v>-4</v>
      </c>
      <c r="WMT4765" s="34">
        <v>-3.5</v>
      </c>
      <c r="WMU4765" s="34">
        <v>-3</v>
      </c>
      <c r="WMV4765" s="34">
        <v>-2.5</v>
      </c>
      <c r="WMW4765" s="34">
        <v>-2</v>
      </c>
      <c r="WMX4765" s="34">
        <v>-1.5</v>
      </c>
      <c r="WMY4765" s="34">
        <v>-1</v>
      </c>
      <c r="WMZ4765" s="34">
        <v>-0.5</v>
      </c>
      <c r="WNA4765" s="34">
        <v>0</v>
      </c>
      <c r="WNB4765" s="34">
        <v>0.5</v>
      </c>
      <c r="WNC4765" s="34">
        <v>1</v>
      </c>
      <c r="WND4765" s="34">
        <v>1.5</v>
      </c>
      <c r="WNE4765" s="34">
        <v>2</v>
      </c>
      <c r="WNF4765" s="34">
        <v>2.5</v>
      </c>
      <c r="WNG4765" s="34">
        <v>3</v>
      </c>
      <c r="WNH4765" s="34">
        <v>3.5</v>
      </c>
      <c r="WNI4765" s="34">
        <v>4</v>
      </c>
      <c r="WNJ4765" s="34">
        <v>4.5</v>
      </c>
      <c r="WNK4765" s="34">
        <v>5</v>
      </c>
      <c r="WNM4765" s="913"/>
      <c r="WNN4765" s="31">
        <v>1</v>
      </c>
      <c r="WNO4765" s="34">
        <v>0</v>
      </c>
      <c r="WNP4765" s="34">
        <v>-1</v>
      </c>
      <c r="WNQ4765" s="34">
        <v>-2</v>
      </c>
      <c r="WNR4765" s="34">
        <v>-3</v>
      </c>
      <c r="WNS4765" s="34">
        <v>-4</v>
      </c>
      <c r="WNT4765" s="34">
        <v>-5</v>
      </c>
      <c r="WNU4765" s="908"/>
      <c r="WNV4765" s="909"/>
      <c r="WNW4765" s="34">
        <v>-5</v>
      </c>
      <c r="WNX4765" s="34">
        <v>-4.5</v>
      </c>
      <c r="WNY4765" s="34">
        <v>-4</v>
      </c>
      <c r="WNZ4765" s="34">
        <v>-3.5</v>
      </c>
      <c r="WOA4765" s="34">
        <v>-3</v>
      </c>
      <c r="WOB4765" s="34">
        <v>-2.5</v>
      </c>
      <c r="WOC4765" s="34">
        <v>-2</v>
      </c>
      <c r="WOD4765" s="34">
        <v>-1.5</v>
      </c>
      <c r="WOE4765" s="34">
        <v>-1</v>
      </c>
      <c r="WOF4765" s="34">
        <v>-0.5</v>
      </c>
      <c r="WOG4765" s="34">
        <v>0</v>
      </c>
      <c r="WOH4765" s="34">
        <v>0.5</v>
      </c>
      <c r="WOI4765" s="34">
        <v>1</v>
      </c>
      <c r="WOJ4765" s="34">
        <v>1.5</v>
      </c>
      <c r="WOK4765" s="34">
        <v>2</v>
      </c>
      <c r="WOL4765" s="34">
        <v>2.5</v>
      </c>
      <c r="WOM4765" s="34">
        <v>3</v>
      </c>
      <c r="WON4765" s="34">
        <v>3.5</v>
      </c>
      <c r="WOO4765" s="34">
        <v>4</v>
      </c>
      <c r="WOP4765" s="34">
        <v>4.5</v>
      </c>
      <c r="WOQ4765" s="34">
        <v>5</v>
      </c>
      <c r="WOS4765" s="913"/>
      <c r="WOT4765" s="31">
        <v>1</v>
      </c>
      <c r="WOU4765" s="34">
        <v>0</v>
      </c>
      <c r="WOV4765" s="34">
        <v>-1</v>
      </c>
      <c r="WOW4765" s="34">
        <v>-2</v>
      </c>
      <c r="WOX4765" s="34">
        <v>-3</v>
      </c>
      <c r="WOY4765" s="34">
        <v>-4</v>
      </c>
      <c r="WOZ4765" s="34">
        <v>-5</v>
      </c>
      <c r="WPA4765" s="908"/>
      <c r="WPB4765" s="909"/>
      <c r="WPC4765" s="34">
        <v>-5</v>
      </c>
      <c r="WPD4765" s="34">
        <v>-4.5</v>
      </c>
      <c r="WPE4765" s="34">
        <v>-4</v>
      </c>
      <c r="WPF4765" s="34">
        <v>-3.5</v>
      </c>
      <c r="WPG4765" s="34">
        <v>-3</v>
      </c>
      <c r="WPH4765" s="34">
        <v>-2.5</v>
      </c>
      <c r="WPI4765" s="34">
        <v>-2</v>
      </c>
      <c r="WPJ4765" s="34">
        <v>-1.5</v>
      </c>
      <c r="WPK4765" s="34">
        <v>-1</v>
      </c>
      <c r="WPL4765" s="34">
        <v>-0.5</v>
      </c>
      <c r="WPM4765" s="34">
        <v>0</v>
      </c>
      <c r="WPN4765" s="34">
        <v>0.5</v>
      </c>
      <c r="WPO4765" s="34">
        <v>1</v>
      </c>
      <c r="WPP4765" s="34">
        <v>1.5</v>
      </c>
      <c r="WPQ4765" s="34">
        <v>2</v>
      </c>
      <c r="WPR4765" s="34">
        <v>2.5</v>
      </c>
      <c r="WPS4765" s="34">
        <v>3</v>
      </c>
      <c r="WPT4765" s="34">
        <v>3.5</v>
      </c>
      <c r="WPU4765" s="34">
        <v>4</v>
      </c>
      <c r="WPV4765" s="34">
        <v>4.5</v>
      </c>
      <c r="WPW4765" s="34">
        <v>5</v>
      </c>
      <c r="WPY4765" s="913"/>
      <c r="WPZ4765" s="31">
        <v>1</v>
      </c>
      <c r="WQA4765" s="34">
        <v>0</v>
      </c>
      <c r="WQB4765" s="34">
        <v>-1</v>
      </c>
      <c r="WQC4765" s="34">
        <v>-2</v>
      </c>
      <c r="WQD4765" s="34">
        <v>-3</v>
      </c>
      <c r="WQE4765" s="34">
        <v>-4</v>
      </c>
      <c r="WQF4765" s="34">
        <v>-5</v>
      </c>
      <c r="WQG4765" s="908"/>
      <c r="WQH4765" s="909"/>
      <c r="WQI4765" s="34">
        <v>-5</v>
      </c>
      <c r="WQJ4765" s="34">
        <v>-4.5</v>
      </c>
      <c r="WQK4765" s="34">
        <v>-4</v>
      </c>
      <c r="WQL4765" s="34">
        <v>-3.5</v>
      </c>
      <c r="WQM4765" s="34">
        <v>-3</v>
      </c>
      <c r="WQN4765" s="34">
        <v>-2.5</v>
      </c>
      <c r="WQO4765" s="34">
        <v>-2</v>
      </c>
      <c r="WQP4765" s="34">
        <v>-1.5</v>
      </c>
      <c r="WQQ4765" s="34">
        <v>-1</v>
      </c>
      <c r="WQR4765" s="34">
        <v>-0.5</v>
      </c>
      <c r="WQS4765" s="34">
        <v>0</v>
      </c>
      <c r="WQT4765" s="34">
        <v>0.5</v>
      </c>
      <c r="WQU4765" s="34">
        <v>1</v>
      </c>
      <c r="WQV4765" s="34">
        <v>1.5</v>
      </c>
      <c r="WQW4765" s="34">
        <v>2</v>
      </c>
      <c r="WQX4765" s="34">
        <v>2.5</v>
      </c>
      <c r="WQY4765" s="34">
        <v>3</v>
      </c>
      <c r="WQZ4765" s="34">
        <v>3.5</v>
      </c>
      <c r="WRA4765" s="34">
        <v>4</v>
      </c>
      <c r="WRB4765" s="34">
        <v>4.5</v>
      </c>
      <c r="WRC4765" s="34">
        <v>5</v>
      </c>
      <c r="WRE4765" s="913"/>
      <c r="WRF4765" s="31">
        <v>1</v>
      </c>
      <c r="WRG4765" s="34">
        <v>0</v>
      </c>
      <c r="WRH4765" s="34">
        <v>-1</v>
      </c>
      <c r="WRI4765" s="34">
        <v>-2</v>
      </c>
      <c r="WRJ4765" s="34">
        <v>-3</v>
      </c>
      <c r="WRK4765" s="34">
        <v>-4</v>
      </c>
      <c r="WRL4765" s="34">
        <v>-5</v>
      </c>
      <c r="WRM4765" s="908"/>
      <c r="WRN4765" s="909"/>
      <c r="WRO4765" s="34">
        <v>-5</v>
      </c>
      <c r="WRP4765" s="34">
        <v>-4.5</v>
      </c>
      <c r="WRQ4765" s="34">
        <v>-4</v>
      </c>
      <c r="WRR4765" s="34">
        <v>-3.5</v>
      </c>
      <c r="WRS4765" s="34">
        <v>-3</v>
      </c>
      <c r="WRT4765" s="34">
        <v>-2.5</v>
      </c>
      <c r="WRU4765" s="34">
        <v>-2</v>
      </c>
      <c r="WRV4765" s="34">
        <v>-1.5</v>
      </c>
      <c r="WRW4765" s="34">
        <v>-1</v>
      </c>
      <c r="WRX4765" s="34">
        <v>-0.5</v>
      </c>
      <c r="WRY4765" s="34">
        <v>0</v>
      </c>
      <c r="WRZ4765" s="34">
        <v>0.5</v>
      </c>
      <c r="WSA4765" s="34">
        <v>1</v>
      </c>
      <c r="WSB4765" s="34">
        <v>1.5</v>
      </c>
      <c r="WSC4765" s="34">
        <v>2</v>
      </c>
      <c r="WSD4765" s="34">
        <v>2.5</v>
      </c>
      <c r="WSE4765" s="34">
        <v>3</v>
      </c>
      <c r="WSF4765" s="34">
        <v>3.5</v>
      </c>
      <c r="WSG4765" s="34">
        <v>4</v>
      </c>
      <c r="WSH4765" s="34">
        <v>4.5</v>
      </c>
      <c r="WSI4765" s="34">
        <v>5</v>
      </c>
      <c r="WSK4765" s="913"/>
      <c r="WSL4765" s="31">
        <v>1</v>
      </c>
      <c r="WSM4765" s="34">
        <v>0</v>
      </c>
      <c r="WSN4765" s="34">
        <v>-1</v>
      </c>
      <c r="WSO4765" s="34">
        <v>-2</v>
      </c>
      <c r="WSP4765" s="34">
        <v>-3</v>
      </c>
      <c r="WSQ4765" s="34">
        <v>-4</v>
      </c>
      <c r="WSR4765" s="34">
        <v>-5</v>
      </c>
      <c r="WSS4765" s="908"/>
      <c r="WST4765" s="909"/>
      <c r="WSU4765" s="34">
        <v>-5</v>
      </c>
      <c r="WSV4765" s="34">
        <v>-4.5</v>
      </c>
      <c r="WSW4765" s="34">
        <v>-4</v>
      </c>
      <c r="WSX4765" s="34">
        <v>-3.5</v>
      </c>
      <c r="WSY4765" s="34">
        <v>-3</v>
      </c>
      <c r="WSZ4765" s="34">
        <v>-2.5</v>
      </c>
      <c r="WTA4765" s="34">
        <v>-2</v>
      </c>
      <c r="WTB4765" s="34">
        <v>-1.5</v>
      </c>
      <c r="WTC4765" s="34">
        <v>-1</v>
      </c>
      <c r="WTD4765" s="34">
        <v>-0.5</v>
      </c>
      <c r="WTE4765" s="34">
        <v>0</v>
      </c>
      <c r="WTF4765" s="34">
        <v>0.5</v>
      </c>
      <c r="WTG4765" s="34">
        <v>1</v>
      </c>
      <c r="WTH4765" s="34">
        <v>1.5</v>
      </c>
      <c r="WTI4765" s="34">
        <v>2</v>
      </c>
      <c r="WTJ4765" s="34">
        <v>2.5</v>
      </c>
      <c r="WTK4765" s="34">
        <v>3</v>
      </c>
      <c r="WTL4765" s="34">
        <v>3.5</v>
      </c>
      <c r="WTM4765" s="34">
        <v>4</v>
      </c>
      <c r="WTN4765" s="34">
        <v>4.5</v>
      </c>
      <c r="WTO4765" s="34">
        <v>5</v>
      </c>
      <c r="WTQ4765" s="913"/>
      <c r="WTR4765" s="31">
        <v>1</v>
      </c>
      <c r="WTS4765" s="34">
        <v>0</v>
      </c>
      <c r="WTT4765" s="34">
        <v>-1</v>
      </c>
      <c r="WTU4765" s="34">
        <v>-2</v>
      </c>
      <c r="WTV4765" s="34">
        <v>-3</v>
      </c>
      <c r="WTW4765" s="34">
        <v>-4</v>
      </c>
      <c r="WTX4765" s="34">
        <v>-5</v>
      </c>
      <c r="WTY4765" s="908"/>
      <c r="WTZ4765" s="909"/>
      <c r="WUA4765" s="34">
        <v>-5</v>
      </c>
      <c r="WUB4765" s="34">
        <v>-4.5</v>
      </c>
      <c r="WUC4765" s="34">
        <v>-4</v>
      </c>
      <c r="WUD4765" s="34">
        <v>-3.5</v>
      </c>
      <c r="WUE4765" s="34">
        <v>-3</v>
      </c>
      <c r="WUF4765" s="34">
        <v>-2.5</v>
      </c>
      <c r="WUG4765" s="34">
        <v>-2</v>
      </c>
      <c r="WUH4765" s="34">
        <v>-1.5</v>
      </c>
      <c r="WUI4765" s="34">
        <v>-1</v>
      </c>
      <c r="WUJ4765" s="34">
        <v>-0.5</v>
      </c>
      <c r="WUK4765" s="34">
        <v>0</v>
      </c>
      <c r="WUL4765" s="34">
        <v>0.5</v>
      </c>
      <c r="WUM4765" s="34">
        <v>1</v>
      </c>
      <c r="WUN4765" s="34">
        <v>1.5</v>
      </c>
      <c r="WUO4765" s="34">
        <v>2</v>
      </c>
      <c r="WUP4765" s="34">
        <v>2.5</v>
      </c>
      <c r="WUQ4765" s="34">
        <v>3</v>
      </c>
      <c r="WUR4765" s="34">
        <v>3.5</v>
      </c>
      <c r="WUS4765" s="34">
        <v>4</v>
      </c>
      <c r="WUT4765" s="34">
        <v>4.5</v>
      </c>
      <c r="WUU4765" s="34">
        <v>5</v>
      </c>
      <c r="WUW4765" s="913"/>
      <c r="WUX4765" s="31">
        <v>1</v>
      </c>
      <c r="WUY4765" s="34">
        <v>0</v>
      </c>
      <c r="WUZ4765" s="34">
        <v>-1</v>
      </c>
      <c r="WVA4765" s="34">
        <v>-2</v>
      </c>
      <c r="WVB4765" s="34">
        <v>-3</v>
      </c>
      <c r="WVC4765" s="34">
        <v>-4</v>
      </c>
      <c r="WVD4765" s="34">
        <v>-5</v>
      </c>
      <c r="WVE4765" s="908"/>
      <c r="WVF4765" s="909"/>
      <c r="WVG4765" s="34">
        <v>-5</v>
      </c>
      <c r="WVH4765" s="34">
        <v>-4.5</v>
      </c>
      <c r="WVI4765" s="34">
        <v>-4</v>
      </c>
      <c r="WVJ4765" s="34">
        <v>-3.5</v>
      </c>
      <c r="WVK4765" s="34">
        <v>-3</v>
      </c>
      <c r="WVL4765" s="34">
        <v>-2.5</v>
      </c>
      <c r="WVM4765" s="34">
        <v>-2</v>
      </c>
      <c r="WVN4765" s="34">
        <v>-1.5</v>
      </c>
      <c r="WVO4765" s="34">
        <v>-1</v>
      </c>
      <c r="WVP4765" s="34">
        <v>-0.5</v>
      </c>
      <c r="WVQ4765" s="34">
        <v>0</v>
      </c>
      <c r="WVR4765" s="34">
        <v>0.5</v>
      </c>
      <c r="WVS4765" s="34">
        <v>1</v>
      </c>
      <c r="WVT4765" s="34">
        <v>1.5</v>
      </c>
      <c r="WVU4765" s="34">
        <v>2</v>
      </c>
      <c r="WVV4765" s="34">
        <v>2.5</v>
      </c>
      <c r="WVW4765" s="34">
        <v>3</v>
      </c>
      <c r="WVX4765" s="34">
        <v>3.5</v>
      </c>
      <c r="WVY4765" s="34">
        <v>4</v>
      </c>
      <c r="WVZ4765" s="34">
        <v>4.5</v>
      </c>
      <c r="WWA4765" s="34">
        <v>5</v>
      </c>
      <c r="WWC4765" s="913"/>
      <c r="WWD4765" s="31">
        <v>1</v>
      </c>
      <c r="WWE4765" s="34">
        <v>0</v>
      </c>
      <c r="WWF4765" s="34">
        <v>-1</v>
      </c>
      <c r="WWG4765" s="34">
        <v>-2</v>
      </c>
      <c r="WWH4765" s="34">
        <v>-3</v>
      </c>
      <c r="WWI4765" s="34">
        <v>-4</v>
      </c>
      <c r="WWJ4765" s="34">
        <v>-5</v>
      </c>
      <c r="WWK4765" s="908"/>
      <c r="WWL4765" s="909"/>
      <c r="WWM4765" s="34">
        <v>-5</v>
      </c>
      <c r="WWN4765" s="34">
        <v>-4.5</v>
      </c>
      <c r="WWO4765" s="34">
        <v>-4</v>
      </c>
      <c r="WWP4765" s="34">
        <v>-3.5</v>
      </c>
      <c r="WWQ4765" s="34">
        <v>-3</v>
      </c>
      <c r="WWR4765" s="34">
        <v>-2.5</v>
      </c>
      <c r="WWS4765" s="34">
        <v>-2</v>
      </c>
      <c r="WWT4765" s="34">
        <v>-1.5</v>
      </c>
      <c r="WWU4765" s="34">
        <v>-1</v>
      </c>
      <c r="WWV4765" s="34">
        <v>-0.5</v>
      </c>
      <c r="WWW4765" s="34">
        <v>0</v>
      </c>
      <c r="WWX4765" s="34">
        <v>0.5</v>
      </c>
      <c r="WWY4765" s="34">
        <v>1</v>
      </c>
      <c r="WWZ4765" s="34">
        <v>1.5</v>
      </c>
      <c r="WXA4765" s="34">
        <v>2</v>
      </c>
      <c r="WXB4765" s="34">
        <v>2.5</v>
      </c>
      <c r="WXC4765" s="34">
        <v>3</v>
      </c>
      <c r="WXD4765" s="34">
        <v>3.5</v>
      </c>
      <c r="WXE4765" s="34">
        <v>4</v>
      </c>
      <c r="WXF4765" s="34">
        <v>4.5</v>
      </c>
      <c r="WXG4765" s="34">
        <v>5</v>
      </c>
      <c r="WXI4765" s="913"/>
      <c r="WXJ4765" s="31">
        <v>1</v>
      </c>
      <c r="WXK4765" s="34">
        <v>0</v>
      </c>
      <c r="WXL4765" s="34">
        <v>-1</v>
      </c>
      <c r="WXM4765" s="34">
        <v>-2</v>
      </c>
      <c r="WXN4765" s="34">
        <v>-3</v>
      </c>
      <c r="WXO4765" s="34">
        <v>-4</v>
      </c>
      <c r="WXP4765" s="34">
        <v>-5</v>
      </c>
      <c r="WXQ4765" s="908"/>
      <c r="WXR4765" s="909"/>
      <c r="WXS4765" s="34">
        <v>-5</v>
      </c>
      <c r="WXT4765" s="34">
        <v>-4.5</v>
      </c>
      <c r="WXU4765" s="34">
        <v>-4</v>
      </c>
      <c r="WXV4765" s="34">
        <v>-3.5</v>
      </c>
      <c r="WXW4765" s="34">
        <v>-3</v>
      </c>
      <c r="WXX4765" s="34">
        <v>-2.5</v>
      </c>
      <c r="WXY4765" s="34">
        <v>-2</v>
      </c>
      <c r="WXZ4765" s="34">
        <v>-1.5</v>
      </c>
      <c r="WYA4765" s="34">
        <v>-1</v>
      </c>
      <c r="WYB4765" s="34">
        <v>-0.5</v>
      </c>
      <c r="WYC4765" s="34">
        <v>0</v>
      </c>
      <c r="WYD4765" s="34">
        <v>0.5</v>
      </c>
      <c r="WYE4765" s="34">
        <v>1</v>
      </c>
      <c r="WYF4765" s="34">
        <v>1.5</v>
      </c>
      <c r="WYG4765" s="34">
        <v>2</v>
      </c>
      <c r="WYH4765" s="34">
        <v>2.5</v>
      </c>
      <c r="WYI4765" s="34">
        <v>3</v>
      </c>
      <c r="WYJ4765" s="34">
        <v>3.5</v>
      </c>
      <c r="WYK4765" s="34">
        <v>4</v>
      </c>
      <c r="WYL4765" s="34">
        <v>4.5</v>
      </c>
      <c r="WYM4765" s="34">
        <v>5</v>
      </c>
      <c r="WYO4765" s="913"/>
      <c r="WYP4765" s="31">
        <v>1</v>
      </c>
      <c r="WYQ4765" s="34">
        <v>0</v>
      </c>
      <c r="WYR4765" s="34">
        <v>-1</v>
      </c>
      <c r="WYS4765" s="34">
        <v>-2</v>
      </c>
      <c r="WYT4765" s="34">
        <v>-3</v>
      </c>
      <c r="WYU4765" s="34">
        <v>-4</v>
      </c>
      <c r="WYV4765" s="34">
        <v>-5</v>
      </c>
      <c r="WYW4765" s="908"/>
      <c r="WYX4765" s="909"/>
      <c r="WYY4765" s="34">
        <v>-5</v>
      </c>
      <c r="WYZ4765" s="34">
        <v>-4.5</v>
      </c>
      <c r="WZA4765" s="34">
        <v>-4</v>
      </c>
      <c r="WZB4765" s="34">
        <v>-3.5</v>
      </c>
      <c r="WZC4765" s="34">
        <v>-3</v>
      </c>
      <c r="WZD4765" s="34">
        <v>-2.5</v>
      </c>
      <c r="WZE4765" s="34">
        <v>-2</v>
      </c>
      <c r="WZF4765" s="34">
        <v>-1.5</v>
      </c>
      <c r="WZG4765" s="34">
        <v>-1</v>
      </c>
      <c r="WZH4765" s="34">
        <v>-0.5</v>
      </c>
      <c r="WZI4765" s="34">
        <v>0</v>
      </c>
      <c r="WZJ4765" s="34">
        <v>0.5</v>
      </c>
      <c r="WZK4765" s="34">
        <v>1</v>
      </c>
      <c r="WZL4765" s="34">
        <v>1.5</v>
      </c>
      <c r="WZM4765" s="34">
        <v>2</v>
      </c>
      <c r="WZN4765" s="34">
        <v>2.5</v>
      </c>
      <c r="WZO4765" s="34">
        <v>3</v>
      </c>
      <c r="WZP4765" s="34">
        <v>3.5</v>
      </c>
      <c r="WZQ4765" s="34">
        <v>4</v>
      </c>
      <c r="WZR4765" s="34">
        <v>4.5</v>
      </c>
      <c r="WZS4765" s="34">
        <v>5</v>
      </c>
      <c r="WZU4765" s="913"/>
      <c r="WZV4765" s="31">
        <v>1</v>
      </c>
      <c r="WZW4765" s="34">
        <v>0</v>
      </c>
      <c r="WZX4765" s="34">
        <v>-1</v>
      </c>
      <c r="WZY4765" s="34">
        <v>-2</v>
      </c>
      <c r="WZZ4765" s="34">
        <v>-3</v>
      </c>
      <c r="XAA4765" s="34">
        <v>-4</v>
      </c>
      <c r="XAB4765" s="34">
        <v>-5</v>
      </c>
      <c r="XAC4765" s="908"/>
      <c r="XAD4765" s="909"/>
      <c r="XAE4765" s="34">
        <v>-5</v>
      </c>
      <c r="XAF4765" s="34">
        <v>-4.5</v>
      </c>
      <c r="XAG4765" s="34">
        <v>-4</v>
      </c>
      <c r="XAH4765" s="34">
        <v>-3.5</v>
      </c>
      <c r="XAI4765" s="34">
        <v>-3</v>
      </c>
      <c r="XAJ4765" s="34">
        <v>-2.5</v>
      </c>
      <c r="XAK4765" s="34">
        <v>-2</v>
      </c>
      <c r="XAL4765" s="34">
        <v>-1.5</v>
      </c>
      <c r="XAM4765" s="34">
        <v>-1</v>
      </c>
      <c r="XAN4765" s="34">
        <v>-0.5</v>
      </c>
      <c r="XAO4765" s="34">
        <v>0</v>
      </c>
      <c r="XAP4765" s="34">
        <v>0.5</v>
      </c>
      <c r="XAQ4765" s="34">
        <v>1</v>
      </c>
      <c r="XAR4765" s="34">
        <v>1.5</v>
      </c>
      <c r="XAS4765" s="34">
        <v>2</v>
      </c>
      <c r="XAT4765" s="34">
        <v>2.5</v>
      </c>
      <c r="XAU4765" s="34">
        <v>3</v>
      </c>
      <c r="XAV4765" s="34">
        <v>3.5</v>
      </c>
      <c r="XAW4765" s="34">
        <v>4</v>
      </c>
      <c r="XAX4765" s="34">
        <v>4.5</v>
      </c>
      <c r="XAY4765" s="34">
        <v>5</v>
      </c>
      <c r="XBA4765" s="913"/>
      <c r="XBB4765" s="31">
        <v>1</v>
      </c>
      <c r="XBC4765" s="34">
        <v>0</v>
      </c>
      <c r="XBD4765" s="34">
        <v>-1</v>
      </c>
      <c r="XBE4765" s="34">
        <v>-2</v>
      </c>
      <c r="XBF4765" s="34">
        <v>-3</v>
      </c>
      <c r="XBG4765" s="34">
        <v>-4</v>
      </c>
      <c r="XBH4765" s="34">
        <v>-5</v>
      </c>
      <c r="XBI4765" s="908"/>
      <c r="XBJ4765" s="909"/>
      <c r="XBK4765" s="34">
        <v>-5</v>
      </c>
      <c r="XBL4765" s="34">
        <v>-4.5</v>
      </c>
      <c r="XBM4765" s="34">
        <v>-4</v>
      </c>
      <c r="XBN4765" s="34">
        <v>-3.5</v>
      </c>
      <c r="XBO4765" s="34">
        <v>-3</v>
      </c>
      <c r="XBP4765" s="34">
        <v>-2.5</v>
      </c>
      <c r="XBQ4765" s="34">
        <v>-2</v>
      </c>
      <c r="XBR4765" s="34">
        <v>-1.5</v>
      </c>
      <c r="XBS4765" s="34">
        <v>-1</v>
      </c>
      <c r="XBT4765" s="34">
        <v>-0.5</v>
      </c>
      <c r="XBU4765" s="34">
        <v>0</v>
      </c>
      <c r="XBV4765" s="34">
        <v>0.5</v>
      </c>
      <c r="XBW4765" s="34">
        <v>1</v>
      </c>
      <c r="XBX4765" s="34">
        <v>1.5</v>
      </c>
      <c r="XBY4765" s="34">
        <v>2</v>
      </c>
      <c r="XBZ4765" s="34">
        <v>2.5</v>
      </c>
      <c r="XCA4765" s="34">
        <v>3</v>
      </c>
      <c r="XCB4765" s="34">
        <v>3.5</v>
      </c>
      <c r="XCC4765" s="34">
        <v>4</v>
      </c>
      <c r="XCD4765" s="34">
        <v>4.5</v>
      </c>
      <c r="XCE4765" s="34">
        <v>5</v>
      </c>
      <c r="XCG4765" s="913"/>
      <c r="XCH4765" s="31">
        <v>1</v>
      </c>
      <c r="XCI4765" s="34">
        <v>0</v>
      </c>
      <c r="XCJ4765" s="34">
        <v>-1</v>
      </c>
      <c r="XCK4765" s="34">
        <v>-2</v>
      </c>
      <c r="XCL4765" s="34">
        <v>-3</v>
      </c>
      <c r="XCM4765" s="34">
        <v>-4</v>
      </c>
      <c r="XCN4765" s="34">
        <v>-5</v>
      </c>
      <c r="XCO4765" s="908"/>
      <c r="XCP4765" s="909"/>
      <c r="XCQ4765" s="34">
        <v>-5</v>
      </c>
      <c r="XCR4765" s="34">
        <v>-4.5</v>
      </c>
      <c r="XCS4765" s="34">
        <v>-4</v>
      </c>
      <c r="XCT4765" s="34">
        <v>-3.5</v>
      </c>
      <c r="XCU4765" s="34">
        <v>-3</v>
      </c>
      <c r="XCV4765" s="34">
        <v>-2.5</v>
      </c>
      <c r="XCW4765" s="34">
        <v>-2</v>
      </c>
      <c r="XCX4765" s="34">
        <v>-1.5</v>
      </c>
      <c r="XCY4765" s="34">
        <v>-1</v>
      </c>
      <c r="XCZ4765" s="34">
        <v>-0.5</v>
      </c>
      <c r="XDA4765" s="34">
        <v>0</v>
      </c>
      <c r="XDB4765" s="34">
        <v>0.5</v>
      </c>
      <c r="XDC4765" s="34">
        <v>1</v>
      </c>
      <c r="XDD4765" s="34">
        <v>1.5</v>
      </c>
      <c r="XDE4765" s="34">
        <v>2</v>
      </c>
      <c r="XDF4765" s="34">
        <v>2.5</v>
      </c>
      <c r="XDG4765" s="34">
        <v>3</v>
      </c>
      <c r="XDH4765" s="34">
        <v>3.5</v>
      </c>
      <c r="XDI4765" s="34">
        <v>4</v>
      </c>
      <c r="XDJ4765" s="34">
        <v>4.5</v>
      </c>
      <c r="XDK4765" s="34">
        <v>5</v>
      </c>
      <c r="XDM4765" s="913"/>
      <c r="XDN4765" s="31">
        <v>1</v>
      </c>
      <c r="XDO4765" s="34">
        <v>0</v>
      </c>
      <c r="XDP4765" s="34">
        <v>-1</v>
      </c>
      <c r="XDQ4765" s="34">
        <v>-2</v>
      </c>
      <c r="XDR4765" s="34">
        <v>-3</v>
      </c>
      <c r="XDS4765" s="34">
        <v>-4</v>
      </c>
      <c r="XDT4765" s="34">
        <v>-5</v>
      </c>
      <c r="XDU4765" s="908"/>
      <c r="XDV4765" s="909"/>
      <c r="XDW4765" s="34">
        <v>-5</v>
      </c>
      <c r="XDX4765" s="34">
        <v>-4.5</v>
      </c>
      <c r="XDY4765" s="34">
        <v>-4</v>
      </c>
      <c r="XDZ4765" s="34">
        <v>-3.5</v>
      </c>
      <c r="XEA4765" s="34">
        <v>-3</v>
      </c>
      <c r="XEB4765" s="34">
        <v>-2.5</v>
      </c>
      <c r="XEC4765" s="34">
        <v>-2</v>
      </c>
      <c r="XED4765" s="34">
        <v>-1.5</v>
      </c>
      <c r="XEE4765" s="34">
        <v>-1</v>
      </c>
      <c r="XEF4765" s="34">
        <v>-0.5</v>
      </c>
      <c r="XEG4765" s="34">
        <v>0</v>
      </c>
      <c r="XEH4765" s="34">
        <v>0.5</v>
      </c>
      <c r="XEI4765" s="34">
        <v>1</v>
      </c>
      <c r="XEJ4765" s="34">
        <v>1.5</v>
      </c>
      <c r="XEK4765" s="34">
        <v>2</v>
      </c>
      <c r="XEL4765" s="34">
        <v>2.5</v>
      </c>
      <c r="XEM4765" s="34">
        <v>3</v>
      </c>
      <c r="XEN4765" s="34">
        <v>3.5</v>
      </c>
      <c r="XEO4765" s="34">
        <v>4</v>
      </c>
      <c r="XEP4765" s="34">
        <v>4.5</v>
      </c>
      <c r="XEQ4765" s="34">
        <v>5</v>
      </c>
    </row>
    <row r="4766" spans="2:16372" hidden="1">
      <c r="B4766" s="19"/>
      <c r="C4766" s="19"/>
      <c r="D4766" s="19"/>
      <c r="E4766" s="19"/>
      <c r="F4766" s="19"/>
      <c r="G4766" s="19"/>
      <c r="H4766" s="19"/>
      <c r="I4766" s="19"/>
      <c r="J4766" s="19"/>
      <c r="K4766" s="421"/>
      <c r="L4766" s="23"/>
      <c r="M4766" s="19"/>
      <c r="N4766" s="19"/>
      <c r="O4766" s="19"/>
      <c r="P4766" s="19"/>
      <c r="Q4766" s="19"/>
    </row>
    <row r="4767" spans="2:16372" hidden="1">
      <c r="B4767" s="19"/>
      <c r="C4767" s="19"/>
      <c r="D4767" s="19"/>
      <c r="E4767" s="19"/>
      <c r="F4767" s="19"/>
      <c r="G4767" s="19"/>
      <c r="H4767" s="19"/>
      <c r="I4767" s="19"/>
      <c r="J4767" s="19"/>
      <c r="K4767" s="421"/>
      <c r="L4767" s="23"/>
      <c r="M4767" s="19"/>
      <c r="N4767" s="19"/>
      <c r="O4767" s="19"/>
      <c r="P4767" s="19"/>
      <c r="Q4767" s="19"/>
    </row>
    <row r="4768" spans="2:16372" hidden="1">
      <c r="B4768" s="19"/>
      <c r="C4768" s="19"/>
      <c r="D4768" s="19"/>
      <c r="E4768" s="19"/>
      <c r="F4768" s="19"/>
      <c r="G4768" s="19"/>
      <c r="H4768" s="19"/>
      <c r="I4768" s="19"/>
      <c r="J4768" s="19"/>
      <c r="K4768" s="421"/>
      <c r="L4768" s="23"/>
      <c r="M4768" s="19"/>
      <c r="N4768" s="19"/>
      <c r="O4768" s="19"/>
      <c r="P4768" s="19"/>
      <c r="Q4768" s="19"/>
    </row>
    <row r="4769" spans="2:17" hidden="1">
      <c r="B4769" s="19"/>
      <c r="C4769" s="19"/>
      <c r="D4769" s="19"/>
      <c r="E4769" s="19"/>
      <c r="F4769" s="19"/>
      <c r="G4769" s="19"/>
      <c r="H4769" s="19"/>
      <c r="I4769" s="19"/>
      <c r="J4769" s="19"/>
      <c r="K4769" s="421"/>
      <c r="L4769" s="23"/>
      <c r="M4769" s="19"/>
      <c r="N4769" s="19"/>
      <c r="O4769" s="19"/>
      <c r="P4769" s="19"/>
      <c r="Q4769" s="19"/>
    </row>
    <row r="4770" spans="2:17" hidden="1">
      <c r="B4770" s="19"/>
      <c r="C4770" s="19"/>
      <c r="D4770" s="19"/>
      <c r="E4770" s="19"/>
      <c r="F4770" s="19"/>
      <c r="G4770" s="19"/>
      <c r="H4770" s="19"/>
      <c r="I4770" s="19"/>
      <c r="J4770" s="19"/>
      <c r="K4770" s="421"/>
      <c r="L4770" s="23"/>
      <c r="M4770" s="19"/>
      <c r="N4770" s="19"/>
      <c r="O4770" s="19"/>
      <c r="P4770" s="19"/>
      <c r="Q4770" s="19"/>
    </row>
    <row r="4771" spans="2:17" hidden="1">
      <c r="B4771" s="19"/>
      <c r="C4771" s="19"/>
      <c r="D4771" s="19"/>
      <c r="E4771" s="19"/>
      <c r="F4771" s="19"/>
      <c r="G4771" s="19"/>
      <c r="H4771" s="19"/>
      <c r="I4771" s="19"/>
      <c r="J4771" s="19"/>
      <c r="K4771" s="421"/>
      <c r="L4771" s="23"/>
      <c r="M4771" s="19"/>
      <c r="N4771" s="19"/>
      <c r="O4771" s="19"/>
      <c r="P4771" s="19"/>
      <c r="Q4771" s="19"/>
    </row>
    <row r="4772" spans="2:17" hidden="1">
      <c r="B4772" s="19"/>
      <c r="C4772" s="19"/>
      <c r="D4772" s="19"/>
      <c r="E4772" s="19"/>
      <c r="F4772" s="19"/>
      <c r="G4772" s="19"/>
      <c r="H4772" s="19"/>
      <c r="I4772" s="19"/>
      <c r="J4772" s="19"/>
      <c r="K4772" s="421"/>
      <c r="L4772" s="23"/>
      <c r="M4772" s="19"/>
      <c r="N4772" s="19"/>
      <c r="O4772" s="19"/>
      <c r="P4772" s="19"/>
      <c r="Q4772" s="19"/>
    </row>
    <row r="4773" spans="2:17" hidden="1">
      <c r="B4773" s="19"/>
      <c r="C4773" s="19"/>
      <c r="D4773" s="19"/>
      <c r="E4773" s="19"/>
      <c r="F4773" s="19"/>
      <c r="G4773" s="19"/>
      <c r="H4773" s="19"/>
      <c r="I4773" s="19"/>
      <c r="J4773" s="19"/>
      <c r="K4773" s="421"/>
      <c r="L4773" s="23"/>
      <c r="M4773" s="19"/>
      <c r="N4773" s="19"/>
      <c r="O4773" s="19"/>
      <c r="P4773" s="19"/>
      <c r="Q4773" s="19"/>
    </row>
    <row r="4774" spans="2:17" hidden="1">
      <c r="B4774" s="19"/>
      <c r="C4774" s="19"/>
      <c r="D4774" s="19"/>
      <c r="E4774" s="19"/>
      <c r="F4774" s="19"/>
      <c r="G4774" s="19"/>
      <c r="H4774" s="19"/>
      <c r="I4774" s="19"/>
      <c r="J4774" s="19"/>
      <c r="K4774" s="421"/>
      <c r="L4774" s="23"/>
      <c r="M4774" s="19"/>
      <c r="N4774" s="19"/>
      <c r="O4774" s="19"/>
      <c r="P4774" s="19"/>
      <c r="Q4774" s="19"/>
    </row>
    <row r="4775" spans="2:17" hidden="1">
      <c r="B4775" s="19"/>
      <c r="C4775" s="19"/>
      <c r="D4775" s="19"/>
      <c r="E4775" s="19"/>
      <c r="F4775" s="19"/>
      <c r="G4775" s="19"/>
      <c r="H4775" s="19"/>
      <c r="I4775" s="19"/>
      <c r="J4775" s="19"/>
      <c r="K4775" s="421"/>
      <c r="L4775" s="23"/>
      <c r="M4775" s="19"/>
      <c r="N4775" s="19"/>
      <c r="O4775" s="19"/>
      <c r="P4775" s="19"/>
      <c r="Q4775" s="19"/>
    </row>
    <row r="4776" spans="2:17" hidden="1">
      <c r="B4776" s="19"/>
      <c r="C4776" s="19"/>
      <c r="D4776" s="19"/>
      <c r="E4776" s="19"/>
      <c r="F4776" s="19"/>
      <c r="G4776" s="19"/>
      <c r="H4776" s="19"/>
      <c r="I4776" s="19"/>
      <c r="J4776" s="19"/>
      <c r="K4776" s="421"/>
      <c r="L4776" s="23"/>
      <c r="M4776" s="19"/>
      <c r="N4776" s="19"/>
      <c r="O4776" s="19"/>
      <c r="P4776" s="19"/>
      <c r="Q4776" s="19"/>
    </row>
    <row r="4777" spans="2:17" hidden="1">
      <c r="B4777" s="19"/>
      <c r="C4777" s="19"/>
      <c r="D4777" s="19"/>
      <c r="E4777" s="19"/>
      <c r="F4777" s="19"/>
      <c r="G4777" s="19"/>
      <c r="H4777" s="19"/>
      <c r="I4777" s="19"/>
      <c r="J4777" s="19"/>
      <c r="K4777" s="421"/>
      <c r="L4777" s="23"/>
      <c r="M4777" s="19"/>
      <c r="N4777" s="19"/>
      <c r="O4777" s="19"/>
      <c r="P4777" s="19"/>
      <c r="Q4777" s="19"/>
    </row>
    <row r="4778" spans="2:17" hidden="1">
      <c r="B4778" s="19"/>
      <c r="C4778" s="19"/>
      <c r="D4778" s="19"/>
      <c r="E4778" s="19"/>
      <c r="F4778" s="19"/>
      <c r="G4778" s="19"/>
      <c r="H4778" s="19"/>
      <c r="I4778" s="19"/>
      <c r="J4778" s="19"/>
      <c r="K4778" s="421"/>
      <c r="L4778" s="23"/>
      <c r="M4778" s="19"/>
      <c r="N4778" s="19"/>
      <c r="O4778" s="19"/>
      <c r="P4778" s="19"/>
      <c r="Q4778" s="19"/>
    </row>
    <row r="4779" spans="2:17" hidden="1">
      <c r="B4779" s="19"/>
      <c r="C4779" s="19"/>
      <c r="D4779" s="19"/>
      <c r="E4779" s="19"/>
      <c r="F4779" s="19"/>
      <c r="G4779" s="19"/>
      <c r="H4779" s="19"/>
      <c r="I4779" s="19"/>
      <c r="J4779" s="19"/>
      <c r="K4779" s="421"/>
      <c r="L4779" s="23"/>
      <c r="M4779" s="19"/>
      <c r="N4779" s="19"/>
      <c r="O4779" s="19"/>
      <c r="P4779" s="19"/>
      <c r="Q4779" s="19"/>
    </row>
    <row r="4780" spans="2:17" hidden="1">
      <c r="B4780" s="19"/>
      <c r="C4780" s="19"/>
      <c r="D4780" s="19"/>
      <c r="E4780" s="19"/>
      <c r="F4780" s="19"/>
      <c r="G4780" s="19"/>
      <c r="H4780" s="19"/>
      <c r="I4780" s="19"/>
      <c r="J4780" s="19"/>
      <c r="K4780" s="421"/>
      <c r="L4780" s="23"/>
      <c r="M4780" s="19"/>
      <c r="N4780" s="19"/>
      <c r="O4780" s="19"/>
      <c r="P4780" s="19"/>
      <c r="Q4780" s="19"/>
    </row>
    <row r="4781" spans="2:17" hidden="1">
      <c r="B4781" s="19"/>
      <c r="C4781" s="19"/>
      <c r="D4781" s="19"/>
      <c r="E4781" s="19"/>
      <c r="F4781" s="19"/>
      <c r="G4781" s="19"/>
      <c r="H4781" s="19"/>
      <c r="I4781" s="19"/>
      <c r="J4781" s="19"/>
      <c r="K4781" s="421"/>
      <c r="L4781" s="23"/>
      <c r="M4781" s="19"/>
      <c r="N4781" s="19"/>
      <c r="O4781" s="19"/>
      <c r="P4781" s="19"/>
      <c r="Q4781" s="19"/>
    </row>
    <row r="4782" spans="2:17" hidden="1">
      <c r="B4782" s="19"/>
      <c r="C4782" s="19"/>
      <c r="D4782" s="19"/>
      <c r="E4782" s="19"/>
      <c r="F4782" s="19"/>
      <c r="G4782" s="19"/>
      <c r="H4782" s="19"/>
      <c r="I4782" s="19"/>
      <c r="J4782" s="19"/>
      <c r="K4782" s="421"/>
      <c r="L4782" s="23"/>
      <c r="M4782" s="19"/>
      <c r="N4782" s="19"/>
      <c r="O4782" s="19"/>
      <c r="P4782" s="19"/>
      <c r="Q4782" s="19"/>
    </row>
    <row r="4783" spans="2:17" hidden="1">
      <c r="B4783" s="19"/>
      <c r="C4783" s="19"/>
      <c r="D4783" s="19"/>
      <c r="E4783" s="19"/>
      <c r="F4783" s="19"/>
      <c r="G4783" s="19"/>
      <c r="H4783" s="19"/>
      <c r="I4783" s="19"/>
      <c r="J4783" s="19"/>
      <c r="K4783" s="421"/>
      <c r="L4783" s="23"/>
      <c r="M4783" s="19"/>
      <c r="N4783" s="19"/>
      <c r="O4783" s="19"/>
      <c r="P4783" s="19"/>
      <c r="Q4783" s="19"/>
    </row>
    <row r="4784" spans="2:17" hidden="1">
      <c r="B4784" s="19"/>
      <c r="C4784" s="19"/>
      <c r="D4784" s="19"/>
      <c r="E4784" s="19"/>
      <c r="F4784" s="19"/>
      <c r="G4784" s="19"/>
      <c r="H4784" s="19"/>
      <c r="I4784" s="19"/>
      <c r="J4784" s="19"/>
      <c r="K4784" s="421"/>
      <c r="L4784" s="23"/>
      <c r="M4784" s="19"/>
      <c r="N4784" s="19"/>
      <c r="O4784" s="19"/>
      <c r="P4784" s="19"/>
      <c r="Q4784" s="19"/>
    </row>
    <row r="4785" spans="2:17" hidden="1">
      <c r="B4785" s="19"/>
      <c r="C4785" s="19"/>
      <c r="D4785" s="19"/>
      <c r="E4785" s="19"/>
      <c r="F4785" s="19"/>
      <c r="G4785" s="19"/>
      <c r="H4785" s="19"/>
      <c r="I4785" s="19"/>
      <c r="J4785" s="19"/>
      <c r="K4785" s="421"/>
      <c r="L4785" s="23"/>
      <c r="M4785" s="19"/>
      <c r="N4785" s="19"/>
      <c r="O4785" s="19"/>
      <c r="P4785" s="19"/>
      <c r="Q4785" s="19"/>
    </row>
    <row r="4786" spans="2:17" hidden="1">
      <c r="I4786" s="20"/>
      <c r="K4786" s="423"/>
      <c r="L4786" s="44"/>
      <c r="M4786" s="44"/>
      <c r="N4786" s="44"/>
      <c r="O4786" s="19"/>
    </row>
    <row r="4787" spans="2:17" hidden="1">
      <c r="I4787" s="20"/>
      <c r="O4787" s="19"/>
    </row>
    <row r="4788" spans="2:17" hidden="1">
      <c r="I4788" s="20"/>
      <c r="O4788" s="19"/>
    </row>
    <row r="4789" spans="2:17" hidden="1">
      <c r="I4789" s="20"/>
      <c r="O4789" s="19"/>
    </row>
    <row r="4790" spans="2:17" hidden="1">
      <c r="I4790" s="20"/>
      <c r="O4790" s="19"/>
    </row>
    <row r="4791" spans="2:17" hidden="1">
      <c r="I4791" s="20"/>
      <c r="O4791" s="19"/>
    </row>
    <row r="4792" spans="2:17" hidden="1">
      <c r="I4792" s="20"/>
      <c r="O4792" s="19"/>
    </row>
    <row r="4793" spans="2:17" hidden="1">
      <c r="I4793" s="20"/>
      <c r="O4793" s="19"/>
    </row>
    <row r="4794" spans="2:17" hidden="1">
      <c r="I4794" s="20"/>
      <c r="O4794" s="19"/>
    </row>
    <row r="4795" spans="2:17" hidden="1">
      <c r="I4795" s="20"/>
      <c r="O4795" s="19"/>
    </row>
    <row r="4796" spans="2:17" hidden="1">
      <c r="I4796" s="20"/>
      <c r="O4796" s="19"/>
    </row>
    <row r="4797" spans="2:17" hidden="1">
      <c r="I4797" s="20"/>
      <c r="O4797" s="19"/>
    </row>
    <row r="4798" spans="2:17" hidden="1">
      <c r="I4798" s="20"/>
      <c r="O4798" s="19"/>
    </row>
    <row r="4799" spans="2:17" hidden="1">
      <c r="I4799" s="20"/>
      <c r="O4799" s="19"/>
    </row>
    <row r="4800" spans="2:17" hidden="1">
      <c r="I4800" s="20"/>
      <c r="O4800" s="19"/>
    </row>
    <row r="4801" spans="9:15" hidden="1">
      <c r="I4801" s="20"/>
      <c r="O4801" s="19"/>
    </row>
    <row r="4802" spans="9:15" hidden="1">
      <c r="I4802" s="20"/>
      <c r="O4802" s="19"/>
    </row>
    <row r="4803" spans="9:15" hidden="1">
      <c r="I4803" s="20"/>
      <c r="O4803" s="19"/>
    </row>
    <row r="4804" spans="9:15" hidden="1">
      <c r="I4804" s="20"/>
      <c r="O4804" s="19"/>
    </row>
    <row r="4805" spans="9:15" hidden="1">
      <c r="I4805" s="20"/>
      <c r="O4805" s="19"/>
    </row>
    <row r="4806" spans="9:15" hidden="1">
      <c r="I4806" s="20"/>
      <c r="O4806" s="19"/>
    </row>
    <row r="4807" spans="9:15" hidden="1">
      <c r="I4807" s="20"/>
      <c r="O4807" s="19"/>
    </row>
    <row r="4808" spans="9:15" hidden="1">
      <c r="I4808" s="20"/>
      <c r="O4808" s="19"/>
    </row>
    <row r="4809" spans="9:15" hidden="1">
      <c r="I4809" s="20"/>
      <c r="O4809" s="19"/>
    </row>
    <row r="4810" spans="9:15" hidden="1">
      <c r="I4810" s="20"/>
      <c r="O4810" s="19"/>
    </row>
    <row r="4811" spans="9:15" hidden="1">
      <c r="I4811" s="20"/>
      <c r="O4811" s="19"/>
    </row>
    <row r="4812" spans="9:15" hidden="1">
      <c r="I4812" s="20"/>
      <c r="O4812" s="19"/>
    </row>
    <row r="4813" spans="9:15" hidden="1">
      <c r="I4813" s="20"/>
      <c r="O4813" s="19"/>
    </row>
    <row r="4814" spans="9:15" hidden="1">
      <c r="I4814" s="20"/>
      <c r="O4814" s="19"/>
    </row>
    <row r="4815" spans="9:15" hidden="1">
      <c r="I4815" s="20"/>
      <c r="O4815" s="19"/>
    </row>
    <row r="4816" spans="9:15" hidden="1">
      <c r="I4816" s="20"/>
      <c r="O4816" s="19"/>
    </row>
    <row r="4817" spans="9:15" hidden="1">
      <c r="I4817" s="20"/>
      <c r="O4817" s="19"/>
    </row>
    <row r="4818" spans="9:15" hidden="1">
      <c r="I4818" s="20"/>
      <c r="O4818" s="19"/>
    </row>
    <row r="4819" spans="9:15" hidden="1">
      <c r="I4819" s="20"/>
      <c r="O4819" s="19"/>
    </row>
    <row r="4820" spans="9:15" hidden="1">
      <c r="I4820" s="20"/>
      <c r="O4820" s="19"/>
    </row>
    <row r="4821" spans="9:15" hidden="1">
      <c r="I4821" s="20"/>
      <c r="O4821" s="19"/>
    </row>
    <row r="4822" spans="9:15" hidden="1">
      <c r="I4822" s="20"/>
      <c r="O4822" s="19"/>
    </row>
    <row r="4823" spans="9:15" hidden="1">
      <c r="I4823" s="20"/>
      <c r="O4823" s="19"/>
    </row>
    <row r="4824" spans="9:15" hidden="1">
      <c r="I4824" s="20"/>
      <c r="O4824" s="19"/>
    </row>
    <row r="4825" spans="9:15" hidden="1">
      <c r="I4825" s="20"/>
      <c r="O4825" s="19"/>
    </row>
    <row r="4826" spans="9:15" hidden="1">
      <c r="I4826" s="20"/>
      <c r="O4826" s="19"/>
    </row>
    <row r="4827" spans="9:15" hidden="1">
      <c r="I4827" s="20"/>
      <c r="O4827" s="19"/>
    </row>
    <row r="4828" spans="9:15" hidden="1">
      <c r="I4828" s="20"/>
      <c r="O4828" s="19"/>
    </row>
    <row r="4829" spans="9:15" hidden="1">
      <c r="I4829" s="20"/>
      <c r="O4829" s="19"/>
    </row>
    <row r="4830" spans="9:15" hidden="1">
      <c r="I4830" s="20"/>
      <c r="O4830" s="19"/>
    </row>
    <row r="4831" spans="9:15" hidden="1">
      <c r="I4831" s="20"/>
      <c r="O4831" s="19"/>
    </row>
    <row r="4832" spans="9:15" hidden="1">
      <c r="I4832" s="20"/>
      <c r="O4832" s="19"/>
    </row>
    <row r="4833" spans="9:15" hidden="1">
      <c r="I4833" s="20"/>
      <c r="O4833" s="19"/>
    </row>
    <row r="4834" spans="9:15" hidden="1">
      <c r="I4834" s="20"/>
      <c r="O4834" s="19"/>
    </row>
    <row r="4835" spans="9:15" hidden="1">
      <c r="I4835" s="20"/>
      <c r="O4835" s="19"/>
    </row>
    <row r="4836" spans="9:15" hidden="1">
      <c r="I4836" s="20"/>
      <c r="O4836" s="19"/>
    </row>
    <row r="4837" spans="9:15" hidden="1">
      <c r="I4837" s="20"/>
      <c r="O4837" s="19"/>
    </row>
    <row r="4838" spans="9:15" hidden="1">
      <c r="I4838" s="20"/>
      <c r="O4838" s="19"/>
    </row>
    <row r="4839" spans="9:15" hidden="1">
      <c r="I4839" s="20"/>
      <c r="O4839" s="19"/>
    </row>
    <row r="4840" spans="9:15" hidden="1">
      <c r="I4840" s="20"/>
      <c r="O4840" s="19"/>
    </row>
    <row r="4841" spans="9:15" hidden="1">
      <c r="I4841" s="20"/>
      <c r="O4841" s="19"/>
    </row>
    <row r="4842" spans="9:15" hidden="1">
      <c r="I4842" s="20"/>
      <c r="O4842" s="19"/>
    </row>
    <row r="4843" spans="9:15" hidden="1">
      <c r="I4843" s="20"/>
      <c r="O4843" s="19"/>
    </row>
    <row r="4844" spans="9:15" hidden="1">
      <c r="I4844" s="20"/>
      <c r="O4844" s="19"/>
    </row>
    <row r="4845" spans="9:15" hidden="1">
      <c r="I4845" s="20"/>
      <c r="O4845" s="19"/>
    </row>
    <row r="4846" spans="9:15" hidden="1">
      <c r="I4846" s="20"/>
      <c r="O4846" s="19"/>
    </row>
    <row r="4847" spans="9:15" hidden="1">
      <c r="I4847" s="20"/>
      <c r="O4847" s="19"/>
    </row>
    <row r="4848" spans="9:15" hidden="1">
      <c r="I4848" s="20"/>
      <c r="O4848" s="19"/>
    </row>
    <row r="4849" spans="9:15" hidden="1">
      <c r="I4849" s="20"/>
      <c r="O4849" s="19"/>
    </row>
    <row r="4850" spans="9:15" hidden="1">
      <c r="I4850" s="20"/>
      <c r="O4850" s="19"/>
    </row>
    <row r="4851" spans="9:15" hidden="1">
      <c r="I4851" s="20"/>
      <c r="O4851" s="19"/>
    </row>
    <row r="4852" spans="9:15" hidden="1">
      <c r="I4852" s="20"/>
      <c r="O4852" s="19"/>
    </row>
    <row r="4853" spans="9:15" hidden="1">
      <c r="I4853" s="20"/>
      <c r="O4853" s="19"/>
    </row>
    <row r="4854" spans="9:15" hidden="1">
      <c r="I4854" s="20"/>
      <c r="O4854" s="19"/>
    </row>
    <row r="4855" spans="9:15" hidden="1">
      <c r="I4855" s="20"/>
      <c r="O4855" s="19"/>
    </row>
    <row r="4856" spans="9:15" hidden="1">
      <c r="I4856" s="20"/>
      <c r="O4856" s="19"/>
    </row>
    <row r="4857" spans="9:15" hidden="1">
      <c r="I4857" s="20"/>
      <c r="O4857" s="19"/>
    </row>
    <row r="4858" spans="9:15" hidden="1">
      <c r="I4858" s="20"/>
      <c r="O4858" s="19"/>
    </row>
    <row r="4859" spans="9:15" hidden="1">
      <c r="I4859" s="20"/>
      <c r="O4859" s="19"/>
    </row>
    <row r="4860" spans="9:15" hidden="1">
      <c r="I4860" s="20"/>
      <c r="O4860" s="19"/>
    </row>
    <row r="4861" spans="9:15" hidden="1">
      <c r="I4861" s="20"/>
      <c r="O4861" s="19"/>
    </row>
    <row r="4862" spans="9:15" hidden="1">
      <c r="I4862" s="20"/>
      <c r="O4862" s="19"/>
    </row>
    <row r="4863" spans="9:15" hidden="1">
      <c r="I4863" s="20"/>
      <c r="O4863" s="19"/>
    </row>
    <row r="4864" spans="9:15" hidden="1">
      <c r="I4864" s="20"/>
      <c r="O4864" s="19"/>
    </row>
    <row r="4865" spans="9:15" hidden="1">
      <c r="I4865" s="20"/>
      <c r="O4865" s="19"/>
    </row>
    <row r="4866" spans="9:15" hidden="1">
      <c r="I4866" s="20"/>
      <c r="O4866" s="19"/>
    </row>
    <row r="4867" spans="9:15" hidden="1">
      <c r="I4867" s="20"/>
      <c r="O4867" s="19"/>
    </row>
    <row r="4868" spans="9:15" hidden="1">
      <c r="I4868" s="20"/>
      <c r="O4868" s="19"/>
    </row>
    <row r="4869" spans="9:15" hidden="1">
      <c r="I4869" s="20"/>
      <c r="O4869" s="19"/>
    </row>
    <row r="4870" spans="9:15" hidden="1">
      <c r="I4870" s="20"/>
      <c r="O4870" s="19"/>
    </row>
    <row r="4871" spans="9:15" hidden="1">
      <c r="I4871" s="20"/>
      <c r="O4871" s="19"/>
    </row>
    <row r="4872" spans="9:15" hidden="1">
      <c r="I4872" s="20"/>
      <c r="O4872" s="19"/>
    </row>
    <row r="4873" spans="9:15" hidden="1">
      <c r="I4873" s="20"/>
      <c r="O4873" s="19"/>
    </row>
    <row r="4874" spans="9:15" hidden="1">
      <c r="I4874" s="20"/>
      <c r="O4874" s="19"/>
    </row>
    <row r="4875" spans="9:15" hidden="1">
      <c r="I4875" s="20"/>
      <c r="O4875" s="19"/>
    </row>
    <row r="4876" spans="9:15" hidden="1">
      <c r="I4876" s="20"/>
      <c r="O4876" s="19"/>
    </row>
    <row r="4877" spans="9:15" hidden="1">
      <c r="I4877" s="20"/>
      <c r="O4877" s="19"/>
    </row>
    <row r="4878" spans="9:15" hidden="1">
      <c r="I4878" s="20"/>
      <c r="O4878" s="19"/>
    </row>
    <row r="4879" spans="9:15" hidden="1">
      <c r="I4879" s="20"/>
      <c r="O4879" s="19"/>
    </row>
    <row r="4880" spans="9:15" hidden="1">
      <c r="I4880" s="20"/>
      <c r="O4880" s="19"/>
    </row>
    <row r="4881" spans="9:15" hidden="1">
      <c r="I4881" s="20"/>
      <c r="O4881" s="19"/>
    </row>
    <row r="4882" spans="9:15" hidden="1">
      <c r="I4882" s="20"/>
      <c r="O4882" s="19"/>
    </row>
    <row r="4883" spans="9:15" hidden="1">
      <c r="I4883" s="20"/>
      <c r="O4883" s="19"/>
    </row>
    <row r="4884" spans="9:15" hidden="1">
      <c r="I4884" s="20"/>
      <c r="O4884" s="19"/>
    </row>
    <row r="4885" spans="9:15" hidden="1">
      <c r="I4885" s="20"/>
      <c r="O4885" s="19"/>
    </row>
    <row r="4886" spans="9:15" hidden="1">
      <c r="I4886" s="20"/>
      <c r="O4886" s="19"/>
    </row>
    <row r="4887" spans="9:15" hidden="1">
      <c r="I4887" s="20"/>
      <c r="O4887" s="19"/>
    </row>
    <row r="4888" spans="9:15" hidden="1">
      <c r="I4888" s="20"/>
      <c r="O4888" s="19"/>
    </row>
    <row r="4889" spans="9:15" hidden="1">
      <c r="I4889" s="20"/>
      <c r="O4889" s="19"/>
    </row>
    <row r="4890" spans="9:15" hidden="1">
      <c r="I4890" s="20"/>
      <c r="O4890" s="19"/>
    </row>
    <row r="4891" spans="9:15" hidden="1">
      <c r="I4891" s="20"/>
      <c r="O4891" s="19"/>
    </row>
    <row r="4892" spans="9:15" hidden="1">
      <c r="I4892" s="20"/>
      <c r="O4892" s="19"/>
    </row>
    <row r="4893" spans="9:15" hidden="1">
      <c r="I4893" s="20"/>
      <c r="O4893" s="19"/>
    </row>
    <row r="4894" spans="9:15" hidden="1">
      <c r="I4894" s="20"/>
      <c r="O4894" s="19"/>
    </row>
    <row r="4895" spans="9:15" hidden="1">
      <c r="I4895" s="20"/>
      <c r="O4895" s="19"/>
    </row>
    <row r="4896" spans="9:15" hidden="1">
      <c r="I4896" s="20"/>
      <c r="O4896" s="19"/>
    </row>
    <row r="4897" spans="9:15" hidden="1">
      <c r="I4897" s="20"/>
      <c r="O4897" s="19"/>
    </row>
    <row r="4898" spans="9:15" hidden="1">
      <c r="I4898" s="20"/>
      <c r="O4898" s="19"/>
    </row>
    <row r="4899" spans="9:15" hidden="1">
      <c r="I4899" s="20"/>
      <c r="O4899" s="19"/>
    </row>
    <row r="4900" spans="9:15" hidden="1">
      <c r="I4900" s="20"/>
      <c r="O4900" s="19"/>
    </row>
    <row r="4901" spans="9:15" ht="15" hidden="1" customHeight="1">
      <c r="I4901" s="20"/>
      <c r="O4901" s="19"/>
    </row>
    <row r="4902" spans="9:15" hidden="1">
      <c r="I4902" s="20"/>
      <c r="O4902" s="19"/>
    </row>
    <row r="4903" spans="9:15" hidden="1">
      <c r="I4903" s="20"/>
      <c r="O4903" s="19"/>
    </row>
    <row r="4904" spans="9:15" hidden="1">
      <c r="I4904" s="20"/>
      <c r="O4904" s="19"/>
    </row>
    <row r="4905" spans="9:15" hidden="1">
      <c r="I4905" s="20"/>
      <c r="O4905" s="19"/>
    </row>
    <row r="4906" spans="9:15" hidden="1">
      <c r="I4906" s="20"/>
      <c r="O4906" s="19"/>
    </row>
    <row r="4907" spans="9:15" hidden="1">
      <c r="I4907" s="20"/>
      <c r="O4907" s="19"/>
    </row>
    <row r="4908" spans="9:15" hidden="1">
      <c r="I4908" s="20"/>
      <c r="O4908" s="19"/>
    </row>
    <row r="4909" spans="9:15" hidden="1">
      <c r="I4909" s="20"/>
      <c r="O4909" s="19"/>
    </row>
    <row r="4910" spans="9:15" hidden="1">
      <c r="I4910" s="20"/>
      <c r="O4910" s="19"/>
    </row>
    <row r="4911" spans="9:15" hidden="1">
      <c r="I4911" s="20"/>
      <c r="O4911" s="19"/>
    </row>
    <row r="4912" spans="9:15" hidden="1">
      <c r="I4912" s="20"/>
      <c r="O4912" s="19"/>
    </row>
    <row r="4913" spans="9:15" hidden="1">
      <c r="I4913" s="20"/>
      <c r="O4913" s="19"/>
    </row>
    <row r="4914" spans="9:15" hidden="1">
      <c r="I4914" s="20"/>
      <c r="O4914" s="19"/>
    </row>
    <row r="4915" spans="9:15" hidden="1">
      <c r="I4915" s="20"/>
      <c r="O4915" s="19"/>
    </row>
    <row r="4916" spans="9:15" hidden="1">
      <c r="I4916" s="20"/>
      <c r="O4916" s="19"/>
    </row>
    <row r="4917" spans="9:15" hidden="1">
      <c r="I4917" s="20"/>
      <c r="O4917" s="19"/>
    </row>
    <row r="4918" spans="9:15" hidden="1">
      <c r="I4918" s="20"/>
      <c r="O4918" s="19"/>
    </row>
    <row r="4919" spans="9:15" hidden="1">
      <c r="I4919" s="20"/>
      <c r="O4919" s="19"/>
    </row>
    <row r="4920" spans="9:15" hidden="1">
      <c r="I4920" s="20"/>
      <c r="O4920" s="19"/>
    </row>
    <row r="4921" spans="9:15" hidden="1">
      <c r="I4921" s="20"/>
      <c r="O4921" s="19"/>
    </row>
    <row r="4922" spans="9:15" hidden="1">
      <c r="I4922" s="20"/>
      <c r="O4922" s="19"/>
    </row>
    <row r="4923" spans="9:15" hidden="1">
      <c r="I4923" s="20"/>
      <c r="O4923" s="19"/>
    </row>
    <row r="4924" spans="9:15" hidden="1">
      <c r="I4924" s="20"/>
      <c r="O4924" s="19"/>
    </row>
    <row r="4925" spans="9:15" hidden="1">
      <c r="I4925" s="20"/>
      <c r="O4925" s="19"/>
    </row>
    <row r="4926" spans="9:15" hidden="1">
      <c r="I4926" s="20"/>
      <c r="O4926" s="19"/>
    </row>
    <row r="4927" spans="9:15" hidden="1">
      <c r="I4927" s="20"/>
      <c r="O4927" s="19"/>
    </row>
    <row r="4928" spans="9:15" hidden="1">
      <c r="I4928" s="20"/>
      <c r="O4928" s="19"/>
    </row>
    <row r="4929" spans="9:15" hidden="1">
      <c r="I4929" s="20"/>
      <c r="O4929" s="19"/>
    </row>
    <row r="4930" spans="9:15" hidden="1">
      <c r="I4930" s="20"/>
      <c r="O4930" s="19"/>
    </row>
    <row r="4931" spans="9:15" hidden="1">
      <c r="I4931" s="20"/>
      <c r="O4931" s="19"/>
    </row>
    <row r="4932" spans="9:15" hidden="1">
      <c r="I4932" s="20"/>
      <c r="O4932" s="19"/>
    </row>
    <row r="4933" spans="9:15" hidden="1">
      <c r="I4933" s="20"/>
      <c r="O4933" s="19"/>
    </row>
    <row r="4934" spans="9:15" hidden="1">
      <c r="I4934" s="20"/>
      <c r="O4934" s="19"/>
    </row>
    <row r="4935" spans="9:15" hidden="1">
      <c r="I4935" s="20"/>
      <c r="O4935" s="19"/>
    </row>
    <row r="4936" spans="9:15" hidden="1">
      <c r="I4936" s="20"/>
      <c r="O4936" s="19"/>
    </row>
    <row r="4937" spans="9:15" hidden="1">
      <c r="I4937" s="20"/>
      <c r="O4937" s="19"/>
    </row>
    <row r="4938" spans="9:15" hidden="1">
      <c r="I4938" s="20"/>
      <c r="O4938" s="19"/>
    </row>
    <row r="4939" spans="9:15" hidden="1">
      <c r="I4939" s="20"/>
      <c r="O4939" s="19"/>
    </row>
    <row r="4940" spans="9:15" hidden="1">
      <c r="I4940" s="20"/>
      <c r="O4940" s="19"/>
    </row>
    <row r="4941" spans="9:15" hidden="1">
      <c r="I4941" s="20"/>
      <c r="O4941" s="19"/>
    </row>
    <row r="4942" spans="9:15" hidden="1">
      <c r="I4942" s="20"/>
      <c r="O4942" s="19"/>
    </row>
    <row r="4943" spans="9:15" hidden="1">
      <c r="I4943" s="20"/>
      <c r="O4943" s="19"/>
    </row>
    <row r="4944" spans="9:15" hidden="1">
      <c r="I4944" s="20"/>
      <c r="O4944" s="19"/>
    </row>
    <row r="4945" spans="9:15" hidden="1">
      <c r="I4945" s="20"/>
      <c r="O4945" s="19"/>
    </row>
    <row r="4946" spans="9:15" hidden="1">
      <c r="I4946" s="20"/>
      <c r="O4946" s="19"/>
    </row>
    <row r="4947" spans="9:15" hidden="1">
      <c r="I4947" s="20"/>
      <c r="O4947" s="19"/>
    </row>
    <row r="4948" spans="9:15" hidden="1">
      <c r="I4948" s="20"/>
      <c r="O4948" s="19"/>
    </row>
    <row r="4949" spans="9:15" hidden="1">
      <c r="I4949" s="20"/>
      <c r="O4949" s="19"/>
    </row>
    <row r="4950" spans="9:15" hidden="1">
      <c r="I4950" s="20"/>
      <c r="O4950" s="19"/>
    </row>
    <row r="4951" spans="9:15" hidden="1">
      <c r="I4951" s="20"/>
      <c r="O4951" s="19"/>
    </row>
    <row r="4952" spans="9:15" hidden="1">
      <c r="I4952" s="20"/>
      <c r="O4952" s="19"/>
    </row>
    <row r="4953" spans="9:15" hidden="1">
      <c r="I4953" s="20"/>
      <c r="O4953" s="19"/>
    </row>
    <row r="4954" spans="9:15" hidden="1">
      <c r="I4954" s="20"/>
      <c r="O4954" s="19"/>
    </row>
    <row r="4955" spans="9:15" hidden="1">
      <c r="I4955" s="20"/>
      <c r="O4955" s="19"/>
    </row>
    <row r="4956" spans="9:15" hidden="1">
      <c r="I4956" s="20"/>
      <c r="O4956" s="19"/>
    </row>
    <row r="4957" spans="9:15" hidden="1">
      <c r="I4957" s="20"/>
      <c r="O4957" s="19"/>
    </row>
    <row r="4958" spans="9:15" hidden="1">
      <c r="I4958" s="20"/>
      <c r="O4958" s="19"/>
    </row>
    <row r="4959" spans="9:15" hidden="1">
      <c r="I4959" s="20"/>
      <c r="O4959" s="19"/>
    </row>
    <row r="4960" spans="9:15" hidden="1">
      <c r="I4960" s="20"/>
      <c r="O4960" s="19"/>
    </row>
    <row r="4961" spans="9:15" hidden="1">
      <c r="I4961" s="20"/>
      <c r="O4961" s="19"/>
    </row>
    <row r="4962" spans="9:15" hidden="1">
      <c r="I4962" s="20"/>
      <c r="O4962" s="19"/>
    </row>
    <row r="4963" spans="9:15" hidden="1">
      <c r="I4963" s="20"/>
      <c r="O4963" s="19"/>
    </row>
    <row r="4964" spans="9:15" hidden="1">
      <c r="I4964" s="20"/>
      <c r="O4964" s="19"/>
    </row>
    <row r="4965" spans="9:15" hidden="1">
      <c r="I4965" s="20"/>
      <c r="O4965" s="19"/>
    </row>
    <row r="4966" spans="9:15" hidden="1">
      <c r="I4966" s="20"/>
      <c r="O4966" s="19"/>
    </row>
    <row r="4967" spans="9:15" hidden="1">
      <c r="I4967" s="20"/>
      <c r="O4967" s="19"/>
    </row>
    <row r="4968" spans="9:15" hidden="1">
      <c r="I4968" s="20"/>
      <c r="O4968" s="19"/>
    </row>
    <row r="4969" spans="9:15" hidden="1">
      <c r="I4969" s="20"/>
      <c r="O4969" s="19"/>
    </row>
    <row r="4970" spans="9:15" hidden="1">
      <c r="I4970" s="20"/>
      <c r="O4970" s="19"/>
    </row>
    <row r="4971" spans="9:15" hidden="1">
      <c r="I4971" s="20"/>
      <c r="O4971" s="19"/>
    </row>
    <row r="4972" spans="9:15" hidden="1">
      <c r="I4972" s="20"/>
      <c r="O4972" s="19"/>
    </row>
    <row r="4973" spans="9:15" hidden="1">
      <c r="I4973" s="20"/>
      <c r="O4973" s="19"/>
    </row>
    <row r="4974" spans="9:15" hidden="1">
      <c r="I4974" s="20"/>
      <c r="O4974" s="19"/>
    </row>
    <row r="4975" spans="9:15" hidden="1">
      <c r="I4975" s="20"/>
      <c r="O4975" s="19"/>
    </row>
    <row r="4976" spans="9:15" hidden="1">
      <c r="I4976" s="20"/>
      <c r="O4976" s="19"/>
    </row>
    <row r="4977" spans="9:15" hidden="1">
      <c r="I4977" s="20"/>
      <c r="O4977" s="19"/>
    </row>
    <row r="4978" spans="9:15" hidden="1">
      <c r="I4978" s="20"/>
      <c r="O4978" s="19"/>
    </row>
    <row r="4979" spans="9:15" hidden="1">
      <c r="I4979" s="20"/>
      <c r="O4979" s="19"/>
    </row>
    <row r="4980" spans="9:15" hidden="1">
      <c r="I4980" s="20"/>
      <c r="O4980" s="19"/>
    </row>
    <row r="4981" spans="9:15" hidden="1">
      <c r="I4981" s="20"/>
      <c r="O4981" s="19"/>
    </row>
    <row r="4982" spans="9:15" hidden="1">
      <c r="I4982" s="20"/>
      <c r="O4982" s="19"/>
    </row>
    <row r="4983" spans="9:15" hidden="1">
      <c r="I4983" s="20"/>
      <c r="O4983" s="19"/>
    </row>
    <row r="4984" spans="9:15" hidden="1">
      <c r="I4984" s="20"/>
      <c r="O4984" s="19"/>
    </row>
    <row r="4985" spans="9:15" hidden="1">
      <c r="I4985" s="20"/>
      <c r="O4985" s="19"/>
    </row>
    <row r="4986" spans="9:15" hidden="1">
      <c r="I4986" s="20"/>
      <c r="O4986" s="19"/>
    </row>
    <row r="4987" spans="9:15" hidden="1">
      <c r="I4987" s="20"/>
      <c r="O4987" s="19"/>
    </row>
    <row r="4988" spans="9:15" hidden="1">
      <c r="I4988" s="20"/>
      <c r="O4988" s="19"/>
    </row>
    <row r="4989" spans="9:15" hidden="1">
      <c r="I4989" s="20"/>
      <c r="O4989" s="19"/>
    </row>
    <row r="4990" spans="9:15" hidden="1">
      <c r="I4990" s="20"/>
      <c r="O4990" s="19"/>
    </row>
    <row r="4991" spans="9:15" hidden="1">
      <c r="I4991" s="20"/>
      <c r="O4991" s="19"/>
    </row>
    <row r="4992" spans="9:15" hidden="1">
      <c r="I4992" s="20"/>
      <c r="O4992" s="19"/>
    </row>
    <row r="4993" spans="9:15" hidden="1">
      <c r="I4993" s="20"/>
      <c r="O4993" s="19"/>
    </row>
    <row r="4994" spans="9:15" hidden="1">
      <c r="I4994" s="20"/>
      <c r="O4994" s="19"/>
    </row>
    <row r="4995" spans="9:15" hidden="1">
      <c r="I4995" s="20"/>
      <c r="O4995" s="19"/>
    </row>
    <row r="4996" spans="9:15" hidden="1">
      <c r="I4996" s="20"/>
      <c r="O4996" s="19"/>
    </row>
    <row r="4997" spans="9:15" hidden="1">
      <c r="I4997" s="20"/>
      <c r="O4997" s="19"/>
    </row>
    <row r="4998" spans="9:15" hidden="1">
      <c r="I4998" s="20"/>
      <c r="O4998" s="19"/>
    </row>
    <row r="4999" spans="9:15" hidden="1">
      <c r="I4999" s="20"/>
      <c r="O4999" s="19"/>
    </row>
    <row r="5000" spans="9:15" hidden="1">
      <c r="I5000" s="20"/>
      <c r="O5000" s="19"/>
    </row>
    <row r="5001" spans="9:15" hidden="1">
      <c r="I5001" s="20"/>
      <c r="O5001" s="19"/>
    </row>
    <row r="5002" spans="9:15" hidden="1">
      <c r="I5002" s="20"/>
      <c r="O5002" s="19"/>
    </row>
    <row r="5003" spans="9:15" hidden="1">
      <c r="I5003" s="20"/>
      <c r="O5003" s="19"/>
    </row>
    <row r="5004" spans="9:15" hidden="1">
      <c r="I5004" s="20"/>
      <c r="O5004" s="19"/>
    </row>
    <row r="5005" spans="9:15" hidden="1">
      <c r="I5005" s="20"/>
      <c r="O5005" s="19"/>
    </row>
    <row r="5006" spans="9:15" hidden="1">
      <c r="I5006" s="20"/>
      <c r="O5006" s="19"/>
    </row>
    <row r="5007" spans="9:15" hidden="1">
      <c r="I5007" s="20"/>
      <c r="O5007" s="19"/>
    </row>
    <row r="5008" spans="9:15" hidden="1">
      <c r="I5008" s="20"/>
      <c r="O5008" s="19"/>
    </row>
    <row r="5009" spans="9:15" hidden="1">
      <c r="I5009" s="20"/>
      <c r="O5009" s="19"/>
    </row>
    <row r="5010" spans="9:15" hidden="1">
      <c r="I5010" s="20"/>
      <c r="O5010" s="19"/>
    </row>
    <row r="5011" spans="9:15" hidden="1">
      <c r="I5011" s="20"/>
      <c r="O5011" s="19"/>
    </row>
    <row r="5012" spans="9:15" hidden="1">
      <c r="I5012" s="20"/>
      <c r="O5012" s="19"/>
    </row>
    <row r="5013" spans="9:15" hidden="1">
      <c r="I5013" s="20"/>
      <c r="O5013" s="19"/>
    </row>
    <row r="5014" spans="9:15" hidden="1">
      <c r="I5014" s="20"/>
      <c r="O5014" s="19"/>
    </row>
    <row r="5015" spans="9:15" hidden="1">
      <c r="I5015" s="20"/>
      <c r="O5015" s="19"/>
    </row>
    <row r="5016" spans="9:15" hidden="1">
      <c r="I5016" s="20"/>
      <c r="O5016" s="19"/>
    </row>
    <row r="5017" spans="9:15" hidden="1">
      <c r="I5017" s="20"/>
      <c r="O5017" s="19"/>
    </row>
    <row r="5018" spans="9:15" hidden="1">
      <c r="I5018" s="20"/>
      <c r="O5018" s="19"/>
    </row>
    <row r="5019" spans="9:15" hidden="1">
      <c r="I5019" s="20"/>
      <c r="O5019" s="19"/>
    </row>
    <row r="5020" spans="9:15" hidden="1">
      <c r="I5020" s="20"/>
      <c r="O5020" s="19"/>
    </row>
    <row r="5021" spans="9:15" hidden="1">
      <c r="I5021" s="20"/>
      <c r="O5021" s="19"/>
    </row>
    <row r="5022" spans="9:15" hidden="1">
      <c r="I5022" s="20"/>
      <c r="O5022" s="19"/>
    </row>
    <row r="5023" spans="9:15" hidden="1">
      <c r="I5023" s="20"/>
      <c r="O5023" s="19"/>
    </row>
    <row r="5024" spans="9:15" hidden="1">
      <c r="I5024" s="20"/>
      <c r="O5024" s="19"/>
    </row>
    <row r="5025" spans="9:15" hidden="1">
      <c r="I5025" s="20"/>
      <c r="O5025" s="19"/>
    </row>
    <row r="5026" spans="9:15" hidden="1">
      <c r="I5026" s="20"/>
      <c r="O5026" s="19"/>
    </row>
    <row r="5027" spans="9:15" hidden="1">
      <c r="I5027" s="20"/>
      <c r="O5027" s="19"/>
    </row>
    <row r="5028" spans="9:15" hidden="1">
      <c r="I5028" s="20"/>
      <c r="O5028" s="19"/>
    </row>
    <row r="5029" spans="9:15" hidden="1">
      <c r="I5029" s="20"/>
      <c r="O5029" s="19"/>
    </row>
    <row r="5030" spans="9:15" hidden="1">
      <c r="I5030" s="20"/>
      <c r="O5030" s="19"/>
    </row>
    <row r="5031" spans="9:15" hidden="1">
      <c r="I5031" s="20"/>
      <c r="O5031" s="19"/>
    </row>
    <row r="5032" spans="9:15" hidden="1">
      <c r="I5032" s="20"/>
      <c r="O5032" s="19"/>
    </row>
    <row r="5033" spans="9:15" hidden="1">
      <c r="I5033" s="20"/>
      <c r="O5033" s="19"/>
    </row>
    <row r="5034" spans="9:15" hidden="1">
      <c r="I5034" s="20"/>
      <c r="O5034" s="19"/>
    </row>
    <row r="5035" spans="9:15" hidden="1">
      <c r="I5035" s="20"/>
      <c r="O5035" s="19"/>
    </row>
    <row r="5036" spans="9:15" hidden="1">
      <c r="I5036" s="20"/>
      <c r="O5036" s="19"/>
    </row>
    <row r="5037" spans="9:15" hidden="1">
      <c r="I5037" s="20"/>
      <c r="O5037" s="19"/>
    </row>
    <row r="5038" spans="9:15" hidden="1">
      <c r="I5038" s="20"/>
      <c r="O5038" s="19"/>
    </row>
    <row r="5039" spans="9:15" ht="15" hidden="1" customHeight="1">
      <c r="I5039" s="20"/>
      <c r="O5039" s="19"/>
    </row>
    <row r="5040" spans="9:15" hidden="1">
      <c r="I5040" s="20"/>
      <c r="O5040" s="19"/>
    </row>
    <row r="5041" spans="9:15" hidden="1">
      <c r="I5041" s="20"/>
      <c r="O5041" s="19"/>
    </row>
    <row r="5042" spans="9:15" hidden="1">
      <c r="I5042" s="20"/>
      <c r="O5042" s="19"/>
    </row>
    <row r="5043" spans="9:15" hidden="1">
      <c r="I5043" s="20"/>
      <c r="O5043" s="19"/>
    </row>
    <row r="5044" spans="9:15" hidden="1">
      <c r="I5044" s="20"/>
      <c r="O5044" s="19"/>
    </row>
    <row r="5045" spans="9:15" hidden="1">
      <c r="I5045" s="20"/>
      <c r="O5045" s="19"/>
    </row>
    <row r="5046" spans="9:15" hidden="1">
      <c r="I5046" s="20"/>
      <c r="O5046" s="19"/>
    </row>
    <row r="5047" spans="9:15" hidden="1">
      <c r="I5047" s="20"/>
      <c r="O5047" s="19"/>
    </row>
    <row r="5048" spans="9:15" hidden="1">
      <c r="I5048" s="20"/>
      <c r="O5048" s="19"/>
    </row>
    <row r="5049" spans="9:15" hidden="1">
      <c r="I5049" s="20"/>
      <c r="O5049" s="19"/>
    </row>
    <row r="5050" spans="9:15" hidden="1">
      <c r="I5050" s="20"/>
      <c r="O5050" s="19"/>
    </row>
    <row r="5051" spans="9:15" hidden="1">
      <c r="I5051" s="20"/>
      <c r="O5051" s="19"/>
    </row>
    <row r="5052" spans="9:15" hidden="1">
      <c r="I5052" s="20"/>
      <c r="O5052" s="19"/>
    </row>
    <row r="5053" spans="9:15" hidden="1">
      <c r="I5053" s="20"/>
      <c r="O5053" s="19"/>
    </row>
    <row r="5054" spans="9:15" hidden="1">
      <c r="I5054" s="20"/>
      <c r="O5054" s="19"/>
    </row>
    <row r="5055" spans="9:15" hidden="1">
      <c r="I5055" s="20"/>
      <c r="O5055" s="19"/>
    </row>
    <row r="5056" spans="9:15" hidden="1">
      <c r="I5056" s="20"/>
      <c r="O5056" s="19"/>
    </row>
    <row r="5057" spans="9:15" hidden="1">
      <c r="I5057" s="20"/>
      <c r="O5057" s="19"/>
    </row>
    <row r="5058" spans="9:15" hidden="1">
      <c r="I5058" s="20"/>
      <c r="O5058" s="19"/>
    </row>
    <row r="5059" spans="9:15" hidden="1">
      <c r="I5059" s="20"/>
      <c r="O5059" s="19"/>
    </row>
    <row r="5060" spans="9:15" hidden="1">
      <c r="I5060" s="20"/>
      <c r="O5060" s="19"/>
    </row>
    <row r="5061" spans="9:15" hidden="1">
      <c r="I5061" s="20"/>
      <c r="O5061" s="19"/>
    </row>
    <row r="5062" spans="9:15" hidden="1">
      <c r="I5062" s="20"/>
      <c r="O5062" s="19"/>
    </row>
    <row r="5063" spans="9:15" hidden="1">
      <c r="I5063" s="20"/>
      <c r="O5063" s="19"/>
    </row>
    <row r="5064" spans="9:15" hidden="1">
      <c r="I5064" s="20"/>
      <c r="O5064" s="19"/>
    </row>
    <row r="5065" spans="9:15" hidden="1">
      <c r="I5065" s="20"/>
      <c r="O5065" s="19"/>
    </row>
    <row r="5066" spans="9:15" hidden="1">
      <c r="I5066" s="20"/>
      <c r="O5066" s="19"/>
    </row>
    <row r="5067" spans="9:15" hidden="1">
      <c r="I5067" s="20"/>
      <c r="O5067" s="19"/>
    </row>
    <row r="5068" spans="9:15" hidden="1">
      <c r="I5068" s="20"/>
      <c r="O5068" s="19"/>
    </row>
    <row r="5069" spans="9:15" hidden="1">
      <c r="I5069" s="20"/>
      <c r="O5069" s="19"/>
    </row>
    <row r="5070" spans="9:15" hidden="1">
      <c r="I5070" s="20"/>
      <c r="O5070" s="19"/>
    </row>
    <row r="5071" spans="9:15" hidden="1">
      <c r="I5071" s="20"/>
      <c r="O5071" s="19"/>
    </row>
    <row r="5072" spans="9:15" hidden="1">
      <c r="I5072" s="20"/>
      <c r="O5072" s="19"/>
    </row>
    <row r="5073" spans="1:16372" hidden="1"/>
    <row r="5074" spans="1:16372" ht="18.75">
      <c r="A5074" s="410" t="s">
        <v>437</v>
      </c>
      <c r="B5074" s="410"/>
      <c r="C5074" s="410"/>
      <c r="D5074" s="410"/>
      <c r="E5074" s="410"/>
      <c r="F5074" s="410"/>
      <c r="G5074" s="410"/>
      <c r="H5074" s="410"/>
      <c r="I5074" s="410"/>
      <c r="J5074" s="410"/>
      <c r="K5074" s="410"/>
      <c r="L5074" s="410"/>
      <c r="M5074" s="410"/>
      <c r="N5074" s="410"/>
      <c r="O5074" s="410"/>
      <c r="P5074" s="410"/>
      <c r="Q5074" s="410"/>
      <c r="V5074" s="136"/>
      <c r="W5074" s="136"/>
      <c r="X5074" s="38"/>
    </row>
    <row r="5075" spans="1:16372">
      <c r="B5075" s="21">
        <f>COUNT(B5078:B5175)</f>
        <v>98</v>
      </c>
      <c r="C5075" s="21">
        <f t="shared" ref="C5075:I5075" si="60">COUNT(C5078:C5175)</f>
        <v>98</v>
      </c>
      <c r="D5075" s="21">
        <f t="shared" si="60"/>
        <v>98</v>
      </c>
      <c r="E5075" s="21">
        <f t="shared" si="60"/>
        <v>98</v>
      </c>
      <c r="F5075" s="21">
        <f t="shared" si="60"/>
        <v>98</v>
      </c>
      <c r="G5075" s="21">
        <f t="shared" si="60"/>
        <v>98</v>
      </c>
      <c r="H5075" s="21">
        <f t="shared" si="60"/>
        <v>98</v>
      </c>
      <c r="I5075" s="21">
        <f t="shared" si="60"/>
        <v>98</v>
      </c>
      <c r="L5075" s="21">
        <f>COUNT(L5078:L5127)</f>
        <v>50</v>
      </c>
      <c r="M5075" s="21">
        <f t="shared" ref="M5075:T5075" si="61">COUNT(M5078:M5127)</f>
        <v>50</v>
      </c>
      <c r="N5075" s="21">
        <f t="shared" si="61"/>
        <v>50</v>
      </c>
      <c r="O5075" s="21">
        <f t="shared" si="61"/>
        <v>50</v>
      </c>
      <c r="P5075" s="21">
        <f t="shared" si="61"/>
        <v>50</v>
      </c>
      <c r="Q5075" s="21">
        <f t="shared" si="61"/>
        <v>50</v>
      </c>
      <c r="R5075" s="21">
        <f t="shared" si="61"/>
        <v>50</v>
      </c>
      <c r="S5075" s="21">
        <f t="shared" si="61"/>
        <v>50</v>
      </c>
      <c r="T5075" s="21">
        <f t="shared" si="61"/>
        <v>50</v>
      </c>
      <c r="V5075" s="187"/>
      <c r="W5075" s="187"/>
      <c r="X5075" s="39"/>
      <c r="Z5075" s="187"/>
      <c r="AA5075" s="187"/>
      <c r="AB5075" s="40"/>
    </row>
    <row r="5076" spans="1:16372" ht="15" customHeight="1">
      <c r="A5076" s="915" t="s">
        <v>417</v>
      </c>
      <c r="B5076" s="21">
        <f>COUNTA(B5078:B5175)</f>
        <v>98</v>
      </c>
      <c r="C5076" s="21">
        <f t="shared" ref="C5076:I5076" si="62">COUNTA(C5078:C5175)</f>
        <v>98</v>
      </c>
      <c r="D5076" s="21">
        <f t="shared" si="62"/>
        <v>98</v>
      </c>
      <c r="E5076" s="21">
        <f t="shared" si="62"/>
        <v>98</v>
      </c>
      <c r="F5076" s="21">
        <f t="shared" si="62"/>
        <v>98</v>
      </c>
      <c r="G5076" s="21">
        <f t="shared" si="62"/>
        <v>98</v>
      </c>
      <c r="H5076" s="21">
        <f t="shared" si="62"/>
        <v>98</v>
      </c>
      <c r="I5076" s="21">
        <f t="shared" si="62"/>
        <v>98</v>
      </c>
      <c r="J5076" s="905" t="s">
        <v>418</v>
      </c>
      <c r="K5076" s="906" t="s">
        <v>419</v>
      </c>
      <c r="L5076" s="21">
        <f>COUNTA(L5078:L5127)</f>
        <v>50</v>
      </c>
      <c r="M5076" s="21">
        <f t="shared" ref="M5076:T5076" si="63">COUNTA(M5078:M5127)</f>
        <v>50</v>
      </c>
      <c r="N5076" s="21">
        <f t="shared" si="63"/>
        <v>50</v>
      </c>
      <c r="O5076" s="21">
        <f t="shared" si="63"/>
        <v>50</v>
      </c>
      <c r="P5076" s="21">
        <f t="shared" si="63"/>
        <v>50</v>
      </c>
      <c r="Q5076" s="21">
        <f t="shared" si="63"/>
        <v>50</v>
      </c>
      <c r="R5076" s="21">
        <f t="shared" si="63"/>
        <v>50</v>
      </c>
      <c r="S5076" s="21">
        <f t="shared" si="63"/>
        <v>50</v>
      </c>
      <c r="T5076" s="21">
        <f t="shared" si="63"/>
        <v>50</v>
      </c>
      <c r="V5076" s="1">
        <f>heeling</f>
        <v>0</v>
      </c>
      <c r="W5076" s="382">
        <f>sound216</f>
        <v>3310</v>
      </c>
      <c r="X5076" s="186">
        <f>IF((W5076+W5079)&lt;0,W5076,W5076+W5079)</f>
        <v>3310</v>
      </c>
      <c r="Y5076" s="381">
        <f>IF(Y5078=Y5077,Y5077,Interp1(X5077:X5078,Y5077:Y5078,X5076))</f>
        <v>73.489999999999995</v>
      </c>
      <c r="AA5076" s="30"/>
    </row>
    <row r="5077" spans="1:16372" ht="18.75">
      <c r="A5077" s="915"/>
      <c r="B5077" s="36">
        <v>-1</v>
      </c>
      <c r="C5077" s="35">
        <v>0</v>
      </c>
      <c r="D5077" s="35">
        <v>0.5</v>
      </c>
      <c r="E5077" s="35">
        <v>1</v>
      </c>
      <c r="F5077" s="35">
        <v>1.5</v>
      </c>
      <c r="G5077" s="35">
        <v>2</v>
      </c>
      <c r="H5077" s="37">
        <v>3</v>
      </c>
      <c r="I5077" s="21">
        <v>4</v>
      </c>
      <c r="J5077" s="905"/>
      <c r="K5077" s="906"/>
      <c r="L5077" s="21">
        <v>-4</v>
      </c>
      <c r="M5077" s="35">
        <v>-3</v>
      </c>
      <c r="N5077" s="35">
        <v>-2</v>
      </c>
      <c r="O5077" s="35">
        <v>-1</v>
      </c>
      <c r="P5077" s="35">
        <v>0</v>
      </c>
      <c r="Q5077" s="35">
        <v>1</v>
      </c>
      <c r="R5077" s="35">
        <v>2</v>
      </c>
      <c r="S5077" s="35">
        <v>3</v>
      </c>
      <c r="T5077" s="35">
        <v>4</v>
      </c>
      <c r="V5077" s="1">
        <f>IF(tankSound16=soundingPipe16,tankSound16,FLOOR(W5076,incHeel))</f>
        <v>3300</v>
      </c>
      <c r="W5077" s="1">
        <f>Interp2(tank16Heel1,tank16Heel2,tank16Heel3,V5077,V5076)</f>
        <v>0</v>
      </c>
      <c r="X5077" s="1">
        <f>IF(X5076=soundingPipe16,Tank1!X5076,FLOOR(X5076,inc))</f>
        <v>3300</v>
      </c>
      <c r="Y5077" s="42">
        <f>IF(W5082=W5081,W5081,Interp1(V5081:V5082,W5081:W5082,V5080))</f>
        <v>73.27</v>
      </c>
      <c r="AA5077" s="30"/>
      <c r="AC5077" s="29"/>
      <c r="AD5077" s="29"/>
      <c r="AE5077" s="29"/>
      <c r="AF5077" s="29"/>
      <c r="AG5077" s="29"/>
      <c r="AH5077" s="29"/>
      <c r="AI5077" s="29"/>
      <c r="AJ5077" s="29"/>
      <c r="AK5077" s="29"/>
      <c r="AL5077" s="29"/>
      <c r="AM5077" s="29"/>
      <c r="AN5077" s="29"/>
      <c r="AO5077" s="29"/>
      <c r="AP5077" s="29"/>
      <c r="AQ5077" s="29"/>
      <c r="AR5077" s="29"/>
      <c r="AS5077" s="29"/>
      <c r="AT5077" s="29"/>
      <c r="AU5077" s="29"/>
      <c r="AV5077" s="29"/>
      <c r="AW5077" s="29"/>
      <c r="AX5077" s="29"/>
      <c r="AY5077" s="29"/>
      <c r="AZ5077" s="29"/>
      <c r="BA5077" s="917" t="s">
        <v>78</v>
      </c>
      <c r="BB5077" s="917"/>
      <c r="BC5077" s="917"/>
      <c r="BD5077" s="917"/>
      <c r="BE5077" s="917"/>
      <c r="BF5077" s="917"/>
      <c r="BG5077" s="917"/>
      <c r="BH5077" s="917"/>
      <c r="BI5077" s="917"/>
      <c r="BJ5077" s="917"/>
      <c r="BK5077" s="917"/>
      <c r="BL5077" s="917"/>
      <c r="BM5077" s="917"/>
      <c r="BN5077" s="917"/>
      <c r="BO5077" s="917"/>
      <c r="BP5077" s="917"/>
      <c r="BQ5077" s="917"/>
      <c r="BR5077" s="917"/>
      <c r="BS5077" s="917"/>
      <c r="BT5077" s="917"/>
      <c r="BU5077" s="917"/>
      <c r="BV5077" s="917"/>
      <c r="BW5077" s="917"/>
      <c r="BX5077" s="917"/>
      <c r="BY5077" s="917"/>
      <c r="BZ5077" s="917"/>
      <c r="CA5077" s="917"/>
      <c r="CB5077" s="917"/>
      <c r="CC5077" s="917"/>
      <c r="CD5077" s="917"/>
      <c r="CE5077" s="917"/>
      <c r="CF5077" s="917"/>
      <c r="CG5077" s="917" t="s">
        <v>78</v>
      </c>
      <c r="CH5077" s="917"/>
      <c r="CI5077" s="917"/>
      <c r="CJ5077" s="917"/>
      <c r="CK5077" s="917"/>
      <c r="CL5077" s="917"/>
      <c r="CM5077" s="917"/>
      <c r="CN5077" s="917"/>
      <c r="CO5077" s="917"/>
      <c r="CP5077" s="917"/>
      <c r="CQ5077" s="917"/>
      <c r="CR5077" s="917"/>
      <c r="CS5077" s="917"/>
      <c r="CT5077" s="917"/>
      <c r="CU5077" s="917"/>
      <c r="CV5077" s="917"/>
      <c r="CW5077" s="917"/>
      <c r="CX5077" s="917"/>
      <c r="CY5077" s="917"/>
      <c r="CZ5077" s="917"/>
      <c r="DA5077" s="917"/>
      <c r="DB5077" s="917"/>
      <c r="DC5077" s="917"/>
      <c r="DD5077" s="917"/>
      <c r="DE5077" s="917"/>
      <c r="DF5077" s="917"/>
      <c r="DG5077" s="917"/>
      <c r="DH5077" s="917"/>
      <c r="DI5077" s="917"/>
      <c r="DJ5077" s="917"/>
      <c r="DK5077" s="917"/>
      <c r="DL5077" s="917"/>
      <c r="DM5077" s="917" t="s">
        <v>78</v>
      </c>
      <c r="DN5077" s="917"/>
      <c r="DO5077" s="917"/>
      <c r="DP5077" s="917"/>
      <c r="DQ5077" s="917"/>
      <c r="DR5077" s="917"/>
      <c r="DS5077" s="917"/>
      <c r="DT5077" s="917"/>
      <c r="DU5077" s="917"/>
      <c r="DV5077" s="917"/>
      <c r="DW5077" s="917"/>
      <c r="DX5077" s="917"/>
      <c r="DY5077" s="917"/>
      <c r="DZ5077" s="917"/>
      <c r="EA5077" s="917"/>
      <c r="EB5077" s="917"/>
      <c r="EC5077" s="917"/>
      <c r="ED5077" s="917"/>
      <c r="EE5077" s="917"/>
      <c r="EF5077" s="917"/>
      <c r="EG5077" s="917"/>
      <c r="EH5077" s="917"/>
      <c r="EI5077" s="917"/>
      <c r="EJ5077" s="917"/>
      <c r="EK5077" s="917"/>
      <c r="EL5077" s="917"/>
      <c r="EM5077" s="917"/>
      <c r="EN5077" s="917"/>
      <c r="EO5077" s="917"/>
      <c r="EP5077" s="917"/>
      <c r="EQ5077" s="917"/>
      <c r="ER5077" s="917"/>
      <c r="ES5077" s="917" t="s">
        <v>78</v>
      </c>
      <c r="ET5077" s="917"/>
      <c r="EU5077" s="917"/>
      <c r="EV5077" s="917"/>
      <c r="EW5077" s="917"/>
      <c r="EX5077" s="917"/>
      <c r="EY5077" s="917"/>
      <c r="EZ5077" s="917"/>
      <c r="FA5077" s="917"/>
      <c r="FB5077" s="917"/>
      <c r="FC5077" s="917"/>
      <c r="FD5077" s="917"/>
      <c r="FE5077" s="917"/>
      <c r="FF5077" s="917"/>
      <c r="FG5077" s="917"/>
      <c r="FH5077" s="917"/>
      <c r="FI5077" s="917"/>
      <c r="FJ5077" s="917"/>
      <c r="FK5077" s="917"/>
      <c r="FL5077" s="917"/>
      <c r="FM5077" s="917"/>
      <c r="FN5077" s="917"/>
      <c r="FO5077" s="917"/>
      <c r="FP5077" s="917"/>
      <c r="FQ5077" s="917"/>
      <c r="FR5077" s="917"/>
      <c r="FS5077" s="917"/>
      <c r="FT5077" s="917"/>
      <c r="FU5077" s="917"/>
      <c r="FV5077" s="917"/>
      <c r="FW5077" s="917"/>
      <c r="FX5077" s="917"/>
      <c r="FY5077" s="917" t="s">
        <v>78</v>
      </c>
      <c r="FZ5077" s="917"/>
      <c r="GA5077" s="917"/>
      <c r="GB5077" s="917"/>
      <c r="GC5077" s="917"/>
      <c r="GD5077" s="917"/>
      <c r="GE5077" s="917"/>
      <c r="GF5077" s="917"/>
      <c r="GG5077" s="917"/>
      <c r="GH5077" s="917"/>
      <c r="GI5077" s="917"/>
      <c r="GJ5077" s="917"/>
      <c r="GK5077" s="917"/>
      <c r="GL5077" s="917"/>
      <c r="GM5077" s="917"/>
      <c r="GN5077" s="917"/>
      <c r="GO5077" s="917"/>
      <c r="GP5077" s="917"/>
      <c r="GQ5077" s="917"/>
      <c r="GR5077" s="917"/>
      <c r="GS5077" s="917"/>
      <c r="GT5077" s="917"/>
      <c r="GU5077" s="917"/>
      <c r="GV5077" s="917"/>
      <c r="GW5077" s="917"/>
      <c r="GX5077" s="917"/>
      <c r="GY5077" s="917"/>
      <c r="GZ5077" s="917"/>
      <c r="HA5077" s="917"/>
      <c r="HB5077" s="917"/>
      <c r="HC5077" s="917"/>
      <c r="HD5077" s="917"/>
      <c r="HE5077" s="917" t="s">
        <v>78</v>
      </c>
      <c r="HF5077" s="917"/>
      <c r="HG5077" s="917"/>
      <c r="HH5077" s="917"/>
      <c r="HI5077" s="917"/>
      <c r="HJ5077" s="917"/>
      <c r="HK5077" s="917"/>
      <c r="HL5077" s="917"/>
      <c r="HM5077" s="917"/>
      <c r="HN5077" s="917"/>
      <c r="HO5077" s="917"/>
      <c r="HP5077" s="917"/>
      <c r="HQ5077" s="917"/>
      <c r="HR5077" s="917"/>
      <c r="HS5077" s="917"/>
      <c r="HT5077" s="917"/>
      <c r="HU5077" s="917"/>
      <c r="HV5077" s="917"/>
      <c r="HW5077" s="917"/>
      <c r="HX5077" s="917"/>
      <c r="HY5077" s="917"/>
      <c r="HZ5077" s="917"/>
      <c r="IA5077" s="917"/>
      <c r="IB5077" s="917"/>
      <c r="IC5077" s="917"/>
      <c r="ID5077" s="917"/>
      <c r="IE5077" s="917"/>
      <c r="IF5077" s="917"/>
      <c r="IG5077" s="917"/>
      <c r="IH5077" s="917"/>
      <c r="II5077" s="917"/>
      <c r="IJ5077" s="917"/>
      <c r="IK5077" s="917" t="s">
        <v>78</v>
      </c>
      <c r="IL5077" s="917"/>
      <c r="IM5077" s="917"/>
      <c r="IN5077" s="917"/>
      <c r="IO5077" s="917"/>
      <c r="IP5077" s="917"/>
      <c r="IQ5077" s="917"/>
      <c r="IR5077" s="917"/>
      <c r="IS5077" s="917"/>
      <c r="IT5077" s="917"/>
      <c r="IU5077" s="917"/>
      <c r="IV5077" s="917"/>
      <c r="IW5077" s="917"/>
      <c r="IX5077" s="917"/>
      <c r="IY5077" s="917"/>
      <c r="IZ5077" s="917"/>
      <c r="JA5077" s="917"/>
      <c r="JB5077" s="917"/>
      <c r="JC5077" s="917"/>
      <c r="JD5077" s="917"/>
      <c r="JE5077" s="917"/>
      <c r="JF5077" s="917"/>
      <c r="JG5077" s="917"/>
      <c r="JH5077" s="917"/>
      <c r="JI5077" s="917"/>
      <c r="JJ5077" s="917"/>
      <c r="JK5077" s="917"/>
      <c r="JL5077" s="917"/>
      <c r="JM5077" s="917"/>
      <c r="JN5077" s="917"/>
      <c r="JO5077" s="917"/>
      <c r="JP5077" s="917"/>
      <c r="JQ5077" s="917" t="s">
        <v>78</v>
      </c>
      <c r="JR5077" s="917"/>
      <c r="JS5077" s="917"/>
      <c r="JT5077" s="917"/>
      <c r="JU5077" s="917"/>
      <c r="JV5077" s="917"/>
      <c r="JW5077" s="917"/>
      <c r="JX5077" s="917"/>
      <c r="JY5077" s="917"/>
      <c r="JZ5077" s="917"/>
      <c r="KA5077" s="917"/>
      <c r="KB5077" s="917"/>
      <c r="KC5077" s="917"/>
      <c r="KD5077" s="917"/>
      <c r="KE5077" s="917"/>
      <c r="KF5077" s="917"/>
      <c r="KG5077" s="917"/>
      <c r="KH5077" s="917"/>
      <c r="KI5077" s="917"/>
      <c r="KJ5077" s="917"/>
      <c r="KK5077" s="917"/>
      <c r="KL5077" s="917"/>
      <c r="KM5077" s="917"/>
      <c r="KN5077" s="917"/>
      <c r="KO5077" s="917"/>
      <c r="KP5077" s="917"/>
      <c r="KQ5077" s="917"/>
      <c r="KR5077" s="917"/>
      <c r="KS5077" s="917"/>
      <c r="KT5077" s="917"/>
      <c r="KU5077" s="917"/>
      <c r="KV5077" s="917"/>
      <c r="KW5077" s="917" t="s">
        <v>78</v>
      </c>
      <c r="KX5077" s="917"/>
      <c r="KY5077" s="917"/>
      <c r="KZ5077" s="917"/>
      <c r="LA5077" s="917"/>
      <c r="LB5077" s="917"/>
      <c r="LC5077" s="917"/>
      <c r="LD5077" s="917"/>
      <c r="LE5077" s="917"/>
      <c r="LF5077" s="917"/>
      <c r="LG5077" s="917"/>
      <c r="LH5077" s="917"/>
      <c r="LI5077" s="917"/>
      <c r="LJ5077" s="917"/>
      <c r="LK5077" s="917"/>
      <c r="LL5077" s="917"/>
      <c r="LM5077" s="917"/>
      <c r="LN5077" s="917"/>
      <c r="LO5077" s="917"/>
      <c r="LP5077" s="917"/>
      <c r="LQ5077" s="917"/>
      <c r="LR5077" s="917"/>
      <c r="LS5077" s="917"/>
      <c r="LT5077" s="917"/>
      <c r="LU5077" s="917"/>
      <c r="LV5077" s="917"/>
      <c r="LW5077" s="917"/>
      <c r="LX5077" s="917"/>
      <c r="LY5077" s="917"/>
      <c r="LZ5077" s="917"/>
      <c r="MA5077" s="917"/>
      <c r="MB5077" s="917"/>
      <c r="MC5077" s="917" t="s">
        <v>78</v>
      </c>
      <c r="MD5077" s="917"/>
      <c r="ME5077" s="917"/>
      <c r="MF5077" s="917"/>
      <c r="MG5077" s="917"/>
      <c r="MH5077" s="917"/>
      <c r="MI5077" s="917"/>
      <c r="MJ5077" s="917"/>
      <c r="MK5077" s="917"/>
      <c r="ML5077" s="917"/>
      <c r="MM5077" s="917"/>
      <c r="MN5077" s="917"/>
      <c r="MO5077" s="917"/>
      <c r="MP5077" s="917"/>
      <c r="MQ5077" s="917"/>
      <c r="MR5077" s="917"/>
      <c r="MS5077" s="917"/>
      <c r="MT5077" s="917"/>
      <c r="MU5077" s="917"/>
      <c r="MV5077" s="917"/>
      <c r="MW5077" s="917"/>
      <c r="MX5077" s="917"/>
      <c r="MY5077" s="917"/>
      <c r="MZ5077" s="917"/>
      <c r="NA5077" s="917"/>
      <c r="NB5077" s="917"/>
      <c r="NC5077" s="917"/>
      <c r="ND5077" s="917"/>
      <c r="NE5077" s="917"/>
      <c r="NF5077" s="917"/>
      <c r="NG5077" s="917"/>
      <c r="NH5077" s="917"/>
      <c r="NI5077" s="917" t="s">
        <v>78</v>
      </c>
      <c r="NJ5077" s="917"/>
      <c r="NK5077" s="917"/>
      <c r="NL5077" s="917"/>
      <c r="NM5077" s="917"/>
      <c r="NN5077" s="917"/>
      <c r="NO5077" s="917"/>
      <c r="NP5077" s="917"/>
      <c r="NQ5077" s="917"/>
      <c r="NR5077" s="917"/>
      <c r="NS5077" s="917"/>
      <c r="NT5077" s="917"/>
      <c r="NU5077" s="917"/>
      <c r="NV5077" s="917"/>
      <c r="NW5077" s="917"/>
      <c r="NX5077" s="917"/>
      <c r="NY5077" s="917"/>
      <c r="NZ5077" s="917"/>
      <c r="OA5077" s="917"/>
      <c r="OB5077" s="917"/>
      <c r="OC5077" s="917"/>
      <c r="OD5077" s="917"/>
      <c r="OE5077" s="917"/>
      <c r="OF5077" s="917"/>
      <c r="OG5077" s="917"/>
      <c r="OH5077" s="917"/>
      <c r="OI5077" s="917"/>
      <c r="OJ5077" s="917"/>
      <c r="OK5077" s="917"/>
      <c r="OL5077" s="917"/>
      <c r="OM5077" s="917"/>
      <c r="ON5077" s="917"/>
      <c r="OO5077" s="917" t="s">
        <v>78</v>
      </c>
      <c r="OP5077" s="917"/>
      <c r="OQ5077" s="917"/>
      <c r="OR5077" s="917"/>
      <c r="OS5077" s="917"/>
      <c r="OT5077" s="917"/>
      <c r="OU5077" s="917"/>
      <c r="OV5077" s="917"/>
      <c r="OW5077" s="917"/>
      <c r="OX5077" s="917"/>
      <c r="OY5077" s="917"/>
      <c r="OZ5077" s="917"/>
      <c r="PA5077" s="917"/>
      <c r="PB5077" s="917"/>
      <c r="PC5077" s="917"/>
      <c r="PD5077" s="917"/>
      <c r="PE5077" s="917"/>
      <c r="PF5077" s="917"/>
      <c r="PG5077" s="917"/>
      <c r="PH5077" s="917"/>
      <c r="PI5077" s="917"/>
      <c r="PJ5077" s="917"/>
      <c r="PK5077" s="917"/>
      <c r="PL5077" s="917"/>
      <c r="PM5077" s="917"/>
      <c r="PN5077" s="917"/>
      <c r="PO5077" s="917"/>
      <c r="PP5077" s="917"/>
      <c r="PQ5077" s="917"/>
      <c r="PR5077" s="917"/>
      <c r="PS5077" s="917"/>
      <c r="PT5077" s="917"/>
      <c r="PU5077" s="917" t="s">
        <v>78</v>
      </c>
      <c r="PV5077" s="917"/>
      <c r="PW5077" s="917"/>
      <c r="PX5077" s="917"/>
      <c r="PY5077" s="917"/>
      <c r="PZ5077" s="917"/>
      <c r="QA5077" s="917"/>
      <c r="QB5077" s="917"/>
      <c r="QC5077" s="917"/>
      <c r="QD5077" s="917"/>
      <c r="QE5077" s="917"/>
      <c r="QF5077" s="917"/>
      <c r="QG5077" s="917"/>
      <c r="QH5077" s="917"/>
      <c r="QI5077" s="917"/>
      <c r="QJ5077" s="917"/>
      <c r="QK5077" s="917"/>
      <c r="QL5077" s="917"/>
      <c r="QM5077" s="917"/>
      <c r="QN5077" s="917"/>
      <c r="QO5077" s="917"/>
      <c r="QP5077" s="917"/>
      <c r="QQ5077" s="917"/>
      <c r="QR5077" s="917"/>
      <c r="QS5077" s="917"/>
      <c r="QT5077" s="917"/>
      <c r="QU5077" s="917"/>
      <c r="QV5077" s="917"/>
      <c r="QW5077" s="917"/>
      <c r="QX5077" s="917"/>
      <c r="QY5077" s="917"/>
      <c r="QZ5077" s="917"/>
      <c r="RA5077" s="917" t="s">
        <v>78</v>
      </c>
      <c r="RB5077" s="917"/>
      <c r="RC5077" s="917"/>
      <c r="RD5077" s="917"/>
      <c r="RE5077" s="917"/>
      <c r="RF5077" s="917"/>
      <c r="RG5077" s="917"/>
      <c r="RH5077" s="917"/>
      <c r="RI5077" s="917"/>
      <c r="RJ5077" s="917"/>
      <c r="RK5077" s="917"/>
      <c r="RL5077" s="917"/>
      <c r="RM5077" s="917"/>
      <c r="RN5077" s="917"/>
      <c r="RO5077" s="917"/>
      <c r="RP5077" s="917"/>
      <c r="RQ5077" s="917"/>
      <c r="RR5077" s="917"/>
      <c r="RS5077" s="917"/>
      <c r="RT5077" s="917"/>
      <c r="RU5077" s="917"/>
      <c r="RV5077" s="917"/>
      <c r="RW5077" s="917"/>
      <c r="RX5077" s="917"/>
      <c r="RY5077" s="917"/>
      <c r="RZ5077" s="917"/>
      <c r="SA5077" s="917"/>
      <c r="SB5077" s="917"/>
      <c r="SC5077" s="917"/>
      <c r="SD5077" s="917"/>
      <c r="SE5077" s="917"/>
      <c r="SF5077" s="917"/>
      <c r="SG5077" s="917" t="s">
        <v>78</v>
      </c>
      <c r="SH5077" s="917"/>
      <c r="SI5077" s="917"/>
      <c r="SJ5077" s="917"/>
      <c r="SK5077" s="917"/>
      <c r="SL5077" s="917"/>
      <c r="SM5077" s="917"/>
      <c r="SN5077" s="917"/>
      <c r="SO5077" s="917"/>
      <c r="SP5077" s="917"/>
      <c r="SQ5077" s="917"/>
      <c r="SR5077" s="917"/>
      <c r="SS5077" s="917"/>
      <c r="ST5077" s="917"/>
      <c r="SU5077" s="917"/>
      <c r="SV5077" s="917"/>
      <c r="SW5077" s="917"/>
      <c r="SX5077" s="917"/>
      <c r="SY5077" s="917"/>
      <c r="SZ5077" s="917"/>
      <c r="TA5077" s="917"/>
      <c r="TB5077" s="917"/>
      <c r="TC5077" s="917"/>
      <c r="TD5077" s="917"/>
      <c r="TE5077" s="917"/>
      <c r="TF5077" s="917"/>
      <c r="TG5077" s="917"/>
      <c r="TH5077" s="917"/>
      <c r="TI5077" s="917"/>
      <c r="TJ5077" s="917"/>
      <c r="TK5077" s="917"/>
      <c r="TL5077" s="917"/>
      <c r="TM5077" s="917" t="s">
        <v>78</v>
      </c>
      <c r="TN5077" s="917"/>
      <c r="TO5077" s="917"/>
      <c r="TP5077" s="917"/>
      <c r="TQ5077" s="917"/>
      <c r="TR5077" s="917"/>
      <c r="TS5077" s="917"/>
      <c r="TT5077" s="917"/>
      <c r="TU5077" s="917"/>
      <c r="TV5077" s="917"/>
      <c r="TW5077" s="917"/>
      <c r="TX5077" s="917"/>
      <c r="TY5077" s="917"/>
      <c r="TZ5077" s="917"/>
      <c r="UA5077" s="917"/>
      <c r="UB5077" s="917"/>
      <c r="UC5077" s="917"/>
      <c r="UD5077" s="917"/>
      <c r="UE5077" s="917"/>
      <c r="UF5077" s="917"/>
      <c r="UG5077" s="917"/>
      <c r="UH5077" s="917"/>
      <c r="UI5077" s="917"/>
      <c r="UJ5077" s="917"/>
      <c r="UK5077" s="917"/>
      <c r="UL5077" s="917"/>
      <c r="UM5077" s="917"/>
      <c r="UN5077" s="917"/>
      <c r="UO5077" s="917"/>
      <c r="UP5077" s="917"/>
      <c r="UQ5077" s="917"/>
      <c r="UR5077" s="917"/>
      <c r="US5077" s="917" t="s">
        <v>78</v>
      </c>
      <c r="UT5077" s="917"/>
      <c r="UU5077" s="917"/>
      <c r="UV5077" s="917"/>
      <c r="UW5077" s="917"/>
      <c r="UX5077" s="917"/>
      <c r="UY5077" s="917"/>
      <c r="UZ5077" s="917"/>
      <c r="VA5077" s="917"/>
      <c r="VB5077" s="917"/>
      <c r="VC5077" s="917"/>
      <c r="VD5077" s="917"/>
      <c r="VE5077" s="917"/>
      <c r="VF5077" s="917"/>
      <c r="VG5077" s="917"/>
      <c r="VH5077" s="917"/>
      <c r="VI5077" s="917"/>
      <c r="VJ5077" s="917"/>
      <c r="VK5077" s="917"/>
      <c r="VL5077" s="917"/>
      <c r="VM5077" s="917"/>
      <c r="VN5077" s="917"/>
      <c r="VO5077" s="917"/>
      <c r="VP5077" s="917"/>
      <c r="VQ5077" s="917"/>
      <c r="VR5077" s="917"/>
      <c r="VS5077" s="917"/>
      <c r="VT5077" s="917"/>
      <c r="VU5077" s="917"/>
      <c r="VV5077" s="917"/>
      <c r="VW5077" s="917"/>
      <c r="VX5077" s="917"/>
      <c r="VY5077" s="917" t="s">
        <v>78</v>
      </c>
      <c r="VZ5077" s="917"/>
      <c r="WA5077" s="917"/>
      <c r="WB5077" s="917"/>
      <c r="WC5077" s="917"/>
      <c r="WD5077" s="917"/>
      <c r="WE5077" s="917"/>
      <c r="WF5077" s="917"/>
      <c r="WG5077" s="917"/>
      <c r="WH5077" s="917"/>
      <c r="WI5077" s="917"/>
      <c r="WJ5077" s="917"/>
      <c r="WK5077" s="917"/>
      <c r="WL5077" s="917"/>
      <c r="WM5077" s="917"/>
      <c r="WN5077" s="917"/>
      <c r="WO5077" s="917"/>
      <c r="WP5077" s="917"/>
      <c r="WQ5077" s="917"/>
      <c r="WR5077" s="917"/>
      <c r="WS5077" s="917"/>
      <c r="WT5077" s="917"/>
      <c r="WU5077" s="917"/>
      <c r="WV5077" s="917"/>
      <c r="WW5077" s="917"/>
      <c r="WX5077" s="917"/>
      <c r="WY5077" s="917"/>
      <c r="WZ5077" s="917"/>
      <c r="XA5077" s="917"/>
      <c r="XB5077" s="917"/>
      <c r="XC5077" s="917"/>
      <c r="XD5077" s="917"/>
      <c r="XE5077" s="917" t="s">
        <v>78</v>
      </c>
      <c r="XF5077" s="917"/>
      <c r="XG5077" s="917"/>
      <c r="XH5077" s="917"/>
      <c r="XI5077" s="917"/>
      <c r="XJ5077" s="917"/>
      <c r="XK5077" s="917"/>
      <c r="XL5077" s="917"/>
      <c r="XM5077" s="917"/>
      <c r="XN5077" s="917"/>
      <c r="XO5077" s="917"/>
      <c r="XP5077" s="917"/>
      <c r="XQ5077" s="917"/>
      <c r="XR5077" s="917"/>
      <c r="XS5077" s="917"/>
      <c r="XT5077" s="917"/>
      <c r="XU5077" s="917"/>
      <c r="XV5077" s="917"/>
      <c r="XW5077" s="917"/>
      <c r="XX5077" s="917"/>
      <c r="XY5077" s="917"/>
      <c r="XZ5077" s="917"/>
      <c r="YA5077" s="917"/>
      <c r="YB5077" s="917"/>
      <c r="YC5077" s="917"/>
      <c r="YD5077" s="917"/>
      <c r="YE5077" s="917"/>
      <c r="YF5077" s="917"/>
      <c r="YG5077" s="917"/>
      <c r="YH5077" s="917"/>
      <c r="YI5077" s="917"/>
      <c r="YJ5077" s="917"/>
      <c r="YK5077" s="917" t="s">
        <v>78</v>
      </c>
      <c r="YL5077" s="917"/>
      <c r="YM5077" s="917"/>
      <c r="YN5077" s="917"/>
      <c r="YO5077" s="917"/>
      <c r="YP5077" s="917"/>
      <c r="YQ5077" s="917"/>
      <c r="YR5077" s="917"/>
      <c r="YS5077" s="917"/>
      <c r="YT5077" s="917"/>
      <c r="YU5077" s="917"/>
      <c r="YV5077" s="917"/>
      <c r="YW5077" s="917"/>
      <c r="YX5077" s="917"/>
      <c r="YY5077" s="917"/>
      <c r="YZ5077" s="917"/>
      <c r="ZA5077" s="917"/>
      <c r="ZB5077" s="917"/>
      <c r="ZC5077" s="917"/>
      <c r="ZD5077" s="917"/>
      <c r="ZE5077" s="917"/>
      <c r="ZF5077" s="917"/>
      <c r="ZG5077" s="917"/>
      <c r="ZH5077" s="917"/>
      <c r="ZI5077" s="917"/>
      <c r="ZJ5077" s="917"/>
      <c r="ZK5077" s="917"/>
      <c r="ZL5077" s="917"/>
      <c r="ZM5077" s="917"/>
      <c r="ZN5077" s="917"/>
      <c r="ZO5077" s="917"/>
      <c r="ZP5077" s="917"/>
      <c r="ZQ5077" s="917" t="s">
        <v>78</v>
      </c>
      <c r="ZR5077" s="917"/>
      <c r="ZS5077" s="917"/>
      <c r="ZT5077" s="917"/>
      <c r="ZU5077" s="917"/>
      <c r="ZV5077" s="917"/>
      <c r="ZW5077" s="917"/>
      <c r="ZX5077" s="917"/>
      <c r="ZY5077" s="917"/>
      <c r="ZZ5077" s="917"/>
      <c r="AAA5077" s="917"/>
      <c r="AAB5077" s="917"/>
      <c r="AAC5077" s="917"/>
      <c r="AAD5077" s="917"/>
      <c r="AAE5077" s="917"/>
      <c r="AAF5077" s="917"/>
      <c r="AAG5077" s="917"/>
      <c r="AAH5077" s="917"/>
      <c r="AAI5077" s="917"/>
      <c r="AAJ5077" s="917"/>
      <c r="AAK5077" s="917"/>
      <c r="AAL5077" s="917"/>
      <c r="AAM5077" s="917"/>
      <c r="AAN5077" s="917"/>
      <c r="AAO5077" s="917"/>
      <c r="AAP5077" s="917"/>
      <c r="AAQ5077" s="917"/>
      <c r="AAR5077" s="917"/>
      <c r="AAS5077" s="917"/>
      <c r="AAT5077" s="917"/>
      <c r="AAU5077" s="917"/>
      <c r="AAV5077" s="917"/>
      <c r="AAW5077" s="917" t="s">
        <v>78</v>
      </c>
      <c r="AAX5077" s="917"/>
      <c r="AAY5077" s="917"/>
      <c r="AAZ5077" s="917"/>
      <c r="ABA5077" s="917"/>
      <c r="ABB5077" s="917"/>
      <c r="ABC5077" s="917"/>
      <c r="ABD5077" s="917"/>
      <c r="ABE5077" s="917"/>
      <c r="ABF5077" s="917"/>
      <c r="ABG5077" s="917"/>
      <c r="ABH5077" s="917"/>
      <c r="ABI5077" s="917"/>
      <c r="ABJ5077" s="917"/>
      <c r="ABK5077" s="917"/>
      <c r="ABL5077" s="917"/>
      <c r="ABM5077" s="917"/>
      <c r="ABN5077" s="917"/>
      <c r="ABO5077" s="917"/>
      <c r="ABP5077" s="917"/>
      <c r="ABQ5077" s="917"/>
      <c r="ABR5077" s="917"/>
      <c r="ABS5077" s="917"/>
      <c r="ABT5077" s="917"/>
      <c r="ABU5077" s="917"/>
      <c r="ABV5077" s="917"/>
      <c r="ABW5077" s="917"/>
      <c r="ABX5077" s="917"/>
      <c r="ABY5077" s="917"/>
      <c r="ABZ5077" s="917"/>
      <c r="ACA5077" s="917"/>
      <c r="ACB5077" s="917"/>
      <c r="ACC5077" s="917" t="s">
        <v>78</v>
      </c>
      <c r="ACD5077" s="917"/>
      <c r="ACE5077" s="917"/>
      <c r="ACF5077" s="917"/>
      <c r="ACG5077" s="917"/>
      <c r="ACH5077" s="917"/>
      <c r="ACI5077" s="917"/>
      <c r="ACJ5077" s="917"/>
      <c r="ACK5077" s="917"/>
      <c r="ACL5077" s="917"/>
      <c r="ACM5077" s="917"/>
      <c r="ACN5077" s="917"/>
      <c r="ACO5077" s="917"/>
      <c r="ACP5077" s="917"/>
      <c r="ACQ5077" s="917"/>
      <c r="ACR5077" s="917"/>
      <c r="ACS5077" s="917"/>
      <c r="ACT5077" s="917"/>
      <c r="ACU5077" s="917"/>
      <c r="ACV5077" s="917"/>
      <c r="ACW5077" s="917"/>
      <c r="ACX5077" s="917"/>
      <c r="ACY5077" s="917"/>
      <c r="ACZ5077" s="917"/>
      <c r="ADA5077" s="917"/>
      <c r="ADB5077" s="917"/>
      <c r="ADC5077" s="917"/>
      <c r="ADD5077" s="917"/>
      <c r="ADE5077" s="917"/>
      <c r="ADF5077" s="917"/>
      <c r="ADG5077" s="917"/>
      <c r="ADH5077" s="917"/>
      <c r="ADI5077" s="917" t="s">
        <v>78</v>
      </c>
      <c r="ADJ5077" s="917"/>
      <c r="ADK5077" s="917"/>
      <c r="ADL5077" s="917"/>
      <c r="ADM5077" s="917"/>
      <c r="ADN5077" s="917"/>
      <c r="ADO5077" s="917"/>
      <c r="ADP5077" s="917"/>
      <c r="ADQ5077" s="917"/>
      <c r="ADR5077" s="917"/>
      <c r="ADS5077" s="917"/>
      <c r="ADT5077" s="917"/>
      <c r="ADU5077" s="917"/>
      <c r="ADV5077" s="917"/>
      <c r="ADW5077" s="917"/>
      <c r="ADX5077" s="917"/>
      <c r="ADY5077" s="917"/>
      <c r="ADZ5077" s="917"/>
      <c r="AEA5077" s="917"/>
      <c r="AEB5077" s="917"/>
      <c r="AEC5077" s="917"/>
      <c r="AED5077" s="917"/>
      <c r="AEE5077" s="917"/>
      <c r="AEF5077" s="917"/>
      <c r="AEG5077" s="917"/>
      <c r="AEH5077" s="917"/>
      <c r="AEI5077" s="917"/>
      <c r="AEJ5077" s="917"/>
      <c r="AEK5077" s="917"/>
      <c r="AEL5077" s="917"/>
      <c r="AEM5077" s="917"/>
      <c r="AEN5077" s="917"/>
      <c r="AEO5077" s="917" t="s">
        <v>78</v>
      </c>
      <c r="AEP5077" s="917"/>
      <c r="AEQ5077" s="917"/>
      <c r="AER5077" s="917"/>
      <c r="AES5077" s="917"/>
      <c r="AET5077" s="917"/>
      <c r="AEU5077" s="917"/>
      <c r="AEV5077" s="917"/>
      <c r="AEW5077" s="917"/>
      <c r="AEX5077" s="917"/>
      <c r="AEY5077" s="917"/>
      <c r="AEZ5077" s="917"/>
      <c r="AFA5077" s="917"/>
      <c r="AFB5077" s="917"/>
      <c r="AFC5077" s="917"/>
      <c r="AFD5077" s="917"/>
      <c r="AFE5077" s="917"/>
      <c r="AFF5077" s="917"/>
      <c r="AFG5077" s="917"/>
      <c r="AFH5077" s="917"/>
      <c r="AFI5077" s="917"/>
      <c r="AFJ5077" s="917"/>
      <c r="AFK5077" s="917"/>
      <c r="AFL5077" s="917"/>
      <c r="AFM5077" s="917"/>
      <c r="AFN5077" s="917"/>
      <c r="AFO5077" s="917"/>
      <c r="AFP5077" s="917"/>
      <c r="AFQ5077" s="917"/>
      <c r="AFR5077" s="917"/>
      <c r="AFS5077" s="917"/>
      <c r="AFT5077" s="917"/>
      <c r="AFU5077" s="917" t="s">
        <v>78</v>
      </c>
      <c r="AFV5077" s="917"/>
      <c r="AFW5077" s="917"/>
      <c r="AFX5077" s="917"/>
      <c r="AFY5077" s="917"/>
      <c r="AFZ5077" s="917"/>
      <c r="AGA5077" s="917"/>
      <c r="AGB5077" s="917"/>
      <c r="AGC5077" s="917"/>
      <c r="AGD5077" s="917"/>
      <c r="AGE5077" s="917"/>
      <c r="AGF5077" s="917"/>
      <c r="AGG5077" s="917"/>
      <c r="AGH5077" s="917"/>
      <c r="AGI5077" s="917"/>
      <c r="AGJ5077" s="917"/>
      <c r="AGK5077" s="917"/>
      <c r="AGL5077" s="917"/>
      <c r="AGM5077" s="917"/>
      <c r="AGN5077" s="917"/>
      <c r="AGO5077" s="917"/>
      <c r="AGP5077" s="917"/>
      <c r="AGQ5077" s="917"/>
      <c r="AGR5077" s="917"/>
      <c r="AGS5077" s="917"/>
      <c r="AGT5077" s="917"/>
      <c r="AGU5077" s="917"/>
      <c r="AGV5077" s="917"/>
      <c r="AGW5077" s="917"/>
      <c r="AGX5077" s="917"/>
      <c r="AGY5077" s="917"/>
      <c r="AGZ5077" s="917"/>
      <c r="AHA5077" s="917" t="s">
        <v>78</v>
      </c>
      <c r="AHB5077" s="917"/>
      <c r="AHC5077" s="917"/>
      <c r="AHD5077" s="917"/>
      <c r="AHE5077" s="917"/>
      <c r="AHF5077" s="917"/>
      <c r="AHG5077" s="917"/>
      <c r="AHH5077" s="917"/>
      <c r="AHI5077" s="917"/>
      <c r="AHJ5077" s="917"/>
      <c r="AHK5077" s="917"/>
      <c r="AHL5077" s="917"/>
      <c r="AHM5077" s="917"/>
      <c r="AHN5077" s="917"/>
      <c r="AHO5077" s="917"/>
      <c r="AHP5077" s="917"/>
      <c r="AHQ5077" s="917"/>
      <c r="AHR5077" s="917"/>
      <c r="AHS5077" s="917"/>
      <c r="AHT5077" s="917"/>
      <c r="AHU5077" s="917"/>
      <c r="AHV5077" s="917"/>
      <c r="AHW5077" s="917"/>
      <c r="AHX5077" s="917"/>
      <c r="AHY5077" s="917"/>
      <c r="AHZ5077" s="917"/>
      <c r="AIA5077" s="917"/>
      <c r="AIB5077" s="917"/>
      <c r="AIC5077" s="917"/>
      <c r="AID5077" s="917"/>
      <c r="AIE5077" s="917"/>
      <c r="AIF5077" s="917"/>
      <c r="AIG5077" s="917" t="s">
        <v>78</v>
      </c>
      <c r="AIH5077" s="917"/>
      <c r="AII5077" s="917"/>
      <c r="AIJ5077" s="917"/>
      <c r="AIK5077" s="917"/>
      <c r="AIL5077" s="917"/>
      <c r="AIM5077" s="917"/>
      <c r="AIN5077" s="917"/>
      <c r="AIO5077" s="917"/>
      <c r="AIP5077" s="917"/>
      <c r="AIQ5077" s="917"/>
      <c r="AIR5077" s="917"/>
      <c r="AIS5077" s="917"/>
      <c r="AIT5077" s="917"/>
      <c r="AIU5077" s="917"/>
      <c r="AIV5077" s="917"/>
      <c r="AIW5077" s="917"/>
      <c r="AIX5077" s="917"/>
      <c r="AIY5077" s="917"/>
      <c r="AIZ5077" s="917"/>
      <c r="AJA5077" s="917"/>
      <c r="AJB5077" s="917"/>
      <c r="AJC5077" s="917"/>
      <c r="AJD5077" s="917"/>
      <c r="AJE5077" s="917"/>
      <c r="AJF5077" s="917"/>
      <c r="AJG5077" s="917"/>
      <c r="AJH5077" s="917"/>
      <c r="AJI5077" s="917"/>
      <c r="AJJ5077" s="917"/>
      <c r="AJK5077" s="917"/>
      <c r="AJL5077" s="917"/>
      <c r="AJM5077" s="917" t="s">
        <v>78</v>
      </c>
      <c r="AJN5077" s="917"/>
      <c r="AJO5077" s="917"/>
      <c r="AJP5077" s="917"/>
      <c r="AJQ5077" s="917"/>
      <c r="AJR5077" s="917"/>
      <c r="AJS5077" s="917"/>
      <c r="AJT5077" s="917"/>
      <c r="AJU5077" s="917"/>
      <c r="AJV5077" s="917"/>
      <c r="AJW5077" s="917"/>
      <c r="AJX5077" s="917"/>
      <c r="AJY5077" s="917"/>
      <c r="AJZ5077" s="917"/>
      <c r="AKA5077" s="917"/>
      <c r="AKB5077" s="917"/>
      <c r="AKC5077" s="917"/>
      <c r="AKD5077" s="917"/>
      <c r="AKE5077" s="917"/>
      <c r="AKF5077" s="917"/>
      <c r="AKG5077" s="917"/>
      <c r="AKH5077" s="917"/>
      <c r="AKI5077" s="917"/>
      <c r="AKJ5077" s="917"/>
      <c r="AKK5077" s="917"/>
      <c r="AKL5077" s="917"/>
      <c r="AKM5077" s="917"/>
      <c r="AKN5077" s="917"/>
      <c r="AKO5077" s="917"/>
      <c r="AKP5077" s="917"/>
      <c r="AKQ5077" s="917"/>
      <c r="AKR5077" s="917"/>
      <c r="AKS5077" s="917" t="s">
        <v>78</v>
      </c>
      <c r="AKT5077" s="917"/>
      <c r="AKU5077" s="917"/>
      <c r="AKV5077" s="917"/>
      <c r="AKW5077" s="917"/>
      <c r="AKX5077" s="917"/>
      <c r="AKY5077" s="917"/>
      <c r="AKZ5077" s="917"/>
      <c r="ALA5077" s="917"/>
      <c r="ALB5077" s="917"/>
      <c r="ALC5077" s="917"/>
      <c r="ALD5077" s="917"/>
      <c r="ALE5077" s="917"/>
      <c r="ALF5077" s="917"/>
      <c r="ALG5077" s="917"/>
      <c r="ALH5077" s="917"/>
      <c r="ALI5077" s="917"/>
      <c r="ALJ5077" s="917"/>
      <c r="ALK5077" s="917"/>
      <c r="ALL5077" s="917"/>
      <c r="ALM5077" s="917"/>
      <c r="ALN5077" s="917"/>
      <c r="ALO5077" s="917"/>
      <c r="ALP5077" s="917"/>
      <c r="ALQ5077" s="917"/>
      <c r="ALR5077" s="917"/>
      <c r="ALS5077" s="917"/>
      <c r="ALT5077" s="917"/>
      <c r="ALU5077" s="917"/>
      <c r="ALV5077" s="917"/>
      <c r="ALW5077" s="917"/>
      <c r="ALX5077" s="917"/>
      <c r="ALY5077" s="917" t="s">
        <v>78</v>
      </c>
      <c r="ALZ5077" s="917"/>
      <c r="AMA5077" s="917"/>
      <c r="AMB5077" s="917"/>
      <c r="AMC5077" s="917"/>
      <c r="AMD5077" s="917"/>
      <c r="AME5077" s="917"/>
      <c r="AMF5077" s="917"/>
      <c r="AMG5077" s="917"/>
      <c r="AMH5077" s="917"/>
      <c r="AMI5077" s="917"/>
      <c r="AMJ5077" s="917"/>
      <c r="AMK5077" s="917"/>
      <c r="AML5077" s="917"/>
      <c r="AMM5077" s="917"/>
      <c r="AMN5077" s="917"/>
      <c r="AMO5077" s="917"/>
      <c r="AMP5077" s="917"/>
      <c r="AMQ5077" s="917"/>
      <c r="AMR5077" s="917"/>
      <c r="AMS5077" s="917"/>
      <c r="AMT5077" s="917"/>
      <c r="AMU5077" s="917"/>
      <c r="AMV5077" s="917"/>
      <c r="AMW5077" s="917"/>
      <c r="AMX5077" s="917"/>
      <c r="AMY5077" s="917"/>
      <c r="AMZ5077" s="917"/>
      <c r="ANA5077" s="917"/>
      <c r="ANB5077" s="917"/>
      <c r="ANC5077" s="917"/>
      <c r="AND5077" s="917"/>
      <c r="ANE5077" s="917" t="s">
        <v>78</v>
      </c>
      <c r="ANF5077" s="917"/>
      <c r="ANG5077" s="917"/>
      <c r="ANH5077" s="917"/>
      <c r="ANI5077" s="917"/>
      <c r="ANJ5077" s="917"/>
      <c r="ANK5077" s="917"/>
      <c r="ANL5077" s="917"/>
      <c r="ANM5077" s="917"/>
      <c r="ANN5077" s="917"/>
      <c r="ANO5077" s="917"/>
      <c r="ANP5077" s="917"/>
      <c r="ANQ5077" s="917"/>
      <c r="ANR5077" s="917"/>
      <c r="ANS5077" s="917"/>
      <c r="ANT5077" s="917"/>
      <c r="ANU5077" s="917"/>
      <c r="ANV5077" s="917"/>
      <c r="ANW5077" s="917"/>
      <c r="ANX5077" s="917"/>
      <c r="ANY5077" s="917"/>
      <c r="ANZ5077" s="917"/>
      <c r="AOA5077" s="917"/>
      <c r="AOB5077" s="917"/>
      <c r="AOC5077" s="917"/>
      <c r="AOD5077" s="917"/>
      <c r="AOE5077" s="917"/>
      <c r="AOF5077" s="917"/>
      <c r="AOG5077" s="917"/>
      <c r="AOH5077" s="917"/>
      <c r="AOI5077" s="917"/>
      <c r="AOJ5077" s="917"/>
      <c r="AOK5077" s="917" t="s">
        <v>78</v>
      </c>
      <c r="AOL5077" s="917"/>
      <c r="AOM5077" s="917"/>
      <c r="AON5077" s="917"/>
      <c r="AOO5077" s="917"/>
      <c r="AOP5077" s="917"/>
      <c r="AOQ5077" s="917"/>
      <c r="AOR5077" s="917"/>
      <c r="AOS5077" s="917"/>
      <c r="AOT5077" s="917"/>
      <c r="AOU5077" s="917"/>
      <c r="AOV5077" s="917"/>
      <c r="AOW5077" s="917"/>
      <c r="AOX5077" s="917"/>
      <c r="AOY5077" s="917"/>
      <c r="AOZ5077" s="917"/>
      <c r="APA5077" s="917"/>
      <c r="APB5077" s="917"/>
      <c r="APC5077" s="917"/>
      <c r="APD5077" s="917"/>
      <c r="APE5077" s="917"/>
      <c r="APF5077" s="917"/>
      <c r="APG5077" s="917"/>
      <c r="APH5077" s="917"/>
      <c r="API5077" s="917"/>
      <c r="APJ5077" s="917"/>
      <c r="APK5077" s="917"/>
      <c r="APL5077" s="917"/>
      <c r="APM5077" s="917"/>
      <c r="APN5077" s="917"/>
      <c r="APO5077" s="917"/>
      <c r="APP5077" s="917"/>
      <c r="APQ5077" s="917" t="s">
        <v>78</v>
      </c>
      <c r="APR5077" s="917"/>
      <c r="APS5077" s="917"/>
      <c r="APT5077" s="917"/>
      <c r="APU5077" s="917"/>
      <c r="APV5077" s="917"/>
      <c r="APW5077" s="917"/>
      <c r="APX5077" s="917"/>
      <c r="APY5077" s="917"/>
      <c r="APZ5077" s="917"/>
      <c r="AQA5077" s="917"/>
      <c r="AQB5077" s="917"/>
      <c r="AQC5077" s="917"/>
      <c r="AQD5077" s="917"/>
      <c r="AQE5077" s="917"/>
      <c r="AQF5077" s="917"/>
      <c r="AQG5077" s="917"/>
      <c r="AQH5077" s="917"/>
      <c r="AQI5077" s="917"/>
      <c r="AQJ5077" s="917"/>
      <c r="AQK5077" s="917"/>
      <c r="AQL5077" s="917"/>
      <c r="AQM5077" s="917"/>
      <c r="AQN5077" s="917"/>
      <c r="AQO5077" s="917"/>
      <c r="AQP5077" s="917"/>
      <c r="AQQ5077" s="917"/>
      <c r="AQR5077" s="917"/>
      <c r="AQS5077" s="917"/>
      <c r="AQT5077" s="917"/>
      <c r="AQU5077" s="917"/>
      <c r="AQV5077" s="917"/>
      <c r="AQW5077" s="917" t="s">
        <v>78</v>
      </c>
      <c r="AQX5077" s="917"/>
      <c r="AQY5077" s="917"/>
      <c r="AQZ5077" s="917"/>
      <c r="ARA5077" s="917"/>
      <c r="ARB5077" s="917"/>
      <c r="ARC5077" s="917"/>
      <c r="ARD5077" s="917"/>
      <c r="ARE5077" s="917"/>
      <c r="ARF5077" s="917"/>
      <c r="ARG5077" s="917"/>
      <c r="ARH5077" s="917"/>
      <c r="ARI5077" s="917"/>
      <c r="ARJ5077" s="917"/>
      <c r="ARK5077" s="917"/>
      <c r="ARL5077" s="917"/>
      <c r="ARM5077" s="917"/>
      <c r="ARN5077" s="917"/>
      <c r="ARO5077" s="917"/>
      <c r="ARP5077" s="917"/>
      <c r="ARQ5077" s="917"/>
      <c r="ARR5077" s="917"/>
      <c r="ARS5077" s="917"/>
      <c r="ART5077" s="917"/>
      <c r="ARU5077" s="917"/>
      <c r="ARV5077" s="917"/>
      <c r="ARW5077" s="917"/>
      <c r="ARX5077" s="917"/>
      <c r="ARY5077" s="917"/>
      <c r="ARZ5077" s="917"/>
      <c r="ASA5077" s="917"/>
      <c r="ASB5077" s="917"/>
      <c r="ASC5077" s="917" t="s">
        <v>78</v>
      </c>
      <c r="ASD5077" s="917"/>
      <c r="ASE5077" s="917"/>
      <c r="ASF5077" s="917"/>
      <c r="ASG5077" s="917"/>
      <c r="ASH5077" s="917"/>
      <c r="ASI5077" s="917"/>
      <c r="ASJ5077" s="917"/>
      <c r="ASK5077" s="917"/>
      <c r="ASL5077" s="917"/>
      <c r="ASM5077" s="917"/>
      <c r="ASN5077" s="917"/>
      <c r="ASO5077" s="917"/>
      <c r="ASP5077" s="917"/>
      <c r="ASQ5077" s="917"/>
      <c r="ASR5077" s="917"/>
      <c r="ASS5077" s="917"/>
      <c r="AST5077" s="917"/>
      <c r="ASU5077" s="917"/>
      <c r="ASV5077" s="917"/>
      <c r="ASW5077" s="917"/>
      <c r="ASX5077" s="917"/>
      <c r="ASY5077" s="917"/>
      <c r="ASZ5077" s="917"/>
      <c r="ATA5077" s="917"/>
      <c r="ATB5077" s="917"/>
      <c r="ATC5077" s="917"/>
      <c r="ATD5077" s="917"/>
      <c r="ATE5077" s="917"/>
      <c r="ATF5077" s="917"/>
      <c r="ATG5077" s="917"/>
      <c r="ATH5077" s="917"/>
      <c r="ATI5077" s="917" t="s">
        <v>78</v>
      </c>
      <c r="ATJ5077" s="917"/>
      <c r="ATK5077" s="917"/>
      <c r="ATL5077" s="917"/>
      <c r="ATM5077" s="917"/>
      <c r="ATN5077" s="917"/>
      <c r="ATO5077" s="917"/>
      <c r="ATP5077" s="917"/>
      <c r="ATQ5077" s="917"/>
      <c r="ATR5077" s="917"/>
      <c r="ATS5077" s="917"/>
      <c r="ATT5077" s="917"/>
      <c r="ATU5077" s="917"/>
      <c r="ATV5077" s="917"/>
      <c r="ATW5077" s="917"/>
      <c r="ATX5077" s="917"/>
      <c r="ATY5077" s="917"/>
      <c r="ATZ5077" s="917"/>
      <c r="AUA5077" s="917"/>
      <c r="AUB5077" s="917"/>
      <c r="AUC5077" s="917"/>
      <c r="AUD5077" s="917"/>
      <c r="AUE5077" s="917"/>
      <c r="AUF5077" s="917"/>
      <c r="AUG5077" s="917"/>
      <c r="AUH5077" s="917"/>
      <c r="AUI5077" s="917"/>
      <c r="AUJ5077" s="917"/>
      <c r="AUK5077" s="917"/>
      <c r="AUL5077" s="917"/>
      <c r="AUM5077" s="917"/>
      <c r="AUN5077" s="917"/>
      <c r="AUO5077" s="917" t="s">
        <v>78</v>
      </c>
      <c r="AUP5077" s="917"/>
      <c r="AUQ5077" s="917"/>
      <c r="AUR5077" s="917"/>
      <c r="AUS5077" s="917"/>
      <c r="AUT5077" s="917"/>
      <c r="AUU5077" s="917"/>
      <c r="AUV5077" s="917"/>
      <c r="AUW5077" s="917"/>
      <c r="AUX5077" s="917"/>
      <c r="AUY5077" s="917"/>
      <c r="AUZ5077" s="917"/>
      <c r="AVA5077" s="917"/>
      <c r="AVB5077" s="917"/>
      <c r="AVC5077" s="917"/>
      <c r="AVD5077" s="917"/>
      <c r="AVE5077" s="917"/>
      <c r="AVF5077" s="917"/>
      <c r="AVG5077" s="917"/>
      <c r="AVH5077" s="917"/>
      <c r="AVI5077" s="917"/>
      <c r="AVJ5077" s="917"/>
      <c r="AVK5077" s="917"/>
      <c r="AVL5077" s="917"/>
      <c r="AVM5077" s="917"/>
      <c r="AVN5077" s="917"/>
      <c r="AVO5077" s="917"/>
      <c r="AVP5077" s="917"/>
      <c r="AVQ5077" s="917"/>
      <c r="AVR5077" s="917"/>
      <c r="AVS5077" s="917"/>
      <c r="AVT5077" s="917"/>
      <c r="AVU5077" s="917" t="s">
        <v>78</v>
      </c>
      <c r="AVV5077" s="917"/>
      <c r="AVW5077" s="917"/>
      <c r="AVX5077" s="917"/>
      <c r="AVY5077" s="917"/>
      <c r="AVZ5077" s="917"/>
      <c r="AWA5077" s="917"/>
      <c r="AWB5077" s="917"/>
      <c r="AWC5077" s="917"/>
      <c r="AWD5077" s="917"/>
      <c r="AWE5077" s="917"/>
      <c r="AWF5077" s="917"/>
      <c r="AWG5077" s="917"/>
      <c r="AWH5077" s="917"/>
      <c r="AWI5077" s="917"/>
      <c r="AWJ5077" s="917"/>
      <c r="AWK5077" s="917"/>
      <c r="AWL5077" s="917"/>
      <c r="AWM5077" s="917"/>
      <c r="AWN5077" s="917"/>
      <c r="AWO5077" s="917"/>
      <c r="AWP5077" s="917"/>
      <c r="AWQ5077" s="917"/>
      <c r="AWR5077" s="917"/>
      <c r="AWS5077" s="917"/>
      <c r="AWT5077" s="917"/>
      <c r="AWU5077" s="917"/>
      <c r="AWV5077" s="917"/>
      <c r="AWW5077" s="917"/>
      <c r="AWX5077" s="917"/>
      <c r="AWY5077" s="917"/>
      <c r="AWZ5077" s="917"/>
      <c r="AXA5077" s="917" t="s">
        <v>78</v>
      </c>
      <c r="AXB5077" s="917"/>
      <c r="AXC5077" s="917"/>
      <c r="AXD5077" s="917"/>
      <c r="AXE5077" s="917"/>
      <c r="AXF5077" s="917"/>
      <c r="AXG5077" s="917"/>
      <c r="AXH5077" s="917"/>
      <c r="AXI5077" s="917"/>
      <c r="AXJ5077" s="917"/>
      <c r="AXK5077" s="917"/>
      <c r="AXL5077" s="917"/>
      <c r="AXM5077" s="917"/>
      <c r="AXN5077" s="917"/>
      <c r="AXO5077" s="917"/>
      <c r="AXP5077" s="917"/>
      <c r="AXQ5077" s="917"/>
      <c r="AXR5077" s="917"/>
      <c r="AXS5077" s="917"/>
      <c r="AXT5077" s="917"/>
      <c r="AXU5077" s="917"/>
      <c r="AXV5077" s="917"/>
      <c r="AXW5077" s="917"/>
      <c r="AXX5077" s="917"/>
      <c r="AXY5077" s="917"/>
      <c r="AXZ5077" s="917"/>
      <c r="AYA5077" s="917"/>
      <c r="AYB5077" s="917"/>
      <c r="AYC5077" s="917"/>
      <c r="AYD5077" s="917"/>
      <c r="AYE5077" s="917"/>
      <c r="AYF5077" s="917"/>
      <c r="AYG5077" s="917" t="s">
        <v>78</v>
      </c>
      <c r="AYH5077" s="917"/>
      <c r="AYI5077" s="917"/>
      <c r="AYJ5077" s="917"/>
      <c r="AYK5077" s="917"/>
      <c r="AYL5077" s="917"/>
      <c r="AYM5077" s="917"/>
      <c r="AYN5077" s="917"/>
      <c r="AYO5077" s="917"/>
      <c r="AYP5077" s="917"/>
      <c r="AYQ5077" s="917"/>
      <c r="AYR5077" s="917"/>
      <c r="AYS5077" s="917"/>
      <c r="AYT5077" s="917"/>
      <c r="AYU5077" s="917"/>
      <c r="AYV5077" s="917"/>
      <c r="AYW5077" s="917"/>
      <c r="AYX5077" s="917"/>
      <c r="AYY5077" s="917"/>
      <c r="AYZ5077" s="917"/>
      <c r="AZA5077" s="917"/>
      <c r="AZB5077" s="917"/>
      <c r="AZC5077" s="917"/>
      <c r="AZD5077" s="917"/>
      <c r="AZE5077" s="917"/>
      <c r="AZF5077" s="917"/>
      <c r="AZG5077" s="917"/>
      <c r="AZH5077" s="917"/>
      <c r="AZI5077" s="917"/>
      <c r="AZJ5077" s="917"/>
      <c r="AZK5077" s="917"/>
      <c r="AZL5077" s="917"/>
      <c r="AZM5077" s="917" t="s">
        <v>78</v>
      </c>
      <c r="AZN5077" s="917"/>
      <c r="AZO5077" s="917"/>
      <c r="AZP5077" s="917"/>
      <c r="AZQ5077" s="917"/>
      <c r="AZR5077" s="917"/>
      <c r="AZS5077" s="917"/>
      <c r="AZT5077" s="917"/>
      <c r="AZU5077" s="917"/>
      <c r="AZV5077" s="917"/>
      <c r="AZW5077" s="917"/>
      <c r="AZX5077" s="917"/>
      <c r="AZY5077" s="917"/>
      <c r="AZZ5077" s="917"/>
      <c r="BAA5077" s="917"/>
      <c r="BAB5077" s="917"/>
      <c r="BAC5077" s="917"/>
      <c r="BAD5077" s="917"/>
      <c r="BAE5077" s="917"/>
      <c r="BAF5077" s="917"/>
      <c r="BAG5077" s="917"/>
      <c r="BAH5077" s="917"/>
      <c r="BAI5077" s="917"/>
      <c r="BAJ5077" s="917"/>
      <c r="BAK5077" s="917"/>
      <c r="BAL5077" s="917"/>
      <c r="BAM5077" s="917"/>
      <c r="BAN5077" s="917"/>
      <c r="BAO5077" s="917"/>
      <c r="BAP5077" s="917"/>
      <c r="BAQ5077" s="917"/>
      <c r="BAR5077" s="917"/>
      <c r="BAS5077" s="917" t="s">
        <v>78</v>
      </c>
      <c r="BAT5077" s="917"/>
      <c r="BAU5077" s="917"/>
      <c r="BAV5077" s="917"/>
      <c r="BAW5077" s="917"/>
      <c r="BAX5077" s="917"/>
      <c r="BAY5077" s="917"/>
      <c r="BAZ5077" s="917"/>
      <c r="BBA5077" s="917"/>
      <c r="BBB5077" s="917"/>
      <c r="BBC5077" s="917"/>
      <c r="BBD5077" s="917"/>
      <c r="BBE5077" s="917"/>
      <c r="BBF5077" s="917"/>
      <c r="BBG5077" s="917"/>
      <c r="BBH5077" s="917"/>
      <c r="BBI5077" s="917"/>
      <c r="BBJ5077" s="917"/>
      <c r="BBK5077" s="917"/>
      <c r="BBL5077" s="917"/>
      <c r="BBM5077" s="917"/>
      <c r="BBN5077" s="917"/>
      <c r="BBO5077" s="917"/>
      <c r="BBP5077" s="917"/>
      <c r="BBQ5077" s="917"/>
      <c r="BBR5077" s="917"/>
      <c r="BBS5077" s="917"/>
      <c r="BBT5077" s="917"/>
      <c r="BBU5077" s="917"/>
      <c r="BBV5077" s="917"/>
      <c r="BBW5077" s="917"/>
      <c r="BBX5077" s="917"/>
      <c r="BBY5077" s="917" t="s">
        <v>78</v>
      </c>
      <c r="BBZ5077" s="917"/>
      <c r="BCA5077" s="917"/>
      <c r="BCB5077" s="917"/>
      <c r="BCC5077" s="917"/>
      <c r="BCD5077" s="917"/>
      <c r="BCE5077" s="917"/>
      <c r="BCF5077" s="917"/>
      <c r="BCG5077" s="917"/>
      <c r="BCH5077" s="917"/>
      <c r="BCI5077" s="917"/>
      <c r="BCJ5077" s="917"/>
      <c r="BCK5077" s="917"/>
      <c r="BCL5077" s="917"/>
      <c r="BCM5077" s="917"/>
      <c r="BCN5077" s="917"/>
      <c r="BCO5077" s="917"/>
      <c r="BCP5077" s="917"/>
      <c r="BCQ5077" s="917"/>
      <c r="BCR5077" s="917"/>
      <c r="BCS5077" s="917"/>
      <c r="BCT5077" s="917"/>
      <c r="BCU5077" s="917"/>
      <c r="BCV5077" s="917"/>
      <c r="BCW5077" s="917"/>
      <c r="BCX5077" s="917"/>
      <c r="BCY5077" s="917"/>
      <c r="BCZ5077" s="917"/>
      <c r="BDA5077" s="917"/>
      <c r="BDB5077" s="917"/>
      <c r="BDC5077" s="917"/>
      <c r="BDD5077" s="917"/>
      <c r="BDE5077" s="917" t="s">
        <v>78</v>
      </c>
      <c r="BDF5077" s="917"/>
      <c r="BDG5077" s="917"/>
      <c r="BDH5077" s="917"/>
      <c r="BDI5077" s="917"/>
      <c r="BDJ5077" s="917"/>
      <c r="BDK5077" s="917"/>
      <c r="BDL5077" s="917"/>
      <c r="BDM5077" s="917"/>
      <c r="BDN5077" s="917"/>
      <c r="BDO5077" s="917"/>
      <c r="BDP5077" s="917"/>
      <c r="BDQ5077" s="917"/>
      <c r="BDR5077" s="917"/>
      <c r="BDS5077" s="917"/>
      <c r="BDT5077" s="917"/>
      <c r="BDU5077" s="917"/>
      <c r="BDV5077" s="917"/>
      <c r="BDW5077" s="917"/>
      <c r="BDX5077" s="917"/>
      <c r="BDY5077" s="917"/>
      <c r="BDZ5077" s="917"/>
      <c r="BEA5077" s="917"/>
      <c r="BEB5077" s="917"/>
      <c r="BEC5077" s="917"/>
      <c r="BED5077" s="917"/>
      <c r="BEE5077" s="917"/>
      <c r="BEF5077" s="917"/>
      <c r="BEG5077" s="917"/>
      <c r="BEH5077" s="917"/>
      <c r="BEI5077" s="917"/>
      <c r="BEJ5077" s="917"/>
      <c r="BEK5077" s="917" t="s">
        <v>78</v>
      </c>
      <c r="BEL5077" s="917"/>
      <c r="BEM5077" s="917"/>
      <c r="BEN5077" s="917"/>
      <c r="BEO5077" s="917"/>
      <c r="BEP5077" s="917"/>
      <c r="BEQ5077" s="917"/>
      <c r="BER5077" s="917"/>
      <c r="BES5077" s="917"/>
      <c r="BET5077" s="917"/>
      <c r="BEU5077" s="917"/>
      <c r="BEV5077" s="917"/>
      <c r="BEW5077" s="917"/>
      <c r="BEX5077" s="917"/>
      <c r="BEY5077" s="917"/>
      <c r="BEZ5077" s="917"/>
      <c r="BFA5077" s="917"/>
      <c r="BFB5077" s="917"/>
      <c r="BFC5077" s="917"/>
      <c r="BFD5077" s="917"/>
      <c r="BFE5077" s="917"/>
      <c r="BFF5077" s="917"/>
      <c r="BFG5077" s="917"/>
      <c r="BFH5077" s="917"/>
      <c r="BFI5077" s="917"/>
      <c r="BFJ5077" s="917"/>
      <c r="BFK5077" s="917"/>
      <c r="BFL5077" s="917"/>
      <c r="BFM5077" s="917"/>
      <c r="BFN5077" s="917"/>
      <c r="BFO5077" s="917"/>
      <c r="BFP5077" s="917"/>
      <c r="BFQ5077" s="917" t="s">
        <v>78</v>
      </c>
      <c r="BFR5077" s="917"/>
      <c r="BFS5077" s="917"/>
      <c r="BFT5077" s="917"/>
      <c r="BFU5077" s="917"/>
      <c r="BFV5077" s="917"/>
      <c r="BFW5077" s="917"/>
      <c r="BFX5077" s="917"/>
      <c r="BFY5077" s="917"/>
      <c r="BFZ5077" s="917"/>
      <c r="BGA5077" s="917"/>
      <c r="BGB5077" s="917"/>
      <c r="BGC5077" s="917"/>
      <c r="BGD5077" s="917"/>
      <c r="BGE5077" s="917"/>
      <c r="BGF5077" s="917"/>
      <c r="BGG5077" s="917"/>
      <c r="BGH5077" s="917"/>
      <c r="BGI5077" s="917"/>
      <c r="BGJ5077" s="917"/>
      <c r="BGK5077" s="917"/>
      <c r="BGL5077" s="917"/>
      <c r="BGM5077" s="917"/>
      <c r="BGN5077" s="917"/>
      <c r="BGO5077" s="917"/>
      <c r="BGP5077" s="917"/>
      <c r="BGQ5077" s="917"/>
      <c r="BGR5077" s="917"/>
      <c r="BGS5077" s="917"/>
      <c r="BGT5077" s="917"/>
      <c r="BGU5077" s="917"/>
      <c r="BGV5077" s="917"/>
      <c r="BGW5077" s="917" t="s">
        <v>78</v>
      </c>
      <c r="BGX5077" s="917"/>
      <c r="BGY5077" s="917"/>
      <c r="BGZ5077" s="917"/>
      <c r="BHA5077" s="917"/>
      <c r="BHB5077" s="917"/>
      <c r="BHC5077" s="917"/>
      <c r="BHD5077" s="917"/>
      <c r="BHE5077" s="917"/>
      <c r="BHF5077" s="917"/>
      <c r="BHG5077" s="917"/>
      <c r="BHH5077" s="917"/>
      <c r="BHI5077" s="917"/>
      <c r="BHJ5077" s="917"/>
      <c r="BHK5077" s="917"/>
      <c r="BHL5077" s="917"/>
      <c r="BHM5077" s="917"/>
      <c r="BHN5077" s="917"/>
      <c r="BHO5077" s="917"/>
      <c r="BHP5077" s="917"/>
      <c r="BHQ5077" s="917"/>
      <c r="BHR5077" s="917"/>
      <c r="BHS5077" s="917"/>
      <c r="BHT5077" s="917"/>
      <c r="BHU5077" s="917"/>
      <c r="BHV5077" s="917"/>
      <c r="BHW5077" s="917"/>
      <c r="BHX5077" s="917"/>
      <c r="BHY5077" s="917"/>
      <c r="BHZ5077" s="917"/>
      <c r="BIA5077" s="917"/>
      <c r="BIB5077" s="917"/>
      <c r="BIC5077" s="917" t="s">
        <v>78</v>
      </c>
      <c r="BID5077" s="917"/>
      <c r="BIE5077" s="917"/>
      <c r="BIF5077" s="917"/>
      <c r="BIG5077" s="917"/>
      <c r="BIH5077" s="917"/>
      <c r="BII5077" s="917"/>
      <c r="BIJ5077" s="917"/>
      <c r="BIK5077" s="917"/>
      <c r="BIL5077" s="917"/>
      <c r="BIM5077" s="917"/>
      <c r="BIN5077" s="917"/>
      <c r="BIO5077" s="917"/>
      <c r="BIP5077" s="917"/>
      <c r="BIQ5077" s="917"/>
      <c r="BIR5077" s="917"/>
      <c r="BIS5077" s="917"/>
      <c r="BIT5077" s="917"/>
      <c r="BIU5077" s="917"/>
      <c r="BIV5077" s="917"/>
      <c r="BIW5077" s="917"/>
      <c r="BIX5077" s="917"/>
      <c r="BIY5077" s="917"/>
      <c r="BIZ5077" s="917"/>
      <c r="BJA5077" s="917"/>
      <c r="BJB5077" s="917"/>
      <c r="BJC5077" s="917"/>
      <c r="BJD5077" s="917"/>
      <c r="BJE5077" s="917"/>
      <c r="BJF5077" s="917"/>
      <c r="BJG5077" s="917"/>
      <c r="BJH5077" s="917"/>
      <c r="BJI5077" s="917" t="s">
        <v>78</v>
      </c>
      <c r="BJJ5077" s="917"/>
      <c r="BJK5077" s="917"/>
      <c r="BJL5077" s="917"/>
      <c r="BJM5077" s="917"/>
      <c r="BJN5077" s="917"/>
      <c r="BJO5077" s="917"/>
      <c r="BJP5077" s="917"/>
      <c r="BJQ5077" s="917"/>
      <c r="BJR5077" s="917"/>
      <c r="BJS5077" s="917"/>
      <c r="BJT5077" s="917"/>
      <c r="BJU5077" s="917"/>
      <c r="BJV5077" s="917"/>
      <c r="BJW5077" s="917"/>
      <c r="BJX5077" s="917"/>
      <c r="BJY5077" s="917"/>
      <c r="BJZ5077" s="917"/>
      <c r="BKA5077" s="917"/>
      <c r="BKB5077" s="917"/>
      <c r="BKC5077" s="917"/>
      <c r="BKD5077" s="917"/>
      <c r="BKE5077" s="917"/>
      <c r="BKF5077" s="917"/>
      <c r="BKG5077" s="917"/>
      <c r="BKH5077" s="917"/>
      <c r="BKI5077" s="917"/>
      <c r="BKJ5077" s="917"/>
      <c r="BKK5077" s="917"/>
      <c r="BKL5077" s="917"/>
      <c r="BKM5077" s="917"/>
      <c r="BKN5077" s="917"/>
      <c r="BKO5077" s="917" t="s">
        <v>78</v>
      </c>
      <c r="BKP5077" s="917"/>
      <c r="BKQ5077" s="917"/>
      <c r="BKR5077" s="917"/>
      <c r="BKS5077" s="917"/>
      <c r="BKT5077" s="917"/>
      <c r="BKU5077" s="917"/>
      <c r="BKV5077" s="917"/>
      <c r="BKW5077" s="917"/>
      <c r="BKX5077" s="917"/>
      <c r="BKY5077" s="917"/>
      <c r="BKZ5077" s="917"/>
      <c r="BLA5077" s="917"/>
      <c r="BLB5077" s="917"/>
      <c r="BLC5077" s="917"/>
      <c r="BLD5077" s="917"/>
      <c r="BLE5077" s="917"/>
      <c r="BLF5077" s="917"/>
      <c r="BLG5077" s="917"/>
      <c r="BLH5077" s="917"/>
      <c r="BLI5077" s="917"/>
      <c r="BLJ5077" s="917"/>
      <c r="BLK5077" s="917"/>
      <c r="BLL5077" s="917"/>
      <c r="BLM5077" s="917"/>
      <c r="BLN5077" s="917"/>
      <c r="BLO5077" s="917"/>
      <c r="BLP5077" s="917"/>
      <c r="BLQ5077" s="917"/>
      <c r="BLR5077" s="917"/>
      <c r="BLS5077" s="917"/>
      <c r="BLT5077" s="917"/>
      <c r="BLU5077" s="917" t="s">
        <v>78</v>
      </c>
      <c r="BLV5077" s="917"/>
      <c r="BLW5077" s="917"/>
      <c r="BLX5077" s="917"/>
      <c r="BLY5077" s="917"/>
      <c r="BLZ5077" s="917"/>
      <c r="BMA5077" s="917"/>
      <c r="BMB5077" s="917"/>
      <c r="BMC5077" s="917"/>
      <c r="BMD5077" s="917"/>
      <c r="BME5077" s="917"/>
      <c r="BMF5077" s="917"/>
      <c r="BMG5077" s="917"/>
      <c r="BMH5077" s="917"/>
      <c r="BMI5077" s="917"/>
      <c r="BMJ5077" s="917"/>
      <c r="BMK5077" s="917"/>
      <c r="BML5077" s="917"/>
      <c r="BMM5077" s="917"/>
      <c r="BMN5077" s="917"/>
      <c r="BMO5077" s="917"/>
      <c r="BMP5077" s="917"/>
      <c r="BMQ5077" s="917"/>
      <c r="BMR5077" s="917"/>
      <c r="BMS5077" s="917"/>
      <c r="BMT5077" s="917"/>
      <c r="BMU5077" s="917"/>
      <c r="BMV5077" s="917"/>
      <c r="BMW5077" s="917"/>
      <c r="BMX5077" s="917"/>
      <c r="BMY5077" s="917"/>
      <c r="BMZ5077" s="917"/>
      <c r="BNA5077" s="917" t="s">
        <v>78</v>
      </c>
      <c r="BNB5077" s="917"/>
      <c r="BNC5077" s="917"/>
      <c r="BND5077" s="917"/>
      <c r="BNE5077" s="917"/>
      <c r="BNF5077" s="917"/>
      <c r="BNG5077" s="917"/>
      <c r="BNH5077" s="917"/>
      <c r="BNI5077" s="917"/>
      <c r="BNJ5077" s="917"/>
      <c r="BNK5077" s="917"/>
      <c r="BNL5077" s="917"/>
      <c r="BNM5077" s="917"/>
      <c r="BNN5077" s="917"/>
      <c r="BNO5077" s="917"/>
      <c r="BNP5077" s="917"/>
      <c r="BNQ5077" s="917"/>
      <c r="BNR5077" s="917"/>
      <c r="BNS5077" s="917"/>
      <c r="BNT5077" s="917"/>
      <c r="BNU5077" s="917"/>
      <c r="BNV5077" s="917"/>
      <c r="BNW5077" s="917"/>
      <c r="BNX5077" s="917"/>
      <c r="BNY5077" s="917"/>
      <c r="BNZ5077" s="917"/>
      <c r="BOA5077" s="917"/>
      <c r="BOB5077" s="917"/>
      <c r="BOC5077" s="917"/>
      <c r="BOD5077" s="917"/>
      <c r="BOE5077" s="917"/>
      <c r="BOF5077" s="917"/>
      <c r="BOG5077" s="917" t="s">
        <v>78</v>
      </c>
      <c r="BOH5077" s="917"/>
      <c r="BOI5077" s="917"/>
      <c r="BOJ5077" s="917"/>
      <c r="BOK5077" s="917"/>
      <c r="BOL5077" s="917"/>
      <c r="BOM5077" s="917"/>
      <c r="BON5077" s="917"/>
      <c r="BOO5077" s="917"/>
      <c r="BOP5077" s="917"/>
      <c r="BOQ5077" s="917"/>
      <c r="BOR5077" s="917"/>
      <c r="BOS5077" s="917"/>
      <c r="BOT5077" s="917"/>
      <c r="BOU5077" s="917"/>
      <c r="BOV5077" s="917"/>
      <c r="BOW5077" s="917"/>
      <c r="BOX5077" s="917"/>
      <c r="BOY5077" s="917"/>
      <c r="BOZ5077" s="917"/>
      <c r="BPA5077" s="917"/>
      <c r="BPB5077" s="917"/>
      <c r="BPC5077" s="917"/>
      <c r="BPD5077" s="917"/>
      <c r="BPE5077" s="917"/>
      <c r="BPF5077" s="917"/>
      <c r="BPG5077" s="917"/>
      <c r="BPH5077" s="917"/>
      <c r="BPI5077" s="917"/>
      <c r="BPJ5077" s="917"/>
      <c r="BPK5077" s="917"/>
      <c r="BPL5077" s="917"/>
      <c r="BPM5077" s="917" t="s">
        <v>78</v>
      </c>
      <c r="BPN5077" s="917"/>
      <c r="BPO5077" s="917"/>
      <c r="BPP5077" s="917"/>
      <c r="BPQ5077" s="917"/>
      <c r="BPR5077" s="917"/>
      <c r="BPS5077" s="917"/>
      <c r="BPT5077" s="917"/>
      <c r="BPU5077" s="917"/>
      <c r="BPV5077" s="917"/>
      <c r="BPW5077" s="917"/>
      <c r="BPX5077" s="917"/>
      <c r="BPY5077" s="917"/>
      <c r="BPZ5077" s="917"/>
      <c r="BQA5077" s="917"/>
      <c r="BQB5077" s="917"/>
      <c r="BQC5077" s="917"/>
      <c r="BQD5077" s="917"/>
      <c r="BQE5077" s="917"/>
      <c r="BQF5077" s="917"/>
      <c r="BQG5077" s="917"/>
      <c r="BQH5077" s="917"/>
      <c r="BQI5077" s="917"/>
      <c r="BQJ5077" s="917"/>
      <c r="BQK5077" s="917"/>
      <c r="BQL5077" s="917"/>
      <c r="BQM5077" s="917"/>
      <c r="BQN5077" s="917"/>
      <c r="BQO5077" s="917"/>
      <c r="BQP5077" s="917"/>
      <c r="BQQ5077" s="917"/>
      <c r="BQR5077" s="917"/>
      <c r="BQS5077" s="917" t="s">
        <v>78</v>
      </c>
      <c r="BQT5077" s="917"/>
      <c r="BQU5077" s="917"/>
      <c r="BQV5077" s="917"/>
      <c r="BQW5077" s="917"/>
      <c r="BQX5077" s="917"/>
      <c r="BQY5077" s="917"/>
      <c r="BQZ5077" s="917"/>
      <c r="BRA5077" s="917"/>
      <c r="BRB5077" s="917"/>
      <c r="BRC5077" s="917"/>
      <c r="BRD5077" s="917"/>
      <c r="BRE5077" s="917"/>
      <c r="BRF5077" s="917"/>
      <c r="BRG5077" s="917"/>
      <c r="BRH5077" s="917"/>
      <c r="BRI5077" s="917"/>
      <c r="BRJ5077" s="917"/>
      <c r="BRK5077" s="917"/>
      <c r="BRL5077" s="917"/>
      <c r="BRM5077" s="917"/>
      <c r="BRN5077" s="917"/>
      <c r="BRO5077" s="917"/>
      <c r="BRP5077" s="917"/>
      <c r="BRQ5077" s="917"/>
      <c r="BRR5077" s="917"/>
      <c r="BRS5077" s="917"/>
      <c r="BRT5077" s="917"/>
      <c r="BRU5077" s="917"/>
      <c r="BRV5077" s="917"/>
      <c r="BRW5077" s="917"/>
      <c r="BRX5077" s="917"/>
      <c r="BRY5077" s="917" t="s">
        <v>78</v>
      </c>
      <c r="BRZ5077" s="917"/>
      <c r="BSA5077" s="917"/>
      <c r="BSB5077" s="917"/>
      <c r="BSC5077" s="917"/>
      <c r="BSD5077" s="917"/>
      <c r="BSE5077" s="917"/>
      <c r="BSF5077" s="917"/>
      <c r="BSG5077" s="917"/>
      <c r="BSH5077" s="917"/>
      <c r="BSI5077" s="917"/>
      <c r="BSJ5077" s="917"/>
      <c r="BSK5077" s="917"/>
      <c r="BSL5077" s="917"/>
      <c r="BSM5077" s="917"/>
      <c r="BSN5077" s="917"/>
      <c r="BSO5077" s="917"/>
      <c r="BSP5077" s="917"/>
      <c r="BSQ5077" s="917"/>
      <c r="BSR5077" s="917"/>
      <c r="BSS5077" s="917"/>
      <c r="BST5077" s="917"/>
      <c r="BSU5077" s="917"/>
      <c r="BSV5077" s="917"/>
      <c r="BSW5077" s="917"/>
      <c r="BSX5077" s="917"/>
      <c r="BSY5077" s="917"/>
      <c r="BSZ5077" s="917"/>
      <c r="BTA5077" s="917"/>
      <c r="BTB5077" s="917"/>
      <c r="BTC5077" s="917"/>
      <c r="BTD5077" s="917"/>
      <c r="BTE5077" s="917" t="s">
        <v>78</v>
      </c>
      <c r="BTF5077" s="917"/>
      <c r="BTG5077" s="917"/>
      <c r="BTH5077" s="917"/>
      <c r="BTI5077" s="917"/>
      <c r="BTJ5077" s="917"/>
      <c r="BTK5077" s="917"/>
      <c r="BTL5077" s="917"/>
      <c r="BTM5077" s="917"/>
      <c r="BTN5077" s="917"/>
      <c r="BTO5077" s="917"/>
      <c r="BTP5077" s="917"/>
      <c r="BTQ5077" s="917"/>
      <c r="BTR5077" s="917"/>
      <c r="BTS5077" s="917"/>
      <c r="BTT5077" s="917"/>
      <c r="BTU5077" s="917"/>
      <c r="BTV5077" s="917"/>
      <c r="BTW5077" s="917"/>
      <c r="BTX5077" s="917"/>
      <c r="BTY5077" s="917"/>
      <c r="BTZ5077" s="917"/>
      <c r="BUA5077" s="917"/>
      <c r="BUB5077" s="917"/>
      <c r="BUC5077" s="917"/>
      <c r="BUD5077" s="917"/>
      <c r="BUE5077" s="917"/>
      <c r="BUF5077" s="917"/>
      <c r="BUG5077" s="917"/>
      <c r="BUH5077" s="917"/>
      <c r="BUI5077" s="917"/>
      <c r="BUJ5077" s="917"/>
      <c r="BUK5077" s="917" t="s">
        <v>78</v>
      </c>
      <c r="BUL5077" s="917"/>
      <c r="BUM5077" s="917"/>
      <c r="BUN5077" s="917"/>
      <c r="BUO5077" s="917"/>
      <c r="BUP5077" s="917"/>
      <c r="BUQ5077" s="917"/>
      <c r="BUR5077" s="917"/>
      <c r="BUS5077" s="917"/>
      <c r="BUT5077" s="917"/>
      <c r="BUU5077" s="917"/>
      <c r="BUV5077" s="917"/>
      <c r="BUW5077" s="917"/>
      <c r="BUX5077" s="917"/>
      <c r="BUY5077" s="917"/>
      <c r="BUZ5077" s="917"/>
      <c r="BVA5077" s="917"/>
      <c r="BVB5077" s="917"/>
      <c r="BVC5077" s="917"/>
      <c r="BVD5077" s="917"/>
      <c r="BVE5077" s="917"/>
      <c r="BVF5077" s="917"/>
      <c r="BVG5077" s="917"/>
      <c r="BVH5077" s="917"/>
      <c r="BVI5077" s="917"/>
      <c r="BVJ5077" s="917"/>
      <c r="BVK5077" s="917"/>
      <c r="BVL5077" s="917"/>
      <c r="BVM5077" s="917"/>
      <c r="BVN5077" s="917"/>
      <c r="BVO5077" s="917"/>
      <c r="BVP5077" s="917"/>
      <c r="BVQ5077" s="917" t="s">
        <v>78</v>
      </c>
      <c r="BVR5077" s="917"/>
      <c r="BVS5077" s="917"/>
      <c r="BVT5077" s="917"/>
      <c r="BVU5077" s="917"/>
      <c r="BVV5077" s="917"/>
      <c r="BVW5077" s="917"/>
      <c r="BVX5077" s="917"/>
      <c r="BVY5077" s="917"/>
      <c r="BVZ5077" s="917"/>
      <c r="BWA5077" s="917"/>
      <c r="BWB5077" s="917"/>
      <c r="BWC5077" s="917"/>
      <c r="BWD5077" s="917"/>
      <c r="BWE5077" s="917"/>
      <c r="BWF5077" s="917"/>
      <c r="BWG5077" s="917"/>
      <c r="BWH5077" s="917"/>
      <c r="BWI5077" s="917"/>
      <c r="BWJ5077" s="917"/>
      <c r="BWK5077" s="917"/>
      <c r="BWL5077" s="917"/>
      <c r="BWM5077" s="917"/>
      <c r="BWN5077" s="917"/>
      <c r="BWO5077" s="917"/>
      <c r="BWP5077" s="917"/>
      <c r="BWQ5077" s="917"/>
      <c r="BWR5077" s="917"/>
      <c r="BWS5077" s="917"/>
      <c r="BWT5077" s="917"/>
      <c r="BWU5077" s="917"/>
      <c r="BWV5077" s="917"/>
      <c r="BWW5077" s="917" t="s">
        <v>78</v>
      </c>
      <c r="BWX5077" s="917"/>
      <c r="BWY5077" s="917"/>
      <c r="BWZ5077" s="917"/>
      <c r="BXA5077" s="917"/>
      <c r="BXB5077" s="917"/>
      <c r="BXC5077" s="917"/>
      <c r="BXD5077" s="917"/>
      <c r="BXE5077" s="917"/>
      <c r="BXF5077" s="917"/>
      <c r="BXG5077" s="917"/>
      <c r="BXH5077" s="917"/>
      <c r="BXI5077" s="917"/>
      <c r="BXJ5077" s="917"/>
      <c r="BXK5077" s="917"/>
      <c r="BXL5077" s="917"/>
      <c r="BXM5077" s="917"/>
      <c r="BXN5077" s="917"/>
      <c r="BXO5077" s="917"/>
      <c r="BXP5077" s="917"/>
      <c r="BXQ5077" s="917"/>
      <c r="BXR5077" s="917"/>
      <c r="BXS5077" s="917"/>
      <c r="BXT5077" s="917"/>
      <c r="BXU5077" s="917"/>
      <c r="BXV5077" s="917"/>
      <c r="BXW5077" s="917"/>
      <c r="BXX5077" s="917"/>
      <c r="BXY5077" s="917"/>
      <c r="BXZ5077" s="917"/>
      <c r="BYA5077" s="917"/>
      <c r="BYB5077" s="917"/>
      <c r="BYC5077" s="917" t="s">
        <v>78</v>
      </c>
      <c r="BYD5077" s="917"/>
      <c r="BYE5077" s="917"/>
      <c r="BYF5077" s="917"/>
      <c r="BYG5077" s="917"/>
      <c r="BYH5077" s="917"/>
      <c r="BYI5077" s="917"/>
      <c r="BYJ5077" s="917"/>
      <c r="BYK5077" s="917"/>
      <c r="BYL5077" s="917"/>
      <c r="BYM5077" s="917"/>
      <c r="BYN5077" s="917"/>
      <c r="BYO5077" s="917"/>
      <c r="BYP5077" s="917"/>
      <c r="BYQ5077" s="917"/>
      <c r="BYR5077" s="917"/>
      <c r="BYS5077" s="917"/>
      <c r="BYT5077" s="917"/>
      <c r="BYU5077" s="917"/>
      <c r="BYV5077" s="917"/>
      <c r="BYW5077" s="917"/>
      <c r="BYX5077" s="917"/>
      <c r="BYY5077" s="917"/>
      <c r="BYZ5077" s="917"/>
      <c r="BZA5077" s="917"/>
      <c r="BZB5077" s="917"/>
      <c r="BZC5077" s="917"/>
      <c r="BZD5077" s="917"/>
      <c r="BZE5077" s="917"/>
      <c r="BZF5077" s="917"/>
      <c r="BZG5077" s="917"/>
      <c r="BZH5077" s="917"/>
      <c r="BZI5077" s="917" t="s">
        <v>78</v>
      </c>
      <c r="BZJ5077" s="917"/>
      <c r="BZK5077" s="917"/>
      <c r="BZL5077" s="917"/>
      <c r="BZM5077" s="917"/>
      <c r="BZN5077" s="917"/>
      <c r="BZO5077" s="917"/>
      <c r="BZP5077" s="917"/>
      <c r="BZQ5077" s="917"/>
      <c r="BZR5077" s="917"/>
      <c r="BZS5077" s="917"/>
      <c r="BZT5077" s="917"/>
      <c r="BZU5077" s="917"/>
      <c r="BZV5077" s="917"/>
      <c r="BZW5077" s="917"/>
      <c r="BZX5077" s="917"/>
      <c r="BZY5077" s="917"/>
      <c r="BZZ5077" s="917"/>
      <c r="CAA5077" s="917"/>
      <c r="CAB5077" s="917"/>
      <c r="CAC5077" s="917"/>
      <c r="CAD5077" s="917"/>
      <c r="CAE5077" s="917"/>
      <c r="CAF5077" s="917"/>
      <c r="CAG5077" s="917"/>
      <c r="CAH5077" s="917"/>
      <c r="CAI5077" s="917"/>
      <c r="CAJ5077" s="917"/>
      <c r="CAK5077" s="917"/>
      <c r="CAL5077" s="917"/>
      <c r="CAM5077" s="917"/>
      <c r="CAN5077" s="917"/>
      <c r="CAO5077" s="917" t="s">
        <v>78</v>
      </c>
      <c r="CAP5077" s="917"/>
      <c r="CAQ5077" s="917"/>
      <c r="CAR5077" s="917"/>
      <c r="CAS5077" s="917"/>
      <c r="CAT5077" s="917"/>
      <c r="CAU5077" s="917"/>
      <c r="CAV5077" s="917"/>
      <c r="CAW5077" s="917"/>
      <c r="CAX5077" s="917"/>
      <c r="CAY5077" s="917"/>
      <c r="CAZ5077" s="917"/>
      <c r="CBA5077" s="917"/>
      <c r="CBB5077" s="917"/>
      <c r="CBC5077" s="917"/>
      <c r="CBD5077" s="917"/>
      <c r="CBE5077" s="917"/>
      <c r="CBF5077" s="917"/>
      <c r="CBG5077" s="917"/>
      <c r="CBH5077" s="917"/>
      <c r="CBI5077" s="917"/>
      <c r="CBJ5077" s="917"/>
      <c r="CBK5077" s="917"/>
      <c r="CBL5077" s="917"/>
      <c r="CBM5077" s="917"/>
      <c r="CBN5077" s="917"/>
      <c r="CBO5077" s="917"/>
      <c r="CBP5077" s="917"/>
      <c r="CBQ5077" s="917"/>
      <c r="CBR5077" s="917"/>
      <c r="CBS5077" s="917"/>
      <c r="CBT5077" s="917"/>
      <c r="CBU5077" s="917" t="s">
        <v>78</v>
      </c>
      <c r="CBV5077" s="917"/>
      <c r="CBW5077" s="917"/>
      <c r="CBX5077" s="917"/>
      <c r="CBY5077" s="917"/>
      <c r="CBZ5077" s="917"/>
      <c r="CCA5077" s="917"/>
      <c r="CCB5077" s="917"/>
      <c r="CCC5077" s="917"/>
      <c r="CCD5077" s="917"/>
      <c r="CCE5077" s="917"/>
      <c r="CCF5077" s="917"/>
      <c r="CCG5077" s="917"/>
      <c r="CCH5077" s="917"/>
      <c r="CCI5077" s="917"/>
      <c r="CCJ5077" s="917"/>
      <c r="CCK5077" s="917"/>
      <c r="CCL5077" s="917"/>
      <c r="CCM5077" s="917"/>
      <c r="CCN5077" s="917"/>
      <c r="CCO5077" s="917"/>
      <c r="CCP5077" s="917"/>
      <c r="CCQ5077" s="917"/>
      <c r="CCR5077" s="917"/>
      <c r="CCS5077" s="917"/>
      <c r="CCT5077" s="917"/>
      <c r="CCU5077" s="917"/>
      <c r="CCV5077" s="917"/>
      <c r="CCW5077" s="917"/>
      <c r="CCX5077" s="917"/>
      <c r="CCY5077" s="917"/>
      <c r="CCZ5077" s="917"/>
      <c r="CDA5077" s="917" t="s">
        <v>78</v>
      </c>
      <c r="CDB5077" s="917"/>
      <c r="CDC5077" s="917"/>
      <c r="CDD5077" s="917"/>
      <c r="CDE5077" s="917"/>
      <c r="CDF5077" s="917"/>
      <c r="CDG5077" s="917"/>
      <c r="CDH5077" s="917"/>
      <c r="CDI5077" s="917"/>
      <c r="CDJ5077" s="917"/>
      <c r="CDK5077" s="917"/>
      <c r="CDL5077" s="917"/>
      <c r="CDM5077" s="917"/>
      <c r="CDN5077" s="917"/>
      <c r="CDO5077" s="917"/>
      <c r="CDP5077" s="917"/>
      <c r="CDQ5077" s="917"/>
      <c r="CDR5077" s="917"/>
      <c r="CDS5077" s="917"/>
      <c r="CDT5077" s="917"/>
      <c r="CDU5077" s="917"/>
      <c r="CDV5077" s="917"/>
      <c r="CDW5077" s="917"/>
      <c r="CDX5077" s="917"/>
      <c r="CDY5077" s="917"/>
      <c r="CDZ5077" s="917"/>
      <c r="CEA5077" s="917"/>
      <c r="CEB5077" s="917"/>
      <c r="CEC5077" s="917"/>
      <c r="CED5077" s="917"/>
      <c r="CEE5077" s="917"/>
      <c r="CEF5077" s="917"/>
      <c r="CEG5077" s="917" t="s">
        <v>78</v>
      </c>
      <c r="CEH5077" s="917"/>
      <c r="CEI5077" s="917"/>
      <c r="CEJ5077" s="917"/>
      <c r="CEK5077" s="917"/>
      <c r="CEL5077" s="917"/>
      <c r="CEM5077" s="917"/>
      <c r="CEN5077" s="917"/>
      <c r="CEO5077" s="917"/>
      <c r="CEP5077" s="917"/>
      <c r="CEQ5077" s="917"/>
      <c r="CER5077" s="917"/>
      <c r="CES5077" s="917"/>
      <c r="CET5077" s="917"/>
      <c r="CEU5077" s="917"/>
      <c r="CEV5077" s="917"/>
      <c r="CEW5077" s="917"/>
      <c r="CEX5077" s="917"/>
      <c r="CEY5077" s="917"/>
      <c r="CEZ5077" s="917"/>
      <c r="CFA5077" s="917"/>
      <c r="CFB5077" s="917"/>
      <c r="CFC5077" s="917"/>
      <c r="CFD5077" s="917"/>
      <c r="CFE5077" s="917"/>
      <c r="CFF5077" s="917"/>
      <c r="CFG5077" s="917"/>
      <c r="CFH5077" s="917"/>
      <c r="CFI5077" s="917"/>
      <c r="CFJ5077" s="917"/>
      <c r="CFK5077" s="917"/>
      <c r="CFL5077" s="917"/>
      <c r="CFM5077" s="917" t="s">
        <v>78</v>
      </c>
      <c r="CFN5077" s="917"/>
      <c r="CFO5077" s="917"/>
      <c r="CFP5077" s="917"/>
      <c r="CFQ5077" s="917"/>
      <c r="CFR5077" s="917"/>
      <c r="CFS5077" s="917"/>
      <c r="CFT5077" s="917"/>
      <c r="CFU5077" s="917"/>
      <c r="CFV5077" s="917"/>
      <c r="CFW5077" s="917"/>
      <c r="CFX5077" s="917"/>
      <c r="CFY5077" s="917"/>
      <c r="CFZ5077" s="917"/>
      <c r="CGA5077" s="917"/>
      <c r="CGB5077" s="917"/>
      <c r="CGC5077" s="917"/>
      <c r="CGD5077" s="917"/>
      <c r="CGE5077" s="917"/>
      <c r="CGF5077" s="917"/>
      <c r="CGG5077" s="917"/>
      <c r="CGH5077" s="917"/>
      <c r="CGI5077" s="917"/>
      <c r="CGJ5077" s="917"/>
      <c r="CGK5077" s="917"/>
      <c r="CGL5077" s="917"/>
      <c r="CGM5077" s="917"/>
      <c r="CGN5077" s="917"/>
      <c r="CGO5077" s="917"/>
      <c r="CGP5077" s="917"/>
      <c r="CGQ5077" s="917"/>
      <c r="CGR5077" s="917"/>
      <c r="CGS5077" s="917" t="s">
        <v>78</v>
      </c>
      <c r="CGT5077" s="917"/>
      <c r="CGU5077" s="917"/>
      <c r="CGV5077" s="917"/>
      <c r="CGW5077" s="917"/>
      <c r="CGX5077" s="917"/>
      <c r="CGY5077" s="917"/>
      <c r="CGZ5077" s="917"/>
      <c r="CHA5077" s="917"/>
      <c r="CHB5077" s="917"/>
      <c r="CHC5077" s="917"/>
      <c r="CHD5077" s="917"/>
      <c r="CHE5077" s="917"/>
      <c r="CHF5077" s="917"/>
      <c r="CHG5077" s="917"/>
      <c r="CHH5077" s="917"/>
      <c r="CHI5077" s="917"/>
      <c r="CHJ5077" s="917"/>
      <c r="CHK5077" s="917"/>
      <c r="CHL5077" s="917"/>
      <c r="CHM5077" s="917"/>
      <c r="CHN5077" s="917"/>
      <c r="CHO5077" s="917"/>
      <c r="CHP5077" s="917"/>
      <c r="CHQ5077" s="917"/>
      <c r="CHR5077" s="917"/>
      <c r="CHS5077" s="917"/>
      <c r="CHT5077" s="917"/>
      <c r="CHU5077" s="917"/>
      <c r="CHV5077" s="917"/>
      <c r="CHW5077" s="917"/>
      <c r="CHX5077" s="917"/>
      <c r="CHY5077" s="917" t="s">
        <v>78</v>
      </c>
      <c r="CHZ5077" s="917"/>
      <c r="CIA5077" s="917"/>
      <c r="CIB5077" s="917"/>
      <c r="CIC5077" s="917"/>
      <c r="CID5077" s="917"/>
      <c r="CIE5077" s="917"/>
      <c r="CIF5077" s="917"/>
      <c r="CIG5077" s="917"/>
      <c r="CIH5077" s="917"/>
      <c r="CII5077" s="917"/>
      <c r="CIJ5077" s="917"/>
      <c r="CIK5077" s="917"/>
      <c r="CIL5077" s="917"/>
      <c r="CIM5077" s="917"/>
      <c r="CIN5077" s="917"/>
      <c r="CIO5077" s="917"/>
      <c r="CIP5077" s="917"/>
      <c r="CIQ5077" s="917"/>
      <c r="CIR5077" s="917"/>
      <c r="CIS5077" s="917"/>
      <c r="CIT5077" s="917"/>
      <c r="CIU5077" s="917"/>
      <c r="CIV5077" s="917"/>
      <c r="CIW5077" s="917"/>
      <c r="CIX5077" s="917"/>
      <c r="CIY5077" s="917"/>
      <c r="CIZ5077" s="917"/>
      <c r="CJA5077" s="917"/>
      <c r="CJB5077" s="917"/>
      <c r="CJC5077" s="917"/>
      <c r="CJD5077" s="917"/>
      <c r="CJE5077" s="917" t="s">
        <v>78</v>
      </c>
      <c r="CJF5077" s="917"/>
      <c r="CJG5077" s="917"/>
      <c r="CJH5077" s="917"/>
      <c r="CJI5077" s="917"/>
      <c r="CJJ5077" s="917"/>
      <c r="CJK5077" s="917"/>
      <c r="CJL5077" s="917"/>
      <c r="CJM5077" s="917"/>
      <c r="CJN5077" s="917"/>
      <c r="CJO5077" s="917"/>
      <c r="CJP5077" s="917"/>
      <c r="CJQ5077" s="917"/>
      <c r="CJR5077" s="917"/>
      <c r="CJS5077" s="917"/>
      <c r="CJT5077" s="917"/>
      <c r="CJU5077" s="917"/>
      <c r="CJV5077" s="917"/>
      <c r="CJW5077" s="917"/>
      <c r="CJX5077" s="917"/>
      <c r="CJY5077" s="917"/>
      <c r="CJZ5077" s="917"/>
      <c r="CKA5077" s="917"/>
      <c r="CKB5077" s="917"/>
      <c r="CKC5077" s="917"/>
      <c r="CKD5077" s="917"/>
      <c r="CKE5077" s="917"/>
      <c r="CKF5077" s="917"/>
      <c r="CKG5077" s="917"/>
      <c r="CKH5077" s="917"/>
      <c r="CKI5077" s="917"/>
      <c r="CKJ5077" s="917"/>
      <c r="CKK5077" s="917" t="s">
        <v>78</v>
      </c>
      <c r="CKL5077" s="917"/>
      <c r="CKM5077" s="917"/>
      <c r="CKN5077" s="917"/>
      <c r="CKO5077" s="917"/>
      <c r="CKP5077" s="917"/>
      <c r="CKQ5077" s="917"/>
      <c r="CKR5077" s="917"/>
      <c r="CKS5077" s="917"/>
      <c r="CKT5077" s="917"/>
      <c r="CKU5077" s="917"/>
      <c r="CKV5077" s="917"/>
      <c r="CKW5077" s="917"/>
      <c r="CKX5077" s="917"/>
      <c r="CKY5077" s="917"/>
      <c r="CKZ5077" s="917"/>
      <c r="CLA5077" s="917"/>
      <c r="CLB5077" s="917"/>
      <c r="CLC5077" s="917"/>
      <c r="CLD5077" s="917"/>
      <c r="CLE5077" s="917"/>
      <c r="CLF5077" s="917"/>
      <c r="CLG5077" s="917"/>
      <c r="CLH5077" s="917"/>
      <c r="CLI5077" s="917"/>
      <c r="CLJ5077" s="917"/>
      <c r="CLK5077" s="917"/>
      <c r="CLL5077" s="917"/>
      <c r="CLM5077" s="917"/>
      <c r="CLN5077" s="917"/>
      <c r="CLO5077" s="917"/>
      <c r="CLP5077" s="917"/>
      <c r="CLQ5077" s="917" t="s">
        <v>78</v>
      </c>
      <c r="CLR5077" s="917"/>
      <c r="CLS5077" s="917"/>
      <c r="CLT5077" s="917"/>
      <c r="CLU5077" s="917"/>
      <c r="CLV5077" s="917"/>
      <c r="CLW5077" s="917"/>
      <c r="CLX5077" s="917"/>
      <c r="CLY5077" s="917"/>
      <c r="CLZ5077" s="917"/>
      <c r="CMA5077" s="917"/>
      <c r="CMB5077" s="917"/>
      <c r="CMC5077" s="917"/>
      <c r="CMD5077" s="917"/>
      <c r="CME5077" s="917"/>
      <c r="CMF5077" s="917"/>
      <c r="CMG5077" s="917"/>
      <c r="CMH5077" s="917"/>
      <c r="CMI5077" s="917"/>
      <c r="CMJ5077" s="917"/>
      <c r="CMK5077" s="917"/>
      <c r="CML5077" s="917"/>
      <c r="CMM5077" s="917"/>
      <c r="CMN5077" s="917"/>
      <c r="CMO5077" s="917"/>
      <c r="CMP5077" s="917"/>
      <c r="CMQ5077" s="917"/>
      <c r="CMR5077" s="917"/>
      <c r="CMS5077" s="917"/>
      <c r="CMT5077" s="917"/>
      <c r="CMU5077" s="917"/>
      <c r="CMV5077" s="917"/>
      <c r="CMW5077" s="917" t="s">
        <v>78</v>
      </c>
      <c r="CMX5077" s="917"/>
      <c r="CMY5077" s="917"/>
      <c r="CMZ5077" s="917"/>
      <c r="CNA5077" s="917"/>
      <c r="CNB5077" s="917"/>
      <c r="CNC5077" s="917"/>
      <c r="CND5077" s="917"/>
      <c r="CNE5077" s="917"/>
      <c r="CNF5077" s="917"/>
      <c r="CNG5077" s="917"/>
      <c r="CNH5077" s="917"/>
      <c r="CNI5077" s="917"/>
      <c r="CNJ5077" s="917"/>
      <c r="CNK5077" s="917"/>
      <c r="CNL5077" s="917"/>
      <c r="CNM5077" s="917"/>
      <c r="CNN5077" s="917"/>
      <c r="CNO5077" s="917"/>
      <c r="CNP5077" s="917"/>
      <c r="CNQ5077" s="917"/>
      <c r="CNR5077" s="917"/>
      <c r="CNS5077" s="917"/>
      <c r="CNT5077" s="917"/>
      <c r="CNU5077" s="917"/>
      <c r="CNV5077" s="917"/>
      <c r="CNW5077" s="917"/>
      <c r="CNX5077" s="917"/>
      <c r="CNY5077" s="917"/>
      <c r="CNZ5077" s="917"/>
      <c r="COA5077" s="917"/>
      <c r="COB5077" s="917"/>
      <c r="COC5077" s="917" t="s">
        <v>78</v>
      </c>
      <c r="COD5077" s="917"/>
      <c r="COE5077" s="917"/>
      <c r="COF5077" s="917"/>
      <c r="COG5077" s="917"/>
      <c r="COH5077" s="917"/>
      <c r="COI5077" s="917"/>
      <c r="COJ5077" s="917"/>
      <c r="COK5077" s="917"/>
      <c r="COL5077" s="917"/>
      <c r="COM5077" s="917"/>
      <c r="CON5077" s="917"/>
      <c r="COO5077" s="917"/>
      <c r="COP5077" s="917"/>
      <c r="COQ5077" s="917"/>
      <c r="COR5077" s="917"/>
      <c r="COS5077" s="917"/>
      <c r="COT5077" s="917"/>
      <c r="COU5077" s="917"/>
      <c r="COV5077" s="917"/>
      <c r="COW5077" s="917"/>
      <c r="COX5077" s="917"/>
      <c r="COY5077" s="917"/>
      <c r="COZ5077" s="917"/>
      <c r="CPA5077" s="917"/>
      <c r="CPB5077" s="917"/>
      <c r="CPC5077" s="917"/>
      <c r="CPD5077" s="917"/>
      <c r="CPE5077" s="917"/>
      <c r="CPF5077" s="917"/>
      <c r="CPG5077" s="917"/>
      <c r="CPH5077" s="917"/>
      <c r="CPI5077" s="917" t="s">
        <v>78</v>
      </c>
      <c r="CPJ5077" s="917"/>
      <c r="CPK5077" s="917"/>
      <c r="CPL5077" s="917"/>
      <c r="CPM5077" s="917"/>
      <c r="CPN5077" s="917"/>
      <c r="CPO5077" s="917"/>
      <c r="CPP5077" s="917"/>
      <c r="CPQ5077" s="917"/>
      <c r="CPR5077" s="917"/>
      <c r="CPS5077" s="917"/>
      <c r="CPT5077" s="917"/>
      <c r="CPU5077" s="917"/>
      <c r="CPV5077" s="917"/>
      <c r="CPW5077" s="917"/>
      <c r="CPX5077" s="917"/>
      <c r="CPY5077" s="917"/>
      <c r="CPZ5077" s="917"/>
      <c r="CQA5077" s="917"/>
      <c r="CQB5077" s="917"/>
      <c r="CQC5077" s="917"/>
      <c r="CQD5077" s="917"/>
      <c r="CQE5077" s="917"/>
      <c r="CQF5077" s="917"/>
      <c r="CQG5077" s="917"/>
      <c r="CQH5077" s="917"/>
      <c r="CQI5077" s="917"/>
      <c r="CQJ5077" s="917"/>
      <c r="CQK5077" s="917"/>
      <c r="CQL5077" s="917"/>
      <c r="CQM5077" s="917"/>
      <c r="CQN5077" s="917"/>
      <c r="CQO5077" s="917" t="s">
        <v>78</v>
      </c>
      <c r="CQP5077" s="917"/>
      <c r="CQQ5077" s="917"/>
      <c r="CQR5077" s="917"/>
      <c r="CQS5077" s="917"/>
      <c r="CQT5077" s="917"/>
      <c r="CQU5077" s="917"/>
      <c r="CQV5077" s="917"/>
      <c r="CQW5077" s="917"/>
      <c r="CQX5077" s="917"/>
      <c r="CQY5077" s="917"/>
      <c r="CQZ5077" s="917"/>
      <c r="CRA5077" s="917"/>
      <c r="CRB5077" s="917"/>
      <c r="CRC5077" s="917"/>
      <c r="CRD5077" s="917"/>
      <c r="CRE5077" s="917"/>
      <c r="CRF5077" s="917"/>
      <c r="CRG5077" s="917"/>
      <c r="CRH5077" s="917"/>
      <c r="CRI5077" s="917"/>
      <c r="CRJ5077" s="917"/>
      <c r="CRK5077" s="917"/>
      <c r="CRL5077" s="917"/>
      <c r="CRM5077" s="917"/>
      <c r="CRN5077" s="917"/>
      <c r="CRO5077" s="917"/>
      <c r="CRP5077" s="917"/>
      <c r="CRQ5077" s="917"/>
      <c r="CRR5077" s="917"/>
      <c r="CRS5077" s="917"/>
      <c r="CRT5077" s="917"/>
      <c r="CRU5077" s="917" t="s">
        <v>78</v>
      </c>
      <c r="CRV5077" s="917"/>
      <c r="CRW5077" s="917"/>
      <c r="CRX5077" s="917"/>
      <c r="CRY5077" s="917"/>
      <c r="CRZ5077" s="917"/>
      <c r="CSA5077" s="917"/>
      <c r="CSB5077" s="917"/>
      <c r="CSC5077" s="917"/>
      <c r="CSD5077" s="917"/>
      <c r="CSE5077" s="917"/>
      <c r="CSF5077" s="917"/>
      <c r="CSG5077" s="917"/>
      <c r="CSH5077" s="917"/>
      <c r="CSI5077" s="917"/>
      <c r="CSJ5077" s="917"/>
      <c r="CSK5077" s="917"/>
      <c r="CSL5077" s="917"/>
      <c r="CSM5077" s="917"/>
      <c r="CSN5077" s="917"/>
      <c r="CSO5077" s="917"/>
      <c r="CSP5077" s="917"/>
      <c r="CSQ5077" s="917"/>
      <c r="CSR5077" s="917"/>
      <c r="CSS5077" s="917"/>
      <c r="CST5077" s="917"/>
      <c r="CSU5077" s="917"/>
      <c r="CSV5077" s="917"/>
      <c r="CSW5077" s="917"/>
      <c r="CSX5077" s="917"/>
      <c r="CSY5077" s="917"/>
      <c r="CSZ5077" s="917"/>
      <c r="CTA5077" s="917" t="s">
        <v>78</v>
      </c>
      <c r="CTB5077" s="917"/>
      <c r="CTC5077" s="917"/>
      <c r="CTD5077" s="917"/>
      <c r="CTE5077" s="917"/>
      <c r="CTF5077" s="917"/>
      <c r="CTG5077" s="917"/>
      <c r="CTH5077" s="917"/>
      <c r="CTI5077" s="917"/>
      <c r="CTJ5077" s="917"/>
      <c r="CTK5077" s="917"/>
      <c r="CTL5077" s="917"/>
      <c r="CTM5077" s="917"/>
      <c r="CTN5077" s="917"/>
      <c r="CTO5077" s="917"/>
      <c r="CTP5077" s="917"/>
      <c r="CTQ5077" s="917"/>
      <c r="CTR5077" s="917"/>
      <c r="CTS5077" s="917"/>
      <c r="CTT5077" s="917"/>
      <c r="CTU5077" s="917"/>
      <c r="CTV5077" s="917"/>
      <c r="CTW5077" s="917"/>
      <c r="CTX5077" s="917"/>
      <c r="CTY5077" s="917"/>
      <c r="CTZ5077" s="917"/>
      <c r="CUA5077" s="917"/>
      <c r="CUB5077" s="917"/>
      <c r="CUC5077" s="917"/>
      <c r="CUD5077" s="917"/>
      <c r="CUE5077" s="917"/>
      <c r="CUF5077" s="917"/>
      <c r="CUG5077" s="917" t="s">
        <v>78</v>
      </c>
      <c r="CUH5077" s="917"/>
      <c r="CUI5077" s="917"/>
      <c r="CUJ5077" s="917"/>
      <c r="CUK5077" s="917"/>
      <c r="CUL5077" s="917"/>
      <c r="CUM5077" s="917"/>
      <c r="CUN5077" s="917"/>
      <c r="CUO5077" s="917"/>
      <c r="CUP5077" s="917"/>
      <c r="CUQ5077" s="917"/>
      <c r="CUR5077" s="917"/>
      <c r="CUS5077" s="917"/>
      <c r="CUT5077" s="917"/>
      <c r="CUU5077" s="917"/>
      <c r="CUV5077" s="917"/>
      <c r="CUW5077" s="917"/>
      <c r="CUX5077" s="917"/>
      <c r="CUY5077" s="917"/>
      <c r="CUZ5077" s="917"/>
      <c r="CVA5077" s="917"/>
      <c r="CVB5077" s="917"/>
      <c r="CVC5077" s="917"/>
      <c r="CVD5077" s="917"/>
      <c r="CVE5077" s="917"/>
      <c r="CVF5077" s="917"/>
      <c r="CVG5077" s="917"/>
      <c r="CVH5077" s="917"/>
      <c r="CVI5077" s="917"/>
      <c r="CVJ5077" s="917"/>
      <c r="CVK5077" s="917"/>
      <c r="CVL5077" s="917"/>
      <c r="CVM5077" s="917" t="s">
        <v>78</v>
      </c>
      <c r="CVN5077" s="917"/>
      <c r="CVO5077" s="917"/>
      <c r="CVP5077" s="917"/>
      <c r="CVQ5077" s="917"/>
      <c r="CVR5077" s="917"/>
      <c r="CVS5077" s="917"/>
      <c r="CVT5077" s="917"/>
      <c r="CVU5077" s="917"/>
      <c r="CVV5077" s="917"/>
      <c r="CVW5077" s="917"/>
      <c r="CVX5077" s="917"/>
      <c r="CVY5077" s="917"/>
      <c r="CVZ5077" s="917"/>
      <c r="CWA5077" s="917"/>
      <c r="CWB5077" s="917"/>
      <c r="CWC5077" s="917"/>
      <c r="CWD5077" s="917"/>
      <c r="CWE5077" s="917"/>
      <c r="CWF5077" s="917"/>
      <c r="CWG5077" s="917"/>
      <c r="CWH5077" s="917"/>
      <c r="CWI5077" s="917"/>
      <c r="CWJ5077" s="917"/>
      <c r="CWK5077" s="917"/>
      <c r="CWL5077" s="917"/>
      <c r="CWM5077" s="917"/>
      <c r="CWN5077" s="917"/>
      <c r="CWO5077" s="917"/>
      <c r="CWP5077" s="917"/>
      <c r="CWQ5077" s="917"/>
      <c r="CWR5077" s="917"/>
      <c r="CWS5077" s="917" t="s">
        <v>78</v>
      </c>
      <c r="CWT5077" s="917"/>
      <c r="CWU5077" s="917"/>
      <c r="CWV5077" s="917"/>
      <c r="CWW5077" s="917"/>
      <c r="CWX5077" s="917"/>
      <c r="CWY5077" s="917"/>
      <c r="CWZ5077" s="917"/>
      <c r="CXA5077" s="917"/>
      <c r="CXB5077" s="917"/>
      <c r="CXC5077" s="917"/>
      <c r="CXD5077" s="917"/>
      <c r="CXE5077" s="917"/>
      <c r="CXF5077" s="917"/>
      <c r="CXG5077" s="917"/>
      <c r="CXH5077" s="917"/>
      <c r="CXI5077" s="917"/>
      <c r="CXJ5077" s="917"/>
      <c r="CXK5077" s="917"/>
      <c r="CXL5077" s="917"/>
      <c r="CXM5077" s="917"/>
      <c r="CXN5077" s="917"/>
      <c r="CXO5077" s="917"/>
      <c r="CXP5077" s="917"/>
      <c r="CXQ5077" s="917"/>
      <c r="CXR5077" s="917"/>
      <c r="CXS5077" s="917"/>
      <c r="CXT5077" s="917"/>
      <c r="CXU5077" s="917"/>
      <c r="CXV5077" s="917"/>
      <c r="CXW5077" s="917"/>
      <c r="CXX5077" s="917"/>
      <c r="CXY5077" s="917" t="s">
        <v>78</v>
      </c>
      <c r="CXZ5077" s="917"/>
      <c r="CYA5077" s="917"/>
      <c r="CYB5077" s="917"/>
      <c r="CYC5077" s="917"/>
      <c r="CYD5077" s="917"/>
      <c r="CYE5077" s="917"/>
      <c r="CYF5077" s="917"/>
      <c r="CYG5077" s="917"/>
      <c r="CYH5077" s="917"/>
      <c r="CYI5077" s="917"/>
      <c r="CYJ5077" s="917"/>
      <c r="CYK5077" s="917"/>
      <c r="CYL5077" s="917"/>
      <c r="CYM5077" s="917"/>
      <c r="CYN5077" s="917"/>
      <c r="CYO5077" s="917"/>
      <c r="CYP5077" s="917"/>
      <c r="CYQ5077" s="917"/>
      <c r="CYR5077" s="917"/>
      <c r="CYS5077" s="917"/>
      <c r="CYT5077" s="917"/>
      <c r="CYU5077" s="917"/>
      <c r="CYV5077" s="917"/>
      <c r="CYW5077" s="917"/>
      <c r="CYX5077" s="917"/>
      <c r="CYY5077" s="917"/>
      <c r="CYZ5077" s="917"/>
      <c r="CZA5077" s="917"/>
      <c r="CZB5077" s="917"/>
      <c r="CZC5077" s="917"/>
      <c r="CZD5077" s="917"/>
      <c r="CZE5077" s="917" t="s">
        <v>78</v>
      </c>
      <c r="CZF5077" s="917"/>
      <c r="CZG5077" s="917"/>
      <c r="CZH5077" s="917"/>
      <c r="CZI5077" s="917"/>
      <c r="CZJ5077" s="917"/>
      <c r="CZK5077" s="917"/>
      <c r="CZL5077" s="917"/>
      <c r="CZM5077" s="917"/>
      <c r="CZN5077" s="917"/>
      <c r="CZO5077" s="917"/>
      <c r="CZP5077" s="917"/>
      <c r="CZQ5077" s="917"/>
      <c r="CZR5077" s="917"/>
      <c r="CZS5077" s="917"/>
      <c r="CZT5077" s="917"/>
      <c r="CZU5077" s="917"/>
      <c r="CZV5077" s="917"/>
      <c r="CZW5077" s="917"/>
      <c r="CZX5077" s="917"/>
      <c r="CZY5077" s="917"/>
      <c r="CZZ5077" s="917"/>
      <c r="DAA5077" s="917"/>
      <c r="DAB5077" s="917"/>
      <c r="DAC5077" s="917"/>
      <c r="DAD5077" s="917"/>
      <c r="DAE5077" s="917"/>
      <c r="DAF5077" s="917"/>
      <c r="DAG5077" s="917"/>
      <c r="DAH5077" s="917"/>
      <c r="DAI5077" s="917"/>
      <c r="DAJ5077" s="917"/>
      <c r="DAK5077" s="917" t="s">
        <v>78</v>
      </c>
      <c r="DAL5077" s="917"/>
      <c r="DAM5077" s="917"/>
      <c r="DAN5077" s="917"/>
      <c r="DAO5077" s="917"/>
      <c r="DAP5077" s="917"/>
      <c r="DAQ5077" s="917"/>
      <c r="DAR5077" s="917"/>
      <c r="DAS5077" s="917"/>
      <c r="DAT5077" s="917"/>
      <c r="DAU5077" s="917"/>
      <c r="DAV5077" s="917"/>
      <c r="DAW5077" s="917"/>
      <c r="DAX5077" s="917"/>
      <c r="DAY5077" s="917"/>
      <c r="DAZ5077" s="917"/>
      <c r="DBA5077" s="917"/>
      <c r="DBB5077" s="917"/>
      <c r="DBC5077" s="917"/>
      <c r="DBD5077" s="917"/>
      <c r="DBE5077" s="917"/>
      <c r="DBF5077" s="917"/>
      <c r="DBG5077" s="917"/>
      <c r="DBH5077" s="917"/>
      <c r="DBI5077" s="917"/>
      <c r="DBJ5077" s="917"/>
      <c r="DBK5077" s="917"/>
      <c r="DBL5077" s="917"/>
      <c r="DBM5077" s="917"/>
      <c r="DBN5077" s="917"/>
      <c r="DBO5077" s="917"/>
      <c r="DBP5077" s="917"/>
      <c r="DBQ5077" s="917" t="s">
        <v>78</v>
      </c>
      <c r="DBR5077" s="917"/>
      <c r="DBS5077" s="917"/>
      <c r="DBT5077" s="917"/>
      <c r="DBU5077" s="917"/>
      <c r="DBV5077" s="917"/>
      <c r="DBW5077" s="917"/>
      <c r="DBX5077" s="917"/>
      <c r="DBY5077" s="917"/>
      <c r="DBZ5077" s="917"/>
      <c r="DCA5077" s="917"/>
      <c r="DCB5077" s="917"/>
      <c r="DCC5077" s="917"/>
      <c r="DCD5077" s="917"/>
      <c r="DCE5077" s="917"/>
      <c r="DCF5077" s="917"/>
      <c r="DCG5077" s="917"/>
      <c r="DCH5077" s="917"/>
      <c r="DCI5077" s="917"/>
      <c r="DCJ5077" s="917"/>
      <c r="DCK5077" s="917"/>
      <c r="DCL5077" s="917"/>
      <c r="DCM5077" s="917"/>
      <c r="DCN5077" s="917"/>
      <c r="DCO5077" s="917"/>
      <c r="DCP5077" s="917"/>
      <c r="DCQ5077" s="917"/>
      <c r="DCR5077" s="917"/>
      <c r="DCS5077" s="917"/>
      <c r="DCT5077" s="917"/>
      <c r="DCU5077" s="917"/>
      <c r="DCV5077" s="917"/>
      <c r="DCW5077" s="917" t="s">
        <v>78</v>
      </c>
      <c r="DCX5077" s="917"/>
      <c r="DCY5077" s="917"/>
      <c r="DCZ5077" s="917"/>
      <c r="DDA5077" s="917"/>
      <c r="DDB5077" s="917"/>
      <c r="DDC5077" s="917"/>
      <c r="DDD5077" s="917"/>
      <c r="DDE5077" s="917"/>
      <c r="DDF5077" s="917"/>
      <c r="DDG5077" s="917"/>
      <c r="DDH5077" s="917"/>
      <c r="DDI5077" s="917"/>
      <c r="DDJ5077" s="917"/>
      <c r="DDK5077" s="917"/>
      <c r="DDL5077" s="917"/>
      <c r="DDM5077" s="917"/>
      <c r="DDN5077" s="917"/>
      <c r="DDO5077" s="917"/>
      <c r="DDP5077" s="917"/>
      <c r="DDQ5077" s="917"/>
      <c r="DDR5077" s="917"/>
      <c r="DDS5077" s="917"/>
      <c r="DDT5077" s="917"/>
      <c r="DDU5077" s="917"/>
      <c r="DDV5077" s="917"/>
      <c r="DDW5077" s="917"/>
      <c r="DDX5077" s="917"/>
      <c r="DDY5077" s="917"/>
      <c r="DDZ5077" s="917"/>
      <c r="DEA5077" s="917"/>
      <c r="DEB5077" s="917"/>
      <c r="DEC5077" s="917" t="s">
        <v>78</v>
      </c>
      <c r="DED5077" s="917"/>
      <c r="DEE5077" s="917"/>
      <c r="DEF5077" s="917"/>
      <c r="DEG5077" s="917"/>
      <c r="DEH5077" s="917"/>
      <c r="DEI5077" s="917"/>
      <c r="DEJ5077" s="917"/>
      <c r="DEK5077" s="917"/>
      <c r="DEL5077" s="917"/>
      <c r="DEM5077" s="917"/>
      <c r="DEN5077" s="917"/>
      <c r="DEO5077" s="917"/>
      <c r="DEP5077" s="917"/>
      <c r="DEQ5077" s="917"/>
      <c r="DER5077" s="917"/>
      <c r="DES5077" s="917"/>
      <c r="DET5077" s="917"/>
      <c r="DEU5077" s="917"/>
      <c r="DEV5077" s="917"/>
      <c r="DEW5077" s="917"/>
      <c r="DEX5077" s="917"/>
      <c r="DEY5077" s="917"/>
      <c r="DEZ5077" s="917"/>
      <c r="DFA5077" s="917"/>
      <c r="DFB5077" s="917"/>
      <c r="DFC5077" s="917"/>
      <c r="DFD5077" s="917"/>
      <c r="DFE5077" s="917"/>
      <c r="DFF5077" s="917"/>
      <c r="DFG5077" s="917"/>
      <c r="DFH5077" s="917"/>
      <c r="DFI5077" s="917" t="s">
        <v>78</v>
      </c>
      <c r="DFJ5077" s="917"/>
      <c r="DFK5077" s="917"/>
      <c r="DFL5077" s="917"/>
      <c r="DFM5077" s="917"/>
      <c r="DFN5077" s="917"/>
      <c r="DFO5077" s="917"/>
      <c r="DFP5077" s="917"/>
      <c r="DFQ5077" s="917"/>
      <c r="DFR5077" s="917"/>
      <c r="DFS5077" s="917"/>
      <c r="DFT5077" s="917"/>
      <c r="DFU5077" s="917"/>
      <c r="DFV5077" s="917"/>
      <c r="DFW5077" s="917"/>
      <c r="DFX5077" s="917"/>
      <c r="DFY5077" s="917"/>
      <c r="DFZ5077" s="917"/>
      <c r="DGA5077" s="917"/>
      <c r="DGB5077" s="917"/>
      <c r="DGC5077" s="917"/>
      <c r="DGD5077" s="917"/>
      <c r="DGE5077" s="917"/>
      <c r="DGF5077" s="917"/>
      <c r="DGG5077" s="917"/>
      <c r="DGH5077" s="917"/>
      <c r="DGI5077" s="917"/>
      <c r="DGJ5077" s="917"/>
      <c r="DGK5077" s="917"/>
      <c r="DGL5077" s="917"/>
      <c r="DGM5077" s="917"/>
      <c r="DGN5077" s="917"/>
      <c r="DGO5077" s="917" t="s">
        <v>78</v>
      </c>
      <c r="DGP5077" s="917"/>
      <c r="DGQ5077" s="917"/>
      <c r="DGR5077" s="917"/>
      <c r="DGS5077" s="917"/>
      <c r="DGT5077" s="917"/>
      <c r="DGU5077" s="917"/>
      <c r="DGV5077" s="917"/>
      <c r="DGW5077" s="917"/>
      <c r="DGX5077" s="917"/>
      <c r="DGY5077" s="917"/>
      <c r="DGZ5077" s="917"/>
      <c r="DHA5077" s="917"/>
      <c r="DHB5077" s="917"/>
      <c r="DHC5077" s="917"/>
      <c r="DHD5077" s="917"/>
      <c r="DHE5077" s="917"/>
      <c r="DHF5077" s="917"/>
      <c r="DHG5077" s="917"/>
      <c r="DHH5077" s="917"/>
      <c r="DHI5077" s="917"/>
      <c r="DHJ5077" s="917"/>
      <c r="DHK5077" s="917"/>
      <c r="DHL5077" s="917"/>
      <c r="DHM5077" s="917"/>
      <c r="DHN5077" s="917"/>
      <c r="DHO5077" s="917"/>
      <c r="DHP5077" s="917"/>
      <c r="DHQ5077" s="917"/>
      <c r="DHR5077" s="917"/>
      <c r="DHS5077" s="917"/>
      <c r="DHT5077" s="917"/>
      <c r="DHU5077" s="917" t="s">
        <v>78</v>
      </c>
      <c r="DHV5077" s="917"/>
      <c r="DHW5077" s="917"/>
      <c r="DHX5077" s="917"/>
      <c r="DHY5077" s="917"/>
      <c r="DHZ5077" s="917"/>
      <c r="DIA5077" s="917"/>
      <c r="DIB5077" s="917"/>
      <c r="DIC5077" s="917"/>
      <c r="DID5077" s="917"/>
      <c r="DIE5077" s="917"/>
      <c r="DIF5077" s="917"/>
      <c r="DIG5077" s="917"/>
      <c r="DIH5077" s="917"/>
      <c r="DII5077" s="917"/>
      <c r="DIJ5077" s="917"/>
      <c r="DIK5077" s="917"/>
      <c r="DIL5077" s="917"/>
      <c r="DIM5077" s="917"/>
      <c r="DIN5077" s="917"/>
      <c r="DIO5077" s="917"/>
      <c r="DIP5077" s="917"/>
      <c r="DIQ5077" s="917"/>
      <c r="DIR5077" s="917"/>
      <c r="DIS5077" s="917"/>
      <c r="DIT5077" s="917"/>
      <c r="DIU5077" s="917"/>
      <c r="DIV5077" s="917"/>
      <c r="DIW5077" s="917"/>
      <c r="DIX5077" s="917"/>
      <c r="DIY5077" s="917"/>
      <c r="DIZ5077" s="917"/>
      <c r="DJA5077" s="917" t="s">
        <v>78</v>
      </c>
      <c r="DJB5077" s="917"/>
      <c r="DJC5077" s="917"/>
      <c r="DJD5077" s="917"/>
      <c r="DJE5077" s="917"/>
      <c r="DJF5077" s="917"/>
      <c r="DJG5077" s="917"/>
      <c r="DJH5077" s="917"/>
      <c r="DJI5077" s="917"/>
      <c r="DJJ5077" s="917"/>
      <c r="DJK5077" s="917"/>
      <c r="DJL5077" s="917"/>
      <c r="DJM5077" s="917"/>
      <c r="DJN5077" s="917"/>
      <c r="DJO5077" s="917"/>
      <c r="DJP5077" s="917"/>
      <c r="DJQ5077" s="917"/>
      <c r="DJR5077" s="917"/>
      <c r="DJS5077" s="917"/>
      <c r="DJT5077" s="917"/>
      <c r="DJU5077" s="917"/>
      <c r="DJV5077" s="917"/>
      <c r="DJW5077" s="917"/>
      <c r="DJX5077" s="917"/>
      <c r="DJY5077" s="917"/>
      <c r="DJZ5077" s="917"/>
      <c r="DKA5077" s="917"/>
      <c r="DKB5077" s="917"/>
      <c r="DKC5077" s="917"/>
      <c r="DKD5077" s="917"/>
      <c r="DKE5077" s="917"/>
      <c r="DKF5077" s="917"/>
      <c r="DKG5077" s="917" t="s">
        <v>78</v>
      </c>
      <c r="DKH5077" s="917"/>
      <c r="DKI5077" s="917"/>
      <c r="DKJ5077" s="917"/>
      <c r="DKK5077" s="917"/>
      <c r="DKL5077" s="917"/>
      <c r="DKM5077" s="917"/>
      <c r="DKN5077" s="917"/>
      <c r="DKO5077" s="917"/>
      <c r="DKP5077" s="917"/>
      <c r="DKQ5077" s="917"/>
      <c r="DKR5077" s="917"/>
      <c r="DKS5077" s="917"/>
      <c r="DKT5077" s="917"/>
      <c r="DKU5077" s="917"/>
      <c r="DKV5077" s="917"/>
      <c r="DKW5077" s="917"/>
      <c r="DKX5077" s="917"/>
      <c r="DKY5077" s="917"/>
      <c r="DKZ5077" s="917"/>
      <c r="DLA5077" s="917"/>
      <c r="DLB5077" s="917"/>
      <c r="DLC5077" s="917"/>
      <c r="DLD5077" s="917"/>
      <c r="DLE5077" s="917"/>
      <c r="DLF5077" s="917"/>
      <c r="DLG5077" s="917"/>
      <c r="DLH5077" s="917"/>
      <c r="DLI5077" s="917"/>
      <c r="DLJ5077" s="917"/>
      <c r="DLK5077" s="917"/>
      <c r="DLL5077" s="917"/>
      <c r="DLM5077" s="917" t="s">
        <v>78</v>
      </c>
      <c r="DLN5077" s="917"/>
      <c r="DLO5077" s="917"/>
      <c r="DLP5077" s="917"/>
      <c r="DLQ5077" s="917"/>
      <c r="DLR5077" s="917"/>
      <c r="DLS5077" s="917"/>
      <c r="DLT5077" s="917"/>
      <c r="DLU5077" s="917"/>
      <c r="DLV5077" s="917"/>
      <c r="DLW5077" s="917"/>
      <c r="DLX5077" s="917"/>
      <c r="DLY5077" s="917"/>
      <c r="DLZ5077" s="917"/>
      <c r="DMA5077" s="917"/>
      <c r="DMB5077" s="917"/>
      <c r="DMC5077" s="917"/>
      <c r="DMD5077" s="917"/>
      <c r="DME5077" s="917"/>
      <c r="DMF5077" s="917"/>
      <c r="DMG5077" s="917"/>
      <c r="DMH5077" s="917"/>
      <c r="DMI5077" s="917"/>
      <c r="DMJ5077" s="917"/>
      <c r="DMK5077" s="917"/>
      <c r="DML5077" s="917"/>
      <c r="DMM5077" s="917"/>
      <c r="DMN5077" s="917"/>
      <c r="DMO5077" s="917"/>
      <c r="DMP5077" s="917"/>
      <c r="DMQ5077" s="917"/>
      <c r="DMR5077" s="917"/>
      <c r="DMS5077" s="917" t="s">
        <v>78</v>
      </c>
      <c r="DMT5077" s="917"/>
      <c r="DMU5077" s="917"/>
      <c r="DMV5077" s="917"/>
      <c r="DMW5077" s="917"/>
      <c r="DMX5077" s="917"/>
      <c r="DMY5077" s="917"/>
      <c r="DMZ5077" s="917"/>
      <c r="DNA5077" s="917"/>
      <c r="DNB5077" s="917"/>
      <c r="DNC5077" s="917"/>
      <c r="DND5077" s="917"/>
      <c r="DNE5077" s="917"/>
      <c r="DNF5077" s="917"/>
      <c r="DNG5077" s="917"/>
      <c r="DNH5077" s="917"/>
      <c r="DNI5077" s="917"/>
      <c r="DNJ5077" s="917"/>
      <c r="DNK5077" s="917"/>
      <c r="DNL5077" s="917"/>
      <c r="DNM5077" s="917"/>
      <c r="DNN5077" s="917"/>
      <c r="DNO5077" s="917"/>
      <c r="DNP5077" s="917"/>
      <c r="DNQ5077" s="917"/>
      <c r="DNR5077" s="917"/>
      <c r="DNS5077" s="917"/>
      <c r="DNT5077" s="917"/>
      <c r="DNU5077" s="917"/>
      <c r="DNV5077" s="917"/>
      <c r="DNW5077" s="917"/>
      <c r="DNX5077" s="917"/>
      <c r="DNY5077" s="917" t="s">
        <v>78</v>
      </c>
      <c r="DNZ5077" s="917"/>
      <c r="DOA5077" s="917"/>
      <c r="DOB5077" s="917"/>
      <c r="DOC5077" s="917"/>
      <c r="DOD5077" s="917"/>
      <c r="DOE5077" s="917"/>
      <c r="DOF5077" s="917"/>
      <c r="DOG5077" s="917"/>
      <c r="DOH5077" s="917"/>
      <c r="DOI5077" s="917"/>
      <c r="DOJ5077" s="917"/>
      <c r="DOK5077" s="917"/>
      <c r="DOL5077" s="917"/>
      <c r="DOM5077" s="917"/>
      <c r="DON5077" s="917"/>
      <c r="DOO5077" s="917"/>
      <c r="DOP5077" s="917"/>
      <c r="DOQ5077" s="917"/>
      <c r="DOR5077" s="917"/>
      <c r="DOS5077" s="917"/>
      <c r="DOT5077" s="917"/>
      <c r="DOU5077" s="917"/>
      <c r="DOV5077" s="917"/>
      <c r="DOW5077" s="917"/>
      <c r="DOX5077" s="917"/>
      <c r="DOY5077" s="917"/>
      <c r="DOZ5077" s="917"/>
      <c r="DPA5077" s="917"/>
      <c r="DPB5077" s="917"/>
      <c r="DPC5077" s="917"/>
      <c r="DPD5077" s="917"/>
      <c r="DPE5077" s="917" t="s">
        <v>78</v>
      </c>
      <c r="DPF5077" s="917"/>
      <c r="DPG5077" s="917"/>
      <c r="DPH5077" s="917"/>
      <c r="DPI5077" s="917"/>
      <c r="DPJ5077" s="917"/>
      <c r="DPK5077" s="917"/>
      <c r="DPL5077" s="917"/>
      <c r="DPM5077" s="917"/>
      <c r="DPN5077" s="917"/>
      <c r="DPO5077" s="917"/>
      <c r="DPP5077" s="917"/>
      <c r="DPQ5077" s="917"/>
      <c r="DPR5077" s="917"/>
      <c r="DPS5077" s="917"/>
      <c r="DPT5077" s="917"/>
      <c r="DPU5077" s="917"/>
      <c r="DPV5077" s="917"/>
      <c r="DPW5077" s="917"/>
      <c r="DPX5077" s="917"/>
      <c r="DPY5077" s="917"/>
      <c r="DPZ5077" s="917"/>
      <c r="DQA5077" s="917"/>
      <c r="DQB5077" s="917"/>
      <c r="DQC5077" s="917"/>
      <c r="DQD5077" s="917"/>
      <c r="DQE5077" s="917"/>
      <c r="DQF5077" s="917"/>
      <c r="DQG5077" s="917"/>
      <c r="DQH5077" s="917"/>
      <c r="DQI5077" s="917"/>
      <c r="DQJ5077" s="917"/>
      <c r="DQK5077" s="917" t="s">
        <v>78</v>
      </c>
      <c r="DQL5077" s="917"/>
      <c r="DQM5077" s="917"/>
      <c r="DQN5077" s="917"/>
      <c r="DQO5077" s="917"/>
      <c r="DQP5077" s="917"/>
      <c r="DQQ5077" s="917"/>
      <c r="DQR5077" s="917"/>
      <c r="DQS5077" s="917"/>
      <c r="DQT5077" s="917"/>
      <c r="DQU5077" s="917"/>
      <c r="DQV5077" s="917"/>
      <c r="DQW5077" s="917"/>
      <c r="DQX5077" s="917"/>
      <c r="DQY5077" s="917"/>
      <c r="DQZ5077" s="917"/>
      <c r="DRA5077" s="917"/>
      <c r="DRB5077" s="917"/>
      <c r="DRC5077" s="917"/>
      <c r="DRD5077" s="917"/>
      <c r="DRE5077" s="917"/>
      <c r="DRF5077" s="917"/>
      <c r="DRG5077" s="917"/>
      <c r="DRH5077" s="917"/>
      <c r="DRI5077" s="917"/>
      <c r="DRJ5077" s="917"/>
      <c r="DRK5077" s="917"/>
      <c r="DRL5077" s="917"/>
      <c r="DRM5077" s="917"/>
      <c r="DRN5077" s="917"/>
      <c r="DRO5077" s="917"/>
      <c r="DRP5077" s="917"/>
      <c r="DRQ5077" s="917" t="s">
        <v>78</v>
      </c>
      <c r="DRR5077" s="917"/>
      <c r="DRS5077" s="917"/>
      <c r="DRT5077" s="917"/>
      <c r="DRU5077" s="917"/>
      <c r="DRV5077" s="917"/>
      <c r="DRW5077" s="917"/>
      <c r="DRX5077" s="917"/>
      <c r="DRY5077" s="917"/>
      <c r="DRZ5077" s="917"/>
      <c r="DSA5077" s="917"/>
      <c r="DSB5077" s="917"/>
      <c r="DSC5077" s="917"/>
      <c r="DSD5077" s="917"/>
      <c r="DSE5077" s="917"/>
      <c r="DSF5077" s="917"/>
      <c r="DSG5077" s="917"/>
      <c r="DSH5077" s="917"/>
      <c r="DSI5077" s="917"/>
      <c r="DSJ5077" s="917"/>
      <c r="DSK5077" s="917"/>
      <c r="DSL5077" s="917"/>
      <c r="DSM5077" s="917"/>
      <c r="DSN5077" s="917"/>
      <c r="DSO5077" s="917"/>
      <c r="DSP5077" s="917"/>
      <c r="DSQ5077" s="917"/>
      <c r="DSR5077" s="917"/>
      <c r="DSS5077" s="917"/>
      <c r="DST5077" s="917"/>
      <c r="DSU5077" s="917"/>
      <c r="DSV5077" s="917"/>
      <c r="DSW5077" s="917" t="s">
        <v>78</v>
      </c>
      <c r="DSX5077" s="917"/>
      <c r="DSY5077" s="917"/>
      <c r="DSZ5077" s="917"/>
      <c r="DTA5077" s="917"/>
      <c r="DTB5077" s="917"/>
      <c r="DTC5077" s="917"/>
      <c r="DTD5077" s="917"/>
      <c r="DTE5077" s="917"/>
      <c r="DTF5077" s="917"/>
      <c r="DTG5077" s="917"/>
      <c r="DTH5077" s="917"/>
      <c r="DTI5077" s="917"/>
      <c r="DTJ5077" s="917"/>
      <c r="DTK5077" s="917"/>
      <c r="DTL5077" s="917"/>
      <c r="DTM5077" s="917"/>
      <c r="DTN5077" s="917"/>
      <c r="DTO5077" s="917"/>
      <c r="DTP5077" s="917"/>
      <c r="DTQ5077" s="917"/>
      <c r="DTR5077" s="917"/>
      <c r="DTS5077" s="917"/>
      <c r="DTT5077" s="917"/>
      <c r="DTU5077" s="917"/>
      <c r="DTV5077" s="917"/>
      <c r="DTW5077" s="917"/>
      <c r="DTX5077" s="917"/>
      <c r="DTY5077" s="917"/>
      <c r="DTZ5077" s="917"/>
      <c r="DUA5077" s="917"/>
      <c r="DUB5077" s="917"/>
      <c r="DUC5077" s="917" t="s">
        <v>78</v>
      </c>
      <c r="DUD5077" s="917"/>
      <c r="DUE5077" s="917"/>
      <c r="DUF5077" s="917"/>
      <c r="DUG5077" s="917"/>
      <c r="DUH5077" s="917"/>
      <c r="DUI5077" s="917"/>
      <c r="DUJ5077" s="917"/>
      <c r="DUK5077" s="917"/>
      <c r="DUL5077" s="917"/>
      <c r="DUM5077" s="917"/>
      <c r="DUN5077" s="917"/>
      <c r="DUO5077" s="917"/>
      <c r="DUP5077" s="917"/>
      <c r="DUQ5077" s="917"/>
      <c r="DUR5077" s="917"/>
      <c r="DUS5077" s="917"/>
      <c r="DUT5077" s="917"/>
      <c r="DUU5077" s="917"/>
      <c r="DUV5077" s="917"/>
      <c r="DUW5077" s="917"/>
      <c r="DUX5077" s="917"/>
      <c r="DUY5077" s="917"/>
      <c r="DUZ5077" s="917"/>
      <c r="DVA5077" s="917"/>
      <c r="DVB5077" s="917"/>
      <c r="DVC5077" s="917"/>
      <c r="DVD5077" s="917"/>
      <c r="DVE5077" s="917"/>
      <c r="DVF5077" s="917"/>
      <c r="DVG5077" s="917"/>
      <c r="DVH5077" s="917"/>
      <c r="DVI5077" s="917" t="s">
        <v>78</v>
      </c>
      <c r="DVJ5077" s="917"/>
      <c r="DVK5077" s="917"/>
      <c r="DVL5077" s="917"/>
      <c r="DVM5077" s="917"/>
      <c r="DVN5077" s="917"/>
      <c r="DVO5077" s="917"/>
      <c r="DVP5077" s="917"/>
      <c r="DVQ5077" s="917"/>
      <c r="DVR5077" s="917"/>
      <c r="DVS5077" s="917"/>
      <c r="DVT5077" s="917"/>
      <c r="DVU5077" s="917"/>
      <c r="DVV5077" s="917"/>
      <c r="DVW5077" s="917"/>
      <c r="DVX5077" s="917"/>
      <c r="DVY5077" s="917"/>
      <c r="DVZ5077" s="917"/>
      <c r="DWA5077" s="917"/>
      <c r="DWB5077" s="917"/>
      <c r="DWC5077" s="917"/>
      <c r="DWD5077" s="917"/>
      <c r="DWE5077" s="917"/>
      <c r="DWF5077" s="917"/>
      <c r="DWG5077" s="917"/>
      <c r="DWH5077" s="917"/>
      <c r="DWI5077" s="917"/>
      <c r="DWJ5077" s="917"/>
      <c r="DWK5077" s="917"/>
      <c r="DWL5077" s="917"/>
      <c r="DWM5077" s="917"/>
      <c r="DWN5077" s="917"/>
      <c r="DWO5077" s="917" t="s">
        <v>78</v>
      </c>
      <c r="DWP5077" s="917"/>
      <c r="DWQ5077" s="917"/>
      <c r="DWR5077" s="917"/>
      <c r="DWS5077" s="917"/>
      <c r="DWT5077" s="917"/>
      <c r="DWU5077" s="917"/>
      <c r="DWV5077" s="917"/>
      <c r="DWW5077" s="917"/>
      <c r="DWX5077" s="917"/>
      <c r="DWY5077" s="917"/>
      <c r="DWZ5077" s="917"/>
      <c r="DXA5077" s="917"/>
      <c r="DXB5077" s="917"/>
      <c r="DXC5077" s="917"/>
      <c r="DXD5077" s="917"/>
      <c r="DXE5077" s="917"/>
      <c r="DXF5077" s="917"/>
      <c r="DXG5077" s="917"/>
      <c r="DXH5077" s="917"/>
      <c r="DXI5077" s="917"/>
      <c r="DXJ5077" s="917"/>
      <c r="DXK5077" s="917"/>
      <c r="DXL5077" s="917"/>
      <c r="DXM5077" s="917"/>
      <c r="DXN5077" s="917"/>
      <c r="DXO5077" s="917"/>
      <c r="DXP5077" s="917"/>
      <c r="DXQ5077" s="917"/>
      <c r="DXR5077" s="917"/>
      <c r="DXS5077" s="917"/>
      <c r="DXT5077" s="917"/>
      <c r="DXU5077" s="917" t="s">
        <v>78</v>
      </c>
      <c r="DXV5077" s="917"/>
      <c r="DXW5077" s="917"/>
      <c r="DXX5077" s="917"/>
      <c r="DXY5077" s="917"/>
      <c r="DXZ5077" s="917"/>
      <c r="DYA5077" s="917"/>
      <c r="DYB5077" s="917"/>
      <c r="DYC5077" s="917"/>
      <c r="DYD5077" s="917"/>
      <c r="DYE5077" s="917"/>
      <c r="DYF5077" s="917"/>
      <c r="DYG5077" s="917"/>
      <c r="DYH5077" s="917"/>
      <c r="DYI5077" s="917"/>
      <c r="DYJ5077" s="917"/>
      <c r="DYK5077" s="917"/>
      <c r="DYL5077" s="917"/>
      <c r="DYM5077" s="917"/>
      <c r="DYN5077" s="917"/>
      <c r="DYO5077" s="917"/>
      <c r="DYP5077" s="917"/>
      <c r="DYQ5077" s="917"/>
      <c r="DYR5077" s="917"/>
      <c r="DYS5077" s="917"/>
      <c r="DYT5077" s="917"/>
      <c r="DYU5077" s="917"/>
      <c r="DYV5077" s="917"/>
      <c r="DYW5077" s="917"/>
      <c r="DYX5077" s="917"/>
      <c r="DYY5077" s="917"/>
      <c r="DYZ5077" s="917"/>
      <c r="DZA5077" s="917" t="s">
        <v>78</v>
      </c>
      <c r="DZB5077" s="917"/>
      <c r="DZC5077" s="917"/>
      <c r="DZD5077" s="917"/>
      <c r="DZE5077" s="917"/>
      <c r="DZF5077" s="917"/>
      <c r="DZG5077" s="917"/>
      <c r="DZH5077" s="917"/>
      <c r="DZI5077" s="917"/>
      <c r="DZJ5077" s="917"/>
      <c r="DZK5077" s="917"/>
      <c r="DZL5077" s="917"/>
      <c r="DZM5077" s="917"/>
      <c r="DZN5077" s="917"/>
      <c r="DZO5077" s="917"/>
      <c r="DZP5077" s="917"/>
      <c r="DZQ5077" s="917"/>
      <c r="DZR5077" s="917"/>
      <c r="DZS5077" s="917"/>
      <c r="DZT5077" s="917"/>
      <c r="DZU5077" s="917"/>
      <c r="DZV5077" s="917"/>
      <c r="DZW5077" s="917"/>
      <c r="DZX5077" s="917"/>
      <c r="DZY5077" s="917"/>
      <c r="DZZ5077" s="917"/>
      <c r="EAA5077" s="917"/>
      <c r="EAB5077" s="917"/>
      <c r="EAC5077" s="917"/>
      <c r="EAD5077" s="917"/>
      <c r="EAE5077" s="917"/>
      <c r="EAF5077" s="917"/>
      <c r="EAG5077" s="917" t="s">
        <v>78</v>
      </c>
      <c r="EAH5077" s="917"/>
      <c r="EAI5077" s="917"/>
      <c r="EAJ5077" s="917"/>
      <c r="EAK5077" s="917"/>
      <c r="EAL5077" s="917"/>
      <c r="EAM5077" s="917"/>
      <c r="EAN5077" s="917"/>
      <c r="EAO5077" s="917"/>
      <c r="EAP5077" s="917"/>
      <c r="EAQ5077" s="917"/>
      <c r="EAR5077" s="917"/>
      <c r="EAS5077" s="917"/>
      <c r="EAT5077" s="917"/>
      <c r="EAU5077" s="917"/>
      <c r="EAV5077" s="917"/>
      <c r="EAW5077" s="917"/>
      <c r="EAX5077" s="917"/>
      <c r="EAY5077" s="917"/>
      <c r="EAZ5077" s="917"/>
      <c r="EBA5077" s="917"/>
      <c r="EBB5077" s="917"/>
      <c r="EBC5077" s="917"/>
      <c r="EBD5077" s="917"/>
      <c r="EBE5077" s="917"/>
      <c r="EBF5077" s="917"/>
      <c r="EBG5077" s="917"/>
      <c r="EBH5077" s="917"/>
      <c r="EBI5077" s="917"/>
      <c r="EBJ5077" s="917"/>
      <c r="EBK5077" s="917"/>
      <c r="EBL5077" s="917"/>
      <c r="EBM5077" s="917" t="s">
        <v>78</v>
      </c>
      <c r="EBN5077" s="917"/>
      <c r="EBO5077" s="917"/>
      <c r="EBP5077" s="917"/>
      <c r="EBQ5077" s="917"/>
      <c r="EBR5077" s="917"/>
      <c r="EBS5077" s="917"/>
      <c r="EBT5077" s="917"/>
      <c r="EBU5077" s="917"/>
      <c r="EBV5077" s="917"/>
      <c r="EBW5077" s="917"/>
      <c r="EBX5077" s="917"/>
      <c r="EBY5077" s="917"/>
      <c r="EBZ5077" s="917"/>
      <c r="ECA5077" s="917"/>
      <c r="ECB5077" s="917"/>
      <c r="ECC5077" s="917"/>
      <c r="ECD5077" s="917"/>
      <c r="ECE5077" s="917"/>
      <c r="ECF5077" s="917"/>
      <c r="ECG5077" s="917"/>
      <c r="ECH5077" s="917"/>
      <c r="ECI5077" s="917"/>
      <c r="ECJ5077" s="917"/>
      <c r="ECK5077" s="917"/>
      <c r="ECL5077" s="917"/>
      <c r="ECM5077" s="917"/>
      <c r="ECN5077" s="917"/>
      <c r="ECO5077" s="917"/>
      <c r="ECP5077" s="917"/>
      <c r="ECQ5077" s="917"/>
      <c r="ECR5077" s="917"/>
      <c r="ECS5077" s="917" t="s">
        <v>78</v>
      </c>
      <c r="ECT5077" s="917"/>
      <c r="ECU5077" s="917"/>
      <c r="ECV5077" s="917"/>
      <c r="ECW5077" s="917"/>
      <c r="ECX5077" s="917"/>
      <c r="ECY5077" s="917"/>
      <c r="ECZ5077" s="917"/>
      <c r="EDA5077" s="917"/>
      <c r="EDB5077" s="917"/>
      <c r="EDC5077" s="917"/>
      <c r="EDD5077" s="917"/>
      <c r="EDE5077" s="917"/>
      <c r="EDF5077" s="917"/>
      <c r="EDG5077" s="917"/>
      <c r="EDH5077" s="917"/>
      <c r="EDI5077" s="917"/>
      <c r="EDJ5077" s="917"/>
      <c r="EDK5077" s="917"/>
      <c r="EDL5077" s="917"/>
      <c r="EDM5077" s="917"/>
      <c r="EDN5077" s="917"/>
      <c r="EDO5077" s="917"/>
      <c r="EDP5077" s="917"/>
      <c r="EDQ5077" s="917"/>
      <c r="EDR5077" s="917"/>
      <c r="EDS5077" s="917"/>
      <c r="EDT5077" s="917"/>
      <c r="EDU5077" s="917"/>
      <c r="EDV5077" s="917"/>
      <c r="EDW5077" s="917"/>
      <c r="EDX5077" s="917"/>
      <c r="EDY5077" s="917" t="s">
        <v>78</v>
      </c>
      <c r="EDZ5077" s="917"/>
      <c r="EEA5077" s="917"/>
      <c r="EEB5077" s="917"/>
      <c r="EEC5077" s="917"/>
      <c r="EED5077" s="917"/>
      <c r="EEE5077" s="917"/>
      <c r="EEF5077" s="917"/>
      <c r="EEG5077" s="917"/>
      <c r="EEH5077" s="917"/>
      <c r="EEI5077" s="917"/>
      <c r="EEJ5077" s="917"/>
      <c r="EEK5077" s="917"/>
      <c r="EEL5077" s="917"/>
      <c r="EEM5077" s="917"/>
      <c r="EEN5077" s="917"/>
      <c r="EEO5077" s="917"/>
      <c r="EEP5077" s="917"/>
      <c r="EEQ5077" s="917"/>
      <c r="EER5077" s="917"/>
      <c r="EES5077" s="917"/>
      <c r="EET5077" s="917"/>
      <c r="EEU5077" s="917"/>
      <c r="EEV5077" s="917"/>
      <c r="EEW5077" s="917"/>
      <c r="EEX5077" s="917"/>
      <c r="EEY5077" s="917"/>
      <c r="EEZ5077" s="917"/>
      <c r="EFA5077" s="917"/>
      <c r="EFB5077" s="917"/>
      <c r="EFC5077" s="917"/>
      <c r="EFD5077" s="917"/>
      <c r="EFE5077" s="917" t="s">
        <v>78</v>
      </c>
      <c r="EFF5077" s="917"/>
      <c r="EFG5077" s="917"/>
      <c r="EFH5077" s="917"/>
      <c r="EFI5077" s="917"/>
      <c r="EFJ5077" s="917"/>
      <c r="EFK5077" s="917"/>
      <c r="EFL5077" s="917"/>
      <c r="EFM5077" s="917"/>
      <c r="EFN5077" s="917"/>
      <c r="EFO5077" s="917"/>
      <c r="EFP5077" s="917"/>
      <c r="EFQ5077" s="917"/>
      <c r="EFR5077" s="917"/>
      <c r="EFS5077" s="917"/>
      <c r="EFT5077" s="917"/>
      <c r="EFU5077" s="917"/>
      <c r="EFV5077" s="917"/>
      <c r="EFW5077" s="917"/>
      <c r="EFX5077" s="917"/>
      <c r="EFY5077" s="917"/>
      <c r="EFZ5077" s="917"/>
      <c r="EGA5077" s="917"/>
      <c r="EGB5077" s="917"/>
      <c r="EGC5077" s="917"/>
      <c r="EGD5077" s="917"/>
      <c r="EGE5077" s="917"/>
      <c r="EGF5077" s="917"/>
      <c r="EGG5077" s="917"/>
      <c r="EGH5077" s="917"/>
      <c r="EGI5077" s="917"/>
      <c r="EGJ5077" s="917"/>
      <c r="EGK5077" s="917" t="s">
        <v>78</v>
      </c>
      <c r="EGL5077" s="917"/>
      <c r="EGM5077" s="917"/>
      <c r="EGN5077" s="917"/>
      <c r="EGO5077" s="917"/>
      <c r="EGP5077" s="917"/>
      <c r="EGQ5077" s="917"/>
      <c r="EGR5077" s="917"/>
      <c r="EGS5077" s="917"/>
      <c r="EGT5077" s="917"/>
      <c r="EGU5077" s="917"/>
      <c r="EGV5077" s="917"/>
      <c r="EGW5077" s="917"/>
      <c r="EGX5077" s="917"/>
      <c r="EGY5077" s="917"/>
      <c r="EGZ5077" s="917"/>
      <c r="EHA5077" s="917"/>
      <c r="EHB5077" s="917"/>
      <c r="EHC5077" s="917"/>
      <c r="EHD5077" s="917"/>
      <c r="EHE5077" s="917"/>
      <c r="EHF5077" s="917"/>
      <c r="EHG5077" s="917"/>
      <c r="EHH5077" s="917"/>
      <c r="EHI5077" s="917"/>
      <c r="EHJ5077" s="917"/>
      <c r="EHK5077" s="917"/>
      <c r="EHL5077" s="917"/>
      <c r="EHM5077" s="917"/>
      <c r="EHN5077" s="917"/>
      <c r="EHO5077" s="917"/>
      <c r="EHP5077" s="917"/>
      <c r="EHQ5077" s="917" t="s">
        <v>78</v>
      </c>
      <c r="EHR5077" s="917"/>
      <c r="EHS5077" s="917"/>
      <c r="EHT5077" s="917"/>
      <c r="EHU5077" s="917"/>
      <c r="EHV5077" s="917"/>
      <c r="EHW5077" s="917"/>
      <c r="EHX5077" s="917"/>
      <c r="EHY5077" s="917"/>
      <c r="EHZ5077" s="917"/>
      <c r="EIA5077" s="917"/>
      <c r="EIB5077" s="917"/>
      <c r="EIC5077" s="917"/>
      <c r="EID5077" s="917"/>
      <c r="EIE5077" s="917"/>
      <c r="EIF5077" s="917"/>
      <c r="EIG5077" s="917"/>
      <c r="EIH5077" s="917"/>
      <c r="EII5077" s="917"/>
      <c r="EIJ5077" s="917"/>
      <c r="EIK5077" s="917"/>
      <c r="EIL5077" s="917"/>
      <c r="EIM5077" s="917"/>
      <c r="EIN5077" s="917"/>
      <c r="EIO5077" s="917"/>
      <c r="EIP5077" s="917"/>
      <c r="EIQ5077" s="917"/>
      <c r="EIR5077" s="917"/>
      <c r="EIS5077" s="917"/>
      <c r="EIT5077" s="917"/>
      <c r="EIU5077" s="917"/>
      <c r="EIV5077" s="917"/>
      <c r="EIW5077" s="917" t="s">
        <v>78</v>
      </c>
      <c r="EIX5077" s="917"/>
      <c r="EIY5077" s="917"/>
      <c r="EIZ5077" s="917"/>
      <c r="EJA5077" s="917"/>
      <c r="EJB5077" s="917"/>
      <c r="EJC5077" s="917"/>
      <c r="EJD5077" s="917"/>
      <c r="EJE5077" s="917"/>
      <c r="EJF5077" s="917"/>
      <c r="EJG5077" s="917"/>
      <c r="EJH5077" s="917"/>
      <c r="EJI5077" s="917"/>
      <c r="EJJ5077" s="917"/>
      <c r="EJK5077" s="917"/>
      <c r="EJL5077" s="917"/>
      <c r="EJM5077" s="917"/>
      <c r="EJN5077" s="917"/>
      <c r="EJO5077" s="917"/>
      <c r="EJP5077" s="917"/>
      <c r="EJQ5077" s="917"/>
      <c r="EJR5077" s="917"/>
      <c r="EJS5077" s="917"/>
      <c r="EJT5077" s="917"/>
      <c r="EJU5077" s="917"/>
      <c r="EJV5077" s="917"/>
      <c r="EJW5077" s="917"/>
      <c r="EJX5077" s="917"/>
      <c r="EJY5077" s="917"/>
      <c r="EJZ5077" s="917"/>
      <c r="EKA5077" s="917"/>
      <c r="EKB5077" s="917"/>
      <c r="EKC5077" s="917" t="s">
        <v>78</v>
      </c>
      <c r="EKD5077" s="917"/>
      <c r="EKE5077" s="917"/>
      <c r="EKF5077" s="917"/>
      <c r="EKG5077" s="917"/>
      <c r="EKH5077" s="917"/>
      <c r="EKI5077" s="917"/>
      <c r="EKJ5077" s="917"/>
      <c r="EKK5077" s="917"/>
      <c r="EKL5077" s="917"/>
      <c r="EKM5077" s="917"/>
      <c r="EKN5077" s="917"/>
      <c r="EKO5077" s="917"/>
      <c r="EKP5077" s="917"/>
      <c r="EKQ5077" s="917"/>
      <c r="EKR5077" s="917"/>
      <c r="EKS5077" s="917"/>
      <c r="EKT5077" s="917"/>
      <c r="EKU5077" s="917"/>
      <c r="EKV5077" s="917"/>
      <c r="EKW5077" s="917"/>
      <c r="EKX5077" s="917"/>
      <c r="EKY5077" s="917"/>
      <c r="EKZ5077" s="917"/>
      <c r="ELA5077" s="917"/>
      <c r="ELB5077" s="917"/>
      <c r="ELC5077" s="917"/>
      <c r="ELD5077" s="917"/>
      <c r="ELE5077" s="917"/>
      <c r="ELF5077" s="917"/>
      <c r="ELG5077" s="917"/>
      <c r="ELH5077" s="917"/>
      <c r="ELI5077" s="917" t="s">
        <v>78</v>
      </c>
      <c r="ELJ5077" s="917"/>
      <c r="ELK5077" s="917"/>
      <c r="ELL5077" s="917"/>
      <c r="ELM5077" s="917"/>
      <c r="ELN5077" s="917"/>
      <c r="ELO5077" s="917"/>
      <c r="ELP5077" s="917"/>
      <c r="ELQ5077" s="917"/>
      <c r="ELR5077" s="917"/>
      <c r="ELS5077" s="917"/>
      <c r="ELT5077" s="917"/>
      <c r="ELU5077" s="917"/>
      <c r="ELV5077" s="917"/>
      <c r="ELW5077" s="917"/>
      <c r="ELX5077" s="917"/>
      <c r="ELY5077" s="917"/>
      <c r="ELZ5077" s="917"/>
      <c r="EMA5077" s="917"/>
      <c r="EMB5077" s="917"/>
      <c r="EMC5077" s="917"/>
      <c r="EMD5077" s="917"/>
      <c r="EME5077" s="917"/>
      <c r="EMF5077" s="917"/>
      <c r="EMG5077" s="917"/>
      <c r="EMH5077" s="917"/>
      <c r="EMI5077" s="917"/>
      <c r="EMJ5077" s="917"/>
      <c r="EMK5077" s="917"/>
      <c r="EML5077" s="917"/>
      <c r="EMM5077" s="917"/>
      <c r="EMN5077" s="917"/>
      <c r="EMO5077" s="917" t="s">
        <v>78</v>
      </c>
      <c r="EMP5077" s="917"/>
      <c r="EMQ5077" s="917"/>
      <c r="EMR5077" s="917"/>
      <c r="EMS5077" s="917"/>
      <c r="EMT5077" s="917"/>
      <c r="EMU5077" s="917"/>
      <c r="EMV5077" s="917"/>
      <c r="EMW5077" s="917"/>
      <c r="EMX5077" s="917"/>
      <c r="EMY5077" s="917"/>
      <c r="EMZ5077" s="917"/>
      <c r="ENA5077" s="917"/>
      <c r="ENB5077" s="917"/>
      <c r="ENC5077" s="917"/>
      <c r="END5077" s="917"/>
      <c r="ENE5077" s="917"/>
      <c r="ENF5077" s="917"/>
      <c r="ENG5077" s="917"/>
      <c r="ENH5077" s="917"/>
      <c r="ENI5077" s="917"/>
      <c r="ENJ5077" s="917"/>
      <c r="ENK5077" s="917"/>
      <c r="ENL5077" s="917"/>
      <c r="ENM5077" s="917"/>
      <c r="ENN5077" s="917"/>
      <c r="ENO5077" s="917"/>
      <c r="ENP5077" s="917"/>
      <c r="ENQ5077" s="917"/>
      <c r="ENR5077" s="917"/>
      <c r="ENS5077" s="917"/>
      <c r="ENT5077" s="917"/>
      <c r="ENU5077" s="917" t="s">
        <v>78</v>
      </c>
      <c r="ENV5077" s="917"/>
      <c r="ENW5077" s="917"/>
      <c r="ENX5077" s="917"/>
      <c r="ENY5077" s="917"/>
      <c r="ENZ5077" s="917"/>
      <c r="EOA5077" s="917"/>
      <c r="EOB5077" s="917"/>
      <c r="EOC5077" s="917"/>
      <c r="EOD5077" s="917"/>
      <c r="EOE5077" s="917"/>
      <c r="EOF5077" s="917"/>
      <c r="EOG5077" s="917"/>
      <c r="EOH5077" s="917"/>
      <c r="EOI5077" s="917"/>
      <c r="EOJ5077" s="917"/>
      <c r="EOK5077" s="917"/>
      <c r="EOL5077" s="917"/>
      <c r="EOM5077" s="917"/>
      <c r="EON5077" s="917"/>
      <c r="EOO5077" s="917"/>
      <c r="EOP5077" s="917"/>
      <c r="EOQ5077" s="917"/>
      <c r="EOR5077" s="917"/>
      <c r="EOS5077" s="917"/>
      <c r="EOT5077" s="917"/>
      <c r="EOU5077" s="917"/>
      <c r="EOV5077" s="917"/>
      <c r="EOW5077" s="917"/>
      <c r="EOX5077" s="917"/>
      <c r="EOY5077" s="917"/>
      <c r="EOZ5077" s="917"/>
      <c r="EPA5077" s="917" t="s">
        <v>78</v>
      </c>
      <c r="EPB5077" s="917"/>
      <c r="EPC5077" s="917"/>
      <c r="EPD5077" s="917"/>
      <c r="EPE5077" s="917"/>
      <c r="EPF5077" s="917"/>
      <c r="EPG5077" s="917"/>
      <c r="EPH5077" s="917"/>
      <c r="EPI5077" s="917"/>
      <c r="EPJ5077" s="917"/>
      <c r="EPK5077" s="917"/>
      <c r="EPL5077" s="917"/>
      <c r="EPM5077" s="917"/>
      <c r="EPN5077" s="917"/>
      <c r="EPO5077" s="917"/>
      <c r="EPP5077" s="917"/>
      <c r="EPQ5077" s="917"/>
      <c r="EPR5077" s="917"/>
      <c r="EPS5077" s="917"/>
      <c r="EPT5077" s="917"/>
      <c r="EPU5077" s="917"/>
      <c r="EPV5077" s="917"/>
      <c r="EPW5077" s="917"/>
      <c r="EPX5077" s="917"/>
      <c r="EPY5077" s="917"/>
      <c r="EPZ5077" s="917"/>
      <c r="EQA5077" s="917"/>
      <c r="EQB5077" s="917"/>
      <c r="EQC5077" s="917"/>
      <c r="EQD5077" s="917"/>
      <c r="EQE5077" s="917"/>
      <c r="EQF5077" s="917"/>
      <c r="EQG5077" s="917" t="s">
        <v>78</v>
      </c>
      <c r="EQH5077" s="917"/>
      <c r="EQI5077" s="917"/>
      <c r="EQJ5077" s="917"/>
      <c r="EQK5077" s="917"/>
      <c r="EQL5077" s="917"/>
      <c r="EQM5077" s="917"/>
      <c r="EQN5077" s="917"/>
      <c r="EQO5077" s="917"/>
      <c r="EQP5077" s="917"/>
      <c r="EQQ5077" s="917"/>
      <c r="EQR5077" s="917"/>
      <c r="EQS5077" s="917"/>
      <c r="EQT5077" s="917"/>
      <c r="EQU5077" s="917"/>
      <c r="EQV5077" s="917"/>
      <c r="EQW5077" s="917"/>
      <c r="EQX5077" s="917"/>
      <c r="EQY5077" s="917"/>
      <c r="EQZ5077" s="917"/>
      <c r="ERA5077" s="917"/>
      <c r="ERB5077" s="917"/>
      <c r="ERC5077" s="917"/>
      <c r="ERD5077" s="917"/>
      <c r="ERE5077" s="917"/>
      <c r="ERF5077" s="917"/>
      <c r="ERG5077" s="917"/>
      <c r="ERH5077" s="917"/>
      <c r="ERI5077" s="917"/>
      <c r="ERJ5077" s="917"/>
      <c r="ERK5077" s="917"/>
      <c r="ERL5077" s="917"/>
      <c r="ERM5077" s="917" t="s">
        <v>78</v>
      </c>
      <c r="ERN5077" s="917"/>
      <c r="ERO5077" s="917"/>
      <c r="ERP5077" s="917"/>
      <c r="ERQ5077" s="917"/>
      <c r="ERR5077" s="917"/>
      <c r="ERS5077" s="917"/>
      <c r="ERT5077" s="917"/>
      <c r="ERU5077" s="917"/>
      <c r="ERV5077" s="917"/>
      <c r="ERW5077" s="917"/>
      <c r="ERX5077" s="917"/>
      <c r="ERY5077" s="917"/>
      <c r="ERZ5077" s="917"/>
      <c r="ESA5077" s="917"/>
      <c r="ESB5077" s="917"/>
      <c r="ESC5077" s="917"/>
      <c r="ESD5077" s="917"/>
      <c r="ESE5077" s="917"/>
      <c r="ESF5077" s="917"/>
      <c r="ESG5077" s="917"/>
      <c r="ESH5077" s="917"/>
      <c r="ESI5077" s="917"/>
      <c r="ESJ5077" s="917"/>
      <c r="ESK5077" s="917"/>
      <c r="ESL5077" s="917"/>
      <c r="ESM5077" s="917"/>
      <c r="ESN5077" s="917"/>
      <c r="ESO5077" s="917"/>
      <c r="ESP5077" s="917"/>
      <c r="ESQ5077" s="917"/>
      <c r="ESR5077" s="917"/>
      <c r="ESS5077" s="917" t="s">
        <v>78</v>
      </c>
      <c r="EST5077" s="917"/>
      <c r="ESU5077" s="917"/>
      <c r="ESV5077" s="917"/>
      <c r="ESW5077" s="917"/>
      <c r="ESX5077" s="917"/>
      <c r="ESY5077" s="917"/>
      <c r="ESZ5077" s="917"/>
      <c r="ETA5077" s="917"/>
      <c r="ETB5077" s="917"/>
      <c r="ETC5077" s="917"/>
      <c r="ETD5077" s="917"/>
      <c r="ETE5077" s="917"/>
      <c r="ETF5077" s="917"/>
      <c r="ETG5077" s="917"/>
      <c r="ETH5077" s="917"/>
      <c r="ETI5077" s="917"/>
      <c r="ETJ5077" s="917"/>
      <c r="ETK5077" s="917"/>
      <c r="ETL5077" s="917"/>
      <c r="ETM5077" s="917"/>
      <c r="ETN5077" s="917"/>
      <c r="ETO5077" s="917"/>
      <c r="ETP5077" s="917"/>
      <c r="ETQ5077" s="917"/>
      <c r="ETR5077" s="917"/>
      <c r="ETS5077" s="917"/>
      <c r="ETT5077" s="917"/>
      <c r="ETU5077" s="917"/>
      <c r="ETV5077" s="917"/>
      <c r="ETW5077" s="917"/>
      <c r="ETX5077" s="917"/>
      <c r="ETY5077" s="917" t="s">
        <v>78</v>
      </c>
      <c r="ETZ5077" s="917"/>
      <c r="EUA5077" s="917"/>
      <c r="EUB5077" s="917"/>
      <c r="EUC5077" s="917"/>
      <c r="EUD5077" s="917"/>
      <c r="EUE5077" s="917"/>
      <c r="EUF5077" s="917"/>
      <c r="EUG5077" s="917"/>
      <c r="EUH5077" s="917"/>
      <c r="EUI5077" s="917"/>
      <c r="EUJ5077" s="917"/>
      <c r="EUK5077" s="917"/>
      <c r="EUL5077" s="917"/>
      <c r="EUM5077" s="917"/>
      <c r="EUN5077" s="917"/>
      <c r="EUO5077" s="917"/>
      <c r="EUP5077" s="917"/>
      <c r="EUQ5077" s="917"/>
      <c r="EUR5077" s="917"/>
      <c r="EUS5077" s="917"/>
      <c r="EUT5077" s="917"/>
      <c r="EUU5077" s="917"/>
      <c r="EUV5077" s="917"/>
      <c r="EUW5077" s="917"/>
      <c r="EUX5077" s="917"/>
      <c r="EUY5077" s="917"/>
      <c r="EUZ5077" s="917"/>
      <c r="EVA5077" s="917"/>
      <c r="EVB5077" s="917"/>
      <c r="EVC5077" s="917"/>
      <c r="EVD5077" s="917"/>
      <c r="EVE5077" s="917" t="s">
        <v>78</v>
      </c>
      <c r="EVF5077" s="917"/>
      <c r="EVG5077" s="917"/>
      <c r="EVH5077" s="917"/>
      <c r="EVI5077" s="917"/>
      <c r="EVJ5077" s="917"/>
      <c r="EVK5077" s="917"/>
      <c r="EVL5077" s="917"/>
      <c r="EVM5077" s="917"/>
      <c r="EVN5077" s="917"/>
      <c r="EVO5077" s="917"/>
      <c r="EVP5077" s="917"/>
      <c r="EVQ5077" s="917"/>
      <c r="EVR5077" s="917"/>
      <c r="EVS5077" s="917"/>
      <c r="EVT5077" s="917"/>
      <c r="EVU5077" s="917"/>
      <c r="EVV5077" s="917"/>
      <c r="EVW5077" s="917"/>
      <c r="EVX5077" s="917"/>
      <c r="EVY5077" s="917"/>
      <c r="EVZ5077" s="917"/>
      <c r="EWA5077" s="917"/>
      <c r="EWB5077" s="917"/>
      <c r="EWC5077" s="917"/>
      <c r="EWD5077" s="917"/>
      <c r="EWE5077" s="917"/>
      <c r="EWF5077" s="917"/>
      <c r="EWG5077" s="917"/>
      <c r="EWH5077" s="917"/>
      <c r="EWI5077" s="917"/>
      <c r="EWJ5077" s="917"/>
      <c r="EWK5077" s="917" t="s">
        <v>78</v>
      </c>
      <c r="EWL5077" s="917"/>
      <c r="EWM5077" s="917"/>
      <c r="EWN5077" s="917"/>
      <c r="EWO5077" s="917"/>
      <c r="EWP5077" s="917"/>
      <c r="EWQ5077" s="917"/>
      <c r="EWR5077" s="917"/>
      <c r="EWS5077" s="917"/>
      <c r="EWT5077" s="917"/>
      <c r="EWU5077" s="917"/>
      <c r="EWV5077" s="917"/>
      <c r="EWW5077" s="917"/>
      <c r="EWX5077" s="917"/>
      <c r="EWY5077" s="917"/>
      <c r="EWZ5077" s="917"/>
      <c r="EXA5077" s="917"/>
      <c r="EXB5077" s="917"/>
      <c r="EXC5077" s="917"/>
      <c r="EXD5077" s="917"/>
      <c r="EXE5077" s="917"/>
      <c r="EXF5077" s="917"/>
      <c r="EXG5077" s="917"/>
      <c r="EXH5077" s="917"/>
      <c r="EXI5077" s="917"/>
      <c r="EXJ5077" s="917"/>
      <c r="EXK5077" s="917"/>
      <c r="EXL5077" s="917"/>
      <c r="EXM5077" s="917"/>
      <c r="EXN5077" s="917"/>
      <c r="EXO5077" s="917"/>
      <c r="EXP5077" s="917"/>
      <c r="EXQ5077" s="917" t="s">
        <v>78</v>
      </c>
      <c r="EXR5077" s="917"/>
      <c r="EXS5077" s="917"/>
      <c r="EXT5077" s="917"/>
      <c r="EXU5077" s="917"/>
      <c r="EXV5077" s="917"/>
      <c r="EXW5077" s="917"/>
      <c r="EXX5077" s="917"/>
      <c r="EXY5077" s="917"/>
      <c r="EXZ5077" s="917"/>
      <c r="EYA5077" s="917"/>
      <c r="EYB5077" s="917"/>
      <c r="EYC5077" s="917"/>
      <c r="EYD5077" s="917"/>
      <c r="EYE5077" s="917"/>
      <c r="EYF5077" s="917"/>
      <c r="EYG5077" s="917"/>
      <c r="EYH5077" s="917"/>
      <c r="EYI5077" s="917"/>
      <c r="EYJ5077" s="917"/>
      <c r="EYK5077" s="917"/>
      <c r="EYL5077" s="917"/>
      <c r="EYM5077" s="917"/>
      <c r="EYN5077" s="917"/>
      <c r="EYO5077" s="917"/>
      <c r="EYP5077" s="917"/>
      <c r="EYQ5077" s="917"/>
      <c r="EYR5077" s="917"/>
      <c r="EYS5077" s="917"/>
      <c r="EYT5077" s="917"/>
      <c r="EYU5077" s="917"/>
      <c r="EYV5077" s="917"/>
      <c r="EYW5077" s="917" t="s">
        <v>78</v>
      </c>
      <c r="EYX5077" s="917"/>
      <c r="EYY5077" s="917"/>
      <c r="EYZ5077" s="917"/>
      <c r="EZA5077" s="917"/>
      <c r="EZB5077" s="917"/>
      <c r="EZC5077" s="917"/>
      <c r="EZD5077" s="917"/>
      <c r="EZE5077" s="917"/>
      <c r="EZF5077" s="917"/>
      <c r="EZG5077" s="917"/>
      <c r="EZH5077" s="917"/>
      <c r="EZI5077" s="917"/>
      <c r="EZJ5077" s="917"/>
      <c r="EZK5077" s="917"/>
      <c r="EZL5077" s="917"/>
      <c r="EZM5077" s="917"/>
      <c r="EZN5077" s="917"/>
      <c r="EZO5077" s="917"/>
      <c r="EZP5077" s="917"/>
      <c r="EZQ5077" s="917"/>
      <c r="EZR5077" s="917"/>
      <c r="EZS5077" s="917"/>
      <c r="EZT5077" s="917"/>
      <c r="EZU5077" s="917"/>
      <c r="EZV5077" s="917"/>
      <c r="EZW5077" s="917"/>
      <c r="EZX5077" s="917"/>
      <c r="EZY5077" s="917"/>
      <c r="EZZ5077" s="917"/>
      <c r="FAA5077" s="917"/>
      <c r="FAB5077" s="917"/>
      <c r="FAC5077" s="917" t="s">
        <v>78</v>
      </c>
      <c r="FAD5077" s="917"/>
      <c r="FAE5077" s="917"/>
      <c r="FAF5077" s="917"/>
      <c r="FAG5077" s="917"/>
      <c r="FAH5077" s="917"/>
      <c r="FAI5077" s="917"/>
      <c r="FAJ5077" s="917"/>
      <c r="FAK5077" s="917"/>
      <c r="FAL5077" s="917"/>
      <c r="FAM5077" s="917"/>
      <c r="FAN5077" s="917"/>
      <c r="FAO5077" s="917"/>
      <c r="FAP5077" s="917"/>
      <c r="FAQ5077" s="917"/>
      <c r="FAR5077" s="917"/>
      <c r="FAS5077" s="917"/>
      <c r="FAT5077" s="917"/>
      <c r="FAU5077" s="917"/>
      <c r="FAV5077" s="917"/>
      <c r="FAW5077" s="917"/>
      <c r="FAX5077" s="917"/>
      <c r="FAY5077" s="917"/>
      <c r="FAZ5077" s="917"/>
      <c r="FBA5077" s="917"/>
      <c r="FBB5077" s="917"/>
      <c r="FBC5077" s="917"/>
      <c r="FBD5077" s="917"/>
      <c r="FBE5077" s="917"/>
      <c r="FBF5077" s="917"/>
      <c r="FBG5077" s="917"/>
      <c r="FBH5077" s="917"/>
      <c r="FBI5077" s="917" t="s">
        <v>78</v>
      </c>
      <c r="FBJ5077" s="917"/>
      <c r="FBK5077" s="917"/>
      <c r="FBL5077" s="917"/>
      <c r="FBM5077" s="917"/>
      <c r="FBN5077" s="917"/>
      <c r="FBO5077" s="917"/>
      <c r="FBP5077" s="917"/>
      <c r="FBQ5077" s="917"/>
      <c r="FBR5077" s="917"/>
      <c r="FBS5077" s="917"/>
      <c r="FBT5077" s="917"/>
      <c r="FBU5077" s="917"/>
      <c r="FBV5077" s="917"/>
      <c r="FBW5077" s="917"/>
      <c r="FBX5077" s="917"/>
      <c r="FBY5077" s="917"/>
      <c r="FBZ5077" s="917"/>
      <c r="FCA5077" s="917"/>
      <c r="FCB5077" s="917"/>
      <c r="FCC5077" s="917"/>
      <c r="FCD5077" s="917"/>
      <c r="FCE5077" s="917"/>
      <c r="FCF5077" s="917"/>
      <c r="FCG5077" s="917"/>
      <c r="FCH5077" s="917"/>
      <c r="FCI5077" s="917"/>
      <c r="FCJ5077" s="917"/>
      <c r="FCK5077" s="917"/>
      <c r="FCL5077" s="917"/>
      <c r="FCM5077" s="917"/>
      <c r="FCN5077" s="917"/>
      <c r="FCO5077" s="917" t="s">
        <v>78</v>
      </c>
      <c r="FCP5077" s="917"/>
      <c r="FCQ5077" s="917"/>
      <c r="FCR5077" s="917"/>
      <c r="FCS5077" s="917"/>
      <c r="FCT5077" s="917"/>
      <c r="FCU5077" s="917"/>
      <c r="FCV5077" s="917"/>
      <c r="FCW5077" s="917"/>
      <c r="FCX5077" s="917"/>
      <c r="FCY5077" s="917"/>
      <c r="FCZ5077" s="917"/>
      <c r="FDA5077" s="917"/>
      <c r="FDB5077" s="917"/>
      <c r="FDC5077" s="917"/>
      <c r="FDD5077" s="917"/>
      <c r="FDE5077" s="917"/>
      <c r="FDF5077" s="917"/>
      <c r="FDG5077" s="917"/>
      <c r="FDH5077" s="917"/>
      <c r="FDI5077" s="917"/>
      <c r="FDJ5077" s="917"/>
      <c r="FDK5077" s="917"/>
      <c r="FDL5077" s="917"/>
      <c r="FDM5077" s="917"/>
      <c r="FDN5077" s="917"/>
      <c r="FDO5077" s="917"/>
      <c r="FDP5077" s="917"/>
      <c r="FDQ5077" s="917"/>
      <c r="FDR5077" s="917"/>
      <c r="FDS5077" s="917"/>
      <c r="FDT5077" s="917"/>
      <c r="FDU5077" s="917" t="s">
        <v>78</v>
      </c>
      <c r="FDV5077" s="917"/>
      <c r="FDW5077" s="917"/>
      <c r="FDX5077" s="917"/>
      <c r="FDY5077" s="917"/>
      <c r="FDZ5077" s="917"/>
      <c r="FEA5077" s="917"/>
      <c r="FEB5077" s="917"/>
      <c r="FEC5077" s="917"/>
      <c r="FED5077" s="917"/>
      <c r="FEE5077" s="917"/>
      <c r="FEF5077" s="917"/>
      <c r="FEG5077" s="917"/>
      <c r="FEH5077" s="917"/>
      <c r="FEI5077" s="917"/>
      <c r="FEJ5077" s="917"/>
      <c r="FEK5077" s="917"/>
      <c r="FEL5077" s="917"/>
      <c r="FEM5077" s="917"/>
      <c r="FEN5077" s="917"/>
      <c r="FEO5077" s="917"/>
      <c r="FEP5077" s="917"/>
      <c r="FEQ5077" s="917"/>
      <c r="FER5077" s="917"/>
      <c r="FES5077" s="917"/>
      <c r="FET5077" s="917"/>
      <c r="FEU5077" s="917"/>
      <c r="FEV5077" s="917"/>
      <c r="FEW5077" s="917"/>
      <c r="FEX5077" s="917"/>
      <c r="FEY5077" s="917"/>
      <c r="FEZ5077" s="917"/>
      <c r="FFA5077" s="917" t="s">
        <v>78</v>
      </c>
      <c r="FFB5077" s="917"/>
      <c r="FFC5077" s="917"/>
      <c r="FFD5077" s="917"/>
      <c r="FFE5077" s="917"/>
      <c r="FFF5077" s="917"/>
      <c r="FFG5077" s="917"/>
      <c r="FFH5077" s="917"/>
      <c r="FFI5077" s="917"/>
      <c r="FFJ5077" s="917"/>
      <c r="FFK5077" s="917"/>
      <c r="FFL5077" s="917"/>
      <c r="FFM5077" s="917"/>
      <c r="FFN5077" s="917"/>
      <c r="FFO5077" s="917"/>
      <c r="FFP5077" s="917"/>
      <c r="FFQ5077" s="917"/>
      <c r="FFR5077" s="917"/>
      <c r="FFS5077" s="917"/>
      <c r="FFT5077" s="917"/>
      <c r="FFU5077" s="917"/>
      <c r="FFV5077" s="917"/>
      <c r="FFW5077" s="917"/>
      <c r="FFX5077" s="917"/>
      <c r="FFY5077" s="917"/>
      <c r="FFZ5077" s="917"/>
      <c r="FGA5077" s="917"/>
      <c r="FGB5077" s="917"/>
      <c r="FGC5077" s="917"/>
      <c r="FGD5077" s="917"/>
      <c r="FGE5077" s="917"/>
      <c r="FGF5077" s="917"/>
      <c r="FGG5077" s="917" t="s">
        <v>78</v>
      </c>
      <c r="FGH5077" s="917"/>
      <c r="FGI5077" s="917"/>
      <c r="FGJ5077" s="917"/>
      <c r="FGK5077" s="917"/>
      <c r="FGL5077" s="917"/>
      <c r="FGM5077" s="917"/>
      <c r="FGN5077" s="917"/>
      <c r="FGO5077" s="917"/>
      <c r="FGP5077" s="917"/>
      <c r="FGQ5077" s="917"/>
      <c r="FGR5077" s="917"/>
      <c r="FGS5077" s="917"/>
      <c r="FGT5077" s="917"/>
      <c r="FGU5077" s="917"/>
      <c r="FGV5077" s="917"/>
      <c r="FGW5077" s="917"/>
      <c r="FGX5077" s="917"/>
      <c r="FGY5077" s="917"/>
      <c r="FGZ5077" s="917"/>
      <c r="FHA5077" s="917"/>
      <c r="FHB5077" s="917"/>
      <c r="FHC5077" s="917"/>
      <c r="FHD5077" s="917"/>
      <c r="FHE5077" s="917"/>
      <c r="FHF5077" s="917"/>
      <c r="FHG5077" s="917"/>
      <c r="FHH5077" s="917"/>
      <c r="FHI5077" s="917"/>
      <c r="FHJ5077" s="917"/>
      <c r="FHK5077" s="917"/>
      <c r="FHL5077" s="917"/>
      <c r="FHM5077" s="917" t="s">
        <v>78</v>
      </c>
      <c r="FHN5077" s="917"/>
      <c r="FHO5077" s="917"/>
      <c r="FHP5077" s="917"/>
      <c r="FHQ5077" s="917"/>
      <c r="FHR5077" s="917"/>
      <c r="FHS5077" s="917"/>
      <c r="FHT5077" s="917"/>
      <c r="FHU5077" s="917"/>
      <c r="FHV5077" s="917"/>
      <c r="FHW5077" s="917"/>
      <c r="FHX5077" s="917"/>
      <c r="FHY5077" s="917"/>
      <c r="FHZ5077" s="917"/>
      <c r="FIA5077" s="917"/>
      <c r="FIB5077" s="917"/>
      <c r="FIC5077" s="917"/>
      <c r="FID5077" s="917"/>
      <c r="FIE5077" s="917"/>
      <c r="FIF5077" s="917"/>
      <c r="FIG5077" s="917"/>
      <c r="FIH5077" s="917"/>
      <c r="FII5077" s="917"/>
      <c r="FIJ5077" s="917"/>
      <c r="FIK5077" s="917"/>
      <c r="FIL5077" s="917"/>
      <c r="FIM5077" s="917"/>
      <c r="FIN5077" s="917"/>
      <c r="FIO5077" s="917"/>
      <c r="FIP5077" s="917"/>
      <c r="FIQ5077" s="917"/>
      <c r="FIR5077" s="917"/>
      <c r="FIS5077" s="917" t="s">
        <v>78</v>
      </c>
      <c r="FIT5077" s="917"/>
      <c r="FIU5077" s="917"/>
      <c r="FIV5077" s="917"/>
      <c r="FIW5077" s="917"/>
      <c r="FIX5077" s="917"/>
      <c r="FIY5077" s="917"/>
      <c r="FIZ5077" s="917"/>
      <c r="FJA5077" s="917"/>
      <c r="FJB5077" s="917"/>
      <c r="FJC5077" s="917"/>
      <c r="FJD5077" s="917"/>
      <c r="FJE5077" s="917"/>
      <c r="FJF5077" s="917"/>
      <c r="FJG5077" s="917"/>
      <c r="FJH5077" s="917"/>
      <c r="FJI5077" s="917"/>
      <c r="FJJ5077" s="917"/>
      <c r="FJK5077" s="917"/>
      <c r="FJL5077" s="917"/>
      <c r="FJM5077" s="917"/>
      <c r="FJN5077" s="917"/>
      <c r="FJO5077" s="917"/>
      <c r="FJP5077" s="917"/>
      <c r="FJQ5077" s="917"/>
      <c r="FJR5077" s="917"/>
      <c r="FJS5077" s="917"/>
      <c r="FJT5077" s="917"/>
      <c r="FJU5077" s="917"/>
      <c r="FJV5077" s="917"/>
      <c r="FJW5077" s="917"/>
      <c r="FJX5077" s="917"/>
      <c r="FJY5077" s="917" t="s">
        <v>78</v>
      </c>
      <c r="FJZ5077" s="917"/>
      <c r="FKA5077" s="917"/>
      <c r="FKB5077" s="917"/>
      <c r="FKC5077" s="917"/>
      <c r="FKD5077" s="917"/>
      <c r="FKE5077" s="917"/>
      <c r="FKF5077" s="917"/>
      <c r="FKG5077" s="917"/>
      <c r="FKH5077" s="917"/>
      <c r="FKI5077" s="917"/>
      <c r="FKJ5077" s="917"/>
      <c r="FKK5077" s="917"/>
      <c r="FKL5077" s="917"/>
      <c r="FKM5077" s="917"/>
      <c r="FKN5077" s="917"/>
      <c r="FKO5077" s="917"/>
      <c r="FKP5077" s="917"/>
      <c r="FKQ5077" s="917"/>
      <c r="FKR5077" s="917"/>
      <c r="FKS5077" s="917"/>
      <c r="FKT5077" s="917"/>
      <c r="FKU5077" s="917"/>
      <c r="FKV5077" s="917"/>
      <c r="FKW5077" s="917"/>
      <c r="FKX5077" s="917"/>
      <c r="FKY5077" s="917"/>
      <c r="FKZ5077" s="917"/>
      <c r="FLA5077" s="917"/>
      <c r="FLB5077" s="917"/>
      <c r="FLC5077" s="917"/>
      <c r="FLD5077" s="917"/>
      <c r="FLE5077" s="917" t="s">
        <v>78</v>
      </c>
      <c r="FLF5077" s="917"/>
      <c r="FLG5077" s="917"/>
      <c r="FLH5077" s="917"/>
      <c r="FLI5077" s="917"/>
      <c r="FLJ5077" s="917"/>
      <c r="FLK5077" s="917"/>
      <c r="FLL5077" s="917"/>
      <c r="FLM5077" s="917"/>
      <c r="FLN5077" s="917"/>
      <c r="FLO5077" s="917"/>
      <c r="FLP5077" s="917"/>
      <c r="FLQ5077" s="917"/>
      <c r="FLR5077" s="917"/>
      <c r="FLS5077" s="917"/>
      <c r="FLT5077" s="917"/>
      <c r="FLU5077" s="917"/>
      <c r="FLV5077" s="917"/>
      <c r="FLW5077" s="917"/>
      <c r="FLX5077" s="917"/>
      <c r="FLY5077" s="917"/>
      <c r="FLZ5077" s="917"/>
      <c r="FMA5077" s="917"/>
      <c r="FMB5077" s="917"/>
      <c r="FMC5077" s="917"/>
      <c r="FMD5077" s="917"/>
      <c r="FME5077" s="917"/>
      <c r="FMF5077" s="917"/>
      <c r="FMG5077" s="917"/>
      <c r="FMH5077" s="917"/>
      <c r="FMI5077" s="917"/>
      <c r="FMJ5077" s="917"/>
      <c r="FMK5077" s="917" t="s">
        <v>78</v>
      </c>
      <c r="FML5077" s="917"/>
      <c r="FMM5077" s="917"/>
      <c r="FMN5077" s="917"/>
      <c r="FMO5077" s="917"/>
      <c r="FMP5077" s="917"/>
      <c r="FMQ5077" s="917"/>
      <c r="FMR5077" s="917"/>
      <c r="FMS5077" s="917"/>
      <c r="FMT5077" s="917"/>
      <c r="FMU5077" s="917"/>
      <c r="FMV5077" s="917"/>
      <c r="FMW5077" s="917"/>
      <c r="FMX5077" s="917"/>
      <c r="FMY5077" s="917"/>
      <c r="FMZ5077" s="917"/>
      <c r="FNA5077" s="917"/>
      <c r="FNB5077" s="917"/>
      <c r="FNC5077" s="917"/>
      <c r="FND5077" s="917"/>
      <c r="FNE5077" s="917"/>
      <c r="FNF5077" s="917"/>
      <c r="FNG5077" s="917"/>
      <c r="FNH5077" s="917"/>
      <c r="FNI5077" s="917"/>
      <c r="FNJ5077" s="917"/>
      <c r="FNK5077" s="917"/>
      <c r="FNL5077" s="917"/>
      <c r="FNM5077" s="917"/>
      <c r="FNN5077" s="917"/>
      <c r="FNO5077" s="917"/>
      <c r="FNP5077" s="917"/>
      <c r="FNQ5077" s="917" t="s">
        <v>78</v>
      </c>
      <c r="FNR5077" s="917"/>
      <c r="FNS5077" s="917"/>
      <c r="FNT5077" s="917"/>
      <c r="FNU5077" s="917"/>
      <c r="FNV5077" s="917"/>
      <c r="FNW5077" s="917"/>
      <c r="FNX5077" s="917"/>
      <c r="FNY5077" s="917"/>
      <c r="FNZ5077" s="917"/>
      <c r="FOA5077" s="917"/>
      <c r="FOB5077" s="917"/>
      <c r="FOC5077" s="917"/>
      <c r="FOD5077" s="917"/>
      <c r="FOE5077" s="917"/>
      <c r="FOF5077" s="917"/>
      <c r="FOG5077" s="917"/>
      <c r="FOH5077" s="917"/>
      <c r="FOI5077" s="917"/>
      <c r="FOJ5077" s="917"/>
      <c r="FOK5077" s="917"/>
      <c r="FOL5077" s="917"/>
      <c r="FOM5077" s="917"/>
      <c r="FON5077" s="917"/>
      <c r="FOO5077" s="917"/>
      <c r="FOP5077" s="917"/>
      <c r="FOQ5077" s="917"/>
      <c r="FOR5077" s="917"/>
      <c r="FOS5077" s="917"/>
      <c r="FOT5077" s="917"/>
      <c r="FOU5077" s="917"/>
      <c r="FOV5077" s="917"/>
      <c r="FOW5077" s="917" t="s">
        <v>78</v>
      </c>
      <c r="FOX5077" s="917"/>
      <c r="FOY5077" s="917"/>
      <c r="FOZ5077" s="917"/>
      <c r="FPA5077" s="917"/>
      <c r="FPB5077" s="917"/>
      <c r="FPC5077" s="917"/>
      <c r="FPD5077" s="917"/>
      <c r="FPE5077" s="917"/>
      <c r="FPF5077" s="917"/>
      <c r="FPG5077" s="917"/>
      <c r="FPH5077" s="917"/>
      <c r="FPI5077" s="917"/>
      <c r="FPJ5077" s="917"/>
      <c r="FPK5077" s="917"/>
      <c r="FPL5077" s="917"/>
      <c r="FPM5077" s="917"/>
      <c r="FPN5077" s="917"/>
      <c r="FPO5077" s="917"/>
      <c r="FPP5077" s="917"/>
      <c r="FPQ5077" s="917"/>
      <c r="FPR5077" s="917"/>
      <c r="FPS5077" s="917"/>
      <c r="FPT5077" s="917"/>
      <c r="FPU5077" s="917"/>
      <c r="FPV5077" s="917"/>
      <c r="FPW5077" s="917"/>
      <c r="FPX5077" s="917"/>
      <c r="FPY5077" s="917"/>
      <c r="FPZ5077" s="917"/>
      <c r="FQA5077" s="917"/>
      <c r="FQB5077" s="917"/>
      <c r="FQC5077" s="917" t="s">
        <v>78</v>
      </c>
      <c r="FQD5077" s="917"/>
      <c r="FQE5077" s="917"/>
      <c r="FQF5077" s="917"/>
      <c r="FQG5077" s="917"/>
      <c r="FQH5077" s="917"/>
      <c r="FQI5077" s="917"/>
      <c r="FQJ5077" s="917"/>
      <c r="FQK5077" s="917"/>
      <c r="FQL5077" s="917"/>
      <c r="FQM5077" s="917"/>
      <c r="FQN5077" s="917"/>
      <c r="FQO5077" s="917"/>
      <c r="FQP5077" s="917"/>
      <c r="FQQ5077" s="917"/>
      <c r="FQR5077" s="917"/>
      <c r="FQS5077" s="917"/>
      <c r="FQT5077" s="917"/>
      <c r="FQU5077" s="917"/>
      <c r="FQV5077" s="917"/>
      <c r="FQW5077" s="917"/>
      <c r="FQX5077" s="917"/>
      <c r="FQY5077" s="917"/>
      <c r="FQZ5077" s="917"/>
      <c r="FRA5077" s="917"/>
      <c r="FRB5077" s="917"/>
      <c r="FRC5077" s="917"/>
      <c r="FRD5077" s="917"/>
      <c r="FRE5077" s="917"/>
      <c r="FRF5077" s="917"/>
      <c r="FRG5077" s="917"/>
      <c r="FRH5077" s="917"/>
      <c r="FRI5077" s="917" t="s">
        <v>78</v>
      </c>
      <c r="FRJ5077" s="917"/>
      <c r="FRK5077" s="917"/>
      <c r="FRL5077" s="917"/>
      <c r="FRM5077" s="917"/>
      <c r="FRN5077" s="917"/>
      <c r="FRO5077" s="917"/>
      <c r="FRP5077" s="917"/>
      <c r="FRQ5077" s="917"/>
      <c r="FRR5077" s="917"/>
      <c r="FRS5077" s="917"/>
      <c r="FRT5077" s="917"/>
      <c r="FRU5077" s="917"/>
      <c r="FRV5077" s="917"/>
      <c r="FRW5077" s="917"/>
      <c r="FRX5077" s="917"/>
      <c r="FRY5077" s="917"/>
      <c r="FRZ5077" s="917"/>
      <c r="FSA5077" s="917"/>
      <c r="FSB5077" s="917"/>
      <c r="FSC5077" s="917"/>
      <c r="FSD5077" s="917"/>
      <c r="FSE5077" s="917"/>
      <c r="FSF5077" s="917"/>
      <c r="FSG5077" s="917"/>
      <c r="FSH5077" s="917"/>
      <c r="FSI5077" s="917"/>
      <c r="FSJ5077" s="917"/>
      <c r="FSK5077" s="917"/>
      <c r="FSL5077" s="917"/>
      <c r="FSM5077" s="917"/>
      <c r="FSN5077" s="917"/>
      <c r="FSO5077" s="917" t="s">
        <v>78</v>
      </c>
      <c r="FSP5077" s="917"/>
      <c r="FSQ5077" s="917"/>
      <c r="FSR5077" s="917"/>
      <c r="FSS5077" s="917"/>
      <c r="FST5077" s="917"/>
      <c r="FSU5077" s="917"/>
      <c r="FSV5077" s="917"/>
      <c r="FSW5077" s="917"/>
      <c r="FSX5077" s="917"/>
      <c r="FSY5077" s="917"/>
      <c r="FSZ5077" s="917"/>
      <c r="FTA5077" s="917"/>
      <c r="FTB5077" s="917"/>
      <c r="FTC5077" s="917"/>
      <c r="FTD5077" s="917"/>
      <c r="FTE5077" s="917"/>
      <c r="FTF5077" s="917"/>
      <c r="FTG5077" s="917"/>
      <c r="FTH5077" s="917"/>
      <c r="FTI5077" s="917"/>
      <c r="FTJ5077" s="917"/>
      <c r="FTK5077" s="917"/>
      <c r="FTL5077" s="917"/>
      <c r="FTM5077" s="917"/>
      <c r="FTN5077" s="917"/>
      <c r="FTO5077" s="917"/>
      <c r="FTP5077" s="917"/>
      <c r="FTQ5077" s="917"/>
      <c r="FTR5077" s="917"/>
      <c r="FTS5077" s="917"/>
      <c r="FTT5077" s="917"/>
      <c r="FTU5077" s="917" t="s">
        <v>78</v>
      </c>
      <c r="FTV5077" s="917"/>
      <c r="FTW5077" s="917"/>
      <c r="FTX5077" s="917"/>
      <c r="FTY5077" s="917"/>
      <c r="FTZ5077" s="917"/>
      <c r="FUA5077" s="917"/>
      <c r="FUB5077" s="917"/>
      <c r="FUC5077" s="917"/>
      <c r="FUD5077" s="917"/>
      <c r="FUE5077" s="917"/>
      <c r="FUF5077" s="917"/>
      <c r="FUG5077" s="917"/>
      <c r="FUH5077" s="917"/>
      <c r="FUI5077" s="917"/>
      <c r="FUJ5077" s="917"/>
      <c r="FUK5077" s="917"/>
      <c r="FUL5077" s="917"/>
      <c r="FUM5077" s="917"/>
      <c r="FUN5077" s="917"/>
      <c r="FUO5077" s="917"/>
      <c r="FUP5077" s="917"/>
      <c r="FUQ5077" s="917"/>
      <c r="FUR5077" s="917"/>
      <c r="FUS5077" s="917"/>
      <c r="FUT5077" s="917"/>
      <c r="FUU5077" s="917"/>
      <c r="FUV5077" s="917"/>
      <c r="FUW5077" s="917"/>
      <c r="FUX5077" s="917"/>
      <c r="FUY5077" s="917"/>
      <c r="FUZ5077" s="917"/>
      <c r="FVA5077" s="917" t="s">
        <v>78</v>
      </c>
      <c r="FVB5077" s="917"/>
      <c r="FVC5077" s="917"/>
      <c r="FVD5077" s="917"/>
      <c r="FVE5077" s="917"/>
      <c r="FVF5077" s="917"/>
      <c r="FVG5077" s="917"/>
      <c r="FVH5077" s="917"/>
      <c r="FVI5077" s="917"/>
      <c r="FVJ5077" s="917"/>
      <c r="FVK5077" s="917"/>
      <c r="FVL5077" s="917"/>
      <c r="FVM5077" s="917"/>
      <c r="FVN5077" s="917"/>
      <c r="FVO5077" s="917"/>
      <c r="FVP5077" s="917"/>
      <c r="FVQ5077" s="917"/>
      <c r="FVR5077" s="917"/>
      <c r="FVS5077" s="917"/>
      <c r="FVT5077" s="917"/>
      <c r="FVU5077" s="917"/>
      <c r="FVV5077" s="917"/>
      <c r="FVW5077" s="917"/>
      <c r="FVX5077" s="917"/>
      <c r="FVY5077" s="917"/>
      <c r="FVZ5077" s="917"/>
      <c r="FWA5077" s="917"/>
      <c r="FWB5077" s="917"/>
      <c r="FWC5077" s="917"/>
      <c r="FWD5077" s="917"/>
      <c r="FWE5077" s="917"/>
      <c r="FWF5077" s="917"/>
      <c r="FWG5077" s="917" t="s">
        <v>78</v>
      </c>
      <c r="FWH5077" s="917"/>
      <c r="FWI5077" s="917"/>
      <c r="FWJ5077" s="917"/>
      <c r="FWK5077" s="917"/>
      <c r="FWL5077" s="917"/>
      <c r="FWM5077" s="917"/>
      <c r="FWN5077" s="917"/>
      <c r="FWO5077" s="917"/>
      <c r="FWP5077" s="917"/>
      <c r="FWQ5077" s="917"/>
      <c r="FWR5077" s="917"/>
      <c r="FWS5077" s="917"/>
      <c r="FWT5077" s="917"/>
      <c r="FWU5077" s="917"/>
      <c r="FWV5077" s="917"/>
      <c r="FWW5077" s="917"/>
      <c r="FWX5077" s="917"/>
      <c r="FWY5077" s="917"/>
      <c r="FWZ5077" s="917"/>
      <c r="FXA5077" s="917"/>
      <c r="FXB5077" s="917"/>
      <c r="FXC5077" s="917"/>
      <c r="FXD5077" s="917"/>
      <c r="FXE5077" s="917"/>
      <c r="FXF5077" s="917"/>
      <c r="FXG5077" s="917"/>
      <c r="FXH5077" s="917"/>
      <c r="FXI5077" s="917"/>
      <c r="FXJ5077" s="917"/>
      <c r="FXK5077" s="917"/>
      <c r="FXL5077" s="917"/>
      <c r="FXM5077" s="917" t="s">
        <v>78</v>
      </c>
      <c r="FXN5077" s="917"/>
      <c r="FXO5077" s="917"/>
      <c r="FXP5077" s="917"/>
      <c r="FXQ5077" s="917"/>
      <c r="FXR5077" s="917"/>
      <c r="FXS5077" s="917"/>
      <c r="FXT5077" s="917"/>
      <c r="FXU5077" s="917"/>
      <c r="FXV5077" s="917"/>
      <c r="FXW5077" s="917"/>
      <c r="FXX5077" s="917"/>
      <c r="FXY5077" s="917"/>
      <c r="FXZ5077" s="917"/>
      <c r="FYA5077" s="917"/>
      <c r="FYB5077" s="917"/>
      <c r="FYC5077" s="917"/>
      <c r="FYD5077" s="917"/>
      <c r="FYE5077" s="917"/>
      <c r="FYF5077" s="917"/>
      <c r="FYG5077" s="917"/>
      <c r="FYH5077" s="917"/>
      <c r="FYI5077" s="917"/>
      <c r="FYJ5077" s="917"/>
      <c r="FYK5077" s="917"/>
      <c r="FYL5077" s="917"/>
      <c r="FYM5077" s="917"/>
      <c r="FYN5077" s="917"/>
      <c r="FYO5077" s="917"/>
      <c r="FYP5077" s="917"/>
      <c r="FYQ5077" s="917"/>
      <c r="FYR5077" s="917"/>
      <c r="FYS5077" s="917" t="s">
        <v>78</v>
      </c>
      <c r="FYT5077" s="917"/>
      <c r="FYU5077" s="917"/>
      <c r="FYV5077" s="917"/>
      <c r="FYW5077" s="917"/>
      <c r="FYX5077" s="917"/>
      <c r="FYY5077" s="917"/>
      <c r="FYZ5077" s="917"/>
      <c r="FZA5077" s="917"/>
      <c r="FZB5077" s="917"/>
      <c r="FZC5077" s="917"/>
      <c r="FZD5077" s="917"/>
      <c r="FZE5077" s="917"/>
      <c r="FZF5077" s="917"/>
      <c r="FZG5077" s="917"/>
      <c r="FZH5077" s="917"/>
      <c r="FZI5077" s="917"/>
      <c r="FZJ5077" s="917"/>
      <c r="FZK5077" s="917"/>
      <c r="FZL5077" s="917"/>
      <c r="FZM5077" s="917"/>
      <c r="FZN5077" s="917"/>
      <c r="FZO5077" s="917"/>
      <c r="FZP5077" s="917"/>
      <c r="FZQ5077" s="917"/>
      <c r="FZR5077" s="917"/>
      <c r="FZS5077" s="917"/>
      <c r="FZT5077" s="917"/>
      <c r="FZU5077" s="917"/>
      <c r="FZV5077" s="917"/>
      <c r="FZW5077" s="917"/>
      <c r="FZX5077" s="917"/>
      <c r="FZY5077" s="917" t="s">
        <v>78</v>
      </c>
      <c r="FZZ5077" s="917"/>
      <c r="GAA5077" s="917"/>
      <c r="GAB5077" s="917"/>
      <c r="GAC5077" s="917"/>
      <c r="GAD5077" s="917"/>
      <c r="GAE5077" s="917"/>
      <c r="GAF5077" s="917"/>
      <c r="GAG5077" s="917"/>
      <c r="GAH5077" s="917"/>
      <c r="GAI5077" s="917"/>
      <c r="GAJ5077" s="917"/>
      <c r="GAK5077" s="917"/>
      <c r="GAL5077" s="917"/>
      <c r="GAM5077" s="917"/>
      <c r="GAN5077" s="917"/>
      <c r="GAO5077" s="917"/>
      <c r="GAP5077" s="917"/>
      <c r="GAQ5077" s="917"/>
      <c r="GAR5077" s="917"/>
      <c r="GAS5077" s="917"/>
      <c r="GAT5077" s="917"/>
      <c r="GAU5077" s="917"/>
      <c r="GAV5077" s="917"/>
      <c r="GAW5077" s="917"/>
      <c r="GAX5077" s="917"/>
      <c r="GAY5077" s="917"/>
      <c r="GAZ5077" s="917"/>
      <c r="GBA5077" s="917"/>
      <c r="GBB5077" s="917"/>
      <c r="GBC5077" s="917"/>
      <c r="GBD5077" s="917"/>
      <c r="GBE5077" s="917" t="s">
        <v>78</v>
      </c>
      <c r="GBF5077" s="917"/>
      <c r="GBG5077" s="917"/>
      <c r="GBH5077" s="917"/>
      <c r="GBI5077" s="917"/>
      <c r="GBJ5077" s="917"/>
      <c r="GBK5077" s="917"/>
      <c r="GBL5077" s="917"/>
      <c r="GBM5077" s="917"/>
      <c r="GBN5077" s="917"/>
      <c r="GBO5077" s="917"/>
      <c r="GBP5077" s="917"/>
      <c r="GBQ5077" s="917"/>
      <c r="GBR5077" s="917"/>
      <c r="GBS5077" s="917"/>
      <c r="GBT5077" s="917"/>
      <c r="GBU5077" s="917"/>
      <c r="GBV5077" s="917"/>
      <c r="GBW5077" s="917"/>
      <c r="GBX5077" s="917"/>
      <c r="GBY5077" s="917"/>
      <c r="GBZ5077" s="917"/>
      <c r="GCA5077" s="917"/>
      <c r="GCB5077" s="917"/>
      <c r="GCC5077" s="917"/>
      <c r="GCD5077" s="917"/>
      <c r="GCE5077" s="917"/>
      <c r="GCF5077" s="917"/>
      <c r="GCG5077" s="917"/>
      <c r="GCH5077" s="917"/>
      <c r="GCI5077" s="917"/>
      <c r="GCJ5077" s="917"/>
      <c r="GCK5077" s="917" t="s">
        <v>78</v>
      </c>
      <c r="GCL5077" s="917"/>
      <c r="GCM5077" s="917"/>
      <c r="GCN5077" s="917"/>
      <c r="GCO5077" s="917"/>
      <c r="GCP5077" s="917"/>
      <c r="GCQ5077" s="917"/>
      <c r="GCR5077" s="917"/>
      <c r="GCS5077" s="917"/>
      <c r="GCT5077" s="917"/>
      <c r="GCU5077" s="917"/>
      <c r="GCV5077" s="917"/>
      <c r="GCW5077" s="917"/>
      <c r="GCX5077" s="917"/>
      <c r="GCY5077" s="917"/>
      <c r="GCZ5077" s="917"/>
      <c r="GDA5077" s="917"/>
      <c r="GDB5077" s="917"/>
      <c r="GDC5077" s="917"/>
      <c r="GDD5077" s="917"/>
      <c r="GDE5077" s="917"/>
      <c r="GDF5077" s="917"/>
      <c r="GDG5077" s="917"/>
      <c r="GDH5077" s="917"/>
      <c r="GDI5077" s="917"/>
      <c r="GDJ5077" s="917"/>
      <c r="GDK5077" s="917"/>
      <c r="GDL5077" s="917"/>
      <c r="GDM5077" s="917"/>
      <c r="GDN5077" s="917"/>
      <c r="GDO5077" s="917"/>
      <c r="GDP5077" s="917"/>
      <c r="GDQ5077" s="917" t="s">
        <v>78</v>
      </c>
      <c r="GDR5077" s="917"/>
      <c r="GDS5077" s="917"/>
      <c r="GDT5077" s="917"/>
      <c r="GDU5077" s="917"/>
      <c r="GDV5077" s="917"/>
      <c r="GDW5077" s="917"/>
      <c r="GDX5077" s="917"/>
      <c r="GDY5077" s="917"/>
      <c r="GDZ5077" s="917"/>
      <c r="GEA5077" s="917"/>
      <c r="GEB5077" s="917"/>
      <c r="GEC5077" s="917"/>
      <c r="GED5077" s="917"/>
      <c r="GEE5077" s="917"/>
      <c r="GEF5077" s="917"/>
      <c r="GEG5077" s="917"/>
      <c r="GEH5077" s="917"/>
      <c r="GEI5077" s="917"/>
      <c r="GEJ5077" s="917"/>
      <c r="GEK5077" s="917"/>
      <c r="GEL5077" s="917"/>
      <c r="GEM5077" s="917"/>
      <c r="GEN5077" s="917"/>
      <c r="GEO5077" s="917"/>
      <c r="GEP5077" s="917"/>
      <c r="GEQ5077" s="917"/>
      <c r="GER5077" s="917"/>
      <c r="GES5077" s="917"/>
      <c r="GET5077" s="917"/>
      <c r="GEU5077" s="917"/>
      <c r="GEV5077" s="917"/>
      <c r="GEW5077" s="917" t="s">
        <v>78</v>
      </c>
      <c r="GEX5077" s="917"/>
      <c r="GEY5077" s="917"/>
      <c r="GEZ5077" s="917"/>
      <c r="GFA5077" s="917"/>
      <c r="GFB5077" s="917"/>
      <c r="GFC5077" s="917"/>
      <c r="GFD5077" s="917"/>
      <c r="GFE5077" s="917"/>
      <c r="GFF5077" s="917"/>
      <c r="GFG5077" s="917"/>
      <c r="GFH5077" s="917"/>
      <c r="GFI5077" s="917"/>
      <c r="GFJ5077" s="917"/>
      <c r="GFK5077" s="917"/>
      <c r="GFL5077" s="917"/>
      <c r="GFM5077" s="917"/>
      <c r="GFN5077" s="917"/>
      <c r="GFO5077" s="917"/>
      <c r="GFP5077" s="917"/>
      <c r="GFQ5077" s="917"/>
      <c r="GFR5077" s="917"/>
      <c r="GFS5077" s="917"/>
      <c r="GFT5077" s="917"/>
      <c r="GFU5077" s="917"/>
      <c r="GFV5077" s="917"/>
      <c r="GFW5077" s="917"/>
      <c r="GFX5077" s="917"/>
      <c r="GFY5077" s="917"/>
      <c r="GFZ5077" s="917"/>
      <c r="GGA5077" s="917"/>
      <c r="GGB5077" s="917"/>
      <c r="GGC5077" s="917" t="s">
        <v>78</v>
      </c>
      <c r="GGD5077" s="917"/>
      <c r="GGE5077" s="917"/>
      <c r="GGF5077" s="917"/>
      <c r="GGG5077" s="917"/>
      <c r="GGH5077" s="917"/>
      <c r="GGI5077" s="917"/>
      <c r="GGJ5077" s="917"/>
      <c r="GGK5077" s="917"/>
      <c r="GGL5077" s="917"/>
      <c r="GGM5077" s="917"/>
      <c r="GGN5077" s="917"/>
      <c r="GGO5077" s="917"/>
      <c r="GGP5077" s="917"/>
      <c r="GGQ5077" s="917"/>
      <c r="GGR5077" s="917"/>
      <c r="GGS5077" s="917"/>
      <c r="GGT5077" s="917"/>
      <c r="GGU5077" s="917"/>
      <c r="GGV5077" s="917"/>
      <c r="GGW5077" s="917"/>
      <c r="GGX5077" s="917"/>
      <c r="GGY5077" s="917"/>
      <c r="GGZ5077" s="917"/>
      <c r="GHA5077" s="917"/>
      <c r="GHB5077" s="917"/>
      <c r="GHC5077" s="917"/>
      <c r="GHD5077" s="917"/>
      <c r="GHE5077" s="917"/>
      <c r="GHF5077" s="917"/>
      <c r="GHG5077" s="917"/>
      <c r="GHH5077" s="917"/>
      <c r="GHI5077" s="917" t="s">
        <v>78</v>
      </c>
      <c r="GHJ5077" s="917"/>
      <c r="GHK5077" s="917"/>
      <c r="GHL5077" s="917"/>
      <c r="GHM5077" s="917"/>
      <c r="GHN5077" s="917"/>
      <c r="GHO5077" s="917"/>
      <c r="GHP5077" s="917"/>
      <c r="GHQ5077" s="917"/>
      <c r="GHR5077" s="917"/>
      <c r="GHS5077" s="917"/>
      <c r="GHT5077" s="917"/>
      <c r="GHU5077" s="917"/>
      <c r="GHV5077" s="917"/>
      <c r="GHW5077" s="917"/>
      <c r="GHX5077" s="917"/>
      <c r="GHY5077" s="917"/>
      <c r="GHZ5077" s="917"/>
      <c r="GIA5077" s="917"/>
      <c r="GIB5077" s="917"/>
      <c r="GIC5077" s="917"/>
      <c r="GID5077" s="917"/>
      <c r="GIE5077" s="917"/>
      <c r="GIF5077" s="917"/>
      <c r="GIG5077" s="917"/>
      <c r="GIH5077" s="917"/>
      <c r="GII5077" s="917"/>
      <c r="GIJ5077" s="917"/>
      <c r="GIK5077" s="917"/>
      <c r="GIL5077" s="917"/>
      <c r="GIM5077" s="917"/>
      <c r="GIN5077" s="917"/>
      <c r="GIO5077" s="917" t="s">
        <v>78</v>
      </c>
      <c r="GIP5077" s="917"/>
      <c r="GIQ5077" s="917"/>
      <c r="GIR5077" s="917"/>
      <c r="GIS5077" s="917"/>
      <c r="GIT5077" s="917"/>
      <c r="GIU5077" s="917"/>
      <c r="GIV5077" s="917"/>
      <c r="GIW5077" s="917"/>
      <c r="GIX5077" s="917"/>
      <c r="GIY5077" s="917"/>
      <c r="GIZ5077" s="917"/>
      <c r="GJA5077" s="917"/>
      <c r="GJB5077" s="917"/>
      <c r="GJC5077" s="917"/>
      <c r="GJD5077" s="917"/>
      <c r="GJE5077" s="917"/>
      <c r="GJF5077" s="917"/>
      <c r="GJG5077" s="917"/>
      <c r="GJH5077" s="917"/>
      <c r="GJI5077" s="917"/>
      <c r="GJJ5077" s="917"/>
      <c r="GJK5077" s="917"/>
      <c r="GJL5077" s="917"/>
      <c r="GJM5077" s="917"/>
      <c r="GJN5077" s="917"/>
      <c r="GJO5077" s="917"/>
      <c r="GJP5077" s="917"/>
      <c r="GJQ5077" s="917"/>
      <c r="GJR5077" s="917"/>
      <c r="GJS5077" s="917"/>
      <c r="GJT5077" s="917"/>
      <c r="GJU5077" s="917" t="s">
        <v>78</v>
      </c>
      <c r="GJV5077" s="917"/>
      <c r="GJW5077" s="917"/>
      <c r="GJX5077" s="917"/>
      <c r="GJY5077" s="917"/>
      <c r="GJZ5077" s="917"/>
      <c r="GKA5077" s="917"/>
      <c r="GKB5077" s="917"/>
      <c r="GKC5077" s="917"/>
      <c r="GKD5077" s="917"/>
      <c r="GKE5077" s="917"/>
      <c r="GKF5077" s="917"/>
      <c r="GKG5077" s="917"/>
      <c r="GKH5077" s="917"/>
      <c r="GKI5077" s="917"/>
      <c r="GKJ5077" s="917"/>
      <c r="GKK5077" s="917"/>
      <c r="GKL5077" s="917"/>
      <c r="GKM5077" s="917"/>
      <c r="GKN5077" s="917"/>
      <c r="GKO5077" s="917"/>
      <c r="GKP5077" s="917"/>
      <c r="GKQ5077" s="917"/>
      <c r="GKR5077" s="917"/>
      <c r="GKS5077" s="917"/>
      <c r="GKT5077" s="917"/>
      <c r="GKU5077" s="917"/>
      <c r="GKV5077" s="917"/>
      <c r="GKW5077" s="917"/>
      <c r="GKX5077" s="917"/>
      <c r="GKY5077" s="917"/>
      <c r="GKZ5077" s="917"/>
      <c r="GLA5077" s="917" t="s">
        <v>78</v>
      </c>
      <c r="GLB5077" s="917"/>
      <c r="GLC5077" s="917"/>
      <c r="GLD5077" s="917"/>
      <c r="GLE5077" s="917"/>
      <c r="GLF5077" s="917"/>
      <c r="GLG5077" s="917"/>
      <c r="GLH5077" s="917"/>
      <c r="GLI5077" s="917"/>
      <c r="GLJ5077" s="917"/>
      <c r="GLK5077" s="917"/>
      <c r="GLL5077" s="917"/>
      <c r="GLM5077" s="917"/>
      <c r="GLN5077" s="917"/>
      <c r="GLO5077" s="917"/>
      <c r="GLP5077" s="917"/>
      <c r="GLQ5077" s="917"/>
      <c r="GLR5077" s="917"/>
      <c r="GLS5077" s="917"/>
      <c r="GLT5077" s="917"/>
      <c r="GLU5077" s="917"/>
      <c r="GLV5077" s="917"/>
      <c r="GLW5077" s="917"/>
      <c r="GLX5077" s="917"/>
      <c r="GLY5077" s="917"/>
      <c r="GLZ5077" s="917"/>
      <c r="GMA5077" s="917"/>
      <c r="GMB5077" s="917"/>
      <c r="GMC5077" s="917"/>
      <c r="GMD5077" s="917"/>
      <c r="GME5077" s="917"/>
      <c r="GMF5077" s="917"/>
      <c r="GMG5077" s="917" t="s">
        <v>78</v>
      </c>
      <c r="GMH5077" s="917"/>
      <c r="GMI5077" s="917"/>
      <c r="GMJ5077" s="917"/>
      <c r="GMK5077" s="917"/>
      <c r="GML5077" s="917"/>
      <c r="GMM5077" s="917"/>
      <c r="GMN5077" s="917"/>
      <c r="GMO5077" s="917"/>
      <c r="GMP5077" s="917"/>
      <c r="GMQ5077" s="917"/>
      <c r="GMR5077" s="917"/>
      <c r="GMS5077" s="917"/>
      <c r="GMT5077" s="917"/>
      <c r="GMU5077" s="917"/>
      <c r="GMV5077" s="917"/>
      <c r="GMW5077" s="917"/>
      <c r="GMX5077" s="917"/>
      <c r="GMY5077" s="917"/>
      <c r="GMZ5077" s="917"/>
      <c r="GNA5077" s="917"/>
      <c r="GNB5077" s="917"/>
      <c r="GNC5077" s="917"/>
      <c r="GND5077" s="917"/>
      <c r="GNE5077" s="917"/>
      <c r="GNF5077" s="917"/>
      <c r="GNG5077" s="917"/>
      <c r="GNH5077" s="917"/>
      <c r="GNI5077" s="917"/>
      <c r="GNJ5077" s="917"/>
      <c r="GNK5077" s="917"/>
      <c r="GNL5077" s="917"/>
      <c r="GNM5077" s="917" t="s">
        <v>78</v>
      </c>
      <c r="GNN5077" s="917"/>
      <c r="GNO5077" s="917"/>
      <c r="GNP5077" s="917"/>
      <c r="GNQ5077" s="917"/>
      <c r="GNR5077" s="917"/>
      <c r="GNS5077" s="917"/>
      <c r="GNT5077" s="917"/>
      <c r="GNU5077" s="917"/>
      <c r="GNV5077" s="917"/>
      <c r="GNW5077" s="917"/>
      <c r="GNX5077" s="917"/>
      <c r="GNY5077" s="917"/>
      <c r="GNZ5077" s="917"/>
      <c r="GOA5077" s="917"/>
      <c r="GOB5077" s="917"/>
      <c r="GOC5077" s="917"/>
      <c r="GOD5077" s="917"/>
      <c r="GOE5077" s="917"/>
      <c r="GOF5077" s="917"/>
      <c r="GOG5077" s="917"/>
      <c r="GOH5077" s="917"/>
      <c r="GOI5077" s="917"/>
      <c r="GOJ5077" s="917"/>
      <c r="GOK5077" s="917"/>
      <c r="GOL5077" s="917"/>
      <c r="GOM5077" s="917"/>
      <c r="GON5077" s="917"/>
      <c r="GOO5077" s="917"/>
      <c r="GOP5077" s="917"/>
      <c r="GOQ5077" s="917"/>
      <c r="GOR5077" s="917"/>
      <c r="GOS5077" s="917" t="s">
        <v>78</v>
      </c>
      <c r="GOT5077" s="917"/>
      <c r="GOU5077" s="917"/>
      <c r="GOV5077" s="917"/>
      <c r="GOW5077" s="917"/>
      <c r="GOX5077" s="917"/>
      <c r="GOY5077" s="917"/>
      <c r="GOZ5077" s="917"/>
      <c r="GPA5077" s="917"/>
      <c r="GPB5077" s="917"/>
      <c r="GPC5077" s="917"/>
      <c r="GPD5077" s="917"/>
      <c r="GPE5077" s="917"/>
      <c r="GPF5077" s="917"/>
      <c r="GPG5077" s="917"/>
      <c r="GPH5077" s="917"/>
      <c r="GPI5077" s="917"/>
      <c r="GPJ5077" s="917"/>
      <c r="GPK5077" s="917"/>
      <c r="GPL5077" s="917"/>
      <c r="GPM5077" s="917"/>
      <c r="GPN5077" s="917"/>
      <c r="GPO5077" s="917"/>
      <c r="GPP5077" s="917"/>
      <c r="GPQ5077" s="917"/>
      <c r="GPR5077" s="917"/>
      <c r="GPS5077" s="917"/>
      <c r="GPT5077" s="917"/>
      <c r="GPU5077" s="917"/>
      <c r="GPV5077" s="917"/>
      <c r="GPW5077" s="917"/>
      <c r="GPX5077" s="917"/>
      <c r="GPY5077" s="917" t="s">
        <v>78</v>
      </c>
      <c r="GPZ5077" s="917"/>
      <c r="GQA5077" s="917"/>
      <c r="GQB5077" s="917"/>
      <c r="GQC5077" s="917"/>
      <c r="GQD5077" s="917"/>
      <c r="GQE5077" s="917"/>
      <c r="GQF5077" s="917"/>
      <c r="GQG5077" s="917"/>
      <c r="GQH5077" s="917"/>
      <c r="GQI5077" s="917"/>
      <c r="GQJ5077" s="917"/>
      <c r="GQK5077" s="917"/>
      <c r="GQL5077" s="917"/>
      <c r="GQM5077" s="917"/>
      <c r="GQN5077" s="917"/>
      <c r="GQO5077" s="917"/>
      <c r="GQP5077" s="917"/>
      <c r="GQQ5077" s="917"/>
      <c r="GQR5077" s="917"/>
      <c r="GQS5077" s="917"/>
      <c r="GQT5077" s="917"/>
      <c r="GQU5077" s="917"/>
      <c r="GQV5077" s="917"/>
      <c r="GQW5077" s="917"/>
      <c r="GQX5077" s="917"/>
      <c r="GQY5077" s="917"/>
      <c r="GQZ5077" s="917"/>
      <c r="GRA5077" s="917"/>
      <c r="GRB5077" s="917"/>
      <c r="GRC5077" s="917"/>
      <c r="GRD5077" s="917"/>
      <c r="GRE5077" s="917" t="s">
        <v>78</v>
      </c>
      <c r="GRF5077" s="917"/>
      <c r="GRG5077" s="917"/>
      <c r="GRH5077" s="917"/>
      <c r="GRI5077" s="917"/>
      <c r="GRJ5077" s="917"/>
      <c r="GRK5077" s="917"/>
      <c r="GRL5077" s="917"/>
      <c r="GRM5077" s="917"/>
      <c r="GRN5077" s="917"/>
      <c r="GRO5077" s="917"/>
      <c r="GRP5077" s="917"/>
      <c r="GRQ5077" s="917"/>
      <c r="GRR5077" s="917"/>
      <c r="GRS5077" s="917"/>
      <c r="GRT5077" s="917"/>
      <c r="GRU5077" s="917"/>
      <c r="GRV5077" s="917"/>
      <c r="GRW5077" s="917"/>
      <c r="GRX5077" s="917"/>
      <c r="GRY5077" s="917"/>
      <c r="GRZ5077" s="917"/>
      <c r="GSA5077" s="917"/>
      <c r="GSB5077" s="917"/>
      <c r="GSC5077" s="917"/>
      <c r="GSD5077" s="917"/>
      <c r="GSE5077" s="917"/>
      <c r="GSF5077" s="917"/>
      <c r="GSG5077" s="917"/>
      <c r="GSH5077" s="917"/>
      <c r="GSI5077" s="917"/>
      <c r="GSJ5077" s="917"/>
      <c r="GSK5077" s="917" t="s">
        <v>78</v>
      </c>
      <c r="GSL5077" s="917"/>
      <c r="GSM5077" s="917"/>
      <c r="GSN5077" s="917"/>
      <c r="GSO5077" s="917"/>
      <c r="GSP5077" s="917"/>
      <c r="GSQ5077" s="917"/>
      <c r="GSR5077" s="917"/>
      <c r="GSS5077" s="917"/>
      <c r="GST5077" s="917"/>
      <c r="GSU5077" s="917"/>
      <c r="GSV5077" s="917"/>
      <c r="GSW5077" s="917"/>
      <c r="GSX5077" s="917"/>
      <c r="GSY5077" s="917"/>
      <c r="GSZ5077" s="917"/>
      <c r="GTA5077" s="917"/>
      <c r="GTB5077" s="917"/>
      <c r="GTC5077" s="917"/>
      <c r="GTD5077" s="917"/>
      <c r="GTE5077" s="917"/>
      <c r="GTF5077" s="917"/>
      <c r="GTG5077" s="917"/>
      <c r="GTH5077" s="917"/>
      <c r="GTI5077" s="917"/>
      <c r="GTJ5077" s="917"/>
      <c r="GTK5077" s="917"/>
      <c r="GTL5077" s="917"/>
      <c r="GTM5077" s="917"/>
      <c r="GTN5077" s="917"/>
      <c r="GTO5077" s="917"/>
      <c r="GTP5077" s="917"/>
      <c r="GTQ5077" s="917" t="s">
        <v>78</v>
      </c>
      <c r="GTR5077" s="917"/>
      <c r="GTS5077" s="917"/>
      <c r="GTT5077" s="917"/>
      <c r="GTU5077" s="917"/>
      <c r="GTV5077" s="917"/>
      <c r="GTW5077" s="917"/>
      <c r="GTX5077" s="917"/>
      <c r="GTY5077" s="917"/>
      <c r="GTZ5077" s="917"/>
      <c r="GUA5077" s="917"/>
      <c r="GUB5077" s="917"/>
      <c r="GUC5077" s="917"/>
      <c r="GUD5077" s="917"/>
      <c r="GUE5077" s="917"/>
      <c r="GUF5077" s="917"/>
      <c r="GUG5077" s="917"/>
      <c r="GUH5077" s="917"/>
      <c r="GUI5077" s="917"/>
      <c r="GUJ5077" s="917"/>
      <c r="GUK5077" s="917"/>
      <c r="GUL5077" s="917"/>
      <c r="GUM5077" s="917"/>
      <c r="GUN5077" s="917"/>
      <c r="GUO5077" s="917"/>
      <c r="GUP5077" s="917"/>
      <c r="GUQ5077" s="917"/>
      <c r="GUR5077" s="917"/>
      <c r="GUS5077" s="917"/>
      <c r="GUT5077" s="917"/>
      <c r="GUU5077" s="917"/>
      <c r="GUV5077" s="917"/>
      <c r="GUW5077" s="917" t="s">
        <v>78</v>
      </c>
      <c r="GUX5077" s="917"/>
      <c r="GUY5077" s="917"/>
      <c r="GUZ5077" s="917"/>
      <c r="GVA5077" s="917"/>
      <c r="GVB5077" s="917"/>
      <c r="GVC5077" s="917"/>
      <c r="GVD5077" s="917"/>
      <c r="GVE5077" s="917"/>
      <c r="GVF5077" s="917"/>
      <c r="GVG5077" s="917"/>
      <c r="GVH5077" s="917"/>
      <c r="GVI5077" s="917"/>
      <c r="GVJ5077" s="917"/>
      <c r="GVK5077" s="917"/>
      <c r="GVL5077" s="917"/>
      <c r="GVM5077" s="917"/>
      <c r="GVN5077" s="917"/>
      <c r="GVO5077" s="917"/>
      <c r="GVP5077" s="917"/>
      <c r="GVQ5077" s="917"/>
      <c r="GVR5077" s="917"/>
      <c r="GVS5077" s="917"/>
      <c r="GVT5077" s="917"/>
      <c r="GVU5077" s="917"/>
      <c r="GVV5077" s="917"/>
      <c r="GVW5077" s="917"/>
      <c r="GVX5077" s="917"/>
      <c r="GVY5077" s="917"/>
      <c r="GVZ5077" s="917"/>
      <c r="GWA5077" s="917"/>
      <c r="GWB5077" s="917"/>
      <c r="GWC5077" s="917" t="s">
        <v>78</v>
      </c>
      <c r="GWD5077" s="917"/>
      <c r="GWE5077" s="917"/>
      <c r="GWF5077" s="917"/>
      <c r="GWG5077" s="917"/>
      <c r="GWH5077" s="917"/>
      <c r="GWI5077" s="917"/>
      <c r="GWJ5077" s="917"/>
      <c r="GWK5077" s="917"/>
      <c r="GWL5077" s="917"/>
      <c r="GWM5077" s="917"/>
      <c r="GWN5077" s="917"/>
      <c r="GWO5077" s="917"/>
      <c r="GWP5077" s="917"/>
      <c r="GWQ5077" s="917"/>
      <c r="GWR5077" s="917"/>
      <c r="GWS5077" s="917"/>
      <c r="GWT5077" s="917"/>
      <c r="GWU5077" s="917"/>
      <c r="GWV5077" s="917"/>
      <c r="GWW5077" s="917"/>
      <c r="GWX5077" s="917"/>
      <c r="GWY5077" s="917"/>
      <c r="GWZ5077" s="917"/>
      <c r="GXA5077" s="917"/>
      <c r="GXB5077" s="917"/>
      <c r="GXC5077" s="917"/>
      <c r="GXD5077" s="917"/>
      <c r="GXE5077" s="917"/>
      <c r="GXF5077" s="917"/>
      <c r="GXG5077" s="917"/>
      <c r="GXH5077" s="917"/>
      <c r="GXI5077" s="917" t="s">
        <v>78</v>
      </c>
      <c r="GXJ5077" s="917"/>
      <c r="GXK5077" s="917"/>
      <c r="GXL5077" s="917"/>
      <c r="GXM5077" s="917"/>
      <c r="GXN5077" s="917"/>
      <c r="GXO5077" s="917"/>
      <c r="GXP5077" s="917"/>
      <c r="GXQ5077" s="917"/>
      <c r="GXR5077" s="917"/>
      <c r="GXS5077" s="917"/>
      <c r="GXT5077" s="917"/>
      <c r="GXU5077" s="917"/>
      <c r="GXV5077" s="917"/>
      <c r="GXW5077" s="917"/>
      <c r="GXX5077" s="917"/>
      <c r="GXY5077" s="917"/>
      <c r="GXZ5077" s="917"/>
      <c r="GYA5077" s="917"/>
      <c r="GYB5077" s="917"/>
      <c r="GYC5077" s="917"/>
      <c r="GYD5077" s="917"/>
      <c r="GYE5077" s="917"/>
      <c r="GYF5077" s="917"/>
      <c r="GYG5077" s="917"/>
      <c r="GYH5077" s="917"/>
      <c r="GYI5077" s="917"/>
      <c r="GYJ5077" s="917"/>
      <c r="GYK5077" s="917"/>
      <c r="GYL5077" s="917"/>
      <c r="GYM5077" s="917"/>
      <c r="GYN5077" s="917"/>
      <c r="GYO5077" s="917" t="s">
        <v>78</v>
      </c>
      <c r="GYP5077" s="917"/>
      <c r="GYQ5077" s="917"/>
      <c r="GYR5077" s="917"/>
      <c r="GYS5077" s="917"/>
      <c r="GYT5077" s="917"/>
      <c r="GYU5077" s="917"/>
      <c r="GYV5077" s="917"/>
      <c r="GYW5077" s="917"/>
      <c r="GYX5077" s="917"/>
      <c r="GYY5077" s="917"/>
      <c r="GYZ5077" s="917"/>
      <c r="GZA5077" s="917"/>
      <c r="GZB5077" s="917"/>
      <c r="GZC5077" s="917"/>
      <c r="GZD5077" s="917"/>
      <c r="GZE5077" s="917"/>
      <c r="GZF5077" s="917"/>
      <c r="GZG5077" s="917"/>
      <c r="GZH5077" s="917"/>
      <c r="GZI5077" s="917"/>
      <c r="GZJ5077" s="917"/>
      <c r="GZK5077" s="917"/>
      <c r="GZL5077" s="917"/>
      <c r="GZM5077" s="917"/>
      <c r="GZN5077" s="917"/>
      <c r="GZO5077" s="917"/>
      <c r="GZP5077" s="917"/>
      <c r="GZQ5077" s="917"/>
      <c r="GZR5077" s="917"/>
      <c r="GZS5077" s="917"/>
      <c r="GZT5077" s="917"/>
      <c r="GZU5077" s="917" t="s">
        <v>78</v>
      </c>
      <c r="GZV5077" s="917"/>
      <c r="GZW5077" s="917"/>
      <c r="GZX5077" s="917"/>
      <c r="GZY5077" s="917"/>
      <c r="GZZ5077" s="917"/>
      <c r="HAA5077" s="917"/>
      <c r="HAB5077" s="917"/>
      <c r="HAC5077" s="917"/>
      <c r="HAD5077" s="917"/>
      <c r="HAE5077" s="917"/>
      <c r="HAF5077" s="917"/>
      <c r="HAG5077" s="917"/>
      <c r="HAH5077" s="917"/>
      <c r="HAI5077" s="917"/>
      <c r="HAJ5077" s="917"/>
      <c r="HAK5077" s="917"/>
      <c r="HAL5077" s="917"/>
      <c r="HAM5077" s="917"/>
      <c r="HAN5077" s="917"/>
      <c r="HAO5077" s="917"/>
      <c r="HAP5077" s="917"/>
      <c r="HAQ5077" s="917"/>
      <c r="HAR5077" s="917"/>
      <c r="HAS5077" s="917"/>
      <c r="HAT5077" s="917"/>
      <c r="HAU5077" s="917"/>
      <c r="HAV5077" s="917"/>
      <c r="HAW5077" s="917"/>
      <c r="HAX5077" s="917"/>
      <c r="HAY5077" s="917"/>
      <c r="HAZ5077" s="917"/>
      <c r="HBA5077" s="917" t="s">
        <v>78</v>
      </c>
      <c r="HBB5077" s="917"/>
      <c r="HBC5077" s="917"/>
      <c r="HBD5077" s="917"/>
      <c r="HBE5077" s="917"/>
      <c r="HBF5077" s="917"/>
      <c r="HBG5077" s="917"/>
      <c r="HBH5077" s="917"/>
      <c r="HBI5077" s="917"/>
      <c r="HBJ5077" s="917"/>
      <c r="HBK5077" s="917"/>
      <c r="HBL5077" s="917"/>
      <c r="HBM5077" s="917"/>
      <c r="HBN5077" s="917"/>
      <c r="HBO5077" s="917"/>
      <c r="HBP5077" s="917"/>
      <c r="HBQ5077" s="917"/>
      <c r="HBR5077" s="917"/>
      <c r="HBS5077" s="917"/>
      <c r="HBT5077" s="917"/>
      <c r="HBU5077" s="917"/>
      <c r="HBV5077" s="917"/>
      <c r="HBW5077" s="917"/>
      <c r="HBX5077" s="917"/>
      <c r="HBY5077" s="917"/>
      <c r="HBZ5077" s="917"/>
      <c r="HCA5077" s="917"/>
      <c r="HCB5077" s="917"/>
      <c r="HCC5077" s="917"/>
      <c r="HCD5077" s="917"/>
      <c r="HCE5077" s="917"/>
      <c r="HCF5077" s="917"/>
      <c r="HCG5077" s="917" t="s">
        <v>78</v>
      </c>
      <c r="HCH5077" s="917"/>
      <c r="HCI5077" s="917"/>
      <c r="HCJ5077" s="917"/>
      <c r="HCK5077" s="917"/>
      <c r="HCL5077" s="917"/>
      <c r="HCM5077" s="917"/>
      <c r="HCN5077" s="917"/>
      <c r="HCO5077" s="917"/>
      <c r="HCP5077" s="917"/>
      <c r="HCQ5077" s="917"/>
      <c r="HCR5077" s="917"/>
      <c r="HCS5077" s="917"/>
      <c r="HCT5077" s="917"/>
      <c r="HCU5077" s="917"/>
      <c r="HCV5077" s="917"/>
      <c r="HCW5077" s="917"/>
      <c r="HCX5077" s="917"/>
      <c r="HCY5077" s="917"/>
      <c r="HCZ5077" s="917"/>
      <c r="HDA5077" s="917"/>
      <c r="HDB5077" s="917"/>
      <c r="HDC5077" s="917"/>
      <c r="HDD5077" s="917"/>
      <c r="HDE5077" s="917"/>
      <c r="HDF5077" s="917"/>
      <c r="HDG5077" s="917"/>
      <c r="HDH5077" s="917"/>
      <c r="HDI5077" s="917"/>
      <c r="HDJ5077" s="917"/>
      <c r="HDK5077" s="917"/>
      <c r="HDL5077" s="917"/>
      <c r="HDM5077" s="917" t="s">
        <v>78</v>
      </c>
      <c r="HDN5077" s="917"/>
      <c r="HDO5077" s="917"/>
      <c r="HDP5077" s="917"/>
      <c r="HDQ5077" s="917"/>
      <c r="HDR5077" s="917"/>
      <c r="HDS5077" s="917"/>
      <c r="HDT5077" s="917"/>
      <c r="HDU5077" s="917"/>
      <c r="HDV5077" s="917"/>
      <c r="HDW5077" s="917"/>
      <c r="HDX5077" s="917"/>
      <c r="HDY5077" s="917"/>
      <c r="HDZ5077" s="917"/>
      <c r="HEA5077" s="917"/>
      <c r="HEB5077" s="917"/>
      <c r="HEC5077" s="917"/>
      <c r="HED5077" s="917"/>
      <c r="HEE5077" s="917"/>
      <c r="HEF5077" s="917"/>
      <c r="HEG5077" s="917"/>
      <c r="HEH5077" s="917"/>
      <c r="HEI5077" s="917"/>
      <c r="HEJ5077" s="917"/>
      <c r="HEK5077" s="917"/>
      <c r="HEL5077" s="917"/>
      <c r="HEM5077" s="917"/>
      <c r="HEN5077" s="917"/>
      <c r="HEO5077" s="917"/>
      <c r="HEP5077" s="917"/>
      <c r="HEQ5077" s="917"/>
      <c r="HER5077" s="917"/>
      <c r="HES5077" s="917" t="s">
        <v>78</v>
      </c>
      <c r="HET5077" s="917"/>
      <c r="HEU5077" s="917"/>
      <c r="HEV5077" s="917"/>
      <c r="HEW5077" s="917"/>
      <c r="HEX5077" s="917"/>
      <c r="HEY5077" s="917"/>
      <c r="HEZ5077" s="917"/>
      <c r="HFA5077" s="917"/>
      <c r="HFB5077" s="917"/>
      <c r="HFC5077" s="917"/>
      <c r="HFD5077" s="917"/>
      <c r="HFE5077" s="917"/>
      <c r="HFF5077" s="917"/>
      <c r="HFG5077" s="917"/>
      <c r="HFH5077" s="917"/>
      <c r="HFI5077" s="917"/>
      <c r="HFJ5077" s="917"/>
      <c r="HFK5077" s="917"/>
      <c r="HFL5077" s="917"/>
      <c r="HFM5077" s="917"/>
      <c r="HFN5077" s="917"/>
      <c r="HFO5077" s="917"/>
      <c r="HFP5077" s="917"/>
      <c r="HFQ5077" s="917"/>
      <c r="HFR5077" s="917"/>
      <c r="HFS5077" s="917"/>
      <c r="HFT5077" s="917"/>
      <c r="HFU5077" s="917"/>
      <c r="HFV5077" s="917"/>
      <c r="HFW5077" s="917"/>
      <c r="HFX5077" s="917"/>
      <c r="HFY5077" s="917" t="s">
        <v>78</v>
      </c>
      <c r="HFZ5077" s="917"/>
      <c r="HGA5077" s="917"/>
      <c r="HGB5077" s="917"/>
      <c r="HGC5077" s="917"/>
      <c r="HGD5077" s="917"/>
      <c r="HGE5077" s="917"/>
      <c r="HGF5077" s="917"/>
      <c r="HGG5077" s="917"/>
      <c r="HGH5077" s="917"/>
      <c r="HGI5077" s="917"/>
      <c r="HGJ5077" s="917"/>
      <c r="HGK5077" s="917"/>
      <c r="HGL5077" s="917"/>
      <c r="HGM5077" s="917"/>
      <c r="HGN5077" s="917"/>
      <c r="HGO5077" s="917"/>
      <c r="HGP5077" s="917"/>
      <c r="HGQ5077" s="917"/>
      <c r="HGR5077" s="917"/>
      <c r="HGS5077" s="917"/>
      <c r="HGT5077" s="917"/>
      <c r="HGU5077" s="917"/>
      <c r="HGV5077" s="917"/>
      <c r="HGW5077" s="917"/>
      <c r="HGX5077" s="917"/>
      <c r="HGY5077" s="917"/>
      <c r="HGZ5077" s="917"/>
      <c r="HHA5077" s="917"/>
      <c r="HHB5077" s="917"/>
      <c r="HHC5077" s="917"/>
      <c r="HHD5077" s="917"/>
      <c r="HHE5077" s="917" t="s">
        <v>78</v>
      </c>
      <c r="HHF5077" s="917"/>
      <c r="HHG5077" s="917"/>
      <c r="HHH5077" s="917"/>
      <c r="HHI5077" s="917"/>
      <c r="HHJ5077" s="917"/>
      <c r="HHK5077" s="917"/>
      <c r="HHL5077" s="917"/>
      <c r="HHM5077" s="917"/>
      <c r="HHN5077" s="917"/>
      <c r="HHO5077" s="917"/>
      <c r="HHP5077" s="917"/>
      <c r="HHQ5077" s="917"/>
      <c r="HHR5077" s="917"/>
      <c r="HHS5077" s="917"/>
      <c r="HHT5077" s="917"/>
      <c r="HHU5077" s="917"/>
      <c r="HHV5077" s="917"/>
      <c r="HHW5077" s="917"/>
      <c r="HHX5077" s="917"/>
      <c r="HHY5077" s="917"/>
      <c r="HHZ5077" s="917"/>
      <c r="HIA5077" s="917"/>
      <c r="HIB5077" s="917"/>
      <c r="HIC5077" s="917"/>
      <c r="HID5077" s="917"/>
      <c r="HIE5077" s="917"/>
      <c r="HIF5077" s="917"/>
      <c r="HIG5077" s="917"/>
      <c r="HIH5077" s="917"/>
      <c r="HII5077" s="917"/>
      <c r="HIJ5077" s="917"/>
      <c r="HIK5077" s="917" t="s">
        <v>78</v>
      </c>
      <c r="HIL5077" s="917"/>
      <c r="HIM5077" s="917"/>
      <c r="HIN5077" s="917"/>
      <c r="HIO5077" s="917"/>
      <c r="HIP5077" s="917"/>
      <c r="HIQ5077" s="917"/>
      <c r="HIR5077" s="917"/>
      <c r="HIS5077" s="917"/>
      <c r="HIT5077" s="917"/>
      <c r="HIU5077" s="917"/>
      <c r="HIV5077" s="917"/>
      <c r="HIW5077" s="917"/>
      <c r="HIX5077" s="917"/>
      <c r="HIY5077" s="917"/>
      <c r="HIZ5077" s="917"/>
      <c r="HJA5077" s="917"/>
      <c r="HJB5077" s="917"/>
      <c r="HJC5077" s="917"/>
      <c r="HJD5077" s="917"/>
      <c r="HJE5077" s="917"/>
      <c r="HJF5077" s="917"/>
      <c r="HJG5077" s="917"/>
      <c r="HJH5077" s="917"/>
      <c r="HJI5077" s="917"/>
      <c r="HJJ5077" s="917"/>
      <c r="HJK5077" s="917"/>
      <c r="HJL5077" s="917"/>
      <c r="HJM5077" s="917"/>
      <c r="HJN5077" s="917"/>
      <c r="HJO5077" s="917"/>
      <c r="HJP5077" s="917"/>
      <c r="HJQ5077" s="917" t="s">
        <v>78</v>
      </c>
      <c r="HJR5077" s="917"/>
      <c r="HJS5077" s="917"/>
      <c r="HJT5077" s="917"/>
      <c r="HJU5077" s="917"/>
      <c r="HJV5077" s="917"/>
      <c r="HJW5077" s="917"/>
      <c r="HJX5077" s="917"/>
      <c r="HJY5077" s="917"/>
      <c r="HJZ5077" s="917"/>
      <c r="HKA5077" s="917"/>
      <c r="HKB5077" s="917"/>
      <c r="HKC5077" s="917"/>
      <c r="HKD5077" s="917"/>
      <c r="HKE5077" s="917"/>
      <c r="HKF5077" s="917"/>
      <c r="HKG5077" s="917"/>
      <c r="HKH5077" s="917"/>
      <c r="HKI5077" s="917"/>
      <c r="HKJ5077" s="917"/>
      <c r="HKK5077" s="917"/>
      <c r="HKL5077" s="917"/>
      <c r="HKM5077" s="917"/>
      <c r="HKN5077" s="917"/>
      <c r="HKO5077" s="917"/>
      <c r="HKP5077" s="917"/>
      <c r="HKQ5077" s="917"/>
      <c r="HKR5077" s="917"/>
      <c r="HKS5077" s="917"/>
      <c r="HKT5077" s="917"/>
      <c r="HKU5077" s="917"/>
      <c r="HKV5077" s="917"/>
      <c r="HKW5077" s="917" t="s">
        <v>78</v>
      </c>
      <c r="HKX5077" s="917"/>
      <c r="HKY5077" s="917"/>
      <c r="HKZ5077" s="917"/>
      <c r="HLA5077" s="917"/>
      <c r="HLB5077" s="917"/>
      <c r="HLC5077" s="917"/>
      <c r="HLD5077" s="917"/>
      <c r="HLE5077" s="917"/>
      <c r="HLF5077" s="917"/>
      <c r="HLG5077" s="917"/>
      <c r="HLH5077" s="917"/>
      <c r="HLI5077" s="917"/>
      <c r="HLJ5077" s="917"/>
      <c r="HLK5077" s="917"/>
      <c r="HLL5077" s="917"/>
      <c r="HLM5077" s="917"/>
      <c r="HLN5077" s="917"/>
      <c r="HLO5077" s="917"/>
      <c r="HLP5077" s="917"/>
      <c r="HLQ5077" s="917"/>
      <c r="HLR5077" s="917"/>
      <c r="HLS5077" s="917"/>
      <c r="HLT5077" s="917"/>
      <c r="HLU5077" s="917"/>
      <c r="HLV5077" s="917"/>
      <c r="HLW5077" s="917"/>
      <c r="HLX5077" s="917"/>
      <c r="HLY5077" s="917"/>
      <c r="HLZ5077" s="917"/>
      <c r="HMA5077" s="917"/>
      <c r="HMB5077" s="917"/>
      <c r="HMC5077" s="917" t="s">
        <v>78</v>
      </c>
      <c r="HMD5077" s="917"/>
      <c r="HME5077" s="917"/>
      <c r="HMF5077" s="917"/>
      <c r="HMG5077" s="917"/>
      <c r="HMH5077" s="917"/>
      <c r="HMI5077" s="917"/>
      <c r="HMJ5077" s="917"/>
      <c r="HMK5077" s="917"/>
      <c r="HML5077" s="917"/>
      <c r="HMM5077" s="917"/>
      <c r="HMN5077" s="917"/>
      <c r="HMO5077" s="917"/>
      <c r="HMP5077" s="917"/>
      <c r="HMQ5077" s="917"/>
      <c r="HMR5077" s="917"/>
      <c r="HMS5077" s="917"/>
      <c r="HMT5077" s="917"/>
      <c r="HMU5077" s="917"/>
      <c r="HMV5077" s="917"/>
      <c r="HMW5077" s="917"/>
      <c r="HMX5077" s="917"/>
      <c r="HMY5077" s="917"/>
      <c r="HMZ5077" s="917"/>
      <c r="HNA5077" s="917"/>
      <c r="HNB5077" s="917"/>
      <c r="HNC5077" s="917"/>
      <c r="HND5077" s="917"/>
      <c r="HNE5077" s="917"/>
      <c r="HNF5077" s="917"/>
      <c r="HNG5077" s="917"/>
      <c r="HNH5077" s="917"/>
      <c r="HNI5077" s="917" t="s">
        <v>78</v>
      </c>
      <c r="HNJ5077" s="917"/>
      <c r="HNK5077" s="917"/>
      <c r="HNL5077" s="917"/>
      <c r="HNM5077" s="917"/>
      <c r="HNN5077" s="917"/>
      <c r="HNO5077" s="917"/>
      <c r="HNP5077" s="917"/>
      <c r="HNQ5077" s="917"/>
      <c r="HNR5077" s="917"/>
      <c r="HNS5077" s="917"/>
      <c r="HNT5077" s="917"/>
      <c r="HNU5077" s="917"/>
      <c r="HNV5077" s="917"/>
      <c r="HNW5077" s="917"/>
      <c r="HNX5077" s="917"/>
      <c r="HNY5077" s="917"/>
      <c r="HNZ5077" s="917"/>
      <c r="HOA5077" s="917"/>
      <c r="HOB5077" s="917"/>
      <c r="HOC5077" s="917"/>
      <c r="HOD5077" s="917"/>
      <c r="HOE5077" s="917"/>
      <c r="HOF5077" s="917"/>
      <c r="HOG5077" s="917"/>
      <c r="HOH5077" s="917"/>
      <c r="HOI5077" s="917"/>
      <c r="HOJ5077" s="917"/>
      <c r="HOK5077" s="917"/>
      <c r="HOL5077" s="917"/>
      <c r="HOM5077" s="917"/>
      <c r="HON5077" s="917"/>
      <c r="HOO5077" s="917" t="s">
        <v>78</v>
      </c>
      <c r="HOP5077" s="917"/>
      <c r="HOQ5077" s="917"/>
      <c r="HOR5077" s="917"/>
      <c r="HOS5077" s="917"/>
      <c r="HOT5077" s="917"/>
      <c r="HOU5077" s="917"/>
      <c r="HOV5077" s="917"/>
      <c r="HOW5077" s="917"/>
      <c r="HOX5077" s="917"/>
      <c r="HOY5077" s="917"/>
      <c r="HOZ5077" s="917"/>
      <c r="HPA5077" s="917"/>
      <c r="HPB5077" s="917"/>
      <c r="HPC5077" s="917"/>
      <c r="HPD5077" s="917"/>
      <c r="HPE5077" s="917"/>
      <c r="HPF5077" s="917"/>
      <c r="HPG5077" s="917"/>
      <c r="HPH5077" s="917"/>
      <c r="HPI5077" s="917"/>
      <c r="HPJ5077" s="917"/>
      <c r="HPK5077" s="917"/>
      <c r="HPL5077" s="917"/>
      <c r="HPM5077" s="917"/>
      <c r="HPN5077" s="917"/>
      <c r="HPO5077" s="917"/>
      <c r="HPP5077" s="917"/>
      <c r="HPQ5077" s="917"/>
      <c r="HPR5077" s="917"/>
      <c r="HPS5077" s="917"/>
      <c r="HPT5077" s="917"/>
      <c r="HPU5077" s="917" t="s">
        <v>78</v>
      </c>
      <c r="HPV5077" s="917"/>
      <c r="HPW5077" s="917"/>
      <c r="HPX5077" s="917"/>
      <c r="HPY5077" s="917"/>
      <c r="HPZ5077" s="917"/>
      <c r="HQA5077" s="917"/>
      <c r="HQB5077" s="917"/>
      <c r="HQC5077" s="917"/>
      <c r="HQD5077" s="917"/>
      <c r="HQE5077" s="917"/>
      <c r="HQF5077" s="917"/>
      <c r="HQG5077" s="917"/>
      <c r="HQH5077" s="917"/>
      <c r="HQI5077" s="917"/>
      <c r="HQJ5077" s="917"/>
      <c r="HQK5077" s="917"/>
      <c r="HQL5077" s="917"/>
      <c r="HQM5077" s="917"/>
      <c r="HQN5077" s="917"/>
      <c r="HQO5077" s="917"/>
      <c r="HQP5077" s="917"/>
      <c r="HQQ5077" s="917"/>
      <c r="HQR5077" s="917"/>
      <c r="HQS5077" s="917"/>
      <c r="HQT5077" s="917"/>
      <c r="HQU5077" s="917"/>
      <c r="HQV5077" s="917"/>
      <c r="HQW5077" s="917"/>
      <c r="HQX5077" s="917"/>
      <c r="HQY5077" s="917"/>
      <c r="HQZ5077" s="917"/>
      <c r="HRA5077" s="917" t="s">
        <v>78</v>
      </c>
      <c r="HRB5077" s="917"/>
      <c r="HRC5077" s="917"/>
      <c r="HRD5077" s="917"/>
      <c r="HRE5077" s="917"/>
      <c r="HRF5077" s="917"/>
      <c r="HRG5077" s="917"/>
      <c r="HRH5077" s="917"/>
      <c r="HRI5077" s="917"/>
      <c r="HRJ5077" s="917"/>
      <c r="HRK5077" s="917"/>
      <c r="HRL5077" s="917"/>
      <c r="HRM5077" s="917"/>
      <c r="HRN5077" s="917"/>
      <c r="HRO5077" s="917"/>
      <c r="HRP5077" s="917"/>
      <c r="HRQ5077" s="917"/>
      <c r="HRR5077" s="917"/>
      <c r="HRS5077" s="917"/>
      <c r="HRT5077" s="917"/>
      <c r="HRU5077" s="917"/>
      <c r="HRV5077" s="917"/>
      <c r="HRW5077" s="917"/>
      <c r="HRX5077" s="917"/>
      <c r="HRY5077" s="917"/>
      <c r="HRZ5077" s="917"/>
      <c r="HSA5077" s="917"/>
      <c r="HSB5077" s="917"/>
      <c r="HSC5077" s="917"/>
      <c r="HSD5077" s="917"/>
      <c r="HSE5077" s="917"/>
      <c r="HSF5077" s="917"/>
      <c r="HSG5077" s="917" t="s">
        <v>78</v>
      </c>
      <c r="HSH5077" s="917"/>
      <c r="HSI5077" s="917"/>
      <c r="HSJ5077" s="917"/>
      <c r="HSK5077" s="917"/>
      <c r="HSL5077" s="917"/>
      <c r="HSM5077" s="917"/>
      <c r="HSN5077" s="917"/>
      <c r="HSO5077" s="917"/>
      <c r="HSP5077" s="917"/>
      <c r="HSQ5077" s="917"/>
      <c r="HSR5077" s="917"/>
      <c r="HSS5077" s="917"/>
      <c r="HST5077" s="917"/>
      <c r="HSU5077" s="917"/>
      <c r="HSV5077" s="917"/>
      <c r="HSW5077" s="917"/>
      <c r="HSX5077" s="917"/>
      <c r="HSY5077" s="917"/>
      <c r="HSZ5077" s="917"/>
      <c r="HTA5077" s="917"/>
      <c r="HTB5077" s="917"/>
      <c r="HTC5077" s="917"/>
      <c r="HTD5077" s="917"/>
      <c r="HTE5077" s="917"/>
      <c r="HTF5077" s="917"/>
      <c r="HTG5077" s="917"/>
      <c r="HTH5077" s="917"/>
      <c r="HTI5077" s="917"/>
      <c r="HTJ5077" s="917"/>
      <c r="HTK5077" s="917"/>
      <c r="HTL5077" s="917"/>
      <c r="HTM5077" s="917" t="s">
        <v>78</v>
      </c>
      <c r="HTN5077" s="917"/>
      <c r="HTO5077" s="917"/>
      <c r="HTP5077" s="917"/>
      <c r="HTQ5077" s="917"/>
      <c r="HTR5077" s="917"/>
      <c r="HTS5077" s="917"/>
      <c r="HTT5077" s="917"/>
      <c r="HTU5077" s="917"/>
      <c r="HTV5077" s="917"/>
      <c r="HTW5077" s="917"/>
      <c r="HTX5077" s="917"/>
      <c r="HTY5077" s="917"/>
      <c r="HTZ5077" s="917"/>
      <c r="HUA5077" s="917"/>
      <c r="HUB5077" s="917"/>
      <c r="HUC5077" s="917"/>
      <c r="HUD5077" s="917"/>
      <c r="HUE5077" s="917"/>
      <c r="HUF5077" s="917"/>
      <c r="HUG5077" s="917"/>
      <c r="HUH5077" s="917"/>
      <c r="HUI5077" s="917"/>
      <c r="HUJ5077" s="917"/>
      <c r="HUK5077" s="917"/>
      <c r="HUL5077" s="917"/>
      <c r="HUM5077" s="917"/>
      <c r="HUN5077" s="917"/>
      <c r="HUO5077" s="917"/>
      <c r="HUP5077" s="917"/>
      <c r="HUQ5077" s="917"/>
      <c r="HUR5077" s="917"/>
      <c r="HUS5077" s="917" t="s">
        <v>78</v>
      </c>
      <c r="HUT5077" s="917"/>
      <c r="HUU5077" s="917"/>
      <c r="HUV5077" s="917"/>
      <c r="HUW5077" s="917"/>
      <c r="HUX5077" s="917"/>
      <c r="HUY5077" s="917"/>
      <c r="HUZ5077" s="917"/>
      <c r="HVA5077" s="917"/>
      <c r="HVB5077" s="917"/>
      <c r="HVC5077" s="917"/>
      <c r="HVD5077" s="917"/>
      <c r="HVE5077" s="917"/>
      <c r="HVF5077" s="917"/>
      <c r="HVG5077" s="917"/>
      <c r="HVH5077" s="917"/>
      <c r="HVI5077" s="917"/>
      <c r="HVJ5077" s="917"/>
      <c r="HVK5077" s="917"/>
      <c r="HVL5077" s="917"/>
      <c r="HVM5077" s="917"/>
      <c r="HVN5077" s="917"/>
      <c r="HVO5077" s="917"/>
      <c r="HVP5077" s="917"/>
      <c r="HVQ5077" s="917"/>
      <c r="HVR5077" s="917"/>
      <c r="HVS5077" s="917"/>
      <c r="HVT5077" s="917"/>
      <c r="HVU5077" s="917"/>
      <c r="HVV5077" s="917"/>
      <c r="HVW5077" s="917"/>
      <c r="HVX5077" s="917"/>
      <c r="HVY5077" s="917" t="s">
        <v>78</v>
      </c>
      <c r="HVZ5077" s="917"/>
      <c r="HWA5077" s="917"/>
      <c r="HWB5077" s="917"/>
      <c r="HWC5077" s="917"/>
      <c r="HWD5077" s="917"/>
      <c r="HWE5077" s="917"/>
      <c r="HWF5077" s="917"/>
      <c r="HWG5077" s="917"/>
      <c r="HWH5077" s="917"/>
      <c r="HWI5077" s="917"/>
      <c r="HWJ5077" s="917"/>
      <c r="HWK5077" s="917"/>
      <c r="HWL5077" s="917"/>
      <c r="HWM5077" s="917"/>
      <c r="HWN5077" s="917"/>
      <c r="HWO5077" s="917"/>
      <c r="HWP5077" s="917"/>
      <c r="HWQ5077" s="917"/>
      <c r="HWR5077" s="917"/>
      <c r="HWS5077" s="917"/>
      <c r="HWT5077" s="917"/>
      <c r="HWU5077" s="917"/>
      <c r="HWV5077" s="917"/>
      <c r="HWW5077" s="917"/>
      <c r="HWX5077" s="917"/>
      <c r="HWY5077" s="917"/>
      <c r="HWZ5077" s="917"/>
      <c r="HXA5077" s="917"/>
      <c r="HXB5077" s="917"/>
      <c r="HXC5077" s="917"/>
      <c r="HXD5077" s="917"/>
      <c r="HXE5077" s="917" t="s">
        <v>78</v>
      </c>
      <c r="HXF5077" s="917"/>
      <c r="HXG5077" s="917"/>
      <c r="HXH5077" s="917"/>
      <c r="HXI5077" s="917"/>
      <c r="HXJ5077" s="917"/>
      <c r="HXK5077" s="917"/>
      <c r="HXL5077" s="917"/>
      <c r="HXM5077" s="917"/>
      <c r="HXN5077" s="917"/>
      <c r="HXO5077" s="917"/>
      <c r="HXP5077" s="917"/>
      <c r="HXQ5077" s="917"/>
      <c r="HXR5077" s="917"/>
      <c r="HXS5077" s="917"/>
      <c r="HXT5077" s="917"/>
      <c r="HXU5077" s="917"/>
      <c r="HXV5077" s="917"/>
      <c r="HXW5077" s="917"/>
      <c r="HXX5077" s="917"/>
      <c r="HXY5077" s="917"/>
      <c r="HXZ5077" s="917"/>
      <c r="HYA5077" s="917"/>
      <c r="HYB5077" s="917"/>
      <c r="HYC5077" s="917"/>
      <c r="HYD5077" s="917"/>
      <c r="HYE5077" s="917"/>
      <c r="HYF5077" s="917"/>
      <c r="HYG5077" s="917"/>
      <c r="HYH5077" s="917"/>
      <c r="HYI5077" s="917"/>
      <c r="HYJ5077" s="917"/>
      <c r="HYK5077" s="917" t="s">
        <v>78</v>
      </c>
      <c r="HYL5077" s="917"/>
      <c r="HYM5077" s="917"/>
      <c r="HYN5077" s="917"/>
      <c r="HYO5077" s="917"/>
      <c r="HYP5077" s="917"/>
      <c r="HYQ5077" s="917"/>
      <c r="HYR5077" s="917"/>
      <c r="HYS5077" s="917"/>
      <c r="HYT5077" s="917"/>
      <c r="HYU5077" s="917"/>
      <c r="HYV5077" s="917"/>
      <c r="HYW5077" s="917"/>
      <c r="HYX5077" s="917"/>
      <c r="HYY5077" s="917"/>
      <c r="HYZ5077" s="917"/>
      <c r="HZA5077" s="917"/>
      <c r="HZB5077" s="917"/>
      <c r="HZC5077" s="917"/>
      <c r="HZD5077" s="917"/>
      <c r="HZE5077" s="917"/>
      <c r="HZF5077" s="917"/>
      <c r="HZG5077" s="917"/>
      <c r="HZH5077" s="917"/>
      <c r="HZI5077" s="917"/>
      <c r="HZJ5077" s="917"/>
      <c r="HZK5077" s="917"/>
      <c r="HZL5077" s="917"/>
      <c r="HZM5077" s="917"/>
      <c r="HZN5077" s="917"/>
      <c r="HZO5077" s="917"/>
      <c r="HZP5077" s="917"/>
      <c r="HZQ5077" s="917" t="s">
        <v>78</v>
      </c>
      <c r="HZR5077" s="917"/>
      <c r="HZS5077" s="917"/>
      <c r="HZT5077" s="917"/>
      <c r="HZU5077" s="917"/>
      <c r="HZV5077" s="917"/>
      <c r="HZW5077" s="917"/>
      <c r="HZX5077" s="917"/>
      <c r="HZY5077" s="917"/>
      <c r="HZZ5077" s="917"/>
      <c r="IAA5077" s="917"/>
      <c r="IAB5077" s="917"/>
      <c r="IAC5077" s="917"/>
      <c r="IAD5077" s="917"/>
      <c r="IAE5077" s="917"/>
      <c r="IAF5077" s="917"/>
      <c r="IAG5077" s="917"/>
      <c r="IAH5077" s="917"/>
      <c r="IAI5077" s="917"/>
      <c r="IAJ5077" s="917"/>
      <c r="IAK5077" s="917"/>
      <c r="IAL5077" s="917"/>
      <c r="IAM5077" s="917"/>
      <c r="IAN5077" s="917"/>
      <c r="IAO5077" s="917"/>
      <c r="IAP5077" s="917"/>
      <c r="IAQ5077" s="917"/>
      <c r="IAR5077" s="917"/>
      <c r="IAS5077" s="917"/>
      <c r="IAT5077" s="917"/>
      <c r="IAU5077" s="917"/>
      <c r="IAV5077" s="917"/>
      <c r="IAW5077" s="917" t="s">
        <v>78</v>
      </c>
      <c r="IAX5077" s="917"/>
      <c r="IAY5077" s="917"/>
      <c r="IAZ5077" s="917"/>
      <c r="IBA5077" s="917"/>
      <c r="IBB5077" s="917"/>
      <c r="IBC5077" s="917"/>
      <c r="IBD5077" s="917"/>
      <c r="IBE5077" s="917"/>
      <c r="IBF5077" s="917"/>
      <c r="IBG5077" s="917"/>
      <c r="IBH5077" s="917"/>
      <c r="IBI5077" s="917"/>
      <c r="IBJ5077" s="917"/>
      <c r="IBK5077" s="917"/>
      <c r="IBL5077" s="917"/>
      <c r="IBM5077" s="917"/>
      <c r="IBN5077" s="917"/>
      <c r="IBO5077" s="917"/>
      <c r="IBP5077" s="917"/>
      <c r="IBQ5077" s="917"/>
      <c r="IBR5077" s="917"/>
      <c r="IBS5077" s="917"/>
      <c r="IBT5077" s="917"/>
      <c r="IBU5077" s="917"/>
      <c r="IBV5077" s="917"/>
      <c r="IBW5077" s="917"/>
      <c r="IBX5077" s="917"/>
      <c r="IBY5077" s="917"/>
      <c r="IBZ5077" s="917"/>
      <c r="ICA5077" s="917"/>
      <c r="ICB5077" s="917"/>
      <c r="ICC5077" s="917" t="s">
        <v>78</v>
      </c>
      <c r="ICD5077" s="917"/>
      <c r="ICE5077" s="917"/>
      <c r="ICF5077" s="917"/>
      <c r="ICG5077" s="917"/>
      <c r="ICH5077" s="917"/>
      <c r="ICI5077" s="917"/>
      <c r="ICJ5077" s="917"/>
      <c r="ICK5077" s="917"/>
      <c r="ICL5077" s="917"/>
      <c r="ICM5077" s="917"/>
      <c r="ICN5077" s="917"/>
      <c r="ICO5077" s="917"/>
      <c r="ICP5077" s="917"/>
      <c r="ICQ5077" s="917"/>
      <c r="ICR5077" s="917"/>
      <c r="ICS5077" s="917"/>
      <c r="ICT5077" s="917"/>
      <c r="ICU5077" s="917"/>
      <c r="ICV5077" s="917"/>
      <c r="ICW5077" s="917"/>
      <c r="ICX5077" s="917"/>
      <c r="ICY5077" s="917"/>
      <c r="ICZ5077" s="917"/>
      <c r="IDA5077" s="917"/>
      <c r="IDB5077" s="917"/>
      <c r="IDC5077" s="917"/>
      <c r="IDD5077" s="917"/>
      <c r="IDE5077" s="917"/>
      <c r="IDF5077" s="917"/>
      <c r="IDG5077" s="917"/>
      <c r="IDH5077" s="917"/>
      <c r="IDI5077" s="917" t="s">
        <v>78</v>
      </c>
      <c r="IDJ5077" s="917"/>
      <c r="IDK5077" s="917"/>
      <c r="IDL5077" s="917"/>
      <c r="IDM5077" s="917"/>
      <c r="IDN5077" s="917"/>
      <c r="IDO5077" s="917"/>
      <c r="IDP5077" s="917"/>
      <c r="IDQ5077" s="917"/>
      <c r="IDR5077" s="917"/>
      <c r="IDS5077" s="917"/>
      <c r="IDT5077" s="917"/>
      <c r="IDU5077" s="917"/>
      <c r="IDV5077" s="917"/>
      <c r="IDW5077" s="917"/>
      <c r="IDX5077" s="917"/>
      <c r="IDY5077" s="917"/>
      <c r="IDZ5077" s="917"/>
      <c r="IEA5077" s="917"/>
      <c r="IEB5077" s="917"/>
      <c r="IEC5077" s="917"/>
      <c r="IED5077" s="917"/>
      <c r="IEE5077" s="917"/>
      <c r="IEF5077" s="917"/>
      <c r="IEG5077" s="917"/>
      <c r="IEH5077" s="917"/>
      <c r="IEI5077" s="917"/>
      <c r="IEJ5077" s="917"/>
      <c r="IEK5077" s="917"/>
      <c r="IEL5077" s="917"/>
      <c r="IEM5077" s="917"/>
      <c r="IEN5077" s="917"/>
      <c r="IEO5077" s="917" t="s">
        <v>78</v>
      </c>
      <c r="IEP5077" s="917"/>
      <c r="IEQ5077" s="917"/>
      <c r="IER5077" s="917"/>
      <c r="IES5077" s="917"/>
      <c r="IET5077" s="917"/>
      <c r="IEU5077" s="917"/>
      <c r="IEV5077" s="917"/>
      <c r="IEW5077" s="917"/>
      <c r="IEX5077" s="917"/>
      <c r="IEY5077" s="917"/>
      <c r="IEZ5077" s="917"/>
      <c r="IFA5077" s="917"/>
      <c r="IFB5077" s="917"/>
      <c r="IFC5077" s="917"/>
      <c r="IFD5077" s="917"/>
      <c r="IFE5077" s="917"/>
      <c r="IFF5077" s="917"/>
      <c r="IFG5077" s="917"/>
      <c r="IFH5077" s="917"/>
      <c r="IFI5077" s="917"/>
      <c r="IFJ5077" s="917"/>
      <c r="IFK5077" s="917"/>
      <c r="IFL5077" s="917"/>
      <c r="IFM5077" s="917"/>
      <c r="IFN5077" s="917"/>
      <c r="IFO5077" s="917"/>
      <c r="IFP5077" s="917"/>
      <c r="IFQ5077" s="917"/>
      <c r="IFR5077" s="917"/>
      <c r="IFS5077" s="917"/>
      <c r="IFT5077" s="917"/>
      <c r="IFU5077" s="917" t="s">
        <v>78</v>
      </c>
      <c r="IFV5077" s="917"/>
      <c r="IFW5077" s="917"/>
      <c r="IFX5077" s="917"/>
      <c r="IFY5077" s="917"/>
      <c r="IFZ5077" s="917"/>
      <c r="IGA5077" s="917"/>
      <c r="IGB5077" s="917"/>
      <c r="IGC5077" s="917"/>
      <c r="IGD5077" s="917"/>
      <c r="IGE5077" s="917"/>
      <c r="IGF5077" s="917"/>
      <c r="IGG5077" s="917"/>
      <c r="IGH5077" s="917"/>
      <c r="IGI5077" s="917"/>
      <c r="IGJ5077" s="917"/>
      <c r="IGK5077" s="917"/>
      <c r="IGL5077" s="917"/>
      <c r="IGM5077" s="917"/>
      <c r="IGN5077" s="917"/>
      <c r="IGO5077" s="917"/>
      <c r="IGP5077" s="917"/>
      <c r="IGQ5077" s="917"/>
      <c r="IGR5077" s="917"/>
      <c r="IGS5077" s="917"/>
      <c r="IGT5077" s="917"/>
      <c r="IGU5077" s="917"/>
      <c r="IGV5077" s="917"/>
      <c r="IGW5077" s="917"/>
      <c r="IGX5077" s="917"/>
      <c r="IGY5077" s="917"/>
      <c r="IGZ5077" s="917"/>
      <c r="IHA5077" s="917" t="s">
        <v>78</v>
      </c>
      <c r="IHB5077" s="917"/>
      <c r="IHC5077" s="917"/>
      <c r="IHD5077" s="917"/>
      <c r="IHE5077" s="917"/>
      <c r="IHF5077" s="917"/>
      <c r="IHG5077" s="917"/>
      <c r="IHH5077" s="917"/>
      <c r="IHI5077" s="917"/>
      <c r="IHJ5077" s="917"/>
      <c r="IHK5077" s="917"/>
      <c r="IHL5077" s="917"/>
      <c r="IHM5077" s="917"/>
      <c r="IHN5077" s="917"/>
      <c r="IHO5077" s="917"/>
      <c r="IHP5077" s="917"/>
      <c r="IHQ5077" s="917"/>
      <c r="IHR5077" s="917"/>
      <c r="IHS5077" s="917"/>
      <c r="IHT5077" s="917"/>
      <c r="IHU5077" s="917"/>
      <c r="IHV5077" s="917"/>
      <c r="IHW5077" s="917"/>
      <c r="IHX5077" s="917"/>
      <c r="IHY5077" s="917"/>
      <c r="IHZ5077" s="917"/>
      <c r="IIA5077" s="917"/>
      <c r="IIB5077" s="917"/>
      <c r="IIC5077" s="917"/>
      <c r="IID5077" s="917"/>
      <c r="IIE5077" s="917"/>
      <c r="IIF5077" s="917"/>
      <c r="IIG5077" s="917" t="s">
        <v>78</v>
      </c>
      <c r="IIH5077" s="917"/>
      <c r="III5077" s="917"/>
      <c r="IIJ5077" s="917"/>
      <c r="IIK5077" s="917"/>
      <c r="IIL5077" s="917"/>
      <c r="IIM5077" s="917"/>
      <c r="IIN5077" s="917"/>
      <c r="IIO5077" s="917"/>
      <c r="IIP5077" s="917"/>
      <c r="IIQ5077" s="917"/>
      <c r="IIR5077" s="917"/>
      <c r="IIS5077" s="917"/>
      <c r="IIT5077" s="917"/>
      <c r="IIU5077" s="917"/>
      <c r="IIV5077" s="917"/>
      <c r="IIW5077" s="917"/>
      <c r="IIX5077" s="917"/>
      <c r="IIY5077" s="917"/>
      <c r="IIZ5077" s="917"/>
      <c r="IJA5077" s="917"/>
      <c r="IJB5077" s="917"/>
      <c r="IJC5077" s="917"/>
      <c r="IJD5077" s="917"/>
      <c r="IJE5077" s="917"/>
      <c r="IJF5077" s="917"/>
      <c r="IJG5077" s="917"/>
      <c r="IJH5077" s="917"/>
      <c r="IJI5077" s="917"/>
      <c r="IJJ5077" s="917"/>
      <c r="IJK5077" s="917"/>
      <c r="IJL5077" s="917"/>
      <c r="IJM5077" s="917" t="s">
        <v>78</v>
      </c>
      <c r="IJN5077" s="917"/>
      <c r="IJO5077" s="917"/>
      <c r="IJP5077" s="917"/>
      <c r="IJQ5077" s="917"/>
      <c r="IJR5077" s="917"/>
      <c r="IJS5077" s="917"/>
      <c r="IJT5077" s="917"/>
      <c r="IJU5077" s="917"/>
      <c r="IJV5077" s="917"/>
      <c r="IJW5077" s="917"/>
      <c r="IJX5077" s="917"/>
      <c r="IJY5077" s="917"/>
      <c r="IJZ5077" s="917"/>
      <c r="IKA5077" s="917"/>
      <c r="IKB5077" s="917"/>
      <c r="IKC5077" s="917"/>
      <c r="IKD5077" s="917"/>
      <c r="IKE5077" s="917"/>
      <c r="IKF5077" s="917"/>
      <c r="IKG5077" s="917"/>
      <c r="IKH5077" s="917"/>
      <c r="IKI5077" s="917"/>
      <c r="IKJ5077" s="917"/>
      <c r="IKK5077" s="917"/>
      <c r="IKL5077" s="917"/>
      <c r="IKM5077" s="917"/>
      <c r="IKN5077" s="917"/>
      <c r="IKO5077" s="917"/>
      <c r="IKP5077" s="917"/>
      <c r="IKQ5077" s="917"/>
      <c r="IKR5077" s="917"/>
      <c r="IKS5077" s="917" t="s">
        <v>78</v>
      </c>
      <c r="IKT5077" s="917"/>
      <c r="IKU5077" s="917"/>
      <c r="IKV5077" s="917"/>
      <c r="IKW5077" s="917"/>
      <c r="IKX5077" s="917"/>
      <c r="IKY5077" s="917"/>
      <c r="IKZ5077" s="917"/>
      <c r="ILA5077" s="917"/>
      <c r="ILB5077" s="917"/>
      <c r="ILC5077" s="917"/>
      <c r="ILD5077" s="917"/>
      <c r="ILE5077" s="917"/>
      <c r="ILF5077" s="917"/>
      <c r="ILG5077" s="917"/>
      <c r="ILH5077" s="917"/>
      <c r="ILI5077" s="917"/>
      <c r="ILJ5077" s="917"/>
      <c r="ILK5077" s="917"/>
      <c r="ILL5077" s="917"/>
      <c r="ILM5077" s="917"/>
      <c r="ILN5077" s="917"/>
      <c r="ILO5077" s="917"/>
      <c r="ILP5077" s="917"/>
      <c r="ILQ5077" s="917"/>
      <c r="ILR5077" s="917"/>
      <c r="ILS5077" s="917"/>
      <c r="ILT5077" s="917"/>
      <c r="ILU5077" s="917"/>
      <c r="ILV5077" s="917"/>
      <c r="ILW5077" s="917"/>
      <c r="ILX5077" s="917"/>
      <c r="ILY5077" s="917" t="s">
        <v>78</v>
      </c>
      <c r="ILZ5077" s="917"/>
      <c r="IMA5077" s="917"/>
      <c r="IMB5077" s="917"/>
      <c r="IMC5077" s="917"/>
      <c r="IMD5077" s="917"/>
      <c r="IME5077" s="917"/>
      <c r="IMF5077" s="917"/>
      <c r="IMG5077" s="917"/>
      <c r="IMH5077" s="917"/>
      <c r="IMI5077" s="917"/>
      <c r="IMJ5077" s="917"/>
      <c r="IMK5077" s="917"/>
      <c r="IML5077" s="917"/>
      <c r="IMM5077" s="917"/>
      <c r="IMN5077" s="917"/>
      <c r="IMO5077" s="917"/>
      <c r="IMP5077" s="917"/>
      <c r="IMQ5077" s="917"/>
      <c r="IMR5077" s="917"/>
      <c r="IMS5077" s="917"/>
      <c r="IMT5077" s="917"/>
      <c r="IMU5077" s="917"/>
      <c r="IMV5077" s="917"/>
      <c r="IMW5077" s="917"/>
      <c r="IMX5077" s="917"/>
      <c r="IMY5077" s="917"/>
      <c r="IMZ5077" s="917"/>
      <c r="INA5077" s="917"/>
      <c r="INB5077" s="917"/>
      <c r="INC5077" s="917"/>
      <c r="IND5077" s="917"/>
      <c r="INE5077" s="917" t="s">
        <v>78</v>
      </c>
      <c r="INF5077" s="917"/>
      <c r="ING5077" s="917"/>
      <c r="INH5077" s="917"/>
      <c r="INI5077" s="917"/>
      <c r="INJ5077" s="917"/>
      <c r="INK5077" s="917"/>
      <c r="INL5077" s="917"/>
      <c r="INM5077" s="917"/>
      <c r="INN5077" s="917"/>
      <c r="INO5077" s="917"/>
      <c r="INP5077" s="917"/>
      <c r="INQ5077" s="917"/>
      <c r="INR5077" s="917"/>
      <c r="INS5077" s="917"/>
      <c r="INT5077" s="917"/>
      <c r="INU5077" s="917"/>
      <c r="INV5077" s="917"/>
      <c r="INW5077" s="917"/>
      <c r="INX5077" s="917"/>
      <c r="INY5077" s="917"/>
      <c r="INZ5077" s="917"/>
      <c r="IOA5077" s="917"/>
      <c r="IOB5077" s="917"/>
      <c r="IOC5077" s="917"/>
      <c r="IOD5077" s="917"/>
      <c r="IOE5077" s="917"/>
      <c r="IOF5077" s="917"/>
      <c r="IOG5077" s="917"/>
      <c r="IOH5077" s="917"/>
      <c r="IOI5077" s="917"/>
      <c r="IOJ5077" s="917"/>
      <c r="IOK5077" s="917" t="s">
        <v>78</v>
      </c>
      <c r="IOL5077" s="917"/>
      <c r="IOM5077" s="917"/>
      <c r="ION5077" s="917"/>
      <c r="IOO5077" s="917"/>
      <c r="IOP5077" s="917"/>
      <c r="IOQ5077" s="917"/>
      <c r="IOR5077" s="917"/>
      <c r="IOS5077" s="917"/>
      <c r="IOT5077" s="917"/>
      <c r="IOU5077" s="917"/>
      <c r="IOV5077" s="917"/>
      <c r="IOW5077" s="917"/>
      <c r="IOX5077" s="917"/>
      <c r="IOY5077" s="917"/>
      <c r="IOZ5077" s="917"/>
      <c r="IPA5077" s="917"/>
      <c r="IPB5077" s="917"/>
      <c r="IPC5077" s="917"/>
      <c r="IPD5077" s="917"/>
      <c r="IPE5077" s="917"/>
      <c r="IPF5077" s="917"/>
      <c r="IPG5077" s="917"/>
      <c r="IPH5077" s="917"/>
      <c r="IPI5077" s="917"/>
      <c r="IPJ5077" s="917"/>
      <c r="IPK5077" s="917"/>
      <c r="IPL5077" s="917"/>
      <c r="IPM5077" s="917"/>
      <c r="IPN5077" s="917"/>
      <c r="IPO5077" s="917"/>
      <c r="IPP5077" s="917"/>
      <c r="IPQ5077" s="917" t="s">
        <v>78</v>
      </c>
      <c r="IPR5077" s="917"/>
      <c r="IPS5077" s="917"/>
      <c r="IPT5077" s="917"/>
      <c r="IPU5077" s="917"/>
      <c r="IPV5077" s="917"/>
      <c r="IPW5077" s="917"/>
      <c r="IPX5077" s="917"/>
      <c r="IPY5077" s="917"/>
      <c r="IPZ5077" s="917"/>
      <c r="IQA5077" s="917"/>
      <c r="IQB5077" s="917"/>
      <c r="IQC5077" s="917"/>
      <c r="IQD5077" s="917"/>
      <c r="IQE5077" s="917"/>
      <c r="IQF5077" s="917"/>
      <c r="IQG5077" s="917"/>
      <c r="IQH5077" s="917"/>
      <c r="IQI5077" s="917"/>
      <c r="IQJ5077" s="917"/>
      <c r="IQK5077" s="917"/>
      <c r="IQL5077" s="917"/>
      <c r="IQM5077" s="917"/>
      <c r="IQN5077" s="917"/>
      <c r="IQO5077" s="917"/>
      <c r="IQP5077" s="917"/>
      <c r="IQQ5077" s="917"/>
      <c r="IQR5077" s="917"/>
      <c r="IQS5077" s="917"/>
      <c r="IQT5077" s="917"/>
      <c r="IQU5077" s="917"/>
      <c r="IQV5077" s="917"/>
      <c r="IQW5077" s="917" t="s">
        <v>78</v>
      </c>
      <c r="IQX5077" s="917"/>
      <c r="IQY5077" s="917"/>
      <c r="IQZ5077" s="917"/>
      <c r="IRA5077" s="917"/>
      <c r="IRB5077" s="917"/>
      <c r="IRC5077" s="917"/>
      <c r="IRD5077" s="917"/>
      <c r="IRE5077" s="917"/>
      <c r="IRF5077" s="917"/>
      <c r="IRG5077" s="917"/>
      <c r="IRH5077" s="917"/>
      <c r="IRI5077" s="917"/>
      <c r="IRJ5077" s="917"/>
      <c r="IRK5077" s="917"/>
      <c r="IRL5077" s="917"/>
      <c r="IRM5077" s="917"/>
      <c r="IRN5077" s="917"/>
      <c r="IRO5077" s="917"/>
      <c r="IRP5077" s="917"/>
      <c r="IRQ5077" s="917"/>
      <c r="IRR5077" s="917"/>
      <c r="IRS5077" s="917"/>
      <c r="IRT5077" s="917"/>
      <c r="IRU5077" s="917"/>
      <c r="IRV5077" s="917"/>
      <c r="IRW5077" s="917"/>
      <c r="IRX5077" s="917"/>
      <c r="IRY5077" s="917"/>
      <c r="IRZ5077" s="917"/>
      <c r="ISA5077" s="917"/>
      <c r="ISB5077" s="917"/>
      <c r="ISC5077" s="917" t="s">
        <v>78</v>
      </c>
      <c r="ISD5077" s="917"/>
      <c r="ISE5077" s="917"/>
      <c r="ISF5077" s="917"/>
      <c r="ISG5077" s="917"/>
      <c r="ISH5077" s="917"/>
      <c r="ISI5077" s="917"/>
      <c r="ISJ5077" s="917"/>
      <c r="ISK5077" s="917"/>
      <c r="ISL5077" s="917"/>
      <c r="ISM5077" s="917"/>
      <c r="ISN5077" s="917"/>
      <c r="ISO5077" s="917"/>
      <c r="ISP5077" s="917"/>
      <c r="ISQ5077" s="917"/>
      <c r="ISR5077" s="917"/>
      <c r="ISS5077" s="917"/>
      <c r="IST5077" s="917"/>
      <c r="ISU5077" s="917"/>
      <c r="ISV5077" s="917"/>
      <c r="ISW5077" s="917"/>
      <c r="ISX5077" s="917"/>
      <c r="ISY5077" s="917"/>
      <c r="ISZ5077" s="917"/>
      <c r="ITA5077" s="917"/>
      <c r="ITB5077" s="917"/>
      <c r="ITC5077" s="917"/>
      <c r="ITD5077" s="917"/>
      <c r="ITE5077" s="917"/>
      <c r="ITF5077" s="917"/>
      <c r="ITG5077" s="917"/>
      <c r="ITH5077" s="917"/>
      <c r="ITI5077" s="917" t="s">
        <v>78</v>
      </c>
      <c r="ITJ5077" s="917"/>
      <c r="ITK5077" s="917"/>
      <c r="ITL5077" s="917"/>
      <c r="ITM5077" s="917"/>
      <c r="ITN5077" s="917"/>
      <c r="ITO5077" s="917"/>
      <c r="ITP5077" s="917"/>
      <c r="ITQ5077" s="917"/>
      <c r="ITR5077" s="917"/>
      <c r="ITS5077" s="917"/>
      <c r="ITT5077" s="917"/>
      <c r="ITU5077" s="917"/>
      <c r="ITV5077" s="917"/>
      <c r="ITW5077" s="917"/>
      <c r="ITX5077" s="917"/>
      <c r="ITY5077" s="917"/>
      <c r="ITZ5077" s="917"/>
      <c r="IUA5077" s="917"/>
      <c r="IUB5077" s="917"/>
      <c r="IUC5077" s="917"/>
      <c r="IUD5077" s="917"/>
      <c r="IUE5077" s="917"/>
      <c r="IUF5077" s="917"/>
      <c r="IUG5077" s="917"/>
      <c r="IUH5077" s="917"/>
      <c r="IUI5077" s="917"/>
      <c r="IUJ5077" s="917"/>
      <c r="IUK5077" s="917"/>
      <c r="IUL5077" s="917"/>
      <c r="IUM5077" s="917"/>
      <c r="IUN5077" s="917"/>
      <c r="IUO5077" s="917" t="s">
        <v>78</v>
      </c>
      <c r="IUP5077" s="917"/>
      <c r="IUQ5077" s="917"/>
      <c r="IUR5077" s="917"/>
      <c r="IUS5077" s="917"/>
      <c r="IUT5077" s="917"/>
      <c r="IUU5077" s="917"/>
      <c r="IUV5077" s="917"/>
      <c r="IUW5077" s="917"/>
      <c r="IUX5077" s="917"/>
      <c r="IUY5077" s="917"/>
      <c r="IUZ5077" s="917"/>
      <c r="IVA5077" s="917"/>
      <c r="IVB5077" s="917"/>
      <c r="IVC5077" s="917"/>
      <c r="IVD5077" s="917"/>
      <c r="IVE5077" s="917"/>
      <c r="IVF5077" s="917"/>
      <c r="IVG5077" s="917"/>
      <c r="IVH5077" s="917"/>
      <c r="IVI5077" s="917"/>
      <c r="IVJ5077" s="917"/>
      <c r="IVK5077" s="917"/>
      <c r="IVL5077" s="917"/>
      <c r="IVM5077" s="917"/>
      <c r="IVN5077" s="917"/>
      <c r="IVO5077" s="917"/>
      <c r="IVP5077" s="917"/>
      <c r="IVQ5077" s="917"/>
      <c r="IVR5077" s="917"/>
      <c r="IVS5077" s="917"/>
      <c r="IVT5077" s="917"/>
      <c r="IVU5077" s="917" t="s">
        <v>78</v>
      </c>
      <c r="IVV5077" s="917"/>
      <c r="IVW5077" s="917"/>
      <c r="IVX5077" s="917"/>
      <c r="IVY5077" s="917"/>
      <c r="IVZ5077" s="917"/>
      <c r="IWA5077" s="917"/>
      <c r="IWB5077" s="917"/>
      <c r="IWC5077" s="917"/>
      <c r="IWD5077" s="917"/>
      <c r="IWE5077" s="917"/>
      <c r="IWF5077" s="917"/>
      <c r="IWG5077" s="917"/>
      <c r="IWH5077" s="917"/>
      <c r="IWI5077" s="917"/>
      <c r="IWJ5077" s="917"/>
      <c r="IWK5077" s="917"/>
      <c r="IWL5077" s="917"/>
      <c r="IWM5077" s="917"/>
      <c r="IWN5077" s="917"/>
      <c r="IWO5077" s="917"/>
      <c r="IWP5077" s="917"/>
      <c r="IWQ5077" s="917"/>
      <c r="IWR5077" s="917"/>
      <c r="IWS5077" s="917"/>
      <c r="IWT5077" s="917"/>
      <c r="IWU5077" s="917"/>
      <c r="IWV5077" s="917"/>
      <c r="IWW5077" s="917"/>
      <c r="IWX5077" s="917"/>
      <c r="IWY5077" s="917"/>
      <c r="IWZ5077" s="917"/>
      <c r="IXA5077" s="917" t="s">
        <v>78</v>
      </c>
      <c r="IXB5077" s="917"/>
      <c r="IXC5077" s="917"/>
      <c r="IXD5077" s="917"/>
      <c r="IXE5077" s="917"/>
      <c r="IXF5077" s="917"/>
      <c r="IXG5077" s="917"/>
      <c r="IXH5077" s="917"/>
      <c r="IXI5077" s="917"/>
      <c r="IXJ5077" s="917"/>
      <c r="IXK5077" s="917"/>
      <c r="IXL5077" s="917"/>
      <c r="IXM5077" s="917"/>
      <c r="IXN5077" s="917"/>
      <c r="IXO5077" s="917"/>
      <c r="IXP5077" s="917"/>
      <c r="IXQ5077" s="917"/>
      <c r="IXR5077" s="917"/>
      <c r="IXS5077" s="917"/>
      <c r="IXT5077" s="917"/>
      <c r="IXU5077" s="917"/>
      <c r="IXV5077" s="917"/>
      <c r="IXW5077" s="917"/>
      <c r="IXX5077" s="917"/>
      <c r="IXY5077" s="917"/>
      <c r="IXZ5077" s="917"/>
      <c r="IYA5077" s="917"/>
      <c r="IYB5077" s="917"/>
      <c r="IYC5077" s="917"/>
      <c r="IYD5077" s="917"/>
      <c r="IYE5077" s="917"/>
      <c r="IYF5077" s="917"/>
      <c r="IYG5077" s="917" t="s">
        <v>78</v>
      </c>
      <c r="IYH5077" s="917"/>
      <c r="IYI5077" s="917"/>
      <c r="IYJ5077" s="917"/>
      <c r="IYK5077" s="917"/>
      <c r="IYL5077" s="917"/>
      <c r="IYM5077" s="917"/>
      <c r="IYN5077" s="917"/>
      <c r="IYO5077" s="917"/>
      <c r="IYP5077" s="917"/>
      <c r="IYQ5077" s="917"/>
      <c r="IYR5077" s="917"/>
      <c r="IYS5077" s="917"/>
      <c r="IYT5077" s="917"/>
      <c r="IYU5077" s="917"/>
      <c r="IYV5077" s="917"/>
      <c r="IYW5077" s="917"/>
      <c r="IYX5077" s="917"/>
      <c r="IYY5077" s="917"/>
      <c r="IYZ5077" s="917"/>
      <c r="IZA5077" s="917"/>
      <c r="IZB5077" s="917"/>
      <c r="IZC5077" s="917"/>
      <c r="IZD5077" s="917"/>
      <c r="IZE5077" s="917"/>
      <c r="IZF5077" s="917"/>
      <c r="IZG5077" s="917"/>
      <c r="IZH5077" s="917"/>
      <c r="IZI5077" s="917"/>
      <c r="IZJ5077" s="917"/>
      <c r="IZK5077" s="917"/>
      <c r="IZL5077" s="917"/>
      <c r="IZM5077" s="917" t="s">
        <v>78</v>
      </c>
      <c r="IZN5077" s="917"/>
      <c r="IZO5077" s="917"/>
      <c r="IZP5077" s="917"/>
      <c r="IZQ5077" s="917"/>
      <c r="IZR5077" s="917"/>
      <c r="IZS5077" s="917"/>
      <c r="IZT5077" s="917"/>
      <c r="IZU5077" s="917"/>
      <c r="IZV5077" s="917"/>
      <c r="IZW5077" s="917"/>
      <c r="IZX5077" s="917"/>
      <c r="IZY5077" s="917"/>
      <c r="IZZ5077" s="917"/>
      <c r="JAA5077" s="917"/>
      <c r="JAB5077" s="917"/>
      <c r="JAC5077" s="917"/>
      <c r="JAD5077" s="917"/>
      <c r="JAE5077" s="917"/>
      <c r="JAF5077" s="917"/>
      <c r="JAG5077" s="917"/>
      <c r="JAH5077" s="917"/>
      <c r="JAI5077" s="917"/>
      <c r="JAJ5077" s="917"/>
      <c r="JAK5077" s="917"/>
      <c r="JAL5077" s="917"/>
      <c r="JAM5077" s="917"/>
      <c r="JAN5077" s="917"/>
      <c r="JAO5077" s="917"/>
      <c r="JAP5077" s="917"/>
      <c r="JAQ5077" s="917"/>
      <c r="JAR5077" s="917"/>
      <c r="JAS5077" s="917" t="s">
        <v>78</v>
      </c>
      <c r="JAT5077" s="917"/>
      <c r="JAU5077" s="917"/>
      <c r="JAV5077" s="917"/>
      <c r="JAW5077" s="917"/>
      <c r="JAX5077" s="917"/>
      <c r="JAY5077" s="917"/>
      <c r="JAZ5077" s="917"/>
      <c r="JBA5077" s="917"/>
      <c r="JBB5077" s="917"/>
      <c r="JBC5077" s="917"/>
      <c r="JBD5077" s="917"/>
      <c r="JBE5077" s="917"/>
      <c r="JBF5077" s="917"/>
      <c r="JBG5077" s="917"/>
      <c r="JBH5077" s="917"/>
      <c r="JBI5077" s="917"/>
      <c r="JBJ5077" s="917"/>
      <c r="JBK5077" s="917"/>
      <c r="JBL5077" s="917"/>
      <c r="JBM5077" s="917"/>
      <c r="JBN5077" s="917"/>
      <c r="JBO5077" s="917"/>
      <c r="JBP5077" s="917"/>
      <c r="JBQ5077" s="917"/>
      <c r="JBR5077" s="917"/>
      <c r="JBS5077" s="917"/>
      <c r="JBT5077" s="917"/>
      <c r="JBU5077" s="917"/>
      <c r="JBV5077" s="917"/>
      <c r="JBW5077" s="917"/>
      <c r="JBX5077" s="917"/>
      <c r="JBY5077" s="917" t="s">
        <v>78</v>
      </c>
      <c r="JBZ5077" s="917"/>
      <c r="JCA5077" s="917"/>
      <c r="JCB5077" s="917"/>
      <c r="JCC5077" s="917"/>
      <c r="JCD5077" s="917"/>
      <c r="JCE5077" s="917"/>
      <c r="JCF5077" s="917"/>
      <c r="JCG5077" s="917"/>
      <c r="JCH5077" s="917"/>
      <c r="JCI5077" s="917"/>
      <c r="JCJ5077" s="917"/>
      <c r="JCK5077" s="917"/>
      <c r="JCL5077" s="917"/>
      <c r="JCM5077" s="917"/>
      <c r="JCN5077" s="917"/>
      <c r="JCO5077" s="917"/>
      <c r="JCP5077" s="917"/>
      <c r="JCQ5077" s="917"/>
      <c r="JCR5077" s="917"/>
      <c r="JCS5077" s="917"/>
      <c r="JCT5077" s="917"/>
      <c r="JCU5077" s="917"/>
      <c r="JCV5077" s="917"/>
      <c r="JCW5077" s="917"/>
      <c r="JCX5077" s="917"/>
      <c r="JCY5077" s="917"/>
      <c r="JCZ5077" s="917"/>
      <c r="JDA5077" s="917"/>
      <c r="JDB5077" s="917"/>
      <c r="JDC5077" s="917"/>
      <c r="JDD5077" s="917"/>
      <c r="JDE5077" s="917" t="s">
        <v>78</v>
      </c>
      <c r="JDF5077" s="917"/>
      <c r="JDG5077" s="917"/>
      <c r="JDH5077" s="917"/>
      <c r="JDI5077" s="917"/>
      <c r="JDJ5077" s="917"/>
      <c r="JDK5077" s="917"/>
      <c r="JDL5077" s="917"/>
      <c r="JDM5077" s="917"/>
      <c r="JDN5077" s="917"/>
      <c r="JDO5077" s="917"/>
      <c r="JDP5077" s="917"/>
      <c r="JDQ5077" s="917"/>
      <c r="JDR5077" s="917"/>
      <c r="JDS5077" s="917"/>
      <c r="JDT5077" s="917"/>
      <c r="JDU5077" s="917"/>
      <c r="JDV5077" s="917"/>
      <c r="JDW5077" s="917"/>
      <c r="JDX5077" s="917"/>
      <c r="JDY5077" s="917"/>
      <c r="JDZ5077" s="917"/>
      <c r="JEA5077" s="917"/>
      <c r="JEB5077" s="917"/>
      <c r="JEC5077" s="917"/>
      <c r="JED5077" s="917"/>
      <c r="JEE5077" s="917"/>
      <c r="JEF5077" s="917"/>
      <c r="JEG5077" s="917"/>
      <c r="JEH5077" s="917"/>
      <c r="JEI5077" s="917"/>
      <c r="JEJ5077" s="917"/>
      <c r="JEK5077" s="917" t="s">
        <v>78</v>
      </c>
      <c r="JEL5077" s="917"/>
      <c r="JEM5077" s="917"/>
      <c r="JEN5077" s="917"/>
      <c r="JEO5077" s="917"/>
      <c r="JEP5077" s="917"/>
      <c r="JEQ5077" s="917"/>
      <c r="JER5077" s="917"/>
      <c r="JES5077" s="917"/>
      <c r="JET5077" s="917"/>
      <c r="JEU5077" s="917"/>
      <c r="JEV5077" s="917"/>
      <c r="JEW5077" s="917"/>
      <c r="JEX5077" s="917"/>
      <c r="JEY5077" s="917"/>
      <c r="JEZ5077" s="917"/>
      <c r="JFA5077" s="917"/>
      <c r="JFB5077" s="917"/>
      <c r="JFC5077" s="917"/>
      <c r="JFD5077" s="917"/>
      <c r="JFE5077" s="917"/>
      <c r="JFF5077" s="917"/>
      <c r="JFG5077" s="917"/>
      <c r="JFH5077" s="917"/>
      <c r="JFI5077" s="917"/>
      <c r="JFJ5077" s="917"/>
      <c r="JFK5077" s="917"/>
      <c r="JFL5077" s="917"/>
      <c r="JFM5077" s="917"/>
      <c r="JFN5077" s="917"/>
      <c r="JFO5077" s="917"/>
      <c r="JFP5077" s="917"/>
      <c r="JFQ5077" s="917" t="s">
        <v>78</v>
      </c>
      <c r="JFR5077" s="917"/>
      <c r="JFS5077" s="917"/>
      <c r="JFT5077" s="917"/>
      <c r="JFU5077" s="917"/>
      <c r="JFV5077" s="917"/>
      <c r="JFW5077" s="917"/>
      <c r="JFX5077" s="917"/>
      <c r="JFY5077" s="917"/>
      <c r="JFZ5077" s="917"/>
      <c r="JGA5077" s="917"/>
      <c r="JGB5077" s="917"/>
      <c r="JGC5077" s="917"/>
      <c r="JGD5077" s="917"/>
      <c r="JGE5077" s="917"/>
      <c r="JGF5077" s="917"/>
      <c r="JGG5077" s="917"/>
      <c r="JGH5077" s="917"/>
      <c r="JGI5077" s="917"/>
      <c r="JGJ5077" s="917"/>
      <c r="JGK5077" s="917"/>
      <c r="JGL5077" s="917"/>
      <c r="JGM5077" s="917"/>
      <c r="JGN5077" s="917"/>
      <c r="JGO5077" s="917"/>
      <c r="JGP5077" s="917"/>
      <c r="JGQ5077" s="917"/>
      <c r="JGR5077" s="917"/>
      <c r="JGS5077" s="917"/>
      <c r="JGT5077" s="917"/>
      <c r="JGU5077" s="917"/>
      <c r="JGV5077" s="917"/>
      <c r="JGW5077" s="917" t="s">
        <v>78</v>
      </c>
      <c r="JGX5077" s="917"/>
      <c r="JGY5077" s="917"/>
      <c r="JGZ5077" s="917"/>
      <c r="JHA5077" s="917"/>
      <c r="JHB5077" s="917"/>
      <c r="JHC5077" s="917"/>
      <c r="JHD5077" s="917"/>
      <c r="JHE5077" s="917"/>
      <c r="JHF5077" s="917"/>
      <c r="JHG5077" s="917"/>
      <c r="JHH5077" s="917"/>
      <c r="JHI5077" s="917"/>
      <c r="JHJ5077" s="917"/>
      <c r="JHK5077" s="917"/>
      <c r="JHL5077" s="917"/>
      <c r="JHM5077" s="917"/>
      <c r="JHN5077" s="917"/>
      <c r="JHO5077" s="917"/>
      <c r="JHP5077" s="917"/>
      <c r="JHQ5077" s="917"/>
      <c r="JHR5077" s="917"/>
      <c r="JHS5077" s="917"/>
      <c r="JHT5077" s="917"/>
      <c r="JHU5077" s="917"/>
      <c r="JHV5077" s="917"/>
      <c r="JHW5077" s="917"/>
      <c r="JHX5077" s="917"/>
      <c r="JHY5077" s="917"/>
      <c r="JHZ5077" s="917"/>
      <c r="JIA5077" s="917"/>
      <c r="JIB5077" s="917"/>
      <c r="JIC5077" s="917" t="s">
        <v>78</v>
      </c>
      <c r="JID5077" s="917"/>
      <c r="JIE5077" s="917"/>
      <c r="JIF5077" s="917"/>
      <c r="JIG5077" s="917"/>
      <c r="JIH5077" s="917"/>
      <c r="JII5077" s="917"/>
      <c r="JIJ5077" s="917"/>
      <c r="JIK5077" s="917"/>
      <c r="JIL5077" s="917"/>
      <c r="JIM5077" s="917"/>
      <c r="JIN5077" s="917"/>
      <c r="JIO5077" s="917"/>
      <c r="JIP5077" s="917"/>
      <c r="JIQ5077" s="917"/>
      <c r="JIR5077" s="917"/>
      <c r="JIS5077" s="917"/>
      <c r="JIT5077" s="917"/>
      <c r="JIU5077" s="917"/>
      <c r="JIV5077" s="917"/>
      <c r="JIW5077" s="917"/>
      <c r="JIX5077" s="917"/>
      <c r="JIY5077" s="917"/>
      <c r="JIZ5077" s="917"/>
      <c r="JJA5077" s="917"/>
      <c r="JJB5077" s="917"/>
      <c r="JJC5077" s="917"/>
      <c r="JJD5077" s="917"/>
      <c r="JJE5077" s="917"/>
      <c r="JJF5077" s="917"/>
      <c r="JJG5077" s="917"/>
      <c r="JJH5077" s="917"/>
      <c r="JJI5077" s="917" t="s">
        <v>78</v>
      </c>
      <c r="JJJ5077" s="917"/>
      <c r="JJK5077" s="917"/>
      <c r="JJL5077" s="917"/>
      <c r="JJM5077" s="917"/>
      <c r="JJN5077" s="917"/>
      <c r="JJO5077" s="917"/>
      <c r="JJP5077" s="917"/>
      <c r="JJQ5077" s="917"/>
      <c r="JJR5077" s="917"/>
      <c r="JJS5077" s="917"/>
      <c r="JJT5077" s="917"/>
      <c r="JJU5077" s="917"/>
      <c r="JJV5077" s="917"/>
      <c r="JJW5077" s="917"/>
      <c r="JJX5077" s="917"/>
      <c r="JJY5077" s="917"/>
      <c r="JJZ5077" s="917"/>
      <c r="JKA5077" s="917"/>
      <c r="JKB5077" s="917"/>
      <c r="JKC5077" s="917"/>
      <c r="JKD5077" s="917"/>
      <c r="JKE5077" s="917"/>
      <c r="JKF5077" s="917"/>
      <c r="JKG5077" s="917"/>
      <c r="JKH5077" s="917"/>
      <c r="JKI5077" s="917"/>
      <c r="JKJ5077" s="917"/>
      <c r="JKK5077" s="917"/>
      <c r="JKL5077" s="917"/>
      <c r="JKM5077" s="917"/>
      <c r="JKN5077" s="917"/>
      <c r="JKO5077" s="917" t="s">
        <v>78</v>
      </c>
      <c r="JKP5077" s="917"/>
      <c r="JKQ5077" s="917"/>
      <c r="JKR5077" s="917"/>
      <c r="JKS5077" s="917"/>
      <c r="JKT5077" s="917"/>
      <c r="JKU5077" s="917"/>
      <c r="JKV5077" s="917"/>
      <c r="JKW5077" s="917"/>
      <c r="JKX5077" s="917"/>
      <c r="JKY5077" s="917"/>
      <c r="JKZ5077" s="917"/>
      <c r="JLA5077" s="917"/>
      <c r="JLB5077" s="917"/>
      <c r="JLC5077" s="917"/>
      <c r="JLD5077" s="917"/>
      <c r="JLE5077" s="917"/>
      <c r="JLF5077" s="917"/>
      <c r="JLG5077" s="917"/>
      <c r="JLH5077" s="917"/>
      <c r="JLI5077" s="917"/>
      <c r="JLJ5077" s="917"/>
      <c r="JLK5077" s="917"/>
      <c r="JLL5077" s="917"/>
      <c r="JLM5077" s="917"/>
      <c r="JLN5077" s="917"/>
      <c r="JLO5077" s="917"/>
      <c r="JLP5077" s="917"/>
      <c r="JLQ5077" s="917"/>
      <c r="JLR5077" s="917"/>
      <c r="JLS5077" s="917"/>
      <c r="JLT5077" s="917"/>
      <c r="JLU5077" s="917" t="s">
        <v>78</v>
      </c>
      <c r="JLV5077" s="917"/>
      <c r="JLW5077" s="917"/>
      <c r="JLX5077" s="917"/>
      <c r="JLY5077" s="917"/>
      <c r="JLZ5077" s="917"/>
      <c r="JMA5077" s="917"/>
      <c r="JMB5077" s="917"/>
      <c r="JMC5077" s="917"/>
      <c r="JMD5077" s="917"/>
      <c r="JME5077" s="917"/>
      <c r="JMF5077" s="917"/>
      <c r="JMG5077" s="917"/>
      <c r="JMH5077" s="917"/>
      <c r="JMI5077" s="917"/>
      <c r="JMJ5077" s="917"/>
      <c r="JMK5077" s="917"/>
      <c r="JML5077" s="917"/>
      <c r="JMM5077" s="917"/>
      <c r="JMN5077" s="917"/>
      <c r="JMO5077" s="917"/>
      <c r="JMP5077" s="917"/>
      <c r="JMQ5077" s="917"/>
      <c r="JMR5077" s="917"/>
      <c r="JMS5077" s="917"/>
      <c r="JMT5077" s="917"/>
      <c r="JMU5077" s="917"/>
      <c r="JMV5077" s="917"/>
      <c r="JMW5077" s="917"/>
      <c r="JMX5077" s="917"/>
      <c r="JMY5077" s="917"/>
      <c r="JMZ5077" s="917"/>
      <c r="JNA5077" s="917" t="s">
        <v>78</v>
      </c>
      <c r="JNB5077" s="917"/>
      <c r="JNC5077" s="917"/>
      <c r="JND5077" s="917"/>
      <c r="JNE5077" s="917"/>
      <c r="JNF5077" s="917"/>
      <c r="JNG5077" s="917"/>
      <c r="JNH5077" s="917"/>
      <c r="JNI5077" s="917"/>
      <c r="JNJ5077" s="917"/>
      <c r="JNK5077" s="917"/>
      <c r="JNL5077" s="917"/>
      <c r="JNM5077" s="917"/>
      <c r="JNN5077" s="917"/>
      <c r="JNO5077" s="917"/>
      <c r="JNP5077" s="917"/>
      <c r="JNQ5077" s="917"/>
      <c r="JNR5077" s="917"/>
      <c r="JNS5077" s="917"/>
      <c r="JNT5077" s="917"/>
      <c r="JNU5077" s="917"/>
      <c r="JNV5077" s="917"/>
      <c r="JNW5077" s="917"/>
      <c r="JNX5077" s="917"/>
      <c r="JNY5077" s="917"/>
      <c r="JNZ5077" s="917"/>
      <c r="JOA5077" s="917"/>
      <c r="JOB5077" s="917"/>
      <c r="JOC5077" s="917"/>
      <c r="JOD5077" s="917"/>
      <c r="JOE5077" s="917"/>
      <c r="JOF5077" s="917"/>
      <c r="JOG5077" s="917" t="s">
        <v>78</v>
      </c>
      <c r="JOH5077" s="917"/>
      <c r="JOI5077" s="917"/>
      <c r="JOJ5077" s="917"/>
      <c r="JOK5077" s="917"/>
      <c r="JOL5077" s="917"/>
      <c r="JOM5077" s="917"/>
      <c r="JON5077" s="917"/>
      <c r="JOO5077" s="917"/>
      <c r="JOP5077" s="917"/>
      <c r="JOQ5077" s="917"/>
      <c r="JOR5077" s="917"/>
      <c r="JOS5077" s="917"/>
      <c r="JOT5077" s="917"/>
      <c r="JOU5077" s="917"/>
      <c r="JOV5077" s="917"/>
      <c r="JOW5077" s="917"/>
      <c r="JOX5077" s="917"/>
      <c r="JOY5077" s="917"/>
      <c r="JOZ5077" s="917"/>
      <c r="JPA5077" s="917"/>
      <c r="JPB5077" s="917"/>
      <c r="JPC5077" s="917"/>
      <c r="JPD5077" s="917"/>
      <c r="JPE5077" s="917"/>
      <c r="JPF5077" s="917"/>
      <c r="JPG5077" s="917"/>
      <c r="JPH5077" s="917"/>
      <c r="JPI5077" s="917"/>
      <c r="JPJ5077" s="917"/>
      <c r="JPK5077" s="917"/>
      <c r="JPL5077" s="917"/>
      <c r="JPM5077" s="917" t="s">
        <v>78</v>
      </c>
      <c r="JPN5077" s="917"/>
      <c r="JPO5077" s="917"/>
      <c r="JPP5077" s="917"/>
      <c r="JPQ5077" s="917"/>
      <c r="JPR5077" s="917"/>
      <c r="JPS5077" s="917"/>
      <c r="JPT5077" s="917"/>
      <c r="JPU5077" s="917"/>
      <c r="JPV5077" s="917"/>
      <c r="JPW5077" s="917"/>
      <c r="JPX5077" s="917"/>
      <c r="JPY5077" s="917"/>
      <c r="JPZ5077" s="917"/>
      <c r="JQA5077" s="917"/>
      <c r="JQB5077" s="917"/>
      <c r="JQC5077" s="917"/>
      <c r="JQD5077" s="917"/>
      <c r="JQE5077" s="917"/>
      <c r="JQF5077" s="917"/>
      <c r="JQG5077" s="917"/>
      <c r="JQH5077" s="917"/>
      <c r="JQI5077" s="917"/>
      <c r="JQJ5077" s="917"/>
      <c r="JQK5077" s="917"/>
      <c r="JQL5077" s="917"/>
      <c r="JQM5077" s="917"/>
      <c r="JQN5077" s="917"/>
      <c r="JQO5077" s="917"/>
      <c r="JQP5077" s="917"/>
      <c r="JQQ5077" s="917"/>
      <c r="JQR5077" s="917"/>
      <c r="JQS5077" s="917" t="s">
        <v>78</v>
      </c>
      <c r="JQT5077" s="917"/>
      <c r="JQU5077" s="917"/>
      <c r="JQV5077" s="917"/>
      <c r="JQW5077" s="917"/>
      <c r="JQX5077" s="917"/>
      <c r="JQY5077" s="917"/>
      <c r="JQZ5077" s="917"/>
      <c r="JRA5077" s="917"/>
      <c r="JRB5077" s="917"/>
      <c r="JRC5077" s="917"/>
      <c r="JRD5077" s="917"/>
      <c r="JRE5077" s="917"/>
      <c r="JRF5077" s="917"/>
      <c r="JRG5077" s="917"/>
      <c r="JRH5077" s="917"/>
      <c r="JRI5077" s="917"/>
      <c r="JRJ5077" s="917"/>
      <c r="JRK5077" s="917"/>
      <c r="JRL5077" s="917"/>
      <c r="JRM5077" s="917"/>
      <c r="JRN5077" s="917"/>
      <c r="JRO5077" s="917"/>
      <c r="JRP5077" s="917"/>
      <c r="JRQ5077" s="917"/>
      <c r="JRR5077" s="917"/>
      <c r="JRS5077" s="917"/>
      <c r="JRT5077" s="917"/>
      <c r="JRU5077" s="917"/>
      <c r="JRV5077" s="917"/>
      <c r="JRW5077" s="917"/>
      <c r="JRX5077" s="917"/>
      <c r="JRY5077" s="917" t="s">
        <v>78</v>
      </c>
      <c r="JRZ5077" s="917"/>
      <c r="JSA5077" s="917"/>
      <c r="JSB5077" s="917"/>
      <c r="JSC5077" s="917"/>
      <c r="JSD5077" s="917"/>
      <c r="JSE5077" s="917"/>
      <c r="JSF5077" s="917"/>
      <c r="JSG5077" s="917"/>
      <c r="JSH5077" s="917"/>
      <c r="JSI5077" s="917"/>
      <c r="JSJ5077" s="917"/>
      <c r="JSK5077" s="917"/>
      <c r="JSL5077" s="917"/>
      <c r="JSM5077" s="917"/>
      <c r="JSN5077" s="917"/>
      <c r="JSO5077" s="917"/>
      <c r="JSP5077" s="917"/>
      <c r="JSQ5077" s="917"/>
      <c r="JSR5077" s="917"/>
      <c r="JSS5077" s="917"/>
      <c r="JST5077" s="917"/>
      <c r="JSU5077" s="917"/>
      <c r="JSV5077" s="917"/>
      <c r="JSW5077" s="917"/>
      <c r="JSX5077" s="917"/>
      <c r="JSY5077" s="917"/>
      <c r="JSZ5077" s="917"/>
      <c r="JTA5077" s="917"/>
      <c r="JTB5077" s="917"/>
      <c r="JTC5077" s="917"/>
      <c r="JTD5077" s="917"/>
      <c r="JTE5077" s="917" t="s">
        <v>78</v>
      </c>
      <c r="JTF5077" s="917"/>
      <c r="JTG5077" s="917"/>
      <c r="JTH5077" s="917"/>
      <c r="JTI5077" s="917"/>
      <c r="JTJ5077" s="917"/>
      <c r="JTK5077" s="917"/>
      <c r="JTL5077" s="917"/>
      <c r="JTM5077" s="917"/>
      <c r="JTN5077" s="917"/>
      <c r="JTO5077" s="917"/>
      <c r="JTP5077" s="917"/>
      <c r="JTQ5077" s="917"/>
      <c r="JTR5077" s="917"/>
      <c r="JTS5077" s="917"/>
      <c r="JTT5077" s="917"/>
      <c r="JTU5077" s="917"/>
      <c r="JTV5077" s="917"/>
      <c r="JTW5077" s="917"/>
      <c r="JTX5077" s="917"/>
      <c r="JTY5077" s="917"/>
      <c r="JTZ5077" s="917"/>
      <c r="JUA5077" s="917"/>
      <c r="JUB5077" s="917"/>
      <c r="JUC5077" s="917"/>
      <c r="JUD5077" s="917"/>
      <c r="JUE5077" s="917"/>
      <c r="JUF5077" s="917"/>
      <c r="JUG5077" s="917"/>
      <c r="JUH5077" s="917"/>
      <c r="JUI5077" s="917"/>
      <c r="JUJ5077" s="917"/>
      <c r="JUK5077" s="917" t="s">
        <v>78</v>
      </c>
      <c r="JUL5077" s="917"/>
      <c r="JUM5077" s="917"/>
      <c r="JUN5077" s="917"/>
      <c r="JUO5077" s="917"/>
      <c r="JUP5077" s="917"/>
      <c r="JUQ5077" s="917"/>
      <c r="JUR5077" s="917"/>
      <c r="JUS5077" s="917"/>
      <c r="JUT5077" s="917"/>
      <c r="JUU5077" s="917"/>
      <c r="JUV5077" s="917"/>
      <c r="JUW5077" s="917"/>
      <c r="JUX5077" s="917"/>
      <c r="JUY5077" s="917"/>
      <c r="JUZ5077" s="917"/>
      <c r="JVA5077" s="917"/>
      <c r="JVB5077" s="917"/>
      <c r="JVC5077" s="917"/>
      <c r="JVD5077" s="917"/>
      <c r="JVE5077" s="917"/>
      <c r="JVF5077" s="917"/>
      <c r="JVG5077" s="917"/>
      <c r="JVH5077" s="917"/>
      <c r="JVI5077" s="917"/>
      <c r="JVJ5077" s="917"/>
      <c r="JVK5077" s="917"/>
      <c r="JVL5077" s="917"/>
      <c r="JVM5077" s="917"/>
      <c r="JVN5077" s="917"/>
      <c r="JVO5077" s="917"/>
      <c r="JVP5077" s="917"/>
      <c r="JVQ5077" s="917" t="s">
        <v>78</v>
      </c>
      <c r="JVR5077" s="917"/>
      <c r="JVS5077" s="917"/>
      <c r="JVT5077" s="917"/>
      <c r="JVU5077" s="917"/>
      <c r="JVV5077" s="917"/>
      <c r="JVW5077" s="917"/>
      <c r="JVX5077" s="917"/>
      <c r="JVY5077" s="917"/>
      <c r="JVZ5077" s="917"/>
      <c r="JWA5077" s="917"/>
      <c r="JWB5077" s="917"/>
      <c r="JWC5077" s="917"/>
      <c r="JWD5077" s="917"/>
      <c r="JWE5077" s="917"/>
      <c r="JWF5077" s="917"/>
      <c r="JWG5077" s="917"/>
      <c r="JWH5077" s="917"/>
      <c r="JWI5077" s="917"/>
      <c r="JWJ5077" s="917"/>
      <c r="JWK5077" s="917"/>
      <c r="JWL5077" s="917"/>
      <c r="JWM5077" s="917"/>
      <c r="JWN5077" s="917"/>
      <c r="JWO5077" s="917"/>
      <c r="JWP5077" s="917"/>
      <c r="JWQ5077" s="917"/>
      <c r="JWR5077" s="917"/>
      <c r="JWS5077" s="917"/>
      <c r="JWT5077" s="917"/>
      <c r="JWU5077" s="917"/>
      <c r="JWV5077" s="917"/>
      <c r="JWW5077" s="917" t="s">
        <v>78</v>
      </c>
      <c r="JWX5077" s="917"/>
      <c r="JWY5077" s="917"/>
      <c r="JWZ5077" s="917"/>
      <c r="JXA5077" s="917"/>
      <c r="JXB5077" s="917"/>
      <c r="JXC5077" s="917"/>
      <c r="JXD5077" s="917"/>
      <c r="JXE5077" s="917"/>
      <c r="JXF5077" s="917"/>
      <c r="JXG5077" s="917"/>
      <c r="JXH5077" s="917"/>
      <c r="JXI5077" s="917"/>
      <c r="JXJ5077" s="917"/>
      <c r="JXK5077" s="917"/>
      <c r="JXL5077" s="917"/>
      <c r="JXM5077" s="917"/>
      <c r="JXN5077" s="917"/>
      <c r="JXO5077" s="917"/>
      <c r="JXP5077" s="917"/>
      <c r="JXQ5077" s="917"/>
      <c r="JXR5077" s="917"/>
      <c r="JXS5077" s="917"/>
      <c r="JXT5077" s="917"/>
      <c r="JXU5077" s="917"/>
      <c r="JXV5077" s="917"/>
      <c r="JXW5077" s="917"/>
      <c r="JXX5077" s="917"/>
      <c r="JXY5077" s="917"/>
      <c r="JXZ5077" s="917"/>
      <c r="JYA5077" s="917"/>
      <c r="JYB5077" s="917"/>
      <c r="JYC5077" s="917" t="s">
        <v>78</v>
      </c>
      <c r="JYD5077" s="917"/>
      <c r="JYE5077" s="917"/>
      <c r="JYF5077" s="917"/>
      <c r="JYG5077" s="917"/>
      <c r="JYH5077" s="917"/>
      <c r="JYI5077" s="917"/>
      <c r="JYJ5077" s="917"/>
      <c r="JYK5077" s="917"/>
      <c r="JYL5077" s="917"/>
      <c r="JYM5077" s="917"/>
      <c r="JYN5077" s="917"/>
      <c r="JYO5077" s="917"/>
      <c r="JYP5077" s="917"/>
      <c r="JYQ5077" s="917"/>
      <c r="JYR5077" s="917"/>
      <c r="JYS5077" s="917"/>
      <c r="JYT5077" s="917"/>
      <c r="JYU5077" s="917"/>
      <c r="JYV5077" s="917"/>
      <c r="JYW5077" s="917"/>
      <c r="JYX5077" s="917"/>
      <c r="JYY5077" s="917"/>
      <c r="JYZ5077" s="917"/>
      <c r="JZA5077" s="917"/>
      <c r="JZB5077" s="917"/>
      <c r="JZC5077" s="917"/>
      <c r="JZD5077" s="917"/>
      <c r="JZE5077" s="917"/>
      <c r="JZF5077" s="917"/>
      <c r="JZG5077" s="917"/>
      <c r="JZH5077" s="917"/>
      <c r="JZI5077" s="917" t="s">
        <v>78</v>
      </c>
      <c r="JZJ5077" s="917"/>
      <c r="JZK5077" s="917"/>
      <c r="JZL5077" s="917"/>
      <c r="JZM5077" s="917"/>
      <c r="JZN5077" s="917"/>
      <c r="JZO5077" s="917"/>
      <c r="JZP5077" s="917"/>
      <c r="JZQ5077" s="917"/>
      <c r="JZR5077" s="917"/>
      <c r="JZS5077" s="917"/>
      <c r="JZT5077" s="917"/>
      <c r="JZU5077" s="917"/>
      <c r="JZV5077" s="917"/>
      <c r="JZW5077" s="917"/>
      <c r="JZX5077" s="917"/>
      <c r="JZY5077" s="917"/>
      <c r="JZZ5077" s="917"/>
      <c r="KAA5077" s="917"/>
      <c r="KAB5077" s="917"/>
      <c r="KAC5077" s="917"/>
      <c r="KAD5077" s="917"/>
      <c r="KAE5077" s="917"/>
      <c r="KAF5077" s="917"/>
      <c r="KAG5077" s="917"/>
      <c r="KAH5077" s="917"/>
      <c r="KAI5077" s="917"/>
      <c r="KAJ5077" s="917"/>
      <c r="KAK5077" s="917"/>
      <c r="KAL5077" s="917"/>
      <c r="KAM5077" s="917"/>
      <c r="KAN5077" s="917"/>
      <c r="KAO5077" s="917" t="s">
        <v>78</v>
      </c>
      <c r="KAP5077" s="917"/>
      <c r="KAQ5077" s="917"/>
      <c r="KAR5077" s="917"/>
      <c r="KAS5077" s="917"/>
      <c r="KAT5077" s="917"/>
      <c r="KAU5077" s="917"/>
      <c r="KAV5077" s="917"/>
      <c r="KAW5077" s="917"/>
      <c r="KAX5077" s="917"/>
      <c r="KAY5077" s="917"/>
      <c r="KAZ5077" s="917"/>
      <c r="KBA5077" s="917"/>
      <c r="KBB5077" s="917"/>
      <c r="KBC5077" s="917"/>
      <c r="KBD5077" s="917"/>
      <c r="KBE5077" s="917"/>
      <c r="KBF5077" s="917"/>
      <c r="KBG5077" s="917"/>
      <c r="KBH5077" s="917"/>
      <c r="KBI5077" s="917"/>
      <c r="KBJ5077" s="917"/>
      <c r="KBK5077" s="917"/>
      <c r="KBL5077" s="917"/>
      <c r="KBM5077" s="917"/>
      <c r="KBN5077" s="917"/>
      <c r="KBO5077" s="917"/>
      <c r="KBP5077" s="917"/>
      <c r="KBQ5077" s="917"/>
      <c r="KBR5077" s="917"/>
      <c r="KBS5077" s="917"/>
      <c r="KBT5077" s="917"/>
      <c r="KBU5077" s="917" t="s">
        <v>78</v>
      </c>
      <c r="KBV5077" s="917"/>
      <c r="KBW5077" s="917"/>
      <c r="KBX5077" s="917"/>
      <c r="KBY5077" s="917"/>
      <c r="KBZ5077" s="917"/>
      <c r="KCA5077" s="917"/>
      <c r="KCB5077" s="917"/>
      <c r="KCC5077" s="917"/>
      <c r="KCD5077" s="917"/>
      <c r="KCE5077" s="917"/>
      <c r="KCF5077" s="917"/>
      <c r="KCG5077" s="917"/>
      <c r="KCH5077" s="917"/>
      <c r="KCI5077" s="917"/>
      <c r="KCJ5077" s="917"/>
      <c r="KCK5077" s="917"/>
      <c r="KCL5077" s="917"/>
      <c r="KCM5077" s="917"/>
      <c r="KCN5077" s="917"/>
      <c r="KCO5077" s="917"/>
      <c r="KCP5077" s="917"/>
      <c r="KCQ5077" s="917"/>
      <c r="KCR5077" s="917"/>
      <c r="KCS5077" s="917"/>
      <c r="KCT5077" s="917"/>
      <c r="KCU5077" s="917"/>
      <c r="KCV5077" s="917"/>
      <c r="KCW5077" s="917"/>
      <c r="KCX5077" s="917"/>
      <c r="KCY5077" s="917"/>
      <c r="KCZ5077" s="917"/>
      <c r="KDA5077" s="917" t="s">
        <v>78</v>
      </c>
      <c r="KDB5077" s="917"/>
      <c r="KDC5077" s="917"/>
      <c r="KDD5077" s="917"/>
      <c r="KDE5077" s="917"/>
      <c r="KDF5077" s="917"/>
      <c r="KDG5077" s="917"/>
      <c r="KDH5077" s="917"/>
      <c r="KDI5077" s="917"/>
      <c r="KDJ5077" s="917"/>
      <c r="KDK5077" s="917"/>
      <c r="KDL5077" s="917"/>
      <c r="KDM5077" s="917"/>
      <c r="KDN5077" s="917"/>
      <c r="KDO5077" s="917"/>
      <c r="KDP5077" s="917"/>
      <c r="KDQ5077" s="917"/>
      <c r="KDR5077" s="917"/>
      <c r="KDS5077" s="917"/>
      <c r="KDT5077" s="917"/>
      <c r="KDU5077" s="917"/>
      <c r="KDV5077" s="917"/>
      <c r="KDW5077" s="917"/>
      <c r="KDX5077" s="917"/>
      <c r="KDY5077" s="917"/>
      <c r="KDZ5077" s="917"/>
      <c r="KEA5077" s="917"/>
      <c r="KEB5077" s="917"/>
      <c r="KEC5077" s="917"/>
      <c r="KED5077" s="917"/>
      <c r="KEE5077" s="917"/>
      <c r="KEF5077" s="917"/>
      <c r="KEG5077" s="917" t="s">
        <v>78</v>
      </c>
      <c r="KEH5077" s="917"/>
      <c r="KEI5077" s="917"/>
      <c r="KEJ5077" s="917"/>
      <c r="KEK5077" s="917"/>
      <c r="KEL5077" s="917"/>
      <c r="KEM5077" s="917"/>
      <c r="KEN5077" s="917"/>
      <c r="KEO5077" s="917"/>
      <c r="KEP5077" s="917"/>
      <c r="KEQ5077" s="917"/>
      <c r="KER5077" s="917"/>
      <c r="KES5077" s="917"/>
      <c r="KET5077" s="917"/>
      <c r="KEU5077" s="917"/>
      <c r="KEV5077" s="917"/>
      <c r="KEW5077" s="917"/>
      <c r="KEX5077" s="917"/>
      <c r="KEY5077" s="917"/>
      <c r="KEZ5077" s="917"/>
      <c r="KFA5077" s="917"/>
      <c r="KFB5077" s="917"/>
      <c r="KFC5077" s="917"/>
      <c r="KFD5077" s="917"/>
      <c r="KFE5077" s="917"/>
      <c r="KFF5077" s="917"/>
      <c r="KFG5077" s="917"/>
      <c r="KFH5077" s="917"/>
      <c r="KFI5077" s="917"/>
      <c r="KFJ5077" s="917"/>
      <c r="KFK5077" s="917"/>
      <c r="KFL5077" s="917"/>
      <c r="KFM5077" s="917" t="s">
        <v>78</v>
      </c>
      <c r="KFN5077" s="917"/>
      <c r="KFO5077" s="917"/>
      <c r="KFP5077" s="917"/>
      <c r="KFQ5077" s="917"/>
      <c r="KFR5077" s="917"/>
      <c r="KFS5077" s="917"/>
      <c r="KFT5077" s="917"/>
      <c r="KFU5077" s="917"/>
      <c r="KFV5077" s="917"/>
      <c r="KFW5077" s="917"/>
      <c r="KFX5077" s="917"/>
      <c r="KFY5077" s="917"/>
      <c r="KFZ5077" s="917"/>
      <c r="KGA5077" s="917"/>
      <c r="KGB5077" s="917"/>
      <c r="KGC5077" s="917"/>
      <c r="KGD5077" s="917"/>
      <c r="KGE5077" s="917"/>
      <c r="KGF5077" s="917"/>
      <c r="KGG5077" s="917"/>
      <c r="KGH5077" s="917"/>
      <c r="KGI5077" s="917"/>
      <c r="KGJ5077" s="917"/>
      <c r="KGK5077" s="917"/>
      <c r="KGL5077" s="917"/>
      <c r="KGM5077" s="917"/>
      <c r="KGN5077" s="917"/>
      <c r="KGO5077" s="917"/>
      <c r="KGP5077" s="917"/>
      <c r="KGQ5077" s="917"/>
      <c r="KGR5077" s="917"/>
      <c r="KGS5077" s="917" t="s">
        <v>78</v>
      </c>
      <c r="KGT5077" s="917"/>
      <c r="KGU5077" s="917"/>
      <c r="KGV5077" s="917"/>
      <c r="KGW5077" s="917"/>
      <c r="KGX5077" s="917"/>
      <c r="KGY5077" s="917"/>
      <c r="KGZ5077" s="917"/>
      <c r="KHA5077" s="917"/>
      <c r="KHB5077" s="917"/>
      <c r="KHC5077" s="917"/>
      <c r="KHD5077" s="917"/>
      <c r="KHE5077" s="917"/>
      <c r="KHF5077" s="917"/>
      <c r="KHG5077" s="917"/>
      <c r="KHH5077" s="917"/>
      <c r="KHI5077" s="917"/>
      <c r="KHJ5077" s="917"/>
      <c r="KHK5077" s="917"/>
      <c r="KHL5077" s="917"/>
      <c r="KHM5077" s="917"/>
      <c r="KHN5077" s="917"/>
      <c r="KHO5077" s="917"/>
      <c r="KHP5077" s="917"/>
      <c r="KHQ5077" s="917"/>
      <c r="KHR5077" s="917"/>
      <c r="KHS5077" s="917"/>
      <c r="KHT5077" s="917"/>
      <c r="KHU5077" s="917"/>
      <c r="KHV5077" s="917"/>
      <c r="KHW5077" s="917"/>
      <c r="KHX5077" s="917"/>
      <c r="KHY5077" s="917" t="s">
        <v>78</v>
      </c>
      <c r="KHZ5077" s="917"/>
      <c r="KIA5077" s="917"/>
      <c r="KIB5077" s="917"/>
      <c r="KIC5077" s="917"/>
      <c r="KID5077" s="917"/>
      <c r="KIE5077" s="917"/>
      <c r="KIF5077" s="917"/>
      <c r="KIG5077" s="917"/>
      <c r="KIH5077" s="917"/>
      <c r="KII5077" s="917"/>
      <c r="KIJ5077" s="917"/>
      <c r="KIK5077" s="917"/>
      <c r="KIL5077" s="917"/>
      <c r="KIM5077" s="917"/>
      <c r="KIN5077" s="917"/>
      <c r="KIO5077" s="917"/>
      <c r="KIP5077" s="917"/>
      <c r="KIQ5077" s="917"/>
      <c r="KIR5077" s="917"/>
      <c r="KIS5077" s="917"/>
      <c r="KIT5077" s="917"/>
      <c r="KIU5077" s="917"/>
      <c r="KIV5077" s="917"/>
      <c r="KIW5077" s="917"/>
      <c r="KIX5077" s="917"/>
      <c r="KIY5077" s="917"/>
      <c r="KIZ5077" s="917"/>
      <c r="KJA5077" s="917"/>
      <c r="KJB5077" s="917"/>
      <c r="KJC5077" s="917"/>
      <c r="KJD5077" s="917"/>
      <c r="KJE5077" s="917" t="s">
        <v>78</v>
      </c>
      <c r="KJF5077" s="917"/>
      <c r="KJG5077" s="917"/>
      <c r="KJH5077" s="917"/>
      <c r="KJI5077" s="917"/>
      <c r="KJJ5077" s="917"/>
      <c r="KJK5077" s="917"/>
      <c r="KJL5077" s="917"/>
      <c r="KJM5077" s="917"/>
      <c r="KJN5077" s="917"/>
      <c r="KJO5077" s="917"/>
      <c r="KJP5077" s="917"/>
      <c r="KJQ5077" s="917"/>
      <c r="KJR5077" s="917"/>
      <c r="KJS5077" s="917"/>
      <c r="KJT5077" s="917"/>
      <c r="KJU5077" s="917"/>
      <c r="KJV5077" s="917"/>
      <c r="KJW5077" s="917"/>
      <c r="KJX5077" s="917"/>
      <c r="KJY5077" s="917"/>
      <c r="KJZ5077" s="917"/>
      <c r="KKA5077" s="917"/>
      <c r="KKB5077" s="917"/>
      <c r="KKC5077" s="917"/>
      <c r="KKD5077" s="917"/>
      <c r="KKE5077" s="917"/>
      <c r="KKF5077" s="917"/>
      <c r="KKG5077" s="917"/>
      <c r="KKH5077" s="917"/>
      <c r="KKI5077" s="917"/>
      <c r="KKJ5077" s="917"/>
      <c r="KKK5077" s="917" t="s">
        <v>78</v>
      </c>
      <c r="KKL5077" s="917"/>
      <c r="KKM5077" s="917"/>
      <c r="KKN5077" s="917"/>
      <c r="KKO5077" s="917"/>
      <c r="KKP5077" s="917"/>
      <c r="KKQ5077" s="917"/>
      <c r="KKR5077" s="917"/>
      <c r="KKS5077" s="917"/>
      <c r="KKT5077" s="917"/>
      <c r="KKU5077" s="917"/>
      <c r="KKV5077" s="917"/>
      <c r="KKW5077" s="917"/>
      <c r="KKX5077" s="917"/>
      <c r="KKY5077" s="917"/>
      <c r="KKZ5077" s="917"/>
      <c r="KLA5077" s="917"/>
      <c r="KLB5077" s="917"/>
      <c r="KLC5077" s="917"/>
      <c r="KLD5077" s="917"/>
      <c r="KLE5077" s="917"/>
      <c r="KLF5077" s="917"/>
      <c r="KLG5077" s="917"/>
      <c r="KLH5077" s="917"/>
      <c r="KLI5077" s="917"/>
      <c r="KLJ5077" s="917"/>
      <c r="KLK5077" s="917"/>
      <c r="KLL5077" s="917"/>
      <c r="KLM5077" s="917"/>
      <c r="KLN5077" s="917"/>
      <c r="KLO5077" s="917"/>
      <c r="KLP5077" s="917"/>
      <c r="KLQ5077" s="917" t="s">
        <v>78</v>
      </c>
      <c r="KLR5077" s="917"/>
      <c r="KLS5077" s="917"/>
      <c r="KLT5077" s="917"/>
      <c r="KLU5077" s="917"/>
      <c r="KLV5077" s="917"/>
      <c r="KLW5077" s="917"/>
      <c r="KLX5077" s="917"/>
      <c r="KLY5077" s="917"/>
      <c r="KLZ5077" s="917"/>
      <c r="KMA5077" s="917"/>
      <c r="KMB5077" s="917"/>
      <c r="KMC5077" s="917"/>
      <c r="KMD5077" s="917"/>
      <c r="KME5077" s="917"/>
      <c r="KMF5077" s="917"/>
      <c r="KMG5077" s="917"/>
      <c r="KMH5077" s="917"/>
      <c r="KMI5077" s="917"/>
      <c r="KMJ5077" s="917"/>
      <c r="KMK5077" s="917"/>
      <c r="KML5077" s="917"/>
      <c r="KMM5077" s="917"/>
      <c r="KMN5077" s="917"/>
      <c r="KMO5077" s="917"/>
      <c r="KMP5077" s="917"/>
      <c r="KMQ5077" s="917"/>
      <c r="KMR5077" s="917"/>
      <c r="KMS5077" s="917"/>
      <c r="KMT5077" s="917"/>
      <c r="KMU5077" s="917"/>
      <c r="KMV5077" s="917"/>
      <c r="KMW5077" s="917" t="s">
        <v>78</v>
      </c>
      <c r="KMX5077" s="917"/>
      <c r="KMY5077" s="917"/>
      <c r="KMZ5077" s="917"/>
      <c r="KNA5077" s="917"/>
      <c r="KNB5077" s="917"/>
      <c r="KNC5077" s="917"/>
      <c r="KND5077" s="917"/>
      <c r="KNE5077" s="917"/>
      <c r="KNF5077" s="917"/>
      <c r="KNG5077" s="917"/>
      <c r="KNH5077" s="917"/>
      <c r="KNI5077" s="917"/>
      <c r="KNJ5077" s="917"/>
      <c r="KNK5077" s="917"/>
      <c r="KNL5077" s="917"/>
      <c r="KNM5077" s="917"/>
      <c r="KNN5077" s="917"/>
      <c r="KNO5077" s="917"/>
      <c r="KNP5077" s="917"/>
      <c r="KNQ5077" s="917"/>
      <c r="KNR5077" s="917"/>
      <c r="KNS5077" s="917"/>
      <c r="KNT5077" s="917"/>
      <c r="KNU5077" s="917"/>
      <c r="KNV5077" s="917"/>
      <c r="KNW5077" s="917"/>
      <c r="KNX5077" s="917"/>
      <c r="KNY5077" s="917"/>
      <c r="KNZ5077" s="917"/>
      <c r="KOA5077" s="917"/>
      <c r="KOB5077" s="917"/>
      <c r="KOC5077" s="917" t="s">
        <v>78</v>
      </c>
      <c r="KOD5077" s="917"/>
      <c r="KOE5077" s="917"/>
      <c r="KOF5077" s="917"/>
      <c r="KOG5077" s="917"/>
      <c r="KOH5077" s="917"/>
      <c r="KOI5077" s="917"/>
      <c r="KOJ5077" s="917"/>
      <c r="KOK5077" s="917"/>
      <c r="KOL5077" s="917"/>
      <c r="KOM5077" s="917"/>
      <c r="KON5077" s="917"/>
      <c r="KOO5077" s="917"/>
      <c r="KOP5077" s="917"/>
      <c r="KOQ5077" s="917"/>
      <c r="KOR5077" s="917"/>
      <c r="KOS5077" s="917"/>
      <c r="KOT5077" s="917"/>
      <c r="KOU5077" s="917"/>
      <c r="KOV5077" s="917"/>
      <c r="KOW5077" s="917"/>
      <c r="KOX5077" s="917"/>
      <c r="KOY5077" s="917"/>
      <c r="KOZ5077" s="917"/>
      <c r="KPA5077" s="917"/>
      <c r="KPB5077" s="917"/>
      <c r="KPC5077" s="917"/>
      <c r="KPD5077" s="917"/>
      <c r="KPE5077" s="917"/>
      <c r="KPF5077" s="917"/>
      <c r="KPG5077" s="917"/>
      <c r="KPH5077" s="917"/>
      <c r="KPI5077" s="917" t="s">
        <v>78</v>
      </c>
      <c r="KPJ5077" s="917"/>
      <c r="KPK5077" s="917"/>
      <c r="KPL5077" s="917"/>
      <c r="KPM5077" s="917"/>
      <c r="KPN5077" s="917"/>
      <c r="KPO5077" s="917"/>
      <c r="KPP5077" s="917"/>
      <c r="KPQ5077" s="917"/>
      <c r="KPR5077" s="917"/>
      <c r="KPS5077" s="917"/>
      <c r="KPT5077" s="917"/>
      <c r="KPU5077" s="917"/>
      <c r="KPV5077" s="917"/>
      <c r="KPW5077" s="917"/>
      <c r="KPX5077" s="917"/>
      <c r="KPY5077" s="917"/>
      <c r="KPZ5077" s="917"/>
      <c r="KQA5077" s="917"/>
      <c r="KQB5077" s="917"/>
      <c r="KQC5077" s="917"/>
      <c r="KQD5077" s="917"/>
      <c r="KQE5077" s="917"/>
      <c r="KQF5077" s="917"/>
      <c r="KQG5077" s="917"/>
      <c r="KQH5077" s="917"/>
      <c r="KQI5077" s="917"/>
      <c r="KQJ5077" s="917"/>
      <c r="KQK5077" s="917"/>
      <c r="KQL5077" s="917"/>
      <c r="KQM5077" s="917"/>
      <c r="KQN5077" s="917"/>
      <c r="KQO5077" s="917" t="s">
        <v>78</v>
      </c>
      <c r="KQP5077" s="917"/>
      <c r="KQQ5077" s="917"/>
      <c r="KQR5077" s="917"/>
      <c r="KQS5077" s="917"/>
      <c r="KQT5077" s="917"/>
      <c r="KQU5077" s="917"/>
      <c r="KQV5077" s="917"/>
      <c r="KQW5077" s="917"/>
      <c r="KQX5077" s="917"/>
      <c r="KQY5077" s="917"/>
      <c r="KQZ5077" s="917"/>
      <c r="KRA5077" s="917"/>
      <c r="KRB5077" s="917"/>
      <c r="KRC5077" s="917"/>
      <c r="KRD5077" s="917"/>
      <c r="KRE5077" s="917"/>
      <c r="KRF5077" s="917"/>
      <c r="KRG5077" s="917"/>
      <c r="KRH5077" s="917"/>
      <c r="KRI5077" s="917"/>
      <c r="KRJ5077" s="917"/>
      <c r="KRK5077" s="917"/>
      <c r="KRL5077" s="917"/>
      <c r="KRM5077" s="917"/>
      <c r="KRN5077" s="917"/>
      <c r="KRO5077" s="917"/>
      <c r="KRP5077" s="917"/>
      <c r="KRQ5077" s="917"/>
      <c r="KRR5077" s="917"/>
      <c r="KRS5077" s="917"/>
      <c r="KRT5077" s="917"/>
      <c r="KRU5077" s="917" t="s">
        <v>78</v>
      </c>
      <c r="KRV5077" s="917"/>
      <c r="KRW5077" s="917"/>
      <c r="KRX5077" s="917"/>
      <c r="KRY5077" s="917"/>
      <c r="KRZ5077" s="917"/>
      <c r="KSA5077" s="917"/>
      <c r="KSB5077" s="917"/>
      <c r="KSC5077" s="917"/>
      <c r="KSD5077" s="917"/>
      <c r="KSE5077" s="917"/>
      <c r="KSF5077" s="917"/>
      <c r="KSG5077" s="917"/>
      <c r="KSH5077" s="917"/>
      <c r="KSI5077" s="917"/>
      <c r="KSJ5077" s="917"/>
      <c r="KSK5077" s="917"/>
      <c r="KSL5077" s="917"/>
      <c r="KSM5077" s="917"/>
      <c r="KSN5077" s="917"/>
      <c r="KSO5077" s="917"/>
      <c r="KSP5077" s="917"/>
      <c r="KSQ5077" s="917"/>
      <c r="KSR5077" s="917"/>
      <c r="KSS5077" s="917"/>
      <c r="KST5077" s="917"/>
      <c r="KSU5077" s="917"/>
      <c r="KSV5077" s="917"/>
      <c r="KSW5077" s="917"/>
      <c r="KSX5077" s="917"/>
      <c r="KSY5077" s="917"/>
      <c r="KSZ5077" s="917"/>
      <c r="KTA5077" s="917" t="s">
        <v>78</v>
      </c>
      <c r="KTB5077" s="917"/>
      <c r="KTC5077" s="917"/>
      <c r="KTD5077" s="917"/>
      <c r="KTE5077" s="917"/>
      <c r="KTF5077" s="917"/>
      <c r="KTG5077" s="917"/>
      <c r="KTH5077" s="917"/>
      <c r="KTI5077" s="917"/>
      <c r="KTJ5077" s="917"/>
      <c r="KTK5077" s="917"/>
      <c r="KTL5077" s="917"/>
      <c r="KTM5077" s="917"/>
      <c r="KTN5077" s="917"/>
      <c r="KTO5077" s="917"/>
      <c r="KTP5077" s="917"/>
      <c r="KTQ5077" s="917"/>
      <c r="KTR5077" s="917"/>
      <c r="KTS5077" s="917"/>
      <c r="KTT5077" s="917"/>
      <c r="KTU5077" s="917"/>
      <c r="KTV5077" s="917"/>
      <c r="KTW5077" s="917"/>
      <c r="KTX5077" s="917"/>
      <c r="KTY5077" s="917"/>
      <c r="KTZ5077" s="917"/>
      <c r="KUA5077" s="917"/>
      <c r="KUB5077" s="917"/>
      <c r="KUC5077" s="917"/>
      <c r="KUD5077" s="917"/>
      <c r="KUE5077" s="917"/>
      <c r="KUF5077" s="917"/>
      <c r="KUG5077" s="917" t="s">
        <v>78</v>
      </c>
      <c r="KUH5077" s="917"/>
      <c r="KUI5077" s="917"/>
      <c r="KUJ5077" s="917"/>
      <c r="KUK5077" s="917"/>
      <c r="KUL5077" s="917"/>
      <c r="KUM5077" s="917"/>
      <c r="KUN5077" s="917"/>
      <c r="KUO5077" s="917"/>
      <c r="KUP5077" s="917"/>
      <c r="KUQ5077" s="917"/>
      <c r="KUR5077" s="917"/>
      <c r="KUS5077" s="917"/>
      <c r="KUT5077" s="917"/>
      <c r="KUU5077" s="917"/>
      <c r="KUV5077" s="917"/>
      <c r="KUW5077" s="917"/>
      <c r="KUX5077" s="917"/>
      <c r="KUY5077" s="917"/>
      <c r="KUZ5077" s="917"/>
      <c r="KVA5077" s="917"/>
      <c r="KVB5077" s="917"/>
      <c r="KVC5077" s="917"/>
      <c r="KVD5077" s="917"/>
      <c r="KVE5077" s="917"/>
      <c r="KVF5077" s="917"/>
      <c r="KVG5077" s="917"/>
      <c r="KVH5077" s="917"/>
      <c r="KVI5077" s="917"/>
      <c r="KVJ5077" s="917"/>
      <c r="KVK5077" s="917"/>
      <c r="KVL5077" s="917"/>
      <c r="KVM5077" s="917" t="s">
        <v>78</v>
      </c>
      <c r="KVN5077" s="917"/>
      <c r="KVO5077" s="917"/>
      <c r="KVP5077" s="917"/>
      <c r="KVQ5077" s="917"/>
      <c r="KVR5077" s="917"/>
      <c r="KVS5077" s="917"/>
      <c r="KVT5077" s="917"/>
      <c r="KVU5077" s="917"/>
      <c r="KVV5077" s="917"/>
      <c r="KVW5077" s="917"/>
      <c r="KVX5077" s="917"/>
      <c r="KVY5077" s="917"/>
      <c r="KVZ5077" s="917"/>
      <c r="KWA5077" s="917"/>
      <c r="KWB5077" s="917"/>
      <c r="KWC5077" s="917"/>
      <c r="KWD5077" s="917"/>
      <c r="KWE5077" s="917"/>
      <c r="KWF5077" s="917"/>
      <c r="KWG5077" s="917"/>
      <c r="KWH5077" s="917"/>
      <c r="KWI5077" s="917"/>
      <c r="KWJ5077" s="917"/>
      <c r="KWK5077" s="917"/>
      <c r="KWL5077" s="917"/>
      <c r="KWM5077" s="917"/>
      <c r="KWN5077" s="917"/>
      <c r="KWO5077" s="917"/>
      <c r="KWP5077" s="917"/>
      <c r="KWQ5077" s="917"/>
      <c r="KWR5077" s="917"/>
      <c r="KWS5077" s="917" t="s">
        <v>78</v>
      </c>
      <c r="KWT5077" s="917"/>
      <c r="KWU5077" s="917"/>
      <c r="KWV5077" s="917"/>
      <c r="KWW5077" s="917"/>
      <c r="KWX5077" s="917"/>
      <c r="KWY5077" s="917"/>
      <c r="KWZ5077" s="917"/>
      <c r="KXA5077" s="917"/>
      <c r="KXB5077" s="917"/>
      <c r="KXC5077" s="917"/>
      <c r="KXD5077" s="917"/>
      <c r="KXE5077" s="917"/>
      <c r="KXF5077" s="917"/>
      <c r="KXG5077" s="917"/>
      <c r="KXH5077" s="917"/>
      <c r="KXI5077" s="917"/>
      <c r="KXJ5077" s="917"/>
      <c r="KXK5077" s="917"/>
      <c r="KXL5077" s="917"/>
      <c r="KXM5077" s="917"/>
      <c r="KXN5077" s="917"/>
      <c r="KXO5077" s="917"/>
      <c r="KXP5077" s="917"/>
      <c r="KXQ5077" s="917"/>
      <c r="KXR5077" s="917"/>
      <c r="KXS5077" s="917"/>
      <c r="KXT5077" s="917"/>
      <c r="KXU5077" s="917"/>
      <c r="KXV5077" s="917"/>
      <c r="KXW5077" s="917"/>
      <c r="KXX5077" s="917"/>
      <c r="KXY5077" s="917" t="s">
        <v>78</v>
      </c>
      <c r="KXZ5077" s="917"/>
      <c r="KYA5077" s="917"/>
      <c r="KYB5077" s="917"/>
      <c r="KYC5077" s="917"/>
      <c r="KYD5077" s="917"/>
      <c r="KYE5077" s="917"/>
      <c r="KYF5077" s="917"/>
      <c r="KYG5077" s="917"/>
      <c r="KYH5077" s="917"/>
      <c r="KYI5077" s="917"/>
      <c r="KYJ5077" s="917"/>
      <c r="KYK5077" s="917"/>
      <c r="KYL5077" s="917"/>
      <c r="KYM5077" s="917"/>
      <c r="KYN5077" s="917"/>
      <c r="KYO5077" s="917"/>
      <c r="KYP5077" s="917"/>
      <c r="KYQ5077" s="917"/>
      <c r="KYR5077" s="917"/>
      <c r="KYS5077" s="917"/>
      <c r="KYT5077" s="917"/>
      <c r="KYU5077" s="917"/>
      <c r="KYV5077" s="917"/>
      <c r="KYW5077" s="917"/>
      <c r="KYX5077" s="917"/>
      <c r="KYY5077" s="917"/>
      <c r="KYZ5077" s="917"/>
      <c r="KZA5077" s="917"/>
      <c r="KZB5077" s="917"/>
      <c r="KZC5077" s="917"/>
      <c r="KZD5077" s="917"/>
      <c r="KZE5077" s="917" t="s">
        <v>78</v>
      </c>
      <c r="KZF5077" s="917"/>
      <c r="KZG5077" s="917"/>
      <c r="KZH5077" s="917"/>
      <c r="KZI5077" s="917"/>
      <c r="KZJ5077" s="917"/>
      <c r="KZK5077" s="917"/>
      <c r="KZL5077" s="917"/>
      <c r="KZM5077" s="917"/>
      <c r="KZN5077" s="917"/>
      <c r="KZO5077" s="917"/>
      <c r="KZP5077" s="917"/>
      <c r="KZQ5077" s="917"/>
      <c r="KZR5077" s="917"/>
      <c r="KZS5077" s="917"/>
      <c r="KZT5077" s="917"/>
      <c r="KZU5077" s="917"/>
      <c r="KZV5077" s="917"/>
      <c r="KZW5077" s="917"/>
      <c r="KZX5077" s="917"/>
      <c r="KZY5077" s="917"/>
      <c r="KZZ5077" s="917"/>
      <c r="LAA5077" s="917"/>
      <c r="LAB5077" s="917"/>
      <c r="LAC5077" s="917"/>
      <c r="LAD5077" s="917"/>
      <c r="LAE5077" s="917"/>
      <c r="LAF5077" s="917"/>
      <c r="LAG5077" s="917"/>
      <c r="LAH5077" s="917"/>
      <c r="LAI5077" s="917"/>
      <c r="LAJ5077" s="917"/>
      <c r="LAK5077" s="917" t="s">
        <v>78</v>
      </c>
      <c r="LAL5077" s="917"/>
      <c r="LAM5077" s="917"/>
      <c r="LAN5077" s="917"/>
      <c r="LAO5077" s="917"/>
      <c r="LAP5077" s="917"/>
      <c r="LAQ5077" s="917"/>
      <c r="LAR5077" s="917"/>
      <c r="LAS5077" s="917"/>
      <c r="LAT5077" s="917"/>
      <c r="LAU5077" s="917"/>
      <c r="LAV5077" s="917"/>
      <c r="LAW5077" s="917"/>
      <c r="LAX5077" s="917"/>
      <c r="LAY5077" s="917"/>
      <c r="LAZ5077" s="917"/>
      <c r="LBA5077" s="917"/>
      <c r="LBB5077" s="917"/>
      <c r="LBC5077" s="917"/>
      <c r="LBD5077" s="917"/>
      <c r="LBE5077" s="917"/>
      <c r="LBF5077" s="917"/>
      <c r="LBG5077" s="917"/>
      <c r="LBH5077" s="917"/>
      <c r="LBI5077" s="917"/>
      <c r="LBJ5077" s="917"/>
      <c r="LBK5077" s="917"/>
      <c r="LBL5077" s="917"/>
      <c r="LBM5077" s="917"/>
      <c r="LBN5077" s="917"/>
      <c r="LBO5077" s="917"/>
      <c r="LBP5077" s="917"/>
      <c r="LBQ5077" s="917" t="s">
        <v>78</v>
      </c>
      <c r="LBR5077" s="917"/>
      <c r="LBS5077" s="917"/>
      <c r="LBT5077" s="917"/>
      <c r="LBU5077" s="917"/>
      <c r="LBV5077" s="917"/>
      <c r="LBW5077" s="917"/>
      <c r="LBX5077" s="917"/>
      <c r="LBY5077" s="917"/>
      <c r="LBZ5077" s="917"/>
      <c r="LCA5077" s="917"/>
      <c r="LCB5077" s="917"/>
      <c r="LCC5077" s="917"/>
      <c r="LCD5077" s="917"/>
      <c r="LCE5077" s="917"/>
      <c r="LCF5077" s="917"/>
      <c r="LCG5077" s="917"/>
      <c r="LCH5077" s="917"/>
      <c r="LCI5077" s="917"/>
      <c r="LCJ5077" s="917"/>
      <c r="LCK5077" s="917"/>
      <c r="LCL5077" s="917"/>
      <c r="LCM5077" s="917"/>
      <c r="LCN5077" s="917"/>
      <c r="LCO5077" s="917"/>
      <c r="LCP5077" s="917"/>
      <c r="LCQ5077" s="917"/>
      <c r="LCR5077" s="917"/>
      <c r="LCS5077" s="917"/>
      <c r="LCT5077" s="917"/>
      <c r="LCU5077" s="917"/>
      <c r="LCV5077" s="917"/>
      <c r="LCW5077" s="917" t="s">
        <v>78</v>
      </c>
      <c r="LCX5077" s="917"/>
      <c r="LCY5077" s="917"/>
      <c r="LCZ5077" s="917"/>
      <c r="LDA5077" s="917"/>
      <c r="LDB5077" s="917"/>
      <c r="LDC5077" s="917"/>
      <c r="LDD5077" s="917"/>
      <c r="LDE5077" s="917"/>
      <c r="LDF5077" s="917"/>
      <c r="LDG5077" s="917"/>
      <c r="LDH5077" s="917"/>
      <c r="LDI5077" s="917"/>
      <c r="LDJ5077" s="917"/>
      <c r="LDK5077" s="917"/>
      <c r="LDL5077" s="917"/>
      <c r="LDM5077" s="917"/>
      <c r="LDN5077" s="917"/>
      <c r="LDO5077" s="917"/>
      <c r="LDP5077" s="917"/>
      <c r="LDQ5077" s="917"/>
      <c r="LDR5077" s="917"/>
      <c r="LDS5077" s="917"/>
      <c r="LDT5077" s="917"/>
      <c r="LDU5077" s="917"/>
      <c r="LDV5077" s="917"/>
      <c r="LDW5077" s="917"/>
      <c r="LDX5077" s="917"/>
      <c r="LDY5077" s="917"/>
      <c r="LDZ5077" s="917"/>
      <c r="LEA5077" s="917"/>
      <c r="LEB5077" s="917"/>
      <c r="LEC5077" s="917" t="s">
        <v>78</v>
      </c>
      <c r="LED5077" s="917"/>
      <c r="LEE5077" s="917"/>
      <c r="LEF5077" s="917"/>
      <c r="LEG5077" s="917"/>
      <c r="LEH5077" s="917"/>
      <c r="LEI5077" s="917"/>
      <c r="LEJ5077" s="917"/>
      <c r="LEK5077" s="917"/>
      <c r="LEL5077" s="917"/>
      <c r="LEM5077" s="917"/>
      <c r="LEN5077" s="917"/>
      <c r="LEO5077" s="917"/>
      <c r="LEP5077" s="917"/>
      <c r="LEQ5077" s="917"/>
      <c r="LER5077" s="917"/>
      <c r="LES5077" s="917"/>
      <c r="LET5077" s="917"/>
      <c r="LEU5077" s="917"/>
      <c r="LEV5077" s="917"/>
      <c r="LEW5077" s="917"/>
      <c r="LEX5077" s="917"/>
      <c r="LEY5077" s="917"/>
      <c r="LEZ5077" s="917"/>
      <c r="LFA5077" s="917"/>
      <c r="LFB5077" s="917"/>
      <c r="LFC5077" s="917"/>
      <c r="LFD5077" s="917"/>
      <c r="LFE5077" s="917"/>
      <c r="LFF5077" s="917"/>
      <c r="LFG5077" s="917"/>
      <c r="LFH5077" s="917"/>
      <c r="LFI5077" s="917" t="s">
        <v>78</v>
      </c>
      <c r="LFJ5077" s="917"/>
      <c r="LFK5077" s="917"/>
      <c r="LFL5077" s="917"/>
      <c r="LFM5077" s="917"/>
      <c r="LFN5077" s="917"/>
      <c r="LFO5077" s="917"/>
      <c r="LFP5077" s="917"/>
      <c r="LFQ5077" s="917"/>
      <c r="LFR5077" s="917"/>
      <c r="LFS5077" s="917"/>
      <c r="LFT5077" s="917"/>
      <c r="LFU5077" s="917"/>
      <c r="LFV5077" s="917"/>
      <c r="LFW5077" s="917"/>
      <c r="LFX5077" s="917"/>
      <c r="LFY5077" s="917"/>
      <c r="LFZ5077" s="917"/>
      <c r="LGA5077" s="917"/>
      <c r="LGB5077" s="917"/>
      <c r="LGC5077" s="917"/>
      <c r="LGD5077" s="917"/>
      <c r="LGE5077" s="917"/>
      <c r="LGF5077" s="917"/>
      <c r="LGG5077" s="917"/>
      <c r="LGH5077" s="917"/>
      <c r="LGI5077" s="917"/>
      <c r="LGJ5077" s="917"/>
      <c r="LGK5077" s="917"/>
      <c r="LGL5077" s="917"/>
      <c r="LGM5077" s="917"/>
      <c r="LGN5077" s="917"/>
      <c r="LGO5077" s="917" t="s">
        <v>78</v>
      </c>
      <c r="LGP5077" s="917"/>
      <c r="LGQ5077" s="917"/>
      <c r="LGR5077" s="917"/>
      <c r="LGS5077" s="917"/>
      <c r="LGT5077" s="917"/>
      <c r="LGU5077" s="917"/>
      <c r="LGV5077" s="917"/>
      <c r="LGW5077" s="917"/>
      <c r="LGX5077" s="917"/>
      <c r="LGY5077" s="917"/>
      <c r="LGZ5077" s="917"/>
      <c r="LHA5077" s="917"/>
      <c r="LHB5077" s="917"/>
      <c r="LHC5077" s="917"/>
      <c r="LHD5077" s="917"/>
      <c r="LHE5077" s="917"/>
      <c r="LHF5077" s="917"/>
      <c r="LHG5077" s="917"/>
      <c r="LHH5077" s="917"/>
      <c r="LHI5077" s="917"/>
      <c r="LHJ5077" s="917"/>
      <c r="LHK5077" s="917"/>
      <c r="LHL5077" s="917"/>
      <c r="LHM5077" s="917"/>
      <c r="LHN5077" s="917"/>
      <c r="LHO5077" s="917"/>
      <c r="LHP5077" s="917"/>
      <c r="LHQ5077" s="917"/>
      <c r="LHR5077" s="917"/>
      <c r="LHS5077" s="917"/>
      <c r="LHT5077" s="917"/>
      <c r="LHU5077" s="917" t="s">
        <v>78</v>
      </c>
      <c r="LHV5077" s="917"/>
      <c r="LHW5077" s="917"/>
      <c r="LHX5077" s="917"/>
      <c r="LHY5077" s="917"/>
      <c r="LHZ5077" s="917"/>
      <c r="LIA5077" s="917"/>
      <c r="LIB5077" s="917"/>
      <c r="LIC5077" s="917"/>
      <c r="LID5077" s="917"/>
      <c r="LIE5077" s="917"/>
      <c r="LIF5077" s="917"/>
      <c r="LIG5077" s="917"/>
      <c r="LIH5077" s="917"/>
      <c r="LII5077" s="917"/>
      <c r="LIJ5077" s="917"/>
      <c r="LIK5077" s="917"/>
      <c r="LIL5077" s="917"/>
      <c r="LIM5077" s="917"/>
      <c r="LIN5077" s="917"/>
      <c r="LIO5077" s="917"/>
      <c r="LIP5077" s="917"/>
      <c r="LIQ5077" s="917"/>
      <c r="LIR5077" s="917"/>
      <c r="LIS5077" s="917"/>
      <c r="LIT5077" s="917"/>
      <c r="LIU5077" s="917"/>
      <c r="LIV5077" s="917"/>
      <c r="LIW5077" s="917"/>
      <c r="LIX5077" s="917"/>
      <c r="LIY5077" s="917"/>
      <c r="LIZ5077" s="917"/>
      <c r="LJA5077" s="917" t="s">
        <v>78</v>
      </c>
      <c r="LJB5077" s="917"/>
      <c r="LJC5077" s="917"/>
      <c r="LJD5077" s="917"/>
      <c r="LJE5077" s="917"/>
      <c r="LJF5077" s="917"/>
      <c r="LJG5077" s="917"/>
      <c r="LJH5077" s="917"/>
      <c r="LJI5077" s="917"/>
      <c r="LJJ5077" s="917"/>
      <c r="LJK5077" s="917"/>
      <c r="LJL5077" s="917"/>
      <c r="LJM5077" s="917"/>
      <c r="LJN5077" s="917"/>
      <c r="LJO5077" s="917"/>
      <c r="LJP5077" s="917"/>
      <c r="LJQ5077" s="917"/>
      <c r="LJR5077" s="917"/>
      <c r="LJS5077" s="917"/>
      <c r="LJT5077" s="917"/>
      <c r="LJU5077" s="917"/>
      <c r="LJV5077" s="917"/>
      <c r="LJW5077" s="917"/>
      <c r="LJX5077" s="917"/>
      <c r="LJY5077" s="917"/>
      <c r="LJZ5077" s="917"/>
      <c r="LKA5077" s="917"/>
      <c r="LKB5077" s="917"/>
      <c r="LKC5077" s="917"/>
      <c r="LKD5077" s="917"/>
      <c r="LKE5077" s="917"/>
      <c r="LKF5077" s="917"/>
      <c r="LKG5077" s="917" t="s">
        <v>78</v>
      </c>
      <c r="LKH5077" s="917"/>
      <c r="LKI5077" s="917"/>
      <c r="LKJ5077" s="917"/>
      <c r="LKK5077" s="917"/>
      <c r="LKL5077" s="917"/>
      <c r="LKM5077" s="917"/>
      <c r="LKN5077" s="917"/>
      <c r="LKO5077" s="917"/>
      <c r="LKP5077" s="917"/>
      <c r="LKQ5077" s="917"/>
      <c r="LKR5077" s="917"/>
      <c r="LKS5077" s="917"/>
      <c r="LKT5077" s="917"/>
      <c r="LKU5077" s="917"/>
      <c r="LKV5077" s="917"/>
      <c r="LKW5077" s="917"/>
      <c r="LKX5077" s="917"/>
      <c r="LKY5077" s="917"/>
      <c r="LKZ5077" s="917"/>
      <c r="LLA5077" s="917"/>
      <c r="LLB5077" s="917"/>
      <c r="LLC5077" s="917"/>
      <c r="LLD5077" s="917"/>
      <c r="LLE5077" s="917"/>
      <c r="LLF5077" s="917"/>
      <c r="LLG5077" s="917"/>
      <c r="LLH5077" s="917"/>
      <c r="LLI5077" s="917"/>
      <c r="LLJ5077" s="917"/>
      <c r="LLK5077" s="917"/>
      <c r="LLL5077" s="917"/>
      <c r="LLM5077" s="917" t="s">
        <v>78</v>
      </c>
      <c r="LLN5077" s="917"/>
      <c r="LLO5077" s="917"/>
      <c r="LLP5077" s="917"/>
      <c r="LLQ5077" s="917"/>
      <c r="LLR5077" s="917"/>
      <c r="LLS5077" s="917"/>
      <c r="LLT5077" s="917"/>
      <c r="LLU5077" s="917"/>
      <c r="LLV5077" s="917"/>
      <c r="LLW5077" s="917"/>
      <c r="LLX5077" s="917"/>
      <c r="LLY5077" s="917"/>
      <c r="LLZ5077" s="917"/>
      <c r="LMA5077" s="917"/>
      <c r="LMB5077" s="917"/>
      <c r="LMC5077" s="917"/>
      <c r="LMD5077" s="917"/>
      <c r="LME5077" s="917"/>
      <c r="LMF5077" s="917"/>
      <c r="LMG5077" s="917"/>
      <c r="LMH5077" s="917"/>
      <c r="LMI5077" s="917"/>
      <c r="LMJ5077" s="917"/>
      <c r="LMK5077" s="917"/>
      <c r="LML5077" s="917"/>
      <c r="LMM5077" s="917"/>
      <c r="LMN5077" s="917"/>
      <c r="LMO5077" s="917"/>
      <c r="LMP5077" s="917"/>
      <c r="LMQ5077" s="917"/>
      <c r="LMR5077" s="917"/>
      <c r="LMS5077" s="917" t="s">
        <v>78</v>
      </c>
      <c r="LMT5077" s="917"/>
      <c r="LMU5077" s="917"/>
      <c r="LMV5077" s="917"/>
      <c r="LMW5077" s="917"/>
      <c r="LMX5077" s="917"/>
      <c r="LMY5077" s="917"/>
      <c r="LMZ5077" s="917"/>
      <c r="LNA5077" s="917"/>
      <c r="LNB5077" s="917"/>
      <c r="LNC5077" s="917"/>
      <c r="LND5077" s="917"/>
      <c r="LNE5077" s="917"/>
      <c r="LNF5077" s="917"/>
      <c r="LNG5077" s="917"/>
      <c r="LNH5077" s="917"/>
      <c r="LNI5077" s="917"/>
      <c r="LNJ5077" s="917"/>
      <c r="LNK5077" s="917"/>
      <c r="LNL5077" s="917"/>
      <c r="LNM5077" s="917"/>
      <c r="LNN5077" s="917"/>
      <c r="LNO5077" s="917"/>
      <c r="LNP5077" s="917"/>
      <c r="LNQ5077" s="917"/>
      <c r="LNR5077" s="917"/>
      <c r="LNS5077" s="917"/>
      <c r="LNT5077" s="917"/>
      <c r="LNU5077" s="917"/>
      <c r="LNV5077" s="917"/>
      <c r="LNW5077" s="917"/>
      <c r="LNX5077" s="917"/>
      <c r="LNY5077" s="917" t="s">
        <v>78</v>
      </c>
      <c r="LNZ5077" s="917"/>
      <c r="LOA5077" s="917"/>
      <c r="LOB5077" s="917"/>
      <c r="LOC5077" s="917"/>
      <c r="LOD5077" s="917"/>
      <c r="LOE5077" s="917"/>
      <c r="LOF5077" s="917"/>
      <c r="LOG5077" s="917"/>
      <c r="LOH5077" s="917"/>
      <c r="LOI5077" s="917"/>
      <c r="LOJ5077" s="917"/>
      <c r="LOK5077" s="917"/>
      <c r="LOL5077" s="917"/>
      <c r="LOM5077" s="917"/>
      <c r="LON5077" s="917"/>
      <c r="LOO5077" s="917"/>
      <c r="LOP5077" s="917"/>
      <c r="LOQ5077" s="917"/>
      <c r="LOR5077" s="917"/>
      <c r="LOS5077" s="917"/>
      <c r="LOT5077" s="917"/>
      <c r="LOU5077" s="917"/>
      <c r="LOV5077" s="917"/>
      <c r="LOW5077" s="917"/>
      <c r="LOX5077" s="917"/>
      <c r="LOY5077" s="917"/>
      <c r="LOZ5077" s="917"/>
      <c r="LPA5077" s="917"/>
      <c r="LPB5077" s="917"/>
      <c r="LPC5077" s="917"/>
      <c r="LPD5077" s="917"/>
      <c r="LPE5077" s="917" t="s">
        <v>78</v>
      </c>
      <c r="LPF5077" s="917"/>
      <c r="LPG5077" s="917"/>
      <c r="LPH5077" s="917"/>
      <c r="LPI5077" s="917"/>
      <c r="LPJ5077" s="917"/>
      <c r="LPK5077" s="917"/>
      <c r="LPL5077" s="917"/>
      <c r="LPM5077" s="917"/>
      <c r="LPN5077" s="917"/>
      <c r="LPO5077" s="917"/>
      <c r="LPP5077" s="917"/>
      <c r="LPQ5077" s="917"/>
      <c r="LPR5077" s="917"/>
      <c r="LPS5077" s="917"/>
      <c r="LPT5077" s="917"/>
      <c r="LPU5077" s="917"/>
      <c r="LPV5077" s="917"/>
      <c r="LPW5077" s="917"/>
      <c r="LPX5077" s="917"/>
      <c r="LPY5077" s="917"/>
      <c r="LPZ5077" s="917"/>
      <c r="LQA5077" s="917"/>
      <c r="LQB5077" s="917"/>
      <c r="LQC5077" s="917"/>
      <c r="LQD5077" s="917"/>
      <c r="LQE5077" s="917"/>
      <c r="LQF5077" s="917"/>
      <c r="LQG5077" s="917"/>
      <c r="LQH5077" s="917"/>
      <c r="LQI5077" s="917"/>
      <c r="LQJ5077" s="917"/>
      <c r="LQK5077" s="917" t="s">
        <v>78</v>
      </c>
      <c r="LQL5077" s="917"/>
      <c r="LQM5077" s="917"/>
      <c r="LQN5077" s="917"/>
      <c r="LQO5077" s="917"/>
      <c r="LQP5077" s="917"/>
      <c r="LQQ5077" s="917"/>
      <c r="LQR5077" s="917"/>
      <c r="LQS5077" s="917"/>
      <c r="LQT5077" s="917"/>
      <c r="LQU5077" s="917"/>
      <c r="LQV5077" s="917"/>
      <c r="LQW5077" s="917"/>
      <c r="LQX5077" s="917"/>
      <c r="LQY5077" s="917"/>
      <c r="LQZ5077" s="917"/>
      <c r="LRA5077" s="917"/>
      <c r="LRB5077" s="917"/>
      <c r="LRC5077" s="917"/>
      <c r="LRD5077" s="917"/>
      <c r="LRE5077" s="917"/>
      <c r="LRF5077" s="917"/>
      <c r="LRG5077" s="917"/>
      <c r="LRH5077" s="917"/>
      <c r="LRI5077" s="917"/>
      <c r="LRJ5077" s="917"/>
      <c r="LRK5077" s="917"/>
      <c r="LRL5077" s="917"/>
      <c r="LRM5077" s="917"/>
      <c r="LRN5077" s="917"/>
      <c r="LRO5077" s="917"/>
      <c r="LRP5077" s="917"/>
      <c r="LRQ5077" s="917" t="s">
        <v>78</v>
      </c>
      <c r="LRR5077" s="917"/>
      <c r="LRS5077" s="917"/>
      <c r="LRT5077" s="917"/>
      <c r="LRU5077" s="917"/>
      <c r="LRV5077" s="917"/>
      <c r="LRW5077" s="917"/>
      <c r="LRX5077" s="917"/>
      <c r="LRY5077" s="917"/>
      <c r="LRZ5077" s="917"/>
      <c r="LSA5077" s="917"/>
      <c r="LSB5077" s="917"/>
      <c r="LSC5077" s="917"/>
      <c r="LSD5077" s="917"/>
      <c r="LSE5077" s="917"/>
      <c r="LSF5077" s="917"/>
      <c r="LSG5077" s="917"/>
      <c r="LSH5077" s="917"/>
      <c r="LSI5077" s="917"/>
      <c r="LSJ5077" s="917"/>
      <c r="LSK5077" s="917"/>
      <c r="LSL5077" s="917"/>
      <c r="LSM5077" s="917"/>
      <c r="LSN5077" s="917"/>
      <c r="LSO5077" s="917"/>
      <c r="LSP5077" s="917"/>
      <c r="LSQ5077" s="917"/>
      <c r="LSR5077" s="917"/>
      <c r="LSS5077" s="917"/>
      <c r="LST5077" s="917"/>
      <c r="LSU5077" s="917"/>
      <c r="LSV5077" s="917"/>
      <c r="LSW5077" s="917" t="s">
        <v>78</v>
      </c>
      <c r="LSX5077" s="917"/>
      <c r="LSY5077" s="917"/>
      <c r="LSZ5077" s="917"/>
      <c r="LTA5077" s="917"/>
      <c r="LTB5077" s="917"/>
      <c r="LTC5077" s="917"/>
      <c r="LTD5077" s="917"/>
      <c r="LTE5077" s="917"/>
      <c r="LTF5077" s="917"/>
      <c r="LTG5077" s="917"/>
      <c r="LTH5077" s="917"/>
      <c r="LTI5077" s="917"/>
      <c r="LTJ5077" s="917"/>
      <c r="LTK5077" s="917"/>
      <c r="LTL5077" s="917"/>
      <c r="LTM5077" s="917"/>
      <c r="LTN5077" s="917"/>
      <c r="LTO5077" s="917"/>
      <c r="LTP5077" s="917"/>
      <c r="LTQ5077" s="917"/>
      <c r="LTR5077" s="917"/>
      <c r="LTS5077" s="917"/>
      <c r="LTT5077" s="917"/>
      <c r="LTU5077" s="917"/>
      <c r="LTV5077" s="917"/>
      <c r="LTW5077" s="917"/>
      <c r="LTX5077" s="917"/>
      <c r="LTY5077" s="917"/>
      <c r="LTZ5077" s="917"/>
      <c r="LUA5077" s="917"/>
      <c r="LUB5077" s="917"/>
      <c r="LUC5077" s="917" t="s">
        <v>78</v>
      </c>
      <c r="LUD5077" s="917"/>
      <c r="LUE5077" s="917"/>
      <c r="LUF5077" s="917"/>
      <c r="LUG5077" s="917"/>
      <c r="LUH5077" s="917"/>
      <c r="LUI5077" s="917"/>
      <c r="LUJ5077" s="917"/>
      <c r="LUK5077" s="917"/>
      <c r="LUL5077" s="917"/>
      <c r="LUM5077" s="917"/>
      <c r="LUN5077" s="917"/>
      <c r="LUO5077" s="917"/>
      <c r="LUP5077" s="917"/>
      <c r="LUQ5077" s="917"/>
      <c r="LUR5077" s="917"/>
      <c r="LUS5077" s="917"/>
      <c r="LUT5077" s="917"/>
      <c r="LUU5077" s="917"/>
      <c r="LUV5077" s="917"/>
      <c r="LUW5077" s="917"/>
      <c r="LUX5077" s="917"/>
      <c r="LUY5077" s="917"/>
      <c r="LUZ5077" s="917"/>
      <c r="LVA5077" s="917"/>
      <c r="LVB5077" s="917"/>
      <c r="LVC5077" s="917"/>
      <c r="LVD5077" s="917"/>
      <c r="LVE5077" s="917"/>
      <c r="LVF5077" s="917"/>
      <c r="LVG5077" s="917"/>
      <c r="LVH5077" s="917"/>
      <c r="LVI5077" s="917" t="s">
        <v>78</v>
      </c>
      <c r="LVJ5077" s="917"/>
      <c r="LVK5077" s="917"/>
      <c r="LVL5077" s="917"/>
      <c r="LVM5077" s="917"/>
      <c r="LVN5077" s="917"/>
      <c r="LVO5077" s="917"/>
      <c r="LVP5077" s="917"/>
      <c r="LVQ5077" s="917"/>
      <c r="LVR5077" s="917"/>
      <c r="LVS5077" s="917"/>
      <c r="LVT5077" s="917"/>
      <c r="LVU5077" s="917"/>
      <c r="LVV5077" s="917"/>
      <c r="LVW5077" s="917"/>
      <c r="LVX5077" s="917"/>
      <c r="LVY5077" s="917"/>
      <c r="LVZ5077" s="917"/>
      <c r="LWA5077" s="917"/>
      <c r="LWB5077" s="917"/>
      <c r="LWC5077" s="917"/>
      <c r="LWD5077" s="917"/>
      <c r="LWE5077" s="917"/>
      <c r="LWF5077" s="917"/>
      <c r="LWG5077" s="917"/>
      <c r="LWH5077" s="917"/>
      <c r="LWI5077" s="917"/>
      <c r="LWJ5077" s="917"/>
      <c r="LWK5077" s="917"/>
      <c r="LWL5077" s="917"/>
      <c r="LWM5077" s="917"/>
      <c r="LWN5077" s="917"/>
      <c r="LWO5077" s="917" t="s">
        <v>78</v>
      </c>
      <c r="LWP5077" s="917"/>
      <c r="LWQ5077" s="917"/>
      <c r="LWR5077" s="917"/>
      <c r="LWS5077" s="917"/>
      <c r="LWT5077" s="917"/>
      <c r="LWU5077" s="917"/>
      <c r="LWV5077" s="917"/>
      <c r="LWW5077" s="917"/>
      <c r="LWX5077" s="917"/>
      <c r="LWY5077" s="917"/>
      <c r="LWZ5077" s="917"/>
      <c r="LXA5077" s="917"/>
      <c r="LXB5077" s="917"/>
      <c r="LXC5077" s="917"/>
      <c r="LXD5077" s="917"/>
      <c r="LXE5077" s="917"/>
      <c r="LXF5077" s="917"/>
      <c r="LXG5077" s="917"/>
      <c r="LXH5077" s="917"/>
      <c r="LXI5077" s="917"/>
      <c r="LXJ5077" s="917"/>
      <c r="LXK5077" s="917"/>
      <c r="LXL5077" s="917"/>
      <c r="LXM5077" s="917"/>
      <c r="LXN5077" s="917"/>
      <c r="LXO5077" s="917"/>
      <c r="LXP5077" s="917"/>
      <c r="LXQ5077" s="917"/>
      <c r="LXR5077" s="917"/>
      <c r="LXS5077" s="917"/>
      <c r="LXT5077" s="917"/>
      <c r="LXU5077" s="917" t="s">
        <v>78</v>
      </c>
      <c r="LXV5077" s="917"/>
      <c r="LXW5077" s="917"/>
      <c r="LXX5077" s="917"/>
      <c r="LXY5077" s="917"/>
      <c r="LXZ5077" s="917"/>
      <c r="LYA5077" s="917"/>
      <c r="LYB5077" s="917"/>
      <c r="LYC5077" s="917"/>
      <c r="LYD5077" s="917"/>
      <c r="LYE5077" s="917"/>
      <c r="LYF5077" s="917"/>
      <c r="LYG5077" s="917"/>
      <c r="LYH5077" s="917"/>
      <c r="LYI5077" s="917"/>
      <c r="LYJ5077" s="917"/>
      <c r="LYK5077" s="917"/>
      <c r="LYL5077" s="917"/>
      <c r="LYM5077" s="917"/>
      <c r="LYN5077" s="917"/>
      <c r="LYO5077" s="917"/>
      <c r="LYP5077" s="917"/>
      <c r="LYQ5077" s="917"/>
      <c r="LYR5077" s="917"/>
      <c r="LYS5077" s="917"/>
      <c r="LYT5077" s="917"/>
      <c r="LYU5077" s="917"/>
      <c r="LYV5077" s="917"/>
      <c r="LYW5077" s="917"/>
      <c r="LYX5077" s="917"/>
      <c r="LYY5077" s="917"/>
      <c r="LYZ5077" s="917"/>
      <c r="LZA5077" s="917" t="s">
        <v>78</v>
      </c>
      <c r="LZB5077" s="917"/>
      <c r="LZC5077" s="917"/>
      <c r="LZD5077" s="917"/>
      <c r="LZE5077" s="917"/>
      <c r="LZF5077" s="917"/>
      <c r="LZG5077" s="917"/>
      <c r="LZH5077" s="917"/>
      <c r="LZI5077" s="917"/>
      <c r="LZJ5077" s="917"/>
      <c r="LZK5077" s="917"/>
      <c r="LZL5077" s="917"/>
      <c r="LZM5077" s="917"/>
      <c r="LZN5077" s="917"/>
      <c r="LZO5077" s="917"/>
      <c r="LZP5077" s="917"/>
      <c r="LZQ5077" s="917"/>
      <c r="LZR5077" s="917"/>
      <c r="LZS5077" s="917"/>
      <c r="LZT5077" s="917"/>
      <c r="LZU5077" s="917"/>
      <c r="LZV5077" s="917"/>
      <c r="LZW5077" s="917"/>
      <c r="LZX5077" s="917"/>
      <c r="LZY5077" s="917"/>
      <c r="LZZ5077" s="917"/>
      <c r="MAA5077" s="917"/>
      <c r="MAB5077" s="917"/>
      <c r="MAC5077" s="917"/>
      <c r="MAD5077" s="917"/>
      <c r="MAE5077" s="917"/>
      <c r="MAF5077" s="917"/>
      <c r="MAG5077" s="917" t="s">
        <v>78</v>
      </c>
      <c r="MAH5077" s="917"/>
      <c r="MAI5077" s="917"/>
      <c r="MAJ5077" s="917"/>
      <c r="MAK5077" s="917"/>
      <c r="MAL5077" s="917"/>
      <c r="MAM5077" s="917"/>
      <c r="MAN5077" s="917"/>
      <c r="MAO5077" s="917"/>
      <c r="MAP5077" s="917"/>
      <c r="MAQ5077" s="917"/>
      <c r="MAR5077" s="917"/>
      <c r="MAS5077" s="917"/>
      <c r="MAT5077" s="917"/>
      <c r="MAU5077" s="917"/>
      <c r="MAV5077" s="917"/>
      <c r="MAW5077" s="917"/>
      <c r="MAX5077" s="917"/>
      <c r="MAY5077" s="917"/>
      <c r="MAZ5077" s="917"/>
      <c r="MBA5077" s="917"/>
      <c r="MBB5077" s="917"/>
      <c r="MBC5077" s="917"/>
      <c r="MBD5077" s="917"/>
      <c r="MBE5077" s="917"/>
      <c r="MBF5077" s="917"/>
      <c r="MBG5077" s="917"/>
      <c r="MBH5077" s="917"/>
      <c r="MBI5077" s="917"/>
      <c r="MBJ5077" s="917"/>
      <c r="MBK5077" s="917"/>
      <c r="MBL5077" s="917"/>
      <c r="MBM5077" s="917" t="s">
        <v>78</v>
      </c>
      <c r="MBN5077" s="917"/>
      <c r="MBO5077" s="917"/>
      <c r="MBP5077" s="917"/>
      <c r="MBQ5077" s="917"/>
      <c r="MBR5077" s="917"/>
      <c r="MBS5077" s="917"/>
      <c r="MBT5077" s="917"/>
      <c r="MBU5077" s="917"/>
      <c r="MBV5077" s="917"/>
      <c r="MBW5077" s="917"/>
      <c r="MBX5077" s="917"/>
      <c r="MBY5077" s="917"/>
      <c r="MBZ5077" s="917"/>
      <c r="MCA5077" s="917"/>
      <c r="MCB5077" s="917"/>
      <c r="MCC5077" s="917"/>
      <c r="MCD5077" s="917"/>
      <c r="MCE5077" s="917"/>
      <c r="MCF5077" s="917"/>
      <c r="MCG5077" s="917"/>
      <c r="MCH5077" s="917"/>
      <c r="MCI5077" s="917"/>
      <c r="MCJ5077" s="917"/>
      <c r="MCK5077" s="917"/>
      <c r="MCL5077" s="917"/>
      <c r="MCM5077" s="917"/>
      <c r="MCN5077" s="917"/>
      <c r="MCO5077" s="917"/>
      <c r="MCP5077" s="917"/>
      <c r="MCQ5077" s="917"/>
      <c r="MCR5077" s="917"/>
      <c r="MCS5077" s="917" t="s">
        <v>78</v>
      </c>
      <c r="MCT5077" s="917"/>
      <c r="MCU5077" s="917"/>
      <c r="MCV5077" s="917"/>
      <c r="MCW5077" s="917"/>
      <c r="MCX5077" s="917"/>
      <c r="MCY5077" s="917"/>
      <c r="MCZ5077" s="917"/>
      <c r="MDA5077" s="917"/>
      <c r="MDB5077" s="917"/>
      <c r="MDC5077" s="917"/>
      <c r="MDD5077" s="917"/>
      <c r="MDE5077" s="917"/>
      <c r="MDF5077" s="917"/>
      <c r="MDG5077" s="917"/>
      <c r="MDH5077" s="917"/>
      <c r="MDI5077" s="917"/>
      <c r="MDJ5077" s="917"/>
      <c r="MDK5077" s="917"/>
      <c r="MDL5077" s="917"/>
      <c r="MDM5077" s="917"/>
      <c r="MDN5077" s="917"/>
      <c r="MDO5077" s="917"/>
      <c r="MDP5077" s="917"/>
      <c r="MDQ5077" s="917"/>
      <c r="MDR5077" s="917"/>
      <c r="MDS5077" s="917"/>
      <c r="MDT5077" s="917"/>
      <c r="MDU5077" s="917"/>
      <c r="MDV5077" s="917"/>
      <c r="MDW5077" s="917"/>
      <c r="MDX5077" s="917"/>
      <c r="MDY5077" s="917" t="s">
        <v>78</v>
      </c>
      <c r="MDZ5077" s="917"/>
      <c r="MEA5077" s="917"/>
      <c r="MEB5077" s="917"/>
      <c r="MEC5077" s="917"/>
      <c r="MED5077" s="917"/>
      <c r="MEE5077" s="917"/>
      <c r="MEF5077" s="917"/>
      <c r="MEG5077" s="917"/>
      <c r="MEH5077" s="917"/>
      <c r="MEI5077" s="917"/>
      <c r="MEJ5077" s="917"/>
      <c r="MEK5077" s="917"/>
      <c r="MEL5077" s="917"/>
      <c r="MEM5077" s="917"/>
      <c r="MEN5077" s="917"/>
      <c r="MEO5077" s="917"/>
      <c r="MEP5077" s="917"/>
      <c r="MEQ5077" s="917"/>
      <c r="MER5077" s="917"/>
      <c r="MES5077" s="917"/>
      <c r="MET5077" s="917"/>
      <c r="MEU5077" s="917"/>
      <c r="MEV5077" s="917"/>
      <c r="MEW5077" s="917"/>
      <c r="MEX5077" s="917"/>
      <c r="MEY5077" s="917"/>
      <c r="MEZ5077" s="917"/>
      <c r="MFA5077" s="917"/>
      <c r="MFB5077" s="917"/>
      <c r="MFC5077" s="917"/>
      <c r="MFD5077" s="917"/>
      <c r="MFE5077" s="917" t="s">
        <v>78</v>
      </c>
      <c r="MFF5077" s="917"/>
      <c r="MFG5077" s="917"/>
      <c r="MFH5077" s="917"/>
      <c r="MFI5077" s="917"/>
      <c r="MFJ5077" s="917"/>
      <c r="MFK5077" s="917"/>
      <c r="MFL5077" s="917"/>
      <c r="MFM5077" s="917"/>
      <c r="MFN5077" s="917"/>
      <c r="MFO5077" s="917"/>
      <c r="MFP5077" s="917"/>
      <c r="MFQ5077" s="917"/>
      <c r="MFR5077" s="917"/>
      <c r="MFS5077" s="917"/>
      <c r="MFT5077" s="917"/>
      <c r="MFU5077" s="917"/>
      <c r="MFV5077" s="917"/>
      <c r="MFW5077" s="917"/>
      <c r="MFX5077" s="917"/>
      <c r="MFY5077" s="917"/>
      <c r="MFZ5077" s="917"/>
      <c r="MGA5077" s="917"/>
      <c r="MGB5077" s="917"/>
      <c r="MGC5077" s="917"/>
      <c r="MGD5077" s="917"/>
      <c r="MGE5077" s="917"/>
      <c r="MGF5077" s="917"/>
      <c r="MGG5077" s="917"/>
      <c r="MGH5077" s="917"/>
      <c r="MGI5077" s="917"/>
      <c r="MGJ5077" s="917"/>
      <c r="MGK5077" s="917" t="s">
        <v>78</v>
      </c>
      <c r="MGL5077" s="917"/>
      <c r="MGM5077" s="917"/>
      <c r="MGN5077" s="917"/>
      <c r="MGO5077" s="917"/>
      <c r="MGP5077" s="917"/>
      <c r="MGQ5077" s="917"/>
      <c r="MGR5077" s="917"/>
      <c r="MGS5077" s="917"/>
      <c r="MGT5077" s="917"/>
      <c r="MGU5077" s="917"/>
      <c r="MGV5077" s="917"/>
      <c r="MGW5077" s="917"/>
      <c r="MGX5077" s="917"/>
      <c r="MGY5077" s="917"/>
      <c r="MGZ5077" s="917"/>
      <c r="MHA5077" s="917"/>
      <c r="MHB5077" s="917"/>
      <c r="MHC5077" s="917"/>
      <c r="MHD5077" s="917"/>
      <c r="MHE5077" s="917"/>
      <c r="MHF5077" s="917"/>
      <c r="MHG5077" s="917"/>
      <c r="MHH5077" s="917"/>
      <c r="MHI5077" s="917"/>
      <c r="MHJ5077" s="917"/>
      <c r="MHK5077" s="917"/>
      <c r="MHL5077" s="917"/>
      <c r="MHM5077" s="917"/>
      <c r="MHN5077" s="917"/>
      <c r="MHO5077" s="917"/>
      <c r="MHP5077" s="917"/>
      <c r="MHQ5077" s="917" t="s">
        <v>78</v>
      </c>
      <c r="MHR5077" s="917"/>
      <c r="MHS5077" s="917"/>
      <c r="MHT5077" s="917"/>
      <c r="MHU5077" s="917"/>
      <c r="MHV5077" s="917"/>
      <c r="MHW5077" s="917"/>
      <c r="MHX5077" s="917"/>
      <c r="MHY5077" s="917"/>
      <c r="MHZ5077" s="917"/>
      <c r="MIA5077" s="917"/>
      <c r="MIB5077" s="917"/>
      <c r="MIC5077" s="917"/>
      <c r="MID5077" s="917"/>
      <c r="MIE5077" s="917"/>
      <c r="MIF5077" s="917"/>
      <c r="MIG5077" s="917"/>
      <c r="MIH5077" s="917"/>
      <c r="MII5077" s="917"/>
      <c r="MIJ5077" s="917"/>
      <c r="MIK5077" s="917"/>
      <c r="MIL5077" s="917"/>
      <c r="MIM5077" s="917"/>
      <c r="MIN5077" s="917"/>
      <c r="MIO5077" s="917"/>
      <c r="MIP5077" s="917"/>
      <c r="MIQ5077" s="917"/>
      <c r="MIR5077" s="917"/>
      <c r="MIS5077" s="917"/>
      <c r="MIT5077" s="917"/>
      <c r="MIU5077" s="917"/>
      <c r="MIV5077" s="917"/>
      <c r="MIW5077" s="917" t="s">
        <v>78</v>
      </c>
      <c r="MIX5077" s="917"/>
      <c r="MIY5077" s="917"/>
      <c r="MIZ5077" s="917"/>
      <c r="MJA5077" s="917"/>
      <c r="MJB5077" s="917"/>
      <c r="MJC5077" s="917"/>
      <c r="MJD5077" s="917"/>
      <c r="MJE5077" s="917"/>
      <c r="MJF5077" s="917"/>
      <c r="MJG5077" s="917"/>
      <c r="MJH5077" s="917"/>
      <c r="MJI5077" s="917"/>
      <c r="MJJ5077" s="917"/>
      <c r="MJK5077" s="917"/>
      <c r="MJL5077" s="917"/>
      <c r="MJM5077" s="917"/>
      <c r="MJN5077" s="917"/>
      <c r="MJO5077" s="917"/>
      <c r="MJP5077" s="917"/>
      <c r="MJQ5077" s="917"/>
      <c r="MJR5077" s="917"/>
      <c r="MJS5077" s="917"/>
      <c r="MJT5077" s="917"/>
      <c r="MJU5077" s="917"/>
      <c r="MJV5077" s="917"/>
      <c r="MJW5077" s="917"/>
      <c r="MJX5077" s="917"/>
      <c r="MJY5077" s="917"/>
      <c r="MJZ5077" s="917"/>
      <c r="MKA5077" s="917"/>
      <c r="MKB5077" s="917"/>
      <c r="MKC5077" s="917" t="s">
        <v>78</v>
      </c>
      <c r="MKD5077" s="917"/>
      <c r="MKE5077" s="917"/>
      <c r="MKF5077" s="917"/>
      <c r="MKG5077" s="917"/>
      <c r="MKH5077" s="917"/>
      <c r="MKI5077" s="917"/>
      <c r="MKJ5077" s="917"/>
      <c r="MKK5077" s="917"/>
      <c r="MKL5077" s="917"/>
      <c r="MKM5077" s="917"/>
      <c r="MKN5077" s="917"/>
      <c r="MKO5077" s="917"/>
      <c r="MKP5077" s="917"/>
      <c r="MKQ5077" s="917"/>
      <c r="MKR5077" s="917"/>
      <c r="MKS5077" s="917"/>
      <c r="MKT5077" s="917"/>
      <c r="MKU5077" s="917"/>
      <c r="MKV5077" s="917"/>
      <c r="MKW5077" s="917"/>
      <c r="MKX5077" s="917"/>
      <c r="MKY5077" s="917"/>
      <c r="MKZ5077" s="917"/>
      <c r="MLA5077" s="917"/>
      <c r="MLB5077" s="917"/>
      <c r="MLC5077" s="917"/>
      <c r="MLD5077" s="917"/>
      <c r="MLE5077" s="917"/>
      <c r="MLF5077" s="917"/>
      <c r="MLG5077" s="917"/>
      <c r="MLH5077" s="917"/>
      <c r="MLI5077" s="917" t="s">
        <v>78</v>
      </c>
      <c r="MLJ5077" s="917"/>
      <c r="MLK5077" s="917"/>
      <c r="MLL5077" s="917"/>
      <c r="MLM5077" s="917"/>
      <c r="MLN5077" s="917"/>
      <c r="MLO5077" s="917"/>
      <c r="MLP5077" s="917"/>
      <c r="MLQ5077" s="917"/>
      <c r="MLR5077" s="917"/>
      <c r="MLS5077" s="917"/>
      <c r="MLT5077" s="917"/>
      <c r="MLU5077" s="917"/>
      <c r="MLV5077" s="917"/>
      <c r="MLW5077" s="917"/>
      <c r="MLX5077" s="917"/>
      <c r="MLY5077" s="917"/>
      <c r="MLZ5077" s="917"/>
      <c r="MMA5077" s="917"/>
      <c r="MMB5077" s="917"/>
      <c r="MMC5077" s="917"/>
      <c r="MMD5077" s="917"/>
      <c r="MME5077" s="917"/>
      <c r="MMF5077" s="917"/>
      <c r="MMG5077" s="917"/>
      <c r="MMH5077" s="917"/>
      <c r="MMI5077" s="917"/>
      <c r="MMJ5077" s="917"/>
      <c r="MMK5077" s="917"/>
      <c r="MML5077" s="917"/>
      <c r="MMM5077" s="917"/>
      <c r="MMN5077" s="917"/>
      <c r="MMO5077" s="917" t="s">
        <v>78</v>
      </c>
      <c r="MMP5077" s="917"/>
      <c r="MMQ5077" s="917"/>
      <c r="MMR5077" s="917"/>
      <c r="MMS5077" s="917"/>
      <c r="MMT5077" s="917"/>
      <c r="MMU5077" s="917"/>
      <c r="MMV5077" s="917"/>
      <c r="MMW5077" s="917"/>
      <c r="MMX5077" s="917"/>
      <c r="MMY5077" s="917"/>
      <c r="MMZ5077" s="917"/>
      <c r="MNA5077" s="917"/>
      <c r="MNB5077" s="917"/>
      <c r="MNC5077" s="917"/>
      <c r="MND5077" s="917"/>
      <c r="MNE5077" s="917"/>
      <c r="MNF5077" s="917"/>
      <c r="MNG5077" s="917"/>
      <c r="MNH5077" s="917"/>
      <c r="MNI5077" s="917"/>
      <c r="MNJ5077" s="917"/>
      <c r="MNK5077" s="917"/>
      <c r="MNL5077" s="917"/>
      <c r="MNM5077" s="917"/>
      <c r="MNN5077" s="917"/>
      <c r="MNO5077" s="917"/>
      <c r="MNP5077" s="917"/>
      <c r="MNQ5077" s="917"/>
      <c r="MNR5077" s="917"/>
      <c r="MNS5077" s="917"/>
      <c r="MNT5077" s="917"/>
      <c r="MNU5077" s="917" t="s">
        <v>78</v>
      </c>
      <c r="MNV5077" s="917"/>
      <c r="MNW5077" s="917"/>
      <c r="MNX5077" s="917"/>
      <c r="MNY5077" s="917"/>
      <c r="MNZ5077" s="917"/>
      <c r="MOA5077" s="917"/>
      <c r="MOB5077" s="917"/>
      <c r="MOC5077" s="917"/>
      <c r="MOD5077" s="917"/>
      <c r="MOE5077" s="917"/>
      <c r="MOF5077" s="917"/>
      <c r="MOG5077" s="917"/>
      <c r="MOH5077" s="917"/>
      <c r="MOI5077" s="917"/>
      <c r="MOJ5077" s="917"/>
      <c r="MOK5077" s="917"/>
      <c r="MOL5077" s="917"/>
      <c r="MOM5077" s="917"/>
      <c r="MON5077" s="917"/>
      <c r="MOO5077" s="917"/>
      <c r="MOP5077" s="917"/>
      <c r="MOQ5077" s="917"/>
      <c r="MOR5077" s="917"/>
      <c r="MOS5077" s="917"/>
      <c r="MOT5077" s="917"/>
      <c r="MOU5077" s="917"/>
      <c r="MOV5077" s="917"/>
      <c r="MOW5077" s="917"/>
      <c r="MOX5077" s="917"/>
      <c r="MOY5077" s="917"/>
      <c r="MOZ5077" s="917"/>
      <c r="MPA5077" s="917" t="s">
        <v>78</v>
      </c>
      <c r="MPB5077" s="917"/>
      <c r="MPC5077" s="917"/>
      <c r="MPD5077" s="917"/>
      <c r="MPE5077" s="917"/>
      <c r="MPF5077" s="917"/>
      <c r="MPG5077" s="917"/>
      <c r="MPH5077" s="917"/>
      <c r="MPI5077" s="917"/>
      <c r="MPJ5077" s="917"/>
      <c r="MPK5077" s="917"/>
      <c r="MPL5077" s="917"/>
      <c r="MPM5077" s="917"/>
      <c r="MPN5077" s="917"/>
      <c r="MPO5077" s="917"/>
      <c r="MPP5077" s="917"/>
      <c r="MPQ5077" s="917"/>
      <c r="MPR5077" s="917"/>
      <c r="MPS5077" s="917"/>
      <c r="MPT5077" s="917"/>
      <c r="MPU5077" s="917"/>
      <c r="MPV5077" s="917"/>
      <c r="MPW5077" s="917"/>
      <c r="MPX5077" s="917"/>
      <c r="MPY5077" s="917"/>
      <c r="MPZ5077" s="917"/>
      <c r="MQA5077" s="917"/>
      <c r="MQB5077" s="917"/>
      <c r="MQC5077" s="917"/>
      <c r="MQD5077" s="917"/>
      <c r="MQE5077" s="917"/>
      <c r="MQF5077" s="917"/>
      <c r="MQG5077" s="917" t="s">
        <v>78</v>
      </c>
      <c r="MQH5077" s="917"/>
      <c r="MQI5077" s="917"/>
      <c r="MQJ5077" s="917"/>
      <c r="MQK5077" s="917"/>
      <c r="MQL5077" s="917"/>
      <c r="MQM5077" s="917"/>
      <c r="MQN5077" s="917"/>
      <c r="MQO5077" s="917"/>
      <c r="MQP5077" s="917"/>
      <c r="MQQ5077" s="917"/>
      <c r="MQR5077" s="917"/>
      <c r="MQS5077" s="917"/>
      <c r="MQT5077" s="917"/>
      <c r="MQU5077" s="917"/>
      <c r="MQV5077" s="917"/>
      <c r="MQW5077" s="917"/>
      <c r="MQX5077" s="917"/>
      <c r="MQY5077" s="917"/>
      <c r="MQZ5077" s="917"/>
      <c r="MRA5077" s="917"/>
      <c r="MRB5077" s="917"/>
      <c r="MRC5077" s="917"/>
      <c r="MRD5077" s="917"/>
      <c r="MRE5077" s="917"/>
      <c r="MRF5077" s="917"/>
      <c r="MRG5077" s="917"/>
      <c r="MRH5077" s="917"/>
      <c r="MRI5077" s="917"/>
      <c r="MRJ5077" s="917"/>
      <c r="MRK5077" s="917"/>
      <c r="MRL5077" s="917"/>
      <c r="MRM5077" s="917" t="s">
        <v>78</v>
      </c>
      <c r="MRN5077" s="917"/>
      <c r="MRO5077" s="917"/>
      <c r="MRP5077" s="917"/>
      <c r="MRQ5077" s="917"/>
      <c r="MRR5077" s="917"/>
      <c r="MRS5077" s="917"/>
      <c r="MRT5077" s="917"/>
      <c r="MRU5077" s="917"/>
      <c r="MRV5077" s="917"/>
      <c r="MRW5077" s="917"/>
      <c r="MRX5077" s="917"/>
      <c r="MRY5077" s="917"/>
      <c r="MRZ5077" s="917"/>
      <c r="MSA5077" s="917"/>
      <c r="MSB5077" s="917"/>
      <c r="MSC5077" s="917"/>
      <c r="MSD5077" s="917"/>
      <c r="MSE5077" s="917"/>
      <c r="MSF5077" s="917"/>
      <c r="MSG5077" s="917"/>
      <c r="MSH5077" s="917"/>
      <c r="MSI5077" s="917"/>
      <c r="MSJ5077" s="917"/>
      <c r="MSK5077" s="917"/>
      <c r="MSL5077" s="917"/>
      <c r="MSM5077" s="917"/>
      <c r="MSN5077" s="917"/>
      <c r="MSO5077" s="917"/>
      <c r="MSP5077" s="917"/>
      <c r="MSQ5077" s="917"/>
      <c r="MSR5077" s="917"/>
      <c r="MSS5077" s="917" t="s">
        <v>78</v>
      </c>
      <c r="MST5077" s="917"/>
      <c r="MSU5077" s="917"/>
      <c r="MSV5077" s="917"/>
      <c r="MSW5077" s="917"/>
      <c r="MSX5077" s="917"/>
      <c r="MSY5077" s="917"/>
      <c r="MSZ5077" s="917"/>
      <c r="MTA5077" s="917"/>
      <c r="MTB5077" s="917"/>
      <c r="MTC5077" s="917"/>
      <c r="MTD5077" s="917"/>
      <c r="MTE5077" s="917"/>
      <c r="MTF5077" s="917"/>
      <c r="MTG5077" s="917"/>
      <c r="MTH5077" s="917"/>
      <c r="MTI5077" s="917"/>
      <c r="MTJ5077" s="917"/>
      <c r="MTK5077" s="917"/>
      <c r="MTL5077" s="917"/>
      <c r="MTM5077" s="917"/>
      <c r="MTN5077" s="917"/>
      <c r="MTO5077" s="917"/>
      <c r="MTP5077" s="917"/>
      <c r="MTQ5077" s="917"/>
      <c r="MTR5077" s="917"/>
      <c r="MTS5077" s="917"/>
      <c r="MTT5077" s="917"/>
      <c r="MTU5077" s="917"/>
      <c r="MTV5077" s="917"/>
      <c r="MTW5077" s="917"/>
      <c r="MTX5077" s="917"/>
      <c r="MTY5077" s="917" t="s">
        <v>78</v>
      </c>
      <c r="MTZ5077" s="917"/>
      <c r="MUA5077" s="917"/>
      <c r="MUB5077" s="917"/>
      <c r="MUC5077" s="917"/>
      <c r="MUD5077" s="917"/>
      <c r="MUE5077" s="917"/>
      <c r="MUF5077" s="917"/>
      <c r="MUG5077" s="917"/>
      <c r="MUH5077" s="917"/>
      <c r="MUI5077" s="917"/>
      <c r="MUJ5077" s="917"/>
      <c r="MUK5077" s="917"/>
      <c r="MUL5077" s="917"/>
      <c r="MUM5077" s="917"/>
      <c r="MUN5077" s="917"/>
      <c r="MUO5077" s="917"/>
      <c r="MUP5077" s="917"/>
      <c r="MUQ5077" s="917"/>
      <c r="MUR5077" s="917"/>
      <c r="MUS5077" s="917"/>
      <c r="MUT5077" s="917"/>
      <c r="MUU5077" s="917"/>
      <c r="MUV5077" s="917"/>
      <c r="MUW5077" s="917"/>
      <c r="MUX5077" s="917"/>
      <c r="MUY5077" s="917"/>
      <c r="MUZ5077" s="917"/>
      <c r="MVA5077" s="917"/>
      <c r="MVB5077" s="917"/>
      <c r="MVC5077" s="917"/>
      <c r="MVD5077" s="917"/>
      <c r="MVE5077" s="917" t="s">
        <v>78</v>
      </c>
      <c r="MVF5077" s="917"/>
      <c r="MVG5077" s="917"/>
      <c r="MVH5077" s="917"/>
      <c r="MVI5077" s="917"/>
      <c r="MVJ5077" s="917"/>
      <c r="MVK5077" s="917"/>
      <c r="MVL5077" s="917"/>
      <c r="MVM5077" s="917"/>
      <c r="MVN5077" s="917"/>
      <c r="MVO5077" s="917"/>
      <c r="MVP5077" s="917"/>
      <c r="MVQ5077" s="917"/>
      <c r="MVR5077" s="917"/>
      <c r="MVS5077" s="917"/>
      <c r="MVT5077" s="917"/>
      <c r="MVU5077" s="917"/>
      <c r="MVV5077" s="917"/>
      <c r="MVW5077" s="917"/>
      <c r="MVX5077" s="917"/>
      <c r="MVY5077" s="917"/>
      <c r="MVZ5077" s="917"/>
      <c r="MWA5077" s="917"/>
      <c r="MWB5077" s="917"/>
      <c r="MWC5077" s="917"/>
      <c r="MWD5077" s="917"/>
      <c r="MWE5077" s="917"/>
      <c r="MWF5077" s="917"/>
      <c r="MWG5077" s="917"/>
      <c r="MWH5077" s="917"/>
      <c r="MWI5077" s="917"/>
      <c r="MWJ5077" s="917"/>
      <c r="MWK5077" s="917" t="s">
        <v>78</v>
      </c>
      <c r="MWL5077" s="917"/>
      <c r="MWM5077" s="917"/>
      <c r="MWN5077" s="917"/>
      <c r="MWO5077" s="917"/>
      <c r="MWP5077" s="917"/>
      <c r="MWQ5077" s="917"/>
      <c r="MWR5077" s="917"/>
      <c r="MWS5077" s="917"/>
      <c r="MWT5077" s="917"/>
      <c r="MWU5077" s="917"/>
      <c r="MWV5077" s="917"/>
      <c r="MWW5077" s="917"/>
      <c r="MWX5077" s="917"/>
      <c r="MWY5077" s="917"/>
      <c r="MWZ5077" s="917"/>
      <c r="MXA5077" s="917"/>
      <c r="MXB5077" s="917"/>
      <c r="MXC5077" s="917"/>
      <c r="MXD5077" s="917"/>
      <c r="MXE5077" s="917"/>
      <c r="MXF5077" s="917"/>
      <c r="MXG5077" s="917"/>
      <c r="MXH5077" s="917"/>
      <c r="MXI5077" s="917"/>
      <c r="MXJ5077" s="917"/>
      <c r="MXK5077" s="917"/>
      <c r="MXL5077" s="917"/>
      <c r="MXM5077" s="917"/>
      <c r="MXN5077" s="917"/>
      <c r="MXO5077" s="917"/>
      <c r="MXP5077" s="917"/>
      <c r="MXQ5077" s="917" t="s">
        <v>78</v>
      </c>
      <c r="MXR5077" s="917"/>
      <c r="MXS5077" s="917"/>
      <c r="MXT5077" s="917"/>
      <c r="MXU5077" s="917"/>
      <c r="MXV5077" s="917"/>
      <c r="MXW5077" s="917"/>
      <c r="MXX5077" s="917"/>
      <c r="MXY5077" s="917"/>
      <c r="MXZ5077" s="917"/>
      <c r="MYA5077" s="917"/>
      <c r="MYB5077" s="917"/>
      <c r="MYC5077" s="917"/>
      <c r="MYD5077" s="917"/>
      <c r="MYE5077" s="917"/>
      <c r="MYF5077" s="917"/>
      <c r="MYG5077" s="917"/>
      <c r="MYH5077" s="917"/>
      <c r="MYI5077" s="917"/>
      <c r="MYJ5077" s="917"/>
      <c r="MYK5077" s="917"/>
      <c r="MYL5077" s="917"/>
      <c r="MYM5077" s="917"/>
      <c r="MYN5077" s="917"/>
      <c r="MYO5077" s="917"/>
      <c r="MYP5077" s="917"/>
      <c r="MYQ5077" s="917"/>
      <c r="MYR5077" s="917"/>
      <c r="MYS5077" s="917"/>
      <c r="MYT5077" s="917"/>
      <c r="MYU5077" s="917"/>
      <c r="MYV5077" s="917"/>
      <c r="MYW5077" s="917" t="s">
        <v>78</v>
      </c>
      <c r="MYX5077" s="917"/>
      <c r="MYY5077" s="917"/>
      <c r="MYZ5077" s="917"/>
      <c r="MZA5077" s="917"/>
      <c r="MZB5077" s="917"/>
      <c r="MZC5077" s="917"/>
      <c r="MZD5077" s="917"/>
      <c r="MZE5077" s="917"/>
      <c r="MZF5077" s="917"/>
      <c r="MZG5077" s="917"/>
      <c r="MZH5077" s="917"/>
      <c r="MZI5077" s="917"/>
      <c r="MZJ5077" s="917"/>
      <c r="MZK5077" s="917"/>
      <c r="MZL5077" s="917"/>
      <c r="MZM5077" s="917"/>
      <c r="MZN5077" s="917"/>
      <c r="MZO5077" s="917"/>
      <c r="MZP5077" s="917"/>
      <c r="MZQ5077" s="917"/>
      <c r="MZR5077" s="917"/>
      <c r="MZS5077" s="917"/>
      <c r="MZT5077" s="917"/>
      <c r="MZU5077" s="917"/>
      <c r="MZV5077" s="917"/>
      <c r="MZW5077" s="917"/>
      <c r="MZX5077" s="917"/>
      <c r="MZY5077" s="917"/>
      <c r="MZZ5077" s="917"/>
      <c r="NAA5077" s="917"/>
      <c r="NAB5077" s="917"/>
      <c r="NAC5077" s="917" t="s">
        <v>78</v>
      </c>
      <c r="NAD5077" s="917"/>
      <c r="NAE5077" s="917"/>
      <c r="NAF5077" s="917"/>
      <c r="NAG5077" s="917"/>
      <c r="NAH5077" s="917"/>
      <c r="NAI5077" s="917"/>
      <c r="NAJ5077" s="917"/>
      <c r="NAK5077" s="917"/>
      <c r="NAL5077" s="917"/>
      <c r="NAM5077" s="917"/>
      <c r="NAN5077" s="917"/>
      <c r="NAO5077" s="917"/>
      <c r="NAP5077" s="917"/>
      <c r="NAQ5077" s="917"/>
      <c r="NAR5077" s="917"/>
      <c r="NAS5077" s="917"/>
      <c r="NAT5077" s="917"/>
      <c r="NAU5077" s="917"/>
      <c r="NAV5077" s="917"/>
      <c r="NAW5077" s="917"/>
      <c r="NAX5077" s="917"/>
      <c r="NAY5077" s="917"/>
      <c r="NAZ5077" s="917"/>
      <c r="NBA5077" s="917"/>
      <c r="NBB5077" s="917"/>
      <c r="NBC5077" s="917"/>
      <c r="NBD5077" s="917"/>
      <c r="NBE5077" s="917"/>
      <c r="NBF5077" s="917"/>
      <c r="NBG5077" s="917"/>
      <c r="NBH5077" s="917"/>
      <c r="NBI5077" s="917" t="s">
        <v>78</v>
      </c>
      <c r="NBJ5077" s="917"/>
      <c r="NBK5077" s="917"/>
      <c r="NBL5077" s="917"/>
      <c r="NBM5077" s="917"/>
      <c r="NBN5077" s="917"/>
      <c r="NBO5077" s="917"/>
      <c r="NBP5077" s="917"/>
      <c r="NBQ5077" s="917"/>
      <c r="NBR5077" s="917"/>
      <c r="NBS5077" s="917"/>
      <c r="NBT5077" s="917"/>
      <c r="NBU5077" s="917"/>
      <c r="NBV5077" s="917"/>
      <c r="NBW5077" s="917"/>
      <c r="NBX5077" s="917"/>
      <c r="NBY5077" s="917"/>
      <c r="NBZ5077" s="917"/>
      <c r="NCA5077" s="917"/>
      <c r="NCB5077" s="917"/>
      <c r="NCC5077" s="917"/>
      <c r="NCD5077" s="917"/>
      <c r="NCE5077" s="917"/>
      <c r="NCF5077" s="917"/>
      <c r="NCG5077" s="917"/>
      <c r="NCH5077" s="917"/>
      <c r="NCI5077" s="917"/>
      <c r="NCJ5077" s="917"/>
      <c r="NCK5077" s="917"/>
      <c r="NCL5077" s="917"/>
      <c r="NCM5077" s="917"/>
      <c r="NCN5077" s="917"/>
      <c r="NCO5077" s="917" t="s">
        <v>78</v>
      </c>
      <c r="NCP5077" s="917"/>
      <c r="NCQ5077" s="917"/>
      <c r="NCR5077" s="917"/>
      <c r="NCS5077" s="917"/>
      <c r="NCT5077" s="917"/>
      <c r="NCU5077" s="917"/>
      <c r="NCV5077" s="917"/>
      <c r="NCW5077" s="917"/>
      <c r="NCX5077" s="917"/>
      <c r="NCY5077" s="917"/>
      <c r="NCZ5077" s="917"/>
      <c r="NDA5077" s="917"/>
      <c r="NDB5077" s="917"/>
      <c r="NDC5077" s="917"/>
      <c r="NDD5077" s="917"/>
      <c r="NDE5077" s="917"/>
      <c r="NDF5077" s="917"/>
      <c r="NDG5077" s="917"/>
      <c r="NDH5077" s="917"/>
      <c r="NDI5077" s="917"/>
      <c r="NDJ5077" s="917"/>
      <c r="NDK5077" s="917"/>
      <c r="NDL5077" s="917"/>
      <c r="NDM5077" s="917"/>
      <c r="NDN5077" s="917"/>
      <c r="NDO5077" s="917"/>
      <c r="NDP5077" s="917"/>
      <c r="NDQ5077" s="917"/>
      <c r="NDR5077" s="917"/>
      <c r="NDS5077" s="917"/>
      <c r="NDT5077" s="917"/>
      <c r="NDU5077" s="917" t="s">
        <v>78</v>
      </c>
      <c r="NDV5077" s="917"/>
      <c r="NDW5077" s="917"/>
      <c r="NDX5077" s="917"/>
      <c r="NDY5077" s="917"/>
      <c r="NDZ5077" s="917"/>
      <c r="NEA5077" s="917"/>
      <c r="NEB5077" s="917"/>
      <c r="NEC5077" s="917"/>
      <c r="NED5077" s="917"/>
      <c r="NEE5077" s="917"/>
      <c r="NEF5077" s="917"/>
      <c r="NEG5077" s="917"/>
      <c r="NEH5077" s="917"/>
      <c r="NEI5077" s="917"/>
      <c r="NEJ5077" s="917"/>
      <c r="NEK5077" s="917"/>
      <c r="NEL5077" s="917"/>
      <c r="NEM5077" s="917"/>
      <c r="NEN5077" s="917"/>
      <c r="NEO5077" s="917"/>
      <c r="NEP5077" s="917"/>
      <c r="NEQ5077" s="917"/>
      <c r="NER5077" s="917"/>
      <c r="NES5077" s="917"/>
      <c r="NET5077" s="917"/>
      <c r="NEU5077" s="917"/>
      <c r="NEV5077" s="917"/>
      <c r="NEW5077" s="917"/>
      <c r="NEX5077" s="917"/>
      <c r="NEY5077" s="917"/>
      <c r="NEZ5077" s="917"/>
      <c r="NFA5077" s="917" t="s">
        <v>78</v>
      </c>
      <c r="NFB5077" s="917"/>
      <c r="NFC5077" s="917"/>
      <c r="NFD5077" s="917"/>
      <c r="NFE5077" s="917"/>
      <c r="NFF5077" s="917"/>
      <c r="NFG5077" s="917"/>
      <c r="NFH5077" s="917"/>
      <c r="NFI5077" s="917"/>
      <c r="NFJ5077" s="917"/>
      <c r="NFK5077" s="917"/>
      <c r="NFL5077" s="917"/>
      <c r="NFM5077" s="917"/>
      <c r="NFN5077" s="917"/>
      <c r="NFO5077" s="917"/>
      <c r="NFP5077" s="917"/>
      <c r="NFQ5077" s="917"/>
      <c r="NFR5077" s="917"/>
      <c r="NFS5077" s="917"/>
      <c r="NFT5077" s="917"/>
      <c r="NFU5077" s="917"/>
      <c r="NFV5077" s="917"/>
      <c r="NFW5077" s="917"/>
      <c r="NFX5077" s="917"/>
      <c r="NFY5077" s="917"/>
      <c r="NFZ5077" s="917"/>
      <c r="NGA5077" s="917"/>
      <c r="NGB5077" s="917"/>
      <c r="NGC5077" s="917"/>
      <c r="NGD5077" s="917"/>
      <c r="NGE5077" s="917"/>
      <c r="NGF5077" s="917"/>
      <c r="NGG5077" s="917" t="s">
        <v>78</v>
      </c>
      <c r="NGH5077" s="917"/>
      <c r="NGI5077" s="917"/>
      <c r="NGJ5077" s="917"/>
      <c r="NGK5077" s="917"/>
      <c r="NGL5077" s="917"/>
      <c r="NGM5077" s="917"/>
      <c r="NGN5077" s="917"/>
      <c r="NGO5077" s="917"/>
      <c r="NGP5077" s="917"/>
      <c r="NGQ5077" s="917"/>
      <c r="NGR5077" s="917"/>
      <c r="NGS5077" s="917"/>
      <c r="NGT5077" s="917"/>
      <c r="NGU5077" s="917"/>
      <c r="NGV5077" s="917"/>
      <c r="NGW5077" s="917"/>
      <c r="NGX5077" s="917"/>
      <c r="NGY5077" s="917"/>
      <c r="NGZ5077" s="917"/>
      <c r="NHA5077" s="917"/>
      <c r="NHB5077" s="917"/>
      <c r="NHC5077" s="917"/>
      <c r="NHD5077" s="917"/>
      <c r="NHE5077" s="917"/>
      <c r="NHF5077" s="917"/>
      <c r="NHG5077" s="917"/>
      <c r="NHH5077" s="917"/>
      <c r="NHI5077" s="917"/>
      <c r="NHJ5077" s="917"/>
      <c r="NHK5077" s="917"/>
      <c r="NHL5077" s="917"/>
      <c r="NHM5077" s="917" t="s">
        <v>78</v>
      </c>
      <c r="NHN5077" s="917"/>
      <c r="NHO5077" s="917"/>
      <c r="NHP5077" s="917"/>
      <c r="NHQ5077" s="917"/>
      <c r="NHR5077" s="917"/>
      <c r="NHS5077" s="917"/>
      <c r="NHT5077" s="917"/>
      <c r="NHU5077" s="917"/>
      <c r="NHV5077" s="917"/>
      <c r="NHW5077" s="917"/>
      <c r="NHX5077" s="917"/>
      <c r="NHY5077" s="917"/>
      <c r="NHZ5077" s="917"/>
      <c r="NIA5077" s="917"/>
      <c r="NIB5077" s="917"/>
      <c r="NIC5077" s="917"/>
      <c r="NID5077" s="917"/>
      <c r="NIE5077" s="917"/>
      <c r="NIF5077" s="917"/>
      <c r="NIG5077" s="917"/>
      <c r="NIH5077" s="917"/>
      <c r="NII5077" s="917"/>
      <c r="NIJ5077" s="917"/>
      <c r="NIK5077" s="917"/>
      <c r="NIL5077" s="917"/>
      <c r="NIM5077" s="917"/>
      <c r="NIN5077" s="917"/>
      <c r="NIO5077" s="917"/>
      <c r="NIP5077" s="917"/>
      <c r="NIQ5077" s="917"/>
      <c r="NIR5077" s="917"/>
      <c r="NIS5077" s="917" t="s">
        <v>78</v>
      </c>
      <c r="NIT5077" s="917"/>
      <c r="NIU5077" s="917"/>
      <c r="NIV5077" s="917"/>
      <c r="NIW5077" s="917"/>
      <c r="NIX5077" s="917"/>
      <c r="NIY5077" s="917"/>
      <c r="NIZ5077" s="917"/>
      <c r="NJA5077" s="917"/>
      <c r="NJB5077" s="917"/>
      <c r="NJC5077" s="917"/>
      <c r="NJD5077" s="917"/>
      <c r="NJE5077" s="917"/>
      <c r="NJF5077" s="917"/>
      <c r="NJG5077" s="917"/>
      <c r="NJH5077" s="917"/>
      <c r="NJI5077" s="917"/>
      <c r="NJJ5077" s="917"/>
      <c r="NJK5077" s="917"/>
      <c r="NJL5077" s="917"/>
      <c r="NJM5077" s="917"/>
      <c r="NJN5077" s="917"/>
      <c r="NJO5077" s="917"/>
      <c r="NJP5077" s="917"/>
      <c r="NJQ5077" s="917"/>
      <c r="NJR5077" s="917"/>
      <c r="NJS5077" s="917"/>
      <c r="NJT5077" s="917"/>
      <c r="NJU5077" s="917"/>
      <c r="NJV5077" s="917"/>
      <c r="NJW5077" s="917"/>
      <c r="NJX5077" s="917"/>
      <c r="NJY5077" s="917" t="s">
        <v>78</v>
      </c>
      <c r="NJZ5077" s="917"/>
      <c r="NKA5077" s="917"/>
      <c r="NKB5077" s="917"/>
      <c r="NKC5077" s="917"/>
      <c r="NKD5077" s="917"/>
      <c r="NKE5077" s="917"/>
      <c r="NKF5077" s="917"/>
      <c r="NKG5077" s="917"/>
      <c r="NKH5077" s="917"/>
      <c r="NKI5077" s="917"/>
      <c r="NKJ5077" s="917"/>
      <c r="NKK5077" s="917"/>
      <c r="NKL5077" s="917"/>
      <c r="NKM5077" s="917"/>
      <c r="NKN5077" s="917"/>
      <c r="NKO5077" s="917"/>
      <c r="NKP5077" s="917"/>
      <c r="NKQ5077" s="917"/>
      <c r="NKR5077" s="917"/>
      <c r="NKS5077" s="917"/>
      <c r="NKT5077" s="917"/>
      <c r="NKU5077" s="917"/>
      <c r="NKV5077" s="917"/>
      <c r="NKW5077" s="917"/>
      <c r="NKX5077" s="917"/>
      <c r="NKY5077" s="917"/>
      <c r="NKZ5077" s="917"/>
      <c r="NLA5077" s="917"/>
      <c r="NLB5077" s="917"/>
      <c r="NLC5077" s="917"/>
      <c r="NLD5077" s="917"/>
      <c r="NLE5077" s="917" t="s">
        <v>78</v>
      </c>
      <c r="NLF5077" s="917"/>
      <c r="NLG5077" s="917"/>
      <c r="NLH5077" s="917"/>
      <c r="NLI5077" s="917"/>
      <c r="NLJ5077" s="917"/>
      <c r="NLK5077" s="917"/>
      <c r="NLL5077" s="917"/>
      <c r="NLM5077" s="917"/>
      <c r="NLN5077" s="917"/>
      <c r="NLO5077" s="917"/>
      <c r="NLP5077" s="917"/>
      <c r="NLQ5077" s="917"/>
      <c r="NLR5077" s="917"/>
      <c r="NLS5077" s="917"/>
      <c r="NLT5077" s="917"/>
      <c r="NLU5077" s="917"/>
      <c r="NLV5077" s="917"/>
      <c r="NLW5077" s="917"/>
      <c r="NLX5077" s="917"/>
      <c r="NLY5077" s="917"/>
      <c r="NLZ5077" s="917"/>
      <c r="NMA5077" s="917"/>
      <c r="NMB5077" s="917"/>
      <c r="NMC5077" s="917"/>
      <c r="NMD5077" s="917"/>
      <c r="NME5077" s="917"/>
      <c r="NMF5077" s="917"/>
      <c r="NMG5077" s="917"/>
      <c r="NMH5077" s="917"/>
      <c r="NMI5077" s="917"/>
      <c r="NMJ5077" s="917"/>
      <c r="NMK5077" s="917" t="s">
        <v>78</v>
      </c>
      <c r="NML5077" s="917"/>
      <c r="NMM5077" s="917"/>
      <c r="NMN5077" s="917"/>
      <c r="NMO5077" s="917"/>
      <c r="NMP5077" s="917"/>
      <c r="NMQ5077" s="917"/>
      <c r="NMR5077" s="917"/>
      <c r="NMS5077" s="917"/>
      <c r="NMT5077" s="917"/>
      <c r="NMU5077" s="917"/>
      <c r="NMV5077" s="917"/>
      <c r="NMW5077" s="917"/>
      <c r="NMX5077" s="917"/>
      <c r="NMY5077" s="917"/>
      <c r="NMZ5077" s="917"/>
      <c r="NNA5077" s="917"/>
      <c r="NNB5077" s="917"/>
      <c r="NNC5077" s="917"/>
      <c r="NND5077" s="917"/>
      <c r="NNE5077" s="917"/>
      <c r="NNF5077" s="917"/>
      <c r="NNG5077" s="917"/>
      <c r="NNH5077" s="917"/>
      <c r="NNI5077" s="917"/>
      <c r="NNJ5077" s="917"/>
      <c r="NNK5077" s="917"/>
      <c r="NNL5077" s="917"/>
      <c r="NNM5077" s="917"/>
      <c r="NNN5077" s="917"/>
      <c r="NNO5077" s="917"/>
      <c r="NNP5077" s="917"/>
      <c r="NNQ5077" s="917" t="s">
        <v>78</v>
      </c>
      <c r="NNR5077" s="917"/>
      <c r="NNS5077" s="917"/>
      <c r="NNT5077" s="917"/>
      <c r="NNU5077" s="917"/>
      <c r="NNV5077" s="917"/>
      <c r="NNW5077" s="917"/>
      <c r="NNX5077" s="917"/>
      <c r="NNY5077" s="917"/>
      <c r="NNZ5077" s="917"/>
      <c r="NOA5077" s="917"/>
      <c r="NOB5077" s="917"/>
      <c r="NOC5077" s="917"/>
      <c r="NOD5077" s="917"/>
      <c r="NOE5077" s="917"/>
      <c r="NOF5077" s="917"/>
      <c r="NOG5077" s="917"/>
      <c r="NOH5077" s="917"/>
      <c r="NOI5077" s="917"/>
      <c r="NOJ5077" s="917"/>
      <c r="NOK5077" s="917"/>
      <c r="NOL5077" s="917"/>
      <c r="NOM5077" s="917"/>
      <c r="NON5077" s="917"/>
      <c r="NOO5077" s="917"/>
      <c r="NOP5077" s="917"/>
      <c r="NOQ5077" s="917"/>
      <c r="NOR5077" s="917"/>
      <c r="NOS5077" s="917"/>
      <c r="NOT5077" s="917"/>
      <c r="NOU5077" s="917"/>
      <c r="NOV5077" s="917"/>
      <c r="NOW5077" s="917" t="s">
        <v>78</v>
      </c>
      <c r="NOX5077" s="917"/>
      <c r="NOY5077" s="917"/>
      <c r="NOZ5077" s="917"/>
      <c r="NPA5077" s="917"/>
      <c r="NPB5077" s="917"/>
      <c r="NPC5077" s="917"/>
      <c r="NPD5077" s="917"/>
      <c r="NPE5077" s="917"/>
      <c r="NPF5077" s="917"/>
      <c r="NPG5077" s="917"/>
      <c r="NPH5077" s="917"/>
      <c r="NPI5077" s="917"/>
      <c r="NPJ5077" s="917"/>
      <c r="NPK5077" s="917"/>
      <c r="NPL5077" s="917"/>
      <c r="NPM5077" s="917"/>
      <c r="NPN5077" s="917"/>
      <c r="NPO5077" s="917"/>
      <c r="NPP5077" s="917"/>
      <c r="NPQ5077" s="917"/>
      <c r="NPR5077" s="917"/>
      <c r="NPS5077" s="917"/>
      <c r="NPT5077" s="917"/>
      <c r="NPU5077" s="917"/>
      <c r="NPV5077" s="917"/>
      <c r="NPW5077" s="917"/>
      <c r="NPX5077" s="917"/>
      <c r="NPY5077" s="917"/>
      <c r="NPZ5077" s="917"/>
      <c r="NQA5077" s="917"/>
      <c r="NQB5077" s="917"/>
      <c r="NQC5077" s="917" t="s">
        <v>78</v>
      </c>
      <c r="NQD5077" s="917"/>
      <c r="NQE5077" s="917"/>
      <c r="NQF5077" s="917"/>
      <c r="NQG5077" s="917"/>
      <c r="NQH5077" s="917"/>
      <c r="NQI5077" s="917"/>
      <c r="NQJ5077" s="917"/>
      <c r="NQK5077" s="917"/>
      <c r="NQL5077" s="917"/>
      <c r="NQM5077" s="917"/>
      <c r="NQN5077" s="917"/>
      <c r="NQO5077" s="917"/>
      <c r="NQP5077" s="917"/>
      <c r="NQQ5077" s="917"/>
      <c r="NQR5077" s="917"/>
      <c r="NQS5077" s="917"/>
      <c r="NQT5077" s="917"/>
      <c r="NQU5077" s="917"/>
      <c r="NQV5077" s="917"/>
      <c r="NQW5077" s="917"/>
      <c r="NQX5077" s="917"/>
      <c r="NQY5077" s="917"/>
      <c r="NQZ5077" s="917"/>
      <c r="NRA5077" s="917"/>
      <c r="NRB5077" s="917"/>
      <c r="NRC5077" s="917"/>
      <c r="NRD5077" s="917"/>
      <c r="NRE5077" s="917"/>
      <c r="NRF5077" s="917"/>
      <c r="NRG5077" s="917"/>
      <c r="NRH5077" s="917"/>
      <c r="NRI5077" s="917" t="s">
        <v>78</v>
      </c>
      <c r="NRJ5077" s="917"/>
      <c r="NRK5077" s="917"/>
      <c r="NRL5077" s="917"/>
      <c r="NRM5077" s="917"/>
      <c r="NRN5077" s="917"/>
      <c r="NRO5077" s="917"/>
      <c r="NRP5077" s="917"/>
      <c r="NRQ5077" s="917"/>
      <c r="NRR5077" s="917"/>
      <c r="NRS5077" s="917"/>
      <c r="NRT5077" s="917"/>
      <c r="NRU5077" s="917"/>
      <c r="NRV5077" s="917"/>
      <c r="NRW5077" s="917"/>
      <c r="NRX5077" s="917"/>
      <c r="NRY5077" s="917"/>
      <c r="NRZ5077" s="917"/>
      <c r="NSA5077" s="917"/>
      <c r="NSB5077" s="917"/>
      <c r="NSC5077" s="917"/>
      <c r="NSD5077" s="917"/>
      <c r="NSE5077" s="917"/>
      <c r="NSF5077" s="917"/>
      <c r="NSG5077" s="917"/>
      <c r="NSH5077" s="917"/>
      <c r="NSI5077" s="917"/>
      <c r="NSJ5077" s="917"/>
      <c r="NSK5077" s="917"/>
      <c r="NSL5077" s="917"/>
      <c r="NSM5077" s="917"/>
      <c r="NSN5077" s="917"/>
      <c r="NSO5077" s="917" t="s">
        <v>78</v>
      </c>
      <c r="NSP5077" s="917"/>
      <c r="NSQ5077" s="917"/>
      <c r="NSR5077" s="917"/>
      <c r="NSS5077" s="917"/>
      <c r="NST5077" s="917"/>
      <c r="NSU5077" s="917"/>
      <c r="NSV5077" s="917"/>
      <c r="NSW5077" s="917"/>
      <c r="NSX5077" s="917"/>
      <c r="NSY5077" s="917"/>
      <c r="NSZ5077" s="917"/>
      <c r="NTA5077" s="917"/>
      <c r="NTB5077" s="917"/>
      <c r="NTC5077" s="917"/>
      <c r="NTD5077" s="917"/>
      <c r="NTE5077" s="917"/>
      <c r="NTF5077" s="917"/>
      <c r="NTG5077" s="917"/>
      <c r="NTH5077" s="917"/>
      <c r="NTI5077" s="917"/>
      <c r="NTJ5077" s="917"/>
      <c r="NTK5077" s="917"/>
      <c r="NTL5077" s="917"/>
      <c r="NTM5077" s="917"/>
      <c r="NTN5077" s="917"/>
      <c r="NTO5077" s="917"/>
      <c r="NTP5077" s="917"/>
      <c r="NTQ5077" s="917"/>
      <c r="NTR5077" s="917"/>
      <c r="NTS5077" s="917"/>
      <c r="NTT5077" s="917"/>
      <c r="NTU5077" s="917" t="s">
        <v>78</v>
      </c>
      <c r="NTV5077" s="917"/>
      <c r="NTW5077" s="917"/>
      <c r="NTX5077" s="917"/>
      <c r="NTY5077" s="917"/>
      <c r="NTZ5077" s="917"/>
      <c r="NUA5077" s="917"/>
      <c r="NUB5077" s="917"/>
      <c r="NUC5077" s="917"/>
      <c r="NUD5077" s="917"/>
      <c r="NUE5077" s="917"/>
      <c r="NUF5077" s="917"/>
      <c r="NUG5077" s="917"/>
      <c r="NUH5077" s="917"/>
      <c r="NUI5077" s="917"/>
      <c r="NUJ5077" s="917"/>
      <c r="NUK5077" s="917"/>
      <c r="NUL5077" s="917"/>
      <c r="NUM5077" s="917"/>
      <c r="NUN5077" s="917"/>
      <c r="NUO5077" s="917"/>
      <c r="NUP5077" s="917"/>
      <c r="NUQ5077" s="917"/>
      <c r="NUR5077" s="917"/>
      <c r="NUS5077" s="917"/>
      <c r="NUT5077" s="917"/>
      <c r="NUU5077" s="917"/>
      <c r="NUV5077" s="917"/>
      <c r="NUW5077" s="917"/>
      <c r="NUX5077" s="917"/>
      <c r="NUY5077" s="917"/>
      <c r="NUZ5077" s="917"/>
      <c r="NVA5077" s="917" t="s">
        <v>78</v>
      </c>
      <c r="NVB5077" s="917"/>
      <c r="NVC5077" s="917"/>
      <c r="NVD5077" s="917"/>
      <c r="NVE5077" s="917"/>
      <c r="NVF5077" s="917"/>
      <c r="NVG5077" s="917"/>
      <c r="NVH5077" s="917"/>
      <c r="NVI5077" s="917"/>
      <c r="NVJ5077" s="917"/>
      <c r="NVK5077" s="917"/>
      <c r="NVL5077" s="917"/>
      <c r="NVM5077" s="917"/>
      <c r="NVN5077" s="917"/>
      <c r="NVO5077" s="917"/>
      <c r="NVP5077" s="917"/>
      <c r="NVQ5077" s="917"/>
      <c r="NVR5077" s="917"/>
      <c r="NVS5077" s="917"/>
      <c r="NVT5077" s="917"/>
      <c r="NVU5077" s="917"/>
      <c r="NVV5077" s="917"/>
      <c r="NVW5077" s="917"/>
      <c r="NVX5077" s="917"/>
      <c r="NVY5077" s="917"/>
      <c r="NVZ5077" s="917"/>
      <c r="NWA5077" s="917"/>
      <c r="NWB5077" s="917"/>
      <c r="NWC5077" s="917"/>
      <c r="NWD5077" s="917"/>
      <c r="NWE5077" s="917"/>
      <c r="NWF5077" s="917"/>
      <c r="NWG5077" s="917" t="s">
        <v>78</v>
      </c>
      <c r="NWH5077" s="917"/>
      <c r="NWI5077" s="917"/>
      <c r="NWJ5077" s="917"/>
      <c r="NWK5077" s="917"/>
      <c r="NWL5077" s="917"/>
      <c r="NWM5077" s="917"/>
      <c r="NWN5077" s="917"/>
      <c r="NWO5077" s="917"/>
      <c r="NWP5077" s="917"/>
      <c r="NWQ5077" s="917"/>
      <c r="NWR5077" s="917"/>
      <c r="NWS5077" s="917"/>
      <c r="NWT5077" s="917"/>
      <c r="NWU5077" s="917"/>
      <c r="NWV5077" s="917"/>
      <c r="NWW5077" s="917"/>
      <c r="NWX5077" s="917"/>
      <c r="NWY5077" s="917"/>
      <c r="NWZ5077" s="917"/>
      <c r="NXA5077" s="917"/>
      <c r="NXB5077" s="917"/>
      <c r="NXC5077" s="917"/>
      <c r="NXD5077" s="917"/>
      <c r="NXE5077" s="917"/>
      <c r="NXF5077" s="917"/>
      <c r="NXG5077" s="917"/>
      <c r="NXH5077" s="917"/>
      <c r="NXI5077" s="917"/>
      <c r="NXJ5077" s="917"/>
      <c r="NXK5077" s="917"/>
      <c r="NXL5077" s="917"/>
      <c r="NXM5077" s="917" t="s">
        <v>78</v>
      </c>
      <c r="NXN5077" s="917"/>
      <c r="NXO5077" s="917"/>
      <c r="NXP5077" s="917"/>
      <c r="NXQ5077" s="917"/>
      <c r="NXR5077" s="917"/>
      <c r="NXS5077" s="917"/>
      <c r="NXT5077" s="917"/>
      <c r="NXU5077" s="917"/>
      <c r="NXV5077" s="917"/>
      <c r="NXW5077" s="917"/>
      <c r="NXX5077" s="917"/>
      <c r="NXY5077" s="917"/>
      <c r="NXZ5077" s="917"/>
      <c r="NYA5077" s="917"/>
      <c r="NYB5077" s="917"/>
      <c r="NYC5077" s="917"/>
      <c r="NYD5077" s="917"/>
      <c r="NYE5077" s="917"/>
      <c r="NYF5077" s="917"/>
      <c r="NYG5077" s="917"/>
      <c r="NYH5077" s="917"/>
      <c r="NYI5077" s="917"/>
      <c r="NYJ5077" s="917"/>
      <c r="NYK5077" s="917"/>
      <c r="NYL5077" s="917"/>
      <c r="NYM5077" s="917"/>
      <c r="NYN5077" s="917"/>
      <c r="NYO5077" s="917"/>
      <c r="NYP5077" s="917"/>
      <c r="NYQ5077" s="917"/>
      <c r="NYR5077" s="917"/>
      <c r="NYS5077" s="917" t="s">
        <v>78</v>
      </c>
      <c r="NYT5077" s="917"/>
      <c r="NYU5077" s="917"/>
      <c r="NYV5077" s="917"/>
      <c r="NYW5077" s="917"/>
      <c r="NYX5077" s="917"/>
      <c r="NYY5077" s="917"/>
      <c r="NYZ5077" s="917"/>
      <c r="NZA5077" s="917"/>
      <c r="NZB5077" s="917"/>
      <c r="NZC5077" s="917"/>
      <c r="NZD5077" s="917"/>
      <c r="NZE5077" s="917"/>
      <c r="NZF5077" s="917"/>
      <c r="NZG5077" s="917"/>
      <c r="NZH5077" s="917"/>
      <c r="NZI5077" s="917"/>
      <c r="NZJ5077" s="917"/>
      <c r="NZK5077" s="917"/>
      <c r="NZL5077" s="917"/>
      <c r="NZM5077" s="917"/>
      <c r="NZN5077" s="917"/>
      <c r="NZO5077" s="917"/>
      <c r="NZP5077" s="917"/>
      <c r="NZQ5077" s="917"/>
      <c r="NZR5077" s="917"/>
      <c r="NZS5077" s="917"/>
      <c r="NZT5077" s="917"/>
      <c r="NZU5077" s="917"/>
      <c r="NZV5077" s="917"/>
      <c r="NZW5077" s="917"/>
      <c r="NZX5077" s="917"/>
      <c r="NZY5077" s="917" t="s">
        <v>78</v>
      </c>
      <c r="NZZ5077" s="917"/>
      <c r="OAA5077" s="917"/>
      <c r="OAB5077" s="917"/>
      <c r="OAC5077" s="917"/>
      <c r="OAD5077" s="917"/>
      <c r="OAE5077" s="917"/>
      <c r="OAF5077" s="917"/>
      <c r="OAG5077" s="917"/>
      <c r="OAH5077" s="917"/>
      <c r="OAI5077" s="917"/>
      <c r="OAJ5077" s="917"/>
      <c r="OAK5077" s="917"/>
      <c r="OAL5077" s="917"/>
      <c r="OAM5077" s="917"/>
      <c r="OAN5077" s="917"/>
      <c r="OAO5077" s="917"/>
      <c r="OAP5077" s="917"/>
      <c r="OAQ5077" s="917"/>
      <c r="OAR5077" s="917"/>
      <c r="OAS5077" s="917"/>
      <c r="OAT5077" s="917"/>
      <c r="OAU5077" s="917"/>
      <c r="OAV5077" s="917"/>
      <c r="OAW5077" s="917"/>
      <c r="OAX5077" s="917"/>
      <c r="OAY5077" s="917"/>
      <c r="OAZ5077" s="917"/>
      <c r="OBA5077" s="917"/>
      <c r="OBB5077" s="917"/>
      <c r="OBC5077" s="917"/>
      <c r="OBD5077" s="917"/>
      <c r="OBE5077" s="917" t="s">
        <v>78</v>
      </c>
      <c r="OBF5077" s="917"/>
      <c r="OBG5077" s="917"/>
      <c r="OBH5077" s="917"/>
      <c r="OBI5077" s="917"/>
      <c r="OBJ5077" s="917"/>
      <c r="OBK5077" s="917"/>
      <c r="OBL5077" s="917"/>
      <c r="OBM5077" s="917"/>
      <c r="OBN5077" s="917"/>
      <c r="OBO5077" s="917"/>
      <c r="OBP5077" s="917"/>
      <c r="OBQ5077" s="917"/>
      <c r="OBR5077" s="917"/>
      <c r="OBS5077" s="917"/>
      <c r="OBT5077" s="917"/>
      <c r="OBU5077" s="917"/>
      <c r="OBV5077" s="917"/>
      <c r="OBW5077" s="917"/>
      <c r="OBX5077" s="917"/>
      <c r="OBY5077" s="917"/>
      <c r="OBZ5077" s="917"/>
      <c r="OCA5077" s="917"/>
      <c r="OCB5077" s="917"/>
      <c r="OCC5077" s="917"/>
      <c r="OCD5077" s="917"/>
      <c r="OCE5077" s="917"/>
      <c r="OCF5077" s="917"/>
      <c r="OCG5077" s="917"/>
      <c r="OCH5077" s="917"/>
      <c r="OCI5077" s="917"/>
      <c r="OCJ5077" s="917"/>
      <c r="OCK5077" s="917" t="s">
        <v>78</v>
      </c>
      <c r="OCL5077" s="917"/>
      <c r="OCM5077" s="917"/>
      <c r="OCN5077" s="917"/>
      <c r="OCO5077" s="917"/>
      <c r="OCP5077" s="917"/>
      <c r="OCQ5077" s="917"/>
      <c r="OCR5077" s="917"/>
      <c r="OCS5077" s="917"/>
      <c r="OCT5077" s="917"/>
      <c r="OCU5077" s="917"/>
      <c r="OCV5077" s="917"/>
      <c r="OCW5077" s="917"/>
      <c r="OCX5077" s="917"/>
      <c r="OCY5077" s="917"/>
      <c r="OCZ5077" s="917"/>
      <c r="ODA5077" s="917"/>
      <c r="ODB5077" s="917"/>
      <c r="ODC5077" s="917"/>
      <c r="ODD5077" s="917"/>
      <c r="ODE5077" s="917"/>
      <c r="ODF5077" s="917"/>
      <c r="ODG5077" s="917"/>
      <c r="ODH5077" s="917"/>
      <c r="ODI5077" s="917"/>
      <c r="ODJ5077" s="917"/>
      <c r="ODK5077" s="917"/>
      <c r="ODL5077" s="917"/>
      <c r="ODM5077" s="917"/>
      <c r="ODN5077" s="917"/>
      <c r="ODO5077" s="917"/>
      <c r="ODP5077" s="917"/>
      <c r="ODQ5077" s="917" t="s">
        <v>78</v>
      </c>
      <c r="ODR5077" s="917"/>
      <c r="ODS5077" s="917"/>
      <c r="ODT5077" s="917"/>
      <c r="ODU5077" s="917"/>
      <c r="ODV5077" s="917"/>
      <c r="ODW5077" s="917"/>
      <c r="ODX5077" s="917"/>
      <c r="ODY5077" s="917"/>
      <c r="ODZ5077" s="917"/>
      <c r="OEA5077" s="917"/>
      <c r="OEB5077" s="917"/>
      <c r="OEC5077" s="917"/>
      <c r="OED5077" s="917"/>
      <c r="OEE5077" s="917"/>
      <c r="OEF5077" s="917"/>
      <c r="OEG5077" s="917"/>
      <c r="OEH5077" s="917"/>
      <c r="OEI5077" s="917"/>
      <c r="OEJ5077" s="917"/>
      <c r="OEK5077" s="917"/>
      <c r="OEL5077" s="917"/>
      <c r="OEM5077" s="917"/>
      <c r="OEN5077" s="917"/>
      <c r="OEO5077" s="917"/>
      <c r="OEP5077" s="917"/>
      <c r="OEQ5077" s="917"/>
      <c r="OER5077" s="917"/>
      <c r="OES5077" s="917"/>
      <c r="OET5077" s="917"/>
      <c r="OEU5077" s="917"/>
      <c r="OEV5077" s="917"/>
      <c r="OEW5077" s="917" t="s">
        <v>78</v>
      </c>
      <c r="OEX5077" s="917"/>
      <c r="OEY5077" s="917"/>
      <c r="OEZ5077" s="917"/>
      <c r="OFA5077" s="917"/>
      <c r="OFB5077" s="917"/>
      <c r="OFC5077" s="917"/>
      <c r="OFD5077" s="917"/>
      <c r="OFE5077" s="917"/>
      <c r="OFF5077" s="917"/>
      <c r="OFG5077" s="917"/>
      <c r="OFH5077" s="917"/>
      <c r="OFI5077" s="917"/>
      <c r="OFJ5077" s="917"/>
      <c r="OFK5077" s="917"/>
      <c r="OFL5077" s="917"/>
      <c r="OFM5077" s="917"/>
      <c r="OFN5077" s="917"/>
      <c r="OFO5077" s="917"/>
      <c r="OFP5077" s="917"/>
      <c r="OFQ5077" s="917"/>
      <c r="OFR5077" s="917"/>
      <c r="OFS5077" s="917"/>
      <c r="OFT5077" s="917"/>
      <c r="OFU5077" s="917"/>
      <c r="OFV5077" s="917"/>
      <c r="OFW5077" s="917"/>
      <c r="OFX5077" s="917"/>
      <c r="OFY5077" s="917"/>
      <c r="OFZ5077" s="917"/>
      <c r="OGA5077" s="917"/>
      <c r="OGB5077" s="917"/>
      <c r="OGC5077" s="917" t="s">
        <v>78</v>
      </c>
      <c r="OGD5077" s="917"/>
      <c r="OGE5077" s="917"/>
      <c r="OGF5077" s="917"/>
      <c r="OGG5077" s="917"/>
      <c r="OGH5077" s="917"/>
      <c r="OGI5077" s="917"/>
      <c r="OGJ5077" s="917"/>
      <c r="OGK5077" s="917"/>
      <c r="OGL5077" s="917"/>
      <c r="OGM5077" s="917"/>
      <c r="OGN5077" s="917"/>
      <c r="OGO5077" s="917"/>
      <c r="OGP5077" s="917"/>
      <c r="OGQ5077" s="917"/>
      <c r="OGR5077" s="917"/>
      <c r="OGS5077" s="917"/>
      <c r="OGT5077" s="917"/>
      <c r="OGU5077" s="917"/>
      <c r="OGV5077" s="917"/>
      <c r="OGW5077" s="917"/>
      <c r="OGX5077" s="917"/>
      <c r="OGY5077" s="917"/>
      <c r="OGZ5077" s="917"/>
      <c r="OHA5077" s="917"/>
      <c r="OHB5077" s="917"/>
      <c r="OHC5077" s="917"/>
      <c r="OHD5077" s="917"/>
      <c r="OHE5077" s="917"/>
      <c r="OHF5077" s="917"/>
      <c r="OHG5077" s="917"/>
      <c r="OHH5077" s="917"/>
      <c r="OHI5077" s="917" t="s">
        <v>78</v>
      </c>
      <c r="OHJ5077" s="917"/>
      <c r="OHK5077" s="917"/>
      <c r="OHL5077" s="917"/>
      <c r="OHM5077" s="917"/>
      <c r="OHN5077" s="917"/>
      <c r="OHO5077" s="917"/>
      <c r="OHP5077" s="917"/>
      <c r="OHQ5077" s="917"/>
      <c r="OHR5077" s="917"/>
      <c r="OHS5077" s="917"/>
      <c r="OHT5077" s="917"/>
      <c r="OHU5077" s="917"/>
      <c r="OHV5077" s="917"/>
      <c r="OHW5077" s="917"/>
      <c r="OHX5077" s="917"/>
      <c r="OHY5077" s="917"/>
      <c r="OHZ5077" s="917"/>
      <c r="OIA5077" s="917"/>
      <c r="OIB5077" s="917"/>
      <c r="OIC5077" s="917"/>
      <c r="OID5077" s="917"/>
      <c r="OIE5077" s="917"/>
      <c r="OIF5077" s="917"/>
      <c r="OIG5077" s="917"/>
      <c r="OIH5077" s="917"/>
      <c r="OII5077" s="917"/>
      <c r="OIJ5077" s="917"/>
      <c r="OIK5077" s="917"/>
      <c r="OIL5077" s="917"/>
      <c r="OIM5077" s="917"/>
      <c r="OIN5077" s="917"/>
      <c r="OIO5077" s="917" t="s">
        <v>78</v>
      </c>
      <c r="OIP5077" s="917"/>
      <c r="OIQ5077" s="917"/>
      <c r="OIR5077" s="917"/>
      <c r="OIS5077" s="917"/>
      <c r="OIT5077" s="917"/>
      <c r="OIU5077" s="917"/>
      <c r="OIV5077" s="917"/>
      <c r="OIW5077" s="917"/>
      <c r="OIX5077" s="917"/>
      <c r="OIY5077" s="917"/>
      <c r="OIZ5077" s="917"/>
      <c r="OJA5077" s="917"/>
      <c r="OJB5077" s="917"/>
      <c r="OJC5077" s="917"/>
      <c r="OJD5077" s="917"/>
      <c r="OJE5077" s="917"/>
      <c r="OJF5077" s="917"/>
      <c r="OJG5077" s="917"/>
      <c r="OJH5077" s="917"/>
      <c r="OJI5077" s="917"/>
      <c r="OJJ5077" s="917"/>
      <c r="OJK5077" s="917"/>
      <c r="OJL5077" s="917"/>
      <c r="OJM5077" s="917"/>
      <c r="OJN5077" s="917"/>
      <c r="OJO5077" s="917"/>
      <c r="OJP5077" s="917"/>
      <c r="OJQ5077" s="917"/>
      <c r="OJR5077" s="917"/>
      <c r="OJS5077" s="917"/>
      <c r="OJT5077" s="917"/>
      <c r="OJU5077" s="917" t="s">
        <v>78</v>
      </c>
      <c r="OJV5077" s="917"/>
      <c r="OJW5077" s="917"/>
      <c r="OJX5077" s="917"/>
      <c r="OJY5077" s="917"/>
      <c r="OJZ5077" s="917"/>
      <c r="OKA5077" s="917"/>
      <c r="OKB5077" s="917"/>
      <c r="OKC5077" s="917"/>
      <c r="OKD5077" s="917"/>
      <c r="OKE5077" s="917"/>
      <c r="OKF5077" s="917"/>
      <c r="OKG5077" s="917"/>
      <c r="OKH5077" s="917"/>
      <c r="OKI5077" s="917"/>
      <c r="OKJ5077" s="917"/>
      <c r="OKK5077" s="917"/>
      <c r="OKL5077" s="917"/>
      <c r="OKM5077" s="917"/>
      <c r="OKN5077" s="917"/>
      <c r="OKO5077" s="917"/>
      <c r="OKP5077" s="917"/>
      <c r="OKQ5077" s="917"/>
      <c r="OKR5077" s="917"/>
      <c r="OKS5077" s="917"/>
      <c r="OKT5077" s="917"/>
      <c r="OKU5077" s="917"/>
      <c r="OKV5077" s="917"/>
      <c r="OKW5077" s="917"/>
      <c r="OKX5077" s="917"/>
      <c r="OKY5077" s="917"/>
      <c r="OKZ5077" s="917"/>
      <c r="OLA5077" s="917" t="s">
        <v>78</v>
      </c>
      <c r="OLB5077" s="917"/>
      <c r="OLC5077" s="917"/>
      <c r="OLD5077" s="917"/>
      <c r="OLE5077" s="917"/>
      <c r="OLF5077" s="917"/>
      <c r="OLG5077" s="917"/>
      <c r="OLH5077" s="917"/>
      <c r="OLI5077" s="917"/>
      <c r="OLJ5077" s="917"/>
      <c r="OLK5077" s="917"/>
      <c r="OLL5077" s="917"/>
      <c r="OLM5077" s="917"/>
      <c r="OLN5077" s="917"/>
      <c r="OLO5077" s="917"/>
      <c r="OLP5077" s="917"/>
      <c r="OLQ5077" s="917"/>
      <c r="OLR5077" s="917"/>
      <c r="OLS5077" s="917"/>
      <c r="OLT5077" s="917"/>
      <c r="OLU5077" s="917"/>
      <c r="OLV5077" s="917"/>
      <c r="OLW5077" s="917"/>
      <c r="OLX5077" s="917"/>
      <c r="OLY5077" s="917"/>
      <c r="OLZ5077" s="917"/>
      <c r="OMA5077" s="917"/>
      <c r="OMB5077" s="917"/>
      <c r="OMC5077" s="917"/>
      <c r="OMD5077" s="917"/>
      <c r="OME5077" s="917"/>
      <c r="OMF5077" s="917"/>
      <c r="OMG5077" s="917" t="s">
        <v>78</v>
      </c>
      <c r="OMH5077" s="917"/>
      <c r="OMI5077" s="917"/>
      <c r="OMJ5077" s="917"/>
      <c r="OMK5077" s="917"/>
      <c r="OML5077" s="917"/>
      <c r="OMM5077" s="917"/>
      <c r="OMN5077" s="917"/>
      <c r="OMO5077" s="917"/>
      <c r="OMP5077" s="917"/>
      <c r="OMQ5077" s="917"/>
      <c r="OMR5077" s="917"/>
      <c r="OMS5077" s="917"/>
      <c r="OMT5077" s="917"/>
      <c r="OMU5077" s="917"/>
      <c r="OMV5077" s="917"/>
      <c r="OMW5077" s="917"/>
      <c r="OMX5077" s="917"/>
      <c r="OMY5077" s="917"/>
      <c r="OMZ5077" s="917"/>
      <c r="ONA5077" s="917"/>
      <c r="ONB5077" s="917"/>
      <c r="ONC5077" s="917"/>
      <c r="OND5077" s="917"/>
      <c r="ONE5077" s="917"/>
      <c r="ONF5077" s="917"/>
      <c r="ONG5077" s="917"/>
      <c r="ONH5077" s="917"/>
      <c r="ONI5077" s="917"/>
      <c r="ONJ5077" s="917"/>
      <c r="ONK5077" s="917"/>
      <c r="ONL5077" s="917"/>
      <c r="ONM5077" s="917" t="s">
        <v>78</v>
      </c>
      <c r="ONN5077" s="917"/>
      <c r="ONO5077" s="917"/>
      <c r="ONP5077" s="917"/>
      <c r="ONQ5077" s="917"/>
      <c r="ONR5077" s="917"/>
      <c r="ONS5077" s="917"/>
      <c r="ONT5077" s="917"/>
      <c r="ONU5077" s="917"/>
      <c r="ONV5077" s="917"/>
      <c r="ONW5077" s="917"/>
      <c r="ONX5077" s="917"/>
      <c r="ONY5077" s="917"/>
      <c r="ONZ5077" s="917"/>
      <c r="OOA5077" s="917"/>
      <c r="OOB5077" s="917"/>
      <c r="OOC5077" s="917"/>
      <c r="OOD5077" s="917"/>
      <c r="OOE5077" s="917"/>
      <c r="OOF5077" s="917"/>
      <c r="OOG5077" s="917"/>
      <c r="OOH5077" s="917"/>
      <c r="OOI5077" s="917"/>
      <c r="OOJ5077" s="917"/>
      <c r="OOK5077" s="917"/>
      <c r="OOL5077" s="917"/>
      <c r="OOM5077" s="917"/>
      <c r="OON5077" s="917"/>
      <c r="OOO5077" s="917"/>
      <c r="OOP5077" s="917"/>
      <c r="OOQ5077" s="917"/>
      <c r="OOR5077" s="917"/>
      <c r="OOS5077" s="917" t="s">
        <v>78</v>
      </c>
      <c r="OOT5077" s="917"/>
      <c r="OOU5077" s="917"/>
      <c r="OOV5077" s="917"/>
      <c r="OOW5077" s="917"/>
      <c r="OOX5077" s="917"/>
      <c r="OOY5077" s="917"/>
      <c r="OOZ5077" s="917"/>
      <c r="OPA5077" s="917"/>
      <c r="OPB5077" s="917"/>
      <c r="OPC5077" s="917"/>
      <c r="OPD5077" s="917"/>
      <c r="OPE5077" s="917"/>
      <c r="OPF5077" s="917"/>
      <c r="OPG5077" s="917"/>
      <c r="OPH5077" s="917"/>
      <c r="OPI5077" s="917"/>
      <c r="OPJ5077" s="917"/>
      <c r="OPK5077" s="917"/>
      <c r="OPL5077" s="917"/>
      <c r="OPM5077" s="917"/>
      <c r="OPN5077" s="917"/>
      <c r="OPO5077" s="917"/>
      <c r="OPP5077" s="917"/>
      <c r="OPQ5077" s="917"/>
      <c r="OPR5077" s="917"/>
      <c r="OPS5077" s="917"/>
      <c r="OPT5077" s="917"/>
      <c r="OPU5077" s="917"/>
      <c r="OPV5077" s="917"/>
      <c r="OPW5077" s="917"/>
      <c r="OPX5077" s="917"/>
      <c r="OPY5077" s="917" t="s">
        <v>78</v>
      </c>
      <c r="OPZ5077" s="917"/>
      <c r="OQA5077" s="917"/>
      <c r="OQB5077" s="917"/>
      <c r="OQC5077" s="917"/>
      <c r="OQD5077" s="917"/>
      <c r="OQE5077" s="917"/>
      <c r="OQF5077" s="917"/>
      <c r="OQG5077" s="917"/>
      <c r="OQH5077" s="917"/>
      <c r="OQI5077" s="917"/>
      <c r="OQJ5077" s="917"/>
      <c r="OQK5077" s="917"/>
      <c r="OQL5077" s="917"/>
      <c r="OQM5077" s="917"/>
      <c r="OQN5077" s="917"/>
      <c r="OQO5077" s="917"/>
      <c r="OQP5077" s="917"/>
      <c r="OQQ5077" s="917"/>
      <c r="OQR5077" s="917"/>
      <c r="OQS5077" s="917"/>
      <c r="OQT5077" s="917"/>
      <c r="OQU5077" s="917"/>
      <c r="OQV5077" s="917"/>
      <c r="OQW5077" s="917"/>
      <c r="OQX5077" s="917"/>
      <c r="OQY5077" s="917"/>
      <c r="OQZ5077" s="917"/>
      <c r="ORA5077" s="917"/>
      <c r="ORB5077" s="917"/>
      <c r="ORC5077" s="917"/>
      <c r="ORD5077" s="917"/>
      <c r="ORE5077" s="917" t="s">
        <v>78</v>
      </c>
      <c r="ORF5077" s="917"/>
      <c r="ORG5077" s="917"/>
      <c r="ORH5077" s="917"/>
      <c r="ORI5077" s="917"/>
      <c r="ORJ5077" s="917"/>
      <c r="ORK5077" s="917"/>
      <c r="ORL5077" s="917"/>
      <c r="ORM5077" s="917"/>
      <c r="ORN5077" s="917"/>
      <c r="ORO5077" s="917"/>
      <c r="ORP5077" s="917"/>
      <c r="ORQ5077" s="917"/>
      <c r="ORR5077" s="917"/>
      <c r="ORS5077" s="917"/>
      <c r="ORT5077" s="917"/>
      <c r="ORU5077" s="917"/>
      <c r="ORV5077" s="917"/>
      <c r="ORW5077" s="917"/>
      <c r="ORX5077" s="917"/>
      <c r="ORY5077" s="917"/>
      <c r="ORZ5077" s="917"/>
      <c r="OSA5077" s="917"/>
      <c r="OSB5077" s="917"/>
      <c r="OSC5077" s="917"/>
      <c r="OSD5077" s="917"/>
      <c r="OSE5077" s="917"/>
      <c r="OSF5077" s="917"/>
      <c r="OSG5077" s="917"/>
      <c r="OSH5077" s="917"/>
      <c r="OSI5077" s="917"/>
      <c r="OSJ5077" s="917"/>
      <c r="OSK5077" s="917" t="s">
        <v>78</v>
      </c>
      <c r="OSL5077" s="917"/>
      <c r="OSM5077" s="917"/>
      <c r="OSN5077" s="917"/>
      <c r="OSO5077" s="917"/>
      <c r="OSP5077" s="917"/>
      <c r="OSQ5077" s="917"/>
      <c r="OSR5077" s="917"/>
      <c r="OSS5077" s="917"/>
      <c r="OST5077" s="917"/>
      <c r="OSU5077" s="917"/>
      <c r="OSV5077" s="917"/>
      <c r="OSW5077" s="917"/>
      <c r="OSX5077" s="917"/>
      <c r="OSY5077" s="917"/>
      <c r="OSZ5077" s="917"/>
      <c r="OTA5077" s="917"/>
      <c r="OTB5077" s="917"/>
      <c r="OTC5077" s="917"/>
      <c r="OTD5077" s="917"/>
      <c r="OTE5077" s="917"/>
      <c r="OTF5077" s="917"/>
      <c r="OTG5077" s="917"/>
      <c r="OTH5077" s="917"/>
      <c r="OTI5077" s="917"/>
      <c r="OTJ5077" s="917"/>
      <c r="OTK5077" s="917"/>
      <c r="OTL5077" s="917"/>
      <c r="OTM5077" s="917"/>
      <c r="OTN5077" s="917"/>
      <c r="OTO5077" s="917"/>
      <c r="OTP5077" s="917"/>
      <c r="OTQ5077" s="917" t="s">
        <v>78</v>
      </c>
      <c r="OTR5077" s="917"/>
      <c r="OTS5077" s="917"/>
      <c r="OTT5077" s="917"/>
      <c r="OTU5077" s="917"/>
      <c r="OTV5077" s="917"/>
      <c r="OTW5077" s="917"/>
      <c r="OTX5077" s="917"/>
      <c r="OTY5077" s="917"/>
      <c r="OTZ5077" s="917"/>
      <c r="OUA5077" s="917"/>
      <c r="OUB5077" s="917"/>
      <c r="OUC5077" s="917"/>
      <c r="OUD5077" s="917"/>
      <c r="OUE5077" s="917"/>
      <c r="OUF5077" s="917"/>
      <c r="OUG5077" s="917"/>
      <c r="OUH5077" s="917"/>
      <c r="OUI5077" s="917"/>
      <c r="OUJ5077" s="917"/>
      <c r="OUK5077" s="917"/>
      <c r="OUL5077" s="917"/>
      <c r="OUM5077" s="917"/>
      <c r="OUN5077" s="917"/>
      <c r="OUO5077" s="917"/>
      <c r="OUP5077" s="917"/>
      <c r="OUQ5077" s="917"/>
      <c r="OUR5077" s="917"/>
      <c r="OUS5077" s="917"/>
      <c r="OUT5077" s="917"/>
      <c r="OUU5077" s="917"/>
      <c r="OUV5077" s="917"/>
      <c r="OUW5077" s="917" t="s">
        <v>78</v>
      </c>
      <c r="OUX5077" s="917"/>
      <c r="OUY5077" s="917"/>
      <c r="OUZ5077" s="917"/>
      <c r="OVA5077" s="917"/>
      <c r="OVB5077" s="917"/>
      <c r="OVC5077" s="917"/>
      <c r="OVD5077" s="917"/>
      <c r="OVE5077" s="917"/>
      <c r="OVF5077" s="917"/>
      <c r="OVG5077" s="917"/>
      <c r="OVH5077" s="917"/>
      <c r="OVI5077" s="917"/>
      <c r="OVJ5077" s="917"/>
      <c r="OVK5077" s="917"/>
      <c r="OVL5077" s="917"/>
      <c r="OVM5077" s="917"/>
      <c r="OVN5077" s="917"/>
      <c r="OVO5077" s="917"/>
      <c r="OVP5077" s="917"/>
      <c r="OVQ5077" s="917"/>
      <c r="OVR5077" s="917"/>
      <c r="OVS5077" s="917"/>
      <c r="OVT5077" s="917"/>
      <c r="OVU5077" s="917"/>
      <c r="OVV5077" s="917"/>
      <c r="OVW5077" s="917"/>
      <c r="OVX5077" s="917"/>
      <c r="OVY5077" s="917"/>
      <c r="OVZ5077" s="917"/>
      <c r="OWA5077" s="917"/>
      <c r="OWB5077" s="917"/>
      <c r="OWC5077" s="917" t="s">
        <v>78</v>
      </c>
      <c r="OWD5077" s="917"/>
      <c r="OWE5077" s="917"/>
      <c r="OWF5077" s="917"/>
      <c r="OWG5077" s="917"/>
      <c r="OWH5077" s="917"/>
      <c r="OWI5077" s="917"/>
      <c r="OWJ5077" s="917"/>
      <c r="OWK5077" s="917"/>
      <c r="OWL5077" s="917"/>
      <c r="OWM5077" s="917"/>
      <c r="OWN5077" s="917"/>
      <c r="OWO5077" s="917"/>
      <c r="OWP5077" s="917"/>
      <c r="OWQ5077" s="917"/>
      <c r="OWR5077" s="917"/>
      <c r="OWS5077" s="917"/>
      <c r="OWT5077" s="917"/>
      <c r="OWU5077" s="917"/>
      <c r="OWV5077" s="917"/>
      <c r="OWW5077" s="917"/>
      <c r="OWX5077" s="917"/>
      <c r="OWY5077" s="917"/>
      <c r="OWZ5077" s="917"/>
      <c r="OXA5077" s="917"/>
      <c r="OXB5077" s="917"/>
      <c r="OXC5077" s="917"/>
      <c r="OXD5077" s="917"/>
      <c r="OXE5077" s="917"/>
      <c r="OXF5077" s="917"/>
      <c r="OXG5077" s="917"/>
      <c r="OXH5077" s="917"/>
      <c r="OXI5077" s="917" t="s">
        <v>78</v>
      </c>
      <c r="OXJ5077" s="917"/>
      <c r="OXK5077" s="917"/>
      <c r="OXL5077" s="917"/>
      <c r="OXM5077" s="917"/>
      <c r="OXN5077" s="917"/>
      <c r="OXO5077" s="917"/>
      <c r="OXP5077" s="917"/>
      <c r="OXQ5077" s="917"/>
      <c r="OXR5077" s="917"/>
      <c r="OXS5077" s="917"/>
      <c r="OXT5077" s="917"/>
      <c r="OXU5077" s="917"/>
      <c r="OXV5077" s="917"/>
      <c r="OXW5077" s="917"/>
      <c r="OXX5077" s="917"/>
      <c r="OXY5077" s="917"/>
      <c r="OXZ5077" s="917"/>
      <c r="OYA5077" s="917"/>
      <c r="OYB5077" s="917"/>
      <c r="OYC5077" s="917"/>
      <c r="OYD5077" s="917"/>
      <c r="OYE5077" s="917"/>
      <c r="OYF5077" s="917"/>
      <c r="OYG5077" s="917"/>
      <c r="OYH5077" s="917"/>
      <c r="OYI5077" s="917"/>
      <c r="OYJ5077" s="917"/>
      <c r="OYK5077" s="917"/>
      <c r="OYL5077" s="917"/>
      <c r="OYM5077" s="917"/>
      <c r="OYN5077" s="917"/>
      <c r="OYO5077" s="917" t="s">
        <v>78</v>
      </c>
      <c r="OYP5077" s="917"/>
      <c r="OYQ5077" s="917"/>
      <c r="OYR5077" s="917"/>
      <c r="OYS5077" s="917"/>
      <c r="OYT5077" s="917"/>
      <c r="OYU5077" s="917"/>
      <c r="OYV5077" s="917"/>
      <c r="OYW5077" s="917"/>
      <c r="OYX5077" s="917"/>
      <c r="OYY5077" s="917"/>
      <c r="OYZ5077" s="917"/>
      <c r="OZA5077" s="917"/>
      <c r="OZB5077" s="917"/>
      <c r="OZC5077" s="917"/>
      <c r="OZD5077" s="917"/>
      <c r="OZE5077" s="917"/>
      <c r="OZF5077" s="917"/>
      <c r="OZG5077" s="917"/>
      <c r="OZH5077" s="917"/>
      <c r="OZI5077" s="917"/>
      <c r="OZJ5077" s="917"/>
      <c r="OZK5077" s="917"/>
      <c r="OZL5077" s="917"/>
      <c r="OZM5077" s="917"/>
      <c r="OZN5077" s="917"/>
      <c r="OZO5077" s="917"/>
      <c r="OZP5077" s="917"/>
      <c r="OZQ5077" s="917"/>
      <c r="OZR5077" s="917"/>
      <c r="OZS5077" s="917"/>
      <c r="OZT5077" s="917"/>
      <c r="OZU5077" s="917" t="s">
        <v>78</v>
      </c>
      <c r="OZV5077" s="917"/>
      <c r="OZW5077" s="917"/>
      <c r="OZX5077" s="917"/>
      <c r="OZY5077" s="917"/>
      <c r="OZZ5077" s="917"/>
      <c r="PAA5077" s="917"/>
      <c r="PAB5077" s="917"/>
      <c r="PAC5077" s="917"/>
      <c r="PAD5077" s="917"/>
      <c r="PAE5077" s="917"/>
      <c r="PAF5077" s="917"/>
      <c r="PAG5077" s="917"/>
      <c r="PAH5077" s="917"/>
      <c r="PAI5077" s="917"/>
      <c r="PAJ5077" s="917"/>
      <c r="PAK5077" s="917"/>
      <c r="PAL5077" s="917"/>
      <c r="PAM5077" s="917"/>
      <c r="PAN5077" s="917"/>
      <c r="PAO5077" s="917"/>
      <c r="PAP5077" s="917"/>
      <c r="PAQ5077" s="917"/>
      <c r="PAR5077" s="917"/>
      <c r="PAS5077" s="917"/>
      <c r="PAT5077" s="917"/>
      <c r="PAU5077" s="917"/>
      <c r="PAV5077" s="917"/>
      <c r="PAW5077" s="917"/>
      <c r="PAX5077" s="917"/>
      <c r="PAY5077" s="917"/>
      <c r="PAZ5077" s="917"/>
      <c r="PBA5077" s="917" t="s">
        <v>78</v>
      </c>
      <c r="PBB5077" s="917"/>
      <c r="PBC5077" s="917"/>
      <c r="PBD5077" s="917"/>
      <c r="PBE5077" s="917"/>
      <c r="PBF5077" s="917"/>
      <c r="PBG5077" s="917"/>
      <c r="PBH5077" s="917"/>
      <c r="PBI5077" s="917"/>
      <c r="PBJ5077" s="917"/>
      <c r="PBK5077" s="917"/>
      <c r="PBL5077" s="917"/>
      <c r="PBM5077" s="917"/>
      <c r="PBN5077" s="917"/>
      <c r="PBO5077" s="917"/>
      <c r="PBP5077" s="917"/>
      <c r="PBQ5077" s="917"/>
      <c r="PBR5077" s="917"/>
      <c r="PBS5077" s="917"/>
      <c r="PBT5077" s="917"/>
      <c r="PBU5077" s="917"/>
      <c r="PBV5077" s="917"/>
      <c r="PBW5077" s="917"/>
      <c r="PBX5077" s="917"/>
      <c r="PBY5077" s="917"/>
      <c r="PBZ5077" s="917"/>
      <c r="PCA5077" s="917"/>
      <c r="PCB5077" s="917"/>
      <c r="PCC5077" s="917"/>
      <c r="PCD5077" s="917"/>
      <c r="PCE5077" s="917"/>
      <c r="PCF5077" s="917"/>
      <c r="PCG5077" s="917" t="s">
        <v>78</v>
      </c>
      <c r="PCH5077" s="917"/>
      <c r="PCI5077" s="917"/>
      <c r="PCJ5077" s="917"/>
      <c r="PCK5077" s="917"/>
      <c r="PCL5077" s="917"/>
      <c r="PCM5077" s="917"/>
      <c r="PCN5077" s="917"/>
      <c r="PCO5077" s="917"/>
      <c r="PCP5077" s="917"/>
      <c r="PCQ5077" s="917"/>
      <c r="PCR5077" s="917"/>
      <c r="PCS5077" s="917"/>
      <c r="PCT5077" s="917"/>
      <c r="PCU5077" s="917"/>
      <c r="PCV5077" s="917"/>
      <c r="PCW5077" s="917"/>
      <c r="PCX5077" s="917"/>
      <c r="PCY5077" s="917"/>
      <c r="PCZ5077" s="917"/>
      <c r="PDA5077" s="917"/>
      <c r="PDB5077" s="917"/>
      <c r="PDC5077" s="917"/>
      <c r="PDD5077" s="917"/>
      <c r="PDE5077" s="917"/>
      <c r="PDF5077" s="917"/>
      <c r="PDG5077" s="917"/>
      <c r="PDH5077" s="917"/>
      <c r="PDI5077" s="917"/>
      <c r="PDJ5077" s="917"/>
      <c r="PDK5077" s="917"/>
      <c r="PDL5077" s="917"/>
      <c r="PDM5077" s="917" t="s">
        <v>78</v>
      </c>
      <c r="PDN5077" s="917"/>
      <c r="PDO5077" s="917"/>
      <c r="PDP5077" s="917"/>
      <c r="PDQ5077" s="917"/>
      <c r="PDR5077" s="917"/>
      <c r="PDS5077" s="917"/>
      <c r="PDT5077" s="917"/>
      <c r="PDU5077" s="917"/>
      <c r="PDV5077" s="917"/>
      <c r="PDW5077" s="917"/>
      <c r="PDX5077" s="917"/>
      <c r="PDY5077" s="917"/>
      <c r="PDZ5077" s="917"/>
      <c r="PEA5077" s="917"/>
      <c r="PEB5077" s="917"/>
      <c r="PEC5077" s="917"/>
      <c r="PED5077" s="917"/>
      <c r="PEE5077" s="917"/>
      <c r="PEF5077" s="917"/>
      <c r="PEG5077" s="917"/>
      <c r="PEH5077" s="917"/>
      <c r="PEI5077" s="917"/>
      <c r="PEJ5077" s="917"/>
      <c r="PEK5077" s="917"/>
      <c r="PEL5077" s="917"/>
      <c r="PEM5077" s="917"/>
      <c r="PEN5077" s="917"/>
      <c r="PEO5077" s="917"/>
      <c r="PEP5077" s="917"/>
      <c r="PEQ5077" s="917"/>
      <c r="PER5077" s="917"/>
      <c r="PES5077" s="917" t="s">
        <v>78</v>
      </c>
      <c r="PET5077" s="917"/>
      <c r="PEU5077" s="917"/>
      <c r="PEV5077" s="917"/>
      <c r="PEW5077" s="917"/>
      <c r="PEX5077" s="917"/>
      <c r="PEY5077" s="917"/>
      <c r="PEZ5077" s="917"/>
      <c r="PFA5077" s="917"/>
      <c r="PFB5077" s="917"/>
      <c r="PFC5077" s="917"/>
      <c r="PFD5077" s="917"/>
      <c r="PFE5077" s="917"/>
      <c r="PFF5077" s="917"/>
      <c r="PFG5077" s="917"/>
      <c r="PFH5077" s="917"/>
      <c r="PFI5077" s="917"/>
      <c r="PFJ5077" s="917"/>
      <c r="PFK5077" s="917"/>
      <c r="PFL5077" s="917"/>
      <c r="PFM5077" s="917"/>
      <c r="PFN5077" s="917"/>
      <c r="PFO5077" s="917"/>
      <c r="PFP5077" s="917"/>
      <c r="PFQ5077" s="917"/>
      <c r="PFR5077" s="917"/>
      <c r="PFS5077" s="917"/>
      <c r="PFT5077" s="917"/>
      <c r="PFU5077" s="917"/>
      <c r="PFV5077" s="917"/>
      <c r="PFW5077" s="917"/>
      <c r="PFX5077" s="917"/>
      <c r="PFY5077" s="917" t="s">
        <v>78</v>
      </c>
      <c r="PFZ5077" s="917"/>
      <c r="PGA5077" s="917"/>
      <c r="PGB5077" s="917"/>
      <c r="PGC5077" s="917"/>
      <c r="PGD5077" s="917"/>
      <c r="PGE5077" s="917"/>
      <c r="PGF5077" s="917"/>
      <c r="PGG5077" s="917"/>
      <c r="PGH5077" s="917"/>
      <c r="PGI5077" s="917"/>
      <c r="PGJ5077" s="917"/>
      <c r="PGK5077" s="917"/>
      <c r="PGL5077" s="917"/>
      <c r="PGM5077" s="917"/>
      <c r="PGN5077" s="917"/>
      <c r="PGO5077" s="917"/>
      <c r="PGP5077" s="917"/>
      <c r="PGQ5077" s="917"/>
      <c r="PGR5077" s="917"/>
      <c r="PGS5077" s="917"/>
      <c r="PGT5077" s="917"/>
      <c r="PGU5077" s="917"/>
      <c r="PGV5077" s="917"/>
      <c r="PGW5077" s="917"/>
      <c r="PGX5077" s="917"/>
      <c r="PGY5077" s="917"/>
      <c r="PGZ5077" s="917"/>
      <c r="PHA5077" s="917"/>
      <c r="PHB5077" s="917"/>
      <c r="PHC5077" s="917"/>
      <c r="PHD5077" s="917"/>
      <c r="PHE5077" s="917" t="s">
        <v>78</v>
      </c>
      <c r="PHF5077" s="917"/>
      <c r="PHG5077" s="917"/>
      <c r="PHH5077" s="917"/>
      <c r="PHI5077" s="917"/>
      <c r="PHJ5077" s="917"/>
      <c r="PHK5077" s="917"/>
      <c r="PHL5077" s="917"/>
      <c r="PHM5077" s="917"/>
      <c r="PHN5077" s="917"/>
      <c r="PHO5077" s="917"/>
      <c r="PHP5077" s="917"/>
      <c r="PHQ5077" s="917"/>
      <c r="PHR5077" s="917"/>
      <c r="PHS5077" s="917"/>
      <c r="PHT5077" s="917"/>
      <c r="PHU5077" s="917"/>
      <c r="PHV5077" s="917"/>
      <c r="PHW5077" s="917"/>
      <c r="PHX5077" s="917"/>
      <c r="PHY5077" s="917"/>
      <c r="PHZ5077" s="917"/>
      <c r="PIA5077" s="917"/>
      <c r="PIB5077" s="917"/>
      <c r="PIC5077" s="917"/>
      <c r="PID5077" s="917"/>
      <c r="PIE5077" s="917"/>
      <c r="PIF5077" s="917"/>
      <c r="PIG5077" s="917"/>
      <c r="PIH5077" s="917"/>
      <c r="PII5077" s="917"/>
      <c r="PIJ5077" s="917"/>
      <c r="PIK5077" s="917" t="s">
        <v>78</v>
      </c>
      <c r="PIL5077" s="917"/>
      <c r="PIM5077" s="917"/>
      <c r="PIN5077" s="917"/>
      <c r="PIO5077" s="917"/>
      <c r="PIP5077" s="917"/>
      <c r="PIQ5077" s="917"/>
      <c r="PIR5077" s="917"/>
      <c r="PIS5077" s="917"/>
      <c r="PIT5077" s="917"/>
      <c r="PIU5077" s="917"/>
      <c r="PIV5077" s="917"/>
      <c r="PIW5077" s="917"/>
      <c r="PIX5077" s="917"/>
      <c r="PIY5077" s="917"/>
      <c r="PIZ5077" s="917"/>
      <c r="PJA5077" s="917"/>
      <c r="PJB5077" s="917"/>
      <c r="PJC5077" s="917"/>
      <c r="PJD5077" s="917"/>
      <c r="PJE5077" s="917"/>
      <c r="PJF5077" s="917"/>
      <c r="PJG5077" s="917"/>
      <c r="PJH5077" s="917"/>
      <c r="PJI5077" s="917"/>
      <c r="PJJ5077" s="917"/>
      <c r="PJK5077" s="917"/>
      <c r="PJL5077" s="917"/>
      <c r="PJM5077" s="917"/>
      <c r="PJN5077" s="917"/>
      <c r="PJO5077" s="917"/>
      <c r="PJP5077" s="917"/>
      <c r="PJQ5077" s="917" t="s">
        <v>78</v>
      </c>
      <c r="PJR5077" s="917"/>
      <c r="PJS5077" s="917"/>
      <c r="PJT5077" s="917"/>
      <c r="PJU5077" s="917"/>
      <c r="PJV5077" s="917"/>
      <c r="PJW5077" s="917"/>
      <c r="PJX5077" s="917"/>
      <c r="PJY5077" s="917"/>
      <c r="PJZ5077" s="917"/>
      <c r="PKA5077" s="917"/>
      <c r="PKB5077" s="917"/>
      <c r="PKC5077" s="917"/>
      <c r="PKD5077" s="917"/>
      <c r="PKE5077" s="917"/>
      <c r="PKF5077" s="917"/>
      <c r="PKG5077" s="917"/>
      <c r="PKH5077" s="917"/>
      <c r="PKI5077" s="917"/>
      <c r="PKJ5077" s="917"/>
      <c r="PKK5077" s="917"/>
      <c r="PKL5077" s="917"/>
      <c r="PKM5077" s="917"/>
      <c r="PKN5077" s="917"/>
      <c r="PKO5077" s="917"/>
      <c r="PKP5077" s="917"/>
      <c r="PKQ5077" s="917"/>
      <c r="PKR5077" s="917"/>
      <c r="PKS5077" s="917"/>
      <c r="PKT5077" s="917"/>
      <c r="PKU5077" s="917"/>
      <c r="PKV5077" s="917"/>
      <c r="PKW5077" s="917" t="s">
        <v>78</v>
      </c>
      <c r="PKX5077" s="917"/>
      <c r="PKY5077" s="917"/>
      <c r="PKZ5077" s="917"/>
      <c r="PLA5077" s="917"/>
      <c r="PLB5077" s="917"/>
      <c r="PLC5077" s="917"/>
      <c r="PLD5077" s="917"/>
      <c r="PLE5077" s="917"/>
      <c r="PLF5077" s="917"/>
      <c r="PLG5077" s="917"/>
      <c r="PLH5077" s="917"/>
      <c r="PLI5077" s="917"/>
      <c r="PLJ5077" s="917"/>
      <c r="PLK5077" s="917"/>
      <c r="PLL5077" s="917"/>
      <c r="PLM5077" s="917"/>
      <c r="PLN5077" s="917"/>
      <c r="PLO5077" s="917"/>
      <c r="PLP5077" s="917"/>
      <c r="PLQ5077" s="917"/>
      <c r="PLR5077" s="917"/>
      <c r="PLS5077" s="917"/>
      <c r="PLT5077" s="917"/>
      <c r="PLU5077" s="917"/>
      <c r="PLV5077" s="917"/>
      <c r="PLW5077" s="917"/>
      <c r="PLX5077" s="917"/>
      <c r="PLY5077" s="917"/>
      <c r="PLZ5077" s="917"/>
      <c r="PMA5077" s="917"/>
      <c r="PMB5077" s="917"/>
      <c r="PMC5077" s="917" t="s">
        <v>78</v>
      </c>
      <c r="PMD5077" s="917"/>
      <c r="PME5077" s="917"/>
      <c r="PMF5077" s="917"/>
      <c r="PMG5077" s="917"/>
      <c r="PMH5077" s="917"/>
      <c r="PMI5077" s="917"/>
      <c r="PMJ5077" s="917"/>
      <c r="PMK5077" s="917"/>
      <c r="PML5077" s="917"/>
      <c r="PMM5077" s="917"/>
      <c r="PMN5077" s="917"/>
      <c r="PMO5077" s="917"/>
      <c r="PMP5077" s="917"/>
      <c r="PMQ5077" s="917"/>
      <c r="PMR5077" s="917"/>
      <c r="PMS5077" s="917"/>
      <c r="PMT5077" s="917"/>
      <c r="PMU5077" s="917"/>
      <c r="PMV5077" s="917"/>
      <c r="PMW5077" s="917"/>
      <c r="PMX5077" s="917"/>
      <c r="PMY5077" s="917"/>
      <c r="PMZ5077" s="917"/>
      <c r="PNA5077" s="917"/>
      <c r="PNB5077" s="917"/>
      <c r="PNC5077" s="917"/>
      <c r="PND5077" s="917"/>
      <c r="PNE5077" s="917"/>
      <c r="PNF5077" s="917"/>
      <c r="PNG5077" s="917"/>
      <c r="PNH5077" s="917"/>
      <c r="PNI5077" s="917" t="s">
        <v>78</v>
      </c>
      <c r="PNJ5077" s="917"/>
      <c r="PNK5077" s="917"/>
      <c r="PNL5077" s="917"/>
      <c r="PNM5077" s="917"/>
      <c r="PNN5077" s="917"/>
      <c r="PNO5077" s="917"/>
      <c r="PNP5077" s="917"/>
      <c r="PNQ5077" s="917"/>
      <c r="PNR5077" s="917"/>
      <c r="PNS5077" s="917"/>
      <c r="PNT5077" s="917"/>
      <c r="PNU5077" s="917"/>
      <c r="PNV5077" s="917"/>
      <c r="PNW5077" s="917"/>
      <c r="PNX5077" s="917"/>
      <c r="PNY5077" s="917"/>
      <c r="PNZ5077" s="917"/>
      <c r="POA5077" s="917"/>
      <c r="POB5077" s="917"/>
      <c r="POC5077" s="917"/>
      <c r="POD5077" s="917"/>
      <c r="POE5077" s="917"/>
      <c r="POF5077" s="917"/>
      <c r="POG5077" s="917"/>
      <c r="POH5077" s="917"/>
      <c r="POI5077" s="917"/>
      <c r="POJ5077" s="917"/>
      <c r="POK5077" s="917"/>
      <c r="POL5077" s="917"/>
      <c r="POM5077" s="917"/>
      <c r="PON5077" s="917"/>
      <c r="POO5077" s="917" t="s">
        <v>78</v>
      </c>
      <c r="POP5077" s="917"/>
      <c r="POQ5077" s="917"/>
      <c r="POR5077" s="917"/>
      <c r="POS5077" s="917"/>
      <c r="POT5077" s="917"/>
      <c r="POU5077" s="917"/>
      <c r="POV5077" s="917"/>
      <c r="POW5077" s="917"/>
      <c r="POX5077" s="917"/>
      <c r="POY5077" s="917"/>
      <c r="POZ5077" s="917"/>
      <c r="PPA5077" s="917"/>
      <c r="PPB5077" s="917"/>
      <c r="PPC5077" s="917"/>
      <c r="PPD5077" s="917"/>
      <c r="PPE5077" s="917"/>
      <c r="PPF5077" s="917"/>
      <c r="PPG5077" s="917"/>
      <c r="PPH5077" s="917"/>
      <c r="PPI5077" s="917"/>
      <c r="PPJ5077" s="917"/>
      <c r="PPK5077" s="917"/>
      <c r="PPL5077" s="917"/>
      <c r="PPM5077" s="917"/>
      <c r="PPN5077" s="917"/>
      <c r="PPO5077" s="917"/>
      <c r="PPP5077" s="917"/>
      <c r="PPQ5077" s="917"/>
      <c r="PPR5077" s="917"/>
      <c r="PPS5077" s="917"/>
      <c r="PPT5077" s="917"/>
      <c r="PPU5077" s="917" t="s">
        <v>78</v>
      </c>
      <c r="PPV5077" s="917"/>
      <c r="PPW5077" s="917"/>
      <c r="PPX5077" s="917"/>
      <c r="PPY5077" s="917"/>
      <c r="PPZ5077" s="917"/>
      <c r="PQA5077" s="917"/>
      <c r="PQB5077" s="917"/>
      <c r="PQC5077" s="917"/>
      <c r="PQD5077" s="917"/>
      <c r="PQE5077" s="917"/>
      <c r="PQF5077" s="917"/>
      <c r="PQG5077" s="917"/>
      <c r="PQH5077" s="917"/>
      <c r="PQI5077" s="917"/>
      <c r="PQJ5077" s="917"/>
      <c r="PQK5077" s="917"/>
      <c r="PQL5077" s="917"/>
      <c r="PQM5077" s="917"/>
      <c r="PQN5077" s="917"/>
      <c r="PQO5077" s="917"/>
      <c r="PQP5077" s="917"/>
      <c r="PQQ5077" s="917"/>
      <c r="PQR5077" s="917"/>
      <c r="PQS5077" s="917"/>
      <c r="PQT5077" s="917"/>
      <c r="PQU5077" s="917"/>
      <c r="PQV5077" s="917"/>
      <c r="PQW5077" s="917"/>
      <c r="PQX5077" s="917"/>
      <c r="PQY5077" s="917"/>
      <c r="PQZ5077" s="917"/>
      <c r="PRA5077" s="917" t="s">
        <v>78</v>
      </c>
      <c r="PRB5077" s="917"/>
      <c r="PRC5077" s="917"/>
      <c r="PRD5077" s="917"/>
      <c r="PRE5077" s="917"/>
      <c r="PRF5077" s="917"/>
      <c r="PRG5077" s="917"/>
      <c r="PRH5077" s="917"/>
      <c r="PRI5077" s="917"/>
      <c r="PRJ5077" s="917"/>
      <c r="PRK5077" s="917"/>
      <c r="PRL5077" s="917"/>
      <c r="PRM5077" s="917"/>
      <c r="PRN5077" s="917"/>
      <c r="PRO5077" s="917"/>
      <c r="PRP5077" s="917"/>
      <c r="PRQ5077" s="917"/>
      <c r="PRR5077" s="917"/>
      <c r="PRS5077" s="917"/>
      <c r="PRT5077" s="917"/>
      <c r="PRU5077" s="917"/>
      <c r="PRV5077" s="917"/>
      <c r="PRW5077" s="917"/>
      <c r="PRX5077" s="917"/>
      <c r="PRY5077" s="917"/>
      <c r="PRZ5077" s="917"/>
      <c r="PSA5077" s="917"/>
      <c r="PSB5077" s="917"/>
      <c r="PSC5077" s="917"/>
      <c r="PSD5077" s="917"/>
      <c r="PSE5077" s="917"/>
      <c r="PSF5077" s="917"/>
      <c r="PSG5077" s="917" t="s">
        <v>78</v>
      </c>
      <c r="PSH5077" s="917"/>
      <c r="PSI5077" s="917"/>
      <c r="PSJ5077" s="917"/>
      <c r="PSK5077" s="917"/>
      <c r="PSL5077" s="917"/>
      <c r="PSM5077" s="917"/>
      <c r="PSN5077" s="917"/>
      <c r="PSO5077" s="917"/>
      <c r="PSP5077" s="917"/>
      <c r="PSQ5077" s="917"/>
      <c r="PSR5077" s="917"/>
      <c r="PSS5077" s="917"/>
      <c r="PST5077" s="917"/>
      <c r="PSU5077" s="917"/>
      <c r="PSV5077" s="917"/>
      <c r="PSW5077" s="917"/>
      <c r="PSX5077" s="917"/>
      <c r="PSY5077" s="917"/>
      <c r="PSZ5077" s="917"/>
      <c r="PTA5077" s="917"/>
      <c r="PTB5077" s="917"/>
      <c r="PTC5077" s="917"/>
      <c r="PTD5077" s="917"/>
      <c r="PTE5077" s="917"/>
      <c r="PTF5077" s="917"/>
      <c r="PTG5077" s="917"/>
      <c r="PTH5077" s="917"/>
      <c r="PTI5077" s="917"/>
      <c r="PTJ5077" s="917"/>
      <c r="PTK5077" s="917"/>
      <c r="PTL5077" s="917"/>
      <c r="PTM5077" s="917" t="s">
        <v>78</v>
      </c>
      <c r="PTN5077" s="917"/>
      <c r="PTO5077" s="917"/>
      <c r="PTP5077" s="917"/>
      <c r="PTQ5077" s="917"/>
      <c r="PTR5077" s="917"/>
      <c r="PTS5077" s="917"/>
      <c r="PTT5077" s="917"/>
      <c r="PTU5077" s="917"/>
      <c r="PTV5077" s="917"/>
      <c r="PTW5077" s="917"/>
      <c r="PTX5077" s="917"/>
      <c r="PTY5077" s="917"/>
      <c r="PTZ5077" s="917"/>
      <c r="PUA5077" s="917"/>
      <c r="PUB5077" s="917"/>
      <c r="PUC5077" s="917"/>
      <c r="PUD5077" s="917"/>
      <c r="PUE5077" s="917"/>
      <c r="PUF5077" s="917"/>
      <c r="PUG5077" s="917"/>
      <c r="PUH5077" s="917"/>
      <c r="PUI5077" s="917"/>
      <c r="PUJ5077" s="917"/>
      <c r="PUK5077" s="917"/>
      <c r="PUL5077" s="917"/>
      <c r="PUM5077" s="917"/>
      <c r="PUN5077" s="917"/>
      <c r="PUO5077" s="917"/>
      <c r="PUP5077" s="917"/>
      <c r="PUQ5077" s="917"/>
      <c r="PUR5077" s="917"/>
      <c r="PUS5077" s="917" t="s">
        <v>78</v>
      </c>
      <c r="PUT5077" s="917"/>
      <c r="PUU5077" s="917"/>
      <c r="PUV5077" s="917"/>
      <c r="PUW5077" s="917"/>
      <c r="PUX5077" s="917"/>
      <c r="PUY5077" s="917"/>
      <c r="PUZ5077" s="917"/>
      <c r="PVA5077" s="917"/>
      <c r="PVB5077" s="917"/>
      <c r="PVC5077" s="917"/>
      <c r="PVD5077" s="917"/>
      <c r="PVE5077" s="917"/>
      <c r="PVF5077" s="917"/>
      <c r="PVG5077" s="917"/>
      <c r="PVH5077" s="917"/>
      <c r="PVI5077" s="917"/>
      <c r="PVJ5077" s="917"/>
      <c r="PVK5077" s="917"/>
      <c r="PVL5077" s="917"/>
      <c r="PVM5077" s="917"/>
      <c r="PVN5077" s="917"/>
      <c r="PVO5077" s="917"/>
      <c r="PVP5077" s="917"/>
      <c r="PVQ5077" s="917"/>
      <c r="PVR5077" s="917"/>
      <c r="PVS5077" s="917"/>
      <c r="PVT5077" s="917"/>
      <c r="PVU5077" s="917"/>
      <c r="PVV5077" s="917"/>
      <c r="PVW5077" s="917"/>
      <c r="PVX5077" s="917"/>
      <c r="PVY5077" s="917" t="s">
        <v>78</v>
      </c>
      <c r="PVZ5077" s="917"/>
      <c r="PWA5077" s="917"/>
      <c r="PWB5077" s="917"/>
      <c r="PWC5077" s="917"/>
      <c r="PWD5077" s="917"/>
      <c r="PWE5077" s="917"/>
      <c r="PWF5077" s="917"/>
      <c r="PWG5077" s="917"/>
      <c r="PWH5077" s="917"/>
      <c r="PWI5077" s="917"/>
      <c r="PWJ5077" s="917"/>
      <c r="PWK5077" s="917"/>
      <c r="PWL5077" s="917"/>
      <c r="PWM5077" s="917"/>
      <c r="PWN5077" s="917"/>
      <c r="PWO5077" s="917"/>
      <c r="PWP5077" s="917"/>
      <c r="PWQ5077" s="917"/>
      <c r="PWR5077" s="917"/>
      <c r="PWS5077" s="917"/>
      <c r="PWT5077" s="917"/>
      <c r="PWU5077" s="917"/>
      <c r="PWV5077" s="917"/>
      <c r="PWW5077" s="917"/>
      <c r="PWX5077" s="917"/>
      <c r="PWY5077" s="917"/>
      <c r="PWZ5077" s="917"/>
      <c r="PXA5077" s="917"/>
      <c r="PXB5077" s="917"/>
      <c r="PXC5077" s="917"/>
      <c r="PXD5077" s="917"/>
      <c r="PXE5077" s="917" t="s">
        <v>78</v>
      </c>
      <c r="PXF5077" s="917"/>
      <c r="PXG5077" s="917"/>
      <c r="PXH5077" s="917"/>
      <c r="PXI5077" s="917"/>
      <c r="PXJ5077" s="917"/>
      <c r="PXK5077" s="917"/>
      <c r="PXL5077" s="917"/>
      <c r="PXM5077" s="917"/>
      <c r="PXN5077" s="917"/>
      <c r="PXO5077" s="917"/>
      <c r="PXP5077" s="917"/>
      <c r="PXQ5077" s="917"/>
      <c r="PXR5077" s="917"/>
      <c r="PXS5077" s="917"/>
      <c r="PXT5077" s="917"/>
      <c r="PXU5077" s="917"/>
      <c r="PXV5077" s="917"/>
      <c r="PXW5077" s="917"/>
      <c r="PXX5077" s="917"/>
      <c r="PXY5077" s="917"/>
      <c r="PXZ5077" s="917"/>
      <c r="PYA5077" s="917"/>
      <c r="PYB5077" s="917"/>
      <c r="PYC5077" s="917"/>
      <c r="PYD5077" s="917"/>
      <c r="PYE5077" s="917"/>
      <c r="PYF5077" s="917"/>
      <c r="PYG5077" s="917"/>
      <c r="PYH5077" s="917"/>
      <c r="PYI5077" s="917"/>
      <c r="PYJ5077" s="917"/>
      <c r="PYK5077" s="917" t="s">
        <v>78</v>
      </c>
      <c r="PYL5077" s="917"/>
      <c r="PYM5077" s="917"/>
      <c r="PYN5077" s="917"/>
      <c r="PYO5077" s="917"/>
      <c r="PYP5077" s="917"/>
      <c r="PYQ5077" s="917"/>
      <c r="PYR5077" s="917"/>
      <c r="PYS5077" s="917"/>
      <c r="PYT5077" s="917"/>
      <c r="PYU5077" s="917"/>
      <c r="PYV5077" s="917"/>
      <c r="PYW5077" s="917"/>
      <c r="PYX5077" s="917"/>
      <c r="PYY5077" s="917"/>
      <c r="PYZ5077" s="917"/>
      <c r="PZA5077" s="917"/>
      <c r="PZB5077" s="917"/>
      <c r="PZC5077" s="917"/>
      <c r="PZD5077" s="917"/>
      <c r="PZE5077" s="917"/>
      <c r="PZF5077" s="917"/>
      <c r="PZG5077" s="917"/>
      <c r="PZH5077" s="917"/>
      <c r="PZI5077" s="917"/>
      <c r="PZJ5077" s="917"/>
      <c r="PZK5077" s="917"/>
      <c r="PZL5077" s="917"/>
      <c r="PZM5077" s="917"/>
      <c r="PZN5077" s="917"/>
      <c r="PZO5077" s="917"/>
      <c r="PZP5077" s="917"/>
      <c r="PZQ5077" s="917" t="s">
        <v>78</v>
      </c>
      <c r="PZR5077" s="917"/>
      <c r="PZS5077" s="917"/>
      <c r="PZT5077" s="917"/>
      <c r="PZU5077" s="917"/>
      <c r="PZV5077" s="917"/>
      <c r="PZW5077" s="917"/>
      <c r="PZX5077" s="917"/>
      <c r="PZY5077" s="917"/>
      <c r="PZZ5077" s="917"/>
      <c r="QAA5077" s="917"/>
      <c r="QAB5077" s="917"/>
      <c r="QAC5077" s="917"/>
      <c r="QAD5077" s="917"/>
      <c r="QAE5077" s="917"/>
      <c r="QAF5077" s="917"/>
      <c r="QAG5077" s="917"/>
      <c r="QAH5077" s="917"/>
      <c r="QAI5077" s="917"/>
      <c r="QAJ5077" s="917"/>
      <c r="QAK5077" s="917"/>
      <c r="QAL5077" s="917"/>
      <c r="QAM5077" s="917"/>
      <c r="QAN5077" s="917"/>
      <c r="QAO5077" s="917"/>
      <c r="QAP5077" s="917"/>
      <c r="QAQ5077" s="917"/>
      <c r="QAR5077" s="917"/>
      <c r="QAS5077" s="917"/>
      <c r="QAT5077" s="917"/>
      <c r="QAU5077" s="917"/>
      <c r="QAV5077" s="917"/>
      <c r="QAW5077" s="917" t="s">
        <v>78</v>
      </c>
      <c r="QAX5077" s="917"/>
      <c r="QAY5077" s="917"/>
      <c r="QAZ5077" s="917"/>
      <c r="QBA5077" s="917"/>
      <c r="QBB5077" s="917"/>
      <c r="QBC5077" s="917"/>
      <c r="QBD5077" s="917"/>
      <c r="QBE5077" s="917"/>
      <c r="QBF5077" s="917"/>
      <c r="QBG5077" s="917"/>
      <c r="QBH5077" s="917"/>
      <c r="QBI5077" s="917"/>
      <c r="QBJ5077" s="917"/>
      <c r="QBK5077" s="917"/>
      <c r="QBL5077" s="917"/>
      <c r="QBM5077" s="917"/>
      <c r="QBN5077" s="917"/>
      <c r="QBO5077" s="917"/>
      <c r="QBP5077" s="917"/>
      <c r="QBQ5077" s="917"/>
      <c r="QBR5077" s="917"/>
      <c r="QBS5077" s="917"/>
      <c r="QBT5077" s="917"/>
      <c r="QBU5077" s="917"/>
      <c r="QBV5077" s="917"/>
      <c r="QBW5077" s="917"/>
      <c r="QBX5077" s="917"/>
      <c r="QBY5077" s="917"/>
      <c r="QBZ5077" s="917"/>
      <c r="QCA5077" s="917"/>
      <c r="QCB5077" s="917"/>
      <c r="QCC5077" s="917" t="s">
        <v>78</v>
      </c>
      <c r="QCD5077" s="917"/>
      <c r="QCE5077" s="917"/>
      <c r="QCF5077" s="917"/>
      <c r="QCG5077" s="917"/>
      <c r="QCH5077" s="917"/>
      <c r="QCI5077" s="917"/>
      <c r="QCJ5077" s="917"/>
      <c r="QCK5077" s="917"/>
      <c r="QCL5077" s="917"/>
      <c r="QCM5077" s="917"/>
      <c r="QCN5077" s="917"/>
      <c r="QCO5077" s="917"/>
      <c r="QCP5077" s="917"/>
      <c r="QCQ5077" s="917"/>
      <c r="QCR5077" s="917"/>
      <c r="QCS5077" s="917"/>
      <c r="QCT5077" s="917"/>
      <c r="QCU5077" s="917"/>
      <c r="QCV5077" s="917"/>
      <c r="QCW5077" s="917"/>
      <c r="QCX5077" s="917"/>
      <c r="QCY5077" s="917"/>
      <c r="QCZ5077" s="917"/>
      <c r="QDA5077" s="917"/>
      <c r="QDB5077" s="917"/>
      <c r="QDC5077" s="917"/>
      <c r="QDD5077" s="917"/>
      <c r="QDE5077" s="917"/>
      <c r="QDF5077" s="917"/>
      <c r="QDG5077" s="917"/>
      <c r="QDH5077" s="917"/>
      <c r="QDI5077" s="917" t="s">
        <v>78</v>
      </c>
      <c r="QDJ5077" s="917"/>
      <c r="QDK5077" s="917"/>
      <c r="QDL5077" s="917"/>
      <c r="QDM5077" s="917"/>
      <c r="QDN5077" s="917"/>
      <c r="QDO5077" s="917"/>
      <c r="QDP5077" s="917"/>
      <c r="QDQ5077" s="917"/>
      <c r="QDR5077" s="917"/>
      <c r="QDS5077" s="917"/>
      <c r="QDT5077" s="917"/>
      <c r="QDU5077" s="917"/>
      <c r="QDV5077" s="917"/>
      <c r="QDW5077" s="917"/>
      <c r="QDX5077" s="917"/>
      <c r="QDY5077" s="917"/>
      <c r="QDZ5077" s="917"/>
      <c r="QEA5077" s="917"/>
      <c r="QEB5077" s="917"/>
      <c r="QEC5077" s="917"/>
      <c r="QED5077" s="917"/>
      <c r="QEE5077" s="917"/>
      <c r="QEF5077" s="917"/>
      <c r="QEG5077" s="917"/>
      <c r="QEH5077" s="917"/>
      <c r="QEI5077" s="917"/>
      <c r="QEJ5077" s="917"/>
      <c r="QEK5077" s="917"/>
      <c r="QEL5077" s="917"/>
      <c r="QEM5077" s="917"/>
      <c r="QEN5077" s="917"/>
      <c r="QEO5077" s="917" t="s">
        <v>78</v>
      </c>
      <c r="QEP5077" s="917"/>
      <c r="QEQ5077" s="917"/>
      <c r="QER5077" s="917"/>
      <c r="QES5077" s="917"/>
      <c r="QET5077" s="917"/>
      <c r="QEU5077" s="917"/>
      <c r="QEV5077" s="917"/>
      <c r="QEW5077" s="917"/>
      <c r="QEX5077" s="917"/>
      <c r="QEY5077" s="917"/>
      <c r="QEZ5077" s="917"/>
      <c r="QFA5077" s="917"/>
      <c r="QFB5077" s="917"/>
      <c r="QFC5077" s="917"/>
      <c r="QFD5077" s="917"/>
      <c r="QFE5077" s="917"/>
      <c r="QFF5077" s="917"/>
      <c r="QFG5077" s="917"/>
      <c r="QFH5077" s="917"/>
      <c r="QFI5077" s="917"/>
      <c r="QFJ5077" s="917"/>
      <c r="QFK5077" s="917"/>
      <c r="QFL5077" s="917"/>
      <c r="QFM5077" s="917"/>
      <c r="QFN5077" s="917"/>
      <c r="QFO5077" s="917"/>
      <c r="QFP5077" s="917"/>
      <c r="QFQ5077" s="917"/>
      <c r="QFR5077" s="917"/>
      <c r="QFS5077" s="917"/>
      <c r="QFT5077" s="917"/>
      <c r="QFU5077" s="917" t="s">
        <v>78</v>
      </c>
      <c r="QFV5077" s="917"/>
      <c r="QFW5077" s="917"/>
      <c r="QFX5077" s="917"/>
      <c r="QFY5077" s="917"/>
      <c r="QFZ5077" s="917"/>
      <c r="QGA5077" s="917"/>
      <c r="QGB5077" s="917"/>
      <c r="QGC5077" s="917"/>
      <c r="QGD5077" s="917"/>
      <c r="QGE5077" s="917"/>
      <c r="QGF5077" s="917"/>
      <c r="QGG5077" s="917"/>
      <c r="QGH5077" s="917"/>
      <c r="QGI5077" s="917"/>
      <c r="QGJ5077" s="917"/>
      <c r="QGK5077" s="917"/>
      <c r="QGL5077" s="917"/>
      <c r="QGM5077" s="917"/>
      <c r="QGN5077" s="917"/>
      <c r="QGO5077" s="917"/>
      <c r="QGP5077" s="917"/>
      <c r="QGQ5077" s="917"/>
      <c r="QGR5077" s="917"/>
      <c r="QGS5077" s="917"/>
      <c r="QGT5077" s="917"/>
      <c r="QGU5077" s="917"/>
      <c r="QGV5077" s="917"/>
      <c r="QGW5077" s="917"/>
      <c r="QGX5077" s="917"/>
      <c r="QGY5077" s="917"/>
      <c r="QGZ5077" s="917"/>
      <c r="QHA5077" s="917" t="s">
        <v>78</v>
      </c>
      <c r="QHB5077" s="917"/>
      <c r="QHC5077" s="917"/>
      <c r="QHD5077" s="917"/>
      <c r="QHE5077" s="917"/>
      <c r="QHF5077" s="917"/>
      <c r="QHG5077" s="917"/>
      <c r="QHH5077" s="917"/>
      <c r="QHI5077" s="917"/>
      <c r="QHJ5077" s="917"/>
      <c r="QHK5077" s="917"/>
      <c r="QHL5077" s="917"/>
      <c r="QHM5077" s="917"/>
      <c r="QHN5077" s="917"/>
      <c r="QHO5077" s="917"/>
      <c r="QHP5077" s="917"/>
      <c r="QHQ5077" s="917"/>
      <c r="QHR5077" s="917"/>
      <c r="QHS5077" s="917"/>
      <c r="QHT5077" s="917"/>
      <c r="QHU5077" s="917"/>
      <c r="QHV5077" s="917"/>
      <c r="QHW5077" s="917"/>
      <c r="QHX5077" s="917"/>
      <c r="QHY5077" s="917"/>
      <c r="QHZ5077" s="917"/>
      <c r="QIA5077" s="917"/>
      <c r="QIB5077" s="917"/>
      <c r="QIC5077" s="917"/>
      <c r="QID5077" s="917"/>
      <c r="QIE5077" s="917"/>
      <c r="QIF5077" s="917"/>
      <c r="QIG5077" s="917" t="s">
        <v>78</v>
      </c>
      <c r="QIH5077" s="917"/>
      <c r="QII5077" s="917"/>
      <c r="QIJ5077" s="917"/>
      <c r="QIK5077" s="917"/>
      <c r="QIL5077" s="917"/>
      <c r="QIM5077" s="917"/>
      <c r="QIN5077" s="917"/>
      <c r="QIO5077" s="917"/>
      <c r="QIP5077" s="917"/>
      <c r="QIQ5077" s="917"/>
      <c r="QIR5077" s="917"/>
      <c r="QIS5077" s="917"/>
      <c r="QIT5077" s="917"/>
      <c r="QIU5077" s="917"/>
      <c r="QIV5077" s="917"/>
      <c r="QIW5077" s="917"/>
      <c r="QIX5077" s="917"/>
      <c r="QIY5077" s="917"/>
      <c r="QIZ5077" s="917"/>
      <c r="QJA5077" s="917"/>
      <c r="QJB5077" s="917"/>
      <c r="QJC5077" s="917"/>
      <c r="QJD5077" s="917"/>
      <c r="QJE5077" s="917"/>
      <c r="QJF5077" s="917"/>
      <c r="QJG5077" s="917"/>
      <c r="QJH5077" s="917"/>
      <c r="QJI5077" s="917"/>
      <c r="QJJ5077" s="917"/>
      <c r="QJK5077" s="917"/>
      <c r="QJL5077" s="917"/>
      <c r="QJM5077" s="917" t="s">
        <v>78</v>
      </c>
      <c r="QJN5077" s="917"/>
      <c r="QJO5077" s="917"/>
      <c r="QJP5077" s="917"/>
      <c r="QJQ5077" s="917"/>
      <c r="QJR5077" s="917"/>
      <c r="QJS5077" s="917"/>
      <c r="QJT5077" s="917"/>
      <c r="QJU5077" s="917"/>
      <c r="QJV5077" s="917"/>
      <c r="QJW5077" s="917"/>
      <c r="QJX5077" s="917"/>
      <c r="QJY5077" s="917"/>
      <c r="QJZ5077" s="917"/>
      <c r="QKA5077" s="917"/>
      <c r="QKB5077" s="917"/>
      <c r="QKC5077" s="917"/>
      <c r="QKD5077" s="917"/>
      <c r="QKE5077" s="917"/>
      <c r="QKF5077" s="917"/>
      <c r="QKG5077" s="917"/>
      <c r="QKH5077" s="917"/>
      <c r="QKI5077" s="917"/>
      <c r="QKJ5077" s="917"/>
      <c r="QKK5077" s="917"/>
      <c r="QKL5077" s="917"/>
      <c r="QKM5077" s="917"/>
      <c r="QKN5077" s="917"/>
      <c r="QKO5077" s="917"/>
      <c r="QKP5077" s="917"/>
      <c r="QKQ5077" s="917"/>
      <c r="QKR5077" s="917"/>
      <c r="QKS5077" s="917" t="s">
        <v>78</v>
      </c>
      <c r="QKT5077" s="917"/>
      <c r="QKU5077" s="917"/>
      <c r="QKV5077" s="917"/>
      <c r="QKW5077" s="917"/>
      <c r="QKX5077" s="917"/>
      <c r="QKY5077" s="917"/>
      <c r="QKZ5077" s="917"/>
      <c r="QLA5077" s="917"/>
      <c r="QLB5077" s="917"/>
      <c r="QLC5077" s="917"/>
      <c r="QLD5077" s="917"/>
      <c r="QLE5077" s="917"/>
      <c r="QLF5077" s="917"/>
      <c r="QLG5077" s="917"/>
      <c r="QLH5077" s="917"/>
      <c r="QLI5077" s="917"/>
      <c r="QLJ5077" s="917"/>
      <c r="QLK5077" s="917"/>
      <c r="QLL5077" s="917"/>
      <c r="QLM5077" s="917"/>
      <c r="QLN5077" s="917"/>
      <c r="QLO5077" s="917"/>
      <c r="QLP5077" s="917"/>
      <c r="QLQ5077" s="917"/>
      <c r="QLR5077" s="917"/>
      <c r="QLS5077" s="917"/>
      <c r="QLT5077" s="917"/>
      <c r="QLU5077" s="917"/>
      <c r="QLV5077" s="917"/>
      <c r="QLW5077" s="917"/>
      <c r="QLX5077" s="917"/>
      <c r="QLY5077" s="917" t="s">
        <v>78</v>
      </c>
      <c r="QLZ5077" s="917"/>
      <c r="QMA5077" s="917"/>
      <c r="QMB5077" s="917"/>
      <c r="QMC5077" s="917"/>
      <c r="QMD5077" s="917"/>
      <c r="QME5077" s="917"/>
      <c r="QMF5077" s="917"/>
      <c r="QMG5077" s="917"/>
      <c r="QMH5077" s="917"/>
      <c r="QMI5077" s="917"/>
      <c r="QMJ5077" s="917"/>
      <c r="QMK5077" s="917"/>
      <c r="QML5077" s="917"/>
      <c r="QMM5077" s="917"/>
      <c r="QMN5077" s="917"/>
      <c r="QMO5077" s="917"/>
      <c r="QMP5077" s="917"/>
      <c r="QMQ5077" s="917"/>
      <c r="QMR5077" s="917"/>
      <c r="QMS5077" s="917"/>
      <c r="QMT5077" s="917"/>
      <c r="QMU5077" s="917"/>
      <c r="QMV5077" s="917"/>
      <c r="QMW5077" s="917"/>
      <c r="QMX5077" s="917"/>
      <c r="QMY5077" s="917"/>
      <c r="QMZ5077" s="917"/>
      <c r="QNA5077" s="917"/>
      <c r="QNB5077" s="917"/>
      <c r="QNC5077" s="917"/>
      <c r="QND5077" s="917"/>
      <c r="QNE5077" s="917" t="s">
        <v>78</v>
      </c>
      <c r="QNF5077" s="917"/>
      <c r="QNG5077" s="917"/>
      <c r="QNH5077" s="917"/>
      <c r="QNI5077" s="917"/>
      <c r="QNJ5077" s="917"/>
      <c r="QNK5077" s="917"/>
      <c r="QNL5077" s="917"/>
      <c r="QNM5077" s="917"/>
      <c r="QNN5077" s="917"/>
      <c r="QNO5077" s="917"/>
      <c r="QNP5077" s="917"/>
      <c r="QNQ5077" s="917"/>
      <c r="QNR5077" s="917"/>
      <c r="QNS5077" s="917"/>
      <c r="QNT5077" s="917"/>
      <c r="QNU5077" s="917"/>
      <c r="QNV5077" s="917"/>
      <c r="QNW5077" s="917"/>
      <c r="QNX5077" s="917"/>
      <c r="QNY5077" s="917"/>
      <c r="QNZ5077" s="917"/>
      <c r="QOA5077" s="917"/>
      <c r="QOB5077" s="917"/>
      <c r="QOC5077" s="917"/>
      <c r="QOD5077" s="917"/>
      <c r="QOE5077" s="917"/>
      <c r="QOF5077" s="917"/>
      <c r="QOG5077" s="917"/>
      <c r="QOH5077" s="917"/>
      <c r="QOI5077" s="917"/>
      <c r="QOJ5077" s="917"/>
      <c r="QOK5077" s="917" t="s">
        <v>78</v>
      </c>
      <c r="QOL5077" s="917"/>
      <c r="QOM5077" s="917"/>
      <c r="QON5077" s="917"/>
      <c r="QOO5077" s="917"/>
      <c r="QOP5077" s="917"/>
      <c r="QOQ5077" s="917"/>
      <c r="QOR5077" s="917"/>
      <c r="QOS5077" s="917"/>
      <c r="QOT5077" s="917"/>
      <c r="QOU5077" s="917"/>
      <c r="QOV5077" s="917"/>
      <c r="QOW5077" s="917"/>
      <c r="QOX5077" s="917"/>
      <c r="QOY5077" s="917"/>
      <c r="QOZ5077" s="917"/>
      <c r="QPA5077" s="917"/>
      <c r="QPB5077" s="917"/>
      <c r="QPC5077" s="917"/>
      <c r="QPD5077" s="917"/>
      <c r="QPE5077" s="917"/>
      <c r="QPF5077" s="917"/>
      <c r="QPG5077" s="917"/>
      <c r="QPH5077" s="917"/>
      <c r="QPI5077" s="917"/>
      <c r="QPJ5077" s="917"/>
      <c r="QPK5077" s="917"/>
      <c r="QPL5077" s="917"/>
      <c r="QPM5077" s="917"/>
      <c r="QPN5077" s="917"/>
      <c r="QPO5077" s="917"/>
      <c r="QPP5077" s="917"/>
      <c r="QPQ5077" s="917" t="s">
        <v>78</v>
      </c>
      <c r="QPR5077" s="917"/>
      <c r="QPS5077" s="917"/>
      <c r="QPT5077" s="917"/>
      <c r="QPU5077" s="917"/>
      <c r="QPV5077" s="917"/>
      <c r="QPW5077" s="917"/>
      <c r="QPX5077" s="917"/>
      <c r="QPY5077" s="917"/>
      <c r="QPZ5077" s="917"/>
      <c r="QQA5077" s="917"/>
      <c r="QQB5077" s="917"/>
      <c r="QQC5077" s="917"/>
      <c r="QQD5077" s="917"/>
      <c r="QQE5077" s="917"/>
      <c r="QQF5077" s="917"/>
      <c r="QQG5077" s="917"/>
      <c r="QQH5077" s="917"/>
      <c r="QQI5077" s="917"/>
      <c r="QQJ5077" s="917"/>
      <c r="QQK5077" s="917"/>
      <c r="QQL5077" s="917"/>
      <c r="QQM5077" s="917"/>
      <c r="QQN5077" s="917"/>
      <c r="QQO5077" s="917"/>
      <c r="QQP5077" s="917"/>
      <c r="QQQ5077" s="917"/>
      <c r="QQR5077" s="917"/>
      <c r="QQS5077" s="917"/>
      <c r="QQT5077" s="917"/>
      <c r="QQU5077" s="917"/>
      <c r="QQV5077" s="917"/>
      <c r="QQW5077" s="917" t="s">
        <v>78</v>
      </c>
      <c r="QQX5077" s="917"/>
      <c r="QQY5077" s="917"/>
      <c r="QQZ5077" s="917"/>
      <c r="QRA5077" s="917"/>
      <c r="QRB5077" s="917"/>
      <c r="QRC5077" s="917"/>
      <c r="QRD5077" s="917"/>
      <c r="QRE5077" s="917"/>
      <c r="QRF5077" s="917"/>
      <c r="QRG5077" s="917"/>
      <c r="QRH5077" s="917"/>
      <c r="QRI5077" s="917"/>
      <c r="QRJ5077" s="917"/>
      <c r="QRK5077" s="917"/>
      <c r="QRL5077" s="917"/>
      <c r="QRM5077" s="917"/>
      <c r="QRN5077" s="917"/>
      <c r="QRO5077" s="917"/>
      <c r="QRP5077" s="917"/>
      <c r="QRQ5077" s="917"/>
      <c r="QRR5077" s="917"/>
      <c r="QRS5077" s="917"/>
      <c r="QRT5077" s="917"/>
      <c r="QRU5077" s="917"/>
      <c r="QRV5077" s="917"/>
      <c r="QRW5077" s="917"/>
      <c r="QRX5077" s="917"/>
      <c r="QRY5077" s="917"/>
      <c r="QRZ5077" s="917"/>
      <c r="QSA5077" s="917"/>
      <c r="QSB5077" s="917"/>
      <c r="QSC5077" s="917" t="s">
        <v>78</v>
      </c>
      <c r="QSD5077" s="917"/>
      <c r="QSE5077" s="917"/>
      <c r="QSF5077" s="917"/>
      <c r="QSG5077" s="917"/>
      <c r="QSH5077" s="917"/>
      <c r="QSI5077" s="917"/>
      <c r="QSJ5077" s="917"/>
      <c r="QSK5077" s="917"/>
      <c r="QSL5077" s="917"/>
      <c r="QSM5077" s="917"/>
      <c r="QSN5077" s="917"/>
      <c r="QSO5077" s="917"/>
      <c r="QSP5077" s="917"/>
      <c r="QSQ5077" s="917"/>
      <c r="QSR5077" s="917"/>
      <c r="QSS5077" s="917"/>
      <c r="QST5077" s="917"/>
      <c r="QSU5077" s="917"/>
      <c r="QSV5077" s="917"/>
      <c r="QSW5077" s="917"/>
      <c r="QSX5077" s="917"/>
      <c r="QSY5077" s="917"/>
      <c r="QSZ5077" s="917"/>
      <c r="QTA5077" s="917"/>
      <c r="QTB5077" s="917"/>
      <c r="QTC5077" s="917"/>
      <c r="QTD5077" s="917"/>
      <c r="QTE5077" s="917"/>
      <c r="QTF5077" s="917"/>
      <c r="QTG5077" s="917"/>
      <c r="QTH5077" s="917"/>
      <c r="QTI5077" s="917" t="s">
        <v>78</v>
      </c>
      <c r="QTJ5077" s="917"/>
      <c r="QTK5077" s="917"/>
      <c r="QTL5077" s="917"/>
      <c r="QTM5077" s="917"/>
      <c r="QTN5077" s="917"/>
      <c r="QTO5077" s="917"/>
      <c r="QTP5077" s="917"/>
      <c r="QTQ5077" s="917"/>
      <c r="QTR5077" s="917"/>
      <c r="QTS5077" s="917"/>
      <c r="QTT5077" s="917"/>
      <c r="QTU5077" s="917"/>
      <c r="QTV5077" s="917"/>
      <c r="QTW5077" s="917"/>
      <c r="QTX5077" s="917"/>
      <c r="QTY5077" s="917"/>
      <c r="QTZ5077" s="917"/>
      <c r="QUA5077" s="917"/>
      <c r="QUB5077" s="917"/>
      <c r="QUC5077" s="917"/>
      <c r="QUD5077" s="917"/>
      <c r="QUE5077" s="917"/>
      <c r="QUF5077" s="917"/>
      <c r="QUG5077" s="917"/>
      <c r="QUH5077" s="917"/>
      <c r="QUI5077" s="917"/>
      <c r="QUJ5077" s="917"/>
      <c r="QUK5077" s="917"/>
      <c r="QUL5077" s="917"/>
      <c r="QUM5077" s="917"/>
      <c r="QUN5077" s="917"/>
      <c r="QUO5077" s="917" t="s">
        <v>78</v>
      </c>
      <c r="QUP5077" s="917"/>
      <c r="QUQ5077" s="917"/>
      <c r="QUR5077" s="917"/>
      <c r="QUS5077" s="917"/>
      <c r="QUT5077" s="917"/>
      <c r="QUU5077" s="917"/>
      <c r="QUV5077" s="917"/>
      <c r="QUW5077" s="917"/>
      <c r="QUX5077" s="917"/>
      <c r="QUY5077" s="917"/>
      <c r="QUZ5077" s="917"/>
      <c r="QVA5077" s="917"/>
      <c r="QVB5077" s="917"/>
      <c r="QVC5077" s="917"/>
      <c r="QVD5077" s="917"/>
      <c r="QVE5077" s="917"/>
      <c r="QVF5077" s="917"/>
      <c r="QVG5077" s="917"/>
      <c r="QVH5077" s="917"/>
      <c r="QVI5077" s="917"/>
      <c r="QVJ5077" s="917"/>
      <c r="QVK5077" s="917"/>
      <c r="QVL5077" s="917"/>
      <c r="QVM5077" s="917"/>
      <c r="QVN5077" s="917"/>
      <c r="QVO5077" s="917"/>
      <c r="QVP5077" s="917"/>
      <c r="QVQ5077" s="917"/>
      <c r="QVR5077" s="917"/>
      <c r="QVS5077" s="917"/>
      <c r="QVT5077" s="917"/>
      <c r="QVU5077" s="917" t="s">
        <v>78</v>
      </c>
      <c r="QVV5077" s="917"/>
      <c r="QVW5077" s="917"/>
      <c r="QVX5077" s="917"/>
      <c r="QVY5077" s="917"/>
      <c r="QVZ5077" s="917"/>
      <c r="QWA5077" s="917"/>
      <c r="QWB5077" s="917"/>
      <c r="QWC5077" s="917"/>
      <c r="QWD5077" s="917"/>
      <c r="QWE5077" s="917"/>
      <c r="QWF5077" s="917"/>
      <c r="QWG5077" s="917"/>
      <c r="QWH5077" s="917"/>
      <c r="QWI5077" s="917"/>
      <c r="QWJ5077" s="917"/>
      <c r="QWK5077" s="917"/>
      <c r="QWL5077" s="917"/>
      <c r="QWM5077" s="917"/>
      <c r="QWN5077" s="917"/>
      <c r="QWO5077" s="917"/>
      <c r="QWP5077" s="917"/>
      <c r="QWQ5077" s="917"/>
      <c r="QWR5077" s="917"/>
      <c r="QWS5077" s="917"/>
      <c r="QWT5077" s="917"/>
      <c r="QWU5077" s="917"/>
      <c r="QWV5077" s="917"/>
      <c r="QWW5077" s="917"/>
      <c r="QWX5077" s="917"/>
      <c r="QWY5077" s="917"/>
      <c r="QWZ5077" s="917"/>
      <c r="QXA5077" s="917" t="s">
        <v>78</v>
      </c>
      <c r="QXB5077" s="917"/>
      <c r="QXC5077" s="917"/>
      <c r="QXD5077" s="917"/>
      <c r="QXE5077" s="917"/>
      <c r="QXF5077" s="917"/>
      <c r="QXG5077" s="917"/>
      <c r="QXH5077" s="917"/>
      <c r="QXI5077" s="917"/>
      <c r="QXJ5077" s="917"/>
      <c r="QXK5077" s="917"/>
      <c r="QXL5077" s="917"/>
      <c r="QXM5077" s="917"/>
      <c r="QXN5077" s="917"/>
      <c r="QXO5077" s="917"/>
      <c r="QXP5077" s="917"/>
      <c r="QXQ5077" s="917"/>
      <c r="QXR5077" s="917"/>
      <c r="QXS5077" s="917"/>
      <c r="QXT5077" s="917"/>
      <c r="QXU5077" s="917"/>
      <c r="QXV5077" s="917"/>
      <c r="QXW5077" s="917"/>
      <c r="QXX5077" s="917"/>
      <c r="QXY5077" s="917"/>
      <c r="QXZ5077" s="917"/>
      <c r="QYA5077" s="917"/>
      <c r="QYB5077" s="917"/>
      <c r="QYC5077" s="917"/>
      <c r="QYD5077" s="917"/>
      <c r="QYE5077" s="917"/>
      <c r="QYF5077" s="917"/>
      <c r="QYG5077" s="917" t="s">
        <v>78</v>
      </c>
      <c r="QYH5077" s="917"/>
      <c r="QYI5077" s="917"/>
      <c r="QYJ5077" s="917"/>
      <c r="QYK5077" s="917"/>
      <c r="QYL5077" s="917"/>
      <c r="QYM5077" s="917"/>
      <c r="QYN5077" s="917"/>
      <c r="QYO5077" s="917"/>
      <c r="QYP5077" s="917"/>
      <c r="QYQ5077" s="917"/>
      <c r="QYR5077" s="917"/>
      <c r="QYS5077" s="917"/>
      <c r="QYT5077" s="917"/>
      <c r="QYU5077" s="917"/>
      <c r="QYV5077" s="917"/>
      <c r="QYW5077" s="917"/>
      <c r="QYX5077" s="917"/>
      <c r="QYY5077" s="917"/>
      <c r="QYZ5077" s="917"/>
      <c r="QZA5077" s="917"/>
      <c r="QZB5077" s="917"/>
      <c r="QZC5077" s="917"/>
      <c r="QZD5077" s="917"/>
      <c r="QZE5077" s="917"/>
      <c r="QZF5077" s="917"/>
      <c r="QZG5077" s="917"/>
      <c r="QZH5077" s="917"/>
      <c r="QZI5077" s="917"/>
      <c r="QZJ5077" s="917"/>
      <c r="QZK5077" s="917"/>
      <c r="QZL5077" s="917"/>
      <c r="QZM5077" s="917" t="s">
        <v>78</v>
      </c>
      <c r="QZN5077" s="917"/>
      <c r="QZO5077" s="917"/>
      <c r="QZP5077" s="917"/>
      <c r="QZQ5077" s="917"/>
      <c r="QZR5077" s="917"/>
      <c r="QZS5077" s="917"/>
      <c r="QZT5077" s="917"/>
      <c r="QZU5077" s="917"/>
      <c r="QZV5077" s="917"/>
      <c r="QZW5077" s="917"/>
      <c r="QZX5077" s="917"/>
      <c r="QZY5077" s="917"/>
      <c r="QZZ5077" s="917"/>
      <c r="RAA5077" s="917"/>
      <c r="RAB5077" s="917"/>
      <c r="RAC5077" s="917"/>
      <c r="RAD5077" s="917"/>
      <c r="RAE5077" s="917"/>
      <c r="RAF5077" s="917"/>
      <c r="RAG5077" s="917"/>
      <c r="RAH5077" s="917"/>
      <c r="RAI5077" s="917"/>
      <c r="RAJ5077" s="917"/>
      <c r="RAK5077" s="917"/>
      <c r="RAL5077" s="917"/>
      <c r="RAM5077" s="917"/>
      <c r="RAN5077" s="917"/>
      <c r="RAO5077" s="917"/>
      <c r="RAP5077" s="917"/>
      <c r="RAQ5077" s="917"/>
      <c r="RAR5077" s="917"/>
      <c r="RAS5077" s="917" t="s">
        <v>78</v>
      </c>
      <c r="RAT5077" s="917"/>
      <c r="RAU5077" s="917"/>
      <c r="RAV5077" s="917"/>
      <c r="RAW5077" s="917"/>
      <c r="RAX5077" s="917"/>
      <c r="RAY5077" s="917"/>
      <c r="RAZ5077" s="917"/>
      <c r="RBA5077" s="917"/>
      <c r="RBB5077" s="917"/>
      <c r="RBC5077" s="917"/>
      <c r="RBD5077" s="917"/>
      <c r="RBE5077" s="917"/>
      <c r="RBF5077" s="917"/>
      <c r="RBG5077" s="917"/>
      <c r="RBH5077" s="917"/>
      <c r="RBI5077" s="917"/>
      <c r="RBJ5077" s="917"/>
      <c r="RBK5077" s="917"/>
      <c r="RBL5077" s="917"/>
      <c r="RBM5077" s="917"/>
      <c r="RBN5077" s="917"/>
      <c r="RBO5077" s="917"/>
      <c r="RBP5077" s="917"/>
      <c r="RBQ5077" s="917"/>
      <c r="RBR5077" s="917"/>
      <c r="RBS5077" s="917"/>
      <c r="RBT5077" s="917"/>
      <c r="RBU5077" s="917"/>
      <c r="RBV5077" s="917"/>
      <c r="RBW5077" s="917"/>
      <c r="RBX5077" s="917"/>
      <c r="RBY5077" s="917" t="s">
        <v>78</v>
      </c>
      <c r="RBZ5077" s="917"/>
      <c r="RCA5077" s="917"/>
      <c r="RCB5077" s="917"/>
      <c r="RCC5077" s="917"/>
      <c r="RCD5077" s="917"/>
      <c r="RCE5077" s="917"/>
      <c r="RCF5077" s="917"/>
      <c r="RCG5077" s="917"/>
      <c r="RCH5077" s="917"/>
      <c r="RCI5077" s="917"/>
      <c r="RCJ5077" s="917"/>
      <c r="RCK5077" s="917"/>
      <c r="RCL5077" s="917"/>
      <c r="RCM5077" s="917"/>
      <c r="RCN5077" s="917"/>
      <c r="RCO5077" s="917"/>
      <c r="RCP5077" s="917"/>
      <c r="RCQ5077" s="917"/>
      <c r="RCR5077" s="917"/>
      <c r="RCS5077" s="917"/>
      <c r="RCT5077" s="917"/>
      <c r="RCU5077" s="917"/>
      <c r="RCV5077" s="917"/>
      <c r="RCW5077" s="917"/>
      <c r="RCX5077" s="917"/>
      <c r="RCY5077" s="917"/>
      <c r="RCZ5077" s="917"/>
      <c r="RDA5077" s="917"/>
      <c r="RDB5077" s="917"/>
      <c r="RDC5077" s="917"/>
      <c r="RDD5077" s="917"/>
      <c r="RDE5077" s="917" t="s">
        <v>78</v>
      </c>
      <c r="RDF5077" s="917"/>
      <c r="RDG5077" s="917"/>
      <c r="RDH5077" s="917"/>
      <c r="RDI5077" s="917"/>
      <c r="RDJ5077" s="917"/>
      <c r="RDK5077" s="917"/>
      <c r="RDL5077" s="917"/>
      <c r="RDM5077" s="917"/>
      <c r="RDN5077" s="917"/>
      <c r="RDO5077" s="917"/>
      <c r="RDP5077" s="917"/>
      <c r="RDQ5077" s="917"/>
      <c r="RDR5077" s="917"/>
      <c r="RDS5077" s="917"/>
      <c r="RDT5077" s="917"/>
      <c r="RDU5077" s="917"/>
      <c r="RDV5077" s="917"/>
      <c r="RDW5077" s="917"/>
      <c r="RDX5077" s="917"/>
      <c r="RDY5077" s="917"/>
      <c r="RDZ5077" s="917"/>
      <c r="REA5077" s="917"/>
      <c r="REB5077" s="917"/>
      <c r="REC5077" s="917"/>
      <c r="RED5077" s="917"/>
      <c r="REE5077" s="917"/>
      <c r="REF5077" s="917"/>
      <c r="REG5077" s="917"/>
      <c r="REH5077" s="917"/>
      <c r="REI5077" s="917"/>
      <c r="REJ5077" s="917"/>
      <c r="REK5077" s="917" t="s">
        <v>78</v>
      </c>
      <c r="REL5077" s="917"/>
      <c r="REM5077" s="917"/>
      <c r="REN5077" s="917"/>
      <c r="REO5077" s="917"/>
      <c r="REP5077" s="917"/>
      <c r="REQ5077" s="917"/>
      <c r="RER5077" s="917"/>
      <c r="RES5077" s="917"/>
      <c r="RET5077" s="917"/>
      <c r="REU5077" s="917"/>
      <c r="REV5077" s="917"/>
      <c r="REW5077" s="917"/>
      <c r="REX5077" s="917"/>
      <c r="REY5077" s="917"/>
      <c r="REZ5077" s="917"/>
      <c r="RFA5077" s="917"/>
      <c r="RFB5077" s="917"/>
      <c r="RFC5077" s="917"/>
      <c r="RFD5077" s="917"/>
      <c r="RFE5077" s="917"/>
      <c r="RFF5077" s="917"/>
      <c r="RFG5077" s="917"/>
      <c r="RFH5077" s="917"/>
      <c r="RFI5077" s="917"/>
      <c r="RFJ5077" s="917"/>
      <c r="RFK5077" s="917"/>
      <c r="RFL5077" s="917"/>
      <c r="RFM5077" s="917"/>
      <c r="RFN5077" s="917"/>
      <c r="RFO5077" s="917"/>
      <c r="RFP5077" s="917"/>
      <c r="RFQ5077" s="917" t="s">
        <v>78</v>
      </c>
      <c r="RFR5077" s="917"/>
      <c r="RFS5077" s="917"/>
      <c r="RFT5077" s="917"/>
      <c r="RFU5077" s="917"/>
      <c r="RFV5077" s="917"/>
      <c r="RFW5077" s="917"/>
      <c r="RFX5077" s="917"/>
      <c r="RFY5077" s="917"/>
      <c r="RFZ5077" s="917"/>
      <c r="RGA5077" s="917"/>
      <c r="RGB5077" s="917"/>
      <c r="RGC5077" s="917"/>
      <c r="RGD5077" s="917"/>
      <c r="RGE5077" s="917"/>
      <c r="RGF5077" s="917"/>
      <c r="RGG5077" s="917"/>
      <c r="RGH5077" s="917"/>
      <c r="RGI5077" s="917"/>
      <c r="RGJ5077" s="917"/>
      <c r="RGK5077" s="917"/>
      <c r="RGL5077" s="917"/>
      <c r="RGM5077" s="917"/>
      <c r="RGN5077" s="917"/>
      <c r="RGO5077" s="917"/>
      <c r="RGP5077" s="917"/>
      <c r="RGQ5077" s="917"/>
      <c r="RGR5077" s="917"/>
      <c r="RGS5077" s="917"/>
      <c r="RGT5077" s="917"/>
      <c r="RGU5077" s="917"/>
      <c r="RGV5077" s="917"/>
      <c r="RGW5077" s="917" t="s">
        <v>78</v>
      </c>
      <c r="RGX5077" s="917"/>
      <c r="RGY5077" s="917"/>
      <c r="RGZ5077" s="917"/>
      <c r="RHA5077" s="917"/>
      <c r="RHB5077" s="917"/>
      <c r="RHC5077" s="917"/>
      <c r="RHD5077" s="917"/>
      <c r="RHE5077" s="917"/>
      <c r="RHF5077" s="917"/>
      <c r="RHG5077" s="917"/>
      <c r="RHH5077" s="917"/>
      <c r="RHI5077" s="917"/>
      <c r="RHJ5077" s="917"/>
      <c r="RHK5077" s="917"/>
      <c r="RHL5077" s="917"/>
      <c r="RHM5077" s="917"/>
      <c r="RHN5077" s="917"/>
      <c r="RHO5077" s="917"/>
      <c r="RHP5077" s="917"/>
      <c r="RHQ5077" s="917"/>
      <c r="RHR5077" s="917"/>
      <c r="RHS5077" s="917"/>
      <c r="RHT5077" s="917"/>
      <c r="RHU5077" s="917"/>
      <c r="RHV5077" s="917"/>
      <c r="RHW5077" s="917"/>
      <c r="RHX5077" s="917"/>
      <c r="RHY5077" s="917"/>
      <c r="RHZ5077" s="917"/>
      <c r="RIA5077" s="917"/>
      <c r="RIB5077" s="917"/>
      <c r="RIC5077" s="917" t="s">
        <v>78</v>
      </c>
      <c r="RID5077" s="917"/>
      <c r="RIE5077" s="917"/>
      <c r="RIF5077" s="917"/>
      <c r="RIG5077" s="917"/>
      <c r="RIH5077" s="917"/>
      <c r="RII5077" s="917"/>
      <c r="RIJ5077" s="917"/>
      <c r="RIK5077" s="917"/>
      <c r="RIL5077" s="917"/>
      <c r="RIM5077" s="917"/>
      <c r="RIN5077" s="917"/>
      <c r="RIO5077" s="917"/>
      <c r="RIP5077" s="917"/>
      <c r="RIQ5077" s="917"/>
      <c r="RIR5077" s="917"/>
      <c r="RIS5077" s="917"/>
      <c r="RIT5077" s="917"/>
      <c r="RIU5077" s="917"/>
      <c r="RIV5077" s="917"/>
      <c r="RIW5077" s="917"/>
      <c r="RIX5077" s="917"/>
      <c r="RIY5077" s="917"/>
      <c r="RIZ5077" s="917"/>
      <c r="RJA5077" s="917"/>
      <c r="RJB5077" s="917"/>
      <c r="RJC5077" s="917"/>
      <c r="RJD5077" s="917"/>
      <c r="RJE5077" s="917"/>
      <c r="RJF5077" s="917"/>
      <c r="RJG5077" s="917"/>
      <c r="RJH5077" s="917"/>
      <c r="RJI5077" s="917" t="s">
        <v>78</v>
      </c>
      <c r="RJJ5077" s="917"/>
      <c r="RJK5077" s="917"/>
      <c r="RJL5077" s="917"/>
      <c r="RJM5077" s="917"/>
      <c r="RJN5077" s="917"/>
      <c r="RJO5077" s="917"/>
      <c r="RJP5077" s="917"/>
      <c r="RJQ5077" s="917"/>
      <c r="RJR5077" s="917"/>
      <c r="RJS5077" s="917"/>
      <c r="RJT5077" s="917"/>
      <c r="RJU5077" s="917"/>
      <c r="RJV5077" s="917"/>
      <c r="RJW5077" s="917"/>
      <c r="RJX5077" s="917"/>
      <c r="RJY5077" s="917"/>
      <c r="RJZ5077" s="917"/>
      <c r="RKA5077" s="917"/>
      <c r="RKB5077" s="917"/>
      <c r="RKC5077" s="917"/>
      <c r="RKD5077" s="917"/>
      <c r="RKE5077" s="917"/>
      <c r="RKF5077" s="917"/>
      <c r="RKG5077" s="917"/>
      <c r="RKH5077" s="917"/>
      <c r="RKI5077" s="917"/>
      <c r="RKJ5077" s="917"/>
      <c r="RKK5077" s="917"/>
      <c r="RKL5077" s="917"/>
      <c r="RKM5077" s="917"/>
      <c r="RKN5077" s="917"/>
      <c r="RKO5077" s="917" t="s">
        <v>78</v>
      </c>
      <c r="RKP5077" s="917"/>
      <c r="RKQ5077" s="917"/>
      <c r="RKR5077" s="917"/>
      <c r="RKS5077" s="917"/>
      <c r="RKT5077" s="917"/>
      <c r="RKU5077" s="917"/>
      <c r="RKV5077" s="917"/>
      <c r="RKW5077" s="917"/>
      <c r="RKX5077" s="917"/>
      <c r="RKY5077" s="917"/>
      <c r="RKZ5077" s="917"/>
      <c r="RLA5077" s="917"/>
      <c r="RLB5077" s="917"/>
      <c r="RLC5077" s="917"/>
      <c r="RLD5077" s="917"/>
      <c r="RLE5077" s="917"/>
      <c r="RLF5077" s="917"/>
      <c r="RLG5077" s="917"/>
      <c r="RLH5077" s="917"/>
      <c r="RLI5077" s="917"/>
      <c r="RLJ5077" s="917"/>
      <c r="RLK5077" s="917"/>
      <c r="RLL5077" s="917"/>
      <c r="RLM5077" s="917"/>
      <c r="RLN5077" s="917"/>
      <c r="RLO5077" s="917"/>
      <c r="RLP5077" s="917"/>
      <c r="RLQ5077" s="917"/>
      <c r="RLR5077" s="917"/>
      <c r="RLS5077" s="917"/>
      <c r="RLT5077" s="917"/>
      <c r="RLU5077" s="917" t="s">
        <v>78</v>
      </c>
      <c r="RLV5077" s="917"/>
      <c r="RLW5077" s="917"/>
      <c r="RLX5077" s="917"/>
      <c r="RLY5077" s="917"/>
      <c r="RLZ5077" s="917"/>
      <c r="RMA5077" s="917"/>
      <c r="RMB5077" s="917"/>
      <c r="RMC5077" s="917"/>
      <c r="RMD5077" s="917"/>
      <c r="RME5077" s="917"/>
      <c r="RMF5077" s="917"/>
      <c r="RMG5077" s="917"/>
      <c r="RMH5077" s="917"/>
      <c r="RMI5077" s="917"/>
      <c r="RMJ5077" s="917"/>
      <c r="RMK5077" s="917"/>
      <c r="RML5077" s="917"/>
      <c r="RMM5077" s="917"/>
      <c r="RMN5077" s="917"/>
      <c r="RMO5077" s="917"/>
      <c r="RMP5077" s="917"/>
      <c r="RMQ5077" s="917"/>
      <c r="RMR5077" s="917"/>
      <c r="RMS5077" s="917"/>
      <c r="RMT5077" s="917"/>
      <c r="RMU5077" s="917"/>
      <c r="RMV5077" s="917"/>
      <c r="RMW5077" s="917"/>
      <c r="RMX5077" s="917"/>
      <c r="RMY5077" s="917"/>
      <c r="RMZ5077" s="917"/>
      <c r="RNA5077" s="917" t="s">
        <v>78</v>
      </c>
      <c r="RNB5077" s="917"/>
      <c r="RNC5077" s="917"/>
      <c r="RND5077" s="917"/>
      <c r="RNE5077" s="917"/>
      <c r="RNF5077" s="917"/>
      <c r="RNG5077" s="917"/>
      <c r="RNH5077" s="917"/>
      <c r="RNI5077" s="917"/>
      <c r="RNJ5077" s="917"/>
      <c r="RNK5077" s="917"/>
      <c r="RNL5077" s="917"/>
      <c r="RNM5077" s="917"/>
      <c r="RNN5077" s="917"/>
      <c r="RNO5077" s="917"/>
      <c r="RNP5077" s="917"/>
      <c r="RNQ5077" s="917"/>
      <c r="RNR5077" s="917"/>
      <c r="RNS5077" s="917"/>
      <c r="RNT5077" s="917"/>
      <c r="RNU5077" s="917"/>
      <c r="RNV5077" s="917"/>
      <c r="RNW5077" s="917"/>
      <c r="RNX5077" s="917"/>
      <c r="RNY5077" s="917"/>
      <c r="RNZ5077" s="917"/>
      <c r="ROA5077" s="917"/>
      <c r="ROB5077" s="917"/>
      <c r="ROC5077" s="917"/>
      <c r="ROD5077" s="917"/>
      <c r="ROE5077" s="917"/>
      <c r="ROF5077" s="917"/>
      <c r="ROG5077" s="917" t="s">
        <v>78</v>
      </c>
      <c r="ROH5077" s="917"/>
      <c r="ROI5077" s="917"/>
      <c r="ROJ5077" s="917"/>
      <c r="ROK5077" s="917"/>
      <c r="ROL5077" s="917"/>
      <c r="ROM5077" s="917"/>
      <c r="RON5077" s="917"/>
      <c r="ROO5077" s="917"/>
      <c r="ROP5077" s="917"/>
      <c r="ROQ5077" s="917"/>
      <c r="ROR5077" s="917"/>
      <c r="ROS5077" s="917"/>
      <c r="ROT5077" s="917"/>
      <c r="ROU5077" s="917"/>
      <c r="ROV5077" s="917"/>
      <c r="ROW5077" s="917"/>
      <c r="ROX5077" s="917"/>
      <c r="ROY5077" s="917"/>
      <c r="ROZ5077" s="917"/>
      <c r="RPA5077" s="917"/>
      <c r="RPB5077" s="917"/>
      <c r="RPC5077" s="917"/>
      <c r="RPD5077" s="917"/>
      <c r="RPE5077" s="917"/>
      <c r="RPF5077" s="917"/>
      <c r="RPG5077" s="917"/>
      <c r="RPH5077" s="917"/>
      <c r="RPI5077" s="917"/>
      <c r="RPJ5077" s="917"/>
      <c r="RPK5077" s="917"/>
      <c r="RPL5077" s="917"/>
      <c r="RPM5077" s="917" t="s">
        <v>78</v>
      </c>
      <c r="RPN5077" s="917"/>
      <c r="RPO5077" s="917"/>
      <c r="RPP5077" s="917"/>
      <c r="RPQ5077" s="917"/>
      <c r="RPR5077" s="917"/>
      <c r="RPS5077" s="917"/>
      <c r="RPT5077" s="917"/>
      <c r="RPU5077" s="917"/>
      <c r="RPV5077" s="917"/>
      <c r="RPW5077" s="917"/>
      <c r="RPX5077" s="917"/>
      <c r="RPY5077" s="917"/>
      <c r="RPZ5077" s="917"/>
      <c r="RQA5077" s="917"/>
      <c r="RQB5077" s="917"/>
      <c r="RQC5077" s="917"/>
      <c r="RQD5077" s="917"/>
      <c r="RQE5077" s="917"/>
      <c r="RQF5077" s="917"/>
      <c r="RQG5077" s="917"/>
      <c r="RQH5077" s="917"/>
      <c r="RQI5077" s="917"/>
      <c r="RQJ5077" s="917"/>
      <c r="RQK5077" s="917"/>
      <c r="RQL5077" s="917"/>
      <c r="RQM5077" s="917"/>
      <c r="RQN5077" s="917"/>
      <c r="RQO5077" s="917"/>
      <c r="RQP5077" s="917"/>
      <c r="RQQ5077" s="917"/>
      <c r="RQR5077" s="917"/>
      <c r="RQS5077" s="917" t="s">
        <v>78</v>
      </c>
      <c r="RQT5077" s="917"/>
      <c r="RQU5077" s="917"/>
      <c r="RQV5077" s="917"/>
      <c r="RQW5077" s="917"/>
      <c r="RQX5077" s="917"/>
      <c r="RQY5077" s="917"/>
      <c r="RQZ5077" s="917"/>
      <c r="RRA5077" s="917"/>
      <c r="RRB5077" s="917"/>
      <c r="RRC5077" s="917"/>
      <c r="RRD5077" s="917"/>
      <c r="RRE5077" s="917"/>
      <c r="RRF5077" s="917"/>
      <c r="RRG5077" s="917"/>
      <c r="RRH5077" s="917"/>
      <c r="RRI5077" s="917"/>
      <c r="RRJ5077" s="917"/>
      <c r="RRK5077" s="917"/>
      <c r="RRL5077" s="917"/>
      <c r="RRM5077" s="917"/>
      <c r="RRN5077" s="917"/>
      <c r="RRO5077" s="917"/>
      <c r="RRP5077" s="917"/>
      <c r="RRQ5077" s="917"/>
      <c r="RRR5077" s="917"/>
      <c r="RRS5077" s="917"/>
      <c r="RRT5077" s="917"/>
      <c r="RRU5077" s="917"/>
      <c r="RRV5077" s="917"/>
      <c r="RRW5077" s="917"/>
      <c r="RRX5077" s="917"/>
      <c r="RRY5077" s="917" t="s">
        <v>78</v>
      </c>
      <c r="RRZ5077" s="917"/>
      <c r="RSA5077" s="917"/>
      <c r="RSB5077" s="917"/>
      <c r="RSC5077" s="917"/>
      <c r="RSD5077" s="917"/>
      <c r="RSE5077" s="917"/>
      <c r="RSF5077" s="917"/>
      <c r="RSG5077" s="917"/>
      <c r="RSH5077" s="917"/>
      <c r="RSI5077" s="917"/>
      <c r="RSJ5077" s="917"/>
      <c r="RSK5077" s="917"/>
      <c r="RSL5077" s="917"/>
      <c r="RSM5077" s="917"/>
      <c r="RSN5077" s="917"/>
      <c r="RSO5077" s="917"/>
      <c r="RSP5077" s="917"/>
      <c r="RSQ5077" s="917"/>
      <c r="RSR5077" s="917"/>
      <c r="RSS5077" s="917"/>
      <c r="RST5077" s="917"/>
      <c r="RSU5077" s="917"/>
      <c r="RSV5077" s="917"/>
      <c r="RSW5077" s="917"/>
      <c r="RSX5077" s="917"/>
      <c r="RSY5077" s="917"/>
      <c r="RSZ5077" s="917"/>
      <c r="RTA5077" s="917"/>
      <c r="RTB5077" s="917"/>
      <c r="RTC5077" s="917"/>
      <c r="RTD5077" s="917"/>
      <c r="RTE5077" s="917" t="s">
        <v>78</v>
      </c>
      <c r="RTF5077" s="917"/>
      <c r="RTG5077" s="917"/>
      <c r="RTH5077" s="917"/>
      <c r="RTI5077" s="917"/>
      <c r="RTJ5077" s="917"/>
      <c r="RTK5077" s="917"/>
      <c r="RTL5077" s="917"/>
      <c r="RTM5077" s="917"/>
      <c r="RTN5077" s="917"/>
      <c r="RTO5077" s="917"/>
      <c r="RTP5077" s="917"/>
      <c r="RTQ5077" s="917"/>
      <c r="RTR5077" s="917"/>
      <c r="RTS5077" s="917"/>
      <c r="RTT5077" s="917"/>
      <c r="RTU5077" s="917"/>
      <c r="RTV5077" s="917"/>
      <c r="RTW5077" s="917"/>
      <c r="RTX5077" s="917"/>
      <c r="RTY5077" s="917"/>
      <c r="RTZ5077" s="917"/>
      <c r="RUA5077" s="917"/>
      <c r="RUB5077" s="917"/>
      <c r="RUC5077" s="917"/>
      <c r="RUD5077" s="917"/>
      <c r="RUE5077" s="917"/>
      <c r="RUF5077" s="917"/>
      <c r="RUG5077" s="917"/>
      <c r="RUH5077" s="917"/>
      <c r="RUI5077" s="917"/>
      <c r="RUJ5077" s="917"/>
      <c r="RUK5077" s="917" t="s">
        <v>78</v>
      </c>
      <c r="RUL5077" s="917"/>
      <c r="RUM5077" s="917"/>
      <c r="RUN5077" s="917"/>
      <c r="RUO5077" s="917"/>
      <c r="RUP5077" s="917"/>
      <c r="RUQ5077" s="917"/>
      <c r="RUR5077" s="917"/>
      <c r="RUS5077" s="917"/>
      <c r="RUT5077" s="917"/>
      <c r="RUU5077" s="917"/>
      <c r="RUV5077" s="917"/>
      <c r="RUW5077" s="917"/>
      <c r="RUX5077" s="917"/>
      <c r="RUY5077" s="917"/>
      <c r="RUZ5077" s="917"/>
      <c r="RVA5077" s="917"/>
      <c r="RVB5077" s="917"/>
      <c r="RVC5077" s="917"/>
      <c r="RVD5077" s="917"/>
      <c r="RVE5077" s="917"/>
      <c r="RVF5077" s="917"/>
      <c r="RVG5077" s="917"/>
      <c r="RVH5077" s="917"/>
      <c r="RVI5077" s="917"/>
      <c r="RVJ5077" s="917"/>
      <c r="RVK5077" s="917"/>
      <c r="RVL5077" s="917"/>
      <c r="RVM5077" s="917"/>
      <c r="RVN5077" s="917"/>
      <c r="RVO5077" s="917"/>
      <c r="RVP5077" s="917"/>
      <c r="RVQ5077" s="917" t="s">
        <v>78</v>
      </c>
      <c r="RVR5077" s="917"/>
      <c r="RVS5077" s="917"/>
      <c r="RVT5077" s="917"/>
      <c r="RVU5077" s="917"/>
      <c r="RVV5077" s="917"/>
      <c r="RVW5077" s="917"/>
      <c r="RVX5077" s="917"/>
      <c r="RVY5077" s="917"/>
      <c r="RVZ5077" s="917"/>
      <c r="RWA5077" s="917"/>
      <c r="RWB5077" s="917"/>
      <c r="RWC5077" s="917"/>
      <c r="RWD5077" s="917"/>
      <c r="RWE5077" s="917"/>
      <c r="RWF5077" s="917"/>
      <c r="RWG5077" s="917"/>
      <c r="RWH5077" s="917"/>
      <c r="RWI5077" s="917"/>
      <c r="RWJ5077" s="917"/>
      <c r="RWK5077" s="917"/>
      <c r="RWL5077" s="917"/>
      <c r="RWM5077" s="917"/>
      <c r="RWN5077" s="917"/>
      <c r="RWO5077" s="917"/>
      <c r="RWP5077" s="917"/>
      <c r="RWQ5077" s="917"/>
      <c r="RWR5077" s="917"/>
      <c r="RWS5077" s="917"/>
      <c r="RWT5077" s="917"/>
      <c r="RWU5077" s="917"/>
      <c r="RWV5077" s="917"/>
      <c r="RWW5077" s="917" t="s">
        <v>78</v>
      </c>
      <c r="RWX5077" s="917"/>
      <c r="RWY5077" s="917"/>
      <c r="RWZ5077" s="917"/>
      <c r="RXA5077" s="917"/>
      <c r="RXB5077" s="917"/>
      <c r="RXC5077" s="917"/>
      <c r="RXD5077" s="917"/>
      <c r="RXE5077" s="917"/>
      <c r="RXF5077" s="917"/>
      <c r="RXG5077" s="917"/>
      <c r="RXH5077" s="917"/>
      <c r="RXI5077" s="917"/>
      <c r="RXJ5077" s="917"/>
      <c r="RXK5077" s="917"/>
      <c r="RXL5077" s="917"/>
      <c r="RXM5077" s="917"/>
      <c r="RXN5077" s="917"/>
      <c r="RXO5077" s="917"/>
      <c r="RXP5077" s="917"/>
      <c r="RXQ5077" s="917"/>
      <c r="RXR5077" s="917"/>
      <c r="RXS5077" s="917"/>
      <c r="RXT5077" s="917"/>
      <c r="RXU5077" s="917"/>
      <c r="RXV5077" s="917"/>
      <c r="RXW5077" s="917"/>
      <c r="RXX5077" s="917"/>
      <c r="RXY5077" s="917"/>
      <c r="RXZ5077" s="917"/>
      <c r="RYA5077" s="917"/>
      <c r="RYB5077" s="917"/>
      <c r="RYC5077" s="917" t="s">
        <v>78</v>
      </c>
      <c r="RYD5077" s="917"/>
      <c r="RYE5077" s="917"/>
      <c r="RYF5077" s="917"/>
      <c r="RYG5077" s="917"/>
      <c r="RYH5077" s="917"/>
      <c r="RYI5077" s="917"/>
      <c r="RYJ5077" s="917"/>
      <c r="RYK5077" s="917"/>
      <c r="RYL5077" s="917"/>
      <c r="RYM5077" s="917"/>
      <c r="RYN5077" s="917"/>
      <c r="RYO5077" s="917"/>
      <c r="RYP5077" s="917"/>
      <c r="RYQ5077" s="917"/>
      <c r="RYR5077" s="917"/>
      <c r="RYS5077" s="917"/>
      <c r="RYT5077" s="917"/>
      <c r="RYU5077" s="917"/>
      <c r="RYV5077" s="917"/>
      <c r="RYW5077" s="917"/>
      <c r="RYX5077" s="917"/>
      <c r="RYY5077" s="917"/>
      <c r="RYZ5077" s="917"/>
      <c r="RZA5077" s="917"/>
      <c r="RZB5077" s="917"/>
      <c r="RZC5077" s="917"/>
      <c r="RZD5077" s="917"/>
      <c r="RZE5077" s="917"/>
      <c r="RZF5077" s="917"/>
      <c r="RZG5077" s="917"/>
      <c r="RZH5077" s="917"/>
      <c r="RZI5077" s="917" t="s">
        <v>78</v>
      </c>
      <c r="RZJ5077" s="917"/>
      <c r="RZK5077" s="917"/>
      <c r="RZL5077" s="917"/>
      <c r="RZM5077" s="917"/>
      <c r="RZN5077" s="917"/>
      <c r="RZO5077" s="917"/>
      <c r="RZP5077" s="917"/>
      <c r="RZQ5077" s="917"/>
      <c r="RZR5077" s="917"/>
      <c r="RZS5077" s="917"/>
      <c r="RZT5077" s="917"/>
      <c r="RZU5077" s="917"/>
      <c r="RZV5077" s="917"/>
      <c r="RZW5077" s="917"/>
      <c r="RZX5077" s="917"/>
      <c r="RZY5077" s="917"/>
      <c r="RZZ5077" s="917"/>
      <c r="SAA5077" s="917"/>
      <c r="SAB5077" s="917"/>
      <c r="SAC5077" s="917"/>
      <c r="SAD5077" s="917"/>
      <c r="SAE5077" s="917"/>
      <c r="SAF5077" s="917"/>
      <c r="SAG5077" s="917"/>
      <c r="SAH5077" s="917"/>
      <c r="SAI5077" s="917"/>
      <c r="SAJ5077" s="917"/>
      <c r="SAK5077" s="917"/>
      <c r="SAL5077" s="917"/>
      <c r="SAM5077" s="917"/>
      <c r="SAN5077" s="917"/>
      <c r="SAO5077" s="917" t="s">
        <v>78</v>
      </c>
      <c r="SAP5077" s="917"/>
      <c r="SAQ5077" s="917"/>
      <c r="SAR5077" s="917"/>
      <c r="SAS5077" s="917"/>
      <c r="SAT5077" s="917"/>
      <c r="SAU5077" s="917"/>
      <c r="SAV5077" s="917"/>
      <c r="SAW5077" s="917"/>
      <c r="SAX5077" s="917"/>
      <c r="SAY5077" s="917"/>
      <c r="SAZ5077" s="917"/>
      <c r="SBA5077" s="917"/>
      <c r="SBB5077" s="917"/>
      <c r="SBC5077" s="917"/>
      <c r="SBD5077" s="917"/>
      <c r="SBE5077" s="917"/>
      <c r="SBF5077" s="917"/>
      <c r="SBG5077" s="917"/>
      <c r="SBH5077" s="917"/>
      <c r="SBI5077" s="917"/>
      <c r="SBJ5077" s="917"/>
      <c r="SBK5077" s="917"/>
      <c r="SBL5077" s="917"/>
      <c r="SBM5077" s="917"/>
      <c r="SBN5077" s="917"/>
      <c r="SBO5077" s="917"/>
      <c r="SBP5077" s="917"/>
      <c r="SBQ5077" s="917"/>
      <c r="SBR5077" s="917"/>
      <c r="SBS5077" s="917"/>
      <c r="SBT5077" s="917"/>
      <c r="SBU5077" s="917" t="s">
        <v>78</v>
      </c>
      <c r="SBV5077" s="917"/>
      <c r="SBW5077" s="917"/>
      <c r="SBX5077" s="917"/>
      <c r="SBY5077" s="917"/>
      <c r="SBZ5077" s="917"/>
      <c r="SCA5077" s="917"/>
      <c r="SCB5077" s="917"/>
      <c r="SCC5077" s="917"/>
      <c r="SCD5077" s="917"/>
      <c r="SCE5077" s="917"/>
      <c r="SCF5077" s="917"/>
      <c r="SCG5077" s="917"/>
      <c r="SCH5077" s="917"/>
      <c r="SCI5077" s="917"/>
      <c r="SCJ5077" s="917"/>
      <c r="SCK5077" s="917"/>
      <c r="SCL5077" s="917"/>
      <c r="SCM5077" s="917"/>
      <c r="SCN5077" s="917"/>
      <c r="SCO5077" s="917"/>
      <c r="SCP5077" s="917"/>
      <c r="SCQ5077" s="917"/>
      <c r="SCR5077" s="917"/>
      <c r="SCS5077" s="917"/>
      <c r="SCT5077" s="917"/>
      <c r="SCU5077" s="917"/>
      <c r="SCV5077" s="917"/>
      <c r="SCW5077" s="917"/>
      <c r="SCX5077" s="917"/>
      <c r="SCY5077" s="917"/>
      <c r="SCZ5077" s="917"/>
      <c r="SDA5077" s="917" t="s">
        <v>78</v>
      </c>
      <c r="SDB5077" s="917"/>
      <c r="SDC5077" s="917"/>
      <c r="SDD5077" s="917"/>
      <c r="SDE5077" s="917"/>
      <c r="SDF5077" s="917"/>
      <c r="SDG5077" s="917"/>
      <c r="SDH5077" s="917"/>
      <c r="SDI5077" s="917"/>
      <c r="SDJ5077" s="917"/>
      <c r="SDK5077" s="917"/>
      <c r="SDL5077" s="917"/>
      <c r="SDM5077" s="917"/>
      <c r="SDN5077" s="917"/>
      <c r="SDO5077" s="917"/>
      <c r="SDP5077" s="917"/>
      <c r="SDQ5077" s="917"/>
      <c r="SDR5077" s="917"/>
      <c r="SDS5077" s="917"/>
      <c r="SDT5077" s="917"/>
      <c r="SDU5077" s="917"/>
      <c r="SDV5077" s="917"/>
      <c r="SDW5077" s="917"/>
      <c r="SDX5077" s="917"/>
      <c r="SDY5077" s="917"/>
      <c r="SDZ5077" s="917"/>
      <c r="SEA5077" s="917"/>
      <c r="SEB5077" s="917"/>
      <c r="SEC5077" s="917"/>
      <c r="SED5077" s="917"/>
      <c r="SEE5077" s="917"/>
      <c r="SEF5077" s="917"/>
      <c r="SEG5077" s="917" t="s">
        <v>78</v>
      </c>
      <c r="SEH5077" s="917"/>
      <c r="SEI5077" s="917"/>
      <c r="SEJ5077" s="917"/>
      <c r="SEK5077" s="917"/>
      <c r="SEL5077" s="917"/>
      <c r="SEM5077" s="917"/>
      <c r="SEN5077" s="917"/>
      <c r="SEO5077" s="917"/>
      <c r="SEP5077" s="917"/>
      <c r="SEQ5077" s="917"/>
      <c r="SER5077" s="917"/>
      <c r="SES5077" s="917"/>
      <c r="SET5077" s="917"/>
      <c r="SEU5077" s="917"/>
      <c r="SEV5077" s="917"/>
      <c r="SEW5077" s="917"/>
      <c r="SEX5077" s="917"/>
      <c r="SEY5077" s="917"/>
      <c r="SEZ5077" s="917"/>
      <c r="SFA5077" s="917"/>
      <c r="SFB5077" s="917"/>
      <c r="SFC5077" s="917"/>
      <c r="SFD5077" s="917"/>
      <c r="SFE5077" s="917"/>
      <c r="SFF5077" s="917"/>
      <c r="SFG5077" s="917"/>
      <c r="SFH5077" s="917"/>
      <c r="SFI5077" s="917"/>
      <c r="SFJ5077" s="917"/>
      <c r="SFK5077" s="917"/>
      <c r="SFL5077" s="917"/>
      <c r="SFM5077" s="917" t="s">
        <v>78</v>
      </c>
      <c r="SFN5077" s="917"/>
      <c r="SFO5077" s="917"/>
      <c r="SFP5077" s="917"/>
      <c r="SFQ5077" s="917"/>
      <c r="SFR5077" s="917"/>
      <c r="SFS5077" s="917"/>
      <c r="SFT5077" s="917"/>
      <c r="SFU5077" s="917"/>
      <c r="SFV5077" s="917"/>
      <c r="SFW5077" s="917"/>
      <c r="SFX5077" s="917"/>
      <c r="SFY5077" s="917"/>
      <c r="SFZ5077" s="917"/>
      <c r="SGA5077" s="917"/>
      <c r="SGB5077" s="917"/>
      <c r="SGC5077" s="917"/>
      <c r="SGD5077" s="917"/>
      <c r="SGE5077" s="917"/>
      <c r="SGF5077" s="917"/>
      <c r="SGG5077" s="917"/>
      <c r="SGH5077" s="917"/>
      <c r="SGI5077" s="917"/>
      <c r="SGJ5077" s="917"/>
      <c r="SGK5077" s="917"/>
      <c r="SGL5077" s="917"/>
      <c r="SGM5077" s="917"/>
      <c r="SGN5077" s="917"/>
      <c r="SGO5077" s="917"/>
      <c r="SGP5077" s="917"/>
      <c r="SGQ5077" s="917"/>
      <c r="SGR5077" s="917"/>
      <c r="SGS5077" s="917" t="s">
        <v>78</v>
      </c>
      <c r="SGT5077" s="917"/>
      <c r="SGU5077" s="917"/>
      <c r="SGV5077" s="917"/>
      <c r="SGW5077" s="917"/>
      <c r="SGX5077" s="917"/>
      <c r="SGY5077" s="917"/>
      <c r="SGZ5077" s="917"/>
      <c r="SHA5077" s="917"/>
      <c r="SHB5077" s="917"/>
      <c r="SHC5077" s="917"/>
      <c r="SHD5077" s="917"/>
      <c r="SHE5077" s="917"/>
      <c r="SHF5077" s="917"/>
      <c r="SHG5077" s="917"/>
      <c r="SHH5077" s="917"/>
      <c r="SHI5077" s="917"/>
      <c r="SHJ5077" s="917"/>
      <c r="SHK5077" s="917"/>
      <c r="SHL5077" s="917"/>
      <c r="SHM5077" s="917"/>
      <c r="SHN5077" s="917"/>
      <c r="SHO5077" s="917"/>
      <c r="SHP5077" s="917"/>
      <c r="SHQ5077" s="917"/>
      <c r="SHR5077" s="917"/>
      <c r="SHS5077" s="917"/>
      <c r="SHT5077" s="917"/>
      <c r="SHU5077" s="917"/>
      <c r="SHV5077" s="917"/>
      <c r="SHW5077" s="917"/>
      <c r="SHX5077" s="917"/>
      <c r="SHY5077" s="917" t="s">
        <v>78</v>
      </c>
      <c r="SHZ5077" s="917"/>
      <c r="SIA5077" s="917"/>
      <c r="SIB5077" s="917"/>
      <c r="SIC5077" s="917"/>
      <c r="SID5077" s="917"/>
      <c r="SIE5077" s="917"/>
      <c r="SIF5077" s="917"/>
      <c r="SIG5077" s="917"/>
      <c r="SIH5077" s="917"/>
      <c r="SII5077" s="917"/>
      <c r="SIJ5077" s="917"/>
      <c r="SIK5077" s="917"/>
      <c r="SIL5077" s="917"/>
      <c r="SIM5077" s="917"/>
      <c r="SIN5077" s="917"/>
      <c r="SIO5077" s="917"/>
      <c r="SIP5077" s="917"/>
      <c r="SIQ5077" s="917"/>
      <c r="SIR5077" s="917"/>
      <c r="SIS5077" s="917"/>
      <c r="SIT5077" s="917"/>
      <c r="SIU5077" s="917"/>
      <c r="SIV5077" s="917"/>
      <c r="SIW5077" s="917"/>
      <c r="SIX5077" s="917"/>
      <c r="SIY5077" s="917"/>
      <c r="SIZ5077" s="917"/>
      <c r="SJA5077" s="917"/>
      <c r="SJB5077" s="917"/>
      <c r="SJC5077" s="917"/>
      <c r="SJD5077" s="917"/>
      <c r="SJE5077" s="917" t="s">
        <v>78</v>
      </c>
      <c r="SJF5077" s="917"/>
      <c r="SJG5077" s="917"/>
      <c r="SJH5077" s="917"/>
      <c r="SJI5077" s="917"/>
      <c r="SJJ5077" s="917"/>
      <c r="SJK5077" s="917"/>
      <c r="SJL5077" s="917"/>
      <c r="SJM5077" s="917"/>
      <c r="SJN5077" s="917"/>
      <c r="SJO5077" s="917"/>
      <c r="SJP5077" s="917"/>
      <c r="SJQ5077" s="917"/>
      <c r="SJR5077" s="917"/>
      <c r="SJS5077" s="917"/>
      <c r="SJT5077" s="917"/>
      <c r="SJU5077" s="917"/>
      <c r="SJV5077" s="917"/>
      <c r="SJW5077" s="917"/>
      <c r="SJX5077" s="917"/>
      <c r="SJY5077" s="917"/>
      <c r="SJZ5077" s="917"/>
      <c r="SKA5077" s="917"/>
      <c r="SKB5077" s="917"/>
      <c r="SKC5077" s="917"/>
      <c r="SKD5077" s="917"/>
      <c r="SKE5077" s="917"/>
      <c r="SKF5077" s="917"/>
      <c r="SKG5077" s="917"/>
      <c r="SKH5077" s="917"/>
      <c r="SKI5077" s="917"/>
      <c r="SKJ5077" s="917"/>
      <c r="SKK5077" s="917" t="s">
        <v>78</v>
      </c>
      <c r="SKL5077" s="917"/>
      <c r="SKM5077" s="917"/>
      <c r="SKN5077" s="917"/>
      <c r="SKO5077" s="917"/>
      <c r="SKP5077" s="917"/>
      <c r="SKQ5077" s="917"/>
      <c r="SKR5077" s="917"/>
      <c r="SKS5077" s="917"/>
      <c r="SKT5077" s="917"/>
      <c r="SKU5077" s="917"/>
      <c r="SKV5077" s="917"/>
      <c r="SKW5077" s="917"/>
      <c r="SKX5077" s="917"/>
      <c r="SKY5077" s="917"/>
      <c r="SKZ5077" s="917"/>
      <c r="SLA5077" s="917"/>
      <c r="SLB5077" s="917"/>
      <c r="SLC5077" s="917"/>
      <c r="SLD5077" s="917"/>
      <c r="SLE5077" s="917"/>
      <c r="SLF5077" s="917"/>
      <c r="SLG5077" s="917"/>
      <c r="SLH5077" s="917"/>
      <c r="SLI5077" s="917"/>
      <c r="SLJ5077" s="917"/>
      <c r="SLK5077" s="917"/>
      <c r="SLL5077" s="917"/>
      <c r="SLM5077" s="917"/>
      <c r="SLN5077" s="917"/>
      <c r="SLO5077" s="917"/>
      <c r="SLP5077" s="917"/>
      <c r="SLQ5077" s="917" t="s">
        <v>78</v>
      </c>
      <c r="SLR5077" s="917"/>
      <c r="SLS5077" s="917"/>
      <c r="SLT5077" s="917"/>
      <c r="SLU5077" s="917"/>
      <c r="SLV5077" s="917"/>
      <c r="SLW5077" s="917"/>
      <c r="SLX5077" s="917"/>
      <c r="SLY5077" s="917"/>
      <c r="SLZ5077" s="917"/>
      <c r="SMA5077" s="917"/>
      <c r="SMB5077" s="917"/>
      <c r="SMC5077" s="917"/>
      <c r="SMD5077" s="917"/>
      <c r="SME5077" s="917"/>
      <c r="SMF5077" s="917"/>
      <c r="SMG5077" s="917"/>
      <c r="SMH5077" s="917"/>
      <c r="SMI5077" s="917"/>
      <c r="SMJ5077" s="917"/>
      <c r="SMK5077" s="917"/>
      <c r="SML5077" s="917"/>
      <c r="SMM5077" s="917"/>
      <c r="SMN5077" s="917"/>
      <c r="SMO5077" s="917"/>
      <c r="SMP5077" s="917"/>
      <c r="SMQ5077" s="917"/>
      <c r="SMR5077" s="917"/>
      <c r="SMS5077" s="917"/>
      <c r="SMT5077" s="917"/>
      <c r="SMU5077" s="917"/>
      <c r="SMV5077" s="917"/>
      <c r="SMW5077" s="917" t="s">
        <v>78</v>
      </c>
      <c r="SMX5077" s="917"/>
      <c r="SMY5077" s="917"/>
      <c r="SMZ5077" s="917"/>
      <c r="SNA5077" s="917"/>
      <c r="SNB5077" s="917"/>
      <c r="SNC5077" s="917"/>
      <c r="SND5077" s="917"/>
      <c r="SNE5077" s="917"/>
      <c r="SNF5077" s="917"/>
      <c r="SNG5077" s="917"/>
      <c r="SNH5077" s="917"/>
      <c r="SNI5077" s="917"/>
      <c r="SNJ5077" s="917"/>
      <c r="SNK5077" s="917"/>
      <c r="SNL5077" s="917"/>
      <c r="SNM5077" s="917"/>
      <c r="SNN5077" s="917"/>
      <c r="SNO5077" s="917"/>
      <c r="SNP5077" s="917"/>
      <c r="SNQ5077" s="917"/>
      <c r="SNR5077" s="917"/>
      <c r="SNS5077" s="917"/>
      <c r="SNT5077" s="917"/>
      <c r="SNU5077" s="917"/>
      <c r="SNV5077" s="917"/>
      <c r="SNW5077" s="917"/>
      <c r="SNX5077" s="917"/>
      <c r="SNY5077" s="917"/>
      <c r="SNZ5077" s="917"/>
      <c r="SOA5077" s="917"/>
      <c r="SOB5077" s="917"/>
      <c r="SOC5077" s="917" t="s">
        <v>78</v>
      </c>
      <c r="SOD5077" s="917"/>
      <c r="SOE5077" s="917"/>
      <c r="SOF5077" s="917"/>
      <c r="SOG5077" s="917"/>
      <c r="SOH5077" s="917"/>
      <c r="SOI5077" s="917"/>
      <c r="SOJ5077" s="917"/>
      <c r="SOK5077" s="917"/>
      <c r="SOL5077" s="917"/>
      <c r="SOM5077" s="917"/>
      <c r="SON5077" s="917"/>
      <c r="SOO5077" s="917"/>
      <c r="SOP5077" s="917"/>
      <c r="SOQ5077" s="917"/>
      <c r="SOR5077" s="917"/>
      <c r="SOS5077" s="917"/>
      <c r="SOT5077" s="917"/>
      <c r="SOU5077" s="917"/>
      <c r="SOV5077" s="917"/>
      <c r="SOW5077" s="917"/>
      <c r="SOX5077" s="917"/>
      <c r="SOY5077" s="917"/>
      <c r="SOZ5077" s="917"/>
      <c r="SPA5077" s="917"/>
      <c r="SPB5077" s="917"/>
      <c r="SPC5077" s="917"/>
      <c r="SPD5077" s="917"/>
      <c r="SPE5077" s="917"/>
      <c r="SPF5077" s="917"/>
      <c r="SPG5077" s="917"/>
      <c r="SPH5077" s="917"/>
      <c r="SPI5077" s="917" t="s">
        <v>78</v>
      </c>
      <c r="SPJ5077" s="917"/>
      <c r="SPK5077" s="917"/>
      <c r="SPL5077" s="917"/>
      <c r="SPM5077" s="917"/>
      <c r="SPN5077" s="917"/>
      <c r="SPO5077" s="917"/>
      <c r="SPP5077" s="917"/>
      <c r="SPQ5077" s="917"/>
      <c r="SPR5077" s="917"/>
      <c r="SPS5077" s="917"/>
      <c r="SPT5077" s="917"/>
      <c r="SPU5077" s="917"/>
      <c r="SPV5077" s="917"/>
      <c r="SPW5077" s="917"/>
      <c r="SPX5077" s="917"/>
      <c r="SPY5077" s="917"/>
      <c r="SPZ5077" s="917"/>
      <c r="SQA5077" s="917"/>
      <c r="SQB5077" s="917"/>
      <c r="SQC5077" s="917"/>
      <c r="SQD5077" s="917"/>
      <c r="SQE5077" s="917"/>
      <c r="SQF5077" s="917"/>
      <c r="SQG5077" s="917"/>
      <c r="SQH5077" s="917"/>
      <c r="SQI5077" s="917"/>
      <c r="SQJ5077" s="917"/>
      <c r="SQK5077" s="917"/>
      <c r="SQL5077" s="917"/>
      <c r="SQM5077" s="917"/>
      <c r="SQN5077" s="917"/>
      <c r="SQO5077" s="917" t="s">
        <v>78</v>
      </c>
      <c r="SQP5077" s="917"/>
      <c r="SQQ5077" s="917"/>
      <c r="SQR5077" s="917"/>
      <c r="SQS5077" s="917"/>
      <c r="SQT5077" s="917"/>
      <c r="SQU5077" s="917"/>
      <c r="SQV5077" s="917"/>
      <c r="SQW5077" s="917"/>
      <c r="SQX5077" s="917"/>
      <c r="SQY5077" s="917"/>
      <c r="SQZ5077" s="917"/>
      <c r="SRA5077" s="917"/>
      <c r="SRB5077" s="917"/>
      <c r="SRC5077" s="917"/>
      <c r="SRD5077" s="917"/>
      <c r="SRE5077" s="917"/>
      <c r="SRF5077" s="917"/>
      <c r="SRG5077" s="917"/>
      <c r="SRH5077" s="917"/>
      <c r="SRI5077" s="917"/>
      <c r="SRJ5077" s="917"/>
      <c r="SRK5077" s="917"/>
      <c r="SRL5077" s="917"/>
      <c r="SRM5077" s="917"/>
      <c r="SRN5077" s="917"/>
      <c r="SRO5077" s="917"/>
      <c r="SRP5077" s="917"/>
      <c r="SRQ5077" s="917"/>
      <c r="SRR5077" s="917"/>
      <c r="SRS5077" s="917"/>
      <c r="SRT5077" s="917"/>
      <c r="SRU5077" s="917" t="s">
        <v>78</v>
      </c>
      <c r="SRV5077" s="917"/>
      <c r="SRW5077" s="917"/>
      <c r="SRX5077" s="917"/>
      <c r="SRY5077" s="917"/>
      <c r="SRZ5077" s="917"/>
      <c r="SSA5077" s="917"/>
      <c r="SSB5077" s="917"/>
      <c r="SSC5077" s="917"/>
      <c r="SSD5077" s="917"/>
      <c r="SSE5077" s="917"/>
      <c r="SSF5077" s="917"/>
      <c r="SSG5077" s="917"/>
      <c r="SSH5077" s="917"/>
      <c r="SSI5077" s="917"/>
      <c r="SSJ5077" s="917"/>
      <c r="SSK5077" s="917"/>
      <c r="SSL5077" s="917"/>
      <c r="SSM5077" s="917"/>
      <c r="SSN5077" s="917"/>
      <c r="SSO5077" s="917"/>
      <c r="SSP5077" s="917"/>
      <c r="SSQ5077" s="917"/>
      <c r="SSR5077" s="917"/>
      <c r="SSS5077" s="917"/>
      <c r="SST5077" s="917"/>
      <c r="SSU5077" s="917"/>
      <c r="SSV5077" s="917"/>
      <c r="SSW5077" s="917"/>
      <c r="SSX5077" s="917"/>
      <c r="SSY5077" s="917"/>
      <c r="SSZ5077" s="917"/>
      <c r="STA5077" s="917" t="s">
        <v>78</v>
      </c>
      <c r="STB5077" s="917"/>
      <c r="STC5077" s="917"/>
      <c r="STD5077" s="917"/>
      <c r="STE5077" s="917"/>
      <c r="STF5077" s="917"/>
      <c r="STG5077" s="917"/>
      <c r="STH5077" s="917"/>
      <c r="STI5077" s="917"/>
      <c r="STJ5077" s="917"/>
      <c r="STK5077" s="917"/>
      <c r="STL5077" s="917"/>
      <c r="STM5077" s="917"/>
      <c r="STN5077" s="917"/>
      <c r="STO5077" s="917"/>
      <c r="STP5077" s="917"/>
      <c r="STQ5077" s="917"/>
      <c r="STR5077" s="917"/>
      <c r="STS5077" s="917"/>
      <c r="STT5077" s="917"/>
      <c r="STU5077" s="917"/>
      <c r="STV5077" s="917"/>
      <c r="STW5077" s="917"/>
      <c r="STX5077" s="917"/>
      <c r="STY5077" s="917"/>
      <c r="STZ5077" s="917"/>
      <c r="SUA5077" s="917"/>
      <c r="SUB5077" s="917"/>
      <c r="SUC5077" s="917"/>
      <c r="SUD5077" s="917"/>
      <c r="SUE5077" s="917"/>
      <c r="SUF5077" s="917"/>
      <c r="SUG5077" s="917" t="s">
        <v>78</v>
      </c>
      <c r="SUH5077" s="917"/>
      <c r="SUI5077" s="917"/>
      <c r="SUJ5077" s="917"/>
      <c r="SUK5077" s="917"/>
      <c r="SUL5077" s="917"/>
      <c r="SUM5077" s="917"/>
      <c r="SUN5077" s="917"/>
      <c r="SUO5077" s="917"/>
      <c r="SUP5077" s="917"/>
      <c r="SUQ5077" s="917"/>
      <c r="SUR5077" s="917"/>
      <c r="SUS5077" s="917"/>
      <c r="SUT5077" s="917"/>
      <c r="SUU5077" s="917"/>
      <c r="SUV5077" s="917"/>
      <c r="SUW5077" s="917"/>
      <c r="SUX5077" s="917"/>
      <c r="SUY5077" s="917"/>
      <c r="SUZ5077" s="917"/>
      <c r="SVA5077" s="917"/>
      <c r="SVB5077" s="917"/>
      <c r="SVC5077" s="917"/>
      <c r="SVD5077" s="917"/>
      <c r="SVE5077" s="917"/>
      <c r="SVF5077" s="917"/>
      <c r="SVG5077" s="917"/>
      <c r="SVH5077" s="917"/>
      <c r="SVI5077" s="917"/>
      <c r="SVJ5077" s="917"/>
      <c r="SVK5077" s="917"/>
      <c r="SVL5077" s="917"/>
      <c r="SVM5077" s="917" t="s">
        <v>78</v>
      </c>
      <c r="SVN5077" s="917"/>
      <c r="SVO5077" s="917"/>
      <c r="SVP5077" s="917"/>
      <c r="SVQ5077" s="917"/>
      <c r="SVR5077" s="917"/>
      <c r="SVS5077" s="917"/>
      <c r="SVT5077" s="917"/>
      <c r="SVU5077" s="917"/>
      <c r="SVV5077" s="917"/>
      <c r="SVW5077" s="917"/>
      <c r="SVX5077" s="917"/>
      <c r="SVY5077" s="917"/>
      <c r="SVZ5077" s="917"/>
      <c r="SWA5077" s="917"/>
      <c r="SWB5077" s="917"/>
      <c r="SWC5077" s="917"/>
      <c r="SWD5077" s="917"/>
      <c r="SWE5077" s="917"/>
      <c r="SWF5077" s="917"/>
      <c r="SWG5077" s="917"/>
      <c r="SWH5077" s="917"/>
      <c r="SWI5077" s="917"/>
      <c r="SWJ5077" s="917"/>
      <c r="SWK5077" s="917"/>
      <c r="SWL5077" s="917"/>
      <c r="SWM5077" s="917"/>
      <c r="SWN5077" s="917"/>
      <c r="SWO5077" s="917"/>
      <c r="SWP5077" s="917"/>
      <c r="SWQ5077" s="917"/>
      <c r="SWR5077" s="917"/>
      <c r="SWS5077" s="917" t="s">
        <v>78</v>
      </c>
      <c r="SWT5077" s="917"/>
      <c r="SWU5077" s="917"/>
      <c r="SWV5077" s="917"/>
      <c r="SWW5077" s="917"/>
      <c r="SWX5077" s="917"/>
      <c r="SWY5077" s="917"/>
      <c r="SWZ5077" s="917"/>
      <c r="SXA5077" s="917"/>
      <c r="SXB5077" s="917"/>
      <c r="SXC5077" s="917"/>
      <c r="SXD5077" s="917"/>
      <c r="SXE5077" s="917"/>
      <c r="SXF5077" s="917"/>
      <c r="SXG5077" s="917"/>
      <c r="SXH5077" s="917"/>
      <c r="SXI5077" s="917"/>
      <c r="SXJ5077" s="917"/>
      <c r="SXK5077" s="917"/>
      <c r="SXL5077" s="917"/>
      <c r="SXM5077" s="917"/>
      <c r="SXN5077" s="917"/>
      <c r="SXO5077" s="917"/>
      <c r="SXP5077" s="917"/>
      <c r="SXQ5077" s="917"/>
      <c r="SXR5077" s="917"/>
      <c r="SXS5077" s="917"/>
      <c r="SXT5077" s="917"/>
      <c r="SXU5077" s="917"/>
      <c r="SXV5077" s="917"/>
      <c r="SXW5077" s="917"/>
      <c r="SXX5077" s="917"/>
      <c r="SXY5077" s="917" t="s">
        <v>78</v>
      </c>
      <c r="SXZ5077" s="917"/>
      <c r="SYA5077" s="917"/>
      <c r="SYB5077" s="917"/>
      <c r="SYC5077" s="917"/>
      <c r="SYD5077" s="917"/>
      <c r="SYE5077" s="917"/>
      <c r="SYF5077" s="917"/>
      <c r="SYG5077" s="917"/>
      <c r="SYH5077" s="917"/>
      <c r="SYI5077" s="917"/>
      <c r="SYJ5077" s="917"/>
      <c r="SYK5077" s="917"/>
      <c r="SYL5077" s="917"/>
      <c r="SYM5077" s="917"/>
      <c r="SYN5077" s="917"/>
      <c r="SYO5077" s="917"/>
      <c r="SYP5077" s="917"/>
      <c r="SYQ5077" s="917"/>
      <c r="SYR5077" s="917"/>
      <c r="SYS5077" s="917"/>
      <c r="SYT5077" s="917"/>
      <c r="SYU5077" s="917"/>
      <c r="SYV5077" s="917"/>
      <c r="SYW5077" s="917"/>
      <c r="SYX5077" s="917"/>
      <c r="SYY5077" s="917"/>
      <c r="SYZ5077" s="917"/>
      <c r="SZA5077" s="917"/>
      <c r="SZB5077" s="917"/>
      <c r="SZC5077" s="917"/>
      <c r="SZD5077" s="917"/>
      <c r="SZE5077" s="917" t="s">
        <v>78</v>
      </c>
      <c r="SZF5077" s="917"/>
      <c r="SZG5077" s="917"/>
      <c r="SZH5077" s="917"/>
      <c r="SZI5077" s="917"/>
      <c r="SZJ5077" s="917"/>
      <c r="SZK5077" s="917"/>
      <c r="SZL5077" s="917"/>
      <c r="SZM5077" s="917"/>
      <c r="SZN5077" s="917"/>
      <c r="SZO5077" s="917"/>
      <c r="SZP5077" s="917"/>
      <c r="SZQ5077" s="917"/>
      <c r="SZR5077" s="917"/>
      <c r="SZS5077" s="917"/>
      <c r="SZT5077" s="917"/>
      <c r="SZU5077" s="917"/>
      <c r="SZV5077" s="917"/>
      <c r="SZW5077" s="917"/>
      <c r="SZX5077" s="917"/>
      <c r="SZY5077" s="917"/>
      <c r="SZZ5077" s="917"/>
      <c r="TAA5077" s="917"/>
      <c r="TAB5077" s="917"/>
      <c r="TAC5077" s="917"/>
      <c r="TAD5077" s="917"/>
      <c r="TAE5077" s="917"/>
      <c r="TAF5077" s="917"/>
      <c r="TAG5077" s="917"/>
      <c r="TAH5077" s="917"/>
      <c r="TAI5077" s="917"/>
      <c r="TAJ5077" s="917"/>
      <c r="TAK5077" s="917" t="s">
        <v>78</v>
      </c>
      <c r="TAL5077" s="917"/>
      <c r="TAM5077" s="917"/>
      <c r="TAN5077" s="917"/>
      <c r="TAO5077" s="917"/>
      <c r="TAP5077" s="917"/>
      <c r="TAQ5077" s="917"/>
      <c r="TAR5077" s="917"/>
      <c r="TAS5077" s="917"/>
      <c r="TAT5077" s="917"/>
      <c r="TAU5077" s="917"/>
      <c r="TAV5077" s="917"/>
      <c r="TAW5077" s="917"/>
      <c r="TAX5077" s="917"/>
      <c r="TAY5077" s="917"/>
      <c r="TAZ5077" s="917"/>
      <c r="TBA5077" s="917"/>
      <c r="TBB5077" s="917"/>
      <c r="TBC5077" s="917"/>
      <c r="TBD5077" s="917"/>
      <c r="TBE5077" s="917"/>
      <c r="TBF5077" s="917"/>
      <c r="TBG5077" s="917"/>
      <c r="TBH5077" s="917"/>
      <c r="TBI5077" s="917"/>
      <c r="TBJ5077" s="917"/>
      <c r="TBK5077" s="917"/>
      <c r="TBL5077" s="917"/>
      <c r="TBM5077" s="917"/>
      <c r="TBN5077" s="917"/>
      <c r="TBO5077" s="917"/>
      <c r="TBP5077" s="917"/>
      <c r="TBQ5077" s="917" t="s">
        <v>78</v>
      </c>
      <c r="TBR5077" s="917"/>
      <c r="TBS5077" s="917"/>
      <c r="TBT5077" s="917"/>
      <c r="TBU5077" s="917"/>
      <c r="TBV5077" s="917"/>
      <c r="TBW5077" s="917"/>
      <c r="TBX5077" s="917"/>
      <c r="TBY5077" s="917"/>
      <c r="TBZ5077" s="917"/>
      <c r="TCA5077" s="917"/>
      <c r="TCB5077" s="917"/>
      <c r="TCC5077" s="917"/>
      <c r="TCD5077" s="917"/>
      <c r="TCE5077" s="917"/>
      <c r="TCF5077" s="917"/>
      <c r="TCG5077" s="917"/>
      <c r="TCH5077" s="917"/>
      <c r="TCI5077" s="917"/>
      <c r="TCJ5077" s="917"/>
      <c r="TCK5077" s="917"/>
      <c r="TCL5077" s="917"/>
      <c r="TCM5077" s="917"/>
      <c r="TCN5077" s="917"/>
      <c r="TCO5077" s="917"/>
      <c r="TCP5077" s="917"/>
      <c r="TCQ5077" s="917"/>
      <c r="TCR5077" s="917"/>
      <c r="TCS5077" s="917"/>
      <c r="TCT5077" s="917"/>
      <c r="TCU5077" s="917"/>
      <c r="TCV5077" s="917"/>
      <c r="TCW5077" s="917" t="s">
        <v>78</v>
      </c>
      <c r="TCX5077" s="917"/>
      <c r="TCY5077" s="917"/>
      <c r="TCZ5077" s="917"/>
      <c r="TDA5077" s="917"/>
      <c r="TDB5077" s="917"/>
      <c r="TDC5077" s="917"/>
      <c r="TDD5077" s="917"/>
      <c r="TDE5077" s="917"/>
      <c r="TDF5077" s="917"/>
      <c r="TDG5077" s="917"/>
      <c r="TDH5077" s="917"/>
      <c r="TDI5077" s="917"/>
      <c r="TDJ5077" s="917"/>
      <c r="TDK5077" s="917"/>
      <c r="TDL5077" s="917"/>
      <c r="TDM5077" s="917"/>
      <c r="TDN5077" s="917"/>
      <c r="TDO5077" s="917"/>
      <c r="TDP5077" s="917"/>
      <c r="TDQ5077" s="917"/>
      <c r="TDR5077" s="917"/>
      <c r="TDS5077" s="917"/>
      <c r="TDT5077" s="917"/>
      <c r="TDU5077" s="917"/>
      <c r="TDV5077" s="917"/>
      <c r="TDW5077" s="917"/>
      <c r="TDX5077" s="917"/>
      <c r="TDY5077" s="917"/>
      <c r="TDZ5077" s="917"/>
      <c r="TEA5077" s="917"/>
      <c r="TEB5077" s="917"/>
      <c r="TEC5077" s="917" t="s">
        <v>78</v>
      </c>
      <c r="TED5077" s="917"/>
      <c r="TEE5077" s="917"/>
      <c r="TEF5077" s="917"/>
      <c r="TEG5077" s="917"/>
      <c r="TEH5077" s="917"/>
      <c r="TEI5077" s="917"/>
      <c r="TEJ5077" s="917"/>
      <c r="TEK5077" s="917"/>
      <c r="TEL5077" s="917"/>
      <c r="TEM5077" s="917"/>
      <c r="TEN5077" s="917"/>
      <c r="TEO5077" s="917"/>
      <c r="TEP5077" s="917"/>
      <c r="TEQ5077" s="917"/>
      <c r="TER5077" s="917"/>
      <c r="TES5077" s="917"/>
      <c r="TET5077" s="917"/>
      <c r="TEU5077" s="917"/>
      <c r="TEV5077" s="917"/>
      <c r="TEW5077" s="917"/>
      <c r="TEX5077" s="917"/>
      <c r="TEY5077" s="917"/>
      <c r="TEZ5077" s="917"/>
      <c r="TFA5077" s="917"/>
      <c r="TFB5077" s="917"/>
      <c r="TFC5077" s="917"/>
      <c r="TFD5077" s="917"/>
      <c r="TFE5077" s="917"/>
      <c r="TFF5077" s="917"/>
      <c r="TFG5077" s="917"/>
      <c r="TFH5077" s="917"/>
      <c r="TFI5077" s="917" t="s">
        <v>78</v>
      </c>
      <c r="TFJ5077" s="917"/>
      <c r="TFK5077" s="917"/>
      <c r="TFL5077" s="917"/>
      <c r="TFM5077" s="917"/>
      <c r="TFN5077" s="917"/>
      <c r="TFO5077" s="917"/>
      <c r="TFP5077" s="917"/>
      <c r="TFQ5077" s="917"/>
      <c r="TFR5077" s="917"/>
      <c r="TFS5077" s="917"/>
      <c r="TFT5077" s="917"/>
      <c r="TFU5077" s="917"/>
      <c r="TFV5077" s="917"/>
      <c r="TFW5077" s="917"/>
      <c r="TFX5077" s="917"/>
      <c r="TFY5077" s="917"/>
      <c r="TFZ5077" s="917"/>
      <c r="TGA5077" s="917"/>
      <c r="TGB5077" s="917"/>
      <c r="TGC5077" s="917"/>
      <c r="TGD5077" s="917"/>
      <c r="TGE5077" s="917"/>
      <c r="TGF5077" s="917"/>
      <c r="TGG5077" s="917"/>
      <c r="TGH5077" s="917"/>
      <c r="TGI5077" s="917"/>
      <c r="TGJ5077" s="917"/>
      <c r="TGK5077" s="917"/>
      <c r="TGL5077" s="917"/>
      <c r="TGM5077" s="917"/>
      <c r="TGN5077" s="917"/>
      <c r="TGO5077" s="917" t="s">
        <v>78</v>
      </c>
      <c r="TGP5077" s="917"/>
      <c r="TGQ5077" s="917"/>
      <c r="TGR5077" s="917"/>
      <c r="TGS5077" s="917"/>
      <c r="TGT5077" s="917"/>
      <c r="TGU5077" s="917"/>
      <c r="TGV5077" s="917"/>
      <c r="TGW5077" s="917"/>
      <c r="TGX5077" s="917"/>
      <c r="TGY5077" s="917"/>
      <c r="TGZ5077" s="917"/>
      <c r="THA5077" s="917"/>
      <c r="THB5077" s="917"/>
      <c r="THC5077" s="917"/>
      <c r="THD5077" s="917"/>
      <c r="THE5077" s="917"/>
      <c r="THF5077" s="917"/>
      <c r="THG5077" s="917"/>
      <c r="THH5077" s="917"/>
      <c r="THI5077" s="917"/>
      <c r="THJ5077" s="917"/>
      <c r="THK5077" s="917"/>
      <c r="THL5077" s="917"/>
      <c r="THM5077" s="917"/>
      <c r="THN5077" s="917"/>
      <c r="THO5077" s="917"/>
      <c r="THP5077" s="917"/>
      <c r="THQ5077" s="917"/>
      <c r="THR5077" s="917"/>
      <c r="THS5077" s="917"/>
      <c r="THT5077" s="917"/>
      <c r="THU5077" s="917" t="s">
        <v>78</v>
      </c>
      <c r="THV5077" s="917"/>
      <c r="THW5077" s="917"/>
      <c r="THX5077" s="917"/>
      <c r="THY5077" s="917"/>
      <c r="THZ5077" s="917"/>
      <c r="TIA5077" s="917"/>
      <c r="TIB5077" s="917"/>
      <c r="TIC5077" s="917"/>
      <c r="TID5077" s="917"/>
      <c r="TIE5077" s="917"/>
      <c r="TIF5077" s="917"/>
      <c r="TIG5077" s="917"/>
      <c r="TIH5077" s="917"/>
      <c r="TII5077" s="917"/>
      <c r="TIJ5077" s="917"/>
      <c r="TIK5077" s="917"/>
      <c r="TIL5077" s="917"/>
      <c r="TIM5077" s="917"/>
      <c r="TIN5077" s="917"/>
      <c r="TIO5077" s="917"/>
      <c r="TIP5077" s="917"/>
      <c r="TIQ5077" s="917"/>
      <c r="TIR5077" s="917"/>
      <c r="TIS5077" s="917"/>
      <c r="TIT5077" s="917"/>
      <c r="TIU5077" s="917"/>
      <c r="TIV5077" s="917"/>
      <c r="TIW5077" s="917"/>
      <c r="TIX5077" s="917"/>
      <c r="TIY5077" s="917"/>
      <c r="TIZ5077" s="917"/>
      <c r="TJA5077" s="917" t="s">
        <v>78</v>
      </c>
      <c r="TJB5077" s="917"/>
      <c r="TJC5077" s="917"/>
      <c r="TJD5077" s="917"/>
      <c r="TJE5077" s="917"/>
      <c r="TJF5077" s="917"/>
      <c r="TJG5077" s="917"/>
      <c r="TJH5077" s="917"/>
      <c r="TJI5077" s="917"/>
      <c r="TJJ5077" s="917"/>
      <c r="TJK5077" s="917"/>
      <c r="TJL5077" s="917"/>
      <c r="TJM5077" s="917"/>
      <c r="TJN5077" s="917"/>
      <c r="TJO5077" s="917"/>
      <c r="TJP5077" s="917"/>
      <c r="TJQ5077" s="917"/>
      <c r="TJR5077" s="917"/>
      <c r="TJS5077" s="917"/>
      <c r="TJT5077" s="917"/>
      <c r="TJU5077" s="917"/>
      <c r="TJV5077" s="917"/>
      <c r="TJW5077" s="917"/>
      <c r="TJX5077" s="917"/>
      <c r="TJY5077" s="917"/>
      <c r="TJZ5077" s="917"/>
      <c r="TKA5077" s="917"/>
      <c r="TKB5077" s="917"/>
      <c r="TKC5077" s="917"/>
      <c r="TKD5077" s="917"/>
      <c r="TKE5077" s="917"/>
      <c r="TKF5077" s="917"/>
      <c r="TKG5077" s="917" t="s">
        <v>78</v>
      </c>
      <c r="TKH5077" s="917"/>
      <c r="TKI5077" s="917"/>
      <c r="TKJ5077" s="917"/>
      <c r="TKK5077" s="917"/>
      <c r="TKL5077" s="917"/>
      <c r="TKM5077" s="917"/>
      <c r="TKN5077" s="917"/>
      <c r="TKO5077" s="917"/>
      <c r="TKP5077" s="917"/>
      <c r="TKQ5077" s="917"/>
      <c r="TKR5077" s="917"/>
      <c r="TKS5077" s="917"/>
      <c r="TKT5077" s="917"/>
      <c r="TKU5077" s="917"/>
      <c r="TKV5077" s="917"/>
      <c r="TKW5077" s="917"/>
      <c r="TKX5077" s="917"/>
      <c r="TKY5077" s="917"/>
      <c r="TKZ5077" s="917"/>
      <c r="TLA5077" s="917"/>
      <c r="TLB5077" s="917"/>
      <c r="TLC5077" s="917"/>
      <c r="TLD5077" s="917"/>
      <c r="TLE5077" s="917"/>
      <c r="TLF5077" s="917"/>
      <c r="TLG5077" s="917"/>
      <c r="TLH5077" s="917"/>
      <c r="TLI5077" s="917"/>
      <c r="TLJ5077" s="917"/>
      <c r="TLK5077" s="917"/>
      <c r="TLL5077" s="917"/>
      <c r="TLM5077" s="917" t="s">
        <v>78</v>
      </c>
      <c r="TLN5077" s="917"/>
      <c r="TLO5077" s="917"/>
      <c r="TLP5077" s="917"/>
      <c r="TLQ5077" s="917"/>
      <c r="TLR5077" s="917"/>
      <c r="TLS5077" s="917"/>
      <c r="TLT5077" s="917"/>
      <c r="TLU5077" s="917"/>
      <c r="TLV5077" s="917"/>
      <c r="TLW5077" s="917"/>
      <c r="TLX5077" s="917"/>
      <c r="TLY5077" s="917"/>
      <c r="TLZ5077" s="917"/>
      <c r="TMA5077" s="917"/>
      <c r="TMB5077" s="917"/>
      <c r="TMC5077" s="917"/>
      <c r="TMD5077" s="917"/>
      <c r="TME5077" s="917"/>
      <c r="TMF5077" s="917"/>
      <c r="TMG5077" s="917"/>
      <c r="TMH5077" s="917"/>
      <c r="TMI5077" s="917"/>
      <c r="TMJ5077" s="917"/>
      <c r="TMK5077" s="917"/>
      <c r="TML5077" s="917"/>
      <c r="TMM5077" s="917"/>
      <c r="TMN5077" s="917"/>
      <c r="TMO5077" s="917"/>
      <c r="TMP5077" s="917"/>
      <c r="TMQ5077" s="917"/>
      <c r="TMR5077" s="917"/>
      <c r="TMS5077" s="917" t="s">
        <v>78</v>
      </c>
      <c r="TMT5077" s="917"/>
      <c r="TMU5077" s="917"/>
      <c r="TMV5077" s="917"/>
      <c r="TMW5077" s="917"/>
      <c r="TMX5077" s="917"/>
      <c r="TMY5077" s="917"/>
      <c r="TMZ5077" s="917"/>
      <c r="TNA5077" s="917"/>
      <c r="TNB5077" s="917"/>
      <c r="TNC5077" s="917"/>
      <c r="TND5077" s="917"/>
      <c r="TNE5077" s="917"/>
      <c r="TNF5077" s="917"/>
      <c r="TNG5077" s="917"/>
      <c r="TNH5077" s="917"/>
      <c r="TNI5077" s="917"/>
      <c r="TNJ5077" s="917"/>
      <c r="TNK5077" s="917"/>
      <c r="TNL5077" s="917"/>
      <c r="TNM5077" s="917"/>
      <c r="TNN5077" s="917"/>
      <c r="TNO5077" s="917"/>
      <c r="TNP5077" s="917"/>
      <c r="TNQ5077" s="917"/>
      <c r="TNR5077" s="917"/>
      <c r="TNS5077" s="917"/>
      <c r="TNT5077" s="917"/>
      <c r="TNU5077" s="917"/>
      <c r="TNV5077" s="917"/>
      <c r="TNW5077" s="917"/>
      <c r="TNX5077" s="917"/>
      <c r="TNY5077" s="917" t="s">
        <v>78</v>
      </c>
      <c r="TNZ5077" s="917"/>
      <c r="TOA5077" s="917"/>
      <c r="TOB5077" s="917"/>
      <c r="TOC5077" s="917"/>
      <c r="TOD5077" s="917"/>
      <c r="TOE5077" s="917"/>
      <c r="TOF5077" s="917"/>
      <c r="TOG5077" s="917"/>
      <c r="TOH5077" s="917"/>
      <c r="TOI5077" s="917"/>
      <c r="TOJ5077" s="917"/>
      <c r="TOK5077" s="917"/>
      <c r="TOL5077" s="917"/>
      <c r="TOM5077" s="917"/>
      <c r="TON5077" s="917"/>
      <c r="TOO5077" s="917"/>
      <c r="TOP5077" s="917"/>
      <c r="TOQ5077" s="917"/>
      <c r="TOR5077" s="917"/>
      <c r="TOS5077" s="917"/>
      <c r="TOT5077" s="917"/>
      <c r="TOU5077" s="917"/>
      <c r="TOV5077" s="917"/>
      <c r="TOW5077" s="917"/>
      <c r="TOX5077" s="917"/>
      <c r="TOY5077" s="917"/>
      <c r="TOZ5077" s="917"/>
      <c r="TPA5077" s="917"/>
      <c r="TPB5077" s="917"/>
      <c r="TPC5077" s="917"/>
      <c r="TPD5077" s="917"/>
      <c r="TPE5077" s="917" t="s">
        <v>78</v>
      </c>
      <c r="TPF5077" s="917"/>
      <c r="TPG5077" s="917"/>
      <c r="TPH5077" s="917"/>
      <c r="TPI5077" s="917"/>
      <c r="TPJ5077" s="917"/>
      <c r="TPK5077" s="917"/>
      <c r="TPL5077" s="917"/>
      <c r="TPM5077" s="917"/>
      <c r="TPN5077" s="917"/>
      <c r="TPO5077" s="917"/>
      <c r="TPP5077" s="917"/>
      <c r="TPQ5077" s="917"/>
      <c r="TPR5077" s="917"/>
      <c r="TPS5077" s="917"/>
      <c r="TPT5077" s="917"/>
      <c r="TPU5077" s="917"/>
      <c r="TPV5077" s="917"/>
      <c r="TPW5077" s="917"/>
      <c r="TPX5077" s="917"/>
      <c r="TPY5077" s="917"/>
      <c r="TPZ5077" s="917"/>
      <c r="TQA5077" s="917"/>
      <c r="TQB5077" s="917"/>
      <c r="TQC5077" s="917"/>
      <c r="TQD5077" s="917"/>
      <c r="TQE5077" s="917"/>
      <c r="TQF5077" s="917"/>
      <c r="TQG5077" s="917"/>
      <c r="TQH5077" s="917"/>
      <c r="TQI5077" s="917"/>
      <c r="TQJ5077" s="917"/>
      <c r="TQK5077" s="917" t="s">
        <v>78</v>
      </c>
      <c r="TQL5077" s="917"/>
      <c r="TQM5077" s="917"/>
      <c r="TQN5077" s="917"/>
      <c r="TQO5077" s="917"/>
      <c r="TQP5077" s="917"/>
      <c r="TQQ5077" s="917"/>
      <c r="TQR5077" s="917"/>
      <c r="TQS5077" s="917"/>
      <c r="TQT5077" s="917"/>
      <c r="TQU5077" s="917"/>
      <c r="TQV5077" s="917"/>
      <c r="TQW5077" s="917"/>
      <c r="TQX5077" s="917"/>
      <c r="TQY5077" s="917"/>
      <c r="TQZ5077" s="917"/>
      <c r="TRA5077" s="917"/>
      <c r="TRB5077" s="917"/>
      <c r="TRC5077" s="917"/>
      <c r="TRD5077" s="917"/>
      <c r="TRE5077" s="917"/>
      <c r="TRF5077" s="917"/>
      <c r="TRG5077" s="917"/>
      <c r="TRH5077" s="917"/>
      <c r="TRI5077" s="917"/>
      <c r="TRJ5077" s="917"/>
      <c r="TRK5077" s="917"/>
      <c r="TRL5077" s="917"/>
      <c r="TRM5077" s="917"/>
      <c r="TRN5077" s="917"/>
      <c r="TRO5077" s="917"/>
      <c r="TRP5077" s="917"/>
      <c r="TRQ5077" s="917" t="s">
        <v>78</v>
      </c>
      <c r="TRR5077" s="917"/>
      <c r="TRS5077" s="917"/>
      <c r="TRT5077" s="917"/>
      <c r="TRU5077" s="917"/>
      <c r="TRV5077" s="917"/>
      <c r="TRW5077" s="917"/>
      <c r="TRX5077" s="917"/>
      <c r="TRY5077" s="917"/>
      <c r="TRZ5077" s="917"/>
      <c r="TSA5077" s="917"/>
      <c r="TSB5077" s="917"/>
      <c r="TSC5077" s="917"/>
      <c r="TSD5077" s="917"/>
      <c r="TSE5077" s="917"/>
      <c r="TSF5077" s="917"/>
      <c r="TSG5077" s="917"/>
      <c r="TSH5077" s="917"/>
      <c r="TSI5077" s="917"/>
      <c r="TSJ5077" s="917"/>
      <c r="TSK5077" s="917"/>
      <c r="TSL5077" s="917"/>
      <c r="TSM5077" s="917"/>
      <c r="TSN5077" s="917"/>
      <c r="TSO5077" s="917"/>
      <c r="TSP5077" s="917"/>
      <c r="TSQ5077" s="917"/>
      <c r="TSR5077" s="917"/>
      <c r="TSS5077" s="917"/>
      <c r="TST5077" s="917"/>
      <c r="TSU5077" s="917"/>
      <c r="TSV5077" s="917"/>
      <c r="TSW5077" s="917" t="s">
        <v>78</v>
      </c>
      <c r="TSX5077" s="917"/>
      <c r="TSY5077" s="917"/>
      <c r="TSZ5077" s="917"/>
      <c r="TTA5077" s="917"/>
      <c r="TTB5077" s="917"/>
      <c r="TTC5077" s="917"/>
      <c r="TTD5077" s="917"/>
      <c r="TTE5077" s="917"/>
      <c r="TTF5077" s="917"/>
      <c r="TTG5077" s="917"/>
      <c r="TTH5077" s="917"/>
      <c r="TTI5077" s="917"/>
      <c r="TTJ5077" s="917"/>
      <c r="TTK5077" s="917"/>
      <c r="TTL5077" s="917"/>
      <c r="TTM5077" s="917"/>
      <c r="TTN5077" s="917"/>
      <c r="TTO5077" s="917"/>
      <c r="TTP5077" s="917"/>
      <c r="TTQ5077" s="917"/>
      <c r="TTR5077" s="917"/>
      <c r="TTS5077" s="917"/>
      <c r="TTT5077" s="917"/>
      <c r="TTU5077" s="917"/>
      <c r="TTV5077" s="917"/>
      <c r="TTW5077" s="917"/>
      <c r="TTX5077" s="917"/>
      <c r="TTY5077" s="917"/>
      <c r="TTZ5077" s="917"/>
      <c r="TUA5077" s="917"/>
      <c r="TUB5077" s="917"/>
      <c r="TUC5077" s="917" t="s">
        <v>78</v>
      </c>
      <c r="TUD5077" s="917"/>
      <c r="TUE5077" s="917"/>
      <c r="TUF5077" s="917"/>
      <c r="TUG5077" s="917"/>
      <c r="TUH5077" s="917"/>
      <c r="TUI5077" s="917"/>
      <c r="TUJ5077" s="917"/>
      <c r="TUK5077" s="917"/>
      <c r="TUL5077" s="917"/>
      <c r="TUM5077" s="917"/>
      <c r="TUN5077" s="917"/>
      <c r="TUO5077" s="917"/>
      <c r="TUP5077" s="917"/>
      <c r="TUQ5077" s="917"/>
      <c r="TUR5077" s="917"/>
      <c r="TUS5077" s="917"/>
      <c r="TUT5077" s="917"/>
      <c r="TUU5077" s="917"/>
      <c r="TUV5077" s="917"/>
      <c r="TUW5077" s="917"/>
      <c r="TUX5077" s="917"/>
      <c r="TUY5077" s="917"/>
      <c r="TUZ5077" s="917"/>
      <c r="TVA5077" s="917"/>
      <c r="TVB5077" s="917"/>
      <c r="TVC5077" s="917"/>
      <c r="TVD5077" s="917"/>
      <c r="TVE5077" s="917"/>
      <c r="TVF5077" s="917"/>
      <c r="TVG5077" s="917"/>
      <c r="TVH5077" s="917"/>
      <c r="TVI5077" s="917" t="s">
        <v>78</v>
      </c>
      <c r="TVJ5077" s="917"/>
      <c r="TVK5077" s="917"/>
      <c r="TVL5077" s="917"/>
      <c r="TVM5077" s="917"/>
      <c r="TVN5077" s="917"/>
      <c r="TVO5077" s="917"/>
      <c r="TVP5077" s="917"/>
      <c r="TVQ5077" s="917"/>
      <c r="TVR5077" s="917"/>
      <c r="TVS5077" s="917"/>
      <c r="TVT5077" s="917"/>
      <c r="TVU5077" s="917"/>
      <c r="TVV5077" s="917"/>
      <c r="TVW5077" s="917"/>
      <c r="TVX5077" s="917"/>
      <c r="TVY5077" s="917"/>
      <c r="TVZ5077" s="917"/>
      <c r="TWA5077" s="917"/>
      <c r="TWB5077" s="917"/>
      <c r="TWC5077" s="917"/>
      <c r="TWD5077" s="917"/>
      <c r="TWE5077" s="917"/>
      <c r="TWF5077" s="917"/>
      <c r="TWG5077" s="917"/>
      <c r="TWH5077" s="917"/>
      <c r="TWI5077" s="917"/>
      <c r="TWJ5077" s="917"/>
      <c r="TWK5077" s="917"/>
      <c r="TWL5077" s="917"/>
      <c r="TWM5077" s="917"/>
      <c r="TWN5077" s="917"/>
      <c r="TWO5077" s="917" t="s">
        <v>78</v>
      </c>
      <c r="TWP5077" s="917"/>
      <c r="TWQ5077" s="917"/>
      <c r="TWR5077" s="917"/>
      <c r="TWS5077" s="917"/>
      <c r="TWT5077" s="917"/>
      <c r="TWU5077" s="917"/>
      <c r="TWV5077" s="917"/>
      <c r="TWW5077" s="917"/>
      <c r="TWX5077" s="917"/>
      <c r="TWY5077" s="917"/>
      <c r="TWZ5077" s="917"/>
      <c r="TXA5077" s="917"/>
      <c r="TXB5077" s="917"/>
      <c r="TXC5077" s="917"/>
      <c r="TXD5077" s="917"/>
      <c r="TXE5077" s="917"/>
      <c r="TXF5077" s="917"/>
      <c r="TXG5077" s="917"/>
      <c r="TXH5077" s="917"/>
      <c r="TXI5077" s="917"/>
      <c r="TXJ5077" s="917"/>
      <c r="TXK5077" s="917"/>
      <c r="TXL5077" s="917"/>
      <c r="TXM5077" s="917"/>
      <c r="TXN5077" s="917"/>
      <c r="TXO5077" s="917"/>
      <c r="TXP5077" s="917"/>
      <c r="TXQ5077" s="917"/>
      <c r="TXR5077" s="917"/>
      <c r="TXS5077" s="917"/>
      <c r="TXT5077" s="917"/>
      <c r="TXU5077" s="917" t="s">
        <v>78</v>
      </c>
      <c r="TXV5077" s="917"/>
      <c r="TXW5077" s="917"/>
      <c r="TXX5077" s="917"/>
      <c r="TXY5077" s="917"/>
      <c r="TXZ5077" s="917"/>
      <c r="TYA5077" s="917"/>
      <c r="TYB5077" s="917"/>
      <c r="TYC5077" s="917"/>
      <c r="TYD5077" s="917"/>
      <c r="TYE5077" s="917"/>
      <c r="TYF5077" s="917"/>
      <c r="TYG5077" s="917"/>
      <c r="TYH5077" s="917"/>
      <c r="TYI5077" s="917"/>
      <c r="TYJ5077" s="917"/>
      <c r="TYK5077" s="917"/>
      <c r="TYL5077" s="917"/>
      <c r="TYM5077" s="917"/>
      <c r="TYN5077" s="917"/>
      <c r="TYO5077" s="917"/>
      <c r="TYP5077" s="917"/>
      <c r="TYQ5077" s="917"/>
      <c r="TYR5077" s="917"/>
      <c r="TYS5077" s="917"/>
      <c r="TYT5077" s="917"/>
      <c r="TYU5077" s="917"/>
      <c r="TYV5077" s="917"/>
      <c r="TYW5077" s="917"/>
      <c r="TYX5077" s="917"/>
      <c r="TYY5077" s="917"/>
      <c r="TYZ5077" s="917"/>
      <c r="TZA5077" s="917" t="s">
        <v>78</v>
      </c>
      <c r="TZB5077" s="917"/>
      <c r="TZC5077" s="917"/>
      <c r="TZD5077" s="917"/>
      <c r="TZE5077" s="917"/>
      <c r="TZF5077" s="917"/>
      <c r="TZG5077" s="917"/>
      <c r="TZH5077" s="917"/>
      <c r="TZI5077" s="917"/>
      <c r="TZJ5077" s="917"/>
      <c r="TZK5077" s="917"/>
      <c r="TZL5077" s="917"/>
      <c r="TZM5077" s="917"/>
      <c r="TZN5077" s="917"/>
      <c r="TZO5077" s="917"/>
      <c r="TZP5077" s="917"/>
      <c r="TZQ5077" s="917"/>
      <c r="TZR5077" s="917"/>
      <c r="TZS5077" s="917"/>
      <c r="TZT5077" s="917"/>
      <c r="TZU5077" s="917"/>
      <c r="TZV5077" s="917"/>
      <c r="TZW5077" s="917"/>
      <c r="TZX5077" s="917"/>
      <c r="TZY5077" s="917"/>
      <c r="TZZ5077" s="917"/>
      <c r="UAA5077" s="917"/>
      <c r="UAB5077" s="917"/>
      <c r="UAC5077" s="917"/>
      <c r="UAD5077" s="917"/>
      <c r="UAE5077" s="917"/>
      <c r="UAF5077" s="917"/>
      <c r="UAG5077" s="917" t="s">
        <v>78</v>
      </c>
      <c r="UAH5077" s="917"/>
      <c r="UAI5077" s="917"/>
      <c r="UAJ5077" s="917"/>
      <c r="UAK5077" s="917"/>
      <c r="UAL5077" s="917"/>
      <c r="UAM5077" s="917"/>
      <c r="UAN5077" s="917"/>
      <c r="UAO5077" s="917"/>
      <c r="UAP5077" s="917"/>
      <c r="UAQ5077" s="917"/>
      <c r="UAR5077" s="917"/>
      <c r="UAS5077" s="917"/>
      <c r="UAT5077" s="917"/>
      <c r="UAU5077" s="917"/>
      <c r="UAV5077" s="917"/>
      <c r="UAW5077" s="917"/>
      <c r="UAX5077" s="917"/>
      <c r="UAY5077" s="917"/>
      <c r="UAZ5077" s="917"/>
      <c r="UBA5077" s="917"/>
      <c r="UBB5077" s="917"/>
      <c r="UBC5077" s="917"/>
      <c r="UBD5077" s="917"/>
      <c r="UBE5077" s="917"/>
      <c r="UBF5077" s="917"/>
      <c r="UBG5077" s="917"/>
      <c r="UBH5077" s="917"/>
      <c r="UBI5077" s="917"/>
      <c r="UBJ5077" s="917"/>
      <c r="UBK5077" s="917"/>
      <c r="UBL5077" s="917"/>
      <c r="UBM5077" s="917" t="s">
        <v>78</v>
      </c>
      <c r="UBN5077" s="917"/>
      <c r="UBO5077" s="917"/>
      <c r="UBP5077" s="917"/>
      <c r="UBQ5077" s="917"/>
      <c r="UBR5077" s="917"/>
      <c r="UBS5077" s="917"/>
      <c r="UBT5077" s="917"/>
      <c r="UBU5077" s="917"/>
      <c r="UBV5077" s="917"/>
      <c r="UBW5077" s="917"/>
      <c r="UBX5077" s="917"/>
      <c r="UBY5077" s="917"/>
      <c r="UBZ5077" s="917"/>
      <c r="UCA5077" s="917"/>
      <c r="UCB5077" s="917"/>
      <c r="UCC5077" s="917"/>
      <c r="UCD5077" s="917"/>
      <c r="UCE5077" s="917"/>
      <c r="UCF5077" s="917"/>
      <c r="UCG5077" s="917"/>
      <c r="UCH5077" s="917"/>
      <c r="UCI5077" s="917"/>
      <c r="UCJ5077" s="917"/>
      <c r="UCK5077" s="917"/>
      <c r="UCL5077" s="917"/>
      <c r="UCM5077" s="917"/>
      <c r="UCN5077" s="917"/>
      <c r="UCO5077" s="917"/>
      <c r="UCP5077" s="917"/>
      <c r="UCQ5077" s="917"/>
      <c r="UCR5077" s="917"/>
      <c r="UCS5077" s="917" t="s">
        <v>78</v>
      </c>
      <c r="UCT5077" s="917"/>
      <c r="UCU5077" s="917"/>
      <c r="UCV5077" s="917"/>
      <c r="UCW5077" s="917"/>
      <c r="UCX5077" s="917"/>
      <c r="UCY5077" s="917"/>
      <c r="UCZ5077" s="917"/>
      <c r="UDA5077" s="917"/>
      <c r="UDB5077" s="917"/>
      <c r="UDC5077" s="917"/>
      <c r="UDD5077" s="917"/>
      <c r="UDE5077" s="917"/>
      <c r="UDF5077" s="917"/>
      <c r="UDG5077" s="917"/>
      <c r="UDH5077" s="917"/>
      <c r="UDI5077" s="917"/>
      <c r="UDJ5077" s="917"/>
      <c r="UDK5077" s="917"/>
      <c r="UDL5077" s="917"/>
      <c r="UDM5077" s="917"/>
      <c r="UDN5077" s="917"/>
      <c r="UDO5077" s="917"/>
      <c r="UDP5077" s="917"/>
      <c r="UDQ5077" s="917"/>
      <c r="UDR5077" s="917"/>
      <c r="UDS5077" s="917"/>
      <c r="UDT5077" s="917"/>
      <c r="UDU5077" s="917"/>
      <c r="UDV5077" s="917"/>
      <c r="UDW5077" s="917"/>
      <c r="UDX5077" s="917"/>
      <c r="UDY5077" s="917" t="s">
        <v>78</v>
      </c>
      <c r="UDZ5077" s="917"/>
      <c r="UEA5077" s="917"/>
      <c r="UEB5077" s="917"/>
      <c r="UEC5077" s="917"/>
      <c r="UED5077" s="917"/>
      <c r="UEE5077" s="917"/>
      <c r="UEF5077" s="917"/>
      <c r="UEG5077" s="917"/>
      <c r="UEH5077" s="917"/>
      <c r="UEI5077" s="917"/>
      <c r="UEJ5077" s="917"/>
      <c r="UEK5077" s="917"/>
      <c r="UEL5077" s="917"/>
      <c r="UEM5077" s="917"/>
      <c r="UEN5077" s="917"/>
      <c r="UEO5077" s="917"/>
      <c r="UEP5077" s="917"/>
      <c r="UEQ5077" s="917"/>
      <c r="UER5077" s="917"/>
      <c r="UES5077" s="917"/>
      <c r="UET5077" s="917"/>
      <c r="UEU5077" s="917"/>
      <c r="UEV5077" s="917"/>
      <c r="UEW5077" s="917"/>
      <c r="UEX5077" s="917"/>
      <c r="UEY5077" s="917"/>
      <c r="UEZ5077" s="917"/>
      <c r="UFA5077" s="917"/>
      <c r="UFB5077" s="917"/>
      <c r="UFC5077" s="917"/>
      <c r="UFD5077" s="917"/>
      <c r="UFE5077" s="917" t="s">
        <v>78</v>
      </c>
      <c r="UFF5077" s="917"/>
      <c r="UFG5077" s="917"/>
      <c r="UFH5077" s="917"/>
      <c r="UFI5077" s="917"/>
      <c r="UFJ5077" s="917"/>
      <c r="UFK5077" s="917"/>
      <c r="UFL5077" s="917"/>
      <c r="UFM5077" s="917"/>
      <c r="UFN5077" s="917"/>
      <c r="UFO5077" s="917"/>
      <c r="UFP5077" s="917"/>
      <c r="UFQ5077" s="917"/>
      <c r="UFR5077" s="917"/>
      <c r="UFS5077" s="917"/>
      <c r="UFT5077" s="917"/>
      <c r="UFU5077" s="917"/>
      <c r="UFV5077" s="917"/>
      <c r="UFW5077" s="917"/>
      <c r="UFX5077" s="917"/>
      <c r="UFY5077" s="917"/>
      <c r="UFZ5077" s="917"/>
      <c r="UGA5077" s="917"/>
      <c r="UGB5077" s="917"/>
      <c r="UGC5077" s="917"/>
      <c r="UGD5077" s="917"/>
      <c r="UGE5077" s="917"/>
      <c r="UGF5077" s="917"/>
      <c r="UGG5077" s="917"/>
      <c r="UGH5077" s="917"/>
      <c r="UGI5077" s="917"/>
      <c r="UGJ5077" s="917"/>
      <c r="UGK5077" s="917" t="s">
        <v>78</v>
      </c>
      <c r="UGL5077" s="917"/>
      <c r="UGM5077" s="917"/>
      <c r="UGN5077" s="917"/>
      <c r="UGO5077" s="917"/>
      <c r="UGP5077" s="917"/>
      <c r="UGQ5077" s="917"/>
      <c r="UGR5077" s="917"/>
      <c r="UGS5077" s="917"/>
      <c r="UGT5077" s="917"/>
      <c r="UGU5077" s="917"/>
      <c r="UGV5077" s="917"/>
      <c r="UGW5077" s="917"/>
      <c r="UGX5077" s="917"/>
      <c r="UGY5077" s="917"/>
      <c r="UGZ5077" s="917"/>
      <c r="UHA5077" s="917"/>
      <c r="UHB5077" s="917"/>
      <c r="UHC5077" s="917"/>
      <c r="UHD5077" s="917"/>
      <c r="UHE5077" s="917"/>
      <c r="UHF5077" s="917"/>
      <c r="UHG5077" s="917"/>
      <c r="UHH5077" s="917"/>
      <c r="UHI5077" s="917"/>
      <c r="UHJ5077" s="917"/>
      <c r="UHK5077" s="917"/>
      <c r="UHL5077" s="917"/>
      <c r="UHM5077" s="917"/>
      <c r="UHN5077" s="917"/>
      <c r="UHO5077" s="917"/>
      <c r="UHP5077" s="917"/>
      <c r="UHQ5077" s="917" t="s">
        <v>78</v>
      </c>
      <c r="UHR5077" s="917"/>
      <c r="UHS5077" s="917"/>
      <c r="UHT5077" s="917"/>
      <c r="UHU5077" s="917"/>
      <c r="UHV5077" s="917"/>
      <c r="UHW5077" s="917"/>
      <c r="UHX5077" s="917"/>
      <c r="UHY5077" s="917"/>
      <c r="UHZ5077" s="917"/>
      <c r="UIA5077" s="917"/>
      <c r="UIB5077" s="917"/>
      <c r="UIC5077" s="917"/>
      <c r="UID5077" s="917"/>
      <c r="UIE5077" s="917"/>
      <c r="UIF5077" s="917"/>
      <c r="UIG5077" s="917"/>
      <c r="UIH5077" s="917"/>
      <c r="UII5077" s="917"/>
      <c r="UIJ5077" s="917"/>
      <c r="UIK5077" s="917"/>
      <c r="UIL5077" s="917"/>
      <c r="UIM5077" s="917"/>
      <c r="UIN5077" s="917"/>
      <c r="UIO5077" s="917"/>
      <c r="UIP5077" s="917"/>
      <c r="UIQ5077" s="917"/>
      <c r="UIR5077" s="917"/>
      <c r="UIS5077" s="917"/>
      <c r="UIT5077" s="917"/>
      <c r="UIU5077" s="917"/>
      <c r="UIV5077" s="917"/>
      <c r="UIW5077" s="917" t="s">
        <v>78</v>
      </c>
      <c r="UIX5077" s="917"/>
      <c r="UIY5077" s="917"/>
      <c r="UIZ5077" s="917"/>
      <c r="UJA5077" s="917"/>
      <c r="UJB5077" s="917"/>
      <c r="UJC5077" s="917"/>
      <c r="UJD5077" s="917"/>
      <c r="UJE5077" s="917"/>
      <c r="UJF5077" s="917"/>
      <c r="UJG5077" s="917"/>
      <c r="UJH5077" s="917"/>
      <c r="UJI5077" s="917"/>
      <c r="UJJ5077" s="917"/>
      <c r="UJK5077" s="917"/>
      <c r="UJL5077" s="917"/>
      <c r="UJM5077" s="917"/>
      <c r="UJN5077" s="917"/>
      <c r="UJO5077" s="917"/>
      <c r="UJP5077" s="917"/>
      <c r="UJQ5077" s="917"/>
      <c r="UJR5077" s="917"/>
      <c r="UJS5077" s="917"/>
      <c r="UJT5077" s="917"/>
      <c r="UJU5077" s="917"/>
      <c r="UJV5077" s="917"/>
      <c r="UJW5077" s="917"/>
      <c r="UJX5077" s="917"/>
      <c r="UJY5077" s="917"/>
      <c r="UJZ5077" s="917"/>
      <c r="UKA5077" s="917"/>
      <c r="UKB5077" s="917"/>
      <c r="UKC5077" s="917" t="s">
        <v>78</v>
      </c>
      <c r="UKD5077" s="917"/>
      <c r="UKE5077" s="917"/>
      <c r="UKF5077" s="917"/>
      <c r="UKG5077" s="917"/>
      <c r="UKH5077" s="917"/>
      <c r="UKI5077" s="917"/>
      <c r="UKJ5077" s="917"/>
      <c r="UKK5077" s="917"/>
      <c r="UKL5077" s="917"/>
      <c r="UKM5077" s="917"/>
      <c r="UKN5077" s="917"/>
      <c r="UKO5077" s="917"/>
      <c r="UKP5077" s="917"/>
      <c r="UKQ5077" s="917"/>
      <c r="UKR5077" s="917"/>
      <c r="UKS5077" s="917"/>
      <c r="UKT5077" s="917"/>
      <c r="UKU5077" s="917"/>
      <c r="UKV5077" s="917"/>
      <c r="UKW5077" s="917"/>
      <c r="UKX5077" s="917"/>
      <c r="UKY5077" s="917"/>
      <c r="UKZ5077" s="917"/>
      <c r="ULA5077" s="917"/>
      <c r="ULB5077" s="917"/>
      <c r="ULC5077" s="917"/>
      <c r="ULD5077" s="917"/>
      <c r="ULE5077" s="917"/>
      <c r="ULF5077" s="917"/>
      <c r="ULG5077" s="917"/>
      <c r="ULH5077" s="917"/>
      <c r="ULI5077" s="917" t="s">
        <v>78</v>
      </c>
      <c r="ULJ5077" s="917"/>
      <c r="ULK5077" s="917"/>
      <c r="ULL5077" s="917"/>
      <c r="ULM5077" s="917"/>
      <c r="ULN5077" s="917"/>
      <c r="ULO5077" s="917"/>
      <c r="ULP5077" s="917"/>
      <c r="ULQ5077" s="917"/>
      <c r="ULR5077" s="917"/>
      <c r="ULS5077" s="917"/>
      <c r="ULT5077" s="917"/>
      <c r="ULU5077" s="917"/>
      <c r="ULV5077" s="917"/>
      <c r="ULW5077" s="917"/>
      <c r="ULX5077" s="917"/>
      <c r="ULY5077" s="917"/>
      <c r="ULZ5077" s="917"/>
      <c r="UMA5077" s="917"/>
      <c r="UMB5077" s="917"/>
      <c r="UMC5077" s="917"/>
      <c r="UMD5077" s="917"/>
      <c r="UME5077" s="917"/>
      <c r="UMF5077" s="917"/>
      <c r="UMG5077" s="917"/>
      <c r="UMH5077" s="917"/>
      <c r="UMI5077" s="917"/>
      <c r="UMJ5077" s="917"/>
      <c r="UMK5077" s="917"/>
      <c r="UML5077" s="917"/>
      <c r="UMM5077" s="917"/>
      <c r="UMN5077" s="917"/>
      <c r="UMO5077" s="917" t="s">
        <v>78</v>
      </c>
      <c r="UMP5077" s="917"/>
      <c r="UMQ5077" s="917"/>
      <c r="UMR5077" s="917"/>
      <c r="UMS5077" s="917"/>
      <c r="UMT5077" s="917"/>
      <c r="UMU5077" s="917"/>
      <c r="UMV5077" s="917"/>
      <c r="UMW5077" s="917"/>
      <c r="UMX5077" s="917"/>
      <c r="UMY5077" s="917"/>
      <c r="UMZ5077" s="917"/>
      <c r="UNA5077" s="917"/>
      <c r="UNB5077" s="917"/>
      <c r="UNC5077" s="917"/>
      <c r="UND5077" s="917"/>
      <c r="UNE5077" s="917"/>
      <c r="UNF5077" s="917"/>
      <c r="UNG5077" s="917"/>
      <c r="UNH5077" s="917"/>
      <c r="UNI5077" s="917"/>
      <c r="UNJ5077" s="917"/>
      <c r="UNK5077" s="917"/>
      <c r="UNL5077" s="917"/>
      <c r="UNM5077" s="917"/>
      <c r="UNN5077" s="917"/>
      <c r="UNO5077" s="917"/>
      <c r="UNP5077" s="917"/>
      <c r="UNQ5077" s="917"/>
      <c r="UNR5077" s="917"/>
      <c r="UNS5077" s="917"/>
      <c r="UNT5077" s="917"/>
      <c r="UNU5077" s="917" t="s">
        <v>78</v>
      </c>
      <c r="UNV5077" s="917"/>
      <c r="UNW5077" s="917"/>
      <c r="UNX5077" s="917"/>
      <c r="UNY5077" s="917"/>
      <c r="UNZ5077" s="917"/>
      <c r="UOA5077" s="917"/>
      <c r="UOB5077" s="917"/>
      <c r="UOC5077" s="917"/>
      <c r="UOD5077" s="917"/>
      <c r="UOE5077" s="917"/>
      <c r="UOF5077" s="917"/>
      <c r="UOG5077" s="917"/>
      <c r="UOH5077" s="917"/>
      <c r="UOI5077" s="917"/>
      <c r="UOJ5077" s="917"/>
      <c r="UOK5077" s="917"/>
      <c r="UOL5077" s="917"/>
      <c r="UOM5077" s="917"/>
      <c r="UON5077" s="917"/>
      <c r="UOO5077" s="917"/>
      <c r="UOP5077" s="917"/>
      <c r="UOQ5077" s="917"/>
      <c r="UOR5077" s="917"/>
      <c r="UOS5077" s="917"/>
      <c r="UOT5077" s="917"/>
      <c r="UOU5077" s="917"/>
      <c r="UOV5077" s="917"/>
      <c r="UOW5077" s="917"/>
      <c r="UOX5077" s="917"/>
      <c r="UOY5077" s="917"/>
      <c r="UOZ5077" s="917"/>
      <c r="UPA5077" s="917" t="s">
        <v>78</v>
      </c>
      <c r="UPB5077" s="917"/>
      <c r="UPC5077" s="917"/>
      <c r="UPD5077" s="917"/>
      <c r="UPE5077" s="917"/>
      <c r="UPF5077" s="917"/>
      <c r="UPG5077" s="917"/>
      <c r="UPH5077" s="917"/>
      <c r="UPI5077" s="917"/>
      <c r="UPJ5077" s="917"/>
      <c r="UPK5077" s="917"/>
      <c r="UPL5077" s="917"/>
      <c r="UPM5077" s="917"/>
      <c r="UPN5077" s="917"/>
      <c r="UPO5077" s="917"/>
      <c r="UPP5077" s="917"/>
      <c r="UPQ5077" s="917"/>
      <c r="UPR5077" s="917"/>
      <c r="UPS5077" s="917"/>
      <c r="UPT5077" s="917"/>
      <c r="UPU5077" s="917"/>
      <c r="UPV5077" s="917"/>
      <c r="UPW5077" s="917"/>
      <c r="UPX5077" s="917"/>
      <c r="UPY5077" s="917"/>
      <c r="UPZ5077" s="917"/>
      <c r="UQA5077" s="917"/>
      <c r="UQB5077" s="917"/>
      <c r="UQC5077" s="917"/>
      <c r="UQD5077" s="917"/>
      <c r="UQE5077" s="917"/>
      <c r="UQF5077" s="917"/>
      <c r="UQG5077" s="917" t="s">
        <v>78</v>
      </c>
      <c r="UQH5077" s="917"/>
      <c r="UQI5077" s="917"/>
      <c r="UQJ5077" s="917"/>
      <c r="UQK5077" s="917"/>
      <c r="UQL5077" s="917"/>
      <c r="UQM5077" s="917"/>
      <c r="UQN5077" s="917"/>
      <c r="UQO5077" s="917"/>
      <c r="UQP5077" s="917"/>
      <c r="UQQ5077" s="917"/>
      <c r="UQR5077" s="917"/>
      <c r="UQS5077" s="917"/>
      <c r="UQT5077" s="917"/>
      <c r="UQU5077" s="917"/>
      <c r="UQV5077" s="917"/>
      <c r="UQW5077" s="917"/>
      <c r="UQX5077" s="917"/>
      <c r="UQY5077" s="917"/>
      <c r="UQZ5077" s="917"/>
      <c r="URA5077" s="917"/>
      <c r="URB5077" s="917"/>
      <c r="URC5077" s="917"/>
      <c r="URD5077" s="917"/>
      <c r="URE5077" s="917"/>
      <c r="URF5077" s="917"/>
      <c r="URG5077" s="917"/>
      <c r="URH5077" s="917"/>
      <c r="URI5077" s="917"/>
      <c r="URJ5077" s="917"/>
      <c r="URK5077" s="917"/>
      <c r="URL5077" s="917"/>
      <c r="URM5077" s="917" t="s">
        <v>78</v>
      </c>
      <c r="URN5077" s="917"/>
      <c r="URO5077" s="917"/>
      <c r="URP5077" s="917"/>
      <c r="URQ5077" s="917"/>
      <c r="URR5077" s="917"/>
      <c r="URS5077" s="917"/>
      <c r="URT5077" s="917"/>
      <c r="URU5077" s="917"/>
      <c r="URV5077" s="917"/>
      <c r="URW5077" s="917"/>
      <c r="URX5077" s="917"/>
      <c r="URY5077" s="917"/>
      <c r="URZ5077" s="917"/>
      <c r="USA5077" s="917"/>
      <c r="USB5077" s="917"/>
      <c r="USC5077" s="917"/>
      <c r="USD5077" s="917"/>
      <c r="USE5077" s="917"/>
      <c r="USF5077" s="917"/>
      <c r="USG5077" s="917"/>
      <c r="USH5077" s="917"/>
      <c r="USI5077" s="917"/>
      <c r="USJ5077" s="917"/>
      <c r="USK5077" s="917"/>
      <c r="USL5077" s="917"/>
      <c r="USM5077" s="917"/>
      <c r="USN5077" s="917"/>
      <c r="USO5077" s="917"/>
      <c r="USP5077" s="917"/>
      <c r="USQ5077" s="917"/>
      <c r="USR5077" s="917"/>
      <c r="USS5077" s="917" t="s">
        <v>78</v>
      </c>
      <c r="UST5077" s="917"/>
      <c r="USU5077" s="917"/>
      <c r="USV5077" s="917"/>
      <c r="USW5077" s="917"/>
      <c r="USX5077" s="917"/>
      <c r="USY5077" s="917"/>
      <c r="USZ5077" s="917"/>
      <c r="UTA5077" s="917"/>
      <c r="UTB5077" s="917"/>
      <c r="UTC5077" s="917"/>
      <c r="UTD5077" s="917"/>
      <c r="UTE5077" s="917"/>
      <c r="UTF5077" s="917"/>
      <c r="UTG5077" s="917"/>
      <c r="UTH5077" s="917"/>
      <c r="UTI5077" s="917"/>
      <c r="UTJ5077" s="917"/>
      <c r="UTK5077" s="917"/>
      <c r="UTL5077" s="917"/>
      <c r="UTM5077" s="917"/>
      <c r="UTN5077" s="917"/>
      <c r="UTO5077" s="917"/>
      <c r="UTP5077" s="917"/>
      <c r="UTQ5077" s="917"/>
      <c r="UTR5077" s="917"/>
      <c r="UTS5077" s="917"/>
      <c r="UTT5077" s="917"/>
      <c r="UTU5077" s="917"/>
      <c r="UTV5077" s="917"/>
      <c r="UTW5077" s="917"/>
      <c r="UTX5077" s="917"/>
      <c r="UTY5077" s="917" t="s">
        <v>78</v>
      </c>
      <c r="UTZ5077" s="917"/>
      <c r="UUA5077" s="917"/>
      <c r="UUB5077" s="917"/>
      <c r="UUC5077" s="917"/>
      <c r="UUD5077" s="917"/>
      <c r="UUE5077" s="917"/>
      <c r="UUF5077" s="917"/>
      <c r="UUG5077" s="917"/>
      <c r="UUH5077" s="917"/>
      <c r="UUI5077" s="917"/>
      <c r="UUJ5077" s="917"/>
      <c r="UUK5077" s="917"/>
      <c r="UUL5077" s="917"/>
      <c r="UUM5077" s="917"/>
      <c r="UUN5077" s="917"/>
      <c r="UUO5077" s="917"/>
      <c r="UUP5077" s="917"/>
      <c r="UUQ5077" s="917"/>
      <c r="UUR5077" s="917"/>
      <c r="UUS5077" s="917"/>
      <c r="UUT5077" s="917"/>
      <c r="UUU5077" s="917"/>
      <c r="UUV5077" s="917"/>
      <c r="UUW5077" s="917"/>
      <c r="UUX5077" s="917"/>
      <c r="UUY5077" s="917"/>
      <c r="UUZ5077" s="917"/>
      <c r="UVA5077" s="917"/>
      <c r="UVB5077" s="917"/>
      <c r="UVC5077" s="917"/>
      <c r="UVD5077" s="917"/>
      <c r="UVE5077" s="917" t="s">
        <v>78</v>
      </c>
      <c r="UVF5077" s="917"/>
      <c r="UVG5077" s="917"/>
      <c r="UVH5077" s="917"/>
      <c r="UVI5077" s="917"/>
      <c r="UVJ5077" s="917"/>
      <c r="UVK5077" s="917"/>
      <c r="UVL5077" s="917"/>
      <c r="UVM5077" s="917"/>
      <c r="UVN5077" s="917"/>
      <c r="UVO5077" s="917"/>
      <c r="UVP5077" s="917"/>
      <c r="UVQ5077" s="917"/>
      <c r="UVR5077" s="917"/>
      <c r="UVS5077" s="917"/>
      <c r="UVT5077" s="917"/>
      <c r="UVU5077" s="917"/>
      <c r="UVV5077" s="917"/>
      <c r="UVW5077" s="917"/>
      <c r="UVX5077" s="917"/>
      <c r="UVY5077" s="917"/>
      <c r="UVZ5077" s="917"/>
      <c r="UWA5077" s="917"/>
      <c r="UWB5077" s="917"/>
      <c r="UWC5077" s="917"/>
      <c r="UWD5077" s="917"/>
      <c r="UWE5077" s="917"/>
      <c r="UWF5077" s="917"/>
      <c r="UWG5077" s="917"/>
      <c r="UWH5077" s="917"/>
      <c r="UWI5077" s="917"/>
      <c r="UWJ5077" s="917"/>
      <c r="UWK5077" s="917" t="s">
        <v>78</v>
      </c>
      <c r="UWL5077" s="917"/>
      <c r="UWM5077" s="917"/>
      <c r="UWN5077" s="917"/>
      <c r="UWO5077" s="917"/>
      <c r="UWP5077" s="917"/>
      <c r="UWQ5077" s="917"/>
      <c r="UWR5077" s="917"/>
      <c r="UWS5077" s="917"/>
      <c r="UWT5077" s="917"/>
      <c r="UWU5077" s="917"/>
      <c r="UWV5077" s="917"/>
      <c r="UWW5077" s="917"/>
      <c r="UWX5077" s="917"/>
      <c r="UWY5077" s="917"/>
      <c r="UWZ5077" s="917"/>
      <c r="UXA5077" s="917"/>
      <c r="UXB5077" s="917"/>
      <c r="UXC5077" s="917"/>
      <c r="UXD5077" s="917"/>
      <c r="UXE5077" s="917"/>
      <c r="UXF5077" s="917"/>
      <c r="UXG5077" s="917"/>
      <c r="UXH5077" s="917"/>
      <c r="UXI5077" s="917"/>
      <c r="UXJ5077" s="917"/>
      <c r="UXK5077" s="917"/>
      <c r="UXL5077" s="917"/>
      <c r="UXM5077" s="917"/>
      <c r="UXN5077" s="917"/>
      <c r="UXO5077" s="917"/>
      <c r="UXP5077" s="917"/>
      <c r="UXQ5077" s="917" t="s">
        <v>78</v>
      </c>
      <c r="UXR5077" s="917"/>
      <c r="UXS5077" s="917"/>
      <c r="UXT5077" s="917"/>
      <c r="UXU5077" s="917"/>
      <c r="UXV5077" s="917"/>
      <c r="UXW5077" s="917"/>
      <c r="UXX5077" s="917"/>
      <c r="UXY5077" s="917"/>
      <c r="UXZ5077" s="917"/>
      <c r="UYA5077" s="917"/>
      <c r="UYB5077" s="917"/>
      <c r="UYC5077" s="917"/>
      <c r="UYD5077" s="917"/>
      <c r="UYE5077" s="917"/>
      <c r="UYF5077" s="917"/>
      <c r="UYG5077" s="917"/>
      <c r="UYH5077" s="917"/>
      <c r="UYI5077" s="917"/>
      <c r="UYJ5077" s="917"/>
      <c r="UYK5077" s="917"/>
      <c r="UYL5077" s="917"/>
      <c r="UYM5077" s="917"/>
      <c r="UYN5077" s="917"/>
      <c r="UYO5077" s="917"/>
      <c r="UYP5077" s="917"/>
      <c r="UYQ5077" s="917"/>
      <c r="UYR5077" s="917"/>
      <c r="UYS5077" s="917"/>
      <c r="UYT5077" s="917"/>
      <c r="UYU5077" s="917"/>
      <c r="UYV5077" s="917"/>
      <c r="UYW5077" s="917" t="s">
        <v>78</v>
      </c>
      <c r="UYX5077" s="917"/>
      <c r="UYY5077" s="917"/>
      <c r="UYZ5077" s="917"/>
      <c r="UZA5077" s="917"/>
      <c r="UZB5077" s="917"/>
      <c r="UZC5077" s="917"/>
      <c r="UZD5077" s="917"/>
      <c r="UZE5077" s="917"/>
      <c r="UZF5077" s="917"/>
      <c r="UZG5077" s="917"/>
      <c r="UZH5077" s="917"/>
      <c r="UZI5077" s="917"/>
      <c r="UZJ5077" s="917"/>
      <c r="UZK5077" s="917"/>
      <c r="UZL5077" s="917"/>
      <c r="UZM5077" s="917"/>
      <c r="UZN5077" s="917"/>
      <c r="UZO5077" s="917"/>
      <c r="UZP5077" s="917"/>
      <c r="UZQ5077" s="917"/>
      <c r="UZR5077" s="917"/>
      <c r="UZS5077" s="917"/>
      <c r="UZT5077" s="917"/>
      <c r="UZU5077" s="917"/>
      <c r="UZV5077" s="917"/>
      <c r="UZW5077" s="917"/>
      <c r="UZX5077" s="917"/>
      <c r="UZY5077" s="917"/>
      <c r="UZZ5077" s="917"/>
      <c r="VAA5077" s="917"/>
      <c r="VAB5077" s="917"/>
      <c r="VAC5077" s="917" t="s">
        <v>78</v>
      </c>
      <c r="VAD5077" s="917"/>
      <c r="VAE5077" s="917"/>
      <c r="VAF5077" s="917"/>
      <c r="VAG5077" s="917"/>
      <c r="VAH5077" s="917"/>
      <c r="VAI5077" s="917"/>
      <c r="VAJ5077" s="917"/>
      <c r="VAK5077" s="917"/>
      <c r="VAL5077" s="917"/>
      <c r="VAM5077" s="917"/>
      <c r="VAN5077" s="917"/>
      <c r="VAO5077" s="917"/>
      <c r="VAP5077" s="917"/>
      <c r="VAQ5077" s="917"/>
      <c r="VAR5077" s="917"/>
      <c r="VAS5077" s="917"/>
      <c r="VAT5077" s="917"/>
      <c r="VAU5077" s="917"/>
      <c r="VAV5077" s="917"/>
      <c r="VAW5077" s="917"/>
      <c r="VAX5077" s="917"/>
      <c r="VAY5077" s="917"/>
      <c r="VAZ5077" s="917"/>
      <c r="VBA5077" s="917"/>
      <c r="VBB5077" s="917"/>
      <c r="VBC5077" s="917"/>
      <c r="VBD5077" s="917"/>
      <c r="VBE5077" s="917"/>
      <c r="VBF5077" s="917"/>
      <c r="VBG5077" s="917"/>
      <c r="VBH5077" s="917"/>
      <c r="VBI5077" s="917" t="s">
        <v>78</v>
      </c>
      <c r="VBJ5077" s="917"/>
      <c r="VBK5077" s="917"/>
      <c r="VBL5077" s="917"/>
      <c r="VBM5077" s="917"/>
      <c r="VBN5077" s="917"/>
      <c r="VBO5077" s="917"/>
      <c r="VBP5077" s="917"/>
      <c r="VBQ5077" s="917"/>
      <c r="VBR5077" s="917"/>
      <c r="VBS5077" s="917"/>
      <c r="VBT5077" s="917"/>
      <c r="VBU5077" s="917"/>
      <c r="VBV5077" s="917"/>
      <c r="VBW5077" s="917"/>
      <c r="VBX5077" s="917"/>
      <c r="VBY5077" s="917"/>
      <c r="VBZ5077" s="917"/>
      <c r="VCA5077" s="917"/>
      <c r="VCB5077" s="917"/>
      <c r="VCC5077" s="917"/>
      <c r="VCD5077" s="917"/>
      <c r="VCE5077" s="917"/>
      <c r="VCF5077" s="917"/>
      <c r="VCG5077" s="917"/>
      <c r="VCH5077" s="917"/>
      <c r="VCI5077" s="917"/>
      <c r="VCJ5077" s="917"/>
      <c r="VCK5077" s="917"/>
      <c r="VCL5077" s="917"/>
      <c r="VCM5077" s="917"/>
      <c r="VCN5077" s="917"/>
      <c r="VCO5077" s="917" t="s">
        <v>78</v>
      </c>
      <c r="VCP5077" s="917"/>
      <c r="VCQ5077" s="917"/>
      <c r="VCR5077" s="917"/>
      <c r="VCS5077" s="917"/>
      <c r="VCT5077" s="917"/>
      <c r="VCU5077" s="917"/>
      <c r="VCV5077" s="917"/>
      <c r="VCW5077" s="917"/>
      <c r="VCX5077" s="917"/>
      <c r="VCY5077" s="917"/>
      <c r="VCZ5077" s="917"/>
      <c r="VDA5077" s="917"/>
      <c r="VDB5077" s="917"/>
      <c r="VDC5077" s="917"/>
      <c r="VDD5077" s="917"/>
      <c r="VDE5077" s="917"/>
      <c r="VDF5077" s="917"/>
      <c r="VDG5077" s="917"/>
      <c r="VDH5077" s="917"/>
      <c r="VDI5077" s="917"/>
      <c r="VDJ5077" s="917"/>
      <c r="VDK5077" s="917"/>
      <c r="VDL5077" s="917"/>
      <c r="VDM5077" s="917"/>
      <c r="VDN5077" s="917"/>
      <c r="VDO5077" s="917"/>
      <c r="VDP5077" s="917"/>
      <c r="VDQ5077" s="917"/>
      <c r="VDR5077" s="917"/>
      <c r="VDS5077" s="917"/>
      <c r="VDT5077" s="917"/>
      <c r="VDU5077" s="917" t="s">
        <v>78</v>
      </c>
      <c r="VDV5077" s="917"/>
      <c r="VDW5077" s="917"/>
      <c r="VDX5077" s="917"/>
      <c r="VDY5077" s="917"/>
      <c r="VDZ5077" s="917"/>
      <c r="VEA5077" s="917"/>
      <c r="VEB5077" s="917"/>
      <c r="VEC5077" s="917"/>
      <c r="VED5077" s="917"/>
      <c r="VEE5077" s="917"/>
      <c r="VEF5077" s="917"/>
      <c r="VEG5077" s="917"/>
      <c r="VEH5077" s="917"/>
      <c r="VEI5077" s="917"/>
      <c r="VEJ5077" s="917"/>
      <c r="VEK5077" s="917"/>
      <c r="VEL5077" s="917"/>
      <c r="VEM5077" s="917"/>
      <c r="VEN5077" s="917"/>
      <c r="VEO5077" s="917"/>
      <c r="VEP5077" s="917"/>
      <c r="VEQ5077" s="917"/>
      <c r="VER5077" s="917"/>
      <c r="VES5077" s="917"/>
      <c r="VET5077" s="917"/>
      <c r="VEU5077" s="917"/>
      <c r="VEV5077" s="917"/>
      <c r="VEW5077" s="917"/>
      <c r="VEX5077" s="917"/>
      <c r="VEY5077" s="917"/>
      <c r="VEZ5077" s="917"/>
      <c r="VFA5077" s="917" t="s">
        <v>78</v>
      </c>
      <c r="VFB5077" s="917"/>
      <c r="VFC5077" s="917"/>
      <c r="VFD5077" s="917"/>
      <c r="VFE5077" s="917"/>
      <c r="VFF5077" s="917"/>
      <c r="VFG5077" s="917"/>
      <c r="VFH5077" s="917"/>
      <c r="VFI5077" s="917"/>
      <c r="VFJ5077" s="917"/>
      <c r="VFK5077" s="917"/>
      <c r="VFL5077" s="917"/>
      <c r="VFM5077" s="917"/>
      <c r="VFN5077" s="917"/>
      <c r="VFO5077" s="917"/>
      <c r="VFP5077" s="917"/>
      <c r="VFQ5077" s="917"/>
      <c r="VFR5077" s="917"/>
      <c r="VFS5077" s="917"/>
      <c r="VFT5077" s="917"/>
      <c r="VFU5077" s="917"/>
      <c r="VFV5077" s="917"/>
      <c r="VFW5077" s="917"/>
      <c r="VFX5077" s="917"/>
      <c r="VFY5077" s="917"/>
      <c r="VFZ5077" s="917"/>
      <c r="VGA5077" s="917"/>
      <c r="VGB5077" s="917"/>
      <c r="VGC5077" s="917"/>
      <c r="VGD5077" s="917"/>
      <c r="VGE5077" s="917"/>
      <c r="VGF5077" s="917"/>
      <c r="VGG5077" s="917" t="s">
        <v>78</v>
      </c>
      <c r="VGH5077" s="917"/>
      <c r="VGI5077" s="917"/>
      <c r="VGJ5077" s="917"/>
      <c r="VGK5077" s="917"/>
      <c r="VGL5077" s="917"/>
      <c r="VGM5077" s="917"/>
      <c r="VGN5077" s="917"/>
      <c r="VGO5077" s="917"/>
      <c r="VGP5077" s="917"/>
      <c r="VGQ5077" s="917"/>
      <c r="VGR5077" s="917"/>
      <c r="VGS5077" s="917"/>
      <c r="VGT5077" s="917"/>
      <c r="VGU5077" s="917"/>
      <c r="VGV5077" s="917"/>
      <c r="VGW5077" s="917"/>
      <c r="VGX5077" s="917"/>
      <c r="VGY5077" s="917"/>
      <c r="VGZ5077" s="917"/>
      <c r="VHA5077" s="917"/>
      <c r="VHB5077" s="917"/>
      <c r="VHC5077" s="917"/>
      <c r="VHD5077" s="917"/>
      <c r="VHE5077" s="917"/>
      <c r="VHF5077" s="917"/>
      <c r="VHG5077" s="917"/>
      <c r="VHH5077" s="917"/>
      <c r="VHI5077" s="917"/>
      <c r="VHJ5077" s="917"/>
      <c r="VHK5077" s="917"/>
      <c r="VHL5077" s="917"/>
      <c r="VHM5077" s="917" t="s">
        <v>78</v>
      </c>
      <c r="VHN5077" s="917"/>
      <c r="VHO5077" s="917"/>
      <c r="VHP5077" s="917"/>
      <c r="VHQ5077" s="917"/>
      <c r="VHR5077" s="917"/>
      <c r="VHS5077" s="917"/>
      <c r="VHT5077" s="917"/>
      <c r="VHU5077" s="917"/>
      <c r="VHV5077" s="917"/>
      <c r="VHW5077" s="917"/>
      <c r="VHX5077" s="917"/>
      <c r="VHY5077" s="917"/>
      <c r="VHZ5077" s="917"/>
      <c r="VIA5077" s="917"/>
      <c r="VIB5077" s="917"/>
      <c r="VIC5077" s="917"/>
      <c r="VID5077" s="917"/>
      <c r="VIE5077" s="917"/>
      <c r="VIF5077" s="917"/>
      <c r="VIG5077" s="917"/>
      <c r="VIH5077" s="917"/>
      <c r="VII5077" s="917"/>
      <c r="VIJ5077" s="917"/>
      <c r="VIK5077" s="917"/>
      <c r="VIL5077" s="917"/>
      <c r="VIM5077" s="917"/>
      <c r="VIN5077" s="917"/>
      <c r="VIO5077" s="917"/>
      <c r="VIP5077" s="917"/>
      <c r="VIQ5077" s="917"/>
      <c r="VIR5077" s="917"/>
      <c r="VIS5077" s="917" t="s">
        <v>78</v>
      </c>
      <c r="VIT5077" s="917"/>
      <c r="VIU5077" s="917"/>
      <c r="VIV5077" s="917"/>
      <c r="VIW5077" s="917"/>
      <c r="VIX5077" s="917"/>
      <c r="VIY5077" s="917"/>
      <c r="VIZ5077" s="917"/>
      <c r="VJA5077" s="917"/>
      <c r="VJB5077" s="917"/>
      <c r="VJC5077" s="917"/>
      <c r="VJD5077" s="917"/>
      <c r="VJE5077" s="917"/>
      <c r="VJF5077" s="917"/>
      <c r="VJG5077" s="917"/>
      <c r="VJH5077" s="917"/>
      <c r="VJI5077" s="917"/>
      <c r="VJJ5077" s="917"/>
      <c r="VJK5077" s="917"/>
      <c r="VJL5077" s="917"/>
      <c r="VJM5077" s="917"/>
      <c r="VJN5077" s="917"/>
      <c r="VJO5077" s="917"/>
      <c r="VJP5077" s="917"/>
      <c r="VJQ5077" s="917"/>
      <c r="VJR5077" s="917"/>
      <c r="VJS5077" s="917"/>
      <c r="VJT5077" s="917"/>
      <c r="VJU5077" s="917"/>
      <c r="VJV5077" s="917"/>
      <c r="VJW5077" s="917"/>
      <c r="VJX5077" s="917"/>
      <c r="VJY5077" s="917" t="s">
        <v>78</v>
      </c>
      <c r="VJZ5077" s="917"/>
      <c r="VKA5077" s="917"/>
      <c r="VKB5077" s="917"/>
      <c r="VKC5077" s="917"/>
      <c r="VKD5077" s="917"/>
      <c r="VKE5077" s="917"/>
      <c r="VKF5077" s="917"/>
      <c r="VKG5077" s="917"/>
      <c r="VKH5077" s="917"/>
      <c r="VKI5077" s="917"/>
      <c r="VKJ5077" s="917"/>
      <c r="VKK5077" s="917"/>
      <c r="VKL5077" s="917"/>
      <c r="VKM5077" s="917"/>
      <c r="VKN5077" s="917"/>
      <c r="VKO5077" s="917"/>
      <c r="VKP5077" s="917"/>
      <c r="VKQ5077" s="917"/>
      <c r="VKR5077" s="917"/>
      <c r="VKS5077" s="917"/>
      <c r="VKT5077" s="917"/>
      <c r="VKU5077" s="917"/>
      <c r="VKV5077" s="917"/>
      <c r="VKW5077" s="917"/>
      <c r="VKX5077" s="917"/>
      <c r="VKY5077" s="917"/>
      <c r="VKZ5077" s="917"/>
      <c r="VLA5077" s="917"/>
      <c r="VLB5077" s="917"/>
      <c r="VLC5077" s="917"/>
      <c r="VLD5077" s="917"/>
      <c r="VLE5077" s="917" t="s">
        <v>78</v>
      </c>
      <c r="VLF5077" s="917"/>
      <c r="VLG5077" s="917"/>
      <c r="VLH5077" s="917"/>
      <c r="VLI5077" s="917"/>
      <c r="VLJ5077" s="917"/>
      <c r="VLK5077" s="917"/>
      <c r="VLL5077" s="917"/>
      <c r="VLM5077" s="917"/>
      <c r="VLN5077" s="917"/>
      <c r="VLO5077" s="917"/>
      <c r="VLP5077" s="917"/>
      <c r="VLQ5077" s="917"/>
      <c r="VLR5077" s="917"/>
      <c r="VLS5077" s="917"/>
      <c r="VLT5077" s="917"/>
      <c r="VLU5077" s="917"/>
      <c r="VLV5077" s="917"/>
      <c r="VLW5077" s="917"/>
      <c r="VLX5077" s="917"/>
      <c r="VLY5077" s="917"/>
      <c r="VLZ5077" s="917"/>
      <c r="VMA5077" s="917"/>
      <c r="VMB5077" s="917"/>
      <c r="VMC5077" s="917"/>
      <c r="VMD5077" s="917"/>
      <c r="VME5077" s="917"/>
      <c r="VMF5077" s="917"/>
      <c r="VMG5077" s="917"/>
      <c r="VMH5077" s="917"/>
      <c r="VMI5077" s="917"/>
      <c r="VMJ5077" s="917"/>
      <c r="VMK5077" s="917" t="s">
        <v>78</v>
      </c>
      <c r="VML5077" s="917"/>
      <c r="VMM5077" s="917"/>
      <c r="VMN5077" s="917"/>
      <c r="VMO5077" s="917"/>
      <c r="VMP5077" s="917"/>
      <c r="VMQ5077" s="917"/>
      <c r="VMR5077" s="917"/>
      <c r="VMS5077" s="917"/>
      <c r="VMT5077" s="917"/>
      <c r="VMU5077" s="917"/>
      <c r="VMV5077" s="917"/>
      <c r="VMW5077" s="917"/>
      <c r="VMX5077" s="917"/>
      <c r="VMY5077" s="917"/>
      <c r="VMZ5077" s="917"/>
      <c r="VNA5077" s="917"/>
      <c r="VNB5077" s="917"/>
      <c r="VNC5077" s="917"/>
      <c r="VND5077" s="917"/>
      <c r="VNE5077" s="917"/>
      <c r="VNF5077" s="917"/>
      <c r="VNG5077" s="917"/>
      <c r="VNH5077" s="917"/>
      <c r="VNI5077" s="917"/>
      <c r="VNJ5077" s="917"/>
      <c r="VNK5077" s="917"/>
      <c r="VNL5077" s="917"/>
      <c r="VNM5077" s="917"/>
      <c r="VNN5077" s="917"/>
      <c r="VNO5077" s="917"/>
      <c r="VNP5077" s="917"/>
      <c r="VNQ5077" s="917" t="s">
        <v>78</v>
      </c>
      <c r="VNR5077" s="917"/>
      <c r="VNS5077" s="917"/>
      <c r="VNT5077" s="917"/>
      <c r="VNU5077" s="917"/>
      <c r="VNV5077" s="917"/>
      <c r="VNW5077" s="917"/>
      <c r="VNX5077" s="917"/>
      <c r="VNY5077" s="917"/>
      <c r="VNZ5077" s="917"/>
      <c r="VOA5077" s="917"/>
      <c r="VOB5077" s="917"/>
      <c r="VOC5077" s="917"/>
      <c r="VOD5077" s="917"/>
      <c r="VOE5077" s="917"/>
      <c r="VOF5077" s="917"/>
      <c r="VOG5077" s="917"/>
      <c r="VOH5077" s="917"/>
      <c r="VOI5077" s="917"/>
      <c r="VOJ5077" s="917"/>
      <c r="VOK5077" s="917"/>
      <c r="VOL5077" s="917"/>
      <c r="VOM5077" s="917"/>
      <c r="VON5077" s="917"/>
      <c r="VOO5077" s="917"/>
      <c r="VOP5077" s="917"/>
      <c r="VOQ5077" s="917"/>
      <c r="VOR5077" s="917"/>
      <c r="VOS5077" s="917"/>
      <c r="VOT5077" s="917"/>
      <c r="VOU5077" s="917"/>
      <c r="VOV5077" s="917"/>
      <c r="VOW5077" s="917" t="s">
        <v>78</v>
      </c>
      <c r="VOX5077" s="917"/>
      <c r="VOY5077" s="917"/>
      <c r="VOZ5077" s="917"/>
      <c r="VPA5077" s="917"/>
      <c r="VPB5077" s="917"/>
      <c r="VPC5077" s="917"/>
      <c r="VPD5077" s="917"/>
      <c r="VPE5077" s="917"/>
      <c r="VPF5077" s="917"/>
      <c r="VPG5077" s="917"/>
      <c r="VPH5077" s="917"/>
      <c r="VPI5077" s="917"/>
      <c r="VPJ5077" s="917"/>
      <c r="VPK5077" s="917"/>
      <c r="VPL5077" s="917"/>
      <c r="VPM5077" s="917"/>
      <c r="VPN5077" s="917"/>
      <c r="VPO5077" s="917"/>
      <c r="VPP5077" s="917"/>
      <c r="VPQ5077" s="917"/>
      <c r="VPR5077" s="917"/>
      <c r="VPS5077" s="917"/>
      <c r="VPT5077" s="917"/>
      <c r="VPU5077" s="917"/>
      <c r="VPV5077" s="917"/>
      <c r="VPW5077" s="917"/>
      <c r="VPX5077" s="917"/>
      <c r="VPY5077" s="917"/>
      <c r="VPZ5077" s="917"/>
      <c r="VQA5077" s="917"/>
      <c r="VQB5077" s="917"/>
      <c r="VQC5077" s="917" t="s">
        <v>78</v>
      </c>
      <c r="VQD5077" s="917"/>
      <c r="VQE5077" s="917"/>
      <c r="VQF5077" s="917"/>
      <c r="VQG5077" s="917"/>
      <c r="VQH5077" s="917"/>
      <c r="VQI5077" s="917"/>
      <c r="VQJ5077" s="917"/>
      <c r="VQK5077" s="917"/>
      <c r="VQL5077" s="917"/>
      <c r="VQM5077" s="917"/>
      <c r="VQN5077" s="917"/>
      <c r="VQO5077" s="917"/>
      <c r="VQP5077" s="917"/>
      <c r="VQQ5077" s="917"/>
      <c r="VQR5077" s="917"/>
      <c r="VQS5077" s="917"/>
      <c r="VQT5077" s="917"/>
      <c r="VQU5077" s="917"/>
      <c r="VQV5077" s="917"/>
      <c r="VQW5077" s="917"/>
      <c r="VQX5077" s="917"/>
      <c r="VQY5077" s="917"/>
      <c r="VQZ5077" s="917"/>
      <c r="VRA5077" s="917"/>
      <c r="VRB5077" s="917"/>
      <c r="VRC5077" s="917"/>
      <c r="VRD5077" s="917"/>
      <c r="VRE5077" s="917"/>
      <c r="VRF5077" s="917"/>
      <c r="VRG5077" s="917"/>
      <c r="VRH5077" s="917"/>
      <c r="VRI5077" s="917" t="s">
        <v>78</v>
      </c>
      <c r="VRJ5077" s="917"/>
      <c r="VRK5077" s="917"/>
      <c r="VRL5077" s="917"/>
      <c r="VRM5077" s="917"/>
      <c r="VRN5077" s="917"/>
      <c r="VRO5077" s="917"/>
      <c r="VRP5077" s="917"/>
      <c r="VRQ5077" s="917"/>
      <c r="VRR5077" s="917"/>
      <c r="VRS5077" s="917"/>
      <c r="VRT5077" s="917"/>
      <c r="VRU5077" s="917"/>
      <c r="VRV5077" s="917"/>
      <c r="VRW5077" s="917"/>
      <c r="VRX5077" s="917"/>
      <c r="VRY5077" s="917"/>
      <c r="VRZ5077" s="917"/>
      <c r="VSA5077" s="917"/>
      <c r="VSB5077" s="917"/>
      <c r="VSC5077" s="917"/>
      <c r="VSD5077" s="917"/>
      <c r="VSE5077" s="917"/>
      <c r="VSF5077" s="917"/>
      <c r="VSG5077" s="917"/>
      <c r="VSH5077" s="917"/>
      <c r="VSI5077" s="917"/>
      <c r="VSJ5077" s="917"/>
      <c r="VSK5077" s="917"/>
      <c r="VSL5077" s="917"/>
      <c r="VSM5077" s="917"/>
      <c r="VSN5077" s="917"/>
      <c r="VSO5077" s="917" t="s">
        <v>78</v>
      </c>
      <c r="VSP5077" s="917"/>
      <c r="VSQ5077" s="917"/>
      <c r="VSR5077" s="917"/>
      <c r="VSS5077" s="917"/>
      <c r="VST5077" s="917"/>
      <c r="VSU5077" s="917"/>
      <c r="VSV5077" s="917"/>
      <c r="VSW5077" s="917"/>
      <c r="VSX5077" s="917"/>
      <c r="VSY5077" s="917"/>
      <c r="VSZ5077" s="917"/>
      <c r="VTA5077" s="917"/>
      <c r="VTB5077" s="917"/>
      <c r="VTC5077" s="917"/>
      <c r="VTD5077" s="917"/>
      <c r="VTE5077" s="917"/>
      <c r="VTF5077" s="917"/>
      <c r="VTG5077" s="917"/>
      <c r="VTH5077" s="917"/>
      <c r="VTI5077" s="917"/>
      <c r="VTJ5077" s="917"/>
      <c r="VTK5077" s="917"/>
      <c r="VTL5077" s="917"/>
      <c r="VTM5077" s="917"/>
      <c r="VTN5077" s="917"/>
      <c r="VTO5077" s="917"/>
      <c r="VTP5077" s="917"/>
      <c r="VTQ5077" s="917"/>
      <c r="VTR5077" s="917"/>
      <c r="VTS5077" s="917"/>
      <c r="VTT5077" s="917"/>
      <c r="VTU5077" s="917" t="s">
        <v>78</v>
      </c>
      <c r="VTV5077" s="917"/>
      <c r="VTW5077" s="917"/>
      <c r="VTX5077" s="917"/>
      <c r="VTY5077" s="917"/>
      <c r="VTZ5077" s="917"/>
      <c r="VUA5077" s="917"/>
      <c r="VUB5077" s="917"/>
      <c r="VUC5077" s="917"/>
      <c r="VUD5077" s="917"/>
      <c r="VUE5077" s="917"/>
      <c r="VUF5077" s="917"/>
      <c r="VUG5077" s="917"/>
      <c r="VUH5077" s="917"/>
      <c r="VUI5077" s="917"/>
      <c r="VUJ5077" s="917"/>
      <c r="VUK5077" s="917"/>
      <c r="VUL5077" s="917"/>
      <c r="VUM5077" s="917"/>
      <c r="VUN5077" s="917"/>
      <c r="VUO5077" s="917"/>
      <c r="VUP5077" s="917"/>
      <c r="VUQ5077" s="917"/>
      <c r="VUR5077" s="917"/>
      <c r="VUS5077" s="917"/>
      <c r="VUT5077" s="917"/>
      <c r="VUU5077" s="917"/>
      <c r="VUV5077" s="917"/>
      <c r="VUW5077" s="917"/>
      <c r="VUX5077" s="917"/>
      <c r="VUY5077" s="917"/>
      <c r="VUZ5077" s="917"/>
      <c r="VVA5077" s="917" t="s">
        <v>78</v>
      </c>
      <c r="VVB5077" s="917"/>
      <c r="VVC5077" s="917"/>
      <c r="VVD5077" s="917"/>
      <c r="VVE5077" s="917"/>
      <c r="VVF5077" s="917"/>
      <c r="VVG5077" s="917"/>
      <c r="VVH5077" s="917"/>
      <c r="VVI5077" s="917"/>
      <c r="VVJ5077" s="917"/>
      <c r="VVK5077" s="917"/>
      <c r="VVL5077" s="917"/>
      <c r="VVM5077" s="917"/>
      <c r="VVN5077" s="917"/>
      <c r="VVO5077" s="917"/>
      <c r="VVP5077" s="917"/>
      <c r="VVQ5077" s="917"/>
      <c r="VVR5077" s="917"/>
      <c r="VVS5077" s="917"/>
      <c r="VVT5077" s="917"/>
      <c r="VVU5077" s="917"/>
      <c r="VVV5077" s="917"/>
      <c r="VVW5077" s="917"/>
      <c r="VVX5077" s="917"/>
      <c r="VVY5077" s="917"/>
      <c r="VVZ5077" s="917"/>
      <c r="VWA5077" s="917"/>
      <c r="VWB5077" s="917"/>
      <c r="VWC5077" s="917"/>
      <c r="VWD5077" s="917"/>
      <c r="VWE5077" s="917"/>
      <c r="VWF5077" s="917"/>
      <c r="VWG5077" s="917" t="s">
        <v>78</v>
      </c>
      <c r="VWH5077" s="917"/>
      <c r="VWI5077" s="917"/>
      <c r="VWJ5077" s="917"/>
      <c r="VWK5077" s="917"/>
      <c r="VWL5077" s="917"/>
      <c r="VWM5077" s="917"/>
      <c r="VWN5077" s="917"/>
      <c r="VWO5077" s="917"/>
      <c r="VWP5077" s="917"/>
      <c r="VWQ5077" s="917"/>
      <c r="VWR5077" s="917"/>
      <c r="VWS5077" s="917"/>
      <c r="VWT5077" s="917"/>
      <c r="VWU5077" s="917"/>
      <c r="VWV5077" s="917"/>
      <c r="VWW5077" s="917"/>
      <c r="VWX5077" s="917"/>
      <c r="VWY5077" s="917"/>
      <c r="VWZ5077" s="917"/>
      <c r="VXA5077" s="917"/>
      <c r="VXB5077" s="917"/>
      <c r="VXC5077" s="917"/>
      <c r="VXD5077" s="917"/>
      <c r="VXE5077" s="917"/>
      <c r="VXF5077" s="917"/>
      <c r="VXG5077" s="917"/>
      <c r="VXH5077" s="917"/>
      <c r="VXI5077" s="917"/>
      <c r="VXJ5077" s="917"/>
      <c r="VXK5077" s="917"/>
      <c r="VXL5077" s="917"/>
      <c r="VXM5077" s="917" t="s">
        <v>78</v>
      </c>
      <c r="VXN5077" s="917"/>
      <c r="VXO5077" s="917"/>
      <c r="VXP5077" s="917"/>
      <c r="VXQ5077" s="917"/>
      <c r="VXR5077" s="917"/>
      <c r="VXS5077" s="917"/>
      <c r="VXT5077" s="917"/>
      <c r="VXU5077" s="917"/>
      <c r="VXV5077" s="917"/>
      <c r="VXW5077" s="917"/>
      <c r="VXX5077" s="917"/>
      <c r="VXY5077" s="917"/>
      <c r="VXZ5077" s="917"/>
      <c r="VYA5077" s="917"/>
      <c r="VYB5077" s="917"/>
      <c r="VYC5077" s="917"/>
      <c r="VYD5077" s="917"/>
      <c r="VYE5077" s="917"/>
      <c r="VYF5077" s="917"/>
      <c r="VYG5077" s="917"/>
      <c r="VYH5077" s="917"/>
      <c r="VYI5077" s="917"/>
      <c r="VYJ5077" s="917"/>
      <c r="VYK5077" s="917"/>
      <c r="VYL5077" s="917"/>
      <c r="VYM5077" s="917"/>
      <c r="VYN5077" s="917"/>
      <c r="VYO5077" s="917"/>
      <c r="VYP5077" s="917"/>
      <c r="VYQ5077" s="917"/>
      <c r="VYR5077" s="917"/>
      <c r="VYS5077" s="917" t="s">
        <v>78</v>
      </c>
      <c r="VYT5077" s="917"/>
      <c r="VYU5077" s="917"/>
      <c r="VYV5077" s="917"/>
      <c r="VYW5077" s="917"/>
      <c r="VYX5077" s="917"/>
      <c r="VYY5077" s="917"/>
      <c r="VYZ5077" s="917"/>
      <c r="VZA5077" s="917"/>
      <c r="VZB5077" s="917"/>
      <c r="VZC5077" s="917"/>
      <c r="VZD5077" s="917"/>
      <c r="VZE5077" s="917"/>
      <c r="VZF5077" s="917"/>
      <c r="VZG5077" s="917"/>
      <c r="VZH5077" s="917"/>
      <c r="VZI5077" s="917"/>
      <c r="VZJ5077" s="917"/>
      <c r="VZK5077" s="917"/>
      <c r="VZL5077" s="917"/>
      <c r="VZM5077" s="917"/>
      <c r="VZN5077" s="917"/>
      <c r="VZO5077" s="917"/>
      <c r="VZP5077" s="917"/>
      <c r="VZQ5077" s="917"/>
      <c r="VZR5077" s="917"/>
      <c r="VZS5077" s="917"/>
      <c r="VZT5077" s="917"/>
      <c r="VZU5077" s="917"/>
      <c r="VZV5077" s="917"/>
      <c r="VZW5077" s="917"/>
      <c r="VZX5077" s="917"/>
      <c r="VZY5077" s="917" t="s">
        <v>78</v>
      </c>
      <c r="VZZ5077" s="917"/>
      <c r="WAA5077" s="917"/>
      <c r="WAB5077" s="917"/>
      <c r="WAC5077" s="917"/>
      <c r="WAD5077" s="917"/>
      <c r="WAE5077" s="917"/>
      <c r="WAF5077" s="917"/>
      <c r="WAG5077" s="917"/>
      <c r="WAH5077" s="917"/>
      <c r="WAI5077" s="917"/>
      <c r="WAJ5077" s="917"/>
      <c r="WAK5077" s="917"/>
      <c r="WAL5077" s="917"/>
      <c r="WAM5077" s="917"/>
      <c r="WAN5077" s="917"/>
      <c r="WAO5077" s="917"/>
      <c r="WAP5077" s="917"/>
      <c r="WAQ5077" s="917"/>
      <c r="WAR5077" s="917"/>
      <c r="WAS5077" s="917"/>
      <c r="WAT5077" s="917"/>
      <c r="WAU5077" s="917"/>
      <c r="WAV5077" s="917"/>
      <c r="WAW5077" s="917"/>
      <c r="WAX5077" s="917"/>
      <c r="WAY5077" s="917"/>
      <c r="WAZ5077" s="917"/>
      <c r="WBA5077" s="917"/>
      <c r="WBB5077" s="917"/>
      <c r="WBC5077" s="917"/>
      <c r="WBD5077" s="917"/>
      <c r="WBE5077" s="917" t="s">
        <v>78</v>
      </c>
      <c r="WBF5077" s="917"/>
      <c r="WBG5077" s="917"/>
      <c r="WBH5077" s="917"/>
      <c r="WBI5077" s="917"/>
      <c r="WBJ5077" s="917"/>
      <c r="WBK5077" s="917"/>
      <c r="WBL5077" s="917"/>
      <c r="WBM5077" s="917"/>
      <c r="WBN5077" s="917"/>
      <c r="WBO5077" s="917"/>
      <c r="WBP5077" s="917"/>
      <c r="WBQ5077" s="917"/>
      <c r="WBR5077" s="917"/>
      <c r="WBS5077" s="917"/>
      <c r="WBT5077" s="917"/>
      <c r="WBU5077" s="917"/>
      <c r="WBV5077" s="917"/>
      <c r="WBW5077" s="917"/>
      <c r="WBX5077" s="917"/>
      <c r="WBY5077" s="917"/>
      <c r="WBZ5077" s="917"/>
      <c r="WCA5077" s="917"/>
      <c r="WCB5077" s="917"/>
      <c r="WCC5077" s="917"/>
      <c r="WCD5077" s="917"/>
      <c r="WCE5077" s="917"/>
      <c r="WCF5077" s="917"/>
      <c r="WCG5077" s="917"/>
      <c r="WCH5077" s="917"/>
      <c r="WCI5077" s="917"/>
      <c r="WCJ5077" s="917"/>
      <c r="WCK5077" s="917" t="s">
        <v>78</v>
      </c>
      <c r="WCL5077" s="917"/>
      <c r="WCM5077" s="917"/>
      <c r="WCN5077" s="917"/>
      <c r="WCO5077" s="917"/>
      <c r="WCP5077" s="917"/>
      <c r="WCQ5077" s="917"/>
      <c r="WCR5077" s="917"/>
      <c r="WCS5077" s="917"/>
      <c r="WCT5077" s="917"/>
      <c r="WCU5077" s="917"/>
      <c r="WCV5077" s="917"/>
      <c r="WCW5077" s="917"/>
      <c r="WCX5077" s="917"/>
      <c r="WCY5077" s="917"/>
      <c r="WCZ5077" s="917"/>
      <c r="WDA5077" s="917"/>
      <c r="WDB5077" s="917"/>
      <c r="WDC5077" s="917"/>
      <c r="WDD5077" s="917"/>
      <c r="WDE5077" s="917"/>
      <c r="WDF5077" s="917"/>
      <c r="WDG5077" s="917"/>
      <c r="WDH5077" s="917"/>
      <c r="WDI5077" s="917"/>
      <c r="WDJ5077" s="917"/>
      <c r="WDK5077" s="917"/>
      <c r="WDL5077" s="917"/>
      <c r="WDM5077" s="917"/>
      <c r="WDN5077" s="917"/>
      <c r="WDO5077" s="917"/>
      <c r="WDP5077" s="917"/>
      <c r="WDQ5077" s="917" t="s">
        <v>78</v>
      </c>
      <c r="WDR5077" s="917"/>
      <c r="WDS5077" s="917"/>
      <c r="WDT5077" s="917"/>
      <c r="WDU5077" s="917"/>
      <c r="WDV5077" s="917"/>
      <c r="WDW5077" s="917"/>
      <c r="WDX5077" s="917"/>
      <c r="WDY5077" s="917"/>
      <c r="WDZ5077" s="917"/>
      <c r="WEA5077" s="917"/>
      <c r="WEB5077" s="917"/>
      <c r="WEC5077" s="917"/>
      <c r="WED5077" s="917"/>
      <c r="WEE5077" s="917"/>
      <c r="WEF5077" s="917"/>
      <c r="WEG5077" s="917"/>
      <c r="WEH5077" s="917"/>
      <c r="WEI5077" s="917"/>
      <c r="WEJ5077" s="917"/>
      <c r="WEK5077" s="917"/>
      <c r="WEL5077" s="917"/>
      <c r="WEM5077" s="917"/>
      <c r="WEN5077" s="917"/>
      <c r="WEO5077" s="917"/>
      <c r="WEP5077" s="917"/>
      <c r="WEQ5077" s="917"/>
      <c r="WER5077" s="917"/>
      <c r="WES5077" s="917"/>
      <c r="WET5077" s="917"/>
      <c r="WEU5077" s="917"/>
      <c r="WEV5077" s="917"/>
      <c r="WEW5077" s="917" t="s">
        <v>78</v>
      </c>
      <c r="WEX5077" s="917"/>
      <c r="WEY5077" s="917"/>
      <c r="WEZ5077" s="917"/>
      <c r="WFA5077" s="917"/>
      <c r="WFB5077" s="917"/>
      <c r="WFC5077" s="917"/>
      <c r="WFD5077" s="917"/>
      <c r="WFE5077" s="917"/>
      <c r="WFF5077" s="917"/>
      <c r="WFG5077" s="917"/>
      <c r="WFH5077" s="917"/>
      <c r="WFI5077" s="917"/>
      <c r="WFJ5077" s="917"/>
      <c r="WFK5077" s="917"/>
      <c r="WFL5077" s="917"/>
      <c r="WFM5077" s="917"/>
      <c r="WFN5077" s="917"/>
      <c r="WFO5077" s="917"/>
      <c r="WFP5077" s="917"/>
      <c r="WFQ5077" s="917"/>
      <c r="WFR5077" s="917"/>
      <c r="WFS5077" s="917"/>
      <c r="WFT5077" s="917"/>
      <c r="WFU5077" s="917"/>
      <c r="WFV5077" s="917"/>
      <c r="WFW5077" s="917"/>
      <c r="WFX5077" s="917"/>
      <c r="WFY5077" s="917"/>
      <c r="WFZ5077" s="917"/>
      <c r="WGA5077" s="917"/>
      <c r="WGB5077" s="917"/>
      <c r="WGC5077" s="917" t="s">
        <v>78</v>
      </c>
      <c r="WGD5077" s="917"/>
      <c r="WGE5077" s="917"/>
      <c r="WGF5077" s="917"/>
      <c r="WGG5077" s="917"/>
      <c r="WGH5077" s="917"/>
      <c r="WGI5077" s="917"/>
      <c r="WGJ5077" s="917"/>
      <c r="WGK5077" s="917"/>
      <c r="WGL5077" s="917"/>
      <c r="WGM5077" s="917"/>
      <c r="WGN5077" s="917"/>
      <c r="WGO5077" s="917"/>
      <c r="WGP5077" s="917"/>
      <c r="WGQ5077" s="917"/>
      <c r="WGR5077" s="917"/>
      <c r="WGS5077" s="917"/>
      <c r="WGT5077" s="917"/>
      <c r="WGU5077" s="917"/>
      <c r="WGV5077" s="917"/>
      <c r="WGW5077" s="917"/>
      <c r="WGX5077" s="917"/>
      <c r="WGY5077" s="917"/>
      <c r="WGZ5077" s="917"/>
      <c r="WHA5077" s="917"/>
      <c r="WHB5077" s="917"/>
      <c r="WHC5077" s="917"/>
      <c r="WHD5077" s="917"/>
      <c r="WHE5077" s="917"/>
      <c r="WHF5077" s="917"/>
      <c r="WHG5077" s="917"/>
      <c r="WHH5077" s="917"/>
      <c r="WHI5077" s="917" t="s">
        <v>78</v>
      </c>
      <c r="WHJ5077" s="917"/>
      <c r="WHK5077" s="917"/>
      <c r="WHL5077" s="917"/>
      <c r="WHM5077" s="917"/>
      <c r="WHN5077" s="917"/>
      <c r="WHO5077" s="917"/>
      <c r="WHP5077" s="917"/>
      <c r="WHQ5077" s="917"/>
      <c r="WHR5077" s="917"/>
      <c r="WHS5077" s="917"/>
      <c r="WHT5077" s="917"/>
      <c r="WHU5077" s="917"/>
      <c r="WHV5077" s="917"/>
      <c r="WHW5077" s="917"/>
      <c r="WHX5077" s="917"/>
      <c r="WHY5077" s="917"/>
      <c r="WHZ5077" s="917"/>
      <c r="WIA5077" s="917"/>
      <c r="WIB5077" s="917"/>
      <c r="WIC5077" s="917"/>
      <c r="WID5077" s="917"/>
      <c r="WIE5077" s="917"/>
      <c r="WIF5077" s="917"/>
      <c r="WIG5077" s="917"/>
      <c r="WIH5077" s="917"/>
      <c r="WII5077" s="917"/>
      <c r="WIJ5077" s="917"/>
      <c r="WIK5077" s="917"/>
      <c r="WIL5077" s="917"/>
      <c r="WIM5077" s="917"/>
      <c r="WIN5077" s="917"/>
      <c r="WIO5077" s="917" t="s">
        <v>78</v>
      </c>
      <c r="WIP5077" s="917"/>
      <c r="WIQ5077" s="917"/>
      <c r="WIR5077" s="917"/>
      <c r="WIS5077" s="917"/>
      <c r="WIT5077" s="917"/>
      <c r="WIU5077" s="917"/>
      <c r="WIV5077" s="917"/>
      <c r="WIW5077" s="917"/>
      <c r="WIX5077" s="917"/>
      <c r="WIY5077" s="917"/>
      <c r="WIZ5077" s="917"/>
      <c r="WJA5077" s="917"/>
      <c r="WJB5077" s="917"/>
      <c r="WJC5077" s="917"/>
      <c r="WJD5077" s="917"/>
      <c r="WJE5077" s="917"/>
      <c r="WJF5077" s="917"/>
      <c r="WJG5077" s="917"/>
      <c r="WJH5077" s="917"/>
      <c r="WJI5077" s="917"/>
      <c r="WJJ5077" s="917"/>
      <c r="WJK5077" s="917"/>
      <c r="WJL5077" s="917"/>
      <c r="WJM5077" s="917"/>
      <c r="WJN5077" s="917"/>
      <c r="WJO5077" s="917"/>
      <c r="WJP5077" s="917"/>
      <c r="WJQ5077" s="917"/>
      <c r="WJR5077" s="917"/>
      <c r="WJS5077" s="917"/>
      <c r="WJT5077" s="917"/>
      <c r="WJU5077" s="917" t="s">
        <v>78</v>
      </c>
      <c r="WJV5077" s="917"/>
      <c r="WJW5077" s="917"/>
      <c r="WJX5077" s="917"/>
      <c r="WJY5077" s="917"/>
      <c r="WJZ5077" s="917"/>
      <c r="WKA5077" s="917"/>
      <c r="WKB5077" s="917"/>
      <c r="WKC5077" s="917"/>
      <c r="WKD5077" s="917"/>
      <c r="WKE5077" s="917"/>
      <c r="WKF5077" s="917"/>
      <c r="WKG5077" s="917"/>
      <c r="WKH5077" s="917"/>
      <c r="WKI5077" s="917"/>
      <c r="WKJ5077" s="917"/>
      <c r="WKK5077" s="917"/>
      <c r="WKL5077" s="917"/>
      <c r="WKM5077" s="917"/>
      <c r="WKN5077" s="917"/>
      <c r="WKO5077" s="917"/>
      <c r="WKP5077" s="917"/>
      <c r="WKQ5077" s="917"/>
      <c r="WKR5077" s="917"/>
      <c r="WKS5077" s="917"/>
      <c r="WKT5077" s="917"/>
      <c r="WKU5077" s="917"/>
      <c r="WKV5077" s="917"/>
      <c r="WKW5077" s="917"/>
      <c r="WKX5077" s="917"/>
      <c r="WKY5077" s="917"/>
      <c r="WKZ5077" s="917"/>
      <c r="WLA5077" s="917" t="s">
        <v>78</v>
      </c>
      <c r="WLB5077" s="917"/>
      <c r="WLC5077" s="917"/>
      <c r="WLD5077" s="917"/>
      <c r="WLE5077" s="917"/>
      <c r="WLF5077" s="917"/>
      <c r="WLG5077" s="917"/>
      <c r="WLH5077" s="917"/>
      <c r="WLI5077" s="917"/>
      <c r="WLJ5077" s="917"/>
      <c r="WLK5077" s="917"/>
      <c r="WLL5077" s="917"/>
      <c r="WLM5077" s="917"/>
      <c r="WLN5077" s="917"/>
      <c r="WLO5077" s="917"/>
      <c r="WLP5077" s="917"/>
      <c r="WLQ5077" s="917"/>
      <c r="WLR5077" s="917"/>
      <c r="WLS5077" s="917"/>
      <c r="WLT5077" s="917"/>
      <c r="WLU5077" s="917"/>
      <c r="WLV5077" s="917"/>
      <c r="WLW5077" s="917"/>
      <c r="WLX5077" s="917"/>
      <c r="WLY5077" s="917"/>
      <c r="WLZ5077" s="917"/>
      <c r="WMA5077" s="917"/>
      <c r="WMB5077" s="917"/>
      <c r="WMC5077" s="917"/>
      <c r="WMD5077" s="917"/>
      <c r="WME5077" s="917"/>
      <c r="WMF5077" s="917"/>
      <c r="WMG5077" s="917" t="s">
        <v>78</v>
      </c>
      <c r="WMH5077" s="917"/>
      <c r="WMI5077" s="917"/>
      <c r="WMJ5077" s="917"/>
      <c r="WMK5077" s="917"/>
      <c r="WML5077" s="917"/>
      <c r="WMM5077" s="917"/>
      <c r="WMN5077" s="917"/>
      <c r="WMO5077" s="917"/>
      <c r="WMP5077" s="917"/>
      <c r="WMQ5077" s="917"/>
      <c r="WMR5077" s="917"/>
      <c r="WMS5077" s="917"/>
      <c r="WMT5077" s="917"/>
      <c r="WMU5077" s="917"/>
      <c r="WMV5077" s="917"/>
      <c r="WMW5077" s="917"/>
      <c r="WMX5077" s="917"/>
      <c r="WMY5077" s="917"/>
      <c r="WMZ5077" s="917"/>
      <c r="WNA5077" s="917"/>
      <c r="WNB5077" s="917"/>
      <c r="WNC5077" s="917"/>
      <c r="WND5077" s="917"/>
      <c r="WNE5077" s="917"/>
      <c r="WNF5077" s="917"/>
      <c r="WNG5077" s="917"/>
      <c r="WNH5077" s="917"/>
      <c r="WNI5077" s="917"/>
      <c r="WNJ5077" s="917"/>
      <c r="WNK5077" s="917"/>
      <c r="WNL5077" s="917"/>
      <c r="WNM5077" s="917" t="s">
        <v>78</v>
      </c>
      <c r="WNN5077" s="917"/>
      <c r="WNO5077" s="917"/>
      <c r="WNP5077" s="917"/>
      <c r="WNQ5077" s="917"/>
      <c r="WNR5077" s="917"/>
      <c r="WNS5077" s="917"/>
      <c r="WNT5077" s="917"/>
      <c r="WNU5077" s="917"/>
      <c r="WNV5077" s="917"/>
      <c r="WNW5077" s="917"/>
      <c r="WNX5077" s="917"/>
      <c r="WNY5077" s="917"/>
      <c r="WNZ5077" s="917"/>
      <c r="WOA5077" s="917"/>
      <c r="WOB5077" s="917"/>
      <c r="WOC5077" s="917"/>
      <c r="WOD5077" s="917"/>
      <c r="WOE5077" s="917"/>
      <c r="WOF5077" s="917"/>
      <c r="WOG5077" s="917"/>
      <c r="WOH5077" s="917"/>
      <c r="WOI5077" s="917"/>
      <c r="WOJ5077" s="917"/>
      <c r="WOK5077" s="917"/>
      <c r="WOL5077" s="917"/>
      <c r="WOM5077" s="917"/>
      <c r="WON5077" s="917"/>
      <c r="WOO5077" s="917"/>
      <c r="WOP5077" s="917"/>
      <c r="WOQ5077" s="917"/>
      <c r="WOR5077" s="917"/>
      <c r="WOS5077" s="917" t="s">
        <v>78</v>
      </c>
      <c r="WOT5077" s="917"/>
      <c r="WOU5077" s="917"/>
      <c r="WOV5077" s="917"/>
      <c r="WOW5077" s="917"/>
      <c r="WOX5077" s="917"/>
      <c r="WOY5077" s="917"/>
      <c r="WOZ5077" s="917"/>
      <c r="WPA5077" s="917"/>
      <c r="WPB5077" s="917"/>
      <c r="WPC5077" s="917"/>
      <c r="WPD5077" s="917"/>
      <c r="WPE5077" s="917"/>
      <c r="WPF5077" s="917"/>
      <c r="WPG5077" s="917"/>
      <c r="WPH5077" s="917"/>
      <c r="WPI5077" s="917"/>
      <c r="WPJ5077" s="917"/>
      <c r="WPK5077" s="917"/>
      <c r="WPL5077" s="917"/>
      <c r="WPM5077" s="917"/>
      <c r="WPN5077" s="917"/>
      <c r="WPO5077" s="917"/>
      <c r="WPP5077" s="917"/>
      <c r="WPQ5077" s="917"/>
      <c r="WPR5077" s="917"/>
      <c r="WPS5077" s="917"/>
      <c r="WPT5077" s="917"/>
      <c r="WPU5077" s="917"/>
      <c r="WPV5077" s="917"/>
      <c r="WPW5077" s="917"/>
      <c r="WPX5077" s="917"/>
      <c r="WPY5077" s="917" t="s">
        <v>78</v>
      </c>
      <c r="WPZ5077" s="917"/>
      <c r="WQA5077" s="917"/>
      <c r="WQB5077" s="917"/>
      <c r="WQC5077" s="917"/>
      <c r="WQD5077" s="917"/>
      <c r="WQE5077" s="917"/>
      <c r="WQF5077" s="917"/>
      <c r="WQG5077" s="917"/>
      <c r="WQH5077" s="917"/>
      <c r="WQI5077" s="917"/>
      <c r="WQJ5077" s="917"/>
      <c r="WQK5077" s="917"/>
      <c r="WQL5077" s="917"/>
      <c r="WQM5077" s="917"/>
      <c r="WQN5077" s="917"/>
      <c r="WQO5077" s="917"/>
      <c r="WQP5077" s="917"/>
      <c r="WQQ5077" s="917"/>
      <c r="WQR5077" s="917"/>
      <c r="WQS5077" s="917"/>
      <c r="WQT5077" s="917"/>
      <c r="WQU5077" s="917"/>
      <c r="WQV5077" s="917"/>
      <c r="WQW5077" s="917"/>
      <c r="WQX5077" s="917"/>
      <c r="WQY5077" s="917"/>
      <c r="WQZ5077" s="917"/>
      <c r="WRA5077" s="917"/>
      <c r="WRB5077" s="917"/>
      <c r="WRC5077" s="917"/>
      <c r="WRD5077" s="917"/>
      <c r="WRE5077" s="917" t="s">
        <v>78</v>
      </c>
      <c r="WRF5077" s="917"/>
      <c r="WRG5077" s="917"/>
      <c r="WRH5077" s="917"/>
      <c r="WRI5077" s="917"/>
      <c r="WRJ5077" s="917"/>
      <c r="WRK5077" s="917"/>
      <c r="WRL5077" s="917"/>
      <c r="WRM5077" s="917"/>
      <c r="WRN5077" s="917"/>
      <c r="WRO5077" s="917"/>
      <c r="WRP5077" s="917"/>
      <c r="WRQ5077" s="917"/>
      <c r="WRR5077" s="917"/>
      <c r="WRS5077" s="917"/>
      <c r="WRT5077" s="917"/>
      <c r="WRU5077" s="917"/>
      <c r="WRV5077" s="917"/>
      <c r="WRW5077" s="917"/>
      <c r="WRX5077" s="917"/>
      <c r="WRY5077" s="917"/>
      <c r="WRZ5077" s="917"/>
      <c r="WSA5077" s="917"/>
      <c r="WSB5077" s="917"/>
      <c r="WSC5077" s="917"/>
      <c r="WSD5077" s="917"/>
      <c r="WSE5077" s="917"/>
      <c r="WSF5077" s="917"/>
      <c r="WSG5077" s="917"/>
      <c r="WSH5077" s="917"/>
      <c r="WSI5077" s="917"/>
      <c r="WSJ5077" s="917"/>
      <c r="WSK5077" s="917" t="s">
        <v>78</v>
      </c>
      <c r="WSL5077" s="917"/>
      <c r="WSM5077" s="917"/>
      <c r="WSN5077" s="917"/>
      <c r="WSO5077" s="917"/>
      <c r="WSP5077" s="917"/>
      <c r="WSQ5077" s="917"/>
      <c r="WSR5077" s="917"/>
      <c r="WSS5077" s="917"/>
      <c r="WST5077" s="917"/>
      <c r="WSU5077" s="917"/>
      <c r="WSV5077" s="917"/>
      <c r="WSW5077" s="917"/>
      <c r="WSX5077" s="917"/>
      <c r="WSY5077" s="917"/>
      <c r="WSZ5077" s="917"/>
      <c r="WTA5077" s="917"/>
      <c r="WTB5077" s="917"/>
      <c r="WTC5077" s="917"/>
      <c r="WTD5077" s="917"/>
      <c r="WTE5077" s="917"/>
      <c r="WTF5077" s="917"/>
      <c r="WTG5077" s="917"/>
      <c r="WTH5077" s="917"/>
      <c r="WTI5077" s="917"/>
      <c r="WTJ5077" s="917"/>
      <c r="WTK5077" s="917"/>
      <c r="WTL5077" s="917"/>
      <c r="WTM5077" s="917"/>
      <c r="WTN5077" s="917"/>
      <c r="WTO5077" s="917"/>
      <c r="WTP5077" s="917"/>
      <c r="WTQ5077" s="917" t="s">
        <v>78</v>
      </c>
      <c r="WTR5077" s="917"/>
      <c r="WTS5077" s="917"/>
      <c r="WTT5077" s="917"/>
      <c r="WTU5077" s="917"/>
      <c r="WTV5077" s="917"/>
      <c r="WTW5077" s="917"/>
      <c r="WTX5077" s="917"/>
      <c r="WTY5077" s="917"/>
      <c r="WTZ5077" s="917"/>
      <c r="WUA5077" s="917"/>
      <c r="WUB5077" s="917"/>
      <c r="WUC5077" s="917"/>
      <c r="WUD5077" s="917"/>
      <c r="WUE5077" s="917"/>
      <c r="WUF5077" s="917"/>
      <c r="WUG5077" s="917"/>
      <c r="WUH5077" s="917"/>
      <c r="WUI5077" s="917"/>
      <c r="WUJ5077" s="917"/>
      <c r="WUK5077" s="917"/>
      <c r="WUL5077" s="917"/>
      <c r="WUM5077" s="917"/>
      <c r="WUN5077" s="917"/>
      <c r="WUO5077" s="917"/>
      <c r="WUP5077" s="917"/>
      <c r="WUQ5077" s="917"/>
      <c r="WUR5077" s="917"/>
      <c r="WUS5077" s="917"/>
      <c r="WUT5077" s="917"/>
      <c r="WUU5077" s="917"/>
      <c r="WUV5077" s="917"/>
      <c r="WUW5077" s="917" t="s">
        <v>78</v>
      </c>
      <c r="WUX5077" s="917"/>
      <c r="WUY5077" s="917"/>
      <c r="WUZ5077" s="917"/>
      <c r="WVA5077" s="917"/>
      <c r="WVB5077" s="917"/>
      <c r="WVC5077" s="917"/>
      <c r="WVD5077" s="917"/>
      <c r="WVE5077" s="917"/>
      <c r="WVF5077" s="917"/>
      <c r="WVG5077" s="917"/>
      <c r="WVH5077" s="917"/>
      <c r="WVI5077" s="917"/>
      <c r="WVJ5077" s="917"/>
      <c r="WVK5077" s="917"/>
      <c r="WVL5077" s="917"/>
      <c r="WVM5077" s="917"/>
      <c r="WVN5077" s="917"/>
      <c r="WVO5077" s="917"/>
      <c r="WVP5077" s="917"/>
      <c r="WVQ5077" s="917"/>
      <c r="WVR5077" s="917"/>
      <c r="WVS5077" s="917"/>
      <c r="WVT5077" s="917"/>
      <c r="WVU5077" s="917"/>
      <c r="WVV5077" s="917"/>
      <c r="WVW5077" s="917"/>
      <c r="WVX5077" s="917"/>
      <c r="WVY5077" s="917"/>
      <c r="WVZ5077" s="917"/>
      <c r="WWA5077" s="917"/>
      <c r="WWB5077" s="917"/>
      <c r="WWC5077" s="917" t="s">
        <v>78</v>
      </c>
      <c r="WWD5077" s="917"/>
      <c r="WWE5077" s="917"/>
      <c r="WWF5077" s="917"/>
      <c r="WWG5077" s="917"/>
      <c r="WWH5077" s="917"/>
      <c r="WWI5077" s="917"/>
      <c r="WWJ5077" s="917"/>
      <c r="WWK5077" s="917"/>
      <c r="WWL5077" s="917"/>
      <c r="WWM5077" s="917"/>
      <c r="WWN5077" s="917"/>
      <c r="WWO5077" s="917"/>
      <c r="WWP5077" s="917"/>
      <c r="WWQ5077" s="917"/>
      <c r="WWR5077" s="917"/>
      <c r="WWS5077" s="917"/>
      <c r="WWT5077" s="917"/>
      <c r="WWU5077" s="917"/>
      <c r="WWV5077" s="917"/>
      <c r="WWW5077" s="917"/>
      <c r="WWX5077" s="917"/>
      <c r="WWY5077" s="917"/>
      <c r="WWZ5077" s="917"/>
      <c r="WXA5077" s="917"/>
      <c r="WXB5077" s="917"/>
      <c r="WXC5077" s="917"/>
      <c r="WXD5077" s="917"/>
      <c r="WXE5077" s="917"/>
      <c r="WXF5077" s="917"/>
      <c r="WXG5077" s="917"/>
      <c r="WXH5077" s="917"/>
      <c r="WXI5077" s="917" t="s">
        <v>78</v>
      </c>
      <c r="WXJ5077" s="917"/>
      <c r="WXK5077" s="917"/>
      <c r="WXL5077" s="917"/>
      <c r="WXM5077" s="917"/>
      <c r="WXN5077" s="917"/>
      <c r="WXO5077" s="917"/>
      <c r="WXP5077" s="917"/>
      <c r="WXQ5077" s="917"/>
      <c r="WXR5077" s="917"/>
      <c r="WXS5077" s="917"/>
      <c r="WXT5077" s="917"/>
      <c r="WXU5077" s="917"/>
      <c r="WXV5077" s="917"/>
      <c r="WXW5077" s="917"/>
      <c r="WXX5077" s="917"/>
      <c r="WXY5077" s="917"/>
      <c r="WXZ5077" s="917"/>
      <c r="WYA5077" s="917"/>
      <c r="WYB5077" s="917"/>
      <c r="WYC5077" s="917"/>
      <c r="WYD5077" s="917"/>
      <c r="WYE5077" s="917"/>
      <c r="WYF5077" s="917"/>
      <c r="WYG5077" s="917"/>
      <c r="WYH5077" s="917"/>
      <c r="WYI5077" s="917"/>
      <c r="WYJ5077" s="917"/>
      <c r="WYK5077" s="917"/>
      <c r="WYL5077" s="917"/>
      <c r="WYM5077" s="917"/>
      <c r="WYN5077" s="917"/>
      <c r="WYO5077" s="917" t="s">
        <v>78</v>
      </c>
      <c r="WYP5077" s="917"/>
      <c r="WYQ5077" s="917"/>
      <c r="WYR5077" s="917"/>
      <c r="WYS5077" s="917"/>
      <c r="WYT5077" s="917"/>
      <c r="WYU5077" s="917"/>
      <c r="WYV5077" s="917"/>
      <c r="WYW5077" s="917"/>
      <c r="WYX5077" s="917"/>
      <c r="WYY5077" s="917"/>
      <c r="WYZ5077" s="917"/>
      <c r="WZA5077" s="917"/>
      <c r="WZB5077" s="917"/>
      <c r="WZC5077" s="917"/>
      <c r="WZD5077" s="917"/>
      <c r="WZE5077" s="917"/>
      <c r="WZF5077" s="917"/>
      <c r="WZG5077" s="917"/>
      <c r="WZH5077" s="917"/>
      <c r="WZI5077" s="917"/>
      <c r="WZJ5077" s="917"/>
      <c r="WZK5077" s="917"/>
      <c r="WZL5077" s="917"/>
      <c r="WZM5077" s="917"/>
      <c r="WZN5077" s="917"/>
      <c r="WZO5077" s="917"/>
      <c r="WZP5077" s="917"/>
      <c r="WZQ5077" s="917"/>
      <c r="WZR5077" s="917"/>
      <c r="WZS5077" s="917"/>
      <c r="WZT5077" s="917"/>
      <c r="WZU5077" s="917" t="s">
        <v>78</v>
      </c>
      <c r="WZV5077" s="917"/>
      <c r="WZW5077" s="917"/>
      <c r="WZX5077" s="917"/>
      <c r="WZY5077" s="917"/>
      <c r="WZZ5077" s="917"/>
      <c r="XAA5077" s="917"/>
      <c r="XAB5077" s="917"/>
      <c r="XAC5077" s="917"/>
      <c r="XAD5077" s="917"/>
      <c r="XAE5077" s="917"/>
      <c r="XAF5077" s="917"/>
      <c r="XAG5077" s="917"/>
      <c r="XAH5077" s="917"/>
      <c r="XAI5077" s="917"/>
      <c r="XAJ5077" s="917"/>
      <c r="XAK5077" s="917"/>
      <c r="XAL5077" s="917"/>
      <c r="XAM5077" s="917"/>
      <c r="XAN5077" s="917"/>
      <c r="XAO5077" s="917"/>
      <c r="XAP5077" s="917"/>
      <c r="XAQ5077" s="917"/>
      <c r="XAR5077" s="917"/>
      <c r="XAS5077" s="917"/>
      <c r="XAT5077" s="917"/>
      <c r="XAU5077" s="917"/>
      <c r="XAV5077" s="917"/>
      <c r="XAW5077" s="917"/>
      <c r="XAX5077" s="917"/>
      <c r="XAY5077" s="917"/>
      <c r="XAZ5077" s="917"/>
      <c r="XBA5077" s="917" t="s">
        <v>78</v>
      </c>
      <c r="XBB5077" s="917"/>
      <c r="XBC5077" s="917"/>
      <c r="XBD5077" s="917"/>
      <c r="XBE5077" s="917"/>
      <c r="XBF5077" s="917"/>
      <c r="XBG5077" s="917"/>
      <c r="XBH5077" s="917"/>
      <c r="XBI5077" s="917"/>
      <c r="XBJ5077" s="917"/>
      <c r="XBK5077" s="917"/>
      <c r="XBL5077" s="917"/>
      <c r="XBM5077" s="917"/>
      <c r="XBN5077" s="917"/>
      <c r="XBO5077" s="917"/>
      <c r="XBP5077" s="917"/>
      <c r="XBQ5077" s="917"/>
      <c r="XBR5077" s="917"/>
      <c r="XBS5077" s="917"/>
      <c r="XBT5077" s="917"/>
      <c r="XBU5077" s="917"/>
      <c r="XBV5077" s="917"/>
      <c r="XBW5077" s="917"/>
      <c r="XBX5077" s="917"/>
      <c r="XBY5077" s="917"/>
      <c r="XBZ5077" s="917"/>
      <c r="XCA5077" s="917"/>
      <c r="XCB5077" s="917"/>
      <c r="XCC5077" s="917"/>
      <c r="XCD5077" s="917"/>
      <c r="XCE5077" s="917"/>
      <c r="XCF5077" s="917"/>
      <c r="XCG5077" s="917" t="s">
        <v>78</v>
      </c>
      <c r="XCH5077" s="917"/>
      <c r="XCI5077" s="917"/>
      <c r="XCJ5077" s="917"/>
      <c r="XCK5077" s="917"/>
      <c r="XCL5077" s="917"/>
      <c r="XCM5077" s="917"/>
      <c r="XCN5077" s="917"/>
      <c r="XCO5077" s="917"/>
      <c r="XCP5077" s="917"/>
      <c r="XCQ5077" s="917"/>
      <c r="XCR5077" s="917"/>
      <c r="XCS5077" s="917"/>
      <c r="XCT5077" s="917"/>
      <c r="XCU5077" s="917"/>
      <c r="XCV5077" s="917"/>
      <c r="XCW5077" s="917"/>
      <c r="XCX5077" s="917"/>
      <c r="XCY5077" s="917"/>
      <c r="XCZ5077" s="917"/>
      <c r="XDA5077" s="917"/>
      <c r="XDB5077" s="917"/>
      <c r="XDC5077" s="917"/>
      <c r="XDD5077" s="917"/>
      <c r="XDE5077" s="917"/>
      <c r="XDF5077" s="917"/>
      <c r="XDG5077" s="917"/>
      <c r="XDH5077" s="917"/>
      <c r="XDI5077" s="917"/>
      <c r="XDJ5077" s="917"/>
      <c r="XDK5077" s="917"/>
      <c r="XDL5077" s="917"/>
      <c r="XDM5077" s="917" t="s">
        <v>78</v>
      </c>
      <c r="XDN5077" s="917"/>
      <c r="XDO5077" s="917"/>
      <c r="XDP5077" s="917"/>
      <c r="XDQ5077" s="917"/>
      <c r="XDR5077" s="917"/>
      <c r="XDS5077" s="917"/>
      <c r="XDT5077" s="917"/>
      <c r="XDU5077" s="917"/>
      <c r="XDV5077" s="917"/>
      <c r="XDW5077" s="917"/>
      <c r="XDX5077" s="917"/>
      <c r="XDY5077" s="917"/>
      <c r="XDZ5077" s="917"/>
      <c r="XEA5077" s="917"/>
      <c r="XEB5077" s="917"/>
      <c r="XEC5077" s="917"/>
      <c r="XED5077" s="917"/>
      <c r="XEE5077" s="917"/>
      <c r="XEF5077" s="917"/>
      <c r="XEG5077" s="917"/>
      <c r="XEH5077" s="917"/>
      <c r="XEI5077" s="917"/>
      <c r="XEJ5077" s="917"/>
      <c r="XEK5077" s="917"/>
      <c r="XEL5077" s="917"/>
      <c r="XEM5077" s="917"/>
      <c r="XEN5077" s="917"/>
      <c r="XEO5077" s="917"/>
      <c r="XEP5077" s="917"/>
      <c r="XEQ5077" s="917"/>
      <c r="XER5077" s="917"/>
    </row>
    <row r="5078" spans="1:16372">
      <c r="A5078" s="1">
        <v>0</v>
      </c>
      <c r="B5078" s="1">
        <v>0.77300000000000002</v>
      </c>
      <c r="C5078" s="1">
        <v>0.747</v>
      </c>
      <c r="D5078" s="1">
        <v>0.73399999999999999</v>
      </c>
      <c r="E5078" s="1">
        <v>0.72099999999999997</v>
      </c>
      <c r="F5078" s="1">
        <v>0.70799999999999996</v>
      </c>
      <c r="G5078" s="1">
        <v>0.69499999999999995</v>
      </c>
      <c r="H5078" s="1">
        <v>0.67</v>
      </c>
      <c r="I5078" s="1">
        <v>0.64400000000000002</v>
      </c>
      <c r="J5078" s="21">
        <v>5477</v>
      </c>
      <c r="K5078" s="1">
        <v>0</v>
      </c>
      <c r="L5078" s="1">
        <v>0</v>
      </c>
      <c r="M5078" s="1">
        <v>0</v>
      </c>
      <c r="N5078" s="1">
        <v>0</v>
      </c>
      <c r="O5078" s="1">
        <v>0</v>
      </c>
      <c r="P5078" s="365">
        <v>0</v>
      </c>
      <c r="Q5078" s="1">
        <v>56.392000000000003</v>
      </c>
      <c r="R5078" s="1">
        <v>112.82599999999999</v>
      </c>
      <c r="S5078" s="1">
        <v>169.33099999999999</v>
      </c>
      <c r="T5078" s="1">
        <v>225.94800000000001</v>
      </c>
      <c r="U5078" s="24"/>
      <c r="V5078" s="1">
        <f>IF(V5077=tankSound16,V5077,CEILING(W5076,incHeel))</f>
        <v>3400</v>
      </c>
      <c r="W5078" s="1">
        <f>Interp2(tank16Heel1,tank16Heel2,tank16Heel3,V5078,V5076)</f>
        <v>0</v>
      </c>
      <c r="X5078" s="1">
        <f>IF(X5077=X5076,X5077,CEILING(X5076,inc))</f>
        <v>3350</v>
      </c>
      <c r="Y5078" s="42">
        <f>IF(X5082=X5081,X5081,Interp1(V5081:V5082,X5081:X5082,V5080))</f>
        <v>74.37</v>
      </c>
      <c r="AA5078" s="30"/>
      <c r="AB5078" s="42"/>
      <c r="AC5078" s="30"/>
      <c r="BI5078" s="30"/>
      <c r="CO5078" s="30"/>
      <c r="DU5078" s="30"/>
      <c r="FA5078" s="30"/>
      <c r="GG5078" s="30"/>
      <c r="HM5078" s="30"/>
      <c r="IS5078" s="30"/>
      <c r="JY5078" s="30"/>
      <c r="LE5078" s="30"/>
      <c r="MK5078" s="30"/>
      <c r="NQ5078" s="30"/>
      <c r="OW5078" s="30"/>
      <c r="QC5078" s="30"/>
      <c r="RI5078" s="30"/>
      <c r="SO5078" s="30"/>
      <c r="TU5078" s="30"/>
      <c r="VA5078" s="30"/>
      <c r="WG5078" s="30"/>
      <c r="XM5078" s="30"/>
      <c r="YS5078" s="30"/>
      <c r="ZY5078" s="30"/>
      <c r="ABE5078" s="30"/>
      <c r="ACK5078" s="30"/>
      <c r="ADQ5078" s="30"/>
      <c r="AEW5078" s="30"/>
      <c r="AGC5078" s="30"/>
      <c r="AHI5078" s="30"/>
      <c r="AIO5078" s="30"/>
      <c r="AJU5078" s="30"/>
      <c r="ALA5078" s="30"/>
      <c r="AMG5078" s="30"/>
      <c r="ANM5078" s="30"/>
      <c r="AOS5078" s="30"/>
      <c r="APY5078" s="30"/>
      <c r="ARE5078" s="30"/>
      <c r="ASK5078" s="30"/>
      <c r="ATQ5078" s="30"/>
      <c r="AUW5078" s="30"/>
      <c r="AWC5078" s="30"/>
      <c r="AXI5078" s="30"/>
      <c r="AYO5078" s="30"/>
      <c r="AZU5078" s="30"/>
      <c r="BBA5078" s="30"/>
      <c r="BCG5078" s="30"/>
      <c r="BDM5078" s="30"/>
      <c r="BES5078" s="30"/>
      <c r="BFY5078" s="30"/>
      <c r="BHE5078" s="30"/>
      <c r="BIK5078" s="30"/>
      <c r="BJQ5078" s="30"/>
      <c r="BKW5078" s="30"/>
      <c r="BMC5078" s="30"/>
      <c r="BNI5078" s="30"/>
      <c r="BOO5078" s="30"/>
      <c r="BPU5078" s="30"/>
      <c r="BRA5078" s="30"/>
      <c r="BSG5078" s="30"/>
      <c r="BTM5078" s="30"/>
      <c r="BUS5078" s="30"/>
      <c r="BVY5078" s="30"/>
      <c r="BXE5078" s="30"/>
      <c r="BYK5078" s="30"/>
      <c r="BZQ5078" s="30"/>
      <c r="CAW5078" s="30"/>
      <c r="CCC5078" s="30"/>
      <c r="CDI5078" s="30"/>
      <c r="CEO5078" s="30"/>
      <c r="CFU5078" s="30"/>
      <c r="CHA5078" s="30"/>
      <c r="CIG5078" s="30"/>
      <c r="CJM5078" s="30"/>
      <c r="CKS5078" s="30"/>
      <c r="CLY5078" s="30"/>
      <c r="CNE5078" s="30"/>
      <c r="COK5078" s="30"/>
      <c r="CPQ5078" s="30"/>
      <c r="CQW5078" s="30"/>
      <c r="CSC5078" s="30"/>
      <c r="CTI5078" s="30"/>
      <c r="CUO5078" s="30"/>
      <c r="CVU5078" s="30"/>
      <c r="CXA5078" s="30"/>
      <c r="CYG5078" s="30"/>
      <c r="CZM5078" s="30"/>
      <c r="DAS5078" s="30"/>
      <c r="DBY5078" s="30"/>
      <c r="DDE5078" s="30"/>
      <c r="DEK5078" s="30"/>
      <c r="DFQ5078" s="30"/>
      <c r="DGW5078" s="30"/>
      <c r="DIC5078" s="30"/>
      <c r="DJI5078" s="30"/>
      <c r="DKO5078" s="30"/>
      <c r="DLU5078" s="30"/>
      <c r="DNA5078" s="30"/>
      <c r="DOG5078" s="30"/>
      <c r="DPM5078" s="30"/>
      <c r="DQS5078" s="30"/>
      <c r="DRY5078" s="30"/>
      <c r="DTE5078" s="30"/>
      <c r="DUK5078" s="30"/>
      <c r="DVQ5078" s="30"/>
      <c r="DWW5078" s="30"/>
      <c r="DYC5078" s="30"/>
      <c r="DZI5078" s="30"/>
      <c r="EAO5078" s="30"/>
      <c r="EBU5078" s="30"/>
      <c r="EDA5078" s="30"/>
      <c r="EEG5078" s="30"/>
      <c r="EFM5078" s="30"/>
      <c r="EGS5078" s="30"/>
      <c r="EHY5078" s="30"/>
      <c r="EJE5078" s="30"/>
      <c r="EKK5078" s="30"/>
      <c r="ELQ5078" s="30"/>
      <c r="EMW5078" s="30"/>
      <c r="EOC5078" s="30"/>
      <c r="EPI5078" s="30"/>
      <c r="EQO5078" s="30"/>
      <c r="ERU5078" s="30"/>
      <c r="ETA5078" s="30"/>
      <c r="EUG5078" s="30"/>
      <c r="EVM5078" s="30"/>
      <c r="EWS5078" s="30"/>
      <c r="EXY5078" s="30"/>
      <c r="EZE5078" s="30"/>
      <c r="FAK5078" s="30"/>
      <c r="FBQ5078" s="30"/>
      <c r="FCW5078" s="30"/>
      <c r="FEC5078" s="30"/>
      <c r="FFI5078" s="30"/>
      <c r="FGO5078" s="30"/>
      <c r="FHU5078" s="30"/>
      <c r="FJA5078" s="30"/>
      <c r="FKG5078" s="30"/>
      <c r="FLM5078" s="30"/>
      <c r="FMS5078" s="30"/>
      <c r="FNY5078" s="30"/>
      <c r="FPE5078" s="30"/>
      <c r="FQK5078" s="30"/>
      <c r="FRQ5078" s="30"/>
      <c r="FSW5078" s="30"/>
      <c r="FUC5078" s="30"/>
      <c r="FVI5078" s="30"/>
      <c r="FWO5078" s="30"/>
      <c r="FXU5078" s="30"/>
      <c r="FZA5078" s="30"/>
      <c r="GAG5078" s="30"/>
      <c r="GBM5078" s="30"/>
      <c r="GCS5078" s="30"/>
      <c r="GDY5078" s="30"/>
      <c r="GFE5078" s="30"/>
      <c r="GGK5078" s="30"/>
      <c r="GHQ5078" s="30"/>
      <c r="GIW5078" s="30"/>
      <c r="GKC5078" s="30"/>
      <c r="GLI5078" s="30"/>
      <c r="GMO5078" s="30"/>
      <c r="GNU5078" s="30"/>
      <c r="GPA5078" s="30"/>
      <c r="GQG5078" s="30"/>
      <c r="GRM5078" s="30"/>
      <c r="GSS5078" s="30"/>
      <c r="GTY5078" s="30"/>
      <c r="GVE5078" s="30"/>
      <c r="GWK5078" s="30"/>
      <c r="GXQ5078" s="30"/>
      <c r="GYW5078" s="30"/>
      <c r="HAC5078" s="30"/>
      <c r="HBI5078" s="30"/>
      <c r="HCO5078" s="30"/>
      <c r="HDU5078" s="30"/>
      <c r="HFA5078" s="30"/>
      <c r="HGG5078" s="30"/>
      <c r="HHM5078" s="30"/>
      <c r="HIS5078" s="30"/>
      <c r="HJY5078" s="30"/>
      <c r="HLE5078" s="30"/>
      <c r="HMK5078" s="30"/>
      <c r="HNQ5078" s="30"/>
      <c r="HOW5078" s="30"/>
      <c r="HQC5078" s="30"/>
      <c r="HRI5078" s="30"/>
      <c r="HSO5078" s="30"/>
      <c r="HTU5078" s="30"/>
      <c r="HVA5078" s="30"/>
      <c r="HWG5078" s="30"/>
      <c r="HXM5078" s="30"/>
      <c r="HYS5078" s="30"/>
      <c r="HZY5078" s="30"/>
      <c r="IBE5078" s="30"/>
      <c r="ICK5078" s="30"/>
      <c r="IDQ5078" s="30"/>
      <c r="IEW5078" s="30"/>
      <c r="IGC5078" s="30"/>
      <c r="IHI5078" s="30"/>
      <c r="IIO5078" s="30"/>
      <c r="IJU5078" s="30"/>
      <c r="ILA5078" s="30"/>
      <c r="IMG5078" s="30"/>
      <c r="INM5078" s="30"/>
      <c r="IOS5078" s="30"/>
      <c r="IPY5078" s="30"/>
      <c r="IRE5078" s="30"/>
      <c r="ISK5078" s="30"/>
      <c r="ITQ5078" s="30"/>
      <c r="IUW5078" s="30"/>
      <c r="IWC5078" s="30"/>
      <c r="IXI5078" s="30"/>
      <c r="IYO5078" s="30"/>
      <c r="IZU5078" s="30"/>
      <c r="JBA5078" s="30"/>
      <c r="JCG5078" s="30"/>
      <c r="JDM5078" s="30"/>
      <c r="JES5078" s="30"/>
      <c r="JFY5078" s="30"/>
      <c r="JHE5078" s="30"/>
      <c r="JIK5078" s="30"/>
      <c r="JJQ5078" s="30"/>
      <c r="JKW5078" s="30"/>
      <c r="JMC5078" s="30"/>
      <c r="JNI5078" s="30"/>
      <c r="JOO5078" s="30"/>
      <c r="JPU5078" s="30"/>
      <c r="JRA5078" s="30"/>
      <c r="JSG5078" s="30"/>
      <c r="JTM5078" s="30"/>
      <c r="JUS5078" s="30"/>
      <c r="JVY5078" s="30"/>
      <c r="JXE5078" s="30"/>
      <c r="JYK5078" s="30"/>
      <c r="JZQ5078" s="30"/>
      <c r="KAW5078" s="30"/>
      <c r="KCC5078" s="30"/>
      <c r="KDI5078" s="30"/>
      <c r="KEO5078" s="30"/>
      <c r="KFU5078" s="30"/>
      <c r="KHA5078" s="30"/>
      <c r="KIG5078" s="30"/>
      <c r="KJM5078" s="30"/>
      <c r="KKS5078" s="30"/>
      <c r="KLY5078" s="30"/>
      <c r="KNE5078" s="30"/>
      <c r="KOK5078" s="30"/>
      <c r="KPQ5078" s="30"/>
      <c r="KQW5078" s="30"/>
      <c r="KSC5078" s="30"/>
      <c r="KTI5078" s="30"/>
      <c r="KUO5078" s="30"/>
      <c r="KVU5078" s="30"/>
      <c r="KXA5078" s="30"/>
      <c r="KYG5078" s="30"/>
      <c r="KZM5078" s="30"/>
      <c r="LAS5078" s="30"/>
      <c r="LBY5078" s="30"/>
      <c r="LDE5078" s="30"/>
      <c r="LEK5078" s="30"/>
      <c r="LFQ5078" s="30"/>
      <c r="LGW5078" s="30"/>
      <c r="LIC5078" s="30"/>
      <c r="LJI5078" s="30"/>
      <c r="LKO5078" s="30"/>
      <c r="LLU5078" s="30"/>
      <c r="LNA5078" s="30"/>
      <c r="LOG5078" s="30"/>
      <c r="LPM5078" s="30"/>
      <c r="LQS5078" s="30"/>
      <c r="LRY5078" s="30"/>
      <c r="LTE5078" s="30"/>
      <c r="LUK5078" s="30"/>
      <c r="LVQ5078" s="30"/>
      <c r="LWW5078" s="30"/>
      <c r="LYC5078" s="30"/>
      <c r="LZI5078" s="30"/>
      <c r="MAO5078" s="30"/>
      <c r="MBU5078" s="30"/>
      <c r="MDA5078" s="30"/>
      <c r="MEG5078" s="30"/>
      <c r="MFM5078" s="30"/>
      <c r="MGS5078" s="30"/>
      <c r="MHY5078" s="30"/>
      <c r="MJE5078" s="30"/>
      <c r="MKK5078" s="30"/>
      <c r="MLQ5078" s="30"/>
      <c r="MMW5078" s="30"/>
      <c r="MOC5078" s="30"/>
      <c r="MPI5078" s="30"/>
      <c r="MQO5078" s="30"/>
      <c r="MRU5078" s="30"/>
      <c r="MTA5078" s="30"/>
      <c r="MUG5078" s="30"/>
      <c r="MVM5078" s="30"/>
      <c r="MWS5078" s="30"/>
      <c r="MXY5078" s="30"/>
      <c r="MZE5078" s="30"/>
      <c r="NAK5078" s="30"/>
      <c r="NBQ5078" s="30"/>
      <c r="NCW5078" s="30"/>
      <c r="NEC5078" s="30"/>
      <c r="NFI5078" s="30"/>
      <c r="NGO5078" s="30"/>
      <c r="NHU5078" s="30"/>
      <c r="NJA5078" s="30"/>
      <c r="NKG5078" s="30"/>
      <c r="NLM5078" s="30"/>
      <c r="NMS5078" s="30"/>
      <c r="NNY5078" s="30"/>
      <c r="NPE5078" s="30"/>
      <c r="NQK5078" s="30"/>
      <c r="NRQ5078" s="30"/>
      <c r="NSW5078" s="30"/>
      <c r="NUC5078" s="30"/>
      <c r="NVI5078" s="30"/>
      <c r="NWO5078" s="30"/>
      <c r="NXU5078" s="30"/>
      <c r="NZA5078" s="30"/>
      <c r="OAG5078" s="30"/>
      <c r="OBM5078" s="30"/>
      <c r="OCS5078" s="30"/>
      <c r="ODY5078" s="30"/>
      <c r="OFE5078" s="30"/>
      <c r="OGK5078" s="30"/>
      <c r="OHQ5078" s="30"/>
      <c r="OIW5078" s="30"/>
      <c r="OKC5078" s="30"/>
      <c r="OLI5078" s="30"/>
      <c r="OMO5078" s="30"/>
      <c r="ONU5078" s="30"/>
      <c r="OPA5078" s="30"/>
      <c r="OQG5078" s="30"/>
      <c r="ORM5078" s="30"/>
      <c r="OSS5078" s="30"/>
      <c r="OTY5078" s="30"/>
      <c r="OVE5078" s="30"/>
      <c r="OWK5078" s="30"/>
      <c r="OXQ5078" s="30"/>
      <c r="OYW5078" s="30"/>
      <c r="PAC5078" s="30"/>
      <c r="PBI5078" s="30"/>
      <c r="PCO5078" s="30"/>
      <c r="PDU5078" s="30"/>
      <c r="PFA5078" s="30"/>
      <c r="PGG5078" s="30"/>
      <c r="PHM5078" s="30"/>
      <c r="PIS5078" s="30"/>
      <c r="PJY5078" s="30"/>
      <c r="PLE5078" s="30"/>
      <c r="PMK5078" s="30"/>
      <c r="PNQ5078" s="30"/>
      <c r="POW5078" s="30"/>
      <c r="PQC5078" s="30"/>
      <c r="PRI5078" s="30"/>
      <c r="PSO5078" s="30"/>
      <c r="PTU5078" s="30"/>
      <c r="PVA5078" s="30"/>
      <c r="PWG5078" s="30"/>
      <c r="PXM5078" s="30"/>
      <c r="PYS5078" s="30"/>
      <c r="PZY5078" s="30"/>
      <c r="QBE5078" s="30"/>
      <c r="QCK5078" s="30"/>
      <c r="QDQ5078" s="30"/>
      <c r="QEW5078" s="30"/>
      <c r="QGC5078" s="30"/>
      <c r="QHI5078" s="30"/>
      <c r="QIO5078" s="30"/>
      <c r="QJU5078" s="30"/>
      <c r="QLA5078" s="30"/>
      <c r="QMG5078" s="30"/>
      <c r="QNM5078" s="30"/>
      <c r="QOS5078" s="30"/>
      <c r="QPY5078" s="30"/>
      <c r="QRE5078" s="30"/>
      <c r="QSK5078" s="30"/>
      <c r="QTQ5078" s="30"/>
      <c r="QUW5078" s="30"/>
      <c r="QWC5078" s="30"/>
      <c r="QXI5078" s="30"/>
      <c r="QYO5078" s="30"/>
      <c r="QZU5078" s="30"/>
      <c r="RBA5078" s="30"/>
      <c r="RCG5078" s="30"/>
      <c r="RDM5078" s="30"/>
      <c r="RES5078" s="30"/>
      <c r="RFY5078" s="30"/>
      <c r="RHE5078" s="30"/>
      <c r="RIK5078" s="30"/>
      <c r="RJQ5078" s="30"/>
      <c r="RKW5078" s="30"/>
      <c r="RMC5078" s="30"/>
      <c r="RNI5078" s="30"/>
      <c r="ROO5078" s="30"/>
      <c r="RPU5078" s="30"/>
      <c r="RRA5078" s="30"/>
      <c r="RSG5078" s="30"/>
      <c r="RTM5078" s="30"/>
      <c r="RUS5078" s="30"/>
      <c r="RVY5078" s="30"/>
      <c r="RXE5078" s="30"/>
      <c r="RYK5078" s="30"/>
      <c r="RZQ5078" s="30"/>
      <c r="SAW5078" s="30"/>
      <c r="SCC5078" s="30"/>
      <c r="SDI5078" s="30"/>
      <c r="SEO5078" s="30"/>
      <c r="SFU5078" s="30"/>
      <c r="SHA5078" s="30"/>
      <c r="SIG5078" s="30"/>
      <c r="SJM5078" s="30"/>
      <c r="SKS5078" s="30"/>
      <c r="SLY5078" s="30"/>
      <c r="SNE5078" s="30"/>
      <c r="SOK5078" s="30"/>
      <c r="SPQ5078" s="30"/>
      <c r="SQW5078" s="30"/>
      <c r="SSC5078" s="30"/>
      <c r="STI5078" s="30"/>
      <c r="SUO5078" s="30"/>
      <c r="SVU5078" s="30"/>
      <c r="SXA5078" s="30"/>
      <c r="SYG5078" s="30"/>
      <c r="SZM5078" s="30"/>
      <c r="TAS5078" s="30"/>
      <c r="TBY5078" s="30"/>
      <c r="TDE5078" s="30"/>
      <c r="TEK5078" s="30"/>
      <c r="TFQ5078" s="30"/>
      <c r="TGW5078" s="30"/>
      <c r="TIC5078" s="30"/>
      <c r="TJI5078" s="30"/>
      <c r="TKO5078" s="30"/>
      <c r="TLU5078" s="30"/>
      <c r="TNA5078" s="30"/>
      <c r="TOG5078" s="30"/>
      <c r="TPM5078" s="30"/>
      <c r="TQS5078" s="30"/>
      <c r="TRY5078" s="30"/>
      <c r="TTE5078" s="30"/>
      <c r="TUK5078" s="30"/>
      <c r="TVQ5078" s="30"/>
      <c r="TWW5078" s="30"/>
      <c r="TYC5078" s="30"/>
      <c r="TZI5078" s="30"/>
      <c r="UAO5078" s="30"/>
      <c r="UBU5078" s="30"/>
      <c r="UDA5078" s="30"/>
      <c r="UEG5078" s="30"/>
      <c r="UFM5078" s="30"/>
      <c r="UGS5078" s="30"/>
      <c r="UHY5078" s="30"/>
      <c r="UJE5078" s="30"/>
      <c r="UKK5078" s="30"/>
      <c r="ULQ5078" s="30"/>
      <c r="UMW5078" s="30"/>
      <c r="UOC5078" s="30"/>
      <c r="UPI5078" s="30"/>
      <c r="UQO5078" s="30"/>
      <c r="URU5078" s="30"/>
      <c r="UTA5078" s="30"/>
      <c r="UUG5078" s="30"/>
      <c r="UVM5078" s="30"/>
      <c r="UWS5078" s="30"/>
      <c r="UXY5078" s="30"/>
      <c r="UZE5078" s="30"/>
      <c r="VAK5078" s="30"/>
      <c r="VBQ5078" s="30"/>
      <c r="VCW5078" s="30"/>
      <c r="VEC5078" s="30"/>
      <c r="VFI5078" s="30"/>
      <c r="VGO5078" s="30"/>
      <c r="VHU5078" s="30"/>
      <c r="VJA5078" s="30"/>
      <c r="VKG5078" s="30"/>
      <c r="VLM5078" s="30"/>
      <c r="VMS5078" s="30"/>
      <c r="VNY5078" s="30"/>
      <c r="VPE5078" s="30"/>
      <c r="VQK5078" s="30"/>
      <c r="VRQ5078" s="30"/>
      <c r="VSW5078" s="30"/>
      <c r="VUC5078" s="30"/>
      <c r="VVI5078" s="30"/>
      <c r="VWO5078" s="30"/>
      <c r="VXU5078" s="30"/>
      <c r="VZA5078" s="30"/>
      <c r="WAG5078" s="30"/>
      <c r="WBM5078" s="30"/>
      <c r="WCS5078" s="30"/>
      <c r="WDY5078" s="30"/>
      <c r="WFE5078" s="30"/>
      <c r="WGK5078" s="30"/>
      <c r="WHQ5078" s="30"/>
      <c r="WIW5078" s="30"/>
      <c r="WKC5078" s="30"/>
      <c r="WLI5078" s="30"/>
      <c r="WMO5078" s="30"/>
      <c r="WNU5078" s="30"/>
      <c r="WPA5078" s="30"/>
      <c r="WQG5078" s="30"/>
      <c r="WRM5078" s="30"/>
      <c r="WSS5078" s="30"/>
      <c r="WTY5078" s="30"/>
      <c r="WVE5078" s="30"/>
      <c r="WWK5078" s="30"/>
      <c r="WXQ5078" s="30"/>
      <c r="WYW5078" s="30"/>
      <c r="XAC5078" s="30"/>
      <c r="XBI5078" s="30"/>
      <c r="XCO5078" s="30"/>
      <c r="XDU5078" s="30"/>
    </row>
    <row r="5079" spans="1:16372">
      <c r="A5079" s="1">
        <v>50</v>
      </c>
      <c r="B5079" s="1">
        <v>1.871</v>
      </c>
      <c r="C5079" s="1">
        <v>1.845</v>
      </c>
      <c r="D5079" s="1">
        <v>1.8320000000000001</v>
      </c>
      <c r="E5079" s="1">
        <v>1.819</v>
      </c>
      <c r="F5079" s="1">
        <v>1.806</v>
      </c>
      <c r="G5079" s="1">
        <v>1.794</v>
      </c>
      <c r="H5079" s="1">
        <v>1.768</v>
      </c>
      <c r="I5079" s="1">
        <v>1.742</v>
      </c>
      <c r="J5079" s="21">
        <v>4800</v>
      </c>
      <c r="K5079" s="1">
        <v>100</v>
      </c>
      <c r="L5079" s="1">
        <v>0</v>
      </c>
      <c r="M5079" s="1">
        <v>0</v>
      </c>
      <c r="N5079" s="1">
        <v>-95.177000000000007</v>
      </c>
      <c r="O5079" s="1">
        <v>-56.392000000000003</v>
      </c>
      <c r="P5079" s="365">
        <v>0</v>
      </c>
      <c r="Q5079" s="1">
        <v>56.393999999999998</v>
      </c>
      <c r="R5079" s="1">
        <v>112.82899999999999</v>
      </c>
      <c r="S5079" s="1">
        <v>169.339</v>
      </c>
      <c r="T5079" s="1">
        <v>225.96100000000001</v>
      </c>
      <c r="U5079" s="25"/>
      <c r="W5079" s="1">
        <f>IF(W5078=W5077,W5077,Interp1(V5077:V5078,W5077:W5078,W5076))</f>
        <v>0</v>
      </c>
      <c r="Y5079" s="42"/>
      <c r="AA5079" s="30"/>
      <c r="AB5079" s="42"/>
      <c r="AC5079" s="919"/>
      <c r="AD5079" s="918"/>
      <c r="AE5079" s="918"/>
      <c r="AF5079" s="918"/>
      <c r="AG5079" s="918"/>
      <c r="AH5079" s="918"/>
      <c r="AI5079" s="918"/>
      <c r="AJ5079" s="918"/>
      <c r="AK5079" s="918"/>
      <c r="AL5079" s="918"/>
      <c r="AM5079" s="918"/>
      <c r="AN5079" s="918"/>
      <c r="AP5079" s="918"/>
      <c r="AQ5079" s="918"/>
      <c r="AR5079" s="918"/>
      <c r="AS5079" s="918"/>
      <c r="AT5079" s="918"/>
      <c r="AU5079" s="918"/>
      <c r="AV5079" s="918"/>
      <c r="AW5079" s="918"/>
      <c r="AX5079" s="918"/>
      <c r="AY5079" s="918"/>
      <c r="BA5079" s="913" t="s">
        <v>1</v>
      </c>
      <c r="BB5079" s="31"/>
      <c r="BC5079" s="909" t="s">
        <v>0</v>
      </c>
      <c r="BD5079" s="909"/>
      <c r="BE5079" s="909"/>
      <c r="BF5079" s="909"/>
      <c r="BG5079" s="909"/>
      <c r="BH5079" s="909"/>
      <c r="BI5079" s="907" t="s">
        <v>79</v>
      </c>
      <c r="BJ5079" s="909" t="s">
        <v>68</v>
      </c>
      <c r="BK5079" s="910" t="s">
        <v>75</v>
      </c>
      <c r="BL5079" s="911"/>
      <c r="BM5079" s="911"/>
      <c r="BN5079" s="911"/>
      <c r="BO5079" s="911"/>
      <c r="BP5079" s="911"/>
      <c r="BQ5079" s="911"/>
      <c r="BR5079" s="911"/>
      <c r="BS5079" s="911"/>
      <c r="BT5079" s="911"/>
      <c r="BU5079" s="32"/>
      <c r="BV5079" s="911" t="s">
        <v>74</v>
      </c>
      <c r="BW5079" s="911"/>
      <c r="BX5079" s="911"/>
      <c r="BY5079" s="911"/>
      <c r="BZ5079" s="911"/>
      <c r="CA5079" s="911"/>
      <c r="CB5079" s="911"/>
      <c r="CC5079" s="911"/>
      <c r="CD5079" s="911"/>
      <c r="CE5079" s="912"/>
      <c r="CG5079" s="913" t="s">
        <v>1</v>
      </c>
      <c r="CH5079" s="31"/>
      <c r="CI5079" s="909" t="s">
        <v>0</v>
      </c>
      <c r="CJ5079" s="909"/>
      <c r="CK5079" s="909"/>
      <c r="CL5079" s="909"/>
      <c r="CM5079" s="909"/>
      <c r="CN5079" s="909"/>
      <c r="CO5079" s="907" t="s">
        <v>79</v>
      </c>
      <c r="CP5079" s="909" t="s">
        <v>68</v>
      </c>
      <c r="CQ5079" s="910" t="s">
        <v>75</v>
      </c>
      <c r="CR5079" s="911"/>
      <c r="CS5079" s="911"/>
      <c r="CT5079" s="911"/>
      <c r="CU5079" s="911"/>
      <c r="CV5079" s="911"/>
      <c r="CW5079" s="911"/>
      <c r="CX5079" s="911"/>
      <c r="CY5079" s="911"/>
      <c r="CZ5079" s="911"/>
      <c r="DA5079" s="32"/>
      <c r="DB5079" s="911" t="s">
        <v>74</v>
      </c>
      <c r="DC5079" s="911"/>
      <c r="DD5079" s="911"/>
      <c r="DE5079" s="911"/>
      <c r="DF5079" s="911"/>
      <c r="DG5079" s="911"/>
      <c r="DH5079" s="911"/>
      <c r="DI5079" s="911"/>
      <c r="DJ5079" s="911"/>
      <c r="DK5079" s="912"/>
      <c r="DM5079" s="913" t="s">
        <v>1</v>
      </c>
      <c r="DN5079" s="31"/>
      <c r="DO5079" s="909" t="s">
        <v>0</v>
      </c>
      <c r="DP5079" s="909"/>
      <c r="DQ5079" s="909"/>
      <c r="DR5079" s="909"/>
      <c r="DS5079" s="909"/>
      <c r="DT5079" s="909"/>
      <c r="DU5079" s="907" t="s">
        <v>79</v>
      </c>
      <c r="DV5079" s="909" t="s">
        <v>68</v>
      </c>
      <c r="DW5079" s="910" t="s">
        <v>75</v>
      </c>
      <c r="DX5079" s="911"/>
      <c r="DY5079" s="911"/>
      <c r="DZ5079" s="911"/>
      <c r="EA5079" s="911"/>
      <c r="EB5079" s="911"/>
      <c r="EC5079" s="911"/>
      <c r="ED5079" s="911"/>
      <c r="EE5079" s="911"/>
      <c r="EF5079" s="911"/>
      <c r="EG5079" s="32"/>
      <c r="EH5079" s="911" t="s">
        <v>74</v>
      </c>
      <c r="EI5079" s="911"/>
      <c r="EJ5079" s="911"/>
      <c r="EK5079" s="911"/>
      <c r="EL5079" s="911"/>
      <c r="EM5079" s="911"/>
      <c r="EN5079" s="911"/>
      <c r="EO5079" s="911"/>
      <c r="EP5079" s="911"/>
      <c r="EQ5079" s="912"/>
      <c r="ES5079" s="913" t="s">
        <v>1</v>
      </c>
      <c r="ET5079" s="31"/>
      <c r="EU5079" s="909" t="s">
        <v>0</v>
      </c>
      <c r="EV5079" s="909"/>
      <c r="EW5079" s="909"/>
      <c r="EX5079" s="909"/>
      <c r="EY5079" s="909"/>
      <c r="EZ5079" s="909"/>
      <c r="FA5079" s="907" t="s">
        <v>79</v>
      </c>
      <c r="FB5079" s="909" t="s">
        <v>68</v>
      </c>
      <c r="FC5079" s="910" t="s">
        <v>75</v>
      </c>
      <c r="FD5079" s="911"/>
      <c r="FE5079" s="911"/>
      <c r="FF5079" s="911"/>
      <c r="FG5079" s="911"/>
      <c r="FH5079" s="911"/>
      <c r="FI5079" s="911"/>
      <c r="FJ5079" s="911"/>
      <c r="FK5079" s="911"/>
      <c r="FL5079" s="911"/>
      <c r="FM5079" s="32"/>
      <c r="FN5079" s="911" t="s">
        <v>74</v>
      </c>
      <c r="FO5079" s="911"/>
      <c r="FP5079" s="911"/>
      <c r="FQ5079" s="911"/>
      <c r="FR5079" s="911"/>
      <c r="FS5079" s="911"/>
      <c r="FT5079" s="911"/>
      <c r="FU5079" s="911"/>
      <c r="FV5079" s="911"/>
      <c r="FW5079" s="912"/>
      <c r="FY5079" s="913" t="s">
        <v>1</v>
      </c>
      <c r="FZ5079" s="31"/>
      <c r="GA5079" s="909" t="s">
        <v>0</v>
      </c>
      <c r="GB5079" s="909"/>
      <c r="GC5079" s="909"/>
      <c r="GD5079" s="909"/>
      <c r="GE5079" s="909"/>
      <c r="GF5079" s="909"/>
      <c r="GG5079" s="907" t="s">
        <v>79</v>
      </c>
      <c r="GH5079" s="909" t="s">
        <v>68</v>
      </c>
      <c r="GI5079" s="910" t="s">
        <v>75</v>
      </c>
      <c r="GJ5079" s="911"/>
      <c r="GK5079" s="911"/>
      <c r="GL5079" s="911"/>
      <c r="GM5079" s="911"/>
      <c r="GN5079" s="911"/>
      <c r="GO5079" s="911"/>
      <c r="GP5079" s="911"/>
      <c r="GQ5079" s="911"/>
      <c r="GR5079" s="911"/>
      <c r="GS5079" s="32"/>
      <c r="GT5079" s="911" t="s">
        <v>74</v>
      </c>
      <c r="GU5079" s="911"/>
      <c r="GV5079" s="911"/>
      <c r="GW5079" s="911"/>
      <c r="GX5079" s="911"/>
      <c r="GY5079" s="911"/>
      <c r="GZ5079" s="911"/>
      <c r="HA5079" s="911"/>
      <c r="HB5079" s="911"/>
      <c r="HC5079" s="912"/>
      <c r="HE5079" s="913" t="s">
        <v>1</v>
      </c>
      <c r="HF5079" s="31"/>
      <c r="HG5079" s="909" t="s">
        <v>0</v>
      </c>
      <c r="HH5079" s="909"/>
      <c r="HI5079" s="909"/>
      <c r="HJ5079" s="909"/>
      <c r="HK5079" s="909"/>
      <c r="HL5079" s="909"/>
      <c r="HM5079" s="907" t="s">
        <v>79</v>
      </c>
      <c r="HN5079" s="909" t="s">
        <v>68</v>
      </c>
      <c r="HO5079" s="910" t="s">
        <v>75</v>
      </c>
      <c r="HP5079" s="911"/>
      <c r="HQ5079" s="911"/>
      <c r="HR5079" s="911"/>
      <c r="HS5079" s="911"/>
      <c r="HT5079" s="911"/>
      <c r="HU5079" s="911"/>
      <c r="HV5079" s="911"/>
      <c r="HW5079" s="911"/>
      <c r="HX5079" s="911"/>
      <c r="HY5079" s="32"/>
      <c r="HZ5079" s="911" t="s">
        <v>74</v>
      </c>
      <c r="IA5079" s="911"/>
      <c r="IB5079" s="911"/>
      <c r="IC5079" s="911"/>
      <c r="ID5079" s="911"/>
      <c r="IE5079" s="911"/>
      <c r="IF5079" s="911"/>
      <c r="IG5079" s="911"/>
      <c r="IH5079" s="911"/>
      <c r="II5079" s="912"/>
      <c r="IK5079" s="913" t="s">
        <v>1</v>
      </c>
      <c r="IL5079" s="31"/>
      <c r="IM5079" s="909" t="s">
        <v>0</v>
      </c>
      <c r="IN5079" s="909"/>
      <c r="IO5079" s="909"/>
      <c r="IP5079" s="909"/>
      <c r="IQ5079" s="909"/>
      <c r="IR5079" s="909"/>
      <c r="IS5079" s="907" t="s">
        <v>79</v>
      </c>
      <c r="IT5079" s="909" t="s">
        <v>68</v>
      </c>
      <c r="IU5079" s="910" t="s">
        <v>75</v>
      </c>
      <c r="IV5079" s="911"/>
      <c r="IW5079" s="911"/>
      <c r="IX5079" s="911"/>
      <c r="IY5079" s="911"/>
      <c r="IZ5079" s="911"/>
      <c r="JA5079" s="911"/>
      <c r="JB5079" s="911"/>
      <c r="JC5079" s="911"/>
      <c r="JD5079" s="911"/>
      <c r="JE5079" s="32"/>
      <c r="JF5079" s="911" t="s">
        <v>74</v>
      </c>
      <c r="JG5079" s="911"/>
      <c r="JH5079" s="911"/>
      <c r="JI5079" s="911"/>
      <c r="JJ5079" s="911"/>
      <c r="JK5079" s="911"/>
      <c r="JL5079" s="911"/>
      <c r="JM5079" s="911"/>
      <c r="JN5079" s="911"/>
      <c r="JO5079" s="912"/>
      <c r="JQ5079" s="913" t="s">
        <v>1</v>
      </c>
      <c r="JR5079" s="31"/>
      <c r="JS5079" s="909" t="s">
        <v>0</v>
      </c>
      <c r="JT5079" s="909"/>
      <c r="JU5079" s="909"/>
      <c r="JV5079" s="909"/>
      <c r="JW5079" s="909"/>
      <c r="JX5079" s="909"/>
      <c r="JY5079" s="907" t="s">
        <v>79</v>
      </c>
      <c r="JZ5079" s="909" t="s">
        <v>68</v>
      </c>
      <c r="KA5079" s="910" t="s">
        <v>75</v>
      </c>
      <c r="KB5079" s="911"/>
      <c r="KC5079" s="911"/>
      <c r="KD5079" s="911"/>
      <c r="KE5079" s="911"/>
      <c r="KF5079" s="911"/>
      <c r="KG5079" s="911"/>
      <c r="KH5079" s="911"/>
      <c r="KI5079" s="911"/>
      <c r="KJ5079" s="911"/>
      <c r="KK5079" s="32"/>
      <c r="KL5079" s="911" t="s">
        <v>74</v>
      </c>
      <c r="KM5079" s="911"/>
      <c r="KN5079" s="911"/>
      <c r="KO5079" s="911"/>
      <c r="KP5079" s="911"/>
      <c r="KQ5079" s="911"/>
      <c r="KR5079" s="911"/>
      <c r="KS5079" s="911"/>
      <c r="KT5079" s="911"/>
      <c r="KU5079" s="912"/>
      <c r="KW5079" s="913" t="s">
        <v>1</v>
      </c>
      <c r="KX5079" s="31"/>
      <c r="KY5079" s="909" t="s">
        <v>0</v>
      </c>
      <c r="KZ5079" s="909"/>
      <c r="LA5079" s="909"/>
      <c r="LB5079" s="909"/>
      <c r="LC5079" s="909"/>
      <c r="LD5079" s="909"/>
      <c r="LE5079" s="907" t="s">
        <v>79</v>
      </c>
      <c r="LF5079" s="909" t="s">
        <v>68</v>
      </c>
      <c r="LG5079" s="910" t="s">
        <v>75</v>
      </c>
      <c r="LH5079" s="911"/>
      <c r="LI5079" s="911"/>
      <c r="LJ5079" s="911"/>
      <c r="LK5079" s="911"/>
      <c r="LL5079" s="911"/>
      <c r="LM5079" s="911"/>
      <c r="LN5079" s="911"/>
      <c r="LO5079" s="911"/>
      <c r="LP5079" s="911"/>
      <c r="LQ5079" s="32"/>
      <c r="LR5079" s="911" t="s">
        <v>74</v>
      </c>
      <c r="LS5079" s="911"/>
      <c r="LT5079" s="911"/>
      <c r="LU5079" s="911"/>
      <c r="LV5079" s="911"/>
      <c r="LW5079" s="911"/>
      <c r="LX5079" s="911"/>
      <c r="LY5079" s="911"/>
      <c r="LZ5079" s="911"/>
      <c r="MA5079" s="912"/>
      <c r="MC5079" s="913" t="s">
        <v>1</v>
      </c>
      <c r="MD5079" s="31"/>
      <c r="ME5079" s="909" t="s">
        <v>0</v>
      </c>
      <c r="MF5079" s="909"/>
      <c r="MG5079" s="909"/>
      <c r="MH5079" s="909"/>
      <c r="MI5079" s="909"/>
      <c r="MJ5079" s="909"/>
      <c r="MK5079" s="907" t="s">
        <v>79</v>
      </c>
      <c r="ML5079" s="909" t="s">
        <v>68</v>
      </c>
      <c r="MM5079" s="910" t="s">
        <v>75</v>
      </c>
      <c r="MN5079" s="911"/>
      <c r="MO5079" s="911"/>
      <c r="MP5079" s="911"/>
      <c r="MQ5079" s="911"/>
      <c r="MR5079" s="911"/>
      <c r="MS5079" s="911"/>
      <c r="MT5079" s="911"/>
      <c r="MU5079" s="911"/>
      <c r="MV5079" s="911"/>
      <c r="MW5079" s="32"/>
      <c r="MX5079" s="911" t="s">
        <v>74</v>
      </c>
      <c r="MY5079" s="911"/>
      <c r="MZ5079" s="911"/>
      <c r="NA5079" s="911"/>
      <c r="NB5079" s="911"/>
      <c r="NC5079" s="911"/>
      <c r="ND5079" s="911"/>
      <c r="NE5079" s="911"/>
      <c r="NF5079" s="911"/>
      <c r="NG5079" s="912"/>
      <c r="NI5079" s="913" t="s">
        <v>1</v>
      </c>
      <c r="NJ5079" s="31"/>
      <c r="NK5079" s="909" t="s">
        <v>0</v>
      </c>
      <c r="NL5079" s="909"/>
      <c r="NM5079" s="909"/>
      <c r="NN5079" s="909"/>
      <c r="NO5079" s="909"/>
      <c r="NP5079" s="909"/>
      <c r="NQ5079" s="907" t="s">
        <v>79</v>
      </c>
      <c r="NR5079" s="909" t="s">
        <v>68</v>
      </c>
      <c r="NS5079" s="910" t="s">
        <v>75</v>
      </c>
      <c r="NT5079" s="911"/>
      <c r="NU5079" s="911"/>
      <c r="NV5079" s="911"/>
      <c r="NW5079" s="911"/>
      <c r="NX5079" s="911"/>
      <c r="NY5079" s="911"/>
      <c r="NZ5079" s="911"/>
      <c r="OA5079" s="911"/>
      <c r="OB5079" s="911"/>
      <c r="OC5079" s="32"/>
      <c r="OD5079" s="911" t="s">
        <v>74</v>
      </c>
      <c r="OE5079" s="911"/>
      <c r="OF5079" s="911"/>
      <c r="OG5079" s="911"/>
      <c r="OH5079" s="911"/>
      <c r="OI5079" s="911"/>
      <c r="OJ5079" s="911"/>
      <c r="OK5079" s="911"/>
      <c r="OL5079" s="911"/>
      <c r="OM5079" s="912"/>
      <c r="OO5079" s="913" t="s">
        <v>1</v>
      </c>
      <c r="OP5079" s="31"/>
      <c r="OQ5079" s="909" t="s">
        <v>0</v>
      </c>
      <c r="OR5079" s="909"/>
      <c r="OS5079" s="909"/>
      <c r="OT5079" s="909"/>
      <c r="OU5079" s="909"/>
      <c r="OV5079" s="909"/>
      <c r="OW5079" s="907" t="s">
        <v>79</v>
      </c>
      <c r="OX5079" s="909" t="s">
        <v>68</v>
      </c>
      <c r="OY5079" s="910" t="s">
        <v>75</v>
      </c>
      <c r="OZ5079" s="911"/>
      <c r="PA5079" s="911"/>
      <c r="PB5079" s="911"/>
      <c r="PC5079" s="911"/>
      <c r="PD5079" s="911"/>
      <c r="PE5079" s="911"/>
      <c r="PF5079" s="911"/>
      <c r="PG5079" s="911"/>
      <c r="PH5079" s="911"/>
      <c r="PI5079" s="32"/>
      <c r="PJ5079" s="911" t="s">
        <v>74</v>
      </c>
      <c r="PK5079" s="911"/>
      <c r="PL5079" s="911"/>
      <c r="PM5079" s="911"/>
      <c r="PN5079" s="911"/>
      <c r="PO5079" s="911"/>
      <c r="PP5079" s="911"/>
      <c r="PQ5079" s="911"/>
      <c r="PR5079" s="911"/>
      <c r="PS5079" s="912"/>
      <c r="PU5079" s="913" t="s">
        <v>1</v>
      </c>
      <c r="PV5079" s="31"/>
      <c r="PW5079" s="909" t="s">
        <v>0</v>
      </c>
      <c r="PX5079" s="909"/>
      <c r="PY5079" s="909"/>
      <c r="PZ5079" s="909"/>
      <c r="QA5079" s="909"/>
      <c r="QB5079" s="909"/>
      <c r="QC5079" s="907" t="s">
        <v>79</v>
      </c>
      <c r="QD5079" s="909" t="s">
        <v>68</v>
      </c>
      <c r="QE5079" s="910" t="s">
        <v>75</v>
      </c>
      <c r="QF5079" s="911"/>
      <c r="QG5079" s="911"/>
      <c r="QH5079" s="911"/>
      <c r="QI5079" s="911"/>
      <c r="QJ5079" s="911"/>
      <c r="QK5079" s="911"/>
      <c r="QL5079" s="911"/>
      <c r="QM5079" s="911"/>
      <c r="QN5079" s="911"/>
      <c r="QO5079" s="32"/>
      <c r="QP5079" s="911" t="s">
        <v>74</v>
      </c>
      <c r="QQ5079" s="911"/>
      <c r="QR5079" s="911"/>
      <c r="QS5079" s="911"/>
      <c r="QT5079" s="911"/>
      <c r="QU5079" s="911"/>
      <c r="QV5079" s="911"/>
      <c r="QW5079" s="911"/>
      <c r="QX5079" s="911"/>
      <c r="QY5079" s="912"/>
      <c r="RA5079" s="913" t="s">
        <v>1</v>
      </c>
      <c r="RB5079" s="31"/>
      <c r="RC5079" s="909" t="s">
        <v>0</v>
      </c>
      <c r="RD5079" s="909"/>
      <c r="RE5079" s="909"/>
      <c r="RF5079" s="909"/>
      <c r="RG5079" s="909"/>
      <c r="RH5079" s="909"/>
      <c r="RI5079" s="907" t="s">
        <v>79</v>
      </c>
      <c r="RJ5079" s="909" t="s">
        <v>68</v>
      </c>
      <c r="RK5079" s="910" t="s">
        <v>75</v>
      </c>
      <c r="RL5079" s="911"/>
      <c r="RM5079" s="911"/>
      <c r="RN5079" s="911"/>
      <c r="RO5079" s="911"/>
      <c r="RP5079" s="911"/>
      <c r="RQ5079" s="911"/>
      <c r="RR5079" s="911"/>
      <c r="RS5079" s="911"/>
      <c r="RT5079" s="911"/>
      <c r="RU5079" s="32"/>
      <c r="RV5079" s="911" t="s">
        <v>74</v>
      </c>
      <c r="RW5079" s="911"/>
      <c r="RX5079" s="911"/>
      <c r="RY5079" s="911"/>
      <c r="RZ5079" s="911"/>
      <c r="SA5079" s="911"/>
      <c r="SB5079" s="911"/>
      <c r="SC5079" s="911"/>
      <c r="SD5079" s="911"/>
      <c r="SE5079" s="912"/>
      <c r="SG5079" s="913" t="s">
        <v>1</v>
      </c>
      <c r="SH5079" s="31"/>
      <c r="SI5079" s="909" t="s">
        <v>0</v>
      </c>
      <c r="SJ5079" s="909"/>
      <c r="SK5079" s="909"/>
      <c r="SL5079" s="909"/>
      <c r="SM5079" s="909"/>
      <c r="SN5079" s="909"/>
      <c r="SO5079" s="907" t="s">
        <v>79</v>
      </c>
      <c r="SP5079" s="909" t="s">
        <v>68</v>
      </c>
      <c r="SQ5079" s="910" t="s">
        <v>75</v>
      </c>
      <c r="SR5079" s="911"/>
      <c r="SS5079" s="911"/>
      <c r="ST5079" s="911"/>
      <c r="SU5079" s="911"/>
      <c r="SV5079" s="911"/>
      <c r="SW5079" s="911"/>
      <c r="SX5079" s="911"/>
      <c r="SY5079" s="911"/>
      <c r="SZ5079" s="911"/>
      <c r="TA5079" s="32"/>
      <c r="TB5079" s="911" t="s">
        <v>74</v>
      </c>
      <c r="TC5079" s="911"/>
      <c r="TD5079" s="911"/>
      <c r="TE5079" s="911"/>
      <c r="TF5079" s="911"/>
      <c r="TG5079" s="911"/>
      <c r="TH5079" s="911"/>
      <c r="TI5079" s="911"/>
      <c r="TJ5079" s="911"/>
      <c r="TK5079" s="912"/>
      <c r="TM5079" s="913" t="s">
        <v>1</v>
      </c>
      <c r="TN5079" s="31"/>
      <c r="TO5079" s="909" t="s">
        <v>0</v>
      </c>
      <c r="TP5079" s="909"/>
      <c r="TQ5079" s="909"/>
      <c r="TR5079" s="909"/>
      <c r="TS5079" s="909"/>
      <c r="TT5079" s="909"/>
      <c r="TU5079" s="907" t="s">
        <v>79</v>
      </c>
      <c r="TV5079" s="909" t="s">
        <v>68</v>
      </c>
      <c r="TW5079" s="910" t="s">
        <v>75</v>
      </c>
      <c r="TX5079" s="911"/>
      <c r="TY5079" s="911"/>
      <c r="TZ5079" s="911"/>
      <c r="UA5079" s="911"/>
      <c r="UB5079" s="911"/>
      <c r="UC5079" s="911"/>
      <c r="UD5079" s="911"/>
      <c r="UE5079" s="911"/>
      <c r="UF5079" s="911"/>
      <c r="UG5079" s="32"/>
      <c r="UH5079" s="911" t="s">
        <v>74</v>
      </c>
      <c r="UI5079" s="911"/>
      <c r="UJ5079" s="911"/>
      <c r="UK5079" s="911"/>
      <c r="UL5079" s="911"/>
      <c r="UM5079" s="911"/>
      <c r="UN5079" s="911"/>
      <c r="UO5079" s="911"/>
      <c r="UP5079" s="911"/>
      <c r="UQ5079" s="912"/>
      <c r="US5079" s="913" t="s">
        <v>1</v>
      </c>
      <c r="UT5079" s="31"/>
      <c r="UU5079" s="909" t="s">
        <v>0</v>
      </c>
      <c r="UV5079" s="909"/>
      <c r="UW5079" s="909"/>
      <c r="UX5079" s="909"/>
      <c r="UY5079" s="909"/>
      <c r="UZ5079" s="909"/>
      <c r="VA5079" s="907" t="s">
        <v>79</v>
      </c>
      <c r="VB5079" s="909" t="s">
        <v>68</v>
      </c>
      <c r="VC5079" s="910" t="s">
        <v>75</v>
      </c>
      <c r="VD5079" s="911"/>
      <c r="VE5079" s="911"/>
      <c r="VF5079" s="911"/>
      <c r="VG5079" s="911"/>
      <c r="VH5079" s="911"/>
      <c r="VI5079" s="911"/>
      <c r="VJ5079" s="911"/>
      <c r="VK5079" s="911"/>
      <c r="VL5079" s="911"/>
      <c r="VM5079" s="32"/>
      <c r="VN5079" s="911" t="s">
        <v>74</v>
      </c>
      <c r="VO5079" s="911"/>
      <c r="VP5079" s="911"/>
      <c r="VQ5079" s="911"/>
      <c r="VR5079" s="911"/>
      <c r="VS5079" s="911"/>
      <c r="VT5079" s="911"/>
      <c r="VU5079" s="911"/>
      <c r="VV5079" s="911"/>
      <c r="VW5079" s="912"/>
      <c r="VY5079" s="913" t="s">
        <v>1</v>
      </c>
      <c r="VZ5079" s="31"/>
      <c r="WA5079" s="909" t="s">
        <v>0</v>
      </c>
      <c r="WB5079" s="909"/>
      <c r="WC5079" s="909"/>
      <c r="WD5079" s="909"/>
      <c r="WE5079" s="909"/>
      <c r="WF5079" s="909"/>
      <c r="WG5079" s="907" t="s">
        <v>79</v>
      </c>
      <c r="WH5079" s="909" t="s">
        <v>68</v>
      </c>
      <c r="WI5079" s="910" t="s">
        <v>75</v>
      </c>
      <c r="WJ5079" s="911"/>
      <c r="WK5079" s="911"/>
      <c r="WL5079" s="911"/>
      <c r="WM5079" s="911"/>
      <c r="WN5079" s="911"/>
      <c r="WO5079" s="911"/>
      <c r="WP5079" s="911"/>
      <c r="WQ5079" s="911"/>
      <c r="WR5079" s="911"/>
      <c r="WS5079" s="32"/>
      <c r="WT5079" s="911" t="s">
        <v>74</v>
      </c>
      <c r="WU5079" s="911"/>
      <c r="WV5079" s="911"/>
      <c r="WW5079" s="911"/>
      <c r="WX5079" s="911"/>
      <c r="WY5079" s="911"/>
      <c r="WZ5079" s="911"/>
      <c r="XA5079" s="911"/>
      <c r="XB5079" s="911"/>
      <c r="XC5079" s="912"/>
      <c r="XE5079" s="913" t="s">
        <v>1</v>
      </c>
      <c r="XF5079" s="31"/>
      <c r="XG5079" s="909" t="s">
        <v>0</v>
      </c>
      <c r="XH5079" s="909"/>
      <c r="XI5079" s="909"/>
      <c r="XJ5079" s="909"/>
      <c r="XK5079" s="909"/>
      <c r="XL5079" s="909"/>
      <c r="XM5079" s="907" t="s">
        <v>79</v>
      </c>
      <c r="XN5079" s="909" t="s">
        <v>68</v>
      </c>
      <c r="XO5079" s="910" t="s">
        <v>75</v>
      </c>
      <c r="XP5079" s="911"/>
      <c r="XQ5079" s="911"/>
      <c r="XR5079" s="911"/>
      <c r="XS5079" s="911"/>
      <c r="XT5079" s="911"/>
      <c r="XU5079" s="911"/>
      <c r="XV5079" s="911"/>
      <c r="XW5079" s="911"/>
      <c r="XX5079" s="911"/>
      <c r="XY5079" s="32"/>
      <c r="XZ5079" s="911" t="s">
        <v>74</v>
      </c>
      <c r="YA5079" s="911"/>
      <c r="YB5079" s="911"/>
      <c r="YC5079" s="911"/>
      <c r="YD5079" s="911"/>
      <c r="YE5079" s="911"/>
      <c r="YF5079" s="911"/>
      <c r="YG5079" s="911"/>
      <c r="YH5079" s="911"/>
      <c r="YI5079" s="912"/>
      <c r="YK5079" s="913" t="s">
        <v>1</v>
      </c>
      <c r="YL5079" s="31"/>
      <c r="YM5079" s="909" t="s">
        <v>0</v>
      </c>
      <c r="YN5079" s="909"/>
      <c r="YO5079" s="909"/>
      <c r="YP5079" s="909"/>
      <c r="YQ5079" s="909"/>
      <c r="YR5079" s="909"/>
      <c r="YS5079" s="907" t="s">
        <v>79</v>
      </c>
      <c r="YT5079" s="909" t="s">
        <v>68</v>
      </c>
      <c r="YU5079" s="910" t="s">
        <v>75</v>
      </c>
      <c r="YV5079" s="911"/>
      <c r="YW5079" s="911"/>
      <c r="YX5079" s="911"/>
      <c r="YY5079" s="911"/>
      <c r="YZ5079" s="911"/>
      <c r="ZA5079" s="911"/>
      <c r="ZB5079" s="911"/>
      <c r="ZC5079" s="911"/>
      <c r="ZD5079" s="911"/>
      <c r="ZE5079" s="32"/>
      <c r="ZF5079" s="911" t="s">
        <v>74</v>
      </c>
      <c r="ZG5079" s="911"/>
      <c r="ZH5079" s="911"/>
      <c r="ZI5079" s="911"/>
      <c r="ZJ5079" s="911"/>
      <c r="ZK5079" s="911"/>
      <c r="ZL5079" s="911"/>
      <c r="ZM5079" s="911"/>
      <c r="ZN5079" s="911"/>
      <c r="ZO5079" s="912"/>
      <c r="ZQ5079" s="913" t="s">
        <v>1</v>
      </c>
      <c r="ZR5079" s="31"/>
      <c r="ZS5079" s="909" t="s">
        <v>0</v>
      </c>
      <c r="ZT5079" s="909"/>
      <c r="ZU5079" s="909"/>
      <c r="ZV5079" s="909"/>
      <c r="ZW5079" s="909"/>
      <c r="ZX5079" s="909"/>
      <c r="ZY5079" s="907" t="s">
        <v>79</v>
      </c>
      <c r="ZZ5079" s="909" t="s">
        <v>68</v>
      </c>
      <c r="AAA5079" s="910" t="s">
        <v>75</v>
      </c>
      <c r="AAB5079" s="911"/>
      <c r="AAC5079" s="911"/>
      <c r="AAD5079" s="911"/>
      <c r="AAE5079" s="911"/>
      <c r="AAF5079" s="911"/>
      <c r="AAG5079" s="911"/>
      <c r="AAH5079" s="911"/>
      <c r="AAI5079" s="911"/>
      <c r="AAJ5079" s="911"/>
      <c r="AAK5079" s="32"/>
      <c r="AAL5079" s="911" t="s">
        <v>74</v>
      </c>
      <c r="AAM5079" s="911"/>
      <c r="AAN5079" s="911"/>
      <c r="AAO5079" s="911"/>
      <c r="AAP5079" s="911"/>
      <c r="AAQ5079" s="911"/>
      <c r="AAR5079" s="911"/>
      <c r="AAS5079" s="911"/>
      <c r="AAT5079" s="911"/>
      <c r="AAU5079" s="912"/>
      <c r="AAW5079" s="913" t="s">
        <v>1</v>
      </c>
      <c r="AAX5079" s="31"/>
      <c r="AAY5079" s="909" t="s">
        <v>0</v>
      </c>
      <c r="AAZ5079" s="909"/>
      <c r="ABA5079" s="909"/>
      <c r="ABB5079" s="909"/>
      <c r="ABC5079" s="909"/>
      <c r="ABD5079" s="909"/>
      <c r="ABE5079" s="907" t="s">
        <v>79</v>
      </c>
      <c r="ABF5079" s="909" t="s">
        <v>68</v>
      </c>
      <c r="ABG5079" s="910" t="s">
        <v>75</v>
      </c>
      <c r="ABH5079" s="911"/>
      <c r="ABI5079" s="911"/>
      <c r="ABJ5079" s="911"/>
      <c r="ABK5079" s="911"/>
      <c r="ABL5079" s="911"/>
      <c r="ABM5079" s="911"/>
      <c r="ABN5079" s="911"/>
      <c r="ABO5079" s="911"/>
      <c r="ABP5079" s="911"/>
      <c r="ABQ5079" s="32"/>
      <c r="ABR5079" s="911" t="s">
        <v>74</v>
      </c>
      <c r="ABS5079" s="911"/>
      <c r="ABT5079" s="911"/>
      <c r="ABU5079" s="911"/>
      <c r="ABV5079" s="911"/>
      <c r="ABW5079" s="911"/>
      <c r="ABX5079" s="911"/>
      <c r="ABY5079" s="911"/>
      <c r="ABZ5079" s="911"/>
      <c r="ACA5079" s="912"/>
      <c r="ACC5079" s="913" t="s">
        <v>1</v>
      </c>
      <c r="ACD5079" s="31"/>
      <c r="ACE5079" s="909" t="s">
        <v>0</v>
      </c>
      <c r="ACF5079" s="909"/>
      <c r="ACG5079" s="909"/>
      <c r="ACH5079" s="909"/>
      <c r="ACI5079" s="909"/>
      <c r="ACJ5079" s="909"/>
      <c r="ACK5079" s="907" t="s">
        <v>79</v>
      </c>
      <c r="ACL5079" s="909" t="s">
        <v>68</v>
      </c>
      <c r="ACM5079" s="910" t="s">
        <v>75</v>
      </c>
      <c r="ACN5079" s="911"/>
      <c r="ACO5079" s="911"/>
      <c r="ACP5079" s="911"/>
      <c r="ACQ5079" s="911"/>
      <c r="ACR5079" s="911"/>
      <c r="ACS5079" s="911"/>
      <c r="ACT5079" s="911"/>
      <c r="ACU5079" s="911"/>
      <c r="ACV5079" s="911"/>
      <c r="ACW5079" s="32"/>
      <c r="ACX5079" s="911" t="s">
        <v>74</v>
      </c>
      <c r="ACY5079" s="911"/>
      <c r="ACZ5079" s="911"/>
      <c r="ADA5079" s="911"/>
      <c r="ADB5079" s="911"/>
      <c r="ADC5079" s="911"/>
      <c r="ADD5079" s="911"/>
      <c r="ADE5079" s="911"/>
      <c r="ADF5079" s="911"/>
      <c r="ADG5079" s="912"/>
      <c r="ADI5079" s="913" t="s">
        <v>1</v>
      </c>
      <c r="ADJ5079" s="31"/>
      <c r="ADK5079" s="909" t="s">
        <v>0</v>
      </c>
      <c r="ADL5079" s="909"/>
      <c r="ADM5079" s="909"/>
      <c r="ADN5079" s="909"/>
      <c r="ADO5079" s="909"/>
      <c r="ADP5079" s="909"/>
      <c r="ADQ5079" s="907" t="s">
        <v>79</v>
      </c>
      <c r="ADR5079" s="909" t="s">
        <v>68</v>
      </c>
      <c r="ADS5079" s="910" t="s">
        <v>75</v>
      </c>
      <c r="ADT5079" s="911"/>
      <c r="ADU5079" s="911"/>
      <c r="ADV5079" s="911"/>
      <c r="ADW5079" s="911"/>
      <c r="ADX5079" s="911"/>
      <c r="ADY5079" s="911"/>
      <c r="ADZ5079" s="911"/>
      <c r="AEA5079" s="911"/>
      <c r="AEB5079" s="911"/>
      <c r="AEC5079" s="32"/>
      <c r="AED5079" s="911" t="s">
        <v>74</v>
      </c>
      <c r="AEE5079" s="911"/>
      <c r="AEF5079" s="911"/>
      <c r="AEG5079" s="911"/>
      <c r="AEH5079" s="911"/>
      <c r="AEI5079" s="911"/>
      <c r="AEJ5079" s="911"/>
      <c r="AEK5079" s="911"/>
      <c r="AEL5079" s="911"/>
      <c r="AEM5079" s="912"/>
      <c r="AEO5079" s="913" t="s">
        <v>1</v>
      </c>
      <c r="AEP5079" s="31"/>
      <c r="AEQ5079" s="909" t="s">
        <v>0</v>
      </c>
      <c r="AER5079" s="909"/>
      <c r="AES5079" s="909"/>
      <c r="AET5079" s="909"/>
      <c r="AEU5079" s="909"/>
      <c r="AEV5079" s="909"/>
      <c r="AEW5079" s="907" t="s">
        <v>79</v>
      </c>
      <c r="AEX5079" s="909" t="s">
        <v>68</v>
      </c>
      <c r="AEY5079" s="910" t="s">
        <v>75</v>
      </c>
      <c r="AEZ5079" s="911"/>
      <c r="AFA5079" s="911"/>
      <c r="AFB5079" s="911"/>
      <c r="AFC5079" s="911"/>
      <c r="AFD5079" s="911"/>
      <c r="AFE5079" s="911"/>
      <c r="AFF5079" s="911"/>
      <c r="AFG5079" s="911"/>
      <c r="AFH5079" s="911"/>
      <c r="AFI5079" s="32"/>
      <c r="AFJ5079" s="911" t="s">
        <v>74</v>
      </c>
      <c r="AFK5079" s="911"/>
      <c r="AFL5079" s="911"/>
      <c r="AFM5079" s="911"/>
      <c r="AFN5079" s="911"/>
      <c r="AFO5079" s="911"/>
      <c r="AFP5079" s="911"/>
      <c r="AFQ5079" s="911"/>
      <c r="AFR5079" s="911"/>
      <c r="AFS5079" s="912"/>
      <c r="AFU5079" s="913" t="s">
        <v>1</v>
      </c>
      <c r="AFV5079" s="31"/>
      <c r="AFW5079" s="909" t="s">
        <v>0</v>
      </c>
      <c r="AFX5079" s="909"/>
      <c r="AFY5079" s="909"/>
      <c r="AFZ5079" s="909"/>
      <c r="AGA5079" s="909"/>
      <c r="AGB5079" s="909"/>
      <c r="AGC5079" s="907" t="s">
        <v>79</v>
      </c>
      <c r="AGD5079" s="909" t="s">
        <v>68</v>
      </c>
      <c r="AGE5079" s="910" t="s">
        <v>75</v>
      </c>
      <c r="AGF5079" s="911"/>
      <c r="AGG5079" s="911"/>
      <c r="AGH5079" s="911"/>
      <c r="AGI5079" s="911"/>
      <c r="AGJ5079" s="911"/>
      <c r="AGK5079" s="911"/>
      <c r="AGL5079" s="911"/>
      <c r="AGM5079" s="911"/>
      <c r="AGN5079" s="911"/>
      <c r="AGO5079" s="32"/>
      <c r="AGP5079" s="911" t="s">
        <v>74</v>
      </c>
      <c r="AGQ5079" s="911"/>
      <c r="AGR5079" s="911"/>
      <c r="AGS5079" s="911"/>
      <c r="AGT5079" s="911"/>
      <c r="AGU5079" s="911"/>
      <c r="AGV5079" s="911"/>
      <c r="AGW5079" s="911"/>
      <c r="AGX5079" s="911"/>
      <c r="AGY5079" s="912"/>
      <c r="AHA5079" s="913" t="s">
        <v>1</v>
      </c>
      <c r="AHB5079" s="31"/>
      <c r="AHC5079" s="909" t="s">
        <v>0</v>
      </c>
      <c r="AHD5079" s="909"/>
      <c r="AHE5079" s="909"/>
      <c r="AHF5079" s="909"/>
      <c r="AHG5079" s="909"/>
      <c r="AHH5079" s="909"/>
      <c r="AHI5079" s="907" t="s">
        <v>79</v>
      </c>
      <c r="AHJ5079" s="909" t="s">
        <v>68</v>
      </c>
      <c r="AHK5079" s="910" t="s">
        <v>75</v>
      </c>
      <c r="AHL5079" s="911"/>
      <c r="AHM5079" s="911"/>
      <c r="AHN5079" s="911"/>
      <c r="AHO5079" s="911"/>
      <c r="AHP5079" s="911"/>
      <c r="AHQ5079" s="911"/>
      <c r="AHR5079" s="911"/>
      <c r="AHS5079" s="911"/>
      <c r="AHT5079" s="911"/>
      <c r="AHU5079" s="32"/>
      <c r="AHV5079" s="911" t="s">
        <v>74</v>
      </c>
      <c r="AHW5079" s="911"/>
      <c r="AHX5079" s="911"/>
      <c r="AHY5079" s="911"/>
      <c r="AHZ5079" s="911"/>
      <c r="AIA5079" s="911"/>
      <c r="AIB5079" s="911"/>
      <c r="AIC5079" s="911"/>
      <c r="AID5079" s="911"/>
      <c r="AIE5079" s="912"/>
      <c r="AIG5079" s="913" t="s">
        <v>1</v>
      </c>
      <c r="AIH5079" s="31"/>
      <c r="AII5079" s="909" t="s">
        <v>0</v>
      </c>
      <c r="AIJ5079" s="909"/>
      <c r="AIK5079" s="909"/>
      <c r="AIL5079" s="909"/>
      <c r="AIM5079" s="909"/>
      <c r="AIN5079" s="909"/>
      <c r="AIO5079" s="907" t="s">
        <v>79</v>
      </c>
      <c r="AIP5079" s="909" t="s">
        <v>68</v>
      </c>
      <c r="AIQ5079" s="910" t="s">
        <v>75</v>
      </c>
      <c r="AIR5079" s="911"/>
      <c r="AIS5079" s="911"/>
      <c r="AIT5079" s="911"/>
      <c r="AIU5079" s="911"/>
      <c r="AIV5079" s="911"/>
      <c r="AIW5079" s="911"/>
      <c r="AIX5079" s="911"/>
      <c r="AIY5079" s="911"/>
      <c r="AIZ5079" s="911"/>
      <c r="AJA5079" s="32"/>
      <c r="AJB5079" s="911" t="s">
        <v>74</v>
      </c>
      <c r="AJC5079" s="911"/>
      <c r="AJD5079" s="911"/>
      <c r="AJE5079" s="911"/>
      <c r="AJF5079" s="911"/>
      <c r="AJG5079" s="911"/>
      <c r="AJH5079" s="911"/>
      <c r="AJI5079" s="911"/>
      <c r="AJJ5079" s="911"/>
      <c r="AJK5079" s="912"/>
      <c r="AJM5079" s="913" t="s">
        <v>1</v>
      </c>
      <c r="AJN5079" s="31"/>
      <c r="AJO5079" s="909" t="s">
        <v>0</v>
      </c>
      <c r="AJP5079" s="909"/>
      <c r="AJQ5079" s="909"/>
      <c r="AJR5079" s="909"/>
      <c r="AJS5079" s="909"/>
      <c r="AJT5079" s="909"/>
      <c r="AJU5079" s="907" t="s">
        <v>79</v>
      </c>
      <c r="AJV5079" s="909" t="s">
        <v>68</v>
      </c>
      <c r="AJW5079" s="910" t="s">
        <v>75</v>
      </c>
      <c r="AJX5079" s="911"/>
      <c r="AJY5079" s="911"/>
      <c r="AJZ5079" s="911"/>
      <c r="AKA5079" s="911"/>
      <c r="AKB5079" s="911"/>
      <c r="AKC5079" s="911"/>
      <c r="AKD5079" s="911"/>
      <c r="AKE5079" s="911"/>
      <c r="AKF5079" s="911"/>
      <c r="AKG5079" s="32"/>
      <c r="AKH5079" s="911" t="s">
        <v>74</v>
      </c>
      <c r="AKI5079" s="911"/>
      <c r="AKJ5079" s="911"/>
      <c r="AKK5079" s="911"/>
      <c r="AKL5079" s="911"/>
      <c r="AKM5079" s="911"/>
      <c r="AKN5079" s="911"/>
      <c r="AKO5079" s="911"/>
      <c r="AKP5079" s="911"/>
      <c r="AKQ5079" s="912"/>
      <c r="AKS5079" s="913" t="s">
        <v>1</v>
      </c>
      <c r="AKT5079" s="31"/>
      <c r="AKU5079" s="909" t="s">
        <v>0</v>
      </c>
      <c r="AKV5079" s="909"/>
      <c r="AKW5079" s="909"/>
      <c r="AKX5079" s="909"/>
      <c r="AKY5079" s="909"/>
      <c r="AKZ5079" s="909"/>
      <c r="ALA5079" s="907" t="s">
        <v>79</v>
      </c>
      <c r="ALB5079" s="909" t="s">
        <v>68</v>
      </c>
      <c r="ALC5079" s="910" t="s">
        <v>75</v>
      </c>
      <c r="ALD5079" s="911"/>
      <c r="ALE5079" s="911"/>
      <c r="ALF5079" s="911"/>
      <c r="ALG5079" s="911"/>
      <c r="ALH5079" s="911"/>
      <c r="ALI5079" s="911"/>
      <c r="ALJ5079" s="911"/>
      <c r="ALK5079" s="911"/>
      <c r="ALL5079" s="911"/>
      <c r="ALM5079" s="32"/>
      <c r="ALN5079" s="911" t="s">
        <v>74</v>
      </c>
      <c r="ALO5079" s="911"/>
      <c r="ALP5079" s="911"/>
      <c r="ALQ5079" s="911"/>
      <c r="ALR5079" s="911"/>
      <c r="ALS5079" s="911"/>
      <c r="ALT5079" s="911"/>
      <c r="ALU5079" s="911"/>
      <c r="ALV5079" s="911"/>
      <c r="ALW5079" s="912"/>
      <c r="ALY5079" s="913" t="s">
        <v>1</v>
      </c>
      <c r="ALZ5079" s="31"/>
      <c r="AMA5079" s="909" t="s">
        <v>0</v>
      </c>
      <c r="AMB5079" s="909"/>
      <c r="AMC5079" s="909"/>
      <c r="AMD5079" s="909"/>
      <c r="AME5079" s="909"/>
      <c r="AMF5079" s="909"/>
      <c r="AMG5079" s="907" t="s">
        <v>79</v>
      </c>
      <c r="AMH5079" s="909" t="s">
        <v>68</v>
      </c>
      <c r="AMI5079" s="910" t="s">
        <v>75</v>
      </c>
      <c r="AMJ5079" s="911"/>
      <c r="AMK5079" s="911"/>
      <c r="AML5079" s="911"/>
      <c r="AMM5079" s="911"/>
      <c r="AMN5079" s="911"/>
      <c r="AMO5079" s="911"/>
      <c r="AMP5079" s="911"/>
      <c r="AMQ5079" s="911"/>
      <c r="AMR5079" s="911"/>
      <c r="AMS5079" s="32"/>
      <c r="AMT5079" s="911" t="s">
        <v>74</v>
      </c>
      <c r="AMU5079" s="911"/>
      <c r="AMV5079" s="911"/>
      <c r="AMW5079" s="911"/>
      <c r="AMX5079" s="911"/>
      <c r="AMY5079" s="911"/>
      <c r="AMZ5079" s="911"/>
      <c r="ANA5079" s="911"/>
      <c r="ANB5079" s="911"/>
      <c r="ANC5079" s="912"/>
      <c r="ANE5079" s="913" t="s">
        <v>1</v>
      </c>
      <c r="ANF5079" s="31"/>
      <c r="ANG5079" s="909" t="s">
        <v>0</v>
      </c>
      <c r="ANH5079" s="909"/>
      <c r="ANI5079" s="909"/>
      <c r="ANJ5079" s="909"/>
      <c r="ANK5079" s="909"/>
      <c r="ANL5079" s="909"/>
      <c r="ANM5079" s="907" t="s">
        <v>79</v>
      </c>
      <c r="ANN5079" s="909" t="s">
        <v>68</v>
      </c>
      <c r="ANO5079" s="910" t="s">
        <v>75</v>
      </c>
      <c r="ANP5079" s="911"/>
      <c r="ANQ5079" s="911"/>
      <c r="ANR5079" s="911"/>
      <c r="ANS5079" s="911"/>
      <c r="ANT5079" s="911"/>
      <c r="ANU5079" s="911"/>
      <c r="ANV5079" s="911"/>
      <c r="ANW5079" s="911"/>
      <c r="ANX5079" s="911"/>
      <c r="ANY5079" s="32"/>
      <c r="ANZ5079" s="911" t="s">
        <v>74</v>
      </c>
      <c r="AOA5079" s="911"/>
      <c r="AOB5079" s="911"/>
      <c r="AOC5079" s="911"/>
      <c r="AOD5079" s="911"/>
      <c r="AOE5079" s="911"/>
      <c r="AOF5079" s="911"/>
      <c r="AOG5079" s="911"/>
      <c r="AOH5079" s="911"/>
      <c r="AOI5079" s="912"/>
      <c r="AOK5079" s="913" t="s">
        <v>1</v>
      </c>
      <c r="AOL5079" s="31"/>
      <c r="AOM5079" s="909" t="s">
        <v>0</v>
      </c>
      <c r="AON5079" s="909"/>
      <c r="AOO5079" s="909"/>
      <c r="AOP5079" s="909"/>
      <c r="AOQ5079" s="909"/>
      <c r="AOR5079" s="909"/>
      <c r="AOS5079" s="907" t="s">
        <v>79</v>
      </c>
      <c r="AOT5079" s="909" t="s">
        <v>68</v>
      </c>
      <c r="AOU5079" s="910" t="s">
        <v>75</v>
      </c>
      <c r="AOV5079" s="911"/>
      <c r="AOW5079" s="911"/>
      <c r="AOX5079" s="911"/>
      <c r="AOY5079" s="911"/>
      <c r="AOZ5079" s="911"/>
      <c r="APA5079" s="911"/>
      <c r="APB5079" s="911"/>
      <c r="APC5079" s="911"/>
      <c r="APD5079" s="911"/>
      <c r="APE5079" s="32"/>
      <c r="APF5079" s="911" t="s">
        <v>74</v>
      </c>
      <c r="APG5079" s="911"/>
      <c r="APH5079" s="911"/>
      <c r="API5079" s="911"/>
      <c r="APJ5079" s="911"/>
      <c r="APK5079" s="911"/>
      <c r="APL5079" s="911"/>
      <c r="APM5079" s="911"/>
      <c r="APN5079" s="911"/>
      <c r="APO5079" s="912"/>
      <c r="APQ5079" s="913" t="s">
        <v>1</v>
      </c>
      <c r="APR5079" s="31"/>
      <c r="APS5079" s="909" t="s">
        <v>0</v>
      </c>
      <c r="APT5079" s="909"/>
      <c r="APU5079" s="909"/>
      <c r="APV5079" s="909"/>
      <c r="APW5079" s="909"/>
      <c r="APX5079" s="909"/>
      <c r="APY5079" s="907" t="s">
        <v>79</v>
      </c>
      <c r="APZ5079" s="909" t="s">
        <v>68</v>
      </c>
      <c r="AQA5079" s="910" t="s">
        <v>75</v>
      </c>
      <c r="AQB5079" s="911"/>
      <c r="AQC5079" s="911"/>
      <c r="AQD5079" s="911"/>
      <c r="AQE5079" s="911"/>
      <c r="AQF5079" s="911"/>
      <c r="AQG5079" s="911"/>
      <c r="AQH5079" s="911"/>
      <c r="AQI5079" s="911"/>
      <c r="AQJ5079" s="911"/>
      <c r="AQK5079" s="32"/>
      <c r="AQL5079" s="911" t="s">
        <v>74</v>
      </c>
      <c r="AQM5079" s="911"/>
      <c r="AQN5079" s="911"/>
      <c r="AQO5079" s="911"/>
      <c r="AQP5079" s="911"/>
      <c r="AQQ5079" s="911"/>
      <c r="AQR5079" s="911"/>
      <c r="AQS5079" s="911"/>
      <c r="AQT5079" s="911"/>
      <c r="AQU5079" s="912"/>
      <c r="AQW5079" s="913" t="s">
        <v>1</v>
      </c>
      <c r="AQX5079" s="31"/>
      <c r="AQY5079" s="909" t="s">
        <v>0</v>
      </c>
      <c r="AQZ5079" s="909"/>
      <c r="ARA5079" s="909"/>
      <c r="ARB5079" s="909"/>
      <c r="ARC5079" s="909"/>
      <c r="ARD5079" s="909"/>
      <c r="ARE5079" s="907" t="s">
        <v>79</v>
      </c>
      <c r="ARF5079" s="909" t="s">
        <v>68</v>
      </c>
      <c r="ARG5079" s="910" t="s">
        <v>75</v>
      </c>
      <c r="ARH5079" s="911"/>
      <c r="ARI5079" s="911"/>
      <c r="ARJ5079" s="911"/>
      <c r="ARK5079" s="911"/>
      <c r="ARL5079" s="911"/>
      <c r="ARM5079" s="911"/>
      <c r="ARN5079" s="911"/>
      <c r="ARO5079" s="911"/>
      <c r="ARP5079" s="911"/>
      <c r="ARQ5079" s="32"/>
      <c r="ARR5079" s="911" t="s">
        <v>74</v>
      </c>
      <c r="ARS5079" s="911"/>
      <c r="ART5079" s="911"/>
      <c r="ARU5079" s="911"/>
      <c r="ARV5079" s="911"/>
      <c r="ARW5079" s="911"/>
      <c r="ARX5079" s="911"/>
      <c r="ARY5079" s="911"/>
      <c r="ARZ5079" s="911"/>
      <c r="ASA5079" s="912"/>
      <c r="ASC5079" s="913" t="s">
        <v>1</v>
      </c>
      <c r="ASD5079" s="31"/>
      <c r="ASE5079" s="909" t="s">
        <v>0</v>
      </c>
      <c r="ASF5079" s="909"/>
      <c r="ASG5079" s="909"/>
      <c r="ASH5079" s="909"/>
      <c r="ASI5079" s="909"/>
      <c r="ASJ5079" s="909"/>
      <c r="ASK5079" s="907" t="s">
        <v>79</v>
      </c>
      <c r="ASL5079" s="909" t="s">
        <v>68</v>
      </c>
      <c r="ASM5079" s="910" t="s">
        <v>75</v>
      </c>
      <c r="ASN5079" s="911"/>
      <c r="ASO5079" s="911"/>
      <c r="ASP5079" s="911"/>
      <c r="ASQ5079" s="911"/>
      <c r="ASR5079" s="911"/>
      <c r="ASS5079" s="911"/>
      <c r="AST5079" s="911"/>
      <c r="ASU5079" s="911"/>
      <c r="ASV5079" s="911"/>
      <c r="ASW5079" s="32"/>
      <c r="ASX5079" s="911" t="s">
        <v>74</v>
      </c>
      <c r="ASY5079" s="911"/>
      <c r="ASZ5079" s="911"/>
      <c r="ATA5079" s="911"/>
      <c r="ATB5079" s="911"/>
      <c r="ATC5079" s="911"/>
      <c r="ATD5079" s="911"/>
      <c r="ATE5079" s="911"/>
      <c r="ATF5079" s="911"/>
      <c r="ATG5079" s="912"/>
      <c r="ATI5079" s="913" t="s">
        <v>1</v>
      </c>
      <c r="ATJ5079" s="31"/>
      <c r="ATK5079" s="909" t="s">
        <v>0</v>
      </c>
      <c r="ATL5079" s="909"/>
      <c r="ATM5079" s="909"/>
      <c r="ATN5079" s="909"/>
      <c r="ATO5079" s="909"/>
      <c r="ATP5079" s="909"/>
      <c r="ATQ5079" s="907" t="s">
        <v>79</v>
      </c>
      <c r="ATR5079" s="909" t="s">
        <v>68</v>
      </c>
      <c r="ATS5079" s="910" t="s">
        <v>75</v>
      </c>
      <c r="ATT5079" s="911"/>
      <c r="ATU5079" s="911"/>
      <c r="ATV5079" s="911"/>
      <c r="ATW5079" s="911"/>
      <c r="ATX5079" s="911"/>
      <c r="ATY5079" s="911"/>
      <c r="ATZ5079" s="911"/>
      <c r="AUA5079" s="911"/>
      <c r="AUB5079" s="911"/>
      <c r="AUC5079" s="32"/>
      <c r="AUD5079" s="911" t="s">
        <v>74</v>
      </c>
      <c r="AUE5079" s="911"/>
      <c r="AUF5079" s="911"/>
      <c r="AUG5079" s="911"/>
      <c r="AUH5079" s="911"/>
      <c r="AUI5079" s="911"/>
      <c r="AUJ5079" s="911"/>
      <c r="AUK5079" s="911"/>
      <c r="AUL5079" s="911"/>
      <c r="AUM5079" s="912"/>
      <c r="AUO5079" s="913" t="s">
        <v>1</v>
      </c>
      <c r="AUP5079" s="31"/>
      <c r="AUQ5079" s="909" t="s">
        <v>0</v>
      </c>
      <c r="AUR5079" s="909"/>
      <c r="AUS5079" s="909"/>
      <c r="AUT5079" s="909"/>
      <c r="AUU5079" s="909"/>
      <c r="AUV5079" s="909"/>
      <c r="AUW5079" s="907" t="s">
        <v>79</v>
      </c>
      <c r="AUX5079" s="909" t="s">
        <v>68</v>
      </c>
      <c r="AUY5079" s="910" t="s">
        <v>75</v>
      </c>
      <c r="AUZ5079" s="911"/>
      <c r="AVA5079" s="911"/>
      <c r="AVB5079" s="911"/>
      <c r="AVC5079" s="911"/>
      <c r="AVD5079" s="911"/>
      <c r="AVE5079" s="911"/>
      <c r="AVF5079" s="911"/>
      <c r="AVG5079" s="911"/>
      <c r="AVH5079" s="911"/>
      <c r="AVI5079" s="32"/>
      <c r="AVJ5079" s="911" t="s">
        <v>74</v>
      </c>
      <c r="AVK5079" s="911"/>
      <c r="AVL5079" s="911"/>
      <c r="AVM5079" s="911"/>
      <c r="AVN5079" s="911"/>
      <c r="AVO5079" s="911"/>
      <c r="AVP5079" s="911"/>
      <c r="AVQ5079" s="911"/>
      <c r="AVR5079" s="911"/>
      <c r="AVS5079" s="912"/>
      <c r="AVU5079" s="913" t="s">
        <v>1</v>
      </c>
      <c r="AVV5079" s="31"/>
      <c r="AVW5079" s="909" t="s">
        <v>0</v>
      </c>
      <c r="AVX5079" s="909"/>
      <c r="AVY5079" s="909"/>
      <c r="AVZ5079" s="909"/>
      <c r="AWA5079" s="909"/>
      <c r="AWB5079" s="909"/>
      <c r="AWC5079" s="907" t="s">
        <v>79</v>
      </c>
      <c r="AWD5079" s="909" t="s">
        <v>68</v>
      </c>
      <c r="AWE5079" s="910" t="s">
        <v>75</v>
      </c>
      <c r="AWF5079" s="911"/>
      <c r="AWG5079" s="911"/>
      <c r="AWH5079" s="911"/>
      <c r="AWI5079" s="911"/>
      <c r="AWJ5079" s="911"/>
      <c r="AWK5079" s="911"/>
      <c r="AWL5079" s="911"/>
      <c r="AWM5079" s="911"/>
      <c r="AWN5079" s="911"/>
      <c r="AWO5079" s="32"/>
      <c r="AWP5079" s="911" t="s">
        <v>74</v>
      </c>
      <c r="AWQ5079" s="911"/>
      <c r="AWR5079" s="911"/>
      <c r="AWS5079" s="911"/>
      <c r="AWT5079" s="911"/>
      <c r="AWU5079" s="911"/>
      <c r="AWV5079" s="911"/>
      <c r="AWW5079" s="911"/>
      <c r="AWX5079" s="911"/>
      <c r="AWY5079" s="912"/>
      <c r="AXA5079" s="913" t="s">
        <v>1</v>
      </c>
      <c r="AXB5079" s="31"/>
      <c r="AXC5079" s="909" t="s">
        <v>0</v>
      </c>
      <c r="AXD5079" s="909"/>
      <c r="AXE5079" s="909"/>
      <c r="AXF5079" s="909"/>
      <c r="AXG5079" s="909"/>
      <c r="AXH5079" s="909"/>
      <c r="AXI5079" s="907" t="s">
        <v>79</v>
      </c>
      <c r="AXJ5079" s="909" t="s">
        <v>68</v>
      </c>
      <c r="AXK5079" s="910" t="s">
        <v>75</v>
      </c>
      <c r="AXL5079" s="911"/>
      <c r="AXM5079" s="911"/>
      <c r="AXN5079" s="911"/>
      <c r="AXO5079" s="911"/>
      <c r="AXP5079" s="911"/>
      <c r="AXQ5079" s="911"/>
      <c r="AXR5079" s="911"/>
      <c r="AXS5079" s="911"/>
      <c r="AXT5079" s="911"/>
      <c r="AXU5079" s="32"/>
      <c r="AXV5079" s="911" t="s">
        <v>74</v>
      </c>
      <c r="AXW5079" s="911"/>
      <c r="AXX5079" s="911"/>
      <c r="AXY5079" s="911"/>
      <c r="AXZ5079" s="911"/>
      <c r="AYA5079" s="911"/>
      <c r="AYB5079" s="911"/>
      <c r="AYC5079" s="911"/>
      <c r="AYD5079" s="911"/>
      <c r="AYE5079" s="912"/>
      <c r="AYG5079" s="913" t="s">
        <v>1</v>
      </c>
      <c r="AYH5079" s="31"/>
      <c r="AYI5079" s="909" t="s">
        <v>0</v>
      </c>
      <c r="AYJ5079" s="909"/>
      <c r="AYK5079" s="909"/>
      <c r="AYL5079" s="909"/>
      <c r="AYM5079" s="909"/>
      <c r="AYN5079" s="909"/>
      <c r="AYO5079" s="907" t="s">
        <v>79</v>
      </c>
      <c r="AYP5079" s="909" t="s">
        <v>68</v>
      </c>
      <c r="AYQ5079" s="910" t="s">
        <v>75</v>
      </c>
      <c r="AYR5079" s="911"/>
      <c r="AYS5079" s="911"/>
      <c r="AYT5079" s="911"/>
      <c r="AYU5079" s="911"/>
      <c r="AYV5079" s="911"/>
      <c r="AYW5079" s="911"/>
      <c r="AYX5079" s="911"/>
      <c r="AYY5079" s="911"/>
      <c r="AYZ5079" s="911"/>
      <c r="AZA5079" s="32"/>
      <c r="AZB5079" s="911" t="s">
        <v>74</v>
      </c>
      <c r="AZC5079" s="911"/>
      <c r="AZD5079" s="911"/>
      <c r="AZE5079" s="911"/>
      <c r="AZF5079" s="911"/>
      <c r="AZG5079" s="911"/>
      <c r="AZH5079" s="911"/>
      <c r="AZI5079" s="911"/>
      <c r="AZJ5079" s="911"/>
      <c r="AZK5079" s="912"/>
      <c r="AZM5079" s="913" t="s">
        <v>1</v>
      </c>
      <c r="AZN5079" s="31"/>
      <c r="AZO5079" s="909" t="s">
        <v>0</v>
      </c>
      <c r="AZP5079" s="909"/>
      <c r="AZQ5079" s="909"/>
      <c r="AZR5079" s="909"/>
      <c r="AZS5079" s="909"/>
      <c r="AZT5079" s="909"/>
      <c r="AZU5079" s="907" t="s">
        <v>79</v>
      </c>
      <c r="AZV5079" s="909" t="s">
        <v>68</v>
      </c>
      <c r="AZW5079" s="910" t="s">
        <v>75</v>
      </c>
      <c r="AZX5079" s="911"/>
      <c r="AZY5079" s="911"/>
      <c r="AZZ5079" s="911"/>
      <c r="BAA5079" s="911"/>
      <c r="BAB5079" s="911"/>
      <c r="BAC5079" s="911"/>
      <c r="BAD5079" s="911"/>
      <c r="BAE5079" s="911"/>
      <c r="BAF5079" s="911"/>
      <c r="BAG5079" s="32"/>
      <c r="BAH5079" s="911" t="s">
        <v>74</v>
      </c>
      <c r="BAI5079" s="911"/>
      <c r="BAJ5079" s="911"/>
      <c r="BAK5079" s="911"/>
      <c r="BAL5079" s="911"/>
      <c r="BAM5079" s="911"/>
      <c r="BAN5079" s="911"/>
      <c r="BAO5079" s="911"/>
      <c r="BAP5079" s="911"/>
      <c r="BAQ5079" s="912"/>
      <c r="BAS5079" s="913" t="s">
        <v>1</v>
      </c>
      <c r="BAT5079" s="31"/>
      <c r="BAU5079" s="909" t="s">
        <v>0</v>
      </c>
      <c r="BAV5079" s="909"/>
      <c r="BAW5079" s="909"/>
      <c r="BAX5079" s="909"/>
      <c r="BAY5079" s="909"/>
      <c r="BAZ5079" s="909"/>
      <c r="BBA5079" s="907" t="s">
        <v>79</v>
      </c>
      <c r="BBB5079" s="909" t="s">
        <v>68</v>
      </c>
      <c r="BBC5079" s="910" t="s">
        <v>75</v>
      </c>
      <c r="BBD5079" s="911"/>
      <c r="BBE5079" s="911"/>
      <c r="BBF5079" s="911"/>
      <c r="BBG5079" s="911"/>
      <c r="BBH5079" s="911"/>
      <c r="BBI5079" s="911"/>
      <c r="BBJ5079" s="911"/>
      <c r="BBK5079" s="911"/>
      <c r="BBL5079" s="911"/>
      <c r="BBM5079" s="32"/>
      <c r="BBN5079" s="911" t="s">
        <v>74</v>
      </c>
      <c r="BBO5079" s="911"/>
      <c r="BBP5079" s="911"/>
      <c r="BBQ5079" s="911"/>
      <c r="BBR5079" s="911"/>
      <c r="BBS5079" s="911"/>
      <c r="BBT5079" s="911"/>
      <c r="BBU5079" s="911"/>
      <c r="BBV5079" s="911"/>
      <c r="BBW5079" s="912"/>
      <c r="BBY5079" s="913" t="s">
        <v>1</v>
      </c>
      <c r="BBZ5079" s="31"/>
      <c r="BCA5079" s="909" t="s">
        <v>0</v>
      </c>
      <c r="BCB5079" s="909"/>
      <c r="BCC5079" s="909"/>
      <c r="BCD5079" s="909"/>
      <c r="BCE5079" s="909"/>
      <c r="BCF5079" s="909"/>
      <c r="BCG5079" s="907" t="s">
        <v>79</v>
      </c>
      <c r="BCH5079" s="909" t="s">
        <v>68</v>
      </c>
      <c r="BCI5079" s="910" t="s">
        <v>75</v>
      </c>
      <c r="BCJ5079" s="911"/>
      <c r="BCK5079" s="911"/>
      <c r="BCL5079" s="911"/>
      <c r="BCM5079" s="911"/>
      <c r="BCN5079" s="911"/>
      <c r="BCO5079" s="911"/>
      <c r="BCP5079" s="911"/>
      <c r="BCQ5079" s="911"/>
      <c r="BCR5079" s="911"/>
      <c r="BCS5079" s="32"/>
      <c r="BCT5079" s="911" t="s">
        <v>74</v>
      </c>
      <c r="BCU5079" s="911"/>
      <c r="BCV5079" s="911"/>
      <c r="BCW5079" s="911"/>
      <c r="BCX5079" s="911"/>
      <c r="BCY5079" s="911"/>
      <c r="BCZ5079" s="911"/>
      <c r="BDA5079" s="911"/>
      <c r="BDB5079" s="911"/>
      <c r="BDC5079" s="912"/>
      <c r="BDE5079" s="913" t="s">
        <v>1</v>
      </c>
      <c r="BDF5079" s="31"/>
      <c r="BDG5079" s="909" t="s">
        <v>0</v>
      </c>
      <c r="BDH5079" s="909"/>
      <c r="BDI5079" s="909"/>
      <c r="BDJ5079" s="909"/>
      <c r="BDK5079" s="909"/>
      <c r="BDL5079" s="909"/>
      <c r="BDM5079" s="907" t="s">
        <v>79</v>
      </c>
      <c r="BDN5079" s="909" t="s">
        <v>68</v>
      </c>
      <c r="BDO5079" s="910" t="s">
        <v>75</v>
      </c>
      <c r="BDP5079" s="911"/>
      <c r="BDQ5079" s="911"/>
      <c r="BDR5079" s="911"/>
      <c r="BDS5079" s="911"/>
      <c r="BDT5079" s="911"/>
      <c r="BDU5079" s="911"/>
      <c r="BDV5079" s="911"/>
      <c r="BDW5079" s="911"/>
      <c r="BDX5079" s="911"/>
      <c r="BDY5079" s="32"/>
      <c r="BDZ5079" s="911" t="s">
        <v>74</v>
      </c>
      <c r="BEA5079" s="911"/>
      <c r="BEB5079" s="911"/>
      <c r="BEC5079" s="911"/>
      <c r="BED5079" s="911"/>
      <c r="BEE5079" s="911"/>
      <c r="BEF5079" s="911"/>
      <c r="BEG5079" s="911"/>
      <c r="BEH5079" s="911"/>
      <c r="BEI5079" s="912"/>
      <c r="BEK5079" s="913" t="s">
        <v>1</v>
      </c>
      <c r="BEL5079" s="31"/>
      <c r="BEM5079" s="909" t="s">
        <v>0</v>
      </c>
      <c r="BEN5079" s="909"/>
      <c r="BEO5079" s="909"/>
      <c r="BEP5079" s="909"/>
      <c r="BEQ5079" s="909"/>
      <c r="BER5079" s="909"/>
      <c r="BES5079" s="907" t="s">
        <v>79</v>
      </c>
      <c r="BET5079" s="909" t="s">
        <v>68</v>
      </c>
      <c r="BEU5079" s="910" t="s">
        <v>75</v>
      </c>
      <c r="BEV5079" s="911"/>
      <c r="BEW5079" s="911"/>
      <c r="BEX5079" s="911"/>
      <c r="BEY5079" s="911"/>
      <c r="BEZ5079" s="911"/>
      <c r="BFA5079" s="911"/>
      <c r="BFB5079" s="911"/>
      <c r="BFC5079" s="911"/>
      <c r="BFD5079" s="911"/>
      <c r="BFE5079" s="32"/>
      <c r="BFF5079" s="911" t="s">
        <v>74</v>
      </c>
      <c r="BFG5079" s="911"/>
      <c r="BFH5079" s="911"/>
      <c r="BFI5079" s="911"/>
      <c r="BFJ5079" s="911"/>
      <c r="BFK5079" s="911"/>
      <c r="BFL5079" s="911"/>
      <c r="BFM5079" s="911"/>
      <c r="BFN5079" s="911"/>
      <c r="BFO5079" s="912"/>
      <c r="BFQ5079" s="913" t="s">
        <v>1</v>
      </c>
      <c r="BFR5079" s="31"/>
      <c r="BFS5079" s="909" t="s">
        <v>0</v>
      </c>
      <c r="BFT5079" s="909"/>
      <c r="BFU5079" s="909"/>
      <c r="BFV5079" s="909"/>
      <c r="BFW5079" s="909"/>
      <c r="BFX5079" s="909"/>
      <c r="BFY5079" s="907" t="s">
        <v>79</v>
      </c>
      <c r="BFZ5079" s="909" t="s">
        <v>68</v>
      </c>
      <c r="BGA5079" s="910" t="s">
        <v>75</v>
      </c>
      <c r="BGB5079" s="911"/>
      <c r="BGC5079" s="911"/>
      <c r="BGD5079" s="911"/>
      <c r="BGE5079" s="911"/>
      <c r="BGF5079" s="911"/>
      <c r="BGG5079" s="911"/>
      <c r="BGH5079" s="911"/>
      <c r="BGI5079" s="911"/>
      <c r="BGJ5079" s="911"/>
      <c r="BGK5079" s="32"/>
      <c r="BGL5079" s="911" t="s">
        <v>74</v>
      </c>
      <c r="BGM5079" s="911"/>
      <c r="BGN5079" s="911"/>
      <c r="BGO5079" s="911"/>
      <c r="BGP5079" s="911"/>
      <c r="BGQ5079" s="911"/>
      <c r="BGR5079" s="911"/>
      <c r="BGS5079" s="911"/>
      <c r="BGT5079" s="911"/>
      <c r="BGU5079" s="912"/>
      <c r="BGW5079" s="913" t="s">
        <v>1</v>
      </c>
      <c r="BGX5079" s="31"/>
      <c r="BGY5079" s="909" t="s">
        <v>0</v>
      </c>
      <c r="BGZ5079" s="909"/>
      <c r="BHA5079" s="909"/>
      <c r="BHB5079" s="909"/>
      <c r="BHC5079" s="909"/>
      <c r="BHD5079" s="909"/>
      <c r="BHE5079" s="907" t="s">
        <v>79</v>
      </c>
      <c r="BHF5079" s="909" t="s">
        <v>68</v>
      </c>
      <c r="BHG5079" s="910" t="s">
        <v>75</v>
      </c>
      <c r="BHH5079" s="911"/>
      <c r="BHI5079" s="911"/>
      <c r="BHJ5079" s="911"/>
      <c r="BHK5079" s="911"/>
      <c r="BHL5079" s="911"/>
      <c r="BHM5079" s="911"/>
      <c r="BHN5079" s="911"/>
      <c r="BHO5079" s="911"/>
      <c r="BHP5079" s="911"/>
      <c r="BHQ5079" s="32"/>
      <c r="BHR5079" s="911" t="s">
        <v>74</v>
      </c>
      <c r="BHS5079" s="911"/>
      <c r="BHT5079" s="911"/>
      <c r="BHU5079" s="911"/>
      <c r="BHV5079" s="911"/>
      <c r="BHW5079" s="911"/>
      <c r="BHX5079" s="911"/>
      <c r="BHY5079" s="911"/>
      <c r="BHZ5079" s="911"/>
      <c r="BIA5079" s="912"/>
      <c r="BIC5079" s="913" t="s">
        <v>1</v>
      </c>
      <c r="BID5079" s="31"/>
      <c r="BIE5079" s="909" t="s">
        <v>0</v>
      </c>
      <c r="BIF5079" s="909"/>
      <c r="BIG5079" s="909"/>
      <c r="BIH5079" s="909"/>
      <c r="BII5079" s="909"/>
      <c r="BIJ5079" s="909"/>
      <c r="BIK5079" s="907" t="s">
        <v>79</v>
      </c>
      <c r="BIL5079" s="909" t="s">
        <v>68</v>
      </c>
      <c r="BIM5079" s="910" t="s">
        <v>75</v>
      </c>
      <c r="BIN5079" s="911"/>
      <c r="BIO5079" s="911"/>
      <c r="BIP5079" s="911"/>
      <c r="BIQ5079" s="911"/>
      <c r="BIR5079" s="911"/>
      <c r="BIS5079" s="911"/>
      <c r="BIT5079" s="911"/>
      <c r="BIU5079" s="911"/>
      <c r="BIV5079" s="911"/>
      <c r="BIW5079" s="32"/>
      <c r="BIX5079" s="911" t="s">
        <v>74</v>
      </c>
      <c r="BIY5079" s="911"/>
      <c r="BIZ5079" s="911"/>
      <c r="BJA5079" s="911"/>
      <c r="BJB5079" s="911"/>
      <c r="BJC5079" s="911"/>
      <c r="BJD5079" s="911"/>
      <c r="BJE5079" s="911"/>
      <c r="BJF5079" s="911"/>
      <c r="BJG5079" s="912"/>
      <c r="BJI5079" s="913" t="s">
        <v>1</v>
      </c>
      <c r="BJJ5079" s="31"/>
      <c r="BJK5079" s="909" t="s">
        <v>0</v>
      </c>
      <c r="BJL5079" s="909"/>
      <c r="BJM5079" s="909"/>
      <c r="BJN5079" s="909"/>
      <c r="BJO5079" s="909"/>
      <c r="BJP5079" s="909"/>
      <c r="BJQ5079" s="907" t="s">
        <v>79</v>
      </c>
      <c r="BJR5079" s="909" t="s">
        <v>68</v>
      </c>
      <c r="BJS5079" s="910" t="s">
        <v>75</v>
      </c>
      <c r="BJT5079" s="911"/>
      <c r="BJU5079" s="911"/>
      <c r="BJV5079" s="911"/>
      <c r="BJW5079" s="911"/>
      <c r="BJX5079" s="911"/>
      <c r="BJY5079" s="911"/>
      <c r="BJZ5079" s="911"/>
      <c r="BKA5079" s="911"/>
      <c r="BKB5079" s="911"/>
      <c r="BKC5079" s="32"/>
      <c r="BKD5079" s="911" t="s">
        <v>74</v>
      </c>
      <c r="BKE5079" s="911"/>
      <c r="BKF5079" s="911"/>
      <c r="BKG5079" s="911"/>
      <c r="BKH5079" s="911"/>
      <c r="BKI5079" s="911"/>
      <c r="BKJ5079" s="911"/>
      <c r="BKK5079" s="911"/>
      <c r="BKL5079" s="911"/>
      <c r="BKM5079" s="912"/>
      <c r="BKO5079" s="913" t="s">
        <v>1</v>
      </c>
      <c r="BKP5079" s="31"/>
      <c r="BKQ5079" s="909" t="s">
        <v>0</v>
      </c>
      <c r="BKR5079" s="909"/>
      <c r="BKS5079" s="909"/>
      <c r="BKT5079" s="909"/>
      <c r="BKU5079" s="909"/>
      <c r="BKV5079" s="909"/>
      <c r="BKW5079" s="907" t="s">
        <v>79</v>
      </c>
      <c r="BKX5079" s="909" t="s">
        <v>68</v>
      </c>
      <c r="BKY5079" s="910" t="s">
        <v>75</v>
      </c>
      <c r="BKZ5079" s="911"/>
      <c r="BLA5079" s="911"/>
      <c r="BLB5079" s="911"/>
      <c r="BLC5079" s="911"/>
      <c r="BLD5079" s="911"/>
      <c r="BLE5079" s="911"/>
      <c r="BLF5079" s="911"/>
      <c r="BLG5079" s="911"/>
      <c r="BLH5079" s="911"/>
      <c r="BLI5079" s="32"/>
      <c r="BLJ5079" s="911" t="s">
        <v>74</v>
      </c>
      <c r="BLK5079" s="911"/>
      <c r="BLL5079" s="911"/>
      <c r="BLM5079" s="911"/>
      <c r="BLN5079" s="911"/>
      <c r="BLO5079" s="911"/>
      <c r="BLP5079" s="911"/>
      <c r="BLQ5079" s="911"/>
      <c r="BLR5079" s="911"/>
      <c r="BLS5079" s="912"/>
      <c r="BLU5079" s="913" t="s">
        <v>1</v>
      </c>
      <c r="BLV5079" s="31"/>
      <c r="BLW5079" s="909" t="s">
        <v>0</v>
      </c>
      <c r="BLX5079" s="909"/>
      <c r="BLY5079" s="909"/>
      <c r="BLZ5079" s="909"/>
      <c r="BMA5079" s="909"/>
      <c r="BMB5079" s="909"/>
      <c r="BMC5079" s="907" t="s">
        <v>79</v>
      </c>
      <c r="BMD5079" s="909" t="s">
        <v>68</v>
      </c>
      <c r="BME5079" s="910" t="s">
        <v>75</v>
      </c>
      <c r="BMF5079" s="911"/>
      <c r="BMG5079" s="911"/>
      <c r="BMH5079" s="911"/>
      <c r="BMI5079" s="911"/>
      <c r="BMJ5079" s="911"/>
      <c r="BMK5079" s="911"/>
      <c r="BML5079" s="911"/>
      <c r="BMM5079" s="911"/>
      <c r="BMN5079" s="911"/>
      <c r="BMO5079" s="32"/>
      <c r="BMP5079" s="911" t="s">
        <v>74</v>
      </c>
      <c r="BMQ5079" s="911"/>
      <c r="BMR5079" s="911"/>
      <c r="BMS5079" s="911"/>
      <c r="BMT5079" s="911"/>
      <c r="BMU5079" s="911"/>
      <c r="BMV5079" s="911"/>
      <c r="BMW5079" s="911"/>
      <c r="BMX5079" s="911"/>
      <c r="BMY5079" s="912"/>
      <c r="BNA5079" s="913" t="s">
        <v>1</v>
      </c>
      <c r="BNB5079" s="31"/>
      <c r="BNC5079" s="909" t="s">
        <v>0</v>
      </c>
      <c r="BND5079" s="909"/>
      <c r="BNE5079" s="909"/>
      <c r="BNF5079" s="909"/>
      <c r="BNG5079" s="909"/>
      <c r="BNH5079" s="909"/>
      <c r="BNI5079" s="907" t="s">
        <v>79</v>
      </c>
      <c r="BNJ5079" s="909" t="s">
        <v>68</v>
      </c>
      <c r="BNK5079" s="910" t="s">
        <v>75</v>
      </c>
      <c r="BNL5079" s="911"/>
      <c r="BNM5079" s="911"/>
      <c r="BNN5079" s="911"/>
      <c r="BNO5079" s="911"/>
      <c r="BNP5079" s="911"/>
      <c r="BNQ5079" s="911"/>
      <c r="BNR5079" s="911"/>
      <c r="BNS5079" s="911"/>
      <c r="BNT5079" s="911"/>
      <c r="BNU5079" s="32"/>
      <c r="BNV5079" s="911" t="s">
        <v>74</v>
      </c>
      <c r="BNW5079" s="911"/>
      <c r="BNX5079" s="911"/>
      <c r="BNY5079" s="911"/>
      <c r="BNZ5079" s="911"/>
      <c r="BOA5079" s="911"/>
      <c r="BOB5079" s="911"/>
      <c r="BOC5079" s="911"/>
      <c r="BOD5079" s="911"/>
      <c r="BOE5079" s="912"/>
      <c r="BOG5079" s="913" t="s">
        <v>1</v>
      </c>
      <c r="BOH5079" s="31"/>
      <c r="BOI5079" s="909" t="s">
        <v>0</v>
      </c>
      <c r="BOJ5079" s="909"/>
      <c r="BOK5079" s="909"/>
      <c r="BOL5079" s="909"/>
      <c r="BOM5079" s="909"/>
      <c r="BON5079" s="909"/>
      <c r="BOO5079" s="907" t="s">
        <v>79</v>
      </c>
      <c r="BOP5079" s="909" t="s">
        <v>68</v>
      </c>
      <c r="BOQ5079" s="910" t="s">
        <v>75</v>
      </c>
      <c r="BOR5079" s="911"/>
      <c r="BOS5079" s="911"/>
      <c r="BOT5079" s="911"/>
      <c r="BOU5079" s="911"/>
      <c r="BOV5079" s="911"/>
      <c r="BOW5079" s="911"/>
      <c r="BOX5079" s="911"/>
      <c r="BOY5079" s="911"/>
      <c r="BOZ5079" s="911"/>
      <c r="BPA5079" s="32"/>
      <c r="BPB5079" s="911" t="s">
        <v>74</v>
      </c>
      <c r="BPC5079" s="911"/>
      <c r="BPD5079" s="911"/>
      <c r="BPE5079" s="911"/>
      <c r="BPF5079" s="911"/>
      <c r="BPG5079" s="911"/>
      <c r="BPH5079" s="911"/>
      <c r="BPI5079" s="911"/>
      <c r="BPJ5079" s="911"/>
      <c r="BPK5079" s="912"/>
      <c r="BPM5079" s="913" t="s">
        <v>1</v>
      </c>
      <c r="BPN5079" s="31"/>
      <c r="BPO5079" s="909" t="s">
        <v>0</v>
      </c>
      <c r="BPP5079" s="909"/>
      <c r="BPQ5079" s="909"/>
      <c r="BPR5079" s="909"/>
      <c r="BPS5079" s="909"/>
      <c r="BPT5079" s="909"/>
      <c r="BPU5079" s="907" t="s">
        <v>79</v>
      </c>
      <c r="BPV5079" s="909" t="s">
        <v>68</v>
      </c>
      <c r="BPW5079" s="910" t="s">
        <v>75</v>
      </c>
      <c r="BPX5079" s="911"/>
      <c r="BPY5079" s="911"/>
      <c r="BPZ5079" s="911"/>
      <c r="BQA5079" s="911"/>
      <c r="BQB5079" s="911"/>
      <c r="BQC5079" s="911"/>
      <c r="BQD5079" s="911"/>
      <c r="BQE5079" s="911"/>
      <c r="BQF5079" s="911"/>
      <c r="BQG5079" s="32"/>
      <c r="BQH5079" s="911" t="s">
        <v>74</v>
      </c>
      <c r="BQI5079" s="911"/>
      <c r="BQJ5079" s="911"/>
      <c r="BQK5079" s="911"/>
      <c r="BQL5079" s="911"/>
      <c r="BQM5079" s="911"/>
      <c r="BQN5079" s="911"/>
      <c r="BQO5079" s="911"/>
      <c r="BQP5079" s="911"/>
      <c r="BQQ5079" s="912"/>
      <c r="BQS5079" s="913" t="s">
        <v>1</v>
      </c>
      <c r="BQT5079" s="31"/>
      <c r="BQU5079" s="909" t="s">
        <v>0</v>
      </c>
      <c r="BQV5079" s="909"/>
      <c r="BQW5079" s="909"/>
      <c r="BQX5079" s="909"/>
      <c r="BQY5079" s="909"/>
      <c r="BQZ5079" s="909"/>
      <c r="BRA5079" s="907" t="s">
        <v>79</v>
      </c>
      <c r="BRB5079" s="909" t="s">
        <v>68</v>
      </c>
      <c r="BRC5079" s="910" t="s">
        <v>75</v>
      </c>
      <c r="BRD5079" s="911"/>
      <c r="BRE5079" s="911"/>
      <c r="BRF5079" s="911"/>
      <c r="BRG5079" s="911"/>
      <c r="BRH5079" s="911"/>
      <c r="BRI5079" s="911"/>
      <c r="BRJ5079" s="911"/>
      <c r="BRK5079" s="911"/>
      <c r="BRL5079" s="911"/>
      <c r="BRM5079" s="32"/>
      <c r="BRN5079" s="911" t="s">
        <v>74</v>
      </c>
      <c r="BRO5079" s="911"/>
      <c r="BRP5079" s="911"/>
      <c r="BRQ5079" s="911"/>
      <c r="BRR5079" s="911"/>
      <c r="BRS5079" s="911"/>
      <c r="BRT5079" s="911"/>
      <c r="BRU5079" s="911"/>
      <c r="BRV5079" s="911"/>
      <c r="BRW5079" s="912"/>
      <c r="BRY5079" s="913" t="s">
        <v>1</v>
      </c>
      <c r="BRZ5079" s="31"/>
      <c r="BSA5079" s="909" t="s">
        <v>0</v>
      </c>
      <c r="BSB5079" s="909"/>
      <c r="BSC5079" s="909"/>
      <c r="BSD5079" s="909"/>
      <c r="BSE5079" s="909"/>
      <c r="BSF5079" s="909"/>
      <c r="BSG5079" s="907" t="s">
        <v>79</v>
      </c>
      <c r="BSH5079" s="909" t="s">
        <v>68</v>
      </c>
      <c r="BSI5079" s="910" t="s">
        <v>75</v>
      </c>
      <c r="BSJ5079" s="911"/>
      <c r="BSK5079" s="911"/>
      <c r="BSL5079" s="911"/>
      <c r="BSM5079" s="911"/>
      <c r="BSN5079" s="911"/>
      <c r="BSO5079" s="911"/>
      <c r="BSP5079" s="911"/>
      <c r="BSQ5079" s="911"/>
      <c r="BSR5079" s="911"/>
      <c r="BSS5079" s="32"/>
      <c r="BST5079" s="911" t="s">
        <v>74</v>
      </c>
      <c r="BSU5079" s="911"/>
      <c r="BSV5079" s="911"/>
      <c r="BSW5079" s="911"/>
      <c r="BSX5079" s="911"/>
      <c r="BSY5079" s="911"/>
      <c r="BSZ5079" s="911"/>
      <c r="BTA5079" s="911"/>
      <c r="BTB5079" s="911"/>
      <c r="BTC5079" s="912"/>
      <c r="BTE5079" s="913" t="s">
        <v>1</v>
      </c>
      <c r="BTF5079" s="31"/>
      <c r="BTG5079" s="909" t="s">
        <v>0</v>
      </c>
      <c r="BTH5079" s="909"/>
      <c r="BTI5079" s="909"/>
      <c r="BTJ5079" s="909"/>
      <c r="BTK5079" s="909"/>
      <c r="BTL5079" s="909"/>
      <c r="BTM5079" s="907" t="s">
        <v>79</v>
      </c>
      <c r="BTN5079" s="909" t="s">
        <v>68</v>
      </c>
      <c r="BTO5079" s="910" t="s">
        <v>75</v>
      </c>
      <c r="BTP5079" s="911"/>
      <c r="BTQ5079" s="911"/>
      <c r="BTR5079" s="911"/>
      <c r="BTS5079" s="911"/>
      <c r="BTT5079" s="911"/>
      <c r="BTU5079" s="911"/>
      <c r="BTV5079" s="911"/>
      <c r="BTW5079" s="911"/>
      <c r="BTX5079" s="911"/>
      <c r="BTY5079" s="32"/>
      <c r="BTZ5079" s="911" t="s">
        <v>74</v>
      </c>
      <c r="BUA5079" s="911"/>
      <c r="BUB5079" s="911"/>
      <c r="BUC5079" s="911"/>
      <c r="BUD5079" s="911"/>
      <c r="BUE5079" s="911"/>
      <c r="BUF5079" s="911"/>
      <c r="BUG5079" s="911"/>
      <c r="BUH5079" s="911"/>
      <c r="BUI5079" s="912"/>
      <c r="BUK5079" s="913" t="s">
        <v>1</v>
      </c>
      <c r="BUL5079" s="31"/>
      <c r="BUM5079" s="909" t="s">
        <v>0</v>
      </c>
      <c r="BUN5079" s="909"/>
      <c r="BUO5079" s="909"/>
      <c r="BUP5079" s="909"/>
      <c r="BUQ5079" s="909"/>
      <c r="BUR5079" s="909"/>
      <c r="BUS5079" s="907" t="s">
        <v>79</v>
      </c>
      <c r="BUT5079" s="909" t="s">
        <v>68</v>
      </c>
      <c r="BUU5079" s="910" t="s">
        <v>75</v>
      </c>
      <c r="BUV5079" s="911"/>
      <c r="BUW5079" s="911"/>
      <c r="BUX5079" s="911"/>
      <c r="BUY5079" s="911"/>
      <c r="BUZ5079" s="911"/>
      <c r="BVA5079" s="911"/>
      <c r="BVB5079" s="911"/>
      <c r="BVC5079" s="911"/>
      <c r="BVD5079" s="911"/>
      <c r="BVE5079" s="32"/>
      <c r="BVF5079" s="911" t="s">
        <v>74</v>
      </c>
      <c r="BVG5079" s="911"/>
      <c r="BVH5079" s="911"/>
      <c r="BVI5079" s="911"/>
      <c r="BVJ5079" s="911"/>
      <c r="BVK5079" s="911"/>
      <c r="BVL5079" s="911"/>
      <c r="BVM5079" s="911"/>
      <c r="BVN5079" s="911"/>
      <c r="BVO5079" s="912"/>
      <c r="BVQ5079" s="913" t="s">
        <v>1</v>
      </c>
      <c r="BVR5079" s="31"/>
      <c r="BVS5079" s="909" t="s">
        <v>0</v>
      </c>
      <c r="BVT5079" s="909"/>
      <c r="BVU5079" s="909"/>
      <c r="BVV5079" s="909"/>
      <c r="BVW5079" s="909"/>
      <c r="BVX5079" s="909"/>
      <c r="BVY5079" s="907" t="s">
        <v>79</v>
      </c>
      <c r="BVZ5079" s="909" t="s">
        <v>68</v>
      </c>
      <c r="BWA5079" s="910" t="s">
        <v>75</v>
      </c>
      <c r="BWB5079" s="911"/>
      <c r="BWC5079" s="911"/>
      <c r="BWD5079" s="911"/>
      <c r="BWE5079" s="911"/>
      <c r="BWF5079" s="911"/>
      <c r="BWG5079" s="911"/>
      <c r="BWH5079" s="911"/>
      <c r="BWI5079" s="911"/>
      <c r="BWJ5079" s="911"/>
      <c r="BWK5079" s="32"/>
      <c r="BWL5079" s="911" t="s">
        <v>74</v>
      </c>
      <c r="BWM5079" s="911"/>
      <c r="BWN5079" s="911"/>
      <c r="BWO5079" s="911"/>
      <c r="BWP5079" s="911"/>
      <c r="BWQ5079" s="911"/>
      <c r="BWR5079" s="911"/>
      <c r="BWS5079" s="911"/>
      <c r="BWT5079" s="911"/>
      <c r="BWU5079" s="912"/>
      <c r="BWW5079" s="913" t="s">
        <v>1</v>
      </c>
      <c r="BWX5079" s="31"/>
      <c r="BWY5079" s="909" t="s">
        <v>0</v>
      </c>
      <c r="BWZ5079" s="909"/>
      <c r="BXA5079" s="909"/>
      <c r="BXB5079" s="909"/>
      <c r="BXC5079" s="909"/>
      <c r="BXD5079" s="909"/>
      <c r="BXE5079" s="907" t="s">
        <v>79</v>
      </c>
      <c r="BXF5079" s="909" t="s">
        <v>68</v>
      </c>
      <c r="BXG5079" s="910" t="s">
        <v>75</v>
      </c>
      <c r="BXH5079" s="911"/>
      <c r="BXI5079" s="911"/>
      <c r="BXJ5079" s="911"/>
      <c r="BXK5079" s="911"/>
      <c r="BXL5079" s="911"/>
      <c r="BXM5079" s="911"/>
      <c r="BXN5079" s="911"/>
      <c r="BXO5079" s="911"/>
      <c r="BXP5079" s="911"/>
      <c r="BXQ5079" s="32"/>
      <c r="BXR5079" s="911" t="s">
        <v>74</v>
      </c>
      <c r="BXS5079" s="911"/>
      <c r="BXT5079" s="911"/>
      <c r="BXU5079" s="911"/>
      <c r="BXV5079" s="911"/>
      <c r="BXW5079" s="911"/>
      <c r="BXX5079" s="911"/>
      <c r="BXY5079" s="911"/>
      <c r="BXZ5079" s="911"/>
      <c r="BYA5079" s="912"/>
      <c r="BYC5079" s="913" t="s">
        <v>1</v>
      </c>
      <c r="BYD5079" s="31"/>
      <c r="BYE5079" s="909" t="s">
        <v>0</v>
      </c>
      <c r="BYF5079" s="909"/>
      <c r="BYG5079" s="909"/>
      <c r="BYH5079" s="909"/>
      <c r="BYI5079" s="909"/>
      <c r="BYJ5079" s="909"/>
      <c r="BYK5079" s="907" t="s">
        <v>79</v>
      </c>
      <c r="BYL5079" s="909" t="s">
        <v>68</v>
      </c>
      <c r="BYM5079" s="910" t="s">
        <v>75</v>
      </c>
      <c r="BYN5079" s="911"/>
      <c r="BYO5079" s="911"/>
      <c r="BYP5079" s="911"/>
      <c r="BYQ5079" s="911"/>
      <c r="BYR5079" s="911"/>
      <c r="BYS5079" s="911"/>
      <c r="BYT5079" s="911"/>
      <c r="BYU5079" s="911"/>
      <c r="BYV5079" s="911"/>
      <c r="BYW5079" s="32"/>
      <c r="BYX5079" s="911" t="s">
        <v>74</v>
      </c>
      <c r="BYY5079" s="911"/>
      <c r="BYZ5079" s="911"/>
      <c r="BZA5079" s="911"/>
      <c r="BZB5079" s="911"/>
      <c r="BZC5079" s="911"/>
      <c r="BZD5079" s="911"/>
      <c r="BZE5079" s="911"/>
      <c r="BZF5079" s="911"/>
      <c r="BZG5079" s="912"/>
      <c r="BZI5079" s="913" t="s">
        <v>1</v>
      </c>
      <c r="BZJ5079" s="31"/>
      <c r="BZK5079" s="909" t="s">
        <v>0</v>
      </c>
      <c r="BZL5079" s="909"/>
      <c r="BZM5079" s="909"/>
      <c r="BZN5079" s="909"/>
      <c r="BZO5079" s="909"/>
      <c r="BZP5079" s="909"/>
      <c r="BZQ5079" s="907" t="s">
        <v>79</v>
      </c>
      <c r="BZR5079" s="909" t="s">
        <v>68</v>
      </c>
      <c r="BZS5079" s="910" t="s">
        <v>75</v>
      </c>
      <c r="BZT5079" s="911"/>
      <c r="BZU5079" s="911"/>
      <c r="BZV5079" s="911"/>
      <c r="BZW5079" s="911"/>
      <c r="BZX5079" s="911"/>
      <c r="BZY5079" s="911"/>
      <c r="BZZ5079" s="911"/>
      <c r="CAA5079" s="911"/>
      <c r="CAB5079" s="911"/>
      <c r="CAC5079" s="32"/>
      <c r="CAD5079" s="911" t="s">
        <v>74</v>
      </c>
      <c r="CAE5079" s="911"/>
      <c r="CAF5079" s="911"/>
      <c r="CAG5079" s="911"/>
      <c r="CAH5079" s="911"/>
      <c r="CAI5079" s="911"/>
      <c r="CAJ5079" s="911"/>
      <c r="CAK5079" s="911"/>
      <c r="CAL5079" s="911"/>
      <c r="CAM5079" s="912"/>
      <c r="CAO5079" s="913" t="s">
        <v>1</v>
      </c>
      <c r="CAP5079" s="31"/>
      <c r="CAQ5079" s="909" t="s">
        <v>0</v>
      </c>
      <c r="CAR5079" s="909"/>
      <c r="CAS5079" s="909"/>
      <c r="CAT5079" s="909"/>
      <c r="CAU5079" s="909"/>
      <c r="CAV5079" s="909"/>
      <c r="CAW5079" s="907" t="s">
        <v>79</v>
      </c>
      <c r="CAX5079" s="909" t="s">
        <v>68</v>
      </c>
      <c r="CAY5079" s="910" t="s">
        <v>75</v>
      </c>
      <c r="CAZ5079" s="911"/>
      <c r="CBA5079" s="911"/>
      <c r="CBB5079" s="911"/>
      <c r="CBC5079" s="911"/>
      <c r="CBD5079" s="911"/>
      <c r="CBE5079" s="911"/>
      <c r="CBF5079" s="911"/>
      <c r="CBG5079" s="911"/>
      <c r="CBH5079" s="911"/>
      <c r="CBI5079" s="32"/>
      <c r="CBJ5079" s="911" t="s">
        <v>74</v>
      </c>
      <c r="CBK5079" s="911"/>
      <c r="CBL5079" s="911"/>
      <c r="CBM5079" s="911"/>
      <c r="CBN5079" s="911"/>
      <c r="CBO5079" s="911"/>
      <c r="CBP5079" s="911"/>
      <c r="CBQ5079" s="911"/>
      <c r="CBR5079" s="911"/>
      <c r="CBS5079" s="912"/>
      <c r="CBU5079" s="913" t="s">
        <v>1</v>
      </c>
      <c r="CBV5079" s="31"/>
      <c r="CBW5079" s="909" t="s">
        <v>0</v>
      </c>
      <c r="CBX5079" s="909"/>
      <c r="CBY5079" s="909"/>
      <c r="CBZ5079" s="909"/>
      <c r="CCA5079" s="909"/>
      <c r="CCB5079" s="909"/>
      <c r="CCC5079" s="907" t="s">
        <v>79</v>
      </c>
      <c r="CCD5079" s="909" t="s">
        <v>68</v>
      </c>
      <c r="CCE5079" s="910" t="s">
        <v>75</v>
      </c>
      <c r="CCF5079" s="911"/>
      <c r="CCG5079" s="911"/>
      <c r="CCH5079" s="911"/>
      <c r="CCI5079" s="911"/>
      <c r="CCJ5079" s="911"/>
      <c r="CCK5079" s="911"/>
      <c r="CCL5079" s="911"/>
      <c r="CCM5079" s="911"/>
      <c r="CCN5079" s="911"/>
      <c r="CCO5079" s="32"/>
      <c r="CCP5079" s="911" t="s">
        <v>74</v>
      </c>
      <c r="CCQ5079" s="911"/>
      <c r="CCR5079" s="911"/>
      <c r="CCS5079" s="911"/>
      <c r="CCT5079" s="911"/>
      <c r="CCU5079" s="911"/>
      <c r="CCV5079" s="911"/>
      <c r="CCW5079" s="911"/>
      <c r="CCX5079" s="911"/>
      <c r="CCY5079" s="912"/>
      <c r="CDA5079" s="913" t="s">
        <v>1</v>
      </c>
      <c r="CDB5079" s="31"/>
      <c r="CDC5079" s="909" t="s">
        <v>0</v>
      </c>
      <c r="CDD5079" s="909"/>
      <c r="CDE5079" s="909"/>
      <c r="CDF5079" s="909"/>
      <c r="CDG5079" s="909"/>
      <c r="CDH5079" s="909"/>
      <c r="CDI5079" s="907" t="s">
        <v>79</v>
      </c>
      <c r="CDJ5079" s="909" t="s">
        <v>68</v>
      </c>
      <c r="CDK5079" s="910" t="s">
        <v>75</v>
      </c>
      <c r="CDL5079" s="911"/>
      <c r="CDM5079" s="911"/>
      <c r="CDN5079" s="911"/>
      <c r="CDO5079" s="911"/>
      <c r="CDP5079" s="911"/>
      <c r="CDQ5079" s="911"/>
      <c r="CDR5079" s="911"/>
      <c r="CDS5079" s="911"/>
      <c r="CDT5079" s="911"/>
      <c r="CDU5079" s="32"/>
      <c r="CDV5079" s="911" t="s">
        <v>74</v>
      </c>
      <c r="CDW5079" s="911"/>
      <c r="CDX5079" s="911"/>
      <c r="CDY5079" s="911"/>
      <c r="CDZ5079" s="911"/>
      <c r="CEA5079" s="911"/>
      <c r="CEB5079" s="911"/>
      <c r="CEC5079" s="911"/>
      <c r="CED5079" s="911"/>
      <c r="CEE5079" s="912"/>
      <c r="CEG5079" s="913" t="s">
        <v>1</v>
      </c>
      <c r="CEH5079" s="31"/>
      <c r="CEI5079" s="909" t="s">
        <v>0</v>
      </c>
      <c r="CEJ5079" s="909"/>
      <c r="CEK5079" s="909"/>
      <c r="CEL5079" s="909"/>
      <c r="CEM5079" s="909"/>
      <c r="CEN5079" s="909"/>
      <c r="CEO5079" s="907" t="s">
        <v>79</v>
      </c>
      <c r="CEP5079" s="909" t="s">
        <v>68</v>
      </c>
      <c r="CEQ5079" s="910" t="s">
        <v>75</v>
      </c>
      <c r="CER5079" s="911"/>
      <c r="CES5079" s="911"/>
      <c r="CET5079" s="911"/>
      <c r="CEU5079" s="911"/>
      <c r="CEV5079" s="911"/>
      <c r="CEW5079" s="911"/>
      <c r="CEX5079" s="911"/>
      <c r="CEY5079" s="911"/>
      <c r="CEZ5079" s="911"/>
      <c r="CFA5079" s="32"/>
      <c r="CFB5079" s="911" t="s">
        <v>74</v>
      </c>
      <c r="CFC5079" s="911"/>
      <c r="CFD5079" s="911"/>
      <c r="CFE5079" s="911"/>
      <c r="CFF5079" s="911"/>
      <c r="CFG5079" s="911"/>
      <c r="CFH5079" s="911"/>
      <c r="CFI5079" s="911"/>
      <c r="CFJ5079" s="911"/>
      <c r="CFK5079" s="912"/>
      <c r="CFM5079" s="913" t="s">
        <v>1</v>
      </c>
      <c r="CFN5079" s="31"/>
      <c r="CFO5079" s="909" t="s">
        <v>0</v>
      </c>
      <c r="CFP5079" s="909"/>
      <c r="CFQ5079" s="909"/>
      <c r="CFR5079" s="909"/>
      <c r="CFS5079" s="909"/>
      <c r="CFT5079" s="909"/>
      <c r="CFU5079" s="907" t="s">
        <v>79</v>
      </c>
      <c r="CFV5079" s="909" t="s">
        <v>68</v>
      </c>
      <c r="CFW5079" s="910" t="s">
        <v>75</v>
      </c>
      <c r="CFX5079" s="911"/>
      <c r="CFY5079" s="911"/>
      <c r="CFZ5079" s="911"/>
      <c r="CGA5079" s="911"/>
      <c r="CGB5079" s="911"/>
      <c r="CGC5079" s="911"/>
      <c r="CGD5079" s="911"/>
      <c r="CGE5079" s="911"/>
      <c r="CGF5079" s="911"/>
      <c r="CGG5079" s="32"/>
      <c r="CGH5079" s="911" t="s">
        <v>74</v>
      </c>
      <c r="CGI5079" s="911"/>
      <c r="CGJ5079" s="911"/>
      <c r="CGK5079" s="911"/>
      <c r="CGL5079" s="911"/>
      <c r="CGM5079" s="911"/>
      <c r="CGN5079" s="911"/>
      <c r="CGO5079" s="911"/>
      <c r="CGP5079" s="911"/>
      <c r="CGQ5079" s="912"/>
      <c r="CGS5079" s="913" t="s">
        <v>1</v>
      </c>
      <c r="CGT5079" s="31"/>
      <c r="CGU5079" s="909" t="s">
        <v>0</v>
      </c>
      <c r="CGV5079" s="909"/>
      <c r="CGW5079" s="909"/>
      <c r="CGX5079" s="909"/>
      <c r="CGY5079" s="909"/>
      <c r="CGZ5079" s="909"/>
      <c r="CHA5079" s="907" t="s">
        <v>79</v>
      </c>
      <c r="CHB5079" s="909" t="s">
        <v>68</v>
      </c>
      <c r="CHC5079" s="910" t="s">
        <v>75</v>
      </c>
      <c r="CHD5079" s="911"/>
      <c r="CHE5079" s="911"/>
      <c r="CHF5079" s="911"/>
      <c r="CHG5079" s="911"/>
      <c r="CHH5079" s="911"/>
      <c r="CHI5079" s="911"/>
      <c r="CHJ5079" s="911"/>
      <c r="CHK5079" s="911"/>
      <c r="CHL5079" s="911"/>
      <c r="CHM5079" s="32"/>
      <c r="CHN5079" s="911" t="s">
        <v>74</v>
      </c>
      <c r="CHO5079" s="911"/>
      <c r="CHP5079" s="911"/>
      <c r="CHQ5079" s="911"/>
      <c r="CHR5079" s="911"/>
      <c r="CHS5079" s="911"/>
      <c r="CHT5079" s="911"/>
      <c r="CHU5079" s="911"/>
      <c r="CHV5079" s="911"/>
      <c r="CHW5079" s="912"/>
      <c r="CHY5079" s="913" t="s">
        <v>1</v>
      </c>
      <c r="CHZ5079" s="31"/>
      <c r="CIA5079" s="909" t="s">
        <v>0</v>
      </c>
      <c r="CIB5079" s="909"/>
      <c r="CIC5079" s="909"/>
      <c r="CID5079" s="909"/>
      <c r="CIE5079" s="909"/>
      <c r="CIF5079" s="909"/>
      <c r="CIG5079" s="907" t="s">
        <v>79</v>
      </c>
      <c r="CIH5079" s="909" t="s">
        <v>68</v>
      </c>
      <c r="CII5079" s="910" t="s">
        <v>75</v>
      </c>
      <c r="CIJ5079" s="911"/>
      <c r="CIK5079" s="911"/>
      <c r="CIL5079" s="911"/>
      <c r="CIM5079" s="911"/>
      <c r="CIN5079" s="911"/>
      <c r="CIO5079" s="911"/>
      <c r="CIP5079" s="911"/>
      <c r="CIQ5079" s="911"/>
      <c r="CIR5079" s="911"/>
      <c r="CIS5079" s="32"/>
      <c r="CIT5079" s="911" t="s">
        <v>74</v>
      </c>
      <c r="CIU5079" s="911"/>
      <c r="CIV5079" s="911"/>
      <c r="CIW5079" s="911"/>
      <c r="CIX5079" s="911"/>
      <c r="CIY5079" s="911"/>
      <c r="CIZ5079" s="911"/>
      <c r="CJA5079" s="911"/>
      <c r="CJB5079" s="911"/>
      <c r="CJC5079" s="912"/>
      <c r="CJE5079" s="913" t="s">
        <v>1</v>
      </c>
      <c r="CJF5079" s="31"/>
      <c r="CJG5079" s="909" t="s">
        <v>0</v>
      </c>
      <c r="CJH5079" s="909"/>
      <c r="CJI5079" s="909"/>
      <c r="CJJ5079" s="909"/>
      <c r="CJK5079" s="909"/>
      <c r="CJL5079" s="909"/>
      <c r="CJM5079" s="907" t="s">
        <v>79</v>
      </c>
      <c r="CJN5079" s="909" t="s">
        <v>68</v>
      </c>
      <c r="CJO5079" s="910" t="s">
        <v>75</v>
      </c>
      <c r="CJP5079" s="911"/>
      <c r="CJQ5079" s="911"/>
      <c r="CJR5079" s="911"/>
      <c r="CJS5079" s="911"/>
      <c r="CJT5079" s="911"/>
      <c r="CJU5079" s="911"/>
      <c r="CJV5079" s="911"/>
      <c r="CJW5079" s="911"/>
      <c r="CJX5079" s="911"/>
      <c r="CJY5079" s="32"/>
      <c r="CJZ5079" s="911" t="s">
        <v>74</v>
      </c>
      <c r="CKA5079" s="911"/>
      <c r="CKB5079" s="911"/>
      <c r="CKC5079" s="911"/>
      <c r="CKD5079" s="911"/>
      <c r="CKE5079" s="911"/>
      <c r="CKF5079" s="911"/>
      <c r="CKG5079" s="911"/>
      <c r="CKH5079" s="911"/>
      <c r="CKI5079" s="912"/>
      <c r="CKK5079" s="913" t="s">
        <v>1</v>
      </c>
      <c r="CKL5079" s="31"/>
      <c r="CKM5079" s="909" t="s">
        <v>0</v>
      </c>
      <c r="CKN5079" s="909"/>
      <c r="CKO5079" s="909"/>
      <c r="CKP5079" s="909"/>
      <c r="CKQ5079" s="909"/>
      <c r="CKR5079" s="909"/>
      <c r="CKS5079" s="907" t="s">
        <v>79</v>
      </c>
      <c r="CKT5079" s="909" t="s">
        <v>68</v>
      </c>
      <c r="CKU5079" s="910" t="s">
        <v>75</v>
      </c>
      <c r="CKV5079" s="911"/>
      <c r="CKW5079" s="911"/>
      <c r="CKX5079" s="911"/>
      <c r="CKY5079" s="911"/>
      <c r="CKZ5079" s="911"/>
      <c r="CLA5079" s="911"/>
      <c r="CLB5079" s="911"/>
      <c r="CLC5079" s="911"/>
      <c r="CLD5079" s="911"/>
      <c r="CLE5079" s="32"/>
      <c r="CLF5079" s="911" t="s">
        <v>74</v>
      </c>
      <c r="CLG5079" s="911"/>
      <c r="CLH5079" s="911"/>
      <c r="CLI5079" s="911"/>
      <c r="CLJ5079" s="911"/>
      <c r="CLK5079" s="911"/>
      <c r="CLL5079" s="911"/>
      <c r="CLM5079" s="911"/>
      <c r="CLN5079" s="911"/>
      <c r="CLO5079" s="912"/>
      <c r="CLQ5079" s="913" t="s">
        <v>1</v>
      </c>
      <c r="CLR5079" s="31"/>
      <c r="CLS5079" s="909" t="s">
        <v>0</v>
      </c>
      <c r="CLT5079" s="909"/>
      <c r="CLU5079" s="909"/>
      <c r="CLV5079" s="909"/>
      <c r="CLW5079" s="909"/>
      <c r="CLX5079" s="909"/>
      <c r="CLY5079" s="907" t="s">
        <v>79</v>
      </c>
      <c r="CLZ5079" s="909" t="s">
        <v>68</v>
      </c>
      <c r="CMA5079" s="910" t="s">
        <v>75</v>
      </c>
      <c r="CMB5079" s="911"/>
      <c r="CMC5079" s="911"/>
      <c r="CMD5079" s="911"/>
      <c r="CME5079" s="911"/>
      <c r="CMF5079" s="911"/>
      <c r="CMG5079" s="911"/>
      <c r="CMH5079" s="911"/>
      <c r="CMI5079" s="911"/>
      <c r="CMJ5079" s="911"/>
      <c r="CMK5079" s="32"/>
      <c r="CML5079" s="911" t="s">
        <v>74</v>
      </c>
      <c r="CMM5079" s="911"/>
      <c r="CMN5079" s="911"/>
      <c r="CMO5079" s="911"/>
      <c r="CMP5079" s="911"/>
      <c r="CMQ5079" s="911"/>
      <c r="CMR5079" s="911"/>
      <c r="CMS5079" s="911"/>
      <c r="CMT5079" s="911"/>
      <c r="CMU5079" s="912"/>
      <c r="CMW5079" s="913" t="s">
        <v>1</v>
      </c>
      <c r="CMX5079" s="31"/>
      <c r="CMY5079" s="909" t="s">
        <v>0</v>
      </c>
      <c r="CMZ5079" s="909"/>
      <c r="CNA5079" s="909"/>
      <c r="CNB5079" s="909"/>
      <c r="CNC5079" s="909"/>
      <c r="CND5079" s="909"/>
      <c r="CNE5079" s="907" t="s">
        <v>79</v>
      </c>
      <c r="CNF5079" s="909" t="s">
        <v>68</v>
      </c>
      <c r="CNG5079" s="910" t="s">
        <v>75</v>
      </c>
      <c r="CNH5079" s="911"/>
      <c r="CNI5079" s="911"/>
      <c r="CNJ5079" s="911"/>
      <c r="CNK5079" s="911"/>
      <c r="CNL5079" s="911"/>
      <c r="CNM5079" s="911"/>
      <c r="CNN5079" s="911"/>
      <c r="CNO5079" s="911"/>
      <c r="CNP5079" s="911"/>
      <c r="CNQ5079" s="32"/>
      <c r="CNR5079" s="911" t="s">
        <v>74</v>
      </c>
      <c r="CNS5079" s="911"/>
      <c r="CNT5079" s="911"/>
      <c r="CNU5079" s="911"/>
      <c r="CNV5079" s="911"/>
      <c r="CNW5079" s="911"/>
      <c r="CNX5079" s="911"/>
      <c r="CNY5079" s="911"/>
      <c r="CNZ5079" s="911"/>
      <c r="COA5079" s="912"/>
      <c r="COC5079" s="913" t="s">
        <v>1</v>
      </c>
      <c r="COD5079" s="31"/>
      <c r="COE5079" s="909" t="s">
        <v>0</v>
      </c>
      <c r="COF5079" s="909"/>
      <c r="COG5079" s="909"/>
      <c r="COH5079" s="909"/>
      <c r="COI5079" s="909"/>
      <c r="COJ5079" s="909"/>
      <c r="COK5079" s="907" t="s">
        <v>79</v>
      </c>
      <c r="COL5079" s="909" t="s">
        <v>68</v>
      </c>
      <c r="COM5079" s="910" t="s">
        <v>75</v>
      </c>
      <c r="CON5079" s="911"/>
      <c r="COO5079" s="911"/>
      <c r="COP5079" s="911"/>
      <c r="COQ5079" s="911"/>
      <c r="COR5079" s="911"/>
      <c r="COS5079" s="911"/>
      <c r="COT5079" s="911"/>
      <c r="COU5079" s="911"/>
      <c r="COV5079" s="911"/>
      <c r="COW5079" s="32"/>
      <c r="COX5079" s="911" t="s">
        <v>74</v>
      </c>
      <c r="COY5079" s="911"/>
      <c r="COZ5079" s="911"/>
      <c r="CPA5079" s="911"/>
      <c r="CPB5079" s="911"/>
      <c r="CPC5079" s="911"/>
      <c r="CPD5079" s="911"/>
      <c r="CPE5079" s="911"/>
      <c r="CPF5079" s="911"/>
      <c r="CPG5079" s="912"/>
      <c r="CPI5079" s="913" t="s">
        <v>1</v>
      </c>
      <c r="CPJ5079" s="31"/>
      <c r="CPK5079" s="909" t="s">
        <v>0</v>
      </c>
      <c r="CPL5079" s="909"/>
      <c r="CPM5079" s="909"/>
      <c r="CPN5079" s="909"/>
      <c r="CPO5079" s="909"/>
      <c r="CPP5079" s="909"/>
      <c r="CPQ5079" s="907" t="s">
        <v>79</v>
      </c>
      <c r="CPR5079" s="909" t="s">
        <v>68</v>
      </c>
      <c r="CPS5079" s="910" t="s">
        <v>75</v>
      </c>
      <c r="CPT5079" s="911"/>
      <c r="CPU5079" s="911"/>
      <c r="CPV5079" s="911"/>
      <c r="CPW5079" s="911"/>
      <c r="CPX5079" s="911"/>
      <c r="CPY5079" s="911"/>
      <c r="CPZ5079" s="911"/>
      <c r="CQA5079" s="911"/>
      <c r="CQB5079" s="911"/>
      <c r="CQC5079" s="32"/>
      <c r="CQD5079" s="911" t="s">
        <v>74</v>
      </c>
      <c r="CQE5079" s="911"/>
      <c r="CQF5079" s="911"/>
      <c r="CQG5079" s="911"/>
      <c r="CQH5079" s="911"/>
      <c r="CQI5079" s="911"/>
      <c r="CQJ5079" s="911"/>
      <c r="CQK5079" s="911"/>
      <c r="CQL5079" s="911"/>
      <c r="CQM5079" s="912"/>
      <c r="CQO5079" s="913" t="s">
        <v>1</v>
      </c>
      <c r="CQP5079" s="31"/>
      <c r="CQQ5079" s="909" t="s">
        <v>0</v>
      </c>
      <c r="CQR5079" s="909"/>
      <c r="CQS5079" s="909"/>
      <c r="CQT5079" s="909"/>
      <c r="CQU5079" s="909"/>
      <c r="CQV5079" s="909"/>
      <c r="CQW5079" s="907" t="s">
        <v>79</v>
      </c>
      <c r="CQX5079" s="909" t="s">
        <v>68</v>
      </c>
      <c r="CQY5079" s="910" t="s">
        <v>75</v>
      </c>
      <c r="CQZ5079" s="911"/>
      <c r="CRA5079" s="911"/>
      <c r="CRB5079" s="911"/>
      <c r="CRC5079" s="911"/>
      <c r="CRD5079" s="911"/>
      <c r="CRE5079" s="911"/>
      <c r="CRF5079" s="911"/>
      <c r="CRG5079" s="911"/>
      <c r="CRH5079" s="911"/>
      <c r="CRI5079" s="32"/>
      <c r="CRJ5079" s="911" t="s">
        <v>74</v>
      </c>
      <c r="CRK5079" s="911"/>
      <c r="CRL5079" s="911"/>
      <c r="CRM5079" s="911"/>
      <c r="CRN5079" s="911"/>
      <c r="CRO5079" s="911"/>
      <c r="CRP5079" s="911"/>
      <c r="CRQ5079" s="911"/>
      <c r="CRR5079" s="911"/>
      <c r="CRS5079" s="912"/>
      <c r="CRU5079" s="913" t="s">
        <v>1</v>
      </c>
      <c r="CRV5079" s="31"/>
      <c r="CRW5079" s="909" t="s">
        <v>0</v>
      </c>
      <c r="CRX5079" s="909"/>
      <c r="CRY5079" s="909"/>
      <c r="CRZ5079" s="909"/>
      <c r="CSA5079" s="909"/>
      <c r="CSB5079" s="909"/>
      <c r="CSC5079" s="907" t="s">
        <v>79</v>
      </c>
      <c r="CSD5079" s="909" t="s">
        <v>68</v>
      </c>
      <c r="CSE5079" s="910" t="s">
        <v>75</v>
      </c>
      <c r="CSF5079" s="911"/>
      <c r="CSG5079" s="911"/>
      <c r="CSH5079" s="911"/>
      <c r="CSI5079" s="911"/>
      <c r="CSJ5079" s="911"/>
      <c r="CSK5079" s="911"/>
      <c r="CSL5079" s="911"/>
      <c r="CSM5079" s="911"/>
      <c r="CSN5079" s="911"/>
      <c r="CSO5079" s="32"/>
      <c r="CSP5079" s="911" t="s">
        <v>74</v>
      </c>
      <c r="CSQ5079" s="911"/>
      <c r="CSR5079" s="911"/>
      <c r="CSS5079" s="911"/>
      <c r="CST5079" s="911"/>
      <c r="CSU5079" s="911"/>
      <c r="CSV5079" s="911"/>
      <c r="CSW5079" s="911"/>
      <c r="CSX5079" s="911"/>
      <c r="CSY5079" s="912"/>
      <c r="CTA5079" s="913" t="s">
        <v>1</v>
      </c>
      <c r="CTB5079" s="31"/>
      <c r="CTC5079" s="909" t="s">
        <v>0</v>
      </c>
      <c r="CTD5079" s="909"/>
      <c r="CTE5079" s="909"/>
      <c r="CTF5079" s="909"/>
      <c r="CTG5079" s="909"/>
      <c r="CTH5079" s="909"/>
      <c r="CTI5079" s="907" t="s">
        <v>79</v>
      </c>
      <c r="CTJ5079" s="909" t="s">
        <v>68</v>
      </c>
      <c r="CTK5079" s="910" t="s">
        <v>75</v>
      </c>
      <c r="CTL5079" s="911"/>
      <c r="CTM5079" s="911"/>
      <c r="CTN5079" s="911"/>
      <c r="CTO5079" s="911"/>
      <c r="CTP5079" s="911"/>
      <c r="CTQ5079" s="911"/>
      <c r="CTR5079" s="911"/>
      <c r="CTS5079" s="911"/>
      <c r="CTT5079" s="911"/>
      <c r="CTU5079" s="32"/>
      <c r="CTV5079" s="911" t="s">
        <v>74</v>
      </c>
      <c r="CTW5079" s="911"/>
      <c r="CTX5079" s="911"/>
      <c r="CTY5079" s="911"/>
      <c r="CTZ5079" s="911"/>
      <c r="CUA5079" s="911"/>
      <c r="CUB5079" s="911"/>
      <c r="CUC5079" s="911"/>
      <c r="CUD5079" s="911"/>
      <c r="CUE5079" s="912"/>
      <c r="CUG5079" s="913" t="s">
        <v>1</v>
      </c>
      <c r="CUH5079" s="31"/>
      <c r="CUI5079" s="909" t="s">
        <v>0</v>
      </c>
      <c r="CUJ5079" s="909"/>
      <c r="CUK5079" s="909"/>
      <c r="CUL5079" s="909"/>
      <c r="CUM5079" s="909"/>
      <c r="CUN5079" s="909"/>
      <c r="CUO5079" s="907" t="s">
        <v>79</v>
      </c>
      <c r="CUP5079" s="909" t="s">
        <v>68</v>
      </c>
      <c r="CUQ5079" s="910" t="s">
        <v>75</v>
      </c>
      <c r="CUR5079" s="911"/>
      <c r="CUS5079" s="911"/>
      <c r="CUT5079" s="911"/>
      <c r="CUU5079" s="911"/>
      <c r="CUV5079" s="911"/>
      <c r="CUW5079" s="911"/>
      <c r="CUX5079" s="911"/>
      <c r="CUY5079" s="911"/>
      <c r="CUZ5079" s="911"/>
      <c r="CVA5079" s="32"/>
      <c r="CVB5079" s="911" t="s">
        <v>74</v>
      </c>
      <c r="CVC5079" s="911"/>
      <c r="CVD5079" s="911"/>
      <c r="CVE5079" s="911"/>
      <c r="CVF5079" s="911"/>
      <c r="CVG5079" s="911"/>
      <c r="CVH5079" s="911"/>
      <c r="CVI5079" s="911"/>
      <c r="CVJ5079" s="911"/>
      <c r="CVK5079" s="912"/>
      <c r="CVM5079" s="913" t="s">
        <v>1</v>
      </c>
      <c r="CVN5079" s="31"/>
      <c r="CVO5079" s="909" t="s">
        <v>0</v>
      </c>
      <c r="CVP5079" s="909"/>
      <c r="CVQ5079" s="909"/>
      <c r="CVR5079" s="909"/>
      <c r="CVS5079" s="909"/>
      <c r="CVT5079" s="909"/>
      <c r="CVU5079" s="907" t="s">
        <v>79</v>
      </c>
      <c r="CVV5079" s="909" t="s">
        <v>68</v>
      </c>
      <c r="CVW5079" s="910" t="s">
        <v>75</v>
      </c>
      <c r="CVX5079" s="911"/>
      <c r="CVY5079" s="911"/>
      <c r="CVZ5079" s="911"/>
      <c r="CWA5079" s="911"/>
      <c r="CWB5079" s="911"/>
      <c r="CWC5079" s="911"/>
      <c r="CWD5079" s="911"/>
      <c r="CWE5079" s="911"/>
      <c r="CWF5079" s="911"/>
      <c r="CWG5079" s="32"/>
      <c r="CWH5079" s="911" t="s">
        <v>74</v>
      </c>
      <c r="CWI5079" s="911"/>
      <c r="CWJ5079" s="911"/>
      <c r="CWK5079" s="911"/>
      <c r="CWL5079" s="911"/>
      <c r="CWM5079" s="911"/>
      <c r="CWN5079" s="911"/>
      <c r="CWO5079" s="911"/>
      <c r="CWP5079" s="911"/>
      <c r="CWQ5079" s="912"/>
      <c r="CWS5079" s="913" t="s">
        <v>1</v>
      </c>
      <c r="CWT5079" s="31"/>
      <c r="CWU5079" s="909" t="s">
        <v>0</v>
      </c>
      <c r="CWV5079" s="909"/>
      <c r="CWW5079" s="909"/>
      <c r="CWX5079" s="909"/>
      <c r="CWY5079" s="909"/>
      <c r="CWZ5079" s="909"/>
      <c r="CXA5079" s="907" t="s">
        <v>79</v>
      </c>
      <c r="CXB5079" s="909" t="s">
        <v>68</v>
      </c>
      <c r="CXC5079" s="910" t="s">
        <v>75</v>
      </c>
      <c r="CXD5079" s="911"/>
      <c r="CXE5079" s="911"/>
      <c r="CXF5079" s="911"/>
      <c r="CXG5079" s="911"/>
      <c r="CXH5079" s="911"/>
      <c r="CXI5079" s="911"/>
      <c r="CXJ5079" s="911"/>
      <c r="CXK5079" s="911"/>
      <c r="CXL5079" s="911"/>
      <c r="CXM5079" s="32"/>
      <c r="CXN5079" s="911" t="s">
        <v>74</v>
      </c>
      <c r="CXO5079" s="911"/>
      <c r="CXP5079" s="911"/>
      <c r="CXQ5079" s="911"/>
      <c r="CXR5079" s="911"/>
      <c r="CXS5079" s="911"/>
      <c r="CXT5079" s="911"/>
      <c r="CXU5079" s="911"/>
      <c r="CXV5079" s="911"/>
      <c r="CXW5079" s="912"/>
      <c r="CXY5079" s="913" t="s">
        <v>1</v>
      </c>
      <c r="CXZ5079" s="31"/>
      <c r="CYA5079" s="909" t="s">
        <v>0</v>
      </c>
      <c r="CYB5079" s="909"/>
      <c r="CYC5079" s="909"/>
      <c r="CYD5079" s="909"/>
      <c r="CYE5079" s="909"/>
      <c r="CYF5079" s="909"/>
      <c r="CYG5079" s="907" t="s">
        <v>79</v>
      </c>
      <c r="CYH5079" s="909" t="s">
        <v>68</v>
      </c>
      <c r="CYI5079" s="910" t="s">
        <v>75</v>
      </c>
      <c r="CYJ5079" s="911"/>
      <c r="CYK5079" s="911"/>
      <c r="CYL5079" s="911"/>
      <c r="CYM5079" s="911"/>
      <c r="CYN5079" s="911"/>
      <c r="CYO5079" s="911"/>
      <c r="CYP5079" s="911"/>
      <c r="CYQ5079" s="911"/>
      <c r="CYR5079" s="911"/>
      <c r="CYS5079" s="32"/>
      <c r="CYT5079" s="911" t="s">
        <v>74</v>
      </c>
      <c r="CYU5079" s="911"/>
      <c r="CYV5079" s="911"/>
      <c r="CYW5079" s="911"/>
      <c r="CYX5079" s="911"/>
      <c r="CYY5079" s="911"/>
      <c r="CYZ5079" s="911"/>
      <c r="CZA5079" s="911"/>
      <c r="CZB5079" s="911"/>
      <c r="CZC5079" s="912"/>
      <c r="CZE5079" s="913" t="s">
        <v>1</v>
      </c>
      <c r="CZF5079" s="31"/>
      <c r="CZG5079" s="909" t="s">
        <v>0</v>
      </c>
      <c r="CZH5079" s="909"/>
      <c r="CZI5079" s="909"/>
      <c r="CZJ5079" s="909"/>
      <c r="CZK5079" s="909"/>
      <c r="CZL5079" s="909"/>
      <c r="CZM5079" s="907" t="s">
        <v>79</v>
      </c>
      <c r="CZN5079" s="909" t="s">
        <v>68</v>
      </c>
      <c r="CZO5079" s="910" t="s">
        <v>75</v>
      </c>
      <c r="CZP5079" s="911"/>
      <c r="CZQ5079" s="911"/>
      <c r="CZR5079" s="911"/>
      <c r="CZS5079" s="911"/>
      <c r="CZT5079" s="911"/>
      <c r="CZU5079" s="911"/>
      <c r="CZV5079" s="911"/>
      <c r="CZW5079" s="911"/>
      <c r="CZX5079" s="911"/>
      <c r="CZY5079" s="32"/>
      <c r="CZZ5079" s="911" t="s">
        <v>74</v>
      </c>
      <c r="DAA5079" s="911"/>
      <c r="DAB5079" s="911"/>
      <c r="DAC5079" s="911"/>
      <c r="DAD5079" s="911"/>
      <c r="DAE5079" s="911"/>
      <c r="DAF5079" s="911"/>
      <c r="DAG5079" s="911"/>
      <c r="DAH5079" s="911"/>
      <c r="DAI5079" s="912"/>
      <c r="DAK5079" s="913" t="s">
        <v>1</v>
      </c>
      <c r="DAL5079" s="31"/>
      <c r="DAM5079" s="909" t="s">
        <v>0</v>
      </c>
      <c r="DAN5079" s="909"/>
      <c r="DAO5079" s="909"/>
      <c r="DAP5079" s="909"/>
      <c r="DAQ5079" s="909"/>
      <c r="DAR5079" s="909"/>
      <c r="DAS5079" s="907" t="s">
        <v>79</v>
      </c>
      <c r="DAT5079" s="909" t="s">
        <v>68</v>
      </c>
      <c r="DAU5079" s="910" t="s">
        <v>75</v>
      </c>
      <c r="DAV5079" s="911"/>
      <c r="DAW5079" s="911"/>
      <c r="DAX5079" s="911"/>
      <c r="DAY5079" s="911"/>
      <c r="DAZ5079" s="911"/>
      <c r="DBA5079" s="911"/>
      <c r="DBB5079" s="911"/>
      <c r="DBC5079" s="911"/>
      <c r="DBD5079" s="911"/>
      <c r="DBE5079" s="32"/>
      <c r="DBF5079" s="911" t="s">
        <v>74</v>
      </c>
      <c r="DBG5079" s="911"/>
      <c r="DBH5079" s="911"/>
      <c r="DBI5079" s="911"/>
      <c r="DBJ5079" s="911"/>
      <c r="DBK5079" s="911"/>
      <c r="DBL5079" s="911"/>
      <c r="DBM5079" s="911"/>
      <c r="DBN5079" s="911"/>
      <c r="DBO5079" s="912"/>
      <c r="DBQ5079" s="913" t="s">
        <v>1</v>
      </c>
      <c r="DBR5079" s="31"/>
      <c r="DBS5079" s="909" t="s">
        <v>0</v>
      </c>
      <c r="DBT5079" s="909"/>
      <c r="DBU5079" s="909"/>
      <c r="DBV5079" s="909"/>
      <c r="DBW5079" s="909"/>
      <c r="DBX5079" s="909"/>
      <c r="DBY5079" s="907" t="s">
        <v>79</v>
      </c>
      <c r="DBZ5079" s="909" t="s">
        <v>68</v>
      </c>
      <c r="DCA5079" s="910" t="s">
        <v>75</v>
      </c>
      <c r="DCB5079" s="911"/>
      <c r="DCC5079" s="911"/>
      <c r="DCD5079" s="911"/>
      <c r="DCE5079" s="911"/>
      <c r="DCF5079" s="911"/>
      <c r="DCG5079" s="911"/>
      <c r="DCH5079" s="911"/>
      <c r="DCI5079" s="911"/>
      <c r="DCJ5079" s="911"/>
      <c r="DCK5079" s="32"/>
      <c r="DCL5079" s="911" t="s">
        <v>74</v>
      </c>
      <c r="DCM5079" s="911"/>
      <c r="DCN5079" s="911"/>
      <c r="DCO5079" s="911"/>
      <c r="DCP5079" s="911"/>
      <c r="DCQ5079" s="911"/>
      <c r="DCR5079" s="911"/>
      <c r="DCS5079" s="911"/>
      <c r="DCT5079" s="911"/>
      <c r="DCU5079" s="912"/>
      <c r="DCW5079" s="913" t="s">
        <v>1</v>
      </c>
      <c r="DCX5079" s="31"/>
      <c r="DCY5079" s="909" t="s">
        <v>0</v>
      </c>
      <c r="DCZ5079" s="909"/>
      <c r="DDA5079" s="909"/>
      <c r="DDB5079" s="909"/>
      <c r="DDC5079" s="909"/>
      <c r="DDD5079" s="909"/>
      <c r="DDE5079" s="907" t="s">
        <v>79</v>
      </c>
      <c r="DDF5079" s="909" t="s">
        <v>68</v>
      </c>
      <c r="DDG5079" s="910" t="s">
        <v>75</v>
      </c>
      <c r="DDH5079" s="911"/>
      <c r="DDI5079" s="911"/>
      <c r="DDJ5079" s="911"/>
      <c r="DDK5079" s="911"/>
      <c r="DDL5079" s="911"/>
      <c r="DDM5079" s="911"/>
      <c r="DDN5079" s="911"/>
      <c r="DDO5079" s="911"/>
      <c r="DDP5079" s="911"/>
      <c r="DDQ5079" s="32"/>
      <c r="DDR5079" s="911" t="s">
        <v>74</v>
      </c>
      <c r="DDS5079" s="911"/>
      <c r="DDT5079" s="911"/>
      <c r="DDU5079" s="911"/>
      <c r="DDV5079" s="911"/>
      <c r="DDW5079" s="911"/>
      <c r="DDX5079" s="911"/>
      <c r="DDY5079" s="911"/>
      <c r="DDZ5079" s="911"/>
      <c r="DEA5079" s="912"/>
      <c r="DEC5079" s="913" t="s">
        <v>1</v>
      </c>
      <c r="DED5079" s="31"/>
      <c r="DEE5079" s="909" t="s">
        <v>0</v>
      </c>
      <c r="DEF5079" s="909"/>
      <c r="DEG5079" s="909"/>
      <c r="DEH5079" s="909"/>
      <c r="DEI5079" s="909"/>
      <c r="DEJ5079" s="909"/>
      <c r="DEK5079" s="907" t="s">
        <v>79</v>
      </c>
      <c r="DEL5079" s="909" t="s">
        <v>68</v>
      </c>
      <c r="DEM5079" s="910" t="s">
        <v>75</v>
      </c>
      <c r="DEN5079" s="911"/>
      <c r="DEO5079" s="911"/>
      <c r="DEP5079" s="911"/>
      <c r="DEQ5079" s="911"/>
      <c r="DER5079" s="911"/>
      <c r="DES5079" s="911"/>
      <c r="DET5079" s="911"/>
      <c r="DEU5079" s="911"/>
      <c r="DEV5079" s="911"/>
      <c r="DEW5079" s="32"/>
      <c r="DEX5079" s="911" t="s">
        <v>74</v>
      </c>
      <c r="DEY5079" s="911"/>
      <c r="DEZ5079" s="911"/>
      <c r="DFA5079" s="911"/>
      <c r="DFB5079" s="911"/>
      <c r="DFC5079" s="911"/>
      <c r="DFD5079" s="911"/>
      <c r="DFE5079" s="911"/>
      <c r="DFF5079" s="911"/>
      <c r="DFG5079" s="912"/>
      <c r="DFI5079" s="913" t="s">
        <v>1</v>
      </c>
      <c r="DFJ5079" s="31"/>
      <c r="DFK5079" s="909" t="s">
        <v>0</v>
      </c>
      <c r="DFL5079" s="909"/>
      <c r="DFM5079" s="909"/>
      <c r="DFN5079" s="909"/>
      <c r="DFO5079" s="909"/>
      <c r="DFP5079" s="909"/>
      <c r="DFQ5079" s="907" t="s">
        <v>79</v>
      </c>
      <c r="DFR5079" s="909" t="s">
        <v>68</v>
      </c>
      <c r="DFS5079" s="910" t="s">
        <v>75</v>
      </c>
      <c r="DFT5079" s="911"/>
      <c r="DFU5079" s="911"/>
      <c r="DFV5079" s="911"/>
      <c r="DFW5079" s="911"/>
      <c r="DFX5079" s="911"/>
      <c r="DFY5079" s="911"/>
      <c r="DFZ5079" s="911"/>
      <c r="DGA5079" s="911"/>
      <c r="DGB5079" s="911"/>
      <c r="DGC5079" s="32"/>
      <c r="DGD5079" s="911" t="s">
        <v>74</v>
      </c>
      <c r="DGE5079" s="911"/>
      <c r="DGF5079" s="911"/>
      <c r="DGG5079" s="911"/>
      <c r="DGH5079" s="911"/>
      <c r="DGI5079" s="911"/>
      <c r="DGJ5079" s="911"/>
      <c r="DGK5079" s="911"/>
      <c r="DGL5079" s="911"/>
      <c r="DGM5079" s="912"/>
      <c r="DGO5079" s="913" t="s">
        <v>1</v>
      </c>
      <c r="DGP5079" s="31"/>
      <c r="DGQ5079" s="909" t="s">
        <v>0</v>
      </c>
      <c r="DGR5079" s="909"/>
      <c r="DGS5079" s="909"/>
      <c r="DGT5079" s="909"/>
      <c r="DGU5079" s="909"/>
      <c r="DGV5079" s="909"/>
      <c r="DGW5079" s="907" t="s">
        <v>79</v>
      </c>
      <c r="DGX5079" s="909" t="s">
        <v>68</v>
      </c>
      <c r="DGY5079" s="910" t="s">
        <v>75</v>
      </c>
      <c r="DGZ5079" s="911"/>
      <c r="DHA5079" s="911"/>
      <c r="DHB5079" s="911"/>
      <c r="DHC5079" s="911"/>
      <c r="DHD5079" s="911"/>
      <c r="DHE5079" s="911"/>
      <c r="DHF5079" s="911"/>
      <c r="DHG5079" s="911"/>
      <c r="DHH5079" s="911"/>
      <c r="DHI5079" s="32"/>
      <c r="DHJ5079" s="911" t="s">
        <v>74</v>
      </c>
      <c r="DHK5079" s="911"/>
      <c r="DHL5079" s="911"/>
      <c r="DHM5079" s="911"/>
      <c r="DHN5079" s="911"/>
      <c r="DHO5079" s="911"/>
      <c r="DHP5079" s="911"/>
      <c r="DHQ5079" s="911"/>
      <c r="DHR5079" s="911"/>
      <c r="DHS5079" s="912"/>
      <c r="DHU5079" s="913" t="s">
        <v>1</v>
      </c>
      <c r="DHV5079" s="31"/>
      <c r="DHW5079" s="909" t="s">
        <v>0</v>
      </c>
      <c r="DHX5079" s="909"/>
      <c r="DHY5079" s="909"/>
      <c r="DHZ5079" s="909"/>
      <c r="DIA5079" s="909"/>
      <c r="DIB5079" s="909"/>
      <c r="DIC5079" s="907" t="s">
        <v>79</v>
      </c>
      <c r="DID5079" s="909" t="s">
        <v>68</v>
      </c>
      <c r="DIE5079" s="910" t="s">
        <v>75</v>
      </c>
      <c r="DIF5079" s="911"/>
      <c r="DIG5079" s="911"/>
      <c r="DIH5079" s="911"/>
      <c r="DII5079" s="911"/>
      <c r="DIJ5079" s="911"/>
      <c r="DIK5079" s="911"/>
      <c r="DIL5079" s="911"/>
      <c r="DIM5079" s="911"/>
      <c r="DIN5079" s="911"/>
      <c r="DIO5079" s="32"/>
      <c r="DIP5079" s="911" t="s">
        <v>74</v>
      </c>
      <c r="DIQ5079" s="911"/>
      <c r="DIR5079" s="911"/>
      <c r="DIS5079" s="911"/>
      <c r="DIT5079" s="911"/>
      <c r="DIU5079" s="911"/>
      <c r="DIV5079" s="911"/>
      <c r="DIW5079" s="911"/>
      <c r="DIX5079" s="911"/>
      <c r="DIY5079" s="912"/>
      <c r="DJA5079" s="913" t="s">
        <v>1</v>
      </c>
      <c r="DJB5079" s="31"/>
      <c r="DJC5079" s="909" t="s">
        <v>0</v>
      </c>
      <c r="DJD5079" s="909"/>
      <c r="DJE5079" s="909"/>
      <c r="DJF5079" s="909"/>
      <c r="DJG5079" s="909"/>
      <c r="DJH5079" s="909"/>
      <c r="DJI5079" s="907" t="s">
        <v>79</v>
      </c>
      <c r="DJJ5079" s="909" t="s">
        <v>68</v>
      </c>
      <c r="DJK5079" s="910" t="s">
        <v>75</v>
      </c>
      <c r="DJL5079" s="911"/>
      <c r="DJM5079" s="911"/>
      <c r="DJN5079" s="911"/>
      <c r="DJO5079" s="911"/>
      <c r="DJP5079" s="911"/>
      <c r="DJQ5079" s="911"/>
      <c r="DJR5079" s="911"/>
      <c r="DJS5079" s="911"/>
      <c r="DJT5079" s="911"/>
      <c r="DJU5079" s="32"/>
      <c r="DJV5079" s="911" t="s">
        <v>74</v>
      </c>
      <c r="DJW5079" s="911"/>
      <c r="DJX5079" s="911"/>
      <c r="DJY5079" s="911"/>
      <c r="DJZ5079" s="911"/>
      <c r="DKA5079" s="911"/>
      <c r="DKB5079" s="911"/>
      <c r="DKC5079" s="911"/>
      <c r="DKD5079" s="911"/>
      <c r="DKE5079" s="912"/>
      <c r="DKG5079" s="913" t="s">
        <v>1</v>
      </c>
      <c r="DKH5079" s="31"/>
      <c r="DKI5079" s="909" t="s">
        <v>0</v>
      </c>
      <c r="DKJ5079" s="909"/>
      <c r="DKK5079" s="909"/>
      <c r="DKL5079" s="909"/>
      <c r="DKM5079" s="909"/>
      <c r="DKN5079" s="909"/>
      <c r="DKO5079" s="907" t="s">
        <v>79</v>
      </c>
      <c r="DKP5079" s="909" t="s">
        <v>68</v>
      </c>
      <c r="DKQ5079" s="910" t="s">
        <v>75</v>
      </c>
      <c r="DKR5079" s="911"/>
      <c r="DKS5079" s="911"/>
      <c r="DKT5079" s="911"/>
      <c r="DKU5079" s="911"/>
      <c r="DKV5079" s="911"/>
      <c r="DKW5079" s="911"/>
      <c r="DKX5079" s="911"/>
      <c r="DKY5079" s="911"/>
      <c r="DKZ5079" s="911"/>
      <c r="DLA5079" s="32"/>
      <c r="DLB5079" s="911" t="s">
        <v>74</v>
      </c>
      <c r="DLC5079" s="911"/>
      <c r="DLD5079" s="911"/>
      <c r="DLE5079" s="911"/>
      <c r="DLF5079" s="911"/>
      <c r="DLG5079" s="911"/>
      <c r="DLH5079" s="911"/>
      <c r="DLI5079" s="911"/>
      <c r="DLJ5079" s="911"/>
      <c r="DLK5079" s="912"/>
      <c r="DLM5079" s="913" t="s">
        <v>1</v>
      </c>
      <c r="DLN5079" s="31"/>
      <c r="DLO5079" s="909" t="s">
        <v>0</v>
      </c>
      <c r="DLP5079" s="909"/>
      <c r="DLQ5079" s="909"/>
      <c r="DLR5079" s="909"/>
      <c r="DLS5079" s="909"/>
      <c r="DLT5079" s="909"/>
      <c r="DLU5079" s="907" t="s">
        <v>79</v>
      </c>
      <c r="DLV5079" s="909" t="s">
        <v>68</v>
      </c>
      <c r="DLW5079" s="910" t="s">
        <v>75</v>
      </c>
      <c r="DLX5079" s="911"/>
      <c r="DLY5079" s="911"/>
      <c r="DLZ5079" s="911"/>
      <c r="DMA5079" s="911"/>
      <c r="DMB5079" s="911"/>
      <c r="DMC5079" s="911"/>
      <c r="DMD5079" s="911"/>
      <c r="DME5079" s="911"/>
      <c r="DMF5079" s="911"/>
      <c r="DMG5079" s="32"/>
      <c r="DMH5079" s="911" t="s">
        <v>74</v>
      </c>
      <c r="DMI5079" s="911"/>
      <c r="DMJ5079" s="911"/>
      <c r="DMK5079" s="911"/>
      <c r="DML5079" s="911"/>
      <c r="DMM5079" s="911"/>
      <c r="DMN5079" s="911"/>
      <c r="DMO5079" s="911"/>
      <c r="DMP5079" s="911"/>
      <c r="DMQ5079" s="912"/>
      <c r="DMS5079" s="913" t="s">
        <v>1</v>
      </c>
      <c r="DMT5079" s="31"/>
      <c r="DMU5079" s="909" t="s">
        <v>0</v>
      </c>
      <c r="DMV5079" s="909"/>
      <c r="DMW5079" s="909"/>
      <c r="DMX5079" s="909"/>
      <c r="DMY5079" s="909"/>
      <c r="DMZ5079" s="909"/>
      <c r="DNA5079" s="907" t="s">
        <v>79</v>
      </c>
      <c r="DNB5079" s="909" t="s">
        <v>68</v>
      </c>
      <c r="DNC5079" s="910" t="s">
        <v>75</v>
      </c>
      <c r="DND5079" s="911"/>
      <c r="DNE5079" s="911"/>
      <c r="DNF5079" s="911"/>
      <c r="DNG5079" s="911"/>
      <c r="DNH5079" s="911"/>
      <c r="DNI5079" s="911"/>
      <c r="DNJ5079" s="911"/>
      <c r="DNK5079" s="911"/>
      <c r="DNL5079" s="911"/>
      <c r="DNM5079" s="32"/>
      <c r="DNN5079" s="911" t="s">
        <v>74</v>
      </c>
      <c r="DNO5079" s="911"/>
      <c r="DNP5079" s="911"/>
      <c r="DNQ5079" s="911"/>
      <c r="DNR5079" s="911"/>
      <c r="DNS5079" s="911"/>
      <c r="DNT5079" s="911"/>
      <c r="DNU5079" s="911"/>
      <c r="DNV5079" s="911"/>
      <c r="DNW5079" s="912"/>
      <c r="DNY5079" s="913" t="s">
        <v>1</v>
      </c>
      <c r="DNZ5079" s="31"/>
      <c r="DOA5079" s="909" t="s">
        <v>0</v>
      </c>
      <c r="DOB5079" s="909"/>
      <c r="DOC5079" s="909"/>
      <c r="DOD5079" s="909"/>
      <c r="DOE5079" s="909"/>
      <c r="DOF5079" s="909"/>
      <c r="DOG5079" s="907" t="s">
        <v>79</v>
      </c>
      <c r="DOH5079" s="909" t="s">
        <v>68</v>
      </c>
      <c r="DOI5079" s="910" t="s">
        <v>75</v>
      </c>
      <c r="DOJ5079" s="911"/>
      <c r="DOK5079" s="911"/>
      <c r="DOL5079" s="911"/>
      <c r="DOM5079" s="911"/>
      <c r="DON5079" s="911"/>
      <c r="DOO5079" s="911"/>
      <c r="DOP5079" s="911"/>
      <c r="DOQ5079" s="911"/>
      <c r="DOR5079" s="911"/>
      <c r="DOS5079" s="32"/>
      <c r="DOT5079" s="911" t="s">
        <v>74</v>
      </c>
      <c r="DOU5079" s="911"/>
      <c r="DOV5079" s="911"/>
      <c r="DOW5079" s="911"/>
      <c r="DOX5079" s="911"/>
      <c r="DOY5079" s="911"/>
      <c r="DOZ5079" s="911"/>
      <c r="DPA5079" s="911"/>
      <c r="DPB5079" s="911"/>
      <c r="DPC5079" s="912"/>
      <c r="DPE5079" s="913" t="s">
        <v>1</v>
      </c>
      <c r="DPF5079" s="31"/>
      <c r="DPG5079" s="909" t="s">
        <v>0</v>
      </c>
      <c r="DPH5079" s="909"/>
      <c r="DPI5079" s="909"/>
      <c r="DPJ5079" s="909"/>
      <c r="DPK5079" s="909"/>
      <c r="DPL5079" s="909"/>
      <c r="DPM5079" s="907" t="s">
        <v>79</v>
      </c>
      <c r="DPN5079" s="909" t="s">
        <v>68</v>
      </c>
      <c r="DPO5079" s="910" t="s">
        <v>75</v>
      </c>
      <c r="DPP5079" s="911"/>
      <c r="DPQ5079" s="911"/>
      <c r="DPR5079" s="911"/>
      <c r="DPS5079" s="911"/>
      <c r="DPT5079" s="911"/>
      <c r="DPU5079" s="911"/>
      <c r="DPV5079" s="911"/>
      <c r="DPW5079" s="911"/>
      <c r="DPX5079" s="911"/>
      <c r="DPY5079" s="32"/>
      <c r="DPZ5079" s="911" t="s">
        <v>74</v>
      </c>
      <c r="DQA5079" s="911"/>
      <c r="DQB5079" s="911"/>
      <c r="DQC5079" s="911"/>
      <c r="DQD5079" s="911"/>
      <c r="DQE5079" s="911"/>
      <c r="DQF5079" s="911"/>
      <c r="DQG5079" s="911"/>
      <c r="DQH5079" s="911"/>
      <c r="DQI5079" s="912"/>
      <c r="DQK5079" s="913" t="s">
        <v>1</v>
      </c>
      <c r="DQL5079" s="31"/>
      <c r="DQM5079" s="909" t="s">
        <v>0</v>
      </c>
      <c r="DQN5079" s="909"/>
      <c r="DQO5079" s="909"/>
      <c r="DQP5079" s="909"/>
      <c r="DQQ5079" s="909"/>
      <c r="DQR5079" s="909"/>
      <c r="DQS5079" s="907" t="s">
        <v>79</v>
      </c>
      <c r="DQT5079" s="909" t="s">
        <v>68</v>
      </c>
      <c r="DQU5079" s="910" t="s">
        <v>75</v>
      </c>
      <c r="DQV5079" s="911"/>
      <c r="DQW5079" s="911"/>
      <c r="DQX5079" s="911"/>
      <c r="DQY5079" s="911"/>
      <c r="DQZ5079" s="911"/>
      <c r="DRA5079" s="911"/>
      <c r="DRB5079" s="911"/>
      <c r="DRC5079" s="911"/>
      <c r="DRD5079" s="911"/>
      <c r="DRE5079" s="32"/>
      <c r="DRF5079" s="911" t="s">
        <v>74</v>
      </c>
      <c r="DRG5079" s="911"/>
      <c r="DRH5079" s="911"/>
      <c r="DRI5079" s="911"/>
      <c r="DRJ5079" s="911"/>
      <c r="DRK5079" s="911"/>
      <c r="DRL5079" s="911"/>
      <c r="DRM5079" s="911"/>
      <c r="DRN5079" s="911"/>
      <c r="DRO5079" s="912"/>
      <c r="DRQ5079" s="913" t="s">
        <v>1</v>
      </c>
      <c r="DRR5079" s="31"/>
      <c r="DRS5079" s="909" t="s">
        <v>0</v>
      </c>
      <c r="DRT5079" s="909"/>
      <c r="DRU5079" s="909"/>
      <c r="DRV5079" s="909"/>
      <c r="DRW5079" s="909"/>
      <c r="DRX5079" s="909"/>
      <c r="DRY5079" s="907" t="s">
        <v>79</v>
      </c>
      <c r="DRZ5079" s="909" t="s">
        <v>68</v>
      </c>
      <c r="DSA5079" s="910" t="s">
        <v>75</v>
      </c>
      <c r="DSB5079" s="911"/>
      <c r="DSC5079" s="911"/>
      <c r="DSD5079" s="911"/>
      <c r="DSE5079" s="911"/>
      <c r="DSF5079" s="911"/>
      <c r="DSG5079" s="911"/>
      <c r="DSH5079" s="911"/>
      <c r="DSI5079" s="911"/>
      <c r="DSJ5079" s="911"/>
      <c r="DSK5079" s="32"/>
      <c r="DSL5079" s="911" t="s">
        <v>74</v>
      </c>
      <c r="DSM5079" s="911"/>
      <c r="DSN5079" s="911"/>
      <c r="DSO5079" s="911"/>
      <c r="DSP5079" s="911"/>
      <c r="DSQ5079" s="911"/>
      <c r="DSR5079" s="911"/>
      <c r="DSS5079" s="911"/>
      <c r="DST5079" s="911"/>
      <c r="DSU5079" s="912"/>
      <c r="DSW5079" s="913" t="s">
        <v>1</v>
      </c>
      <c r="DSX5079" s="31"/>
      <c r="DSY5079" s="909" t="s">
        <v>0</v>
      </c>
      <c r="DSZ5079" s="909"/>
      <c r="DTA5079" s="909"/>
      <c r="DTB5079" s="909"/>
      <c r="DTC5079" s="909"/>
      <c r="DTD5079" s="909"/>
      <c r="DTE5079" s="907" t="s">
        <v>79</v>
      </c>
      <c r="DTF5079" s="909" t="s">
        <v>68</v>
      </c>
      <c r="DTG5079" s="910" t="s">
        <v>75</v>
      </c>
      <c r="DTH5079" s="911"/>
      <c r="DTI5079" s="911"/>
      <c r="DTJ5079" s="911"/>
      <c r="DTK5079" s="911"/>
      <c r="DTL5079" s="911"/>
      <c r="DTM5079" s="911"/>
      <c r="DTN5079" s="911"/>
      <c r="DTO5079" s="911"/>
      <c r="DTP5079" s="911"/>
      <c r="DTQ5079" s="32"/>
      <c r="DTR5079" s="911" t="s">
        <v>74</v>
      </c>
      <c r="DTS5079" s="911"/>
      <c r="DTT5079" s="911"/>
      <c r="DTU5079" s="911"/>
      <c r="DTV5079" s="911"/>
      <c r="DTW5079" s="911"/>
      <c r="DTX5079" s="911"/>
      <c r="DTY5079" s="911"/>
      <c r="DTZ5079" s="911"/>
      <c r="DUA5079" s="912"/>
      <c r="DUC5079" s="913" t="s">
        <v>1</v>
      </c>
      <c r="DUD5079" s="31"/>
      <c r="DUE5079" s="909" t="s">
        <v>0</v>
      </c>
      <c r="DUF5079" s="909"/>
      <c r="DUG5079" s="909"/>
      <c r="DUH5079" s="909"/>
      <c r="DUI5079" s="909"/>
      <c r="DUJ5079" s="909"/>
      <c r="DUK5079" s="907" t="s">
        <v>79</v>
      </c>
      <c r="DUL5079" s="909" t="s">
        <v>68</v>
      </c>
      <c r="DUM5079" s="910" t="s">
        <v>75</v>
      </c>
      <c r="DUN5079" s="911"/>
      <c r="DUO5079" s="911"/>
      <c r="DUP5079" s="911"/>
      <c r="DUQ5079" s="911"/>
      <c r="DUR5079" s="911"/>
      <c r="DUS5079" s="911"/>
      <c r="DUT5079" s="911"/>
      <c r="DUU5079" s="911"/>
      <c r="DUV5079" s="911"/>
      <c r="DUW5079" s="32"/>
      <c r="DUX5079" s="911" t="s">
        <v>74</v>
      </c>
      <c r="DUY5079" s="911"/>
      <c r="DUZ5079" s="911"/>
      <c r="DVA5079" s="911"/>
      <c r="DVB5079" s="911"/>
      <c r="DVC5079" s="911"/>
      <c r="DVD5079" s="911"/>
      <c r="DVE5079" s="911"/>
      <c r="DVF5079" s="911"/>
      <c r="DVG5079" s="912"/>
      <c r="DVI5079" s="913" t="s">
        <v>1</v>
      </c>
      <c r="DVJ5079" s="31"/>
      <c r="DVK5079" s="909" t="s">
        <v>0</v>
      </c>
      <c r="DVL5079" s="909"/>
      <c r="DVM5079" s="909"/>
      <c r="DVN5079" s="909"/>
      <c r="DVO5079" s="909"/>
      <c r="DVP5079" s="909"/>
      <c r="DVQ5079" s="907" t="s">
        <v>79</v>
      </c>
      <c r="DVR5079" s="909" t="s">
        <v>68</v>
      </c>
      <c r="DVS5079" s="910" t="s">
        <v>75</v>
      </c>
      <c r="DVT5079" s="911"/>
      <c r="DVU5079" s="911"/>
      <c r="DVV5079" s="911"/>
      <c r="DVW5079" s="911"/>
      <c r="DVX5079" s="911"/>
      <c r="DVY5079" s="911"/>
      <c r="DVZ5079" s="911"/>
      <c r="DWA5079" s="911"/>
      <c r="DWB5079" s="911"/>
      <c r="DWC5079" s="32"/>
      <c r="DWD5079" s="911" t="s">
        <v>74</v>
      </c>
      <c r="DWE5079" s="911"/>
      <c r="DWF5079" s="911"/>
      <c r="DWG5079" s="911"/>
      <c r="DWH5079" s="911"/>
      <c r="DWI5079" s="911"/>
      <c r="DWJ5079" s="911"/>
      <c r="DWK5079" s="911"/>
      <c r="DWL5079" s="911"/>
      <c r="DWM5079" s="912"/>
      <c r="DWO5079" s="913" t="s">
        <v>1</v>
      </c>
      <c r="DWP5079" s="31"/>
      <c r="DWQ5079" s="909" t="s">
        <v>0</v>
      </c>
      <c r="DWR5079" s="909"/>
      <c r="DWS5079" s="909"/>
      <c r="DWT5079" s="909"/>
      <c r="DWU5079" s="909"/>
      <c r="DWV5079" s="909"/>
      <c r="DWW5079" s="907" t="s">
        <v>79</v>
      </c>
      <c r="DWX5079" s="909" t="s">
        <v>68</v>
      </c>
      <c r="DWY5079" s="910" t="s">
        <v>75</v>
      </c>
      <c r="DWZ5079" s="911"/>
      <c r="DXA5079" s="911"/>
      <c r="DXB5079" s="911"/>
      <c r="DXC5079" s="911"/>
      <c r="DXD5079" s="911"/>
      <c r="DXE5079" s="911"/>
      <c r="DXF5079" s="911"/>
      <c r="DXG5079" s="911"/>
      <c r="DXH5079" s="911"/>
      <c r="DXI5079" s="32"/>
      <c r="DXJ5079" s="911" t="s">
        <v>74</v>
      </c>
      <c r="DXK5079" s="911"/>
      <c r="DXL5079" s="911"/>
      <c r="DXM5079" s="911"/>
      <c r="DXN5079" s="911"/>
      <c r="DXO5079" s="911"/>
      <c r="DXP5079" s="911"/>
      <c r="DXQ5079" s="911"/>
      <c r="DXR5079" s="911"/>
      <c r="DXS5079" s="912"/>
      <c r="DXU5079" s="913" t="s">
        <v>1</v>
      </c>
      <c r="DXV5079" s="31"/>
      <c r="DXW5079" s="909" t="s">
        <v>0</v>
      </c>
      <c r="DXX5079" s="909"/>
      <c r="DXY5079" s="909"/>
      <c r="DXZ5079" s="909"/>
      <c r="DYA5079" s="909"/>
      <c r="DYB5079" s="909"/>
      <c r="DYC5079" s="907" t="s">
        <v>79</v>
      </c>
      <c r="DYD5079" s="909" t="s">
        <v>68</v>
      </c>
      <c r="DYE5079" s="910" t="s">
        <v>75</v>
      </c>
      <c r="DYF5079" s="911"/>
      <c r="DYG5079" s="911"/>
      <c r="DYH5079" s="911"/>
      <c r="DYI5079" s="911"/>
      <c r="DYJ5079" s="911"/>
      <c r="DYK5079" s="911"/>
      <c r="DYL5079" s="911"/>
      <c r="DYM5079" s="911"/>
      <c r="DYN5079" s="911"/>
      <c r="DYO5079" s="32"/>
      <c r="DYP5079" s="911" t="s">
        <v>74</v>
      </c>
      <c r="DYQ5079" s="911"/>
      <c r="DYR5079" s="911"/>
      <c r="DYS5079" s="911"/>
      <c r="DYT5079" s="911"/>
      <c r="DYU5079" s="911"/>
      <c r="DYV5079" s="911"/>
      <c r="DYW5079" s="911"/>
      <c r="DYX5079" s="911"/>
      <c r="DYY5079" s="912"/>
      <c r="DZA5079" s="913" t="s">
        <v>1</v>
      </c>
      <c r="DZB5079" s="31"/>
      <c r="DZC5079" s="909" t="s">
        <v>0</v>
      </c>
      <c r="DZD5079" s="909"/>
      <c r="DZE5079" s="909"/>
      <c r="DZF5079" s="909"/>
      <c r="DZG5079" s="909"/>
      <c r="DZH5079" s="909"/>
      <c r="DZI5079" s="907" t="s">
        <v>79</v>
      </c>
      <c r="DZJ5079" s="909" t="s">
        <v>68</v>
      </c>
      <c r="DZK5079" s="910" t="s">
        <v>75</v>
      </c>
      <c r="DZL5079" s="911"/>
      <c r="DZM5079" s="911"/>
      <c r="DZN5079" s="911"/>
      <c r="DZO5079" s="911"/>
      <c r="DZP5079" s="911"/>
      <c r="DZQ5079" s="911"/>
      <c r="DZR5079" s="911"/>
      <c r="DZS5079" s="911"/>
      <c r="DZT5079" s="911"/>
      <c r="DZU5079" s="32"/>
      <c r="DZV5079" s="911" t="s">
        <v>74</v>
      </c>
      <c r="DZW5079" s="911"/>
      <c r="DZX5079" s="911"/>
      <c r="DZY5079" s="911"/>
      <c r="DZZ5079" s="911"/>
      <c r="EAA5079" s="911"/>
      <c r="EAB5079" s="911"/>
      <c r="EAC5079" s="911"/>
      <c r="EAD5079" s="911"/>
      <c r="EAE5079" s="912"/>
      <c r="EAG5079" s="913" t="s">
        <v>1</v>
      </c>
      <c r="EAH5079" s="31"/>
      <c r="EAI5079" s="909" t="s">
        <v>0</v>
      </c>
      <c r="EAJ5079" s="909"/>
      <c r="EAK5079" s="909"/>
      <c r="EAL5079" s="909"/>
      <c r="EAM5079" s="909"/>
      <c r="EAN5079" s="909"/>
      <c r="EAO5079" s="907" t="s">
        <v>79</v>
      </c>
      <c r="EAP5079" s="909" t="s">
        <v>68</v>
      </c>
      <c r="EAQ5079" s="910" t="s">
        <v>75</v>
      </c>
      <c r="EAR5079" s="911"/>
      <c r="EAS5079" s="911"/>
      <c r="EAT5079" s="911"/>
      <c r="EAU5079" s="911"/>
      <c r="EAV5079" s="911"/>
      <c r="EAW5079" s="911"/>
      <c r="EAX5079" s="911"/>
      <c r="EAY5079" s="911"/>
      <c r="EAZ5079" s="911"/>
      <c r="EBA5079" s="32"/>
      <c r="EBB5079" s="911" t="s">
        <v>74</v>
      </c>
      <c r="EBC5079" s="911"/>
      <c r="EBD5079" s="911"/>
      <c r="EBE5079" s="911"/>
      <c r="EBF5079" s="911"/>
      <c r="EBG5079" s="911"/>
      <c r="EBH5079" s="911"/>
      <c r="EBI5079" s="911"/>
      <c r="EBJ5079" s="911"/>
      <c r="EBK5079" s="912"/>
      <c r="EBM5079" s="913" t="s">
        <v>1</v>
      </c>
      <c r="EBN5079" s="31"/>
      <c r="EBO5079" s="909" t="s">
        <v>0</v>
      </c>
      <c r="EBP5079" s="909"/>
      <c r="EBQ5079" s="909"/>
      <c r="EBR5079" s="909"/>
      <c r="EBS5079" s="909"/>
      <c r="EBT5079" s="909"/>
      <c r="EBU5079" s="907" t="s">
        <v>79</v>
      </c>
      <c r="EBV5079" s="909" t="s">
        <v>68</v>
      </c>
      <c r="EBW5079" s="910" t="s">
        <v>75</v>
      </c>
      <c r="EBX5079" s="911"/>
      <c r="EBY5079" s="911"/>
      <c r="EBZ5079" s="911"/>
      <c r="ECA5079" s="911"/>
      <c r="ECB5079" s="911"/>
      <c r="ECC5079" s="911"/>
      <c r="ECD5079" s="911"/>
      <c r="ECE5079" s="911"/>
      <c r="ECF5079" s="911"/>
      <c r="ECG5079" s="32"/>
      <c r="ECH5079" s="911" t="s">
        <v>74</v>
      </c>
      <c r="ECI5079" s="911"/>
      <c r="ECJ5079" s="911"/>
      <c r="ECK5079" s="911"/>
      <c r="ECL5079" s="911"/>
      <c r="ECM5079" s="911"/>
      <c r="ECN5079" s="911"/>
      <c r="ECO5079" s="911"/>
      <c r="ECP5079" s="911"/>
      <c r="ECQ5079" s="912"/>
      <c r="ECS5079" s="913" t="s">
        <v>1</v>
      </c>
      <c r="ECT5079" s="31"/>
      <c r="ECU5079" s="909" t="s">
        <v>0</v>
      </c>
      <c r="ECV5079" s="909"/>
      <c r="ECW5079" s="909"/>
      <c r="ECX5079" s="909"/>
      <c r="ECY5079" s="909"/>
      <c r="ECZ5079" s="909"/>
      <c r="EDA5079" s="907" t="s">
        <v>79</v>
      </c>
      <c r="EDB5079" s="909" t="s">
        <v>68</v>
      </c>
      <c r="EDC5079" s="910" t="s">
        <v>75</v>
      </c>
      <c r="EDD5079" s="911"/>
      <c r="EDE5079" s="911"/>
      <c r="EDF5079" s="911"/>
      <c r="EDG5079" s="911"/>
      <c r="EDH5079" s="911"/>
      <c r="EDI5079" s="911"/>
      <c r="EDJ5079" s="911"/>
      <c r="EDK5079" s="911"/>
      <c r="EDL5079" s="911"/>
      <c r="EDM5079" s="32"/>
      <c r="EDN5079" s="911" t="s">
        <v>74</v>
      </c>
      <c r="EDO5079" s="911"/>
      <c r="EDP5079" s="911"/>
      <c r="EDQ5079" s="911"/>
      <c r="EDR5079" s="911"/>
      <c r="EDS5079" s="911"/>
      <c r="EDT5079" s="911"/>
      <c r="EDU5079" s="911"/>
      <c r="EDV5079" s="911"/>
      <c r="EDW5079" s="912"/>
      <c r="EDY5079" s="913" t="s">
        <v>1</v>
      </c>
      <c r="EDZ5079" s="31"/>
      <c r="EEA5079" s="909" t="s">
        <v>0</v>
      </c>
      <c r="EEB5079" s="909"/>
      <c r="EEC5079" s="909"/>
      <c r="EED5079" s="909"/>
      <c r="EEE5079" s="909"/>
      <c r="EEF5079" s="909"/>
      <c r="EEG5079" s="907" t="s">
        <v>79</v>
      </c>
      <c r="EEH5079" s="909" t="s">
        <v>68</v>
      </c>
      <c r="EEI5079" s="910" t="s">
        <v>75</v>
      </c>
      <c r="EEJ5079" s="911"/>
      <c r="EEK5079" s="911"/>
      <c r="EEL5079" s="911"/>
      <c r="EEM5079" s="911"/>
      <c r="EEN5079" s="911"/>
      <c r="EEO5079" s="911"/>
      <c r="EEP5079" s="911"/>
      <c r="EEQ5079" s="911"/>
      <c r="EER5079" s="911"/>
      <c r="EES5079" s="32"/>
      <c r="EET5079" s="911" t="s">
        <v>74</v>
      </c>
      <c r="EEU5079" s="911"/>
      <c r="EEV5079" s="911"/>
      <c r="EEW5079" s="911"/>
      <c r="EEX5079" s="911"/>
      <c r="EEY5079" s="911"/>
      <c r="EEZ5079" s="911"/>
      <c r="EFA5079" s="911"/>
      <c r="EFB5079" s="911"/>
      <c r="EFC5079" s="912"/>
      <c r="EFE5079" s="913" t="s">
        <v>1</v>
      </c>
      <c r="EFF5079" s="31"/>
      <c r="EFG5079" s="909" t="s">
        <v>0</v>
      </c>
      <c r="EFH5079" s="909"/>
      <c r="EFI5079" s="909"/>
      <c r="EFJ5079" s="909"/>
      <c r="EFK5079" s="909"/>
      <c r="EFL5079" s="909"/>
      <c r="EFM5079" s="907" t="s">
        <v>79</v>
      </c>
      <c r="EFN5079" s="909" t="s">
        <v>68</v>
      </c>
      <c r="EFO5079" s="910" t="s">
        <v>75</v>
      </c>
      <c r="EFP5079" s="911"/>
      <c r="EFQ5079" s="911"/>
      <c r="EFR5079" s="911"/>
      <c r="EFS5079" s="911"/>
      <c r="EFT5079" s="911"/>
      <c r="EFU5079" s="911"/>
      <c r="EFV5079" s="911"/>
      <c r="EFW5079" s="911"/>
      <c r="EFX5079" s="911"/>
      <c r="EFY5079" s="32"/>
      <c r="EFZ5079" s="911" t="s">
        <v>74</v>
      </c>
      <c r="EGA5079" s="911"/>
      <c r="EGB5079" s="911"/>
      <c r="EGC5079" s="911"/>
      <c r="EGD5079" s="911"/>
      <c r="EGE5079" s="911"/>
      <c r="EGF5079" s="911"/>
      <c r="EGG5079" s="911"/>
      <c r="EGH5079" s="911"/>
      <c r="EGI5079" s="912"/>
      <c r="EGK5079" s="913" t="s">
        <v>1</v>
      </c>
      <c r="EGL5079" s="31"/>
      <c r="EGM5079" s="909" t="s">
        <v>0</v>
      </c>
      <c r="EGN5079" s="909"/>
      <c r="EGO5079" s="909"/>
      <c r="EGP5079" s="909"/>
      <c r="EGQ5079" s="909"/>
      <c r="EGR5079" s="909"/>
      <c r="EGS5079" s="907" t="s">
        <v>79</v>
      </c>
      <c r="EGT5079" s="909" t="s">
        <v>68</v>
      </c>
      <c r="EGU5079" s="910" t="s">
        <v>75</v>
      </c>
      <c r="EGV5079" s="911"/>
      <c r="EGW5079" s="911"/>
      <c r="EGX5079" s="911"/>
      <c r="EGY5079" s="911"/>
      <c r="EGZ5079" s="911"/>
      <c r="EHA5079" s="911"/>
      <c r="EHB5079" s="911"/>
      <c r="EHC5079" s="911"/>
      <c r="EHD5079" s="911"/>
      <c r="EHE5079" s="32"/>
      <c r="EHF5079" s="911" t="s">
        <v>74</v>
      </c>
      <c r="EHG5079" s="911"/>
      <c r="EHH5079" s="911"/>
      <c r="EHI5079" s="911"/>
      <c r="EHJ5079" s="911"/>
      <c r="EHK5079" s="911"/>
      <c r="EHL5079" s="911"/>
      <c r="EHM5079" s="911"/>
      <c r="EHN5079" s="911"/>
      <c r="EHO5079" s="912"/>
      <c r="EHQ5079" s="913" t="s">
        <v>1</v>
      </c>
      <c r="EHR5079" s="31"/>
      <c r="EHS5079" s="909" t="s">
        <v>0</v>
      </c>
      <c r="EHT5079" s="909"/>
      <c r="EHU5079" s="909"/>
      <c r="EHV5079" s="909"/>
      <c r="EHW5079" s="909"/>
      <c r="EHX5079" s="909"/>
      <c r="EHY5079" s="907" t="s">
        <v>79</v>
      </c>
      <c r="EHZ5079" s="909" t="s">
        <v>68</v>
      </c>
      <c r="EIA5079" s="910" t="s">
        <v>75</v>
      </c>
      <c r="EIB5079" s="911"/>
      <c r="EIC5079" s="911"/>
      <c r="EID5079" s="911"/>
      <c r="EIE5079" s="911"/>
      <c r="EIF5079" s="911"/>
      <c r="EIG5079" s="911"/>
      <c r="EIH5079" s="911"/>
      <c r="EII5079" s="911"/>
      <c r="EIJ5079" s="911"/>
      <c r="EIK5079" s="32"/>
      <c r="EIL5079" s="911" t="s">
        <v>74</v>
      </c>
      <c r="EIM5079" s="911"/>
      <c r="EIN5079" s="911"/>
      <c r="EIO5079" s="911"/>
      <c r="EIP5079" s="911"/>
      <c r="EIQ5079" s="911"/>
      <c r="EIR5079" s="911"/>
      <c r="EIS5079" s="911"/>
      <c r="EIT5079" s="911"/>
      <c r="EIU5079" s="912"/>
      <c r="EIW5079" s="913" t="s">
        <v>1</v>
      </c>
      <c r="EIX5079" s="31"/>
      <c r="EIY5079" s="909" t="s">
        <v>0</v>
      </c>
      <c r="EIZ5079" s="909"/>
      <c r="EJA5079" s="909"/>
      <c r="EJB5079" s="909"/>
      <c r="EJC5079" s="909"/>
      <c r="EJD5079" s="909"/>
      <c r="EJE5079" s="907" t="s">
        <v>79</v>
      </c>
      <c r="EJF5079" s="909" t="s">
        <v>68</v>
      </c>
      <c r="EJG5079" s="910" t="s">
        <v>75</v>
      </c>
      <c r="EJH5079" s="911"/>
      <c r="EJI5079" s="911"/>
      <c r="EJJ5079" s="911"/>
      <c r="EJK5079" s="911"/>
      <c r="EJL5079" s="911"/>
      <c r="EJM5079" s="911"/>
      <c r="EJN5079" s="911"/>
      <c r="EJO5079" s="911"/>
      <c r="EJP5079" s="911"/>
      <c r="EJQ5079" s="32"/>
      <c r="EJR5079" s="911" t="s">
        <v>74</v>
      </c>
      <c r="EJS5079" s="911"/>
      <c r="EJT5079" s="911"/>
      <c r="EJU5079" s="911"/>
      <c r="EJV5079" s="911"/>
      <c r="EJW5079" s="911"/>
      <c r="EJX5079" s="911"/>
      <c r="EJY5079" s="911"/>
      <c r="EJZ5079" s="911"/>
      <c r="EKA5079" s="912"/>
      <c r="EKC5079" s="913" t="s">
        <v>1</v>
      </c>
      <c r="EKD5079" s="31"/>
      <c r="EKE5079" s="909" t="s">
        <v>0</v>
      </c>
      <c r="EKF5079" s="909"/>
      <c r="EKG5079" s="909"/>
      <c r="EKH5079" s="909"/>
      <c r="EKI5079" s="909"/>
      <c r="EKJ5079" s="909"/>
      <c r="EKK5079" s="907" t="s">
        <v>79</v>
      </c>
      <c r="EKL5079" s="909" t="s">
        <v>68</v>
      </c>
      <c r="EKM5079" s="910" t="s">
        <v>75</v>
      </c>
      <c r="EKN5079" s="911"/>
      <c r="EKO5079" s="911"/>
      <c r="EKP5079" s="911"/>
      <c r="EKQ5079" s="911"/>
      <c r="EKR5079" s="911"/>
      <c r="EKS5079" s="911"/>
      <c r="EKT5079" s="911"/>
      <c r="EKU5079" s="911"/>
      <c r="EKV5079" s="911"/>
      <c r="EKW5079" s="32"/>
      <c r="EKX5079" s="911" t="s">
        <v>74</v>
      </c>
      <c r="EKY5079" s="911"/>
      <c r="EKZ5079" s="911"/>
      <c r="ELA5079" s="911"/>
      <c r="ELB5079" s="911"/>
      <c r="ELC5079" s="911"/>
      <c r="ELD5079" s="911"/>
      <c r="ELE5079" s="911"/>
      <c r="ELF5079" s="911"/>
      <c r="ELG5079" s="912"/>
      <c r="ELI5079" s="913" t="s">
        <v>1</v>
      </c>
      <c r="ELJ5079" s="31"/>
      <c r="ELK5079" s="909" t="s">
        <v>0</v>
      </c>
      <c r="ELL5079" s="909"/>
      <c r="ELM5079" s="909"/>
      <c r="ELN5079" s="909"/>
      <c r="ELO5079" s="909"/>
      <c r="ELP5079" s="909"/>
      <c r="ELQ5079" s="907" t="s">
        <v>79</v>
      </c>
      <c r="ELR5079" s="909" t="s">
        <v>68</v>
      </c>
      <c r="ELS5079" s="910" t="s">
        <v>75</v>
      </c>
      <c r="ELT5079" s="911"/>
      <c r="ELU5079" s="911"/>
      <c r="ELV5079" s="911"/>
      <c r="ELW5079" s="911"/>
      <c r="ELX5079" s="911"/>
      <c r="ELY5079" s="911"/>
      <c r="ELZ5079" s="911"/>
      <c r="EMA5079" s="911"/>
      <c r="EMB5079" s="911"/>
      <c r="EMC5079" s="32"/>
      <c r="EMD5079" s="911" t="s">
        <v>74</v>
      </c>
      <c r="EME5079" s="911"/>
      <c r="EMF5079" s="911"/>
      <c r="EMG5079" s="911"/>
      <c r="EMH5079" s="911"/>
      <c r="EMI5079" s="911"/>
      <c r="EMJ5079" s="911"/>
      <c r="EMK5079" s="911"/>
      <c r="EML5079" s="911"/>
      <c r="EMM5079" s="912"/>
      <c r="EMO5079" s="913" t="s">
        <v>1</v>
      </c>
      <c r="EMP5079" s="31"/>
      <c r="EMQ5079" s="909" t="s">
        <v>0</v>
      </c>
      <c r="EMR5079" s="909"/>
      <c r="EMS5079" s="909"/>
      <c r="EMT5079" s="909"/>
      <c r="EMU5079" s="909"/>
      <c r="EMV5079" s="909"/>
      <c r="EMW5079" s="907" t="s">
        <v>79</v>
      </c>
      <c r="EMX5079" s="909" t="s">
        <v>68</v>
      </c>
      <c r="EMY5079" s="910" t="s">
        <v>75</v>
      </c>
      <c r="EMZ5079" s="911"/>
      <c r="ENA5079" s="911"/>
      <c r="ENB5079" s="911"/>
      <c r="ENC5079" s="911"/>
      <c r="END5079" s="911"/>
      <c r="ENE5079" s="911"/>
      <c r="ENF5079" s="911"/>
      <c r="ENG5079" s="911"/>
      <c r="ENH5079" s="911"/>
      <c r="ENI5079" s="32"/>
      <c r="ENJ5079" s="911" t="s">
        <v>74</v>
      </c>
      <c r="ENK5079" s="911"/>
      <c r="ENL5079" s="911"/>
      <c r="ENM5079" s="911"/>
      <c r="ENN5079" s="911"/>
      <c r="ENO5079" s="911"/>
      <c r="ENP5079" s="911"/>
      <c r="ENQ5079" s="911"/>
      <c r="ENR5079" s="911"/>
      <c r="ENS5079" s="912"/>
      <c r="ENU5079" s="913" t="s">
        <v>1</v>
      </c>
      <c r="ENV5079" s="31"/>
      <c r="ENW5079" s="909" t="s">
        <v>0</v>
      </c>
      <c r="ENX5079" s="909"/>
      <c r="ENY5079" s="909"/>
      <c r="ENZ5079" s="909"/>
      <c r="EOA5079" s="909"/>
      <c r="EOB5079" s="909"/>
      <c r="EOC5079" s="907" t="s">
        <v>79</v>
      </c>
      <c r="EOD5079" s="909" t="s">
        <v>68</v>
      </c>
      <c r="EOE5079" s="910" t="s">
        <v>75</v>
      </c>
      <c r="EOF5079" s="911"/>
      <c r="EOG5079" s="911"/>
      <c r="EOH5079" s="911"/>
      <c r="EOI5079" s="911"/>
      <c r="EOJ5079" s="911"/>
      <c r="EOK5079" s="911"/>
      <c r="EOL5079" s="911"/>
      <c r="EOM5079" s="911"/>
      <c r="EON5079" s="911"/>
      <c r="EOO5079" s="32"/>
      <c r="EOP5079" s="911" t="s">
        <v>74</v>
      </c>
      <c r="EOQ5079" s="911"/>
      <c r="EOR5079" s="911"/>
      <c r="EOS5079" s="911"/>
      <c r="EOT5079" s="911"/>
      <c r="EOU5079" s="911"/>
      <c r="EOV5079" s="911"/>
      <c r="EOW5079" s="911"/>
      <c r="EOX5079" s="911"/>
      <c r="EOY5079" s="912"/>
      <c r="EPA5079" s="913" t="s">
        <v>1</v>
      </c>
      <c r="EPB5079" s="31"/>
      <c r="EPC5079" s="909" t="s">
        <v>0</v>
      </c>
      <c r="EPD5079" s="909"/>
      <c r="EPE5079" s="909"/>
      <c r="EPF5079" s="909"/>
      <c r="EPG5079" s="909"/>
      <c r="EPH5079" s="909"/>
      <c r="EPI5079" s="907" t="s">
        <v>79</v>
      </c>
      <c r="EPJ5079" s="909" t="s">
        <v>68</v>
      </c>
      <c r="EPK5079" s="910" t="s">
        <v>75</v>
      </c>
      <c r="EPL5079" s="911"/>
      <c r="EPM5079" s="911"/>
      <c r="EPN5079" s="911"/>
      <c r="EPO5079" s="911"/>
      <c r="EPP5079" s="911"/>
      <c r="EPQ5079" s="911"/>
      <c r="EPR5079" s="911"/>
      <c r="EPS5079" s="911"/>
      <c r="EPT5079" s="911"/>
      <c r="EPU5079" s="32"/>
      <c r="EPV5079" s="911" t="s">
        <v>74</v>
      </c>
      <c r="EPW5079" s="911"/>
      <c r="EPX5079" s="911"/>
      <c r="EPY5079" s="911"/>
      <c r="EPZ5079" s="911"/>
      <c r="EQA5079" s="911"/>
      <c r="EQB5079" s="911"/>
      <c r="EQC5079" s="911"/>
      <c r="EQD5079" s="911"/>
      <c r="EQE5079" s="912"/>
      <c r="EQG5079" s="913" t="s">
        <v>1</v>
      </c>
      <c r="EQH5079" s="31"/>
      <c r="EQI5079" s="909" t="s">
        <v>0</v>
      </c>
      <c r="EQJ5079" s="909"/>
      <c r="EQK5079" s="909"/>
      <c r="EQL5079" s="909"/>
      <c r="EQM5079" s="909"/>
      <c r="EQN5079" s="909"/>
      <c r="EQO5079" s="907" t="s">
        <v>79</v>
      </c>
      <c r="EQP5079" s="909" t="s">
        <v>68</v>
      </c>
      <c r="EQQ5079" s="910" t="s">
        <v>75</v>
      </c>
      <c r="EQR5079" s="911"/>
      <c r="EQS5079" s="911"/>
      <c r="EQT5079" s="911"/>
      <c r="EQU5079" s="911"/>
      <c r="EQV5079" s="911"/>
      <c r="EQW5079" s="911"/>
      <c r="EQX5079" s="911"/>
      <c r="EQY5079" s="911"/>
      <c r="EQZ5079" s="911"/>
      <c r="ERA5079" s="32"/>
      <c r="ERB5079" s="911" t="s">
        <v>74</v>
      </c>
      <c r="ERC5079" s="911"/>
      <c r="ERD5079" s="911"/>
      <c r="ERE5079" s="911"/>
      <c r="ERF5079" s="911"/>
      <c r="ERG5079" s="911"/>
      <c r="ERH5079" s="911"/>
      <c r="ERI5079" s="911"/>
      <c r="ERJ5079" s="911"/>
      <c r="ERK5079" s="912"/>
      <c r="ERM5079" s="913" t="s">
        <v>1</v>
      </c>
      <c r="ERN5079" s="31"/>
      <c r="ERO5079" s="909" t="s">
        <v>0</v>
      </c>
      <c r="ERP5079" s="909"/>
      <c r="ERQ5079" s="909"/>
      <c r="ERR5079" s="909"/>
      <c r="ERS5079" s="909"/>
      <c r="ERT5079" s="909"/>
      <c r="ERU5079" s="907" t="s">
        <v>79</v>
      </c>
      <c r="ERV5079" s="909" t="s">
        <v>68</v>
      </c>
      <c r="ERW5079" s="910" t="s">
        <v>75</v>
      </c>
      <c r="ERX5079" s="911"/>
      <c r="ERY5079" s="911"/>
      <c r="ERZ5079" s="911"/>
      <c r="ESA5079" s="911"/>
      <c r="ESB5079" s="911"/>
      <c r="ESC5079" s="911"/>
      <c r="ESD5079" s="911"/>
      <c r="ESE5079" s="911"/>
      <c r="ESF5079" s="911"/>
      <c r="ESG5079" s="32"/>
      <c r="ESH5079" s="911" t="s">
        <v>74</v>
      </c>
      <c r="ESI5079" s="911"/>
      <c r="ESJ5079" s="911"/>
      <c r="ESK5079" s="911"/>
      <c r="ESL5079" s="911"/>
      <c r="ESM5079" s="911"/>
      <c r="ESN5079" s="911"/>
      <c r="ESO5079" s="911"/>
      <c r="ESP5079" s="911"/>
      <c r="ESQ5079" s="912"/>
      <c r="ESS5079" s="913" t="s">
        <v>1</v>
      </c>
      <c r="EST5079" s="31"/>
      <c r="ESU5079" s="909" t="s">
        <v>0</v>
      </c>
      <c r="ESV5079" s="909"/>
      <c r="ESW5079" s="909"/>
      <c r="ESX5079" s="909"/>
      <c r="ESY5079" s="909"/>
      <c r="ESZ5079" s="909"/>
      <c r="ETA5079" s="907" t="s">
        <v>79</v>
      </c>
      <c r="ETB5079" s="909" t="s">
        <v>68</v>
      </c>
      <c r="ETC5079" s="910" t="s">
        <v>75</v>
      </c>
      <c r="ETD5079" s="911"/>
      <c r="ETE5079" s="911"/>
      <c r="ETF5079" s="911"/>
      <c r="ETG5079" s="911"/>
      <c r="ETH5079" s="911"/>
      <c r="ETI5079" s="911"/>
      <c r="ETJ5079" s="911"/>
      <c r="ETK5079" s="911"/>
      <c r="ETL5079" s="911"/>
      <c r="ETM5079" s="32"/>
      <c r="ETN5079" s="911" t="s">
        <v>74</v>
      </c>
      <c r="ETO5079" s="911"/>
      <c r="ETP5079" s="911"/>
      <c r="ETQ5079" s="911"/>
      <c r="ETR5079" s="911"/>
      <c r="ETS5079" s="911"/>
      <c r="ETT5079" s="911"/>
      <c r="ETU5079" s="911"/>
      <c r="ETV5079" s="911"/>
      <c r="ETW5079" s="912"/>
      <c r="ETY5079" s="913" t="s">
        <v>1</v>
      </c>
      <c r="ETZ5079" s="31"/>
      <c r="EUA5079" s="909" t="s">
        <v>0</v>
      </c>
      <c r="EUB5079" s="909"/>
      <c r="EUC5079" s="909"/>
      <c r="EUD5079" s="909"/>
      <c r="EUE5079" s="909"/>
      <c r="EUF5079" s="909"/>
      <c r="EUG5079" s="907" t="s">
        <v>79</v>
      </c>
      <c r="EUH5079" s="909" t="s">
        <v>68</v>
      </c>
      <c r="EUI5079" s="910" t="s">
        <v>75</v>
      </c>
      <c r="EUJ5079" s="911"/>
      <c r="EUK5079" s="911"/>
      <c r="EUL5079" s="911"/>
      <c r="EUM5079" s="911"/>
      <c r="EUN5079" s="911"/>
      <c r="EUO5079" s="911"/>
      <c r="EUP5079" s="911"/>
      <c r="EUQ5079" s="911"/>
      <c r="EUR5079" s="911"/>
      <c r="EUS5079" s="32"/>
      <c r="EUT5079" s="911" t="s">
        <v>74</v>
      </c>
      <c r="EUU5079" s="911"/>
      <c r="EUV5079" s="911"/>
      <c r="EUW5079" s="911"/>
      <c r="EUX5079" s="911"/>
      <c r="EUY5079" s="911"/>
      <c r="EUZ5079" s="911"/>
      <c r="EVA5079" s="911"/>
      <c r="EVB5079" s="911"/>
      <c r="EVC5079" s="912"/>
      <c r="EVE5079" s="913" t="s">
        <v>1</v>
      </c>
      <c r="EVF5079" s="31"/>
      <c r="EVG5079" s="909" t="s">
        <v>0</v>
      </c>
      <c r="EVH5079" s="909"/>
      <c r="EVI5079" s="909"/>
      <c r="EVJ5079" s="909"/>
      <c r="EVK5079" s="909"/>
      <c r="EVL5079" s="909"/>
      <c r="EVM5079" s="907" t="s">
        <v>79</v>
      </c>
      <c r="EVN5079" s="909" t="s">
        <v>68</v>
      </c>
      <c r="EVO5079" s="910" t="s">
        <v>75</v>
      </c>
      <c r="EVP5079" s="911"/>
      <c r="EVQ5079" s="911"/>
      <c r="EVR5079" s="911"/>
      <c r="EVS5079" s="911"/>
      <c r="EVT5079" s="911"/>
      <c r="EVU5079" s="911"/>
      <c r="EVV5079" s="911"/>
      <c r="EVW5079" s="911"/>
      <c r="EVX5079" s="911"/>
      <c r="EVY5079" s="32"/>
      <c r="EVZ5079" s="911" t="s">
        <v>74</v>
      </c>
      <c r="EWA5079" s="911"/>
      <c r="EWB5079" s="911"/>
      <c r="EWC5079" s="911"/>
      <c r="EWD5079" s="911"/>
      <c r="EWE5079" s="911"/>
      <c r="EWF5079" s="911"/>
      <c r="EWG5079" s="911"/>
      <c r="EWH5079" s="911"/>
      <c r="EWI5079" s="912"/>
      <c r="EWK5079" s="913" t="s">
        <v>1</v>
      </c>
      <c r="EWL5079" s="31"/>
      <c r="EWM5079" s="909" t="s">
        <v>0</v>
      </c>
      <c r="EWN5079" s="909"/>
      <c r="EWO5079" s="909"/>
      <c r="EWP5079" s="909"/>
      <c r="EWQ5079" s="909"/>
      <c r="EWR5079" s="909"/>
      <c r="EWS5079" s="907" t="s">
        <v>79</v>
      </c>
      <c r="EWT5079" s="909" t="s">
        <v>68</v>
      </c>
      <c r="EWU5079" s="910" t="s">
        <v>75</v>
      </c>
      <c r="EWV5079" s="911"/>
      <c r="EWW5079" s="911"/>
      <c r="EWX5079" s="911"/>
      <c r="EWY5079" s="911"/>
      <c r="EWZ5079" s="911"/>
      <c r="EXA5079" s="911"/>
      <c r="EXB5079" s="911"/>
      <c r="EXC5079" s="911"/>
      <c r="EXD5079" s="911"/>
      <c r="EXE5079" s="32"/>
      <c r="EXF5079" s="911" t="s">
        <v>74</v>
      </c>
      <c r="EXG5079" s="911"/>
      <c r="EXH5079" s="911"/>
      <c r="EXI5079" s="911"/>
      <c r="EXJ5079" s="911"/>
      <c r="EXK5079" s="911"/>
      <c r="EXL5079" s="911"/>
      <c r="EXM5079" s="911"/>
      <c r="EXN5079" s="911"/>
      <c r="EXO5079" s="912"/>
      <c r="EXQ5079" s="913" t="s">
        <v>1</v>
      </c>
      <c r="EXR5079" s="31"/>
      <c r="EXS5079" s="909" t="s">
        <v>0</v>
      </c>
      <c r="EXT5079" s="909"/>
      <c r="EXU5079" s="909"/>
      <c r="EXV5079" s="909"/>
      <c r="EXW5079" s="909"/>
      <c r="EXX5079" s="909"/>
      <c r="EXY5079" s="907" t="s">
        <v>79</v>
      </c>
      <c r="EXZ5079" s="909" t="s">
        <v>68</v>
      </c>
      <c r="EYA5079" s="910" t="s">
        <v>75</v>
      </c>
      <c r="EYB5079" s="911"/>
      <c r="EYC5079" s="911"/>
      <c r="EYD5079" s="911"/>
      <c r="EYE5079" s="911"/>
      <c r="EYF5079" s="911"/>
      <c r="EYG5079" s="911"/>
      <c r="EYH5079" s="911"/>
      <c r="EYI5079" s="911"/>
      <c r="EYJ5079" s="911"/>
      <c r="EYK5079" s="32"/>
      <c r="EYL5079" s="911" t="s">
        <v>74</v>
      </c>
      <c r="EYM5079" s="911"/>
      <c r="EYN5079" s="911"/>
      <c r="EYO5079" s="911"/>
      <c r="EYP5079" s="911"/>
      <c r="EYQ5079" s="911"/>
      <c r="EYR5079" s="911"/>
      <c r="EYS5079" s="911"/>
      <c r="EYT5079" s="911"/>
      <c r="EYU5079" s="912"/>
      <c r="EYW5079" s="913" t="s">
        <v>1</v>
      </c>
      <c r="EYX5079" s="31"/>
      <c r="EYY5079" s="909" t="s">
        <v>0</v>
      </c>
      <c r="EYZ5079" s="909"/>
      <c r="EZA5079" s="909"/>
      <c r="EZB5079" s="909"/>
      <c r="EZC5079" s="909"/>
      <c r="EZD5079" s="909"/>
      <c r="EZE5079" s="907" t="s">
        <v>79</v>
      </c>
      <c r="EZF5079" s="909" t="s">
        <v>68</v>
      </c>
      <c r="EZG5079" s="910" t="s">
        <v>75</v>
      </c>
      <c r="EZH5079" s="911"/>
      <c r="EZI5079" s="911"/>
      <c r="EZJ5079" s="911"/>
      <c r="EZK5079" s="911"/>
      <c r="EZL5079" s="911"/>
      <c r="EZM5079" s="911"/>
      <c r="EZN5079" s="911"/>
      <c r="EZO5079" s="911"/>
      <c r="EZP5079" s="911"/>
      <c r="EZQ5079" s="32"/>
      <c r="EZR5079" s="911" t="s">
        <v>74</v>
      </c>
      <c r="EZS5079" s="911"/>
      <c r="EZT5079" s="911"/>
      <c r="EZU5079" s="911"/>
      <c r="EZV5079" s="911"/>
      <c r="EZW5079" s="911"/>
      <c r="EZX5079" s="911"/>
      <c r="EZY5079" s="911"/>
      <c r="EZZ5079" s="911"/>
      <c r="FAA5079" s="912"/>
      <c r="FAC5079" s="913" t="s">
        <v>1</v>
      </c>
      <c r="FAD5079" s="31"/>
      <c r="FAE5079" s="909" t="s">
        <v>0</v>
      </c>
      <c r="FAF5079" s="909"/>
      <c r="FAG5079" s="909"/>
      <c r="FAH5079" s="909"/>
      <c r="FAI5079" s="909"/>
      <c r="FAJ5079" s="909"/>
      <c r="FAK5079" s="907" t="s">
        <v>79</v>
      </c>
      <c r="FAL5079" s="909" t="s">
        <v>68</v>
      </c>
      <c r="FAM5079" s="910" t="s">
        <v>75</v>
      </c>
      <c r="FAN5079" s="911"/>
      <c r="FAO5079" s="911"/>
      <c r="FAP5079" s="911"/>
      <c r="FAQ5079" s="911"/>
      <c r="FAR5079" s="911"/>
      <c r="FAS5079" s="911"/>
      <c r="FAT5079" s="911"/>
      <c r="FAU5079" s="911"/>
      <c r="FAV5079" s="911"/>
      <c r="FAW5079" s="32"/>
      <c r="FAX5079" s="911" t="s">
        <v>74</v>
      </c>
      <c r="FAY5079" s="911"/>
      <c r="FAZ5079" s="911"/>
      <c r="FBA5079" s="911"/>
      <c r="FBB5079" s="911"/>
      <c r="FBC5079" s="911"/>
      <c r="FBD5079" s="911"/>
      <c r="FBE5079" s="911"/>
      <c r="FBF5079" s="911"/>
      <c r="FBG5079" s="912"/>
      <c r="FBI5079" s="913" t="s">
        <v>1</v>
      </c>
      <c r="FBJ5079" s="31"/>
      <c r="FBK5079" s="909" t="s">
        <v>0</v>
      </c>
      <c r="FBL5079" s="909"/>
      <c r="FBM5079" s="909"/>
      <c r="FBN5079" s="909"/>
      <c r="FBO5079" s="909"/>
      <c r="FBP5079" s="909"/>
      <c r="FBQ5079" s="907" t="s">
        <v>79</v>
      </c>
      <c r="FBR5079" s="909" t="s">
        <v>68</v>
      </c>
      <c r="FBS5079" s="910" t="s">
        <v>75</v>
      </c>
      <c r="FBT5079" s="911"/>
      <c r="FBU5079" s="911"/>
      <c r="FBV5079" s="911"/>
      <c r="FBW5079" s="911"/>
      <c r="FBX5079" s="911"/>
      <c r="FBY5079" s="911"/>
      <c r="FBZ5079" s="911"/>
      <c r="FCA5079" s="911"/>
      <c r="FCB5079" s="911"/>
      <c r="FCC5079" s="32"/>
      <c r="FCD5079" s="911" t="s">
        <v>74</v>
      </c>
      <c r="FCE5079" s="911"/>
      <c r="FCF5079" s="911"/>
      <c r="FCG5079" s="911"/>
      <c r="FCH5079" s="911"/>
      <c r="FCI5079" s="911"/>
      <c r="FCJ5079" s="911"/>
      <c r="FCK5079" s="911"/>
      <c r="FCL5079" s="911"/>
      <c r="FCM5079" s="912"/>
      <c r="FCO5079" s="913" t="s">
        <v>1</v>
      </c>
      <c r="FCP5079" s="31"/>
      <c r="FCQ5079" s="909" t="s">
        <v>0</v>
      </c>
      <c r="FCR5079" s="909"/>
      <c r="FCS5079" s="909"/>
      <c r="FCT5079" s="909"/>
      <c r="FCU5079" s="909"/>
      <c r="FCV5079" s="909"/>
      <c r="FCW5079" s="907" t="s">
        <v>79</v>
      </c>
      <c r="FCX5079" s="909" t="s">
        <v>68</v>
      </c>
      <c r="FCY5079" s="910" t="s">
        <v>75</v>
      </c>
      <c r="FCZ5079" s="911"/>
      <c r="FDA5079" s="911"/>
      <c r="FDB5079" s="911"/>
      <c r="FDC5079" s="911"/>
      <c r="FDD5079" s="911"/>
      <c r="FDE5079" s="911"/>
      <c r="FDF5079" s="911"/>
      <c r="FDG5079" s="911"/>
      <c r="FDH5079" s="911"/>
      <c r="FDI5079" s="32"/>
      <c r="FDJ5079" s="911" t="s">
        <v>74</v>
      </c>
      <c r="FDK5079" s="911"/>
      <c r="FDL5079" s="911"/>
      <c r="FDM5079" s="911"/>
      <c r="FDN5079" s="911"/>
      <c r="FDO5079" s="911"/>
      <c r="FDP5079" s="911"/>
      <c r="FDQ5079" s="911"/>
      <c r="FDR5079" s="911"/>
      <c r="FDS5079" s="912"/>
      <c r="FDU5079" s="913" t="s">
        <v>1</v>
      </c>
      <c r="FDV5079" s="31"/>
      <c r="FDW5079" s="909" t="s">
        <v>0</v>
      </c>
      <c r="FDX5079" s="909"/>
      <c r="FDY5079" s="909"/>
      <c r="FDZ5079" s="909"/>
      <c r="FEA5079" s="909"/>
      <c r="FEB5079" s="909"/>
      <c r="FEC5079" s="907" t="s">
        <v>79</v>
      </c>
      <c r="FED5079" s="909" t="s">
        <v>68</v>
      </c>
      <c r="FEE5079" s="910" t="s">
        <v>75</v>
      </c>
      <c r="FEF5079" s="911"/>
      <c r="FEG5079" s="911"/>
      <c r="FEH5079" s="911"/>
      <c r="FEI5079" s="911"/>
      <c r="FEJ5079" s="911"/>
      <c r="FEK5079" s="911"/>
      <c r="FEL5079" s="911"/>
      <c r="FEM5079" s="911"/>
      <c r="FEN5079" s="911"/>
      <c r="FEO5079" s="32"/>
      <c r="FEP5079" s="911" t="s">
        <v>74</v>
      </c>
      <c r="FEQ5079" s="911"/>
      <c r="FER5079" s="911"/>
      <c r="FES5079" s="911"/>
      <c r="FET5079" s="911"/>
      <c r="FEU5079" s="911"/>
      <c r="FEV5079" s="911"/>
      <c r="FEW5079" s="911"/>
      <c r="FEX5079" s="911"/>
      <c r="FEY5079" s="912"/>
      <c r="FFA5079" s="913" t="s">
        <v>1</v>
      </c>
      <c r="FFB5079" s="31"/>
      <c r="FFC5079" s="909" t="s">
        <v>0</v>
      </c>
      <c r="FFD5079" s="909"/>
      <c r="FFE5079" s="909"/>
      <c r="FFF5079" s="909"/>
      <c r="FFG5079" s="909"/>
      <c r="FFH5079" s="909"/>
      <c r="FFI5079" s="907" t="s">
        <v>79</v>
      </c>
      <c r="FFJ5079" s="909" t="s">
        <v>68</v>
      </c>
      <c r="FFK5079" s="910" t="s">
        <v>75</v>
      </c>
      <c r="FFL5079" s="911"/>
      <c r="FFM5079" s="911"/>
      <c r="FFN5079" s="911"/>
      <c r="FFO5079" s="911"/>
      <c r="FFP5079" s="911"/>
      <c r="FFQ5079" s="911"/>
      <c r="FFR5079" s="911"/>
      <c r="FFS5079" s="911"/>
      <c r="FFT5079" s="911"/>
      <c r="FFU5079" s="32"/>
      <c r="FFV5079" s="911" t="s">
        <v>74</v>
      </c>
      <c r="FFW5079" s="911"/>
      <c r="FFX5079" s="911"/>
      <c r="FFY5079" s="911"/>
      <c r="FFZ5079" s="911"/>
      <c r="FGA5079" s="911"/>
      <c r="FGB5079" s="911"/>
      <c r="FGC5079" s="911"/>
      <c r="FGD5079" s="911"/>
      <c r="FGE5079" s="912"/>
      <c r="FGG5079" s="913" t="s">
        <v>1</v>
      </c>
      <c r="FGH5079" s="31"/>
      <c r="FGI5079" s="909" t="s">
        <v>0</v>
      </c>
      <c r="FGJ5079" s="909"/>
      <c r="FGK5079" s="909"/>
      <c r="FGL5079" s="909"/>
      <c r="FGM5079" s="909"/>
      <c r="FGN5079" s="909"/>
      <c r="FGO5079" s="907" t="s">
        <v>79</v>
      </c>
      <c r="FGP5079" s="909" t="s">
        <v>68</v>
      </c>
      <c r="FGQ5079" s="910" t="s">
        <v>75</v>
      </c>
      <c r="FGR5079" s="911"/>
      <c r="FGS5079" s="911"/>
      <c r="FGT5079" s="911"/>
      <c r="FGU5079" s="911"/>
      <c r="FGV5079" s="911"/>
      <c r="FGW5079" s="911"/>
      <c r="FGX5079" s="911"/>
      <c r="FGY5079" s="911"/>
      <c r="FGZ5079" s="911"/>
      <c r="FHA5079" s="32"/>
      <c r="FHB5079" s="911" t="s">
        <v>74</v>
      </c>
      <c r="FHC5079" s="911"/>
      <c r="FHD5079" s="911"/>
      <c r="FHE5079" s="911"/>
      <c r="FHF5079" s="911"/>
      <c r="FHG5079" s="911"/>
      <c r="FHH5079" s="911"/>
      <c r="FHI5079" s="911"/>
      <c r="FHJ5079" s="911"/>
      <c r="FHK5079" s="912"/>
      <c r="FHM5079" s="913" t="s">
        <v>1</v>
      </c>
      <c r="FHN5079" s="31"/>
      <c r="FHO5079" s="909" t="s">
        <v>0</v>
      </c>
      <c r="FHP5079" s="909"/>
      <c r="FHQ5079" s="909"/>
      <c r="FHR5079" s="909"/>
      <c r="FHS5079" s="909"/>
      <c r="FHT5079" s="909"/>
      <c r="FHU5079" s="907" t="s">
        <v>79</v>
      </c>
      <c r="FHV5079" s="909" t="s">
        <v>68</v>
      </c>
      <c r="FHW5079" s="910" t="s">
        <v>75</v>
      </c>
      <c r="FHX5079" s="911"/>
      <c r="FHY5079" s="911"/>
      <c r="FHZ5079" s="911"/>
      <c r="FIA5079" s="911"/>
      <c r="FIB5079" s="911"/>
      <c r="FIC5079" s="911"/>
      <c r="FID5079" s="911"/>
      <c r="FIE5079" s="911"/>
      <c r="FIF5079" s="911"/>
      <c r="FIG5079" s="32"/>
      <c r="FIH5079" s="911" t="s">
        <v>74</v>
      </c>
      <c r="FII5079" s="911"/>
      <c r="FIJ5079" s="911"/>
      <c r="FIK5079" s="911"/>
      <c r="FIL5079" s="911"/>
      <c r="FIM5079" s="911"/>
      <c r="FIN5079" s="911"/>
      <c r="FIO5079" s="911"/>
      <c r="FIP5079" s="911"/>
      <c r="FIQ5079" s="912"/>
      <c r="FIS5079" s="913" t="s">
        <v>1</v>
      </c>
      <c r="FIT5079" s="31"/>
      <c r="FIU5079" s="909" t="s">
        <v>0</v>
      </c>
      <c r="FIV5079" s="909"/>
      <c r="FIW5079" s="909"/>
      <c r="FIX5079" s="909"/>
      <c r="FIY5079" s="909"/>
      <c r="FIZ5079" s="909"/>
      <c r="FJA5079" s="907" t="s">
        <v>79</v>
      </c>
      <c r="FJB5079" s="909" t="s">
        <v>68</v>
      </c>
      <c r="FJC5079" s="910" t="s">
        <v>75</v>
      </c>
      <c r="FJD5079" s="911"/>
      <c r="FJE5079" s="911"/>
      <c r="FJF5079" s="911"/>
      <c r="FJG5079" s="911"/>
      <c r="FJH5079" s="911"/>
      <c r="FJI5079" s="911"/>
      <c r="FJJ5079" s="911"/>
      <c r="FJK5079" s="911"/>
      <c r="FJL5079" s="911"/>
      <c r="FJM5079" s="32"/>
      <c r="FJN5079" s="911" t="s">
        <v>74</v>
      </c>
      <c r="FJO5079" s="911"/>
      <c r="FJP5079" s="911"/>
      <c r="FJQ5079" s="911"/>
      <c r="FJR5079" s="911"/>
      <c r="FJS5079" s="911"/>
      <c r="FJT5079" s="911"/>
      <c r="FJU5079" s="911"/>
      <c r="FJV5079" s="911"/>
      <c r="FJW5079" s="912"/>
      <c r="FJY5079" s="913" t="s">
        <v>1</v>
      </c>
      <c r="FJZ5079" s="31"/>
      <c r="FKA5079" s="909" t="s">
        <v>0</v>
      </c>
      <c r="FKB5079" s="909"/>
      <c r="FKC5079" s="909"/>
      <c r="FKD5079" s="909"/>
      <c r="FKE5079" s="909"/>
      <c r="FKF5079" s="909"/>
      <c r="FKG5079" s="907" t="s">
        <v>79</v>
      </c>
      <c r="FKH5079" s="909" t="s">
        <v>68</v>
      </c>
      <c r="FKI5079" s="910" t="s">
        <v>75</v>
      </c>
      <c r="FKJ5079" s="911"/>
      <c r="FKK5079" s="911"/>
      <c r="FKL5079" s="911"/>
      <c r="FKM5079" s="911"/>
      <c r="FKN5079" s="911"/>
      <c r="FKO5079" s="911"/>
      <c r="FKP5079" s="911"/>
      <c r="FKQ5079" s="911"/>
      <c r="FKR5079" s="911"/>
      <c r="FKS5079" s="32"/>
      <c r="FKT5079" s="911" t="s">
        <v>74</v>
      </c>
      <c r="FKU5079" s="911"/>
      <c r="FKV5079" s="911"/>
      <c r="FKW5079" s="911"/>
      <c r="FKX5079" s="911"/>
      <c r="FKY5079" s="911"/>
      <c r="FKZ5079" s="911"/>
      <c r="FLA5079" s="911"/>
      <c r="FLB5079" s="911"/>
      <c r="FLC5079" s="912"/>
      <c r="FLE5079" s="913" t="s">
        <v>1</v>
      </c>
      <c r="FLF5079" s="31"/>
      <c r="FLG5079" s="909" t="s">
        <v>0</v>
      </c>
      <c r="FLH5079" s="909"/>
      <c r="FLI5079" s="909"/>
      <c r="FLJ5079" s="909"/>
      <c r="FLK5079" s="909"/>
      <c r="FLL5079" s="909"/>
      <c r="FLM5079" s="907" t="s">
        <v>79</v>
      </c>
      <c r="FLN5079" s="909" t="s">
        <v>68</v>
      </c>
      <c r="FLO5079" s="910" t="s">
        <v>75</v>
      </c>
      <c r="FLP5079" s="911"/>
      <c r="FLQ5079" s="911"/>
      <c r="FLR5079" s="911"/>
      <c r="FLS5079" s="911"/>
      <c r="FLT5079" s="911"/>
      <c r="FLU5079" s="911"/>
      <c r="FLV5079" s="911"/>
      <c r="FLW5079" s="911"/>
      <c r="FLX5079" s="911"/>
      <c r="FLY5079" s="32"/>
      <c r="FLZ5079" s="911" t="s">
        <v>74</v>
      </c>
      <c r="FMA5079" s="911"/>
      <c r="FMB5079" s="911"/>
      <c r="FMC5079" s="911"/>
      <c r="FMD5079" s="911"/>
      <c r="FME5079" s="911"/>
      <c r="FMF5079" s="911"/>
      <c r="FMG5079" s="911"/>
      <c r="FMH5079" s="911"/>
      <c r="FMI5079" s="912"/>
      <c r="FMK5079" s="913" t="s">
        <v>1</v>
      </c>
      <c r="FML5079" s="31"/>
      <c r="FMM5079" s="909" t="s">
        <v>0</v>
      </c>
      <c r="FMN5079" s="909"/>
      <c r="FMO5079" s="909"/>
      <c r="FMP5079" s="909"/>
      <c r="FMQ5079" s="909"/>
      <c r="FMR5079" s="909"/>
      <c r="FMS5079" s="907" t="s">
        <v>79</v>
      </c>
      <c r="FMT5079" s="909" t="s">
        <v>68</v>
      </c>
      <c r="FMU5079" s="910" t="s">
        <v>75</v>
      </c>
      <c r="FMV5079" s="911"/>
      <c r="FMW5079" s="911"/>
      <c r="FMX5079" s="911"/>
      <c r="FMY5079" s="911"/>
      <c r="FMZ5079" s="911"/>
      <c r="FNA5079" s="911"/>
      <c r="FNB5079" s="911"/>
      <c r="FNC5079" s="911"/>
      <c r="FND5079" s="911"/>
      <c r="FNE5079" s="32"/>
      <c r="FNF5079" s="911" t="s">
        <v>74</v>
      </c>
      <c r="FNG5079" s="911"/>
      <c r="FNH5079" s="911"/>
      <c r="FNI5079" s="911"/>
      <c r="FNJ5079" s="911"/>
      <c r="FNK5079" s="911"/>
      <c r="FNL5079" s="911"/>
      <c r="FNM5079" s="911"/>
      <c r="FNN5079" s="911"/>
      <c r="FNO5079" s="912"/>
      <c r="FNQ5079" s="913" t="s">
        <v>1</v>
      </c>
      <c r="FNR5079" s="31"/>
      <c r="FNS5079" s="909" t="s">
        <v>0</v>
      </c>
      <c r="FNT5079" s="909"/>
      <c r="FNU5079" s="909"/>
      <c r="FNV5079" s="909"/>
      <c r="FNW5079" s="909"/>
      <c r="FNX5079" s="909"/>
      <c r="FNY5079" s="907" t="s">
        <v>79</v>
      </c>
      <c r="FNZ5079" s="909" t="s">
        <v>68</v>
      </c>
      <c r="FOA5079" s="910" t="s">
        <v>75</v>
      </c>
      <c r="FOB5079" s="911"/>
      <c r="FOC5079" s="911"/>
      <c r="FOD5079" s="911"/>
      <c r="FOE5079" s="911"/>
      <c r="FOF5079" s="911"/>
      <c r="FOG5079" s="911"/>
      <c r="FOH5079" s="911"/>
      <c r="FOI5079" s="911"/>
      <c r="FOJ5079" s="911"/>
      <c r="FOK5079" s="32"/>
      <c r="FOL5079" s="911" t="s">
        <v>74</v>
      </c>
      <c r="FOM5079" s="911"/>
      <c r="FON5079" s="911"/>
      <c r="FOO5079" s="911"/>
      <c r="FOP5079" s="911"/>
      <c r="FOQ5079" s="911"/>
      <c r="FOR5079" s="911"/>
      <c r="FOS5079" s="911"/>
      <c r="FOT5079" s="911"/>
      <c r="FOU5079" s="912"/>
      <c r="FOW5079" s="913" t="s">
        <v>1</v>
      </c>
      <c r="FOX5079" s="31"/>
      <c r="FOY5079" s="909" t="s">
        <v>0</v>
      </c>
      <c r="FOZ5079" s="909"/>
      <c r="FPA5079" s="909"/>
      <c r="FPB5079" s="909"/>
      <c r="FPC5079" s="909"/>
      <c r="FPD5079" s="909"/>
      <c r="FPE5079" s="907" t="s">
        <v>79</v>
      </c>
      <c r="FPF5079" s="909" t="s">
        <v>68</v>
      </c>
      <c r="FPG5079" s="910" t="s">
        <v>75</v>
      </c>
      <c r="FPH5079" s="911"/>
      <c r="FPI5079" s="911"/>
      <c r="FPJ5079" s="911"/>
      <c r="FPK5079" s="911"/>
      <c r="FPL5079" s="911"/>
      <c r="FPM5079" s="911"/>
      <c r="FPN5079" s="911"/>
      <c r="FPO5079" s="911"/>
      <c r="FPP5079" s="911"/>
      <c r="FPQ5079" s="32"/>
      <c r="FPR5079" s="911" t="s">
        <v>74</v>
      </c>
      <c r="FPS5079" s="911"/>
      <c r="FPT5079" s="911"/>
      <c r="FPU5079" s="911"/>
      <c r="FPV5079" s="911"/>
      <c r="FPW5079" s="911"/>
      <c r="FPX5079" s="911"/>
      <c r="FPY5079" s="911"/>
      <c r="FPZ5079" s="911"/>
      <c r="FQA5079" s="912"/>
      <c r="FQC5079" s="913" t="s">
        <v>1</v>
      </c>
      <c r="FQD5079" s="31"/>
      <c r="FQE5079" s="909" t="s">
        <v>0</v>
      </c>
      <c r="FQF5079" s="909"/>
      <c r="FQG5079" s="909"/>
      <c r="FQH5079" s="909"/>
      <c r="FQI5079" s="909"/>
      <c r="FQJ5079" s="909"/>
      <c r="FQK5079" s="907" t="s">
        <v>79</v>
      </c>
      <c r="FQL5079" s="909" t="s">
        <v>68</v>
      </c>
      <c r="FQM5079" s="910" t="s">
        <v>75</v>
      </c>
      <c r="FQN5079" s="911"/>
      <c r="FQO5079" s="911"/>
      <c r="FQP5079" s="911"/>
      <c r="FQQ5079" s="911"/>
      <c r="FQR5079" s="911"/>
      <c r="FQS5079" s="911"/>
      <c r="FQT5079" s="911"/>
      <c r="FQU5079" s="911"/>
      <c r="FQV5079" s="911"/>
      <c r="FQW5079" s="32"/>
      <c r="FQX5079" s="911" t="s">
        <v>74</v>
      </c>
      <c r="FQY5079" s="911"/>
      <c r="FQZ5079" s="911"/>
      <c r="FRA5079" s="911"/>
      <c r="FRB5079" s="911"/>
      <c r="FRC5079" s="911"/>
      <c r="FRD5079" s="911"/>
      <c r="FRE5079" s="911"/>
      <c r="FRF5079" s="911"/>
      <c r="FRG5079" s="912"/>
      <c r="FRI5079" s="913" t="s">
        <v>1</v>
      </c>
      <c r="FRJ5079" s="31"/>
      <c r="FRK5079" s="909" t="s">
        <v>0</v>
      </c>
      <c r="FRL5079" s="909"/>
      <c r="FRM5079" s="909"/>
      <c r="FRN5079" s="909"/>
      <c r="FRO5079" s="909"/>
      <c r="FRP5079" s="909"/>
      <c r="FRQ5079" s="907" t="s">
        <v>79</v>
      </c>
      <c r="FRR5079" s="909" t="s">
        <v>68</v>
      </c>
      <c r="FRS5079" s="910" t="s">
        <v>75</v>
      </c>
      <c r="FRT5079" s="911"/>
      <c r="FRU5079" s="911"/>
      <c r="FRV5079" s="911"/>
      <c r="FRW5079" s="911"/>
      <c r="FRX5079" s="911"/>
      <c r="FRY5079" s="911"/>
      <c r="FRZ5079" s="911"/>
      <c r="FSA5079" s="911"/>
      <c r="FSB5079" s="911"/>
      <c r="FSC5079" s="32"/>
      <c r="FSD5079" s="911" t="s">
        <v>74</v>
      </c>
      <c r="FSE5079" s="911"/>
      <c r="FSF5079" s="911"/>
      <c r="FSG5079" s="911"/>
      <c r="FSH5079" s="911"/>
      <c r="FSI5079" s="911"/>
      <c r="FSJ5079" s="911"/>
      <c r="FSK5079" s="911"/>
      <c r="FSL5079" s="911"/>
      <c r="FSM5079" s="912"/>
      <c r="FSO5079" s="913" t="s">
        <v>1</v>
      </c>
      <c r="FSP5079" s="31"/>
      <c r="FSQ5079" s="909" t="s">
        <v>0</v>
      </c>
      <c r="FSR5079" s="909"/>
      <c r="FSS5079" s="909"/>
      <c r="FST5079" s="909"/>
      <c r="FSU5079" s="909"/>
      <c r="FSV5079" s="909"/>
      <c r="FSW5079" s="907" t="s">
        <v>79</v>
      </c>
      <c r="FSX5079" s="909" t="s">
        <v>68</v>
      </c>
      <c r="FSY5079" s="910" t="s">
        <v>75</v>
      </c>
      <c r="FSZ5079" s="911"/>
      <c r="FTA5079" s="911"/>
      <c r="FTB5079" s="911"/>
      <c r="FTC5079" s="911"/>
      <c r="FTD5079" s="911"/>
      <c r="FTE5079" s="911"/>
      <c r="FTF5079" s="911"/>
      <c r="FTG5079" s="911"/>
      <c r="FTH5079" s="911"/>
      <c r="FTI5079" s="32"/>
      <c r="FTJ5079" s="911" t="s">
        <v>74</v>
      </c>
      <c r="FTK5079" s="911"/>
      <c r="FTL5079" s="911"/>
      <c r="FTM5079" s="911"/>
      <c r="FTN5079" s="911"/>
      <c r="FTO5079" s="911"/>
      <c r="FTP5079" s="911"/>
      <c r="FTQ5079" s="911"/>
      <c r="FTR5079" s="911"/>
      <c r="FTS5079" s="912"/>
      <c r="FTU5079" s="913" t="s">
        <v>1</v>
      </c>
      <c r="FTV5079" s="31"/>
      <c r="FTW5079" s="909" t="s">
        <v>0</v>
      </c>
      <c r="FTX5079" s="909"/>
      <c r="FTY5079" s="909"/>
      <c r="FTZ5079" s="909"/>
      <c r="FUA5079" s="909"/>
      <c r="FUB5079" s="909"/>
      <c r="FUC5079" s="907" t="s">
        <v>79</v>
      </c>
      <c r="FUD5079" s="909" t="s">
        <v>68</v>
      </c>
      <c r="FUE5079" s="910" t="s">
        <v>75</v>
      </c>
      <c r="FUF5079" s="911"/>
      <c r="FUG5079" s="911"/>
      <c r="FUH5079" s="911"/>
      <c r="FUI5079" s="911"/>
      <c r="FUJ5079" s="911"/>
      <c r="FUK5079" s="911"/>
      <c r="FUL5079" s="911"/>
      <c r="FUM5079" s="911"/>
      <c r="FUN5079" s="911"/>
      <c r="FUO5079" s="32"/>
      <c r="FUP5079" s="911" t="s">
        <v>74</v>
      </c>
      <c r="FUQ5079" s="911"/>
      <c r="FUR5079" s="911"/>
      <c r="FUS5079" s="911"/>
      <c r="FUT5079" s="911"/>
      <c r="FUU5079" s="911"/>
      <c r="FUV5079" s="911"/>
      <c r="FUW5079" s="911"/>
      <c r="FUX5079" s="911"/>
      <c r="FUY5079" s="912"/>
      <c r="FVA5079" s="913" t="s">
        <v>1</v>
      </c>
      <c r="FVB5079" s="31"/>
      <c r="FVC5079" s="909" t="s">
        <v>0</v>
      </c>
      <c r="FVD5079" s="909"/>
      <c r="FVE5079" s="909"/>
      <c r="FVF5079" s="909"/>
      <c r="FVG5079" s="909"/>
      <c r="FVH5079" s="909"/>
      <c r="FVI5079" s="907" t="s">
        <v>79</v>
      </c>
      <c r="FVJ5079" s="909" t="s">
        <v>68</v>
      </c>
      <c r="FVK5079" s="910" t="s">
        <v>75</v>
      </c>
      <c r="FVL5079" s="911"/>
      <c r="FVM5079" s="911"/>
      <c r="FVN5079" s="911"/>
      <c r="FVO5079" s="911"/>
      <c r="FVP5079" s="911"/>
      <c r="FVQ5079" s="911"/>
      <c r="FVR5079" s="911"/>
      <c r="FVS5079" s="911"/>
      <c r="FVT5079" s="911"/>
      <c r="FVU5079" s="32"/>
      <c r="FVV5079" s="911" t="s">
        <v>74</v>
      </c>
      <c r="FVW5079" s="911"/>
      <c r="FVX5079" s="911"/>
      <c r="FVY5079" s="911"/>
      <c r="FVZ5079" s="911"/>
      <c r="FWA5079" s="911"/>
      <c r="FWB5079" s="911"/>
      <c r="FWC5079" s="911"/>
      <c r="FWD5079" s="911"/>
      <c r="FWE5079" s="912"/>
      <c r="FWG5079" s="913" t="s">
        <v>1</v>
      </c>
      <c r="FWH5079" s="31"/>
      <c r="FWI5079" s="909" t="s">
        <v>0</v>
      </c>
      <c r="FWJ5079" s="909"/>
      <c r="FWK5079" s="909"/>
      <c r="FWL5079" s="909"/>
      <c r="FWM5079" s="909"/>
      <c r="FWN5079" s="909"/>
      <c r="FWO5079" s="907" t="s">
        <v>79</v>
      </c>
      <c r="FWP5079" s="909" t="s">
        <v>68</v>
      </c>
      <c r="FWQ5079" s="910" t="s">
        <v>75</v>
      </c>
      <c r="FWR5079" s="911"/>
      <c r="FWS5079" s="911"/>
      <c r="FWT5079" s="911"/>
      <c r="FWU5079" s="911"/>
      <c r="FWV5079" s="911"/>
      <c r="FWW5079" s="911"/>
      <c r="FWX5079" s="911"/>
      <c r="FWY5079" s="911"/>
      <c r="FWZ5079" s="911"/>
      <c r="FXA5079" s="32"/>
      <c r="FXB5079" s="911" t="s">
        <v>74</v>
      </c>
      <c r="FXC5079" s="911"/>
      <c r="FXD5079" s="911"/>
      <c r="FXE5079" s="911"/>
      <c r="FXF5079" s="911"/>
      <c r="FXG5079" s="911"/>
      <c r="FXH5079" s="911"/>
      <c r="FXI5079" s="911"/>
      <c r="FXJ5079" s="911"/>
      <c r="FXK5079" s="912"/>
      <c r="FXM5079" s="913" t="s">
        <v>1</v>
      </c>
      <c r="FXN5079" s="31"/>
      <c r="FXO5079" s="909" t="s">
        <v>0</v>
      </c>
      <c r="FXP5079" s="909"/>
      <c r="FXQ5079" s="909"/>
      <c r="FXR5079" s="909"/>
      <c r="FXS5079" s="909"/>
      <c r="FXT5079" s="909"/>
      <c r="FXU5079" s="907" t="s">
        <v>79</v>
      </c>
      <c r="FXV5079" s="909" t="s">
        <v>68</v>
      </c>
      <c r="FXW5079" s="910" t="s">
        <v>75</v>
      </c>
      <c r="FXX5079" s="911"/>
      <c r="FXY5079" s="911"/>
      <c r="FXZ5079" s="911"/>
      <c r="FYA5079" s="911"/>
      <c r="FYB5079" s="911"/>
      <c r="FYC5079" s="911"/>
      <c r="FYD5079" s="911"/>
      <c r="FYE5079" s="911"/>
      <c r="FYF5079" s="911"/>
      <c r="FYG5079" s="32"/>
      <c r="FYH5079" s="911" t="s">
        <v>74</v>
      </c>
      <c r="FYI5079" s="911"/>
      <c r="FYJ5079" s="911"/>
      <c r="FYK5079" s="911"/>
      <c r="FYL5079" s="911"/>
      <c r="FYM5079" s="911"/>
      <c r="FYN5079" s="911"/>
      <c r="FYO5079" s="911"/>
      <c r="FYP5079" s="911"/>
      <c r="FYQ5079" s="912"/>
      <c r="FYS5079" s="913" t="s">
        <v>1</v>
      </c>
      <c r="FYT5079" s="31"/>
      <c r="FYU5079" s="909" t="s">
        <v>0</v>
      </c>
      <c r="FYV5079" s="909"/>
      <c r="FYW5079" s="909"/>
      <c r="FYX5079" s="909"/>
      <c r="FYY5079" s="909"/>
      <c r="FYZ5079" s="909"/>
      <c r="FZA5079" s="907" t="s">
        <v>79</v>
      </c>
      <c r="FZB5079" s="909" t="s">
        <v>68</v>
      </c>
      <c r="FZC5079" s="910" t="s">
        <v>75</v>
      </c>
      <c r="FZD5079" s="911"/>
      <c r="FZE5079" s="911"/>
      <c r="FZF5079" s="911"/>
      <c r="FZG5079" s="911"/>
      <c r="FZH5079" s="911"/>
      <c r="FZI5079" s="911"/>
      <c r="FZJ5079" s="911"/>
      <c r="FZK5079" s="911"/>
      <c r="FZL5079" s="911"/>
      <c r="FZM5079" s="32"/>
      <c r="FZN5079" s="911" t="s">
        <v>74</v>
      </c>
      <c r="FZO5079" s="911"/>
      <c r="FZP5079" s="911"/>
      <c r="FZQ5079" s="911"/>
      <c r="FZR5079" s="911"/>
      <c r="FZS5079" s="911"/>
      <c r="FZT5079" s="911"/>
      <c r="FZU5079" s="911"/>
      <c r="FZV5079" s="911"/>
      <c r="FZW5079" s="912"/>
      <c r="FZY5079" s="913" t="s">
        <v>1</v>
      </c>
      <c r="FZZ5079" s="31"/>
      <c r="GAA5079" s="909" t="s">
        <v>0</v>
      </c>
      <c r="GAB5079" s="909"/>
      <c r="GAC5079" s="909"/>
      <c r="GAD5079" s="909"/>
      <c r="GAE5079" s="909"/>
      <c r="GAF5079" s="909"/>
      <c r="GAG5079" s="907" t="s">
        <v>79</v>
      </c>
      <c r="GAH5079" s="909" t="s">
        <v>68</v>
      </c>
      <c r="GAI5079" s="910" t="s">
        <v>75</v>
      </c>
      <c r="GAJ5079" s="911"/>
      <c r="GAK5079" s="911"/>
      <c r="GAL5079" s="911"/>
      <c r="GAM5079" s="911"/>
      <c r="GAN5079" s="911"/>
      <c r="GAO5079" s="911"/>
      <c r="GAP5079" s="911"/>
      <c r="GAQ5079" s="911"/>
      <c r="GAR5079" s="911"/>
      <c r="GAS5079" s="32"/>
      <c r="GAT5079" s="911" t="s">
        <v>74</v>
      </c>
      <c r="GAU5079" s="911"/>
      <c r="GAV5079" s="911"/>
      <c r="GAW5079" s="911"/>
      <c r="GAX5079" s="911"/>
      <c r="GAY5079" s="911"/>
      <c r="GAZ5079" s="911"/>
      <c r="GBA5079" s="911"/>
      <c r="GBB5079" s="911"/>
      <c r="GBC5079" s="912"/>
      <c r="GBE5079" s="913" t="s">
        <v>1</v>
      </c>
      <c r="GBF5079" s="31"/>
      <c r="GBG5079" s="909" t="s">
        <v>0</v>
      </c>
      <c r="GBH5079" s="909"/>
      <c r="GBI5079" s="909"/>
      <c r="GBJ5079" s="909"/>
      <c r="GBK5079" s="909"/>
      <c r="GBL5079" s="909"/>
      <c r="GBM5079" s="907" t="s">
        <v>79</v>
      </c>
      <c r="GBN5079" s="909" t="s">
        <v>68</v>
      </c>
      <c r="GBO5079" s="910" t="s">
        <v>75</v>
      </c>
      <c r="GBP5079" s="911"/>
      <c r="GBQ5079" s="911"/>
      <c r="GBR5079" s="911"/>
      <c r="GBS5079" s="911"/>
      <c r="GBT5079" s="911"/>
      <c r="GBU5079" s="911"/>
      <c r="GBV5079" s="911"/>
      <c r="GBW5079" s="911"/>
      <c r="GBX5079" s="911"/>
      <c r="GBY5079" s="32"/>
      <c r="GBZ5079" s="911" t="s">
        <v>74</v>
      </c>
      <c r="GCA5079" s="911"/>
      <c r="GCB5079" s="911"/>
      <c r="GCC5079" s="911"/>
      <c r="GCD5079" s="911"/>
      <c r="GCE5079" s="911"/>
      <c r="GCF5079" s="911"/>
      <c r="GCG5079" s="911"/>
      <c r="GCH5079" s="911"/>
      <c r="GCI5079" s="912"/>
      <c r="GCK5079" s="913" t="s">
        <v>1</v>
      </c>
      <c r="GCL5079" s="31"/>
      <c r="GCM5079" s="909" t="s">
        <v>0</v>
      </c>
      <c r="GCN5079" s="909"/>
      <c r="GCO5079" s="909"/>
      <c r="GCP5079" s="909"/>
      <c r="GCQ5079" s="909"/>
      <c r="GCR5079" s="909"/>
      <c r="GCS5079" s="907" t="s">
        <v>79</v>
      </c>
      <c r="GCT5079" s="909" t="s">
        <v>68</v>
      </c>
      <c r="GCU5079" s="910" t="s">
        <v>75</v>
      </c>
      <c r="GCV5079" s="911"/>
      <c r="GCW5079" s="911"/>
      <c r="GCX5079" s="911"/>
      <c r="GCY5079" s="911"/>
      <c r="GCZ5079" s="911"/>
      <c r="GDA5079" s="911"/>
      <c r="GDB5079" s="911"/>
      <c r="GDC5079" s="911"/>
      <c r="GDD5079" s="911"/>
      <c r="GDE5079" s="32"/>
      <c r="GDF5079" s="911" t="s">
        <v>74</v>
      </c>
      <c r="GDG5079" s="911"/>
      <c r="GDH5079" s="911"/>
      <c r="GDI5079" s="911"/>
      <c r="GDJ5079" s="911"/>
      <c r="GDK5079" s="911"/>
      <c r="GDL5079" s="911"/>
      <c r="GDM5079" s="911"/>
      <c r="GDN5079" s="911"/>
      <c r="GDO5079" s="912"/>
      <c r="GDQ5079" s="913" t="s">
        <v>1</v>
      </c>
      <c r="GDR5079" s="31"/>
      <c r="GDS5079" s="909" t="s">
        <v>0</v>
      </c>
      <c r="GDT5079" s="909"/>
      <c r="GDU5079" s="909"/>
      <c r="GDV5079" s="909"/>
      <c r="GDW5079" s="909"/>
      <c r="GDX5079" s="909"/>
      <c r="GDY5079" s="907" t="s">
        <v>79</v>
      </c>
      <c r="GDZ5079" s="909" t="s">
        <v>68</v>
      </c>
      <c r="GEA5079" s="910" t="s">
        <v>75</v>
      </c>
      <c r="GEB5079" s="911"/>
      <c r="GEC5079" s="911"/>
      <c r="GED5079" s="911"/>
      <c r="GEE5079" s="911"/>
      <c r="GEF5079" s="911"/>
      <c r="GEG5079" s="911"/>
      <c r="GEH5079" s="911"/>
      <c r="GEI5079" s="911"/>
      <c r="GEJ5079" s="911"/>
      <c r="GEK5079" s="32"/>
      <c r="GEL5079" s="911" t="s">
        <v>74</v>
      </c>
      <c r="GEM5079" s="911"/>
      <c r="GEN5079" s="911"/>
      <c r="GEO5079" s="911"/>
      <c r="GEP5079" s="911"/>
      <c r="GEQ5079" s="911"/>
      <c r="GER5079" s="911"/>
      <c r="GES5079" s="911"/>
      <c r="GET5079" s="911"/>
      <c r="GEU5079" s="912"/>
      <c r="GEW5079" s="913" t="s">
        <v>1</v>
      </c>
      <c r="GEX5079" s="31"/>
      <c r="GEY5079" s="909" t="s">
        <v>0</v>
      </c>
      <c r="GEZ5079" s="909"/>
      <c r="GFA5079" s="909"/>
      <c r="GFB5079" s="909"/>
      <c r="GFC5079" s="909"/>
      <c r="GFD5079" s="909"/>
      <c r="GFE5079" s="907" t="s">
        <v>79</v>
      </c>
      <c r="GFF5079" s="909" t="s">
        <v>68</v>
      </c>
      <c r="GFG5079" s="910" t="s">
        <v>75</v>
      </c>
      <c r="GFH5079" s="911"/>
      <c r="GFI5079" s="911"/>
      <c r="GFJ5079" s="911"/>
      <c r="GFK5079" s="911"/>
      <c r="GFL5079" s="911"/>
      <c r="GFM5079" s="911"/>
      <c r="GFN5079" s="911"/>
      <c r="GFO5079" s="911"/>
      <c r="GFP5079" s="911"/>
      <c r="GFQ5079" s="32"/>
      <c r="GFR5079" s="911" t="s">
        <v>74</v>
      </c>
      <c r="GFS5079" s="911"/>
      <c r="GFT5079" s="911"/>
      <c r="GFU5079" s="911"/>
      <c r="GFV5079" s="911"/>
      <c r="GFW5079" s="911"/>
      <c r="GFX5079" s="911"/>
      <c r="GFY5079" s="911"/>
      <c r="GFZ5079" s="911"/>
      <c r="GGA5079" s="912"/>
      <c r="GGC5079" s="913" t="s">
        <v>1</v>
      </c>
      <c r="GGD5079" s="31"/>
      <c r="GGE5079" s="909" t="s">
        <v>0</v>
      </c>
      <c r="GGF5079" s="909"/>
      <c r="GGG5079" s="909"/>
      <c r="GGH5079" s="909"/>
      <c r="GGI5079" s="909"/>
      <c r="GGJ5079" s="909"/>
      <c r="GGK5079" s="907" t="s">
        <v>79</v>
      </c>
      <c r="GGL5079" s="909" t="s">
        <v>68</v>
      </c>
      <c r="GGM5079" s="910" t="s">
        <v>75</v>
      </c>
      <c r="GGN5079" s="911"/>
      <c r="GGO5079" s="911"/>
      <c r="GGP5079" s="911"/>
      <c r="GGQ5079" s="911"/>
      <c r="GGR5079" s="911"/>
      <c r="GGS5079" s="911"/>
      <c r="GGT5079" s="911"/>
      <c r="GGU5079" s="911"/>
      <c r="GGV5079" s="911"/>
      <c r="GGW5079" s="32"/>
      <c r="GGX5079" s="911" t="s">
        <v>74</v>
      </c>
      <c r="GGY5079" s="911"/>
      <c r="GGZ5079" s="911"/>
      <c r="GHA5079" s="911"/>
      <c r="GHB5079" s="911"/>
      <c r="GHC5079" s="911"/>
      <c r="GHD5079" s="911"/>
      <c r="GHE5079" s="911"/>
      <c r="GHF5079" s="911"/>
      <c r="GHG5079" s="912"/>
      <c r="GHI5079" s="913" t="s">
        <v>1</v>
      </c>
      <c r="GHJ5079" s="31"/>
      <c r="GHK5079" s="909" t="s">
        <v>0</v>
      </c>
      <c r="GHL5079" s="909"/>
      <c r="GHM5079" s="909"/>
      <c r="GHN5079" s="909"/>
      <c r="GHO5079" s="909"/>
      <c r="GHP5079" s="909"/>
      <c r="GHQ5079" s="907" t="s">
        <v>79</v>
      </c>
      <c r="GHR5079" s="909" t="s">
        <v>68</v>
      </c>
      <c r="GHS5079" s="910" t="s">
        <v>75</v>
      </c>
      <c r="GHT5079" s="911"/>
      <c r="GHU5079" s="911"/>
      <c r="GHV5079" s="911"/>
      <c r="GHW5079" s="911"/>
      <c r="GHX5079" s="911"/>
      <c r="GHY5079" s="911"/>
      <c r="GHZ5079" s="911"/>
      <c r="GIA5079" s="911"/>
      <c r="GIB5079" s="911"/>
      <c r="GIC5079" s="32"/>
      <c r="GID5079" s="911" t="s">
        <v>74</v>
      </c>
      <c r="GIE5079" s="911"/>
      <c r="GIF5079" s="911"/>
      <c r="GIG5079" s="911"/>
      <c r="GIH5079" s="911"/>
      <c r="GII5079" s="911"/>
      <c r="GIJ5079" s="911"/>
      <c r="GIK5079" s="911"/>
      <c r="GIL5079" s="911"/>
      <c r="GIM5079" s="912"/>
      <c r="GIO5079" s="913" t="s">
        <v>1</v>
      </c>
      <c r="GIP5079" s="31"/>
      <c r="GIQ5079" s="909" t="s">
        <v>0</v>
      </c>
      <c r="GIR5079" s="909"/>
      <c r="GIS5079" s="909"/>
      <c r="GIT5079" s="909"/>
      <c r="GIU5079" s="909"/>
      <c r="GIV5079" s="909"/>
      <c r="GIW5079" s="907" t="s">
        <v>79</v>
      </c>
      <c r="GIX5079" s="909" t="s">
        <v>68</v>
      </c>
      <c r="GIY5079" s="910" t="s">
        <v>75</v>
      </c>
      <c r="GIZ5079" s="911"/>
      <c r="GJA5079" s="911"/>
      <c r="GJB5079" s="911"/>
      <c r="GJC5079" s="911"/>
      <c r="GJD5079" s="911"/>
      <c r="GJE5079" s="911"/>
      <c r="GJF5079" s="911"/>
      <c r="GJG5079" s="911"/>
      <c r="GJH5079" s="911"/>
      <c r="GJI5079" s="32"/>
      <c r="GJJ5079" s="911" t="s">
        <v>74</v>
      </c>
      <c r="GJK5079" s="911"/>
      <c r="GJL5079" s="911"/>
      <c r="GJM5079" s="911"/>
      <c r="GJN5079" s="911"/>
      <c r="GJO5079" s="911"/>
      <c r="GJP5079" s="911"/>
      <c r="GJQ5079" s="911"/>
      <c r="GJR5079" s="911"/>
      <c r="GJS5079" s="912"/>
      <c r="GJU5079" s="913" t="s">
        <v>1</v>
      </c>
      <c r="GJV5079" s="31"/>
      <c r="GJW5079" s="909" t="s">
        <v>0</v>
      </c>
      <c r="GJX5079" s="909"/>
      <c r="GJY5079" s="909"/>
      <c r="GJZ5079" s="909"/>
      <c r="GKA5079" s="909"/>
      <c r="GKB5079" s="909"/>
      <c r="GKC5079" s="907" t="s">
        <v>79</v>
      </c>
      <c r="GKD5079" s="909" t="s">
        <v>68</v>
      </c>
      <c r="GKE5079" s="910" t="s">
        <v>75</v>
      </c>
      <c r="GKF5079" s="911"/>
      <c r="GKG5079" s="911"/>
      <c r="GKH5079" s="911"/>
      <c r="GKI5079" s="911"/>
      <c r="GKJ5079" s="911"/>
      <c r="GKK5079" s="911"/>
      <c r="GKL5079" s="911"/>
      <c r="GKM5079" s="911"/>
      <c r="GKN5079" s="911"/>
      <c r="GKO5079" s="32"/>
      <c r="GKP5079" s="911" t="s">
        <v>74</v>
      </c>
      <c r="GKQ5079" s="911"/>
      <c r="GKR5079" s="911"/>
      <c r="GKS5079" s="911"/>
      <c r="GKT5079" s="911"/>
      <c r="GKU5079" s="911"/>
      <c r="GKV5079" s="911"/>
      <c r="GKW5079" s="911"/>
      <c r="GKX5079" s="911"/>
      <c r="GKY5079" s="912"/>
      <c r="GLA5079" s="913" t="s">
        <v>1</v>
      </c>
      <c r="GLB5079" s="31"/>
      <c r="GLC5079" s="909" t="s">
        <v>0</v>
      </c>
      <c r="GLD5079" s="909"/>
      <c r="GLE5079" s="909"/>
      <c r="GLF5079" s="909"/>
      <c r="GLG5079" s="909"/>
      <c r="GLH5079" s="909"/>
      <c r="GLI5079" s="907" t="s">
        <v>79</v>
      </c>
      <c r="GLJ5079" s="909" t="s">
        <v>68</v>
      </c>
      <c r="GLK5079" s="910" t="s">
        <v>75</v>
      </c>
      <c r="GLL5079" s="911"/>
      <c r="GLM5079" s="911"/>
      <c r="GLN5079" s="911"/>
      <c r="GLO5079" s="911"/>
      <c r="GLP5079" s="911"/>
      <c r="GLQ5079" s="911"/>
      <c r="GLR5079" s="911"/>
      <c r="GLS5079" s="911"/>
      <c r="GLT5079" s="911"/>
      <c r="GLU5079" s="32"/>
      <c r="GLV5079" s="911" t="s">
        <v>74</v>
      </c>
      <c r="GLW5079" s="911"/>
      <c r="GLX5079" s="911"/>
      <c r="GLY5079" s="911"/>
      <c r="GLZ5079" s="911"/>
      <c r="GMA5079" s="911"/>
      <c r="GMB5079" s="911"/>
      <c r="GMC5079" s="911"/>
      <c r="GMD5079" s="911"/>
      <c r="GME5079" s="912"/>
      <c r="GMG5079" s="913" t="s">
        <v>1</v>
      </c>
      <c r="GMH5079" s="31"/>
      <c r="GMI5079" s="909" t="s">
        <v>0</v>
      </c>
      <c r="GMJ5079" s="909"/>
      <c r="GMK5079" s="909"/>
      <c r="GML5079" s="909"/>
      <c r="GMM5079" s="909"/>
      <c r="GMN5079" s="909"/>
      <c r="GMO5079" s="907" t="s">
        <v>79</v>
      </c>
      <c r="GMP5079" s="909" t="s">
        <v>68</v>
      </c>
      <c r="GMQ5079" s="910" t="s">
        <v>75</v>
      </c>
      <c r="GMR5079" s="911"/>
      <c r="GMS5079" s="911"/>
      <c r="GMT5079" s="911"/>
      <c r="GMU5079" s="911"/>
      <c r="GMV5079" s="911"/>
      <c r="GMW5079" s="911"/>
      <c r="GMX5079" s="911"/>
      <c r="GMY5079" s="911"/>
      <c r="GMZ5079" s="911"/>
      <c r="GNA5079" s="32"/>
      <c r="GNB5079" s="911" t="s">
        <v>74</v>
      </c>
      <c r="GNC5079" s="911"/>
      <c r="GND5079" s="911"/>
      <c r="GNE5079" s="911"/>
      <c r="GNF5079" s="911"/>
      <c r="GNG5079" s="911"/>
      <c r="GNH5079" s="911"/>
      <c r="GNI5079" s="911"/>
      <c r="GNJ5079" s="911"/>
      <c r="GNK5079" s="912"/>
      <c r="GNM5079" s="913" t="s">
        <v>1</v>
      </c>
      <c r="GNN5079" s="31"/>
      <c r="GNO5079" s="909" t="s">
        <v>0</v>
      </c>
      <c r="GNP5079" s="909"/>
      <c r="GNQ5079" s="909"/>
      <c r="GNR5079" s="909"/>
      <c r="GNS5079" s="909"/>
      <c r="GNT5079" s="909"/>
      <c r="GNU5079" s="907" t="s">
        <v>79</v>
      </c>
      <c r="GNV5079" s="909" t="s">
        <v>68</v>
      </c>
      <c r="GNW5079" s="910" t="s">
        <v>75</v>
      </c>
      <c r="GNX5079" s="911"/>
      <c r="GNY5079" s="911"/>
      <c r="GNZ5079" s="911"/>
      <c r="GOA5079" s="911"/>
      <c r="GOB5079" s="911"/>
      <c r="GOC5079" s="911"/>
      <c r="GOD5079" s="911"/>
      <c r="GOE5079" s="911"/>
      <c r="GOF5079" s="911"/>
      <c r="GOG5079" s="32"/>
      <c r="GOH5079" s="911" t="s">
        <v>74</v>
      </c>
      <c r="GOI5079" s="911"/>
      <c r="GOJ5079" s="911"/>
      <c r="GOK5079" s="911"/>
      <c r="GOL5079" s="911"/>
      <c r="GOM5079" s="911"/>
      <c r="GON5079" s="911"/>
      <c r="GOO5079" s="911"/>
      <c r="GOP5079" s="911"/>
      <c r="GOQ5079" s="912"/>
      <c r="GOS5079" s="913" t="s">
        <v>1</v>
      </c>
      <c r="GOT5079" s="31"/>
      <c r="GOU5079" s="909" t="s">
        <v>0</v>
      </c>
      <c r="GOV5079" s="909"/>
      <c r="GOW5079" s="909"/>
      <c r="GOX5079" s="909"/>
      <c r="GOY5079" s="909"/>
      <c r="GOZ5079" s="909"/>
      <c r="GPA5079" s="907" t="s">
        <v>79</v>
      </c>
      <c r="GPB5079" s="909" t="s">
        <v>68</v>
      </c>
      <c r="GPC5079" s="910" t="s">
        <v>75</v>
      </c>
      <c r="GPD5079" s="911"/>
      <c r="GPE5079" s="911"/>
      <c r="GPF5079" s="911"/>
      <c r="GPG5079" s="911"/>
      <c r="GPH5079" s="911"/>
      <c r="GPI5079" s="911"/>
      <c r="GPJ5079" s="911"/>
      <c r="GPK5079" s="911"/>
      <c r="GPL5079" s="911"/>
      <c r="GPM5079" s="32"/>
      <c r="GPN5079" s="911" t="s">
        <v>74</v>
      </c>
      <c r="GPO5079" s="911"/>
      <c r="GPP5079" s="911"/>
      <c r="GPQ5079" s="911"/>
      <c r="GPR5079" s="911"/>
      <c r="GPS5079" s="911"/>
      <c r="GPT5079" s="911"/>
      <c r="GPU5079" s="911"/>
      <c r="GPV5079" s="911"/>
      <c r="GPW5079" s="912"/>
      <c r="GPY5079" s="913" t="s">
        <v>1</v>
      </c>
      <c r="GPZ5079" s="31"/>
      <c r="GQA5079" s="909" t="s">
        <v>0</v>
      </c>
      <c r="GQB5079" s="909"/>
      <c r="GQC5079" s="909"/>
      <c r="GQD5079" s="909"/>
      <c r="GQE5079" s="909"/>
      <c r="GQF5079" s="909"/>
      <c r="GQG5079" s="907" t="s">
        <v>79</v>
      </c>
      <c r="GQH5079" s="909" t="s">
        <v>68</v>
      </c>
      <c r="GQI5079" s="910" t="s">
        <v>75</v>
      </c>
      <c r="GQJ5079" s="911"/>
      <c r="GQK5079" s="911"/>
      <c r="GQL5079" s="911"/>
      <c r="GQM5079" s="911"/>
      <c r="GQN5079" s="911"/>
      <c r="GQO5079" s="911"/>
      <c r="GQP5079" s="911"/>
      <c r="GQQ5079" s="911"/>
      <c r="GQR5079" s="911"/>
      <c r="GQS5079" s="32"/>
      <c r="GQT5079" s="911" t="s">
        <v>74</v>
      </c>
      <c r="GQU5079" s="911"/>
      <c r="GQV5079" s="911"/>
      <c r="GQW5079" s="911"/>
      <c r="GQX5079" s="911"/>
      <c r="GQY5079" s="911"/>
      <c r="GQZ5079" s="911"/>
      <c r="GRA5079" s="911"/>
      <c r="GRB5079" s="911"/>
      <c r="GRC5079" s="912"/>
      <c r="GRE5079" s="913" t="s">
        <v>1</v>
      </c>
      <c r="GRF5079" s="31"/>
      <c r="GRG5079" s="909" t="s">
        <v>0</v>
      </c>
      <c r="GRH5079" s="909"/>
      <c r="GRI5079" s="909"/>
      <c r="GRJ5079" s="909"/>
      <c r="GRK5079" s="909"/>
      <c r="GRL5079" s="909"/>
      <c r="GRM5079" s="907" t="s">
        <v>79</v>
      </c>
      <c r="GRN5079" s="909" t="s">
        <v>68</v>
      </c>
      <c r="GRO5079" s="910" t="s">
        <v>75</v>
      </c>
      <c r="GRP5079" s="911"/>
      <c r="GRQ5079" s="911"/>
      <c r="GRR5079" s="911"/>
      <c r="GRS5079" s="911"/>
      <c r="GRT5079" s="911"/>
      <c r="GRU5079" s="911"/>
      <c r="GRV5079" s="911"/>
      <c r="GRW5079" s="911"/>
      <c r="GRX5079" s="911"/>
      <c r="GRY5079" s="32"/>
      <c r="GRZ5079" s="911" t="s">
        <v>74</v>
      </c>
      <c r="GSA5079" s="911"/>
      <c r="GSB5079" s="911"/>
      <c r="GSC5079" s="911"/>
      <c r="GSD5079" s="911"/>
      <c r="GSE5079" s="911"/>
      <c r="GSF5079" s="911"/>
      <c r="GSG5079" s="911"/>
      <c r="GSH5079" s="911"/>
      <c r="GSI5079" s="912"/>
      <c r="GSK5079" s="913" t="s">
        <v>1</v>
      </c>
      <c r="GSL5079" s="31"/>
      <c r="GSM5079" s="909" t="s">
        <v>0</v>
      </c>
      <c r="GSN5079" s="909"/>
      <c r="GSO5079" s="909"/>
      <c r="GSP5079" s="909"/>
      <c r="GSQ5079" s="909"/>
      <c r="GSR5079" s="909"/>
      <c r="GSS5079" s="907" t="s">
        <v>79</v>
      </c>
      <c r="GST5079" s="909" t="s">
        <v>68</v>
      </c>
      <c r="GSU5079" s="910" t="s">
        <v>75</v>
      </c>
      <c r="GSV5079" s="911"/>
      <c r="GSW5079" s="911"/>
      <c r="GSX5079" s="911"/>
      <c r="GSY5079" s="911"/>
      <c r="GSZ5079" s="911"/>
      <c r="GTA5079" s="911"/>
      <c r="GTB5079" s="911"/>
      <c r="GTC5079" s="911"/>
      <c r="GTD5079" s="911"/>
      <c r="GTE5079" s="32"/>
      <c r="GTF5079" s="911" t="s">
        <v>74</v>
      </c>
      <c r="GTG5079" s="911"/>
      <c r="GTH5079" s="911"/>
      <c r="GTI5079" s="911"/>
      <c r="GTJ5079" s="911"/>
      <c r="GTK5079" s="911"/>
      <c r="GTL5079" s="911"/>
      <c r="GTM5079" s="911"/>
      <c r="GTN5079" s="911"/>
      <c r="GTO5079" s="912"/>
      <c r="GTQ5079" s="913" t="s">
        <v>1</v>
      </c>
      <c r="GTR5079" s="31"/>
      <c r="GTS5079" s="909" t="s">
        <v>0</v>
      </c>
      <c r="GTT5079" s="909"/>
      <c r="GTU5079" s="909"/>
      <c r="GTV5079" s="909"/>
      <c r="GTW5079" s="909"/>
      <c r="GTX5079" s="909"/>
      <c r="GTY5079" s="907" t="s">
        <v>79</v>
      </c>
      <c r="GTZ5079" s="909" t="s">
        <v>68</v>
      </c>
      <c r="GUA5079" s="910" t="s">
        <v>75</v>
      </c>
      <c r="GUB5079" s="911"/>
      <c r="GUC5079" s="911"/>
      <c r="GUD5079" s="911"/>
      <c r="GUE5079" s="911"/>
      <c r="GUF5079" s="911"/>
      <c r="GUG5079" s="911"/>
      <c r="GUH5079" s="911"/>
      <c r="GUI5079" s="911"/>
      <c r="GUJ5079" s="911"/>
      <c r="GUK5079" s="32"/>
      <c r="GUL5079" s="911" t="s">
        <v>74</v>
      </c>
      <c r="GUM5079" s="911"/>
      <c r="GUN5079" s="911"/>
      <c r="GUO5079" s="911"/>
      <c r="GUP5079" s="911"/>
      <c r="GUQ5079" s="911"/>
      <c r="GUR5079" s="911"/>
      <c r="GUS5079" s="911"/>
      <c r="GUT5079" s="911"/>
      <c r="GUU5079" s="912"/>
      <c r="GUW5079" s="913" t="s">
        <v>1</v>
      </c>
      <c r="GUX5079" s="31"/>
      <c r="GUY5079" s="909" t="s">
        <v>0</v>
      </c>
      <c r="GUZ5079" s="909"/>
      <c r="GVA5079" s="909"/>
      <c r="GVB5079" s="909"/>
      <c r="GVC5079" s="909"/>
      <c r="GVD5079" s="909"/>
      <c r="GVE5079" s="907" t="s">
        <v>79</v>
      </c>
      <c r="GVF5079" s="909" t="s">
        <v>68</v>
      </c>
      <c r="GVG5079" s="910" t="s">
        <v>75</v>
      </c>
      <c r="GVH5079" s="911"/>
      <c r="GVI5079" s="911"/>
      <c r="GVJ5079" s="911"/>
      <c r="GVK5079" s="911"/>
      <c r="GVL5079" s="911"/>
      <c r="GVM5079" s="911"/>
      <c r="GVN5079" s="911"/>
      <c r="GVO5079" s="911"/>
      <c r="GVP5079" s="911"/>
      <c r="GVQ5079" s="32"/>
      <c r="GVR5079" s="911" t="s">
        <v>74</v>
      </c>
      <c r="GVS5079" s="911"/>
      <c r="GVT5079" s="911"/>
      <c r="GVU5079" s="911"/>
      <c r="GVV5079" s="911"/>
      <c r="GVW5079" s="911"/>
      <c r="GVX5079" s="911"/>
      <c r="GVY5079" s="911"/>
      <c r="GVZ5079" s="911"/>
      <c r="GWA5079" s="912"/>
      <c r="GWC5079" s="913" t="s">
        <v>1</v>
      </c>
      <c r="GWD5079" s="31"/>
      <c r="GWE5079" s="909" t="s">
        <v>0</v>
      </c>
      <c r="GWF5079" s="909"/>
      <c r="GWG5079" s="909"/>
      <c r="GWH5079" s="909"/>
      <c r="GWI5079" s="909"/>
      <c r="GWJ5079" s="909"/>
      <c r="GWK5079" s="907" t="s">
        <v>79</v>
      </c>
      <c r="GWL5079" s="909" t="s">
        <v>68</v>
      </c>
      <c r="GWM5079" s="910" t="s">
        <v>75</v>
      </c>
      <c r="GWN5079" s="911"/>
      <c r="GWO5079" s="911"/>
      <c r="GWP5079" s="911"/>
      <c r="GWQ5079" s="911"/>
      <c r="GWR5079" s="911"/>
      <c r="GWS5079" s="911"/>
      <c r="GWT5079" s="911"/>
      <c r="GWU5079" s="911"/>
      <c r="GWV5079" s="911"/>
      <c r="GWW5079" s="32"/>
      <c r="GWX5079" s="911" t="s">
        <v>74</v>
      </c>
      <c r="GWY5079" s="911"/>
      <c r="GWZ5079" s="911"/>
      <c r="GXA5079" s="911"/>
      <c r="GXB5079" s="911"/>
      <c r="GXC5079" s="911"/>
      <c r="GXD5079" s="911"/>
      <c r="GXE5079" s="911"/>
      <c r="GXF5079" s="911"/>
      <c r="GXG5079" s="912"/>
      <c r="GXI5079" s="913" t="s">
        <v>1</v>
      </c>
      <c r="GXJ5079" s="31"/>
      <c r="GXK5079" s="909" t="s">
        <v>0</v>
      </c>
      <c r="GXL5079" s="909"/>
      <c r="GXM5079" s="909"/>
      <c r="GXN5079" s="909"/>
      <c r="GXO5079" s="909"/>
      <c r="GXP5079" s="909"/>
      <c r="GXQ5079" s="907" t="s">
        <v>79</v>
      </c>
      <c r="GXR5079" s="909" t="s">
        <v>68</v>
      </c>
      <c r="GXS5079" s="910" t="s">
        <v>75</v>
      </c>
      <c r="GXT5079" s="911"/>
      <c r="GXU5079" s="911"/>
      <c r="GXV5079" s="911"/>
      <c r="GXW5079" s="911"/>
      <c r="GXX5079" s="911"/>
      <c r="GXY5079" s="911"/>
      <c r="GXZ5079" s="911"/>
      <c r="GYA5079" s="911"/>
      <c r="GYB5079" s="911"/>
      <c r="GYC5079" s="32"/>
      <c r="GYD5079" s="911" t="s">
        <v>74</v>
      </c>
      <c r="GYE5079" s="911"/>
      <c r="GYF5079" s="911"/>
      <c r="GYG5079" s="911"/>
      <c r="GYH5079" s="911"/>
      <c r="GYI5079" s="911"/>
      <c r="GYJ5079" s="911"/>
      <c r="GYK5079" s="911"/>
      <c r="GYL5079" s="911"/>
      <c r="GYM5079" s="912"/>
      <c r="GYO5079" s="913" t="s">
        <v>1</v>
      </c>
      <c r="GYP5079" s="31"/>
      <c r="GYQ5079" s="909" t="s">
        <v>0</v>
      </c>
      <c r="GYR5079" s="909"/>
      <c r="GYS5079" s="909"/>
      <c r="GYT5079" s="909"/>
      <c r="GYU5079" s="909"/>
      <c r="GYV5079" s="909"/>
      <c r="GYW5079" s="907" t="s">
        <v>79</v>
      </c>
      <c r="GYX5079" s="909" t="s">
        <v>68</v>
      </c>
      <c r="GYY5079" s="910" t="s">
        <v>75</v>
      </c>
      <c r="GYZ5079" s="911"/>
      <c r="GZA5079" s="911"/>
      <c r="GZB5079" s="911"/>
      <c r="GZC5079" s="911"/>
      <c r="GZD5079" s="911"/>
      <c r="GZE5079" s="911"/>
      <c r="GZF5079" s="911"/>
      <c r="GZG5079" s="911"/>
      <c r="GZH5079" s="911"/>
      <c r="GZI5079" s="32"/>
      <c r="GZJ5079" s="911" t="s">
        <v>74</v>
      </c>
      <c r="GZK5079" s="911"/>
      <c r="GZL5079" s="911"/>
      <c r="GZM5079" s="911"/>
      <c r="GZN5079" s="911"/>
      <c r="GZO5079" s="911"/>
      <c r="GZP5079" s="911"/>
      <c r="GZQ5079" s="911"/>
      <c r="GZR5079" s="911"/>
      <c r="GZS5079" s="912"/>
      <c r="GZU5079" s="913" t="s">
        <v>1</v>
      </c>
      <c r="GZV5079" s="31"/>
      <c r="GZW5079" s="909" t="s">
        <v>0</v>
      </c>
      <c r="GZX5079" s="909"/>
      <c r="GZY5079" s="909"/>
      <c r="GZZ5079" s="909"/>
      <c r="HAA5079" s="909"/>
      <c r="HAB5079" s="909"/>
      <c r="HAC5079" s="907" t="s">
        <v>79</v>
      </c>
      <c r="HAD5079" s="909" t="s">
        <v>68</v>
      </c>
      <c r="HAE5079" s="910" t="s">
        <v>75</v>
      </c>
      <c r="HAF5079" s="911"/>
      <c r="HAG5079" s="911"/>
      <c r="HAH5079" s="911"/>
      <c r="HAI5079" s="911"/>
      <c r="HAJ5079" s="911"/>
      <c r="HAK5079" s="911"/>
      <c r="HAL5079" s="911"/>
      <c r="HAM5079" s="911"/>
      <c r="HAN5079" s="911"/>
      <c r="HAO5079" s="32"/>
      <c r="HAP5079" s="911" t="s">
        <v>74</v>
      </c>
      <c r="HAQ5079" s="911"/>
      <c r="HAR5079" s="911"/>
      <c r="HAS5079" s="911"/>
      <c r="HAT5079" s="911"/>
      <c r="HAU5079" s="911"/>
      <c r="HAV5079" s="911"/>
      <c r="HAW5079" s="911"/>
      <c r="HAX5079" s="911"/>
      <c r="HAY5079" s="912"/>
      <c r="HBA5079" s="913" t="s">
        <v>1</v>
      </c>
      <c r="HBB5079" s="31"/>
      <c r="HBC5079" s="909" t="s">
        <v>0</v>
      </c>
      <c r="HBD5079" s="909"/>
      <c r="HBE5079" s="909"/>
      <c r="HBF5079" s="909"/>
      <c r="HBG5079" s="909"/>
      <c r="HBH5079" s="909"/>
      <c r="HBI5079" s="907" t="s">
        <v>79</v>
      </c>
      <c r="HBJ5079" s="909" t="s">
        <v>68</v>
      </c>
      <c r="HBK5079" s="910" t="s">
        <v>75</v>
      </c>
      <c r="HBL5079" s="911"/>
      <c r="HBM5079" s="911"/>
      <c r="HBN5079" s="911"/>
      <c r="HBO5079" s="911"/>
      <c r="HBP5079" s="911"/>
      <c r="HBQ5079" s="911"/>
      <c r="HBR5079" s="911"/>
      <c r="HBS5079" s="911"/>
      <c r="HBT5079" s="911"/>
      <c r="HBU5079" s="32"/>
      <c r="HBV5079" s="911" t="s">
        <v>74</v>
      </c>
      <c r="HBW5079" s="911"/>
      <c r="HBX5079" s="911"/>
      <c r="HBY5079" s="911"/>
      <c r="HBZ5079" s="911"/>
      <c r="HCA5079" s="911"/>
      <c r="HCB5079" s="911"/>
      <c r="HCC5079" s="911"/>
      <c r="HCD5079" s="911"/>
      <c r="HCE5079" s="912"/>
      <c r="HCG5079" s="913" t="s">
        <v>1</v>
      </c>
      <c r="HCH5079" s="31"/>
      <c r="HCI5079" s="909" t="s">
        <v>0</v>
      </c>
      <c r="HCJ5079" s="909"/>
      <c r="HCK5079" s="909"/>
      <c r="HCL5079" s="909"/>
      <c r="HCM5079" s="909"/>
      <c r="HCN5079" s="909"/>
      <c r="HCO5079" s="907" t="s">
        <v>79</v>
      </c>
      <c r="HCP5079" s="909" t="s">
        <v>68</v>
      </c>
      <c r="HCQ5079" s="910" t="s">
        <v>75</v>
      </c>
      <c r="HCR5079" s="911"/>
      <c r="HCS5079" s="911"/>
      <c r="HCT5079" s="911"/>
      <c r="HCU5079" s="911"/>
      <c r="HCV5079" s="911"/>
      <c r="HCW5079" s="911"/>
      <c r="HCX5079" s="911"/>
      <c r="HCY5079" s="911"/>
      <c r="HCZ5079" s="911"/>
      <c r="HDA5079" s="32"/>
      <c r="HDB5079" s="911" t="s">
        <v>74</v>
      </c>
      <c r="HDC5079" s="911"/>
      <c r="HDD5079" s="911"/>
      <c r="HDE5079" s="911"/>
      <c r="HDF5079" s="911"/>
      <c r="HDG5079" s="911"/>
      <c r="HDH5079" s="911"/>
      <c r="HDI5079" s="911"/>
      <c r="HDJ5079" s="911"/>
      <c r="HDK5079" s="912"/>
      <c r="HDM5079" s="913" t="s">
        <v>1</v>
      </c>
      <c r="HDN5079" s="31"/>
      <c r="HDO5079" s="909" t="s">
        <v>0</v>
      </c>
      <c r="HDP5079" s="909"/>
      <c r="HDQ5079" s="909"/>
      <c r="HDR5079" s="909"/>
      <c r="HDS5079" s="909"/>
      <c r="HDT5079" s="909"/>
      <c r="HDU5079" s="907" t="s">
        <v>79</v>
      </c>
      <c r="HDV5079" s="909" t="s">
        <v>68</v>
      </c>
      <c r="HDW5079" s="910" t="s">
        <v>75</v>
      </c>
      <c r="HDX5079" s="911"/>
      <c r="HDY5079" s="911"/>
      <c r="HDZ5079" s="911"/>
      <c r="HEA5079" s="911"/>
      <c r="HEB5079" s="911"/>
      <c r="HEC5079" s="911"/>
      <c r="HED5079" s="911"/>
      <c r="HEE5079" s="911"/>
      <c r="HEF5079" s="911"/>
      <c r="HEG5079" s="32"/>
      <c r="HEH5079" s="911" t="s">
        <v>74</v>
      </c>
      <c r="HEI5079" s="911"/>
      <c r="HEJ5079" s="911"/>
      <c r="HEK5079" s="911"/>
      <c r="HEL5079" s="911"/>
      <c r="HEM5079" s="911"/>
      <c r="HEN5079" s="911"/>
      <c r="HEO5079" s="911"/>
      <c r="HEP5079" s="911"/>
      <c r="HEQ5079" s="912"/>
      <c r="HES5079" s="913" t="s">
        <v>1</v>
      </c>
      <c r="HET5079" s="31"/>
      <c r="HEU5079" s="909" t="s">
        <v>0</v>
      </c>
      <c r="HEV5079" s="909"/>
      <c r="HEW5079" s="909"/>
      <c r="HEX5079" s="909"/>
      <c r="HEY5079" s="909"/>
      <c r="HEZ5079" s="909"/>
      <c r="HFA5079" s="907" t="s">
        <v>79</v>
      </c>
      <c r="HFB5079" s="909" t="s">
        <v>68</v>
      </c>
      <c r="HFC5079" s="910" t="s">
        <v>75</v>
      </c>
      <c r="HFD5079" s="911"/>
      <c r="HFE5079" s="911"/>
      <c r="HFF5079" s="911"/>
      <c r="HFG5079" s="911"/>
      <c r="HFH5079" s="911"/>
      <c r="HFI5079" s="911"/>
      <c r="HFJ5079" s="911"/>
      <c r="HFK5079" s="911"/>
      <c r="HFL5079" s="911"/>
      <c r="HFM5079" s="32"/>
      <c r="HFN5079" s="911" t="s">
        <v>74</v>
      </c>
      <c r="HFO5079" s="911"/>
      <c r="HFP5079" s="911"/>
      <c r="HFQ5079" s="911"/>
      <c r="HFR5079" s="911"/>
      <c r="HFS5079" s="911"/>
      <c r="HFT5079" s="911"/>
      <c r="HFU5079" s="911"/>
      <c r="HFV5079" s="911"/>
      <c r="HFW5079" s="912"/>
      <c r="HFY5079" s="913" t="s">
        <v>1</v>
      </c>
      <c r="HFZ5079" s="31"/>
      <c r="HGA5079" s="909" t="s">
        <v>0</v>
      </c>
      <c r="HGB5079" s="909"/>
      <c r="HGC5079" s="909"/>
      <c r="HGD5079" s="909"/>
      <c r="HGE5079" s="909"/>
      <c r="HGF5079" s="909"/>
      <c r="HGG5079" s="907" t="s">
        <v>79</v>
      </c>
      <c r="HGH5079" s="909" t="s">
        <v>68</v>
      </c>
      <c r="HGI5079" s="910" t="s">
        <v>75</v>
      </c>
      <c r="HGJ5079" s="911"/>
      <c r="HGK5079" s="911"/>
      <c r="HGL5079" s="911"/>
      <c r="HGM5079" s="911"/>
      <c r="HGN5079" s="911"/>
      <c r="HGO5079" s="911"/>
      <c r="HGP5079" s="911"/>
      <c r="HGQ5079" s="911"/>
      <c r="HGR5079" s="911"/>
      <c r="HGS5079" s="32"/>
      <c r="HGT5079" s="911" t="s">
        <v>74</v>
      </c>
      <c r="HGU5079" s="911"/>
      <c r="HGV5079" s="911"/>
      <c r="HGW5079" s="911"/>
      <c r="HGX5079" s="911"/>
      <c r="HGY5079" s="911"/>
      <c r="HGZ5079" s="911"/>
      <c r="HHA5079" s="911"/>
      <c r="HHB5079" s="911"/>
      <c r="HHC5079" s="912"/>
      <c r="HHE5079" s="913" t="s">
        <v>1</v>
      </c>
      <c r="HHF5079" s="31"/>
      <c r="HHG5079" s="909" t="s">
        <v>0</v>
      </c>
      <c r="HHH5079" s="909"/>
      <c r="HHI5079" s="909"/>
      <c r="HHJ5079" s="909"/>
      <c r="HHK5079" s="909"/>
      <c r="HHL5079" s="909"/>
      <c r="HHM5079" s="907" t="s">
        <v>79</v>
      </c>
      <c r="HHN5079" s="909" t="s">
        <v>68</v>
      </c>
      <c r="HHO5079" s="910" t="s">
        <v>75</v>
      </c>
      <c r="HHP5079" s="911"/>
      <c r="HHQ5079" s="911"/>
      <c r="HHR5079" s="911"/>
      <c r="HHS5079" s="911"/>
      <c r="HHT5079" s="911"/>
      <c r="HHU5079" s="911"/>
      <c r="HHV5079" s="911"/>
      <c r="HHW5079" s="911"/>
      <c r="HHX5079" s="911"/>
      <c r="HHY5079" s="32"/>
      <c r="HHZ5079" s="911" t="s">
        <v>74</v>
      </c>
      <c r="HIA5079" s="911"/>
      <c r="HIB5079" s="911"/>
      <c r="HIC5079" s="911"/>
      <c r="HID5079" s="911"/>
      <c r="HIE5079" s="911"/>
      <c r="HIF5079" s="911"/>
      <c r="HIG5079" s="911"/>
      <c r="HIH5079" s="911"/>
      <c r="HII5079" s="912"/>
      <c r="HIK5079" s="913" t="s">
        <v>1</v>
      </c>
      <c r="HIL5079" s="31"/>
      <c r="HIM5079" s="909" t="s">
        <v>0</v>
      </c>
      <c r="HIN5079" s="909"/>
      <c r="HIO5079" s="909"/>
      <c r="HIP5079" s="909"/>
      <c r="HIQ5079" s="909"/>
      <c r="HIR5079" s="909"/>
      <c r="HIS5079" s="907" t="s">
        <v>79</v>
      </c>
      <c r="HIT5079" s="909" t="s">
        <v>68</v>
      </c>
      <c r="HIU5079" s="910" t="s">
        <v>75</v>
      </c>
      <c r="HIV5079" s="911"/>
      <c r="HIW5079" s="911"/>
      <c r="HIX5079" s="911"/>
      <c r="HIY5079" s="911"/>
      <c r="HIZ5079" s="911"/>
      <c r="HJA5079" s="911"/>
      <c r="HJB5079" s="911"/>
      <c r="HJC5079" s="911"/>
      <c r="HJD5079" s="911"/>
      <c r="HJE5079" s="32"/>
      <c r="HJF5079" s="911" t="s">
        <v>74</v>
      </c>
      <c r="HJG5079" s="911"/>
      <c r="HJH5079" s="911"/>
      <c r="HJI5079" s="911"/>
      <c r="HJJ5079" s="911"/>
      <c r="HJK5079" s="911"/>
      <c r="HJL5079" s="911"/>
      <c r="HJM5079" s="911"/>
      <c r="HJN5079" s="911"/>
      <c r="HJO5079" s="912"/>
      <c r="HJQ5079" s="913" t="s">
        <v>1</v>
      </c>
      <c r="HJR5079" s="31"/>
      <c r="HJS5079" s="909" t="s">
        <v>0</v>
      </c>
      <c r="HJT5079" s="909"/>
      <c r="HJU5079" s="909"/>
      <c r="HJV5079" s="909"/>
      <c r="HJW5079" s="909"/>
      <c r="HJX5079" s="909"/>
      <c r="HJY5079" s="907" t="s">
        <v>79</v>
      </c>
      <c r="HJZ5079" s="909" t="s">
        <v>68</v>
      </c>
      <c r="HKA5079" s="910" t="s">
        <v>75</v>
      </c>
      <c r="HKB5079" s="911"/>
      <c r="HKC5079" s="911"/>
      <c r="HKD5079" s="911"/>
      <c r="HKE5079" s="911"/>
      <c r="HKF5079" s="911"/>
      <c r="HKG5079" s="911"/>
      <c r="HKH5079" s="911"/>
      <c r="HKI5079" s="911"/>
      <c r="HKJ5079" s="911"/>
      <c r="HKK5079" s="32"/>
      <c r="HKL5079" s="911" t="s">
        <v>74</v>
      </c>
      <c r="HKM5079" s="911"/>
      <c r="HKN5079" s="911"/>
      <c r="HKO5079" s="911"/>
      <c r="HKP5079" s="911"/>
      <c r="HKQ5079" s="911"/>
      <c r="HKR5079" s="911"/>
      <c r="HKS5079" s="911"/>
      <c r="HKT5079" s="911"/>
      <c r="HKU5079" s="912"/>
      <c r="HKW5079" s="913" t="s">
        <v>1</v>
      </c>
      <c r="HKX5079" s="31"/>
      <c r="HKY5079" s="909" t="s">
        <v>0</v>
      </c>
      <c r="HKZ5079" s="909"/>
      <c r="HLA5079" s="909"/>
      <c r="HLB5079" s="909"/>
      <c r="HLC5079" s="909"/>
      <c r="HLD5079" s="909"/>
      <c r="HLE5079" s="907" t="s">
        <v>79</v>
      </c>
      <c r="HLF5079" s="909" t="s">
        <v>68</v>
      </c>
      <c r="HLG5079" s="910" t="s">
        <v>75</v>
      </c>
      <c r="HLH5079" s="911"/>
      <c r="HLI5079" s="911"/>
      <c r="HLJ5079" s="911"/>
      <c r="HLK5079" s="911"/>
      <c r="HLL5079" s="911"/>
      <c r="HLM5079" s="911"/>
      <c r="HLN5079" s="911"/>
      <c r="HLO5079" s="911"/>
      <c r="HLP5079" s="911"/>
      <c r="HLQ5079" s="32"/>
      <c r="HLR5079" s="911" t="s">
        <v>74</v>
      </c>
      <c r="HLS5079" s="911"/>
      <c r="HLT5079" s="911"/>
      <c r="HLU5079" s="911"/>
      <c r="HLV5079" s="911"/>
      <c r="HLW5079" s="911"/>
      <c r="HLX5079" s="911"/>
      <c r="HLY5079" s="911"/>
      <c r="HLZ5079" s="911"/>
      <c r="HMA5079" s="912"/>
      <c r="HMC5079" s="913" t="s">
        <v>1</v>
      </c>
      <c r="HMD5079" s="31"/>
      <c r="HME5079" s="909" t="s">
        <v>0</v>
      </c>
      <c r="HMF5079" s="909"/>
      <c r="HMG5079" s="909"/>
      <c r="HMH5079" s="909"/>
      <c r="HMI5079" s="909"/>
      <c r="HMJ5079" s="909"/>
      <c r="HMK5079" s="907" t="s">
        <v>79</v>
      </c>
      <c r="HML5079" s="909" t="s">
        <v>68</v>
      </c>
      <c r="HMM5079" s="910" t="s">
        <v>75</v>
      </c>
      <c r="HMN5079" s="911"/>
      <c r="HMO5079" s="911"/>
      <c r="HMP5079" s="911"/>
      <c r="HMQ5079" s="911"/>
      <c r="HMR5079" s="911"/>
      <c r="HMS5079" s="911"/>
      <c r="HMT5079" s="911"/>
      <c r="HMU5079" s="911"/>
      <c r="HMV5079" s="911"/>
      <c r="HMW5079" s="32"/>
      <c r="HMX5079" s="911" t="s">
        <v>74</v>
      </c>
      <c r="HMY5079" s="911"/>
      <c r="HMZ5079" s="911"/>
      <c r="HNA5079" s="911"/>
      <c r="HNB5079" s="911"/>
      <c r="HNC5079" s="911"/>
      <c r="HND5079" s="911"/>
      <c r="HNE5079" s="911"/>
      <c r="HNF5079" s="911"/>
      <c r="HNG5079" s="912"/>
      <c r="HNI5079" s="913" t="s">
        <v>1</v>
      </c>
      <c r="HNJ5079" s="31"/>
      <c r="HNK5079" s="909" t="s">
        <v>0</v>
      </c>
      <c r="HNL5079" s="909"/>
      <c r="HNM5079" s="909"/>
      <c r="HNN5079" s="909"/>
      <c r="HNO5079" s="909"/>
      <c r="HNP5079" s="909"/>
      <c r="HNQ5079" s="907" t="s">
        <v>79</v>
      </c>
      <c r="HNR5079" s="909" t="s">
        <v>68</v>
      </c>
      <c r="HNS5079" s="910" t="s">
        <v>75</v>
      </c>
      <c r="HNT5079" s="911"/>
      <c r="HNU5079" s="911"/>
      <c r="HNV5079" s="911"/>
      <c r="HNW5079" s="911"/>
      <c r="HNX5079" s="911"/>
      <c r="HNY5079" s="911"/>
      <c r="HNZ5079" s="911"/>
      <c r="HOA5079" s="911"/>
      <c r="HOB5079" s="911"/>
      <c r="HOC5079" s="32"/>
      <c r="HOD5079" s="911" t="s">
        <v>74</v>
      </c>
      <c r="HOE5079" s="911"/>
      <c r="HOF5079" s="911"/>
      <c r="HOG5079" s="911"/>
      <c r="HOH5079" s="911"/>
      <c r="HOI5079" s="911"/>
      <c r="HOJ5079" s="911"/>
      <c r="HOK5079" s="911"/>
      <c r="HOL5079" s="911"/>
      <c r="HOM5079" s="912"/>
      <c r="HOO5079" s="913" t="s">
        <v>1</v>
      </c>
      <c r="HOP5079" s="31"/>
      <c r="HOQ5079" s="909" t="s">
        <v>0</v>
      </c>
      <c r="HOR5079" s="909"/>
      <c r="HOS5079" s="909"/>
      <c r="HOT5079" s="909"/>
      <c r="HOU5079" s="909"/>
      <c r="HOV5079" s="909"/>
      <c r="HOW5079" s="907" t="s">
        <v>79</v>
      </c>
      <c r="HOX5079" s="909" t="s">
        <v>68</v>
      </c>
      <c r="HOY5079" s="910" t="s">
        <v>75</v>
      </c>
      <c r="HOZ5079" s="911"/>
      <c r="HPA5079" s="911"/>
      <c r="HPB5079" s="911"/>
      <c r="HPC5079" s="911"/>
      <c r="HPD5079" s="911"/>
      <c r="HPE5079" s="911"/>
      <c r="HPF5079" s="911"/>
      <c r="HPG5079" s="911"/>
      <c r="HPH5079" s="911"/>
      <c r="HPI5079" s="32"/>
      <c r="HPJ5079" s="911" t="s">
        <v>74</v>
      </c>
      <c r="HPK5079" s="911"/>
      <c r="HPL5079" s="911"/>
      <c r="HPM5079" s="911"/>
      <c r="HPN5079" s="911"/>
      <c r="HPO5079" s="911"/>
      <c r="HPP5079" s="911"/>
      <c r="HPQ5079" s="911"/>
      <c r="HPR5079" s="911"/>
      <c r="HPS5079" s="912"/>
      <c r="HPU5079" s="913" t="s">
        <v>1</v>
      </c>
      <c r="HPV5079" s="31"/>
      <c r="HPW5079" s="909" t="s">
        <v>0</v>
      </c>
      <c r="HPX5079" s="909"/>
      <c r="HPY5079" s="909"/>
      <c r="HPZ5079" s="909"/>
      <c r="HQA5079" s="909"/>
      <c r="HQB5079" s="909"/>
      <c r="HQC5079" s="907" t="s">
        <v>79</v>
      </c>
      <c r="HQD5079" s="909" t="s">
        <v>68</v>
      </c>
      <c r="HQE5079" s="910" t="s">
        <v>75</v>
      </c>
      <c r="HQF5079" s="911"/>
      <c r="HQG5079" s="911"/>
      <c r="HQH5079" s="911"/>
      <c r="HQI5079" s="911"/>
      <c r="HQJ5079" s="911"/>
      <c r="HQK5079" s="911"/>
      <c r="HQL5079" s="911"/>
      <c r="HQM5079" s="911"/>
      <c r="HQN5079" s="911"/>
      <c r="HQO5079" s="32"/>
      <c r="HQP5079" s="911" t="s">
        <v>74</v>
      </c>
      <c r="HQQ5079" s="911"/>
      <c r="HQR5079" s="911"/>
      <c r="HQS5079" s="911"/>
      <c r="HQT5079" s="911"/>
      <c r="HQU5079" s="911"/>
      <c r="HQV5079" s="911"/>
      <c r="HQW5079" s="911"/>
      <c r="HQX5079" s="911"/>
      <c r="HQY5079" s="912"/>
      <c r="HRA5079" s="913" t="s">
        <v>1</v>
      </c>
      <c r="HRB5079" s="31"/>
      <c r="HRC5079" s="909" t="s">
        <v>0</v>
      </c>
      <c r="HRD5079" s="909"/>
      <c r="HRE5079" s="909"/>
      <c r="HRF5079" s="909"/>
      <c r="HRG5079" s="909"/>
      <c r="HRH5079" s="909"/>
      <c r="HRI5079" s="907" t="s">
        <v>79</v>
      </c>
      <c r="HRJ5079" s="909" t="s">
        <v>68</v>
      </c>
      <c r="HRK5079" s="910" t="s">
        <v>75</v>
      </c>
      <c r="HRL5079" s="911"/>
      <c r="HRM5079" s="911"/>
      <c r="HRN5079" s="911"/>
      <c r="HRO5079" s="911"/>
      <c r="HRP5079" s="911"/>
      <c r="HRQ5079" s="911"/>
      <c r="HRR5079" s="911"/>
      <c r="HRS5079" s="911"/>
      <c r="HRT5079" s="911"/>
      <c r="HRU5079" s="32"/>
      <c r="HRV5079" s="911" t="s">
        <v>74</v>
      </c>
      <c r="HRW5079" s="911"/>
      <c r="HRX5079" s="911"/>
      <c r="HRY5079" s="911"/>
      <c r="HRZ5079" s="911"/>
      <c r="HSA5079" s="911"/>
      <c r="HSB5079" s="911"/>
      <c r="HSC5079" s="911"/>
      <c r="HSD5079" s="911"/>
      <c r="HSE5079" s="912"/>
      <c r="HSG5079" s="913" t="s">
        <v>1</v>
      </c>
      <c r="HSH5079" s="31"/>
      <c r="HSI5079" s="909" t="s">
        <v>0</v>
      </c>
      <c r="HSJ5079" s="909"/>
      <c r="HSK5079" s="909"/>
      <c r="HSL5079" s="909"/>
      <c r="HSM5079" s="909"/>
      <c r="HSN5079" s="909"/>
      <c r="HSO5079" s="907" t="s">
        <v>79</v>
      </c>
      <c r="HSP5079" s="909" t="s">
        <v>68</v>
      </c>
      <c r="HSQ5079" s="910" t="s">
        <v>75</v>
      </c>
      <c r="HSR5079" s="911"/>
      <c r="HSS5079" s="911"/>
      <c r="HST5079" s="911"/>
      <c r="HSU5079" s="911"/>
      <c r="HSV5079" s="911"/>
      <c r="HSW5079" s="911"/>
      <c r="HSX5079" s="911"/>
      <c r="HSY5079" s="911"/>
      <c r="HSZ5079" s="911"/>
      <c r="HTA5079" s="32"/>
      <c r="HTB5079" s="911" t="s">
        <v>74</v>
      </c>
      <c r="HTC5079" s="911"/>
      <c r="HTD5079" s="911"/>
      <c r="HTE5079" s="911"/>
      <c r="HTF5079" s="911"/>
      <c r="HTG5079" s="911"/>
      <c r="HTH5079" s="911"/>
      <c r="HTI5079" s="911"/>
      <c r="HTJ5079" s="911"/>
      <c r="HTK5079" s="912"/>
      <c r="HTM5079" s="913" t="s">
        <v>1</v>
      </c>
      <c r="HTN5079" s="31"/>
      <c r="HTO5079" s="909" t="s">
        <v>0</v>
      </c>
      <c r="HTP5079" s="909"/>
      <c r="HTQ5079" s="909"/>
      <c r="HTR5079" s="909"/>
      <c r="HTS5079" s="909"/>
      <c r="HTT5079" s="909"/>
      <c r="HTU5079" s="907" t="s">
        <v>79</v>
      </c>
      <c r="HTV5079" s="909" t="s">
        <v>68</v>
      </c>
      <c r="HTW5079" s="910" t="s">
        <v>75</v>
      </c>
      <c r="HTX5079" s="911"/>
      <c r="HTY5079" s="911"/>
      <c r="HTZ5079" s="911"/>
      <c r="HUA5079" s="911"/>
      <c r="HUB5079" s="911"/>
      <c r="HUC5079" s="911"/>
      <c r="HUD5079" s="911"/>
      <c r="HUE5079" s="911"/>
      <c r="HUF5079" s="911"/>
      <c r="HUG5079" s="32"/>
      <c r="HUH5079" s="911" t="s">
        <v>74</v>
      </c>
      <c r="HUI5079" s="911"/>
      <c r="HUJ5079" s="911"/>
      <c r="HUK5079" s="911"/>
      <c r="HUL5079" s="911"/>
      <c r="HUM5079" s="911"/>
      <c r="HUN5079" s="911"/>
      <c r="HUO5079" s="911"/>
      <c r="HUP5079" s="911"/>
      <c r="HUQ5079" s="912"/>
      <c r="HUS5079" s="913" t="s">
        <v>1</v>
      </c>
      <c r="HUT5079" s="31"/>
      <c r="HUU5079" s="909" t="s">
        <v>0</v>
      </c>
      <c r="HUV5079" s="909"/>
      <c r="HUW5079" s="909"/>
      <c r="HUX5079" s="909"/>
      <c r="HUY5079" s="909"/>
      <c r="HUZ5079" s="909"/>
      <c r="HVA5079" s="907" t="s">
        <v>79</v>
      </c>
      <c r="HVB5079" s="909" t="s">
        <v>68</v>
      </c>
      <c r="HVC5079" s="910" t="s">
        <v>75</v>
      </c>
      <c r="HVD5079" s="911"/>
      <c r="HVE5079" s="911"/>
      <c r="HVF5079" s="911"/>
      <c r="HVG5079" s="911"/>
      <c r="HVH5079" s="911"/>
      <c r="HVI5079" s="911"/>
      <c r="HVJ5079" s="911"/>
      <c r="HVK5079" s="911"/>
      <c r="HVL5079" s="911"/>
      <c r="HVM5079" s="32"/>
      <c r="HVN5079" s="911" t="s">
        <v>74</v>
      </c>
      <c r="HVO5079" s="911"/>
      <c r="HVP5079" s="911"/>
      <c r="HVQ5079" s="911"/>
      <c r="HVR5079" s="911"/>
      <c r="HVS5079" s="911"/>
      <c r="HVT5079" s="911"/>
      <c r="HVU5079" s="911"/>
      <c r="HVV5079" s="911"/>
      <c r="HVW5079" s="912"/>
      <c r="HVY5079" s="913" t="s">
        <v>1</v>
      </c>
      <c r="HVZ5079" s="31"/>
      <c r="HWA5079" s="909" t="s">
        <v>0</v>
      </c>
      <c r="HWB5079" s="909"/>
      <c r="HWC5079" s="909"/>
      <c r="HWD5079" s="909"/>
      <c r="HWE5079" s="909"/>
      <c r="HWF5079" s="909"/>
      <c r="HWG5079" s="907" t="s">
        <v>79</v>
      </c>
      <c r="HWH5079" s="909" t="s">
        <v>68</v>
      </c>
      <c r="HWI5079" s="910" t="s">
        <v>75</v>
      </c>
      <c r="HWJ5079" s="911"/>
      <c r="HWK5079" s="911"/>
      <c r="HWL5079" s="911"/>
      <c r="HWM5079" s="911"/>
      <c r="HWN5079" s="911"/>
      <c r="HWO5079" s="911"/>
      <c r="HWP5079" s="911"/>
      <c r="HWQ5079" s="911"/>
      <c r="HWR5079" s="911"/>
      <c r="HWS5079" s="32"/>
      <c r="HWT5079" s="911" t="s">
        <v>74</v>
      </c>
      <c r="HWU5079" s="911"/>
      <c r="HWV5079" s="911"/>
      <c r="HWW5079" s="911"/>
      <c r="HWX5079" s="911"/>
      <c r="HWY5079" s="911"/>
      <c r="HWZ5079" s="911"/>
      <c r="HXA5079" s="911"/>
      <c r="HXB5079" s="911"/>
      <c r="HXC5079" s="912"/>
      <c r="HXE5079" s="913" t="s">
        <v>1</v>
      </c>
      <c r="HXF5079" s="31"/>
      <c r="HXG5079" s="909" t="s">
        <v>0</v>
      </c>
      <c r="HXH5079" s="909"/>
      <c r="HXI5079" s="909"/>
      <c r="HXJ5079" s="909"/>
      <c r="HXK5079" s="909"/>
      <c r="HXL5079" s="909"/>
      <c r="HXM5079" s="907" t="s">
        <v>79</v>
      </c>
      <c r="HXN5079" s="909" t="s">
        <v>68</v>
      </c>
      <c r="HXO5079" s="910" t="s">
        <v>75</v>
      </c>
      <c r="HXP5079" s="911"/>
      <c r="HXQ5079" s="911"/>
      <c r="HXR5079" s="911"/>
      <c r="HXS5079" s="911"/>
      <c r="HXT5079" s="911"/>
      <c r="HXU5079" s="911"/>
      <c r="HXV5079" s="911"/>
      <c r="HXW5079" s="911"/>
      <c r="HXX5079" s="911"/>
      <c r="HXY5079" s="32"/>
      <c r="HXZ5079" s="911" t="s">
        <v>74</v>
      </c>
      <c r="HYA5079" s="911"/>
      <c r="HYB5079" s="911"/>
      <c r="HYC5079" s="911"/>
      <c r="HYD5079" s="911"/>
      <c r="HYE5079" s="911"/>
      <c r="HYF5079" s="911"/>
      <c r="HYG5079" s="911"/>
      <c r="HYH5079" s="911"/>
      <c r="HYI5079" s="912"/>
      <c r="HYK5079" s="913" t="s">
        <v>1</v>
      </c>
      <c r="HYL5079" s="31"/>
      <c r="HYM5079" s="909" t="s">
        <v>0</v>
      </c>
      <c r="HYN5079" s="909"/>
      <c r="HYO5079" s="909"/>
      <c r="HYP5079" s="909"/>
      <c r="HYQ5079" s="909"/>
      <c r="HYR5079" s="909"/>
      <c r="HYS5079" s="907" t="s">
        <v>79</v>
      </c>
      <c r="HYT5079" s="909" t="s">
        <v>68</v>
      </c>
      <c r="HYU5079" s="910" t="s">
        <v>75</v>
      </c>
      <c r="HYV5079" s="911"/>
      <c r="HYW5079" s="911"/>
      <c r="HYX5079" s="911"/>
      <c r="HYY5079" s="911"/>
      <c r="HYZ5079" s="911"/>
      <c r="HZA5079" s="911"/>
      <c r="HZB5079" s="911"/>
      <c r="HZC5079" s="911"/>
      <c r="HZD5079" s="911"/>
      <c r="HZE5079" s="32"/>
      <c r="HZF5079" s="911" t="s">
        <v>74</v>
      </c>
      <c r="HZG5079" s="911"/>
      <c r="HZH5079" s="911"/>
      <c r="HZI5079" s="911"/>
      <c r="HZJ5079" s="911"/>
      <c r="HZK5079" s="911"/>
      <c r="HZL5079" s="911"/>
      <c r="HZM5079" s="911"/>
      <c r="HZN5079" s="911"/>
      <c r="HZO5079" s="912"/>
      <c r="HZQ5079" s="913" t="s">
        <v>1</v>
      </c>
      <c r="HZR5079" s="31"/>
      <c r="HZS5079" s="909" t="s">
        <v>0</v>
      </c>
      <c r="HZT5079" s="909"/>
      <c r="HZU5079" s="909"/>
      <c r="HZV5079" s="909"/>
      <c r="HZW5079" s="909"/>
      <c r="HZX5079" s="909"/>
      <c r="HZY5079" s="907" t="s">
        <v>79</v>
      </c>
      <c r="HZZ5079" s="909" t="s">
        <v>68</v>
      </c>
      <c r="IAA5079" s="910" t="s">
        <v>75</v>
      </c>
      <c r="IAB5079" s="911"/>
      <c r="IAC5079" s="911"/>
      <c r="IAD5079" s="911"/>
      <c r="IAE5079" s="911"/>
      <c r="IAF5079" s="911"/>
      <c r="IAG5079" s="911"/>
      <c r="IAH5079" s="911"/>
      <c r="IAI5079" s="911"/>
      <c r="IAJ5079" s="911"/>
      <c r="IAK5079" s="32"/>
      <c r="IAL5079" s="911" t="s">
        <v>74</v>
      </c>
      <c r="IAM5079" s="911"/>
      <c r="IAN5079" s="911"/>
      <c r="IAO5079" s="911"/>
      <c r="IAP5079" s="911"/>
      <c r="IAQ5079" s="911"/>
      <c r="IAR5079" s="911"/>
      <c r="IAS5079" s="911"/>
      <c r="IAT5079" s="911"/>
      <c r="IAU5079" s="912"/>
      <c r="IAW5079" s="913" t="s">
        <v>1</v>
      </c>
      <c r="IAX5079" s="31"/>
      <c r="IAY5079" s="909" t="s">
        <v>0</v>
      </c>
      <c r="IAZ5079" s="909"/>
      <c r="IBA5079" s="909"/>
      <c r="IBB5079" s="909"/>
      <c r="IBC5079" s="909"/>
      <c r="IBD5079" s="909"/>
      <c r="IBE5079" s="907" t="s">
        <v>79</v>
      </c>
      <c r="IBF5079" s="909" t="s">
        <v>68</v>
      </c>
      <c r="IBG5079" s="910" t="s">
        <v>75</v>
      </c>
      <c r="IBH5079" s="911"/>
      <c r="IBI5079" s="911"/>
      <c r="IBJ5079" s="911"/>
      <c r="IBK5079" s="911"/>
      <c r="IBL5079" s="911"/>
      <c r="IBM5079" s="911"/>
      <c r="IBN5079" s="911"/>
      <c r="IBO5079" s="911"/>
      <c r="IBP5079" s="911"/>
      <c r="IBQ5079" s="32"/>
      <c r="IBR5079" s="911" t="s">
        <v>74</v>
      </c>
      <c r="IBS5079" s="911"/>
      <c r="IBT5079" s="911"/>
      <c r="IBU5079" s="911"/>
      <c r="IBV5079" s="911"/>
      <c r="IBW5079" s="911"/>
      <c r="IBX5079" s="911"/>
      <c r="IBY5079" s="911"/>
      <c r="IBZ5079" s="911"/>
      <c r="ICA5079" s="912"/>
      <c r="ICC5079" s="913" t="s">
        <v>1</v>
      </c>
      <c r="ICD5079" s="31"/>
      <c r="ICE5079" s="909" t="s">
        <v>0</v>
      </c>
      <c r="ICF5079" s="909"/>
      <c r="ICG5079" s="909"/>
      <c r="ICH5079" s="909"/>
      <c r="ICI5079" s="909"/>
      <c r="ICJ5079" s="909"/>
      <c r="ICK5079" s="907" t="s">
        <v>79</v>
      </c>
      <c r="ICL5079" s="909" t="s">
        <v>68</v>
      </c>
      <c r="ICM5079" s="910" t="s">
        <v>75</v>
      </c>
      <c r="ICN5079" s="911"/>
      <c r="ICO5079" s="911"/>
      <c r="ICP5079" s="911"/>
      <c r="ICQ5079" s="911"/>
      <c r="ICR5079" s="911"/>
      <c r="ICS5079" s="911"/>
      <c r="ICT5079" s="911"/>
      <c r="ICU5079" s="911"/>
      <c r="ICV5079" s="911"/>
      <c r="ICW5079" s="32"/>
      <c r="ICX5079" s="911" t="s">
        <v>74</v>
      </c>
      <c r="ICY5079" s="911"/>
      <c r="ICZ5079" s="911"/>
      <c r="IDA5079" s="911"/>
      <c r="IDB5079" s="911"/>
      <c r="IDC5079" s="911"/>
      <c r="IDD5079" s="911"/>
      <c r="IDE5079" s="911"/>
      <c r="IDF5079" s="911"/>
      <c r="IDG5079" s="912"/>
      <c r="IDI5079" s="913" t="s">
        <v>1</v>
      </c>
      <c r="IDJ5079" s="31"/>
      <c r="IDK5079" s="909" t="s">
        <v>0</v>
      </c>
      <c r="IDL5079" s="909"/>
      <c r="IDM5079" s="909"/>
      <c r="IDN5079" s="909"/>
      <c r="IDO5079" s="909"/>
      <c r="IDP5079" s="909"/>
      <c r="IDQ5079" s="907" t="s">
        <v>79</v>
      </c>
      <c r="IDR5079" s="909" t="s">
        <v>68</v>
      </c>
      <c r="IDS5079" s="910" t="s">
        <v>75</v>
      </c>
      <c r="IDT5079" s="911"/>
      <c r="IDU5079" s="911"/>
      <c r="IDV5079" s="911"/>
      <c r="IDW5079" s="911"/>
      <c r="IDX5079" s="911"/>
      <c r="IDY5079" s="911"/>
      <c r="IDZ5079" s="911"/>
      <c r="IEA5079" s="911"/>
      <c r="IEB5079" s="911"/>
      <c r="IEC5079" s="32"/>
      <c r="IED5079" s="911" t="s">
        <v>74</v>
      </c>
      <c r="IEE5079" s="911"/>
      <c r="IEF5079" s="911"/>
      <c r="IEG5079" s="911"/>
      <c r="IEH5079" s="911"/>
      <c r="IEI5079" s="911"/>
      <c r="IEJ5079" s="911"/>
      <c r="IEK5079" s="911"/>
      <c r="IEL5079" s="911"/>
      <c r="IEM5079" s="912"/>
      <c r="IEO5079" s="913" t="s">
        <v>1</v>
      </c>
      <c r="IEP5079" s="31"/>
      <c r="IEQ5079" s="909" t="s">
        <v>0</v>
      </c>
      <c r="IER5079" s="909"/>
      <c r="IES5079" s="909"/>
      <c r="IET5079" s="909"/>
      <c r="IEU5079" s="909"/>
      <c r="IEV5079" s="909"/>
      <c r="IEW5079" s="907" t="s">
        <v>79</v>
      </c>
      <c r="IEX5079" s="909" t="s">
        <v>68</v>
      </c>
      <c r="IEY5079" s="910" t="s">
        <v>75</v>
      </c>
      <c r="IEZ5079" s="911"/>
      <c r="IFA5079" s="911"/>
      <c r="IFB5079" s="911"/>
      <c r="IFC5079" s="911"/>
      <c r="IFD5079" s="911"/>
      <c r="IFE5079" s="911"/>
      <c r="IFF5079" s="911"/>
      <c r="IFG5079" s="911"/>
      <c r="IFH5079" s="911"/>
      <c r="IFI5079" s="32"/>
      <c r="IFJ5079" s="911" t="s">
        <v>74</v>
      </c>
      <c r="IFK5079" s="911"/>
      <c r="IFL5079" s="911"/>
      <c r="IFM5079" s="911"/>
      <c r="IFN5079" s="911"/>
      <c r="IFO5079" s="911"/>
      <c r="IFP5079" s="911"/>
      <c r="IFQ5079" s="911"/>
      <c r="IFR5079" s="911"/>
      <c r="IFS5079" s="912"/>
      <c r="IFU5079" s="913" t="s">
        <v>1</v>
      </c>
      <c r="IFV5079" s="31"/>
      <c r="IFW5079" s="909" t="s">
        <v>0</v>
      </c>
      <c r="IFX5079" s="909"/>
      <c r="IFY5079" s="909"/>
      <c r="IFZ5079" s="909"/>
      <c r="IGA5079" s="909"/>
      <c r="IGB5079" s="909"/>
      <c r="IGC5079" s="907" t="s">
        <v>79</v>
      </c>
      <c r="IGD5079" s="909" t="s">
        <v>68</v>
      </c>
      <c r="IGE5079" s="910" t="s">
        <v>75</v>
      </c>
      <c r="IGF5079" s="911"/>
      <c r="IGG5079" s="911"/>
      <c r="IGH5079" s="911"/>
      <c r="IGI5079" s="911"/>
      <c r="IGJ5079" s="911"/>
      <c r="IGK5079" s="911"/>
      <c r="IGL5079" s="911"/>
      <c r="IGM5079" s="911"/>
      <c r="IGN5079" s="911"/>
      <c r="IGO5079" s="32"/>
      <c r="IGP5079" s="911" t="s">
        <v>74</v>
      </c>
      <c r="IGQ5079" s="911"/>
      <c r="IGR5079" s="911"/>
      <c r="IGS5079" s="911"/>
      <c r="IGT5079" s="911"/>
      <c r="IGU5079" s="911"/>
      <c r="IGV5079" s="911"/>
      <c r="IGW5079" s="911"/>
      <c r="IGX5079" s="911"/>
      <c r="IGY5079" s="912"/>
      <c r="IHA5079" s="913" t="s">
        <v>1</v>
      </c>
      <c r="IHB5079" s="31"/>
      <c r="IHC5079" s="909" t="s">
        <v>0</v>
      </c>
      <c r="IHD5079" s="909"/>
      <c r="IHE5079" s="909"/>
      <c r="IHF5079" s="909"/>
      <c r="IHG5079" s="909"/>
      <c r="IHH5079" s="909"/>
      <c r="IHI5079" s="907" t="s">
        <v>79</v>
      </c>
      <c r="IHJ5079" s="909" t="s">
        <v>68</v>
      </c>
      <c r="IHK5079" s="910" t="s">
        <v>75</v>
      </c>
      <c r="IHL5079" s="911"/>
      <c r="IHM5079" s="911"/>
      <c r="IHN5079" s="911"/>
      <c r="IHO5079" s="911"/>
      <c r="IHP5079" s="911"/>
      <c r="IHQ5079" s="911"/>
      <c r="IHR5079" s="911"/>
      <c r="IHS5079" s="911"/>
      <c r="IHT5079" s="911"/>
      <c r="IHU5079" s="32"/>
      <c r="IHV5079" s="911" t="s">
        <v>74</v>
      </c>
      <c r="IHW5079" s="911"/>
      <c r="IHX5079" s="911"/>
      <c r="IHY5079" s="911"/>
      <c r="IHZ5079" s="911"/>
      <c r="IIA5079" s="911"/>
      <c r="IIB5079" s="911"/>
      <c r="IIC5079" s="911"/>
      <c r="IID5079" s="911"/>
      <c r="IIE5079" s="912"/>
      <c r="IIG5079" s="913" t="s">
        <v>1</v>
      </c>
      <c r="IIH5079" s="31"/>
      <c r="III5079" s="909" t="s">
        <v>0</v>
      </c>
      <c r="IIJ5079" s="909"/>
      <c r="IIK5079" s="909"/>
      <c r="IIL5079" s="909"/>
      <c r="IIM5079" s="909"/>
      <c r="IIN5079" s="909"/>
      <c r="IIO5079" s="907" t="s">
        <v>79</v>
      </c>
      <c r="IIP5079" s="909" t="s">
        <v>68</v>
      </c>
      <c r="IIQ5079" s="910" t="s">
        <v>75</v>
      </c>
      <c r="IIR5079" s="911"/>
      <c r="IIS5079" s="911"/>
      <c r="IIT5079" s="911"/>
      <c r="IIU5079" s="911"/>
      <c r="IIV5079" s="911"/>
      <c r="IIW5079" s="911"/>
      <c r="IIX5079" s="911"/>
      <c r="IIY5079" s="911"/>
      <c r="IIZ5079" s="911"/>
      <c r="IJA5079" s="32"/>
      <c r="IJB5079" s="911" t="s">
        <v>74</v>
      </c>
      <c r="IJC5079" s="911"/>
      <c r="IJD5079" s="911"/>
      <c r="IJE5079" s="911"/>
      <c r="IJF5079" s="911"/>
      <c r="IJG5079" s="911"/>
      <c r="IJH5079" s="911"/>
      <c r="IJI5079" s="911"/>
      <c r="IJJ5079" s="911"/>
      <c r="IJK5079" s="912"/>
      <c r="IJM5079" s="913" t="s">
        <v>1</v>
      </c>
      <c r="IJN5079" s="31"/>
      <c r="IJO5079" s="909" t="s">
        <v>0</v>
      </c>
      <c r="IJP5079" s="909"/>
      <c r="IJQ5079" s="909"/>
      <c r="IJR5079" s="909"/>
      <c r="IJS5079" s="909"/>
      <c r="IJT5079" s="909"/>
      <c r="IJU5079" s="907" t="s">
        <v>79</v>
      </c>
      <c r="IJV5079" s="909" t="s">
        <v>68</v>
      </c>
      <c r="IJW5079" s="910" t="s">
        <v>75</v>
      </c>
      <c r="IJX5079" s="911"/>
      <c r="IJY5079" s="911"/>
      <c r="IJZ5079" s="911"/>
      <c r="IKA5079" s="911"/>
      <c r="IKB5079" s="911"/>
      <c r="IKC5079" s="911"/>
      <c r="IKD5079" s="911"/>
      <c r="IKE5079" s="911"/>
      <c r="IKF5079" s="911"/>
      <c r="IKG5079" s="32"/>
      <c r="IKH5079" s="911" t="s">
        <v>74</v>
      </c>
      <c r="IKI5079" s="911"/>
      <c r="IKJ5079" s="911"/>
      <c r="IKK5079" s="911"/>
      <c r="IKL5079" s="911"/>
      <c r="IKM5079" s="911"/>
      <c r="IKN5079" s="911"/>
      <c r="IKO5079" s="911"/>
      <c r="IKP5079" s="911"/>
      <c r="IKQ5079" s="912"/>
      <c r="IKS5079" s="913" t="s">
        <v>1</v>
      </c>
      <c r="IKT5079" s="31"/>
      <c r="IKU5079" s="909" t="s">
        <v>0</v>
      </c>
      <c r="IKV5079" s="909"/>
      <c r="IKW5079" s="909"/>
      <c r="IKX5079" s="909"/>
      <c r="IKY5079" s="909"/>
      <c r="IKZ5079" s="909"/>
      <c r="ILA5079" s="907" t="s">
        <v>79</v>
      </c>
      <c r="ILB5079" s="909" t="s">
        <v>68</v>
      </c>
      <c r="ILC5079" s="910" t="s">
        <v>75</v>
      </c>
      <c r="ILD5079" s="911"/>
      <c r="ILE5079" s="911"/>
      <c r="ILF5079" s="911"/>
      <c r="ILG5079" s="911"/>
      <c r="ILH5079" s="911"/>
      <c r="ILI5079" s="911"/>
      <c r="ILJ5079" s="911"/>
      <c r="ILK5079" s="911"/>
      <c r="ILL5079" s="911"/>
      <c r="ILM5079" s="32"/>
      <c r="ILN5079" s="911" t="s">
        <v>74</v>
      </c>
      <c r="ILO5079" s="911"/>
      <c r="ILP5079" s="911"/>
      <c r="ILQ5079" s="911"/>
      <c r="ILR5079" s="911"/>
      <c r="ILS5079" s="911"/>
      <c r="ILT5079" s="911"/>
      <c r="ILU5079" s="911"/>
      <c r="ILV5079" s="911"/>
      <c r="ILW5079" s="912"/>
      <c r="ILY5079" s="913" t="s">
        <v>1</v>
      </c>
      <c r="ILZ5079" s="31"/>
      <c r="IMA5079" s="909" t="s">
        <v>0</v>
      </c>
      <c r="IMB5079" s="909"/>
      <c r="IMC5079" s="909"/>
      <c r="IMD5079" s="909"/>
      <c r="IME5079" s="909"/>
      <c r="IMF5079" s="909"/>
      <c r="IMG5079" s="907" t="s">
        <v>79</v>
      </c>
      <c r="IMH5079" s="909" t="s">
        <v>68</v>
      </c>
      <c r="IMI5079" s="910" t="s">
        <v>75</v>
      </c>
      <c r="IMJ5079" s="911"/>
      <c r="IMK5079" s="911"/>
      <c r="IML5079" s="911"/>
      <c r="IMM5079" s="911"/>
      <c r="IMN5079" s="911"/>
      <c r="IMO5079" s="911"/>
      <c r="IMP5079" s="911"/>
      <c r="IMQ5079" s="911"/>
      <c r="IMR5079" s="911"/>
      <c r="IMS5079" s="32"/>
      <c r="IMT5079" s="911" t="s">
        <v>74</v>
      </c>
      <c r="IMU5079" s="911"/>
      <c r="IMV5079" s="911"/>
      <c r="IMW5079" s="911"/>
      <c r="IMX5079" s="911"/>
      <c r="IMY5079" s="911"/>
      <c r="IMZ5079" s="911"/>
      <c r="INA5079" s="911"/>
      <c r="INB5079" s="911"/>
      <c r="INC5079" s="912"/>
      <c r="INE5079" s="913" t="s">
        <v>1</v>
      </c>
      <c r="INF5079" s="31"/>
      <c r="ING5079" s="909" t="s">
        <v>0</v>
      </c>
      <c r="INH5079" s="909"/>
      <c r="INI5079" s="909"/>
      <c r="INJ5079" s="909"/>
      <c r="INK5079" s="909"/>
      <c r="INL5079" s="909"/>
      <c r="INM5079" s="907" t="s">
        <v>79</v>
      </c>
      <c r="INN5079" s="909" t="s">
        <v>68</v>
      </c>
      <c r="INO5079" s="910" t="s">
        <v>75</v>
      </c>
      <c r="INP5079" s="911"/>
      <c r="INQ5079" s="911"/>
      <c r="INR5079" s="911"/>
      <c r="INS5079" s="911"/>
      <c r="INT5079" s="911"/>
      <c r="INU5079" s="911"/>
      <c r="INV5079" s="911"/>
      <c r="INW5079" s="911"/>
      <c r="INX5079" s="911"/>
      <c r="INY5079" s="32"/>
      <c r="INZ5079" s="911" t="s">
        <v>74</v>
      </c>
      <c r="IOA5079" s="911"/>
      <c r="IOB5079" s="911"/>
      <c r="IOC5079" s="911"/>
      <c r="IOD5079" s="911"/>
      <c r="IOE5079" s="911"/>
      <c r="IOF5079" s="911"/>
      <c r="IOG5079" s="911"/>
      <c r="IOH5079" s="911"/>
      <c r="IOI5079" s="912"/>
      <c r="IOK5079" s="913" t="s">
        <v>1</v>
      </c>
      <c r="IOL5079" s="31"/>
      <c r="IOM5079" s="909" t="s">
        <v>0</v>
      </c>
      <c r="ION5079" s="909"/>
      <c r="IOO5079" s="909"/>
      <c r="IOP5079" s="909"/>
      <c r="IOQ5079" s="909"/>
      <c r="IOR5079" s="909"/>
      <c r="IOS5079" s="907" t="s">
        <v>79</v>
      </c>
      <c r="IOT5079" s="909" t="s">
        <v>68</v>
      </c>
      <c r="IOU5079" s="910" t="s">
        <v>75</v>
      </c>
      <c r="IOV5079" s="911"/>
      <c r="IOW5079" s="911"/>
      <c r="IOX5079" s="911"/>
      <c r="IOY5079" s="911"/>
      <c r="IOZ5079" s="911"/>
      <c r="IPA5079" s="911"/>
      <c r="IPB5079" s="911"/>
      <c r="IPC5079" s="911"/>
      <c r="IPD5079" s="911"/>
      <c r="IPE5079" s="32"/>
      <c r="IPF5079" s="911" t="s">
        <v>74</v>
      </c>
      <c r="IPG5079" s="911"/>
      <c r="IPH5079" s="911"/>
      <c r="IPI5079" s="911"/>
      <c r="IPJ5079" s="911"/>
      <c r="IPK5079" s="911"/>
      <c r="IPL5079" s="911"/>
      <c r="IPM5079" s="911"/>
      <c r="IPN5079" s="911"/>
      <c r="IPO5079" s="912"/>
      <c r="IPQ5079" s="913" t="s">
        <v>1</v>
      </c>
      <c r="IPR5079" s="31"/>
      <c r="IPS5079" s="909" t="s">
        <v>0</v>
      </c>
      <c r="IPT5079" s="909"/>
      <c r="IPU5079" s="909"/>
      <c r="IPV5079" s="909"/>
      <c r="IPW5079" s="909"/>
      <c r="IPX5079" s="909"/>
      <c r="IPY5079" s="907" t="s">
        <v>79</v>
      </c>
      <c r="IPZ5079" s="909" t="s">
        <v>68</v>
      </c>
      <c r="IQA5079" s="910" t="s">
        <v>75</v>
      </c>
      <c r="IQB5079" s="911"/>
      <c r="IQC5079" s="911"/>
      <c r="IQD5079" s="911"/>
      <c r="IQE5079" s="911"/>
      <c r="IQF5079" s="911"/>
      <c r="IQG5079" s="911"/>
      <c r="IQH5079" s="911"/>
      <c r="IQI5079" s="911"/>
      <c r="IQJ5079" s="911"/>
      <c r="IQK5079" s="32"/>
      <c r="IQL5079" s="911" t="s">
        <v>74</v>
      </c>
      <c r="IQM5079" s="911"/>
      <c r="IQN5079" s="911"/>
      <c r="IQO5079" s="911"/>
      <c r="IQP5079" s="911"/>
      <c r="IQQ5079" s="911"/>
      <c r="IQR5079" s="911"/>
      <c r="IQS5079" s="911"/>
      <c r="IQT5079" s="911"/>
      <c r="IQU5079" s="912"/>
      <c r="IQW5079" s="913" t="s">
        <v>1</v>
      </c>
      <c r="IQX5079" s="31"/>
      <c r="IQY5079" s="909" t="s">
        <v>0</v>
      </c>
      <c r="IQZ5079" s="909"/>
      <c r="IRA5079" s="909"/>
      <c r="IRB5079" s="909"/>
      <c r="IRC5079" s="909"/>
      <c r="IRD5079" s="909"/>
      <c r="IRE5079" s="907" t="s">
        <v>79</v>
      </c>
      <c r="IRF5079" s="909" t="s">
        <v>68</v>
      </c>
      <c r="IRG5079" s="910" t="s">
        <v>75</v>
      </c>
      <c r="IRH5079" s="911"/>
      <c r="IRI5079" s="911"/>
      <c r="IRJ5079" s="911"/>
      <c r="IRK5079" s="911"/>
      <c r="IRL5079" s="911"/>
      <c r="IRM5079" s="911"/>
      <c r="IRN5079" s="911"/>
      <c r="IRO5079" s="911"/>
      <c r="IRP5079" s="911"/>
      <c r="IRQ5079" s="32"/>
      <c r="IRR5079" s="911" t="s">
        <v>74</v>
      </c>
      <c r="IRS5079" s="911"/>
      <c r="IRT5079" s="911"/>
      <c r="IRU5079" s="911"/>
      <c r="IRV5079" s="911"/>
      <c r="IRW5079" s="911"/>
      <c r="IRX5079" s="911"/>
      <c r="IRY5079" s="911"/>
      <c r="IRZ5079" s="911"/>
      <c r="ISA5079" s="912"/>
      <c r="ISC5079" s="913" t="s">
        <v>1</v>
      </c>
      <c r="ISD5079" s="31"/>
      <c r="ISE5079" s="909" t="s">
        <v>0</v>
      </c>
      <c r="ISF5079" s="909"/>
      <c r="ISG5079" s="909"/>
      <c r="ISH5079" s="909"/>
      <c r="ISI5079" s="909"/>
      <c r="ISJ5079" s="909"/>
      <c r="ISK5079" s="907" t="s">
        <v>79</v>
      </c>
      <c r="ISL5079" s="909" t="s">
        <v>68</v>
      </c>
      <c r="ISM5079" s="910" t="s">
        <v>75</v>
      </c>
      <c r="ISN5079" s="911"/>
      <c r="ISO5079" s="911"/>
      <c r="ISP5079" s="911"/>
      <c r="ISQ5079" s="911"/>
      <c r="ISR5079" s="911"/>
      <c r="ISS5079" s="911"/>
      <c r="IST5079" s="911"/>
      <c r="ISU5079" s="911"/>
      <c r="ISV5079" s="911"/>
      <c r="ISW5079" s="32"/>
      <c r="ISX5079" s="911" t="s">
        <v>74</v>
      </c>
      <c r="ISY5079" s="911"/>
      <c r="ISZ5079" s="911"/>
      <c r="ITA5079" s="911"/>
      <c r="ITB5079" s="911"/>
      <c r="ITC5079" s="911"/>
      <c r="ITD5079" s="911"/>
      <c r="ITE5079" s="911"/>
      <c r="ITF5079" s="911"/>
      <c r="ITG5079" s="912"/>
      <c r="ITI5079" s="913" t="s">
        <v>1</v>
      </c>
      <c r="ITJ5079" s="31"/>
      <c r="ITK5079" s="909" t="s">
        <v>0</v>
      </c>
      <c r="ITL5079" s="909"/>
      <c r="ITM5079" s="909"/>
      <c r="ITN5079" s="909"/>
      <c r="ITO5079" s="909"/>
      <c r="ITP5079" s="909"/>
      <c r="ITQ5079" s="907" t="s">
        <v>79</v>
      </c>
      <c r="ITR5079" s="909" t="s">
        <v>68</v>
      </c>
      <c r="ITS5079" s="910" t="s">
        <v>75</v>
      </c>
      <c r="ITT5079" s="911"/>
      <c r="ITU5079" s="911"/>
      <c r="ITV5079" s="911"/>
      <c r="ITW5079" s="911"/>
      <c r="ITX5079" s="911"/>
      <c r="ITY5079" s="911"/>
      <c r="ITZ5079" s="911"/>
      <c r="IUA5079" s="911"/>
      <c r="IUB5079" s="911"/>
      <c r="IUC5079" s="32"/>
      <c r="IUD5079" s="911" t="s">
        <v>74</v>
      </c>
      <c r="IUE5079" s="911"/>
      <c r="IUF5079" s="911"/>
      <c r="IUG5079" s="911"/>
      <c r="IUH5079" s="911"/>
      <c r="IUI5079" s="911"/>
      <c r="IUJ5079" s="911"/>
      <c r="IUK5079" s="911"/>
      <c r="IUL5079" s="911"/>
      <c r="IUM5079" s="912"/>
      <c r="IUO5079" s="913" t="s">
        <v>1</v>
      </c>
      <c r="IUP5079" s="31"/>
      <c r="IUQ5079" s="909" t="s">
        <v>0</v>
      </c>
      <c r="IUR5079" s="909"/>
      <c r="IUS5079" s="909"/>
      <c r="IUT5079" s="909"/>
      <c r="IUU5079" s="909"/>
      <c r="IUV5079" s="909"/>
      <c r="IUW5079" s="907" t="s">
        <v>79</v>
      </c>
      <c r="IUX5079" s="909" t="s">
        <v>68</v>
      </c>
      <c r="IUY5079" s="910" t="s">
        <v>75</v>
      </c>
      <c r="IUZ5079" s="911"/>
      <c r="IVA5079" s="911"/>
      <c r="IVB5079" s="911"/>
      <c r="IVC5079" s="911"/>
      <c r="IVD5079" s="911"/>
      <c r="IVE5079" s="911"/>
      <c r="IVF5079" s="911"/>
      <c r="IVG5079" s="911"/>
      <c r="IVH5079" s="911"/>
      <c r="IVI5079" s="32"/>
      <c r="IVJ5079" s="911" t="s">
        <v>74</v>
      </c>
      <c r="IVK5079" s="911"/>
      <c r="IVL5079" s="911"/>
      <c r="IVM5079" s="911"/>
      <c r="IVN5079" s="911"/>
      <c r="IVO5079" s="911"/>
      <c r="IVP5079" s="911"/>
      <c r="IVQ5079" s="911"/>
      <c r="IVR5079" s="911"/>
      <c r="IVS5079" s="912"/>
      <c r="IVU5079" s="913" t="s">
        <v>1</v>
      </c>
      <c r="IVV5079" s="31"/>
      <c r="IVW5079" s="909" t="s">
        <v>0</v>
      </c>
      <c r="IVX5079" s="909"/>
      <c r="IVY5079" s="909"/>
      <c r="IVZ5079" s="909"/>
      <c r="IWA5079" s="909"/>
      <c r="IWB5079" s="909"/>
      <c r="IWC5079" s="907" t="s">
        <v>79</v>
      </c>
      <c r="IWD5079" s="909" t="s">
        <v>68</v>
      </c>
      <c r="IWE5079" s="910" t="s">
        <v>75</v>
      </c>
      <c r="IWF5079" s="911"/>
      <c r="IWG5079" s="911"/>
      <c r="IWH5079" s="911"/>
      <c r="IWI5079" s="911"/>
      <c r="IWJ5079" s="911"/>
      <c r="IWK5079" s="911"/>
      <c r="IWL5079" s="911"/>
      <c r="IWM5079" s="911"/>
      <c r="IWN5079" s="911"/>
      <c r="IWO5079" s="32"/>
      <c r="IWP5079" s="911" t="s">
        <v>74</v>
      </c>
      <c r="IWQ5079" s="911"/>
      <c r="IWR5079" s="911"/>
      <c r="IWS5079" s="911"/>
      <c r="IWT5079" s="911"/>
      <c r="IWU5079" s="911"/>
      <c r="IWV5079" s="911"/>
      <c r="IWW5079" s="911"/>
      <c r="IWX5079" s="911"/>
      <c r="IWY5079" s="912"/>
      <c r="IXA5079" s="913" t="s">
        <v>1</v>
      </c>
      <c r="IXB5079" s="31"/>
      <c r="IXC5079" s="909" t="s">
        <v>0</v>
      </c>
      <c r="IXD5079" s="909"/>
      <c r="IXE5079" s="909"/>
      <c r="IXF5079" s="909"/>
      <c r="IXG5079" s="909"/>
      <c r="IXH5079" s="909"/>
      <c r="IXI5079" s="907" t="s">
        <v>79</v>
      </c>
      <c r="IXJ5079" s="909" t="s">
        <v>68</v>
      </c>
      <c r="IXK5079" s="910" t="s">
        <v>75</v>
      </c>
      <c r="IXL5079" s="911"/>
      <c r="IXM5079" s="911"/>
      <c r="IXN5079" s="911"/>
      <c r="IXO5079" s="911"/>
      <c r="IXP5079" s="911"/>
      <c r="IXQ5079" s="911"/>
      <c r="IXR5079" s="911"/>
      <c r="IXS5079" s="911"/>
      <c r="IXT5079" s="911"/>
      <c r="IXU5079" s="32"/>
      <c r="IXV5079" s="911" t="s">
        <v>74</v>
      </c>
      <c r="IXW5079" s="911"/>
      <c r="IXX5079" s="911"/>
      <c r="IXY5079" s="911"/>
      <c r="IXZ5079" s="911"/>
      <c r="IYA5079" s="911"/>
      <c r="IYB5079" s="911"/>
      <c r="IYC5079" s="911"/>
      <c r="IYD5079" s="911"/>
      <c r="IYE5079" s="912"/>
      <c r="IYG5079" s="913" t="s">
        <v>1</v>
      </c>
      <c r="IYH5079" s="31"/>
      <c r="IYI5079" s="909" t="s">
        <v>0</v>
      </c>
      <c r="IYJ5079" s="909"/>
      <c r="IYK5079" s="909"/>
      <c r="IYL5079" s="909"/>
      <c r="IYM5079" s="909"/>
      <c r="IYN5079" s="909"/>
      <c r="IYO5079" s="907" t="s">
        <v>79</v>
      </c>
      <c r="IYP5079" s="909" t="s">
        <v>68</v>
      </c>
      <c r="IYQ5079" s="910" t="s">
        <v>75</v>
      </c>
      <c r="IYR5079" s="911"/>
      <c r="IYS5079" s="911"/>
      <c r="IYT5079" s="911"/>
      <c r="IYU5079" s="911"/>
      <c r="IYV5079" s="911"/>
      <c r="IYW5079" s="911"/>
      <c r="IYX5079" s="911"/>
      <c r="IYY5079" s="911"/>
      <c r="IYZ5079" s="911"/>
      <c r="IZA5079" s="32"/>
      <c r="IZB5079" s="911" t="s">
        <v>74</v>
      </c>
      <c r="IZC5079" s="911"/>
      <c r="IZD5079" s="911"/>
      <c r="IZE5079" s="911"/>
      <c r="IZF5079" s="911"/>
      <c r="IZG5079" s="911"/>
      <c r="IZH5079" s="911"/>
      <c r="IZI5079" s="911"/>
      <c r="IZJ5079" s="911"/>
      <c r="IZK5079" s="912"/>
      <c r="IZM5079" s="913" t="s">
        <v>1</v>
      </c>
      <c r="IZN5079" s="31"/>
      <c r="IZO5079" s="909" t="s">
        <v>0</v>
      </c>
      <c r="IZP5079" s="909"/>
      <c r="IZQ5079" s="909"/>
      <c r="IZR5079" s="909"/>
      <c r="IZS5079" s="909"/>
      <c r="IZT5079" s="909"/>
      <c r="IZU5079" s="907" t="s">
        <v>79</v>
      </c>
      <c r="IZV5079" s="909" t="s">
        <v>68</v>
      </c>
      <c r="IZW5079" s="910" t="s">
        <v>75</v>
      </c>
      <c r="IZX5079" s="911"/>
      <c r="IZY5079" s="911"/>
      <c r="IZZ5079" s="911"/>
      <c r="JAA5079" s="911"/>
      <c r="JAB5079" s="911"/>
      <c r="JAC5079" s="911"/>
      <c r="JAD5079" s="911"/>
      <c r="JAE5079" s="911"/>
      <c r="JAF5079" s="911"/>
      <c r="JAG5079" s="32"/>
      <c r="JAH5079" s="911" t="s">
        <v>74</v>
      </c>
      <c r="JAI5079" s="911"/>
      <c r="JAJ5079" s="911"/>
      <c r="JAK5079" s="911"/>
      <c r="JAL5079" s="911"/>
      <c r="JAM5079" s="911"/>
      <c r="JAN5079" s="911"/>
      <c r="JAO5079" s="911"/>
      <c r="JAP5079" s="911"/>
      <c r="JAQ5079" s="912"/>
      <c r="JAS5079" s="913" t="s">
        <v>1</v>
      </c>
      <c r="JAT5079" s="31"/>
      <c r="JAU5079" s="909" t="s">
        <v>0</v>
      </c>
      <c r="JAV5079" s="909"/>
      <c r="JAW5079" s="909"/>
      <c r="JAX5079" s="909"/>
      <c r="JAY5079" s="909"/>
      <c r="JAZ5079" s="909"/>
      <c r="JBA5079" s="907" t="s">
        <v>79</v>
      </c>
      <c r="JBB5079" s="909" t="s">
        <v>68</v>
      </c>
      <c r="JBC5079" s="910" t="s">
        <v>75</v>
      </c>
      <c r="JBD5079" s="911"/>
      <c r="JBE5079" s="911"/>
      <c r="JBF5079" s="911"/>
      <c r="JBG5079" s="911"/>
      <c r="JBH5079" s="911"/>
      <c r="JBI5079" s="911"/>
      <c r="JBJ5079" s="911"/>
      <c r="JBK5079" s="911"/>
      <c r="JBL5079" s="911"/>
      <c r="JBM5079" s="32"/>
      <c r="JBN5079" s="911" t="s">
        <v>74</v>
      </c>
      <c r="JBO5079" s="911"/>
      <c r="JBP5079" s="911"/>
      <c r="JBQ5079" s="911"/>
      <c r="JBR5079" s="911"/>
      <c r="JBS5079" s="911"/>
      <c r="JBT5079" s="911"/>
      <c r="JBU5079" s="911"/>
      <c r="JBV5079" s="911"/>
      <c r="JBW5079" s="912"/>
      <c r="JBY5079" s="913" t="s">
        <v>1</v>
      </c>
      <c r="JBZ5079" s="31"/>
      <c r="JCA5079" s="909" t="s">
        <v>0</v>
      </c>
      <c r="JCB5079" s="909"/>
      <c r="JCC5079" s="909"/>
      <c r="JCD5079" s="909"/>
      <c r="JCE5079" s="909"/>
      <c r="JCF5079" s="909"/>
      <c r="JCG5079" s="907" t="s">
        <v>79</v>
      </c>
      <c r="JCH5079" s="909" t="s">
        <v>68</v>
      </c>
      <c r="JCI5079" s="910" t="s">
        <v>75</v>
      </c>
      <c r="JCJ5079" s="911"/>
      <c r="JCK5079" s="911"/>
      <c r="JCL5079" s="911"/>
      <c r="JCM5079" s="911"/>
      <c r="JCN5079" s="911"/>
      <c r="JCO5079" s="911"/>
      <c r="JCP5079" s="911"/>
      <c r="JCQ5079" s="911"/>
      <c r="JCR5079" s="911"/>
      <c r="JCS5079" s="32"/>
      <c r="JCT5079" s="911" t="s">
        <v>74</v>
      </c>
      <c r="JCU5079" s="911"/>
      <c r="JCV5079" s="911"/>
      <c r="JCW5079" s="911"/>
      <c r="JCX5079" s="911"/>
      <c r="JCY5079" s="911"/>
      <c r="JCZ5079" s="911"/>
      <c r="JDA5079" s="911"/>
      <c r="JDB5079" s="911"/>
      <c r="JDC5079" s="912"/>
      <c r="JDE5079" s="913" t="s">
        <v>1</v>
      </c>
      <c r="JDF5079" s="31"/>
      <c r="JDG5079" s="909" t="s">
        <v>0</v>
      </c>
      <c r="JDH5079" s="909"/>
      <c r="JDI5079" s="909"/>
      <c r="JDJ5079" s="909"/>
      <c r="JDK5079" s="909"/>
      <c r="JDL5079" s="909"/>
      <c r="JDM5079" s="907" t="s">
        <v>79</v>
      </c>
      <c r="JDN5079" s="909" t="s">
        <v>68</v>
      </c>
      <c r="JDO5079" s="910" t="s">
        <v>75</v>
      </c>
      <c r="JDP5079" s="911"/>
      <c r="JDQ5079" s="911"/>
      <c r="JDR5079" s="911"/>
      <c r="JDS5079" s="911"/>
      <c r="JDT5079" s="911"/>
      <c r="JDU5079" s="911"/>
      <c r="JDV5079" s="911"/>
      <c r="JDW5079" s="911"/>
      <c r="JDX5079" s="911"/>
      <c r="JDY5079" s="32"/>
      <c r="JDZ5079" s="911" t="s">
        <v>74</v>
      </c>
      <c r="JEA5079" s="911"/>
      <c r="JEB5079" s="911"/>
      <c r="JEC5079" s="911"/>
      <c r="JED5079" s="911"/>
      <c r="JEE5079" s="911"/>
      <c r="JEF5079" s="911"/>
      <c r="JEG5079" s="911"/>
      <c r="JEH5079" s="911"/>
      <c r="JEI5079" s="912"/>
      <c r="JEK5079" s="913" t="s">
        <v>1</v>
      </c>
      <c r="JEL5079" s="31"/>
      <c r="JEM5079" s="909" t="s">
        <v>0</v>
      </c>
      <c r="JEN5079" s="909"/>
      <c r="JEO5079" s="909"/>
      <c r="JEP5079" s="909"/>
      <c r="JEQ5079" s="909"/>
      <c r="JER5079" s="909"/>
      <c r="JES5079" s="907" t="s">
        <v>79</v>
      </c>
      <c r="JET5079" s="909" t="s">
        <v>68</v>
      </c>
      <c r="JEU5079" s="910" t="s">
        <v>75</v>
      </c>
      <c r="JEV5079" s="911"/>
      <c r="JEW5079" s="911"/>
      <c r="JEX5079" s="911"/>
      <c r="JEY5079" s="911"/>
      <c r="JEZ5079" s="911"/>
      <c r="JFA5079" s="911"/>
      <c r="JFB5079" s="911"/>
      <c r="JFC5079" s="911"/>
      <c r="JFD5079" s="911"/>
      <c r="JFE5079" s="32"/>
      <c r="JFF5079" s="911" t="s">
        <v>74</v>
      </c>
      <c r="JFG5079" s="911"/>
      <c r="JFH5079" s="911"/>
      <c r="JFI5079" s="911"/>
      <c r="JFJ5079" s="911"/>
      <c r="JFK5079" s="911"/>
      <c r="JFL5079" s="911"/>
      <c r="JFM5079" s="911"/>
      <c r="JFN5079" s="911"/>
      <c r="JFO5079" s="912"/>
      <c r="JFQ5079" s="913" t="s">
        <v>1</v>
      </c>
      <c r="JFR5079" s="31"/>
      <c r="JFS5079" s="909" t="s">
        <v>0</v>
      </c>
      <c r="JFT5079" s="909"/>
      <c r="JFU5079" s="909"/>
      <c r="JFV5079" s="909"/>
      <c r="JFW5079" s="909"/>
      <c r="JFX5079" s="909"/>
      <c r="JFY5079" s="907" t="s">
        <v>79</v>
      </c>
      <c r="JFZ5079" s="909" t="s">
        <v>68</v>
      </c>
      <c r="JGA5079" s="910" t="s">
        <v>75</v>
      </c>
      <c r="JGB5079" s="911"/>
      <c r="JGC5079" s="911"/>
      <c r="JGD5079" s="911"/>
      <c r="JGE5079" s="911"/>
      <c r="JGF5079" s="911"/>
      <c r="JGG5079" s="911"/>
      <c r="JGH5079" s="911"/>
      <c r="JGI5079" s="911"/>
      <c r="JGJ5079" s="911"/>
      <c r="JGK5079" s="32"/>
      <c r="JGL5079" s="911" t="s">
        <v>74</v>
      </c>
      <c r="JGM5079" s="911"/>
      <c r="JGN5079" s="911"/>
      <c r="JGO5079" s="911"/>
      <c r="JGP5079" s="911"/>
      <c r="JGQ5079" s="911"/>
      <c r="JGR5079" s="911"/>
      <c r="JGS5079" s="911"/>
      <c r="JGT5079" s="911"/>
      <c r="JGU5079" s="912"/>
      <c r="JGW5079" s="913" t="s">
        <v>1</v>
      </c>
      <c r="JGX5079" s="31"/>
      <c r="JGY5079" s="909" t="s">
        <v>0</v>
      </c>
      <c r="JGZ5079" s="909"/>
      <c r="JHA5079" s="909"/>
      <c r="JHB5079" s="909"/>
      <c r="JHC5079" s="909"/>
      <c r="JHD5079" s="909"/>
      <c r="JHE5079" s="907" t="s">
        <v>79</v>
      </c>
      <c r="JHF5079" s="909" t="s">
        <v>68</v>
      </c>
      <c r="JHG5079" s="910" t="s">
        <v>75</v>
      </c>
      <c r="JHH5079" s="911"/>
      <c r="JHI5079" s="911"/>
      <c r="JHJ5079" s="911"/>
      <c r="JHK5079" s="911"/>
      <c r="JHL5079" s="911"/>
      <c r="JHM5079" s="911"/>
      <c r="JHN5079" s="911"/>
      <c r="JHO5079" s="911"/>
      <c r="JHP5079" s="911"/>
      <c r="JHQ5079" s="32"/>
      <c r="JHR5079" s="911" t="s">
        <v>74</v>
      </c>
      <c r="JHS5079" s="911"/>
      <c r="JHT5079" s="911"/>
      <c r="JHU5079" s="911"/>
      <c r="JHV5079" s="911"/>
      <c r="JHW5079" s="911"/>
      <c r="JHX5079" s="911"/>
      <c r="JHY5079" s="911"/>
      <c r="JHZ5079" s="911"/>
      <c r="JIA5079" s="912"/>
      <c r="JIC5079" s="913" t="s">
        <v>1</v>
      </c>
      <c r="JID5079" s="31"/>
      <c r="JIE5079" s="909" t="s">
        <v>0</v>
      </c>
      <c r="JIF5079" s="909"/>
      <c r="JIG5079" s="909"/>
      <c r="JIH5079" s="909"/>
      <c r="JII5079" s="909"/>
      <c r="JIJ5079" s="909"/>
      <c r="JIK5079" s="907" t="s">
        <v>79</v>
      </c>
      <c r="JIL5079" s="909" t="s">
        <v>68</v>
      </c>
      <c r="JIM5079" s="910" t="s">
        <v>75</v>
      </c>
      <c r="JIN5079" s="911"/>
      <c r="JIO5079" s="911"/>
      <c r="JIP5079" s="911"/>
      <c r="JIQ5079" s="911"/>
      <c r="JIR5079" s="911"/>
      <c r="JIS5079" s="911"/>
      <c r="JIT5079" s="911"/>
      <c r="JIU5079" s="911"/>
      <c r="JIV5079" s="911"/>
      <c r="JIW5079" s="32"/>
      <c r="JIX5079" s="911" t="s">
        <v>74</v>
      </c>
      <c r="JIY5079" s="911"/>
      <c r="JIZ5079" s="911"/>
      <c r="JJA5079" s="911"/>
      <c r="JJB5079" s="911"/>
      <c r="JJC5079" s="911"/>
      <c r="JJD5079" s="911"/>
      <c r="JJE5079" s="911"/>
      <c r="JJF5079" s="911"/>
      <c r="JJG5079" s="912"/>
      <c r="JJI5079" s="913" t="s">
        <v>1</v>
      </c>
      <c r="JJJ5079" s="31"/>
      <c r="JJK5079" s="909" t="s">
        <v>0</v>
      </c>
      <c r="JJL5079" s="909"/>
      <c r="JJM5079" s="909"/>
      <c r="JJN5079" s="909"/>
      <c r="JJO5079" s="909"/>
      <c r="JJP5079" s="909"/>
      <c r="JJQ5079" s="907" t="s">
        <v>79</v>
      </c>
      <c r="JJR5079" s="909" t="s">
        <v>68</v>
      </c>
      <c r="JJS5079" s="910" t="s">
        <v>75</v>
      </c>
      <c r="JJT5079" s="911"/>
      <c r="JJU5079" s="911"/>
      <c r="JJV5079" s="911"/>
      <c r="JJW5079" s="911"/>
      <c r="JJX5079" s="911"/>
      <c r="JJY5079" s="911"/>
      <c r="JJZ5079" s="911"/>
      <c r="JKA5079" s="911"/>
      <c r="JKB5079" s="911"/>
      <c r="JKC5079" s="32"/>
      <c r="JKD5079" s="911" t="s">
        <v>74</v>
      </c>
      <c r="JKE5079" s="911"/>
      <c r="JKF5079" s="911"/>
      <c r="JKG5079" s="911"/>
      <c r="JKH5079" s="911"/>
      <c r="JKI5079" s="911"/>
      <c r="JKJ5079" s="911"/>
      <c r="JKK5079" s="911"/>
      <c r="JKL5079" s="911"/>
      <c r="JKM5079" s="912"/>
      <c r="JKO5079" s="913" t="s">
        <v>1</v>
      </c>
      <c r="JKP5079" s="31"/>
      <c r="JKQ5079" s="909" t="s">
        <v>0</v>
      </c>
      <c r="JKR5079" s="909"/>
      <c r="JKS5079" s="909"/>
      <c r="JKT5079" s="909"/>
      <c r="JKU5079" s="909"/>
      <c r="JKV5079" s="909"/>
      <c r="JKW5079" s="907" t="s">
        <v>79</v>
      </c>
      <c r="JKX5079" s="909" t="s">
        <v>68</v>
      </c>
      <c r="JKY5079" s="910" t="s">
        <v>75</v>
      </c>
      <c r="JKZ5079" s="911"/>
      <c r="JLA5079" s="911"/>
      <c r="JLB5079" s="911"/>
      <c r="JLC5079" s="911"/>
      <c r="JLD5079" s="911"/>
      <c r="JLE5079" s="911"/>
      <c r="JLF5079" s="911"/>
      <c r="JLG5079" s="911"/>
      <c r="JLH5079" s="911"/>
      <c r="JLI5079" s="32"/>
      <c r="JLJ5079" s="911" t="s">
        <v>74</v>
      </c>
      <c r="JLK5079" s="911"/>
      <c r="JLL5079" s="911"/>
      <c r="JLM5079" s="911"/>
      <c r="JLN5079" s="911"/>
      <c r="JLO5079" s="911"/>
      <c r="JLP5079" s="911"/>
      <c r="JLQ5079" s="911"/>
      <c r="JLR5079" s="911"/>
      <c r="JLS5079" s="912"/>
      <c r="JLU5079" s="913" t="s">
        <v>1</v>
      </c>
      <c r="JLV5079" s="31"/>
      <c r="JLW5079" s="909" t="s">
        <v>0</v>
      </c>
      <c r="JLX5079" s="909"/>
      <c r="JLY5079" s="909"/>
      <c r="JLZ5079" s="909"/>
      <c r="JMA5079" s="909"/>
      <c r="JMB5079" s="909"/>
      <c r="JMC5079" s="907" t="s">
        <v>79</v>
      </c>
      <c r="JMD5079" s="909" t="s">
        <v>68</v>
      </c>
      <c r="JME5079" s="910" t="s">
        <v>75</v>
      </c>
      <c r="JMF5079" s="911"/>
      <c r="JMG5079" s="911"/>
      <c r="JMH5079" s="911"/>
      <c r="JMI5079" s="911"/>
      <c r="JMJ5079" s="911"/>
      <c r="JMK5079" s="911"/>
      <c r="JML5079" s="911"/>
      <c r="JMM5079" s="911"/>
      <c r="JMN5079" s="911"/>
      <c r="JMO5079" s="32"/>
      <c r="JMP5079" s="911" t="s">
        <v>74</v>
      </c>
      <c r="JMQ5079" s="911"/>
      <c r="JMR5079" s="911"/>
      <c r="JMS5079" s="911"/>
      <c r="JMT5079" s="911"/>
      <c r="JMU5079" s="911"/>
      <c r="JMV5079" s="911"/>
      <c r="JMW5079" s="911"/>
      <c r="JMX5079" s="911"/>
      <c r="JMY5079" s="912"/>
      <c r="JNA5079" s="913" t="s">
        <v>1</v>
      </c>
      <c r="JNB5079" s="31"/>
      <c r="JNC5079" s="909" t="s">
        <v>0</v>
      </c>
      <c r="JND5079" s="909"/>
      <c r="JNE5079" s="909"/>
      <c r="JNF5079" s="909"/>
      <c r="JNG5079" s="909"/>
      <c r="JNH5079" s="909"/>
      <c r="JNI5079" s="907" t="s">
        <v>79</v>
      </c>
      <c r="JNJ5079" s="909" t="s">
        <v>68</v>
      </c>
      <c r="JNK5079" s="910" t="s">
        <v>75</v>
      </c>
      <c r="JNL5079" s="911"/>
      <c r="JNM5079" s="911"/>
      <c r="JNN5079" s="911"/>
      <c r="JNO5079" s="911"/>
      <c r="JNP5079" s="911"/>
      <c r="JNQ5079" s="911"/>
      <c r="JNR5079" s="911"/>
      <c r="JNS5079" s="911"/>
      <c r="JNT5079" s="911"/>
      <c r="JNU5079" s="32"/>
      <c r="JNV5079" s="911" t="s">
        <v>74</v>
      </c>
      <c r="JNW5079" s="911"/>
      <c r="JNX5079" s="911"/>
      <c r="JNY5079" s="911"/>
      <c r="JNZ5079" s="911"/>
      <c r="JOA5079" s="911"/>
      <c r="JOB5079" s="911"/>
      <c r="JOC5079" s="911"/>
      <c r="JOD5079" s="911"/>
      <c r="JOE5079" s="912"/>
      <c r="JOG5079" s="913" t="s">
        <v>1</v>
      </c>
      <c r="JOH5079" s="31"/>
      <c r="JOI5079" s="909" t="s">
        <v>0</v>
      </c>
      <c r="JOJ5079" s="909"/>
      <c r="JOK5079" s="909"/>
      <c r="JOL5079" s="909"/>
      <c r="JOM5079" s="909"/>
      <c r="JON5079" s="909"/>
      <c r="JOO5079" s="907" t="s">
        <v>79</v>
      </c>
      <c r="JOP5079" s="909" t="s">
        <v>68</v>
      </c>
      <c r="JOQ5079" s="910" t="s">
        <v>75</v>
      </c>
      <c r="JOR5079" s="911"/>
      <c r="JOS5079" s="911"/>
      <c r="JOT5079" s="911"/>
      <c r="JOU5079" s="911"/>
      <c r="JOV5079" s="911"/>
      <c r="JOW5079" s="911"/>
      <c r="JOX5079" s="911"/>
      <c r="JOY5079" s="911"/>
      <c r="JOZ5079" s="911"/>
      <c r="JPA5079" s="32"/>
      <c r="JPB5079" s="911" t="s">
        <v>74</v>
      </c>
      <c r="JPC5079" s="911"/>
      <c r="JPD5079" s="911"/>
      <c r="JPE5079" s="911"/>
      <c r="JPF5079" s="911"/>
      <c r="JPG5079" s="911"/>
      <c r="JPH5079" s="911"/>
      <c r="JPI5079" s="911"/>
      <c r="JPJ5079" s="911"/>
      <c r="JPK5079" s="912"/>
      <c r="JPM5079" s="913" t="s">
        <v>1</v>
      </c>
      <c r="JPN5079" s="31"/>
      <c r="JPO5079" s="909" t="s">
        <v>0</v>
      </c>
      <c r="JPP5079" s="909"/>
      <c r="JPQ5079" s="909"/>
      <c r="JPR5079" s="909"/>
      <c r="JPS5079" s="909"/>
      <c r="JPT5079" s="909"/>
      <c r="JPU5079" s="907" t="s">
        <v>79</v>
      </c>
      <c r="JPV5079" s="909" t="s">
        <v>68</v>
      </c>
      <c r="JPW5079" s="910" t="s">
        <v>75</v>
      </c>
      <c r="JPX5079" s="911"/>
      <c r="JPY5079" s="911"/>
      <c r="JPZ5079" s="911"/>
      <c r="JQA5079" s="911"/>
      <c r="JQB5079" s="911"/>
      <c r="JQC5079" s="911"/>
      <c r="JQD5079" s="911"/>
      <c r="JQE5079" s="911"/>
      <c r="JQF5079" s="911"/>
      <c r="JQG5079" s="32"/>
      <c r="JQH5079" s="911" t="s">
        <v>74</v>
      </c>
      <c r="JQI5079" s="911"/>
      <c r="JQJ5079" s="911"/>
      <c r="JQK5079" s="911"/>
      <c r="JQL5079" s="911"/>
      <c r="JQM5079" s="911"/>
      <c r="JQN5079" s="911"/>
      <c r="JQO5079" s="911"/>
      <c r="JQP5079" s="911"/>
      <c r="JQQ5079" s="912"/>
      <c r="JQS5079" s="913" t="s">
        <v>1</v>
      </c>
      <c r="JQT5079" s="31"/>
      <c r="JQU5079" s="909" t="s">
        <v>0</v>
      </c>
      <c r="JQV5079" s="909"/>
      <c r="JQW5079" s="909"/>
      <c r="JQX5079" s="909"/>
      <c r="JQY5079" s="909"/>
      <c r="JQZ5079" s="909"/>
      <c r="JRA5079" s="907" t="s">
        <v>79</v>
      </c>
      <c r="JRB5079" s="909" t="s">
        <v>68</v>
      </c>
      <c r="JRC5079" s="910" t="s">
        <v>75</v>
      </c>
      <c r="JRD5079" s="911"/>
      <c r="JRE5079" s="911"/>
      <c r="JRF5079" s="911"/>
      <c r="JRG5079" s="911"/>
      <c r="JRH5079" s="911"/>
      <c r="JRI5079" s="911"/>
      <c r="JRJ5079" s="911"/>
      <c r="JRK5079" s="911"/>
      <c r="JRL5079" s="911"/>
      <c r="JRM5079" s="32"/>
      <c r="JRN5079" s="911" t="s">
        <v>74</v>
      </c>
      <c r="JRO5079" s="911"/>
      <c r="JRP5079" s="911"/>
      <c r="JRQ5079" s="911"/>
      <c r="JRR5079" s="911"/>
      <c r="JRS5079" s="911"/>
      <c r="JRT5079" s="911"/>
      <c r="JRU5079" s="911"/>
      <c r="JRV5079" s="911"/>
      <c r="JRW5079" s="912"/>
      <c r="JRY5079" s="913" t="s">
        <v>1</v>
      </c>
      <c r="JRZ5079" s="31"/>
      <c r="JSA5079" s="909" t="s">
        <v>0</v>
      </c>
      <c r="JSB5079" s="909"/>
      <c r="JSC5079" s="909"/>
      <c r="JSD5079" s="909"/>
      <c r="JSE5079" s="909"/>
      <c r="JSF5079" s="909"/>
      <c r="JSG5079" s="907" t="s">
        <v>79</v>
      </c>
      <c r="JSH5079" s="909" t="s">
        <v>68</v>
      </c>
      <c r="JSI5079" s="910" t="s">
        <v>75</v>
      </c>
      <c r="JSJ5079" s="911"/>
      <c r="JSK5079" s="911"/>
      <c r="JSL5079" s="911"/>
      <c r="JSM5079" s="911"/>
      <c r="JSN5079" s="911"/>
      <c r="JSO5079" s="911"/>
      <c r="JSP5079" s="911"/>
      <c r="JSQ5079" s="911"/>
      <c r="JSR5079" s="911"/>
      <c r="JSS5079" s="32"/>
      <c r="JST5079" s="911" t="s">
        <v>74</v>
      </c>
      <c r="JSU5079" s="911"/>
      <c r="JSV5079" s="911"/>
      <c r="JSW5079" s="911"/>
      <c r="JSX5079" s="911"/>
      <c r="JSY5079" s="911"/>
      <c r="JSZ5079" s="911"/>
      <c r="JTA5079" s="911"/>
      <c r="JTB5079" s="911"/>
      <c r="JTC5079" s="912"/>
      <c r="JTE5079" s="913" t="s">
        <v>1</v>
      </c>
      <c r="JTF5079" s="31"/>
      <c r="JTG5079" s="909" t="s">
        <v>0</v>
      </c>
      <c r="JTH5079" s="909"/>
      <c r="JTI5079" s="909"/>
      <c r="JTJ5079" s="909"/>
      <c r="JTK5079" s="909"/>
      <c r="JTL5079" s="909"/>
      <c r="JTM5079" s="907" t="s">
        <v>79</v>
      </c>
      <c r="JTN5079" s="909" t="s">
        <v>68</v>
      </c>
      <c r="JTO5079" s="910" t="s">
        <v>75</v>
      </c>
      <c r="JTP5079" s="911"/>
      <c r="JTQ5079" s="911"/>
      <c r="JTR5079" s="911"/>
      <c r="JTS5079" s="911"/>
      <c r="JTT5079" s="911"/>
      <c r="JTU5079" s="911"/>
      <c r="JTV5079" s="911"/>
      <c r="JTW5079" s="911"/>
      <c r="JTX5079" s="911"/>
      <c r="JTY5079" s="32"/>
      <c r="JTZ5079" s="911" t="s">
        <v>74</v>
      </c>
      <c r="JUA5079" s="911"/>
      <c r="JUB5079" s="911"/>
      <c r="JUC5079" s="911"/>
      <c r="JUD5079" s="911"/>
      <c r="JUE5079" s="911"/>
      <c r="JUF5079" s="911"/>
      <c r="JUG5079" s="911"/>
      <c r="JUH5079" s="911"/>
      <c r="JUI5079" s="912"/>
      <c r="JUK5079" s="913" t="s">
        <v>1</v>
      </c>
      <c r="JUL5079" s="31"/>
      <c r="JUM5079" s="909" t="s">
        <v>0</v>
      </c>
      <c r="JUN5079" s="909"/>
      <c r="JUO5079" s="909"/>
      <c r="JUP5079" s="909"/>
      <c r="JUQ5079" s="909"/>
      <c r="JUR5079" s="909"/>
      <c r="JUS5079" s="907" t="s">
        <v>79</v>
      </c>
      <c r="JUT5079" s="909" t="s">
        <v>68</v>
      </c>
      <c r="JUU5079" s="910" t="s">
        <v>75</v>
      </c>
      <c r="JUV5079" s="911"/>
      <c r="JUW5079" s="911"/>
      <c r="JUX5079" s="911"/>
      <c r="JUY5079" s="911"/>
      <c r="JUZ5079" s="911"/>
      <c r="JVA5079" s="911"/>
      <c r="JVB5079" s="911"/>
      <c r="JVC5079" s="911"/>
      <c r="JVD5079" s="911"/>
      <c r="JVE5079" s="32"/>
      <c r="JVF5079" s="911" t="s">
        <v>74</v>
      </c>
      <c r="JVG5079" s="911"/>
      <c r="JVH5079" s="911"/>
      <c r="JVI5079" s="911"/>
      <c r="JVJ5079" s="911"/>
      <c r="JVK5079" s="911"/>
      <c r="JVL5079" s="911"/>
      <c r="JVM5079" s="911"/>
      <c r="JVN5079" s="911"/>
      <c r="JVO5079" s="912"/>
      <c r="JVQ5079" s="913" t="s">
        <v>1</v>
      </c>
      <c r="JVR5079" s="31"/>
      <c r="JVS5079" s="909" t="s">
        <v>0</v>
      </c>
      <c r="JVT5079" s="909"/>
      <c r="JVU5079" s="909"/>
      <c r="JVV5079" s="909"/>
      <c r="JVW5079" s="909"/>
      <c r="JVX5079" s="909"/>
      <c r="JVY5079" s="907" t="s">
        <v>79</v>
      </c>
      <c r="JVZ5079" s="909" t="s">
        <v>68</v>
      </c>
      <c r="JWA5079" s="910" t="s">
        <v>75</v>
      </c>
      <c r="JWB5079" s="911"/>
      <c r="JWC5079" s="911"/>
      <c r="JWD5079" s="911"/>
      <c r="JWE5079" s="911"/>
      <c r="JWF5079" s="911"/>
      <c r="JWG5079" s="911"/>
      <c r="JWH5079" s="911"/>
      <c r="JWI5079" s="911"/>
      <c r="JWJ5079" s="911"/>
      <c r="JWK5079" s="32"/>
      <c r="JWL5079" s="911" t="s">
        <v>74</v>
      </c>
      <c r="JWM5079" s="911"/>
      <c r="JWN5079" s="911"/>
      <c r="JWO5079" s="911"/>
      <c r="JWP5079" s="911"/>
      <c r="JWQ5079" s="911"/>
      <c r="JWR5079" s="911"/>
      <c r="JWS5079" s="911"/>
      <c r="JWT5079" s="911"/>
      <c r="JWU5079" s="912"/>
      <c r="JWW5079" s="913" t="s">
        <v>1</v>
      </c>
      <c r="JWX5079" s="31"/>
      <c r="JWY5079" s="909" t="s">
        <v>0</v>
      </c>
      <c r="JWZ5079" s="909"/>
      <c r="JXA5079" s="909"/>
      <c r="JXB5079" s="909"/>
      <c r="JXC5079" s="909"/>
      <c r="JXD5079" s="909"/>
      <c r="JXE5079" s="907" t="s">
        <v>79</v>
      </c>
      <c r="JXF5079" s="909" t="s">
        <v>68</v>
      </c>
      <c r="JXG5079" s="910" t="s">
        <v>75</v>
      </c>
      <c r="JXH5079" s="911"/>
      <c r="JXI5079" s="911"/>
      <c r="JXJ5079" s="911"/>
      <c r="JXK5079" s="911"/>
      <c r="JXL5079" s="911"/>
      <c r="JXM5079" s="911"/>
      <c r="JXN5079" s="911"/>
      <c r="JXO5079" s="911"/>
      <c r="JXP5079" s="911"/>
      <c r="JXQ5079" s="32"/>
      <c r="JXR5079" s="911" t="s">
        <v>74</v>
      </c>
      <c r="JXS5079" s="911"/>
      <c r="JXT5079" s="911"/>
      <c r="JXU5079" s="911"/>
      <c r="JXV5079" s="911"/>
      <c r="JXW5079" s="911"/>
      <c r="JXX5079" s="911"/>
      <c r="JXY5079" s="911"/>
      <c r="JXZ5079" s="911"/>
      <c r="JYA5079" s="912"/>
      <c r="JYC5079" s="913" t="s">
        <v>1</v>
      </c>
      <c r="JYD5079" s="31"/>
      <c r="JYE5079" s="909" t="s">
        <v>0</v>
      </c>
      <c r="JYF5079" s="909"/>
      <c r="JYG5079" s="909"/>
      <c r="JYH5079" s="909"/>
      <c r="JYI5079" s="909"/>
      <c r="JYJ5079" s="909"/>
      <c r="JYK5079" s="907" t="s">
        <v>79</v>
      </c>
      <c r="JYL5079" s="909" t="s">
        <v>68</v>
      </c>
      <c r="JYM5079" s="910" t="s">
        <v>75</v>
      </c>
      <c r="JYN5079" s="911"/>
      <c r="JYO5079" s="911"/>
      <c r="JYP5079" s="911"/>
      <c r="JYQ5079" s="911"/>
      <c r="JYR5079" s="911"/>
      <c r="JYS5079" s="911"/>
      <c r="JYT5079" s="911"/>
      <c r="JYU5079" s="911"/>
      <c r="JYV5079" s="911"/>
      <c r="JYW5079" s="32"/>
      <c r="JYX5079" s="911" t="s">
        <v>74</v>
      </c>
      <c r="JYY5079" s="911"/>
      <c r="JYZ5079" s="911"/>
      <c r="JZA5079" s="911"/>
      <c r="JZB5079" s="911"/>
      <c r="JZC5079" s="911"/>
      <c r="JZD5079" s="911"/>
      <c r="JZE5079" s="911"/>
      <c r="JZF5079" s="911"/>
      <c r="JZG5079" s="912"/>
      <c r="JZI5079" s="913" t="s">
        <v>1</v>
      </c>
      <c r="JZJ5079" s="31"/>
      <c r="JZK5079" s="909" t="s">
        <v>0</v>
      </c>
      <c r="JZL5079" s="909"/>
      <c r="JZM5079" s="909"/>
      <c r="JZN5079" s="909"/>
      <c r="JZO5079" s="909"/>
      <c r="JZP5079" s="909"/>
      <c r="JZQ5079" s="907" t="s">
        <v>79</v>
      </c>
      <c r="JZR5079" s="909" t="s">
        <v>68</v>
      </c>
      <c r="JZS5079" s="910" t="s">
        <v>75</v>
      </c>
      <c r="JZT5079" s="911"/>
      <c r="JZU5079" s="911"/>
      <c r="JZV5079" s="911"/>
      <c r="JZW5079" s="911"/>
      <c r="JZX5079" s="911"/>
      <c r="JZY5079" s="911"/>
      <c r="JZZ5079" s="911"/>
      <c r="KAA5079" s="911"/>
      <c r="KAB5079" s="911"/>
      <c r="KAC5079" s="32"/>
      <c r="KAD5079" s="911" t="s">
        <v>74</v>
      </c>
      <c r="KAE5079" s="911"/>
      <c r="KAF5079" s="911"/>
      <c r="KAG5079" s="911"/>
      <c r="KAH5079" s="911"/>
      <c r="KAI5079" s="911"/>
      <c r="KAJ5079" s="911"/>
      <c r="KAK5079" s="911"/>
      <c r="KAL5079" s="911"/>
      <c r="KAM5079" s="912"/>
      <c r="KAO5079" s="913" t="s">
        <v>1</v>
      </c>
      <c r="KAP5079" s="31"/>
      <c r="KAQ5079" s="909" t="s">
        <v>0</v>
      </c>
      <c r="KAR5079" s="909"/>
      <c r="KAS5079" s="909"/>
      <c r="KAT5079" s="909"/>
      <c r="KAU5079" s="909"/>
      <c r="KAV5079" s="909"/>
      <c r="KAW5079" s="907" t="s">
        <v>79</v>
      </c>
      <c r="KAX5079" s="909" t="s">
        <v>68</v>
      </c>
      <c r="KAY5079" s="910" t="s">
        <v>75</v>
      </c>
      <c r="KAZ5079" s="911"/>
      <c r="KBA5079" s="911"/>
      <c r="KBB5079" s="911"/>
      <c r="KBC5079" s="911"/>
      <c r="KBD5079" s="911"/>
      <c r="KBE5079" s="911"/>
      <c r="KBF5079" s="911"/>
      <c r="KBG5079" s="911"/>
      <c r="KBH5079" s="911"/>
      <c r="KBI5079" s="32"/>
      <c r="KBJ5079" s="911" t="s">
        <v>74</v>
      </c>
      <c r="KBK5079" s="911"/>
      <c r="KBL5079" s="911"/>
      <c r="KBM5079" s="911"/>
      <c r="KBN5079" s="911"/>
      <c r="KBO5079" s="911"/>
      <c r="KBP5079" s="911"/>
      <c r="KBQ5079" s="911"/>
      <c r="KBR5079" s="911"/>
      <c r="KBS5079" s="912"/>
      <c r="KBU5079" s="913" t="s">
        <v>1</v>
      </c>
      <c r="KBV5079" s="31"/>
      <c r="KBW5079" s="909" t="s">
        <v>0</v>
      </c>
      <c r="KBX5079" s="909"/>
      <c r="KBY5079" s="909"/>
      <c r="KBZ5079" s="909"/>
      <c r="KCA5079" s="909"/>
      <c r="KCB5079" s="909"/>
      <c r="KCC5079" s="907" t="s">
        <v>79</v>
      </c>
      <c r="KCD5079" s="909" t="s">
        <v>68</v>
      </c>
      <c r="KCE5079" s="910" t="s">
        <v>75</v>
      </c>
      <c r="KCF5079" s="911"/>
      <c r="KCG5079" s="911"/>
      <c r="KCH5079" s="911"/>
      <c r="KCI5079" s="911"/>
      <c r="KCJ5079" s="911"/>
      <c r="KCK5079" s="911"/>
      <c r="KCL5079" s="911"/>
      <c r="KCM5079" s="911"/>
      <c r="KCN5079" s="911"/>
      <c r="KCO5079" s="32"/>
      <c r="KCP5079" s="911" t="s">
        <v>74</v>
      </c>
      <c r="KCQ5079" s="911"/>
      <c r="KCR5079" s="911"/>
      <c r="KCS5079" s="911"/>
      <c r="KCT5079" s="911"/>
      <c r="KCU5079" s="911"/>
      <c r="KCV5079" s="911"/>
      <c r="KCW5079" s="911"/>
      <c r="KCX5079" s="911"/>
      <c r="KCY5079" s="912"/>
      <c r="KDA5079" s="913" t="s">
        <v>1</v>
      </c>
      <c r="KDB5079" s="31"/>
      <c r="KDC5079" s="909" t="s">
        <v>0</v>
      </c>
      <c r="KDD5079" s="909"/>
      <c r="KDE5079" s="909"/>
      <c r="KDF5079" s="909"/>
      <c r="KDG5079" s="909"/>
      <c r="KDH5079" s="909"/>
      <c r="KDI5079" s="907" t="s">
        <v>79</v>
      </c>
      <c r="KDJ5079" s="909" t="s">
        <v>68</v>
      </c>
      <c r="KDK5079" s="910" t="s">
        <v>75</v>
      </c>
      <c r="KDL5079" s="911"/>
      <c r="KDM5079" s="911"/>
      <c r="KDN5079" s="911"/>
      <c r="KDO5079" s="911"/>
      <c r="KDP5079" s="911"/>
      <c r="KDQ5079" s="911"/>
      <c r="KDR5079" s="911"/>
      <c r="KDS5079" s="911"/>
      <c r="KDT5079" s="911"/>
      <c r="KDU5079" s="32"/>
      <c r="KDV5079" s="911" t="s">
        <v>74</v>
      </c>
      <c r="KDW5079" s="911"/>
      <c r="KDX5079" s="911"/>
      <c r="KDY5079" s="911"/>
      <c r="KDZ5079" s="911"/>
      <c r="KEA5079" s="911"/>
      <c r="KEB5079" s="911"/>
      <c r="KEC5079" s="911"/>
      <c r="KED5079" s="911"/>
      <c r="KEE5079" s="912"/>
      <c r="KEG5079" s="913" t="s">
        <v>1</v>
      </c>
      <c r="KEH5079" s="31"/>
      <c r="KEI5079" s="909" t="s">
        <v>0</v>
      </c>
      <c r="KEJ5079" s="909"/>
      <c r="KEK5079" s="909"/>
      <c r="KEL5079" s="909"/>
      <c r="KEM5079" s="909"/>
      <c r="KEN5079" s="909"/>
      <c r="KEO5079" s="907" t="s">
        <v>79</v>
      </c>
      <c r="KEP5079" s="909" t="s">
        <v>68</v>
      </c>
      <c r="KEQ5079" s="910" t="s">
        <v>75</v>
      </c>
      <c r="KER5079" s="911"/>
      <c r="KES5079" s="911"/>
      <c r="KET5079" s="911"/>
      <c r="KEU5079" s="911"/>
      <c r="KEV5079" s="911"/>
      <c r="KEW5079" s="911"/>
      <c r="KEX5079" s="911"/>
      <c r="KEY5079" s="911"/>
      <c r="KEZ5079" s="911"/>
      <c r="KFA5079" s="32"/>
      <c r="KFB5079" s="911" t="s">
        <v>74</v>
      </c>
      <c r="KFC5079" s="911"/>
      <c r="KFD5079" s="911"/>
      <c r="KFE5079" s="911"/>
      <c r="KFF5079" s="911"/>
      <c r="KFG5079" s="911"/>
      <c r="KFH5079" s="911"/>
      <c r="KFI5079" s="911"/>
      <c r="KFJ5079" s="911"/>
      <c r="KFK5079" s="912"/>
      <c r="KFM5079" s="913" t="s">
        <v>1</v>
      </c>
      <c r="KFN5079" s="31"/>
      <c r="KFO5079" s="909" t="s">
        <v>0</v>
      </c>
      <c r="KFP5079" s="909"/>
      <c r="KFQ5079" s="909"/>
      <c r="KFR5079" s="909"/>
      <c r="KFS5079" s="909"/>
      <c r="KFT5079" s="909"/>
      <c r="KFU5079" s="907" t="s">
        <v>79</v>
      </c>
      <c r="KFV5079" s="909" t="s">
        <v>68</v>
      </c>
      <c r="KFW5079" s="910" t="s">
        <v>75</v>
      </c>
      <c r="KFX5079" s="911"/>
      <c r="KFY5079" s="911"/>
      <c r="KFZ5079" s="911"/>
      <c r="KGA5079" s="911"/>
      <c r="KGB5079" s="911"/>
      <c r="KGC5079" s="911"/>
      <c r="KGD5079" s="911"/>
      <c r="KGE5079" s="911"/>
      <c r="KGF5079" s="911"/>
      <c r="KGG5079" s="32"/>
      <c r="KGH5079" s="911" t="s">
        <v>74</v>
      </c>
      <c r="KGI5079" s="911"/>
      <c r="KGJ5079" s="911"/>
      <c r="KGK5079" s="911"/>
      <c r="KGL5079" s="911"/>
      <c r="KGM5079" s="911"/>
      <c r="KGN5079" s="911"/>
      <c r="KGO5079" s="911"/>
      <c r="KGP5079" s="911"/>
      <c r="KGQ5079" s="912"/>
      <c r="KGS5079" s="913" t="s">
        <v>1</v>
      </c>
      <c r="KGT5079" s="31"/>
      <c r="KGU5079" s="909" t="s">
        <v>0</v>
      </c>
      <c r="KGV5079" s="909"/>
      <c r="KGW5079" s="909"/>
      <c r="KGX5079" s="909"/>
      <c r="KGY5079" s="909"/>
      <c r="KGZ5079" s="909"/>
      <c r="KHA5079" s="907" t="s">
        <v>79</v>
      </c>
      <c r="KHB5079" s="909" t="s">
        <v>68</v>
      </c>
      <c r="KHC5079" s="910" t="s">
        <v>75</v>
      </c>
      <c r="KHD5079" s="911"/>
      <c r="KHE5079" s="911"/>
      <c r="KHF5079" s="911"/>
      <c r="KHG5079" s="911"/>
      <c r="KHH5079" s="911"/>
      <c r="KHI5079" s="911"/>
      <c r="KHJ5079" s="911"/>
      <c r="KHK5079" s="911"/>
      <c r="KHL5079" s="911"/>
      <c r="KHM5079" s="32"/>
      <c r="KHN5079" s="911" t="s">
        <v>74</v>
      </c>
      <c r="KHO5079" s="911"/>
      <c r="KHP5079" s="911"/>
      <c r="KHQ5079" s="911"/>
      <c r="KHR5079" s="911"/>
      <c r="KHS5079" s="911"/>
      <c r="KHT5079" s="911"/>
      <c r="KHU5079" s="911"/>
      <c r="KHV5079" s="911"/>
      <c r="KHW5079" s="912"/>
      <c r="KHY5079" s="913" t="s">
        <v>1</v>
      </c>
      <c r="KHZ5079" s="31"/>
      <c r="KIA5079" s="909" t="s">
        <v>0</v>
      </c>
      <c r="KIB5079" s="909"/>
      <c r="KIC5079" s="909"/>
      <c r="KID5079" s="909"/>
      <c r="KIE5079" s="909"/>
      <c r="KIF5079" s="909"/>
      <c r="KIG5079" s="907" t="s">
        <v>79</v>
      </c>
      <c r="KIH5079" s="909" t="s">
        <v>68</v>
      </c>
      <c r="KII5079" s="910" t="s">
        <v>75</v>
      </c>
      <c r="KIJ5079" s="911"/>
      <c r="KIK5079" s="911"/>
      <c r="KIL5079" s="911"/>
      <c r="KIM5079" s="911"/>
      <c r="KIN5079" s="911"/>
      <c r="KIO5079" s="911"/>
      <c r="KIP5079" s="911"/>
      <c r="KIQ5079" s="911"/>
      <c r="KIR5079" s="911"/>
      <c r="KIS5079" s="32"/>
      <c r="KIT5079" s="911" t="s">
        <v>74</v>
      </c>
      <c r="KIU5079" s="911"/>
      <c r="KIV5079" s="911"/>
      <c r="KIW5079" s="911"/>
      <c r="KIX5079" s="911"/>
      <c r="KIY5079" s="911"/>
      <c r="KIZ5079" s="911"/>
      <c r="KJA5079" s="911"/>
      <c r="KJB5079" s="911"/>
      <c r="KJC5079" s="912"/>
      <c r="KJE5079" s="913" t="s">
        <v>1</v>
      </c>
      <c r="KJF5079" s="31"/>
      <c r="KJG5079" s="909" t="s">
        <v>0</v>
      </c>
      <c r="KJH5079" s="909"/>
      <c r="KJI5079" s="909"/>
      <c r="KJJ5079" s="909"/>
      <c r="KJK5079" s="909"/>
      <c r="KJL5079" s="909"/>
      <c r="KJM5079" s="907" t="s">
        <v>79</v>
      </c>
      <c r="KJN5079" s="909" t="s">
        <v>68</v>
      </c>
      <c r="KJO5079" s="910" t="s">
        <v>75</v>
      </c>
      <c r="KJP5079" s="911"/>
      <c r="KJQ5079" s="911"/>
      <c r="KJR5079" s="911"/>
      <c r="KJS5079" s="911"/>
      <c r="KJT5079" s="911"/>
      <c r="KJU5079" s="911"/>
      <c r="KJV5079" s="911"/>
      <c r="KJW5079" s="911"/>
      <c r="KJX5079" s="911"/>
      <c r="KJY5079" s="32"/>
      <c r="KJZ5079" s="911" t="s">
        <v>74</v>
      </c>
      <c r="KKA5079" s="911"/>
      <c r="KKB5079" s="911"/>
      <c r="KKC5079" s="911"/>
      <c r="KKD5079" s="911"/>
      <c r="KKE5079" s="911"/>
      <c r="KKF5079" s="911"/>
      <c r="KKG5079" s="911"/>
      <c r="KKH5079" s="911"/>
      <c r="KKI5079" s="912"/>
      <c r="KKK5079" s="913" t="s">
        <v>1</v>
      </c>
      <c r="KKL5079" s="31"/>
      <c r="KKM5079" s="909" t="s">
        <v>0</v>
      </c>
      <c r="KKN5079" s="909"/>
      <c r="KKO5079" s="909"/>
      <c r="KKP5079" s="909"/>
      <c r="KKQ5079" s="909"/>
      <c r="KKR5079" s="909"/>
      <c r="KKS5079" s="907" t="s">
        <v>79</v>
      </c>
      <c r="KKT5079" s="909" t="s">
        <v>68</v>
      </c>
      <c r="KKU5079" s="910" t="s">
        <v>75</v>
      </c>
      <c r="KKV5079" s="911"/>
      <c r="KKW5079" s="911"/>
      <c r="KKX5079" s="911"/>
      <c r="KKY5079" s="911"/>
      <c r="KKZ5079" s="911"/>
      <c r="KLA5079" s="911"/>
      <c r="KLB5079" s="911"/>
      <c r="KLC5079" s="911"/>
      <c r="KLD5079" s="911"/>
      <c r="KLE5079" s="32"/>
      <c r="KLF5079" s="911" t="s">
        <v>74</v>
      </c>
      <c r="KLG5079" s="911"/>
      <c r="KLH5079" s="911"/>
      <c r="KLI5079" s="911"/>
      <c r="KLJ5079" s="911"/>
      <c r="KLK5079" s="911"/>
      <c r="KLL5079" s="911"/>
      <c r="KLM5079" s="911"/>
      <c r="KLN5079" s="911"/>
      <c r="KLO5079" s="912"/>
      <c r="KLQ5079" s="913" t="s">
        <v>1</v>
      </c>
      <c r="KLR5079" s="31"/>
      <c r="KLS5079" s="909" t="s">
        <v>0</v>
      </c>
      <c r="KLT5079" s="909"/>
      <c r="KLU5079" s="909"/>
      <c r="KLV5079" s="909"/>
      <c r="KLW5079" s="909"/>
      <c r="KLX5079" s="909"/>
      <c r="KLY5079" s="907" t="s">
        <v>79</v>
      </c>
      <c r="KLZ5079" s="909" t="s">
        <v>68</v>
      </c>
      <c r="KMA5079" s="910" t="s">
        <v>75</v>
      </c>
      <c r="KMB5079" s="911"/>
      <c r="KMC5079" s="911"/>
      <c r="KMD5079" s="911"/>
      <c r="KME5079" s="911"/>
      <c r="KMF5079" s="911"/>
      <c r="KMG5079" s="911"/>
      <c r="KMH5079" s="911"/>
      <c r="KMI5079" s="911"/>
      <c r="KMJ5079" s="911"/>
      <c r="KMK5079" s="32"/>
      <c r="KML5079" s="911" t="s">
        <v>74</v>
      </c>
      <c r="KMM5079" s="911"/>
      <c r="KMN5079" s="911"/>
      <c r="KMO5079" s="911"/>
      <c r="KMP5079" s="911"/>
      <c r="KMQ5079" s="911"/>
      <c r="KMR5079" s="911"/>
      <c r="KMS5079" s="911"/>
      <c r="KMT5079" s="911"/>
      <c r="KMU5079" s="912"/>
      <c r="KMW5079" s="913" t="s">
        <v>1</v>
      </c>
      <c r="KMX5079" s="31"/>
      <c r="KMY5079" s="909" t="s">
        <v>0</v>
      </c>
      <c r="KMZ5079" s="909"/>
      <c r="KNA5079" s="909"/>
      <c r="KNB5079" s="909"/>
      <c r="KNC5079" s="909"/>
      <c r="KND5079" s="909"/>
      <c r="KNE5079" s="907" t="s">
        <v>79</v>
      </c>
      <c r="KNF5079" s="909" t="s">
        <v>68</v>
      </c>
      <c r="KNG5079" s="910" t="s">
        <v>75</v>
      </c>
      <c r="KNH5079" s="911"/>
      <c r="KNI5079" s="911"/>
      <c r="KNJ5079" s="911"/>
      <c r="KNK5079" s="911"/>
      <c r="KNL5079" s="911"/>
      <c r="KNM5079" s="911"/>
      <c r="KNN5079" s="911"/>
      <c r="KNO5079" s="911"/>
      <c r="KNP5079" s="911"/>
      <c r="KNQ5079" s="32"/>
      <c r="KNR5079" s="911" t="s">
        <v>74</v>
      </c>
      <c r="KNS5079" s="911"/>
      <c r="KNT5079" s="911"/>
      <c r="KNU5079" s="911"/>
      <c r="KNV5079" s="911"/>
      <c r="KNW5079" s="911"/>
      <c r="KNX5079" s="911"/>
      <c r="KNY5079" s="911"/>
      <c r="KNZ5079" s="911"/>
      <c r="KOA5079" s="912"/>
      <c r="KOC5079" s="913" t="s">
        <v>1</v>
      </c>
      <c r="KOD5079" s="31"/>
      <c r="KOE5079" s="909" t="s">
        <v>0</v>
      </c>
      <c r="KOF5079" s="909"/>
      <c r="KOG5079" s="909"/>
      <c r="KOH5079" s="909"/>
      <c r="KOI5079" s="909"/>
      <c r="KOJ5079" s="909"/>
      <c r="KOK5079" s="907" t="s">
        <v>79</v>
      </c>
      <c r="KOL5079" s="909" t="s">
        <v>68</v>
      </c>
      <c r="KOM5079" s="910" t="s">
        <v>75</v>
      </c>
      <c r="KON5079" s="911"/>
      <c r="KOO5079" s="911"/>
      <c r="KOP5079" s="911"/>
      <c r="KOQ5079" s="911"/>
      <c r="KOR5079" s="911"/>
      <c r="KOS5079" s="911"/>
      <c r="KOT5079" s="911"/>
      <c r="KOU5079" s="911"/>
      <c r="KOV5079" s="911"/>
      <c r="KOW5079" s="32"/>
      <c r="KOX5079" s="911" t="s">
        <v>74</v>
      </c>
      <c r="KOY5079" s="911"/>
      <c r="KOZ5079" s="911"/>
      <c r="KPA5079" s="911"/>
      <c r="KPB5079" s="911"/>
      <c r="KPC5079" s="911"/>
      <c r="KPD5079" s="911"/>
      <c r="KPE5079" s="911"/>
      <c r="KPF5079" s="911"/>
      <c r="KPG5079" s="912"/>
      <c r="KPI5079" s="913" t="s">
        <v>1</v>
      </c>
      <c r="KPJ5079" s="31"/>
      <c r="KPK5079" s="909" t="s">
        <v>0</v>
      </c>
      <c r="KPL5079" s="909"/>
      <c r="KPM5079" s="909"/>
      <c r="KPN5079" s="909"/>
      <c r="KPO5079" s="909"/>
      <c r="KPP5079" s="909"/>
      <c r="KPQ5079" s="907" t="s">
        <v>79</v>
      </c>
      <c r="KPR5079" s="909" t="s">
        <v>68</v>
      </c>
      <c r="KPS5079" s="910" t="s">
        <v>75</v>
      </c>
      <c r="KPT5079" s="911"/>
      <c r="KPU5079" s="911"/>
      <c r="KPV5079" s="911"/>
      <c r="KPW5079" s="911"/>
      <c r="KPX5079" s="911"/>
      <c r="KPY5079" s="911"/>
      <c r="KPZ5079" s="911"/>
      <c r="KQA5079" s="911"/>
      <c r="KQB5079" s="911"/>
      <c r="KQC5079" s="32"/>
      <c r="KQD5079" s="911" t="s">
        <v>74</v>
      </c>
      <c r="KQE5079" s="911"/>
      <c r="KQF5079" s="911"/>
      <c r="KQG5079" s="911"/>
      <c r="KQH5079" s="911"/>
      <c r="KQI5079" s="911"/>
      <c r="KQJ5079" s="911"/>
      <c r="KQK5079" s="911"/>
      <c r="KQL5079" s="911"/>
      <c r="KQM5079" s="912"/>
      <c r="KQO5079" s="913" t="s">
        <v>1</v>
      </c>
      <c r="KQP5079" s="31"/>
      <c r="KQQ5079" s="909" t="s">
        <v>0</v>
      </c>
      <c r="KQR5079" s="909"/>
      <c r="KQS5079" s="909"/>
      <c r="KQT5079" s="909"/>
      <c r="KQU5079" s="909"/>
      <c r="KQV5079" s="909"/>
      <c r="KQW5079" s="907" t="s">
        <v>79</v>
      </c>
      <c r="KQX5079" s="909" t="s">
        <v>68</v>
      </c>
      <c r="KQY5079" s="910" t="s">
        <v>75</v>
      </c>
      <c r="KQZ5079" s="911"/>
      <c r="KRA5079" s="911"/>
      <c r="KRB5079" s="911"/>
      <c r="KRC5079" s="911"/>
      <c r="KRD5079" s="911"/>
      <c r="KRE5079" s="911"/>
      <c r="KRF5079" s="911"/>
      <c r="KRG5079" s="911"/>
      <c r="KRH5079" s="911"/>
      <c r="KRI5079" s="32"/>
      <c r="KRJ5079" s="911" t="s">
        <v>74</v>
      </c>
      <c r="KRK5079" s="911"/>
      <c r="KRL5079" s="911"/>
      <c r="KRM5079" s="911"/>
      <c r="KRN5079" s="911"/>
      <c r="KRO5079" s="911"/>
      <c r="KRP5079" s="911"/>
      <c r="KRQ5079" s="911"/>
      <c r="KRR5079" s="911"/>
      <c r="KRS5079" s="912"/>
      <c r="KRU5079" s="913" t="s">
        <v>1</v>
      </c>
      <c r="KRV5079" s="31"/>
      <c r="KRW5079" s="909" t="s">
        <v>0</v>
      </c>
      <c r="KRX5079" s="909"/>
      <c r="KRY5079" s="909"/>
      <c r="KRZ5079" s="909"/>
      <c r="KSA5079" s="909"/>
      <c r="KSB5079" s="909"/>
      <c r="KSC5079" s="907" t="s">
        <v>79</v>
      </c>
      <c r="KSD5079" s="909" t="s">
        <v>68</v>
      </c>
      <c r="KSE5079" s="910" t="s">
        <v>75</v>
      </c>
      <c r="KSF5079" s="911"/>
      <c r="KSG5079" s="911"/>
      <c r="KSH5079" s="911"/>
      <c r="KSI5079" s="911"/>
      <c r="KSJ5079" s="911"/>
      <c r="KSK5079" s="911"/>
      <c r="KSL5079" s="911"/>
      <c r="KSM5079" s="911"/>
      <c r="KSN5079" s="911"/>
      <c r="KSO5079" s="32"/>
      <c r="KSP5079" s="911" t="s">
        <v>74</v>
      </c>
      <c r="KSQ5079" s="911"/>
      <c r="KSR5079" s="911"/>
      <c r="KSS5079" s="911"/>
      <c r="KST5079" s="911"/>
      <c r="KSU5079" s="911"/>
      <c r="KSV5079" s="911"/>
      <c r="KSW5079" s="911"/>
      <c r="KSX5079" s="911"/>
      <c r="KSY5079" s="912"/>
      <c r="KTA5079" s="913" t="s">
        <v>1</v>
      </c>
      <c r="KTB5079" s="31"/>
      <c r="KTC5079" s="909" t="s">
        <v>0</v>
      </c>
      <c r="KTD5079" s="909"/>
      <c r="KTE5079" s="909"/>
      <c r="KTF5079" s="909"/>
      <c r="KTG5079" s="909"/>
      <c r="KTH5079" s="909"/>
      <c r="KTI5079" s="907" t="s">
        <v>79</v>
      </c>
      <c r="KTJ5079" s="909" t="s">
        <v>68</v>
      </c>
      <c r="KTK5079" s="910" t="s">
        <v>75</v>
      </c>
      <c r="KTL5079" s="911"/>
      <c r="KTM5079" s="911"/>
      <c r="KTN5079" s="911"/>
      <c r="KTO5079" s="911"/>
      <c r="KTP5079" s="911"/>
      <c r="KTQ5079" s="911"/>
      <c r="KTR5079" s="911"/>
      <c r="KTS5079" s="911"/>
      <c r="KTT5079" s="911"/>
      <c r="KTU5079" s="32"/>
      <c r="KTV5079" s="911" t="s">
        <v>74</v>
      </c>
      <c r="KTW5079" s="911"/>
      <c r="KTX5079" s="911"/>
      <c r="KTY5079" s="911"/>
      <c r="KTZ5079" s="911"/>
      <c r="KUA5079" s="911"/>
      <c r="KUB5079" s="911"/>
      <c r="KUC5079" s="911"/>
      <c r="KUD5079" s="911"/>
      <c r="KUE5079" s="912"/>
      <c r="KUG5079" s="913" t="s">
        <v>1</v>
      </c>
      <c r="KUH5079" s="31"/>
      <c r="KUI5079" s="909" t="s">
        <v>0</v>
      </c>
      <c r="KUJ5079" s="909"/>
      <c r="KUK5079" s="909"/>
      <c r="KUL5079" s="909"/>
      <c r="KUM5079" s="909"/>
      <c r="KUN5079" s="909"/>
      <c r="KUO5079" s="907" t="s">
        <v>79</v>
      </c>
      <c r="KUP5079" s="909" t="s">
        <v>68</v>
      </c>
      <c r="KUQ5079" s="910" t="s">
        <v>75</v>
      </c>
      <c r="KUR5079" s="911"/>
      <c r="KUS5079" s="911"/>
      <c r="KUT5079" s="911"/>
      <c r="KUU5079" s="911"/>
      <c r="KUV5079" s="911"/>
      <c r="KUW5079" s="911"/>
      <c r="KUX5079" s="911"/>
      <c r="KUY5079" s="911"/>
      <c r="KUZ5079" s="911"/>
      <c r="KVA5079" s="32"/>
      <c r="KVB5079" s="911" t="s">
        <v>74</v>
      </c>
      <c r="KVC5079" s="911"/>
      <c r="KVD5079" s="911"/>
      <c r="KVE5079" s="911"/>
      <c r="KVF5079" s="911"/>
      <c r="KVG5079" s="911"/>
      <c r="KVH5079" s="911"/>
      <c r="KVI5079" s="911"/>
      <c r="KVJ5079" s="911"/>
      <c r="KVK5079" s="912"/>
      <c r="KVM5079" s="913" t="s">
        <v>1</v>
      </c>
      <c r="KVN5079" s="31"/>
      <c r="KVO5079" s="909" t="s">
        <v>0</v>
      </c>
      <c r="KVP5079" s="909"/>
      <c r="KVQ5079" s="909"/>
      <c r="KVR5079" s="909"/>
      <c r="KVS5079" s="909"/>
      <c r="KVT5079" s="909"/>
      <c r="KVU5079" s="907" t="s">
        <v>79</v>
      </c>
      <c r="KVV5079" s="909" t="s">
        <v>68</v>
      </c>
      <c r="KVW5079" s="910" t="s">
        <v>75</v>
      </c>
      <c r="KVX5079" s="911"/>
      <c r="KVY5079" s="911"/>
      <c r="KVZ5079" s="911"/>
      <c r="KWA5079" s="911"/>
      <c r="KWB5079" s="911"/>
      <c r="KWC5079" s="911"/>
      <c r="KWD5079" s="911"/>
      <c r="KWE5079" s="911"/>
      <c r="KWF5079" s="911"/>
      <c r="KWG5079" s="32"/>
      <c r="KWH5079" s="911" t="s">
        <v>74</v>
      </c>
      <c r="KWI5079" s="911"/>
      <c r="KWJ5079" s="911"/>
      <c r="KWK5079" s="911"/>
      <c r="KWL5079" s="911"/>
      <c r="KWM5079" s="911"/>
      <c r="KWN5079" s="911"/>
      <c r="KWO5079" s="911"/>
      <c r="KWP5079" s="911"/>
      <c r="KWQ5079" s="912"/>
      <c r="KWS5079" s="913" t="s">
        <v>1</v>
      </c>
      <c r="KWT5079" s="31"/>
      <c r="KWU5079" s="909" t="s">
        <v>0</v>
      </c>
      <c r="KWV5079" s="909"/>
      <c r="KWW5079" s="909"/>
      <c r="KWX5079" s="909"/>
      <c r="KWY5079" s="909"/>
      <c r="KWZ5079" s="909"/>
      <c r="KXA5079" s="907" t="s">
        <v>79</v>
      </c>
      <c r="KXB5079" s="909" t="s">
        <v>68</v>
      </c>
      <c r="KXC5079" s="910" t="s">
        <v>75</v>
      </c>
      <c r="KXD5079" s="911"/>
      <c r="KXE5079" s="911"/>
      <c r="KXF5079" s="911"/>
      <c r="KXG5079" s="911"/>
      <c r="KXH5079" s="911"/>
      <c r="KXI5079" s="911"/>
      <c r="KXJ5079" s="911"/>
      <c r="KXK5079" s="911"/>
      <c r="KXL5079" s="911"/>
      <c r="KXM5079" s="32"/>
      <c r="KXN5079" s="911" t="s">
        <v>74</v>
      </c>
      <c r="KXO5079" s="911"/>
      <c r="KXP5079" s="911"/>
      <c r="KXQ5079" s="911"/>
      <c r="KXR5079" s="911"/>
      <c r="KXS5079" s="911"/>
      <c r="KXT5079" s="911"/>
      <c r="KXU5079" s="911"/>
      <c r="KXV5079" s="911"/>
      <c r="KXW5079" s="912"/>
      <c r="KXY5079" s="913" t="s">
        <v>1</v>
      </c>
      <c r="KXZ5079" s="31"/>
      <c r="KYA5079" s="909" t="s">
        <v>0</v>
      </c>
      <c r="KYB5079" s="909"/>
      <c r="KYC5079" s="909"/>
      <c r="KYD5079" s="909"/>
      <c r="KYE5079" s="909"/>
      <c r="KYF5079" s="909"/>
      <c r="KYG5079" s="907" t="s">
        <v>79</v>
      </c>
      <c r="KYH5079" s="909" t="s">
        <v>68</v>
      </c>
      <c r="KYI5079" s="910" t="s">
        <v>75</v>
      </c>
      <c r="KYJ5079" s="911"/>
      <c r="KYK5079" s="911"/>
      <c r="KYL5079" s="911"/>
      <c r="KYM5079" s="911"/>
      <c r="KYN5079" s="911"/>
      <c r="KYO5079" s="911"/>
      <c r="KYP5079" s="911"/>
      <c r="KYQ5079" s="911"/>
      <c r="KYR5079" s="911"/>
      <c r="KYS5079" s="32"/>
      <c r="KYT5079" s="911" t="s">
        <v>74</v>
      </c>
      <c r="KYU5079" s="911"/>
      <c r="KYV5079" s="911"/>
      <c r="KYW5079" s="911"/>
      <c r="KYX5079" s="911"/>
      <c r="KYY5079" s="911"/>
      <c r="KYZ5079" s="911"/>
      <c r="KZA5079" s="911"/>
      <c r="KZB5079" s="911"/>
      <c r="KZC5079" s="912"/>
      <c r="KZE5079" s="913" t="s">
        <v>1</v>
      </c>
      <c r="KZF5079" s="31"/>
      <c r="KZG5079" s="909" t="s">
        <v>0</v>
      </c>
      <c r="KZH5079" s="909"/>
      <c r="KZI5079" s="909"/>
      <c r="KZJ5079" s="909"/>
      <c r="KZK5079" s="909"/>
      <c r="KZL5079" s="909"/>
      <c r="KZM5079" s="907" t="s">
        <v>79</v>
      </c>
      <c r="KZN5079" s="909" t="s">
        <v>68</v>
      </c>
      <c r="KZO5079" s="910" t="s">
        <v>75</v>
      </c>
      <c r="KZP5079" s="911"/>
      <c r="KZQ5079" s="911"/>
      <c r="KZR5079" s="911"/>
      <c r="KZS5079" s="911"/>
      <c r="KZT5079" s="911"/>
      <c r="KZU5079" s="911"/>
      <c r="KZV5079" s="911"/>
      <c r="KZW5079" s="911"/>
      <c r="KZX5079" s="911"/>
      <c r="KZY5079" s="32"/>
      <c r="KZZ5079" s="911" t="s">
        <v>74</v>
      </c>
      <c r="LAA5079" s="911"/>
      <c r="LAB5079" s="911"/>
      <c r="LAC5079" s="911"/>
      <c r="LAD5079" s="911"/>
      <c r="LAE5079" s="911"/>
      <c r="LAF5079" s="911"/>
      <c r="LAG5079" s="911"/>
      <c r="LAH5079" s="911"/>
      <c r="LAI5079" s="912"/>
      <c r="LAK5079" s="913" t="s">
        <v>1</v>
      </c>
      <c r="LAL5079" s="31"/>
      <c r="LAM5079" s="909" t="s">
        <v>0</v>
      </c>
      <c r="LAN5079" s="909"/>
      <c r="LAO5079" s="909"/>
      <c r="LAP5079" s="909"/>
      <c r="LAQ5079" s="909"/>
      <c r="LAR5079" s="909"/>
      <c r="LAS5079" s="907" t="s">
        <v>79</v>
      </c>
      <c r="LAT5079" s="909" t="s">
        <v>68</v>
      </c>
      <c r="LAU5079" s="910" t="s">
        <v>75</v>
      </c>
      <c r="LAV5079" s="911"/>
      <c r="LAW5079" s="911"/>
      <c r="LAX5079" s="911"/>
      <c r="LAY5079" s="911"/>
      <c r="LAZ5079" s="911"/>
      <c r="LBA5079" s="911"/>
      <c r="LBB5079" s="911"/>
      <c r="LBC5079" s="911"/>
      <c r="LBD5079" s="911"/>
      <c r="LBE5079" s="32"/>
      <c r="LBF5079" s="911" t="s">
        <v>74</v>
      </c>
      <c r="LBG5079" s="911"/>
      <c r="LBH5079" s="911"/>
      <c r="LBI5079" s="911"/>
      <c r="LBJ5079" s="911"/>
      <c r="LBK5079" s="911"/>
      <c r="LBL5079" s="911"/>
      <c r="LBM5079" s="911"/>
      <c r="LBN5079" s="911"/>
      <c r="LBO5079" s="912"/>
      <c r="LBQ5079" s="913" t="s">
        <v>1</v>
      </c>
      <c r="LBR5079" s="31"/>
      <c r="LBS5079" s="909" t="s">
        <v>0</v>
      </c>
      <c r="LBT5079" s="909"/>
      <c r="LBU5079" s="909"/>
      <c r="LBV5079" s="909"/>
      <c r="LBW5079" s="909"/>
      <c r="LBX5079" s="909"/>
      <c r="LBY5079" s="907" t="s">
        <v>79</v>
      </c>
      <c r="LBZ5079" s="909" t="s">
        <v>68</v>
      </c>
      <c r="LCA5079" s="910" t="s">
        <v>75</v>
      </c>
      <c r="LCB5079" s="911"/>
      <c r="LCC5079" s="911"/>
      <c r="LCD5079" s="911"/>
      <c r="LCE5079" s="911"/>
      <c r="LCF5079" s="911"/>
      <c r="LCG5079" s="911"/>
      <c r="LCH5079" s="911"/>
      <c r="LCI5079" s="911"/>
      <c r="LCJ5079" s="911"/>
      <c r="LCK5079" s="32"/>
      <c r="LCL5079" s="911" t="s">
        <v>74</v>
      </c>
      <c r="LCM5079" s="911"/>
      <c r="LCN5079" s="911"/>
      <c r="LCO5079" s="911"/>
      <c r="LCP5079" s="911"/>
      <c r="LCQ5079" s="911"/>
      <c r="LCR5079" s="911"/>
      <c r="LCS5079" s="911"/>
      <c r="LCT5079" s="911"/>
      <c r="LCU5079" s="912"/>
      <c r="LCW5079" s="913" t="s">
        <v>1</v>
      </c>
      <c r="LCX5079" s="31"/>
      <c r="LCY5079" s="909" t="s">
        <v>0</v>
      </c>
      <c r="LCZ5079" s="909"/>
      <c r="LDA5079" s="909"/>
      <c r="LDB5079" s="909"/>
      <c r="LDC5079" s="909"/>
      <c r="LDD5079" s="909"/>
      <c r="LDE5079" s="907" t="s">
        <v>79</v>
      </c>
      <c r="LDF5079" s="909" t="s">
        <v>68</v>
      </c>
      <c r="LDG5079" s="910" t="s">
        <v>75</v>
      </c>
      <c r="LDH5079" s="911"/>
      <c r="LDI5079" s="911"/>
      <c r="LDJ5079" s="911"/>
      <c r="LDK5079" s="911"/>
      <c r="LDL5079" s="911"/>
      <c r="LDM5079" s="911"/>
      <c r="LDN5079" s="911"/>
      <c r="LDO5079" s="911"/>
      <c r="LDP5079" s="911"/>
      <c r="LDQ5079" s="32"/>
      <c r="LDR5079" s="911" t="s">
        <v>74</v>
      </c>
      <c r="LDS5079" s="911"/>
      <c r="LDT5079" s="911"/>
      <c r="LDU5079" s="911"/>
      <c r="LDV5079" s="911"/>
      <c r="LDW5079" s="911"/>
      <c r="LDX5079" s="911"/>
      <c r="LDY5079" s="911"/>
      <c r="LDZ5079" s="911"/>
      <c r="LEA5079" s="912"/>
      <c r="LEC5079" s="913" t="s">
        <v>1</v>
      </c>
      <c r="LED5079" s="31"/>
      <c r="LEE5079" s="909" t="s">
        <v>0</v>
      </c>
      <c r="LEF5079" s="909"/>
      <c r="LEG5079" s="909"/>
      <c r="LEH5079" s="909"/>
      <c r="LEI5079" s="909"/>
      <c r="LEJ5079" s="909"/>
      <c r="LEK5079" s="907" t="s">
        <v>79</v>
      </c>
      <c r="LEL5079" s="909" t="s">
        <v>68</v>
      </c>
      <c r="LEM5079" s="910" t="s">
        <v>75</v>
      </c>
      <c r="LEN5079" s="911"/>
      <c r="LEO5079" s="911"/>
      <c r="LEP5079" s="911"/>
      <c r="LEQ5079" s="911"/>
      <c r="LER5079" s="911"/>
      <c r="LES5079" s="911"/>
      <c r="LET5079" s="911"/>
      <c r="LEU5079" s="911"/>
      <c r="LEV5079" s="911"/>
      <c r="LEW5079" s="32"/>
      <c r="LEX5079" s="911" t="s">
        <v>74</v>
      </c>
      <c r="LEY5079" s="911"/>
      <c r="LEZ5079" s="911"/>
      <c r="LFA5079" s="911"/>
      <c r="LFB5079" s="911"/>
      <c r="LFC5079" s="911"/>
      <c r="LFD5079" s="911"/>
      <c r="LFE5079" s="911"/>
      <c r="LFF5079" s="911"/>
      <c r="LFG5079" s="912"/>
      <c r="LFI5079" s="913" t="s">
        <v>1</v>
      </c>
      <c r="LFJ5079" s="31"/>
      <c r="LFK5079" s="909" t="s">
        <v>0</v>
      </c>
      <c r="LFL5079" s="909"/>
      <c r="LFM5079" s="909"/>
      <c r="LFN5079" s="909"/>
      <c r="LFO5079" s="909"/>
      <c r="LFP5079" s="909"/>
      <c r="LFQ5079" s="907" t="s">
        <v>79</v>
      </c>
      <c r="LFR5079" s="909" t="s">
        <v>68</v>
      </c>
      <c r="LFS5079" s="910" t="s">
        <v>75</v>
      </c>
      <c r="LFT5079" s="911"/>
      <c r="LFU5079" s="911"/>
      <c r="LFV5079" s="911"/>
      <c r="LFW5079" s="911"/>
      <c r="LFX5079" s="911"/>
      <c r="LFY5079" s="911"/>
      <c r="LFZ5079" s="911"/>
      <c r="LGA5079" s="911"/>
      <c r="LGB5079" s="911"/>
      <c r="LGC5079" s="32"/>
      <c r="LGD5079" s="911" t="s">
        <v>74</v>
      </c>
      <c r="LGE5079" s="911"/>
      <c r="LGF5079" s="911"/>
      <c r="LGG5079" s="911"/>
      <c r="LGH5079" s="911"/>
      <c r="LGI5079" s="911"/>
      <c r="LGJ5079" s="911"/>
      <c r="LGK5079" s="911"/>
      <c r="LGL5079" s="911"/>
      <c r="LGM5079" s="912"/>
      <c r="LGO5079" s="913" t="s">
        <v>1</v>
      </c>
      <c r="LGP5079" s="31"/>
      <c r="LGQ5079" s="909" t="s">
        <v>0</v>
      </c>
      <c r="LGR5079" s="909"/>
      <c r="LGS5079" s="909"/>
      <c r="LGT5079" s="909"/>
      <c r="LGU5079" s="909"/>
      <c r="LGV5079" s="909"/>
      <c r="LGW5079" s="907" t="s">
        <v>79</v>
      </c>
      <c r="LGX5079" s="909" t="s">
        <v>68</v>
      </c>
      <c r="LGY5079" s="910" t="s">
        <v>75</v>
      </c>
      <c r="LGZ5079" s="911"/>
      <c r="LHA5079" s="911"/>
      <c r="LHB5079" s="911"/>
      <c r="LHC5079" s="911"/>
      <c r="LHD5079" s="911"/>
      <c r="LHE5079" s="911"/>
      <c r="LHF5079" s="911"/>
      <c r="LHG5079" s="911"/>
      <c r="LHH5079" s="911"/>
      <c r="LHI5079" s="32"/>
      <c r="LHJ5079" s="911" t="s">
        <v>74</v>
      </c>
      <c r="LHK5079" s="911"/>
      <c r="LHL5079" s="911"/>
      <c r="LHM5079" s="911"/>
      <c r="LHN5079" s="911"/>
      <c r="LHO5079" s="911"/>
      <c r="LHP5079" s="911"/>
      <c r="LHQ5079" s="911"/>
      <c r="LHR5079" s="911"/>
      <c r="LHS5079" s="912"/>
      <c r="LHU5079" s="913" t="s">
        <v>1</v>
      </c>
      <c r="LHV5079" s="31"/>
      <c r="LHW5079" s="909" t="s">
        <v>0</v>
      </c>
      <c r="LHX5079" s="909"/>
      <c r="LHY5079" s="909"/>
      <c r="LHZ5079" s="909"/>
      <c r="LIA5079" s="909"/>
      <c r="LIB5079" s="909"/>
      <c r="LIC5079" s="907" t="s">
        <v>79</v>
      </c>
      <c r="LID5079" s="909" t="s">
        <v>68</v>
      </c>
      <c r="LIE5079" s="910" t="s">
        <v>75</v>
      </c>
      <c r="LIF5079" s="911"/>
      <c r="LIG5079" s="911"/>
      <c r="LIH5079" s="911"/>
      <c r="LII5079" s="911"/>
      <c r="LIJ5079" s="911"/>
      <c r="LIK5079" s="911"/>
      <c r="LIL5079" s="911"/>
      <c r="LIM5079" s="911"/>
      <c r="LIN5079" s="911"/>
      <c r="LIO5079" s="32"/>
      <c r="LIP5079" s="911" t="s">
        <v>74</v>
      </c>
      <c r="LIQ5079" s="911"/>
      <c r="LIR5079" s="911"/>
      <c r="LIS5079" s="911"/>
      <c r="LIT5079" s="911"/>
      <c r="LIU5079" s="911"/>
      <c r="LIV5079" s="911"/>
      <c r="LIW5079" s="911"/>
      <c r="LIX5079" s="911"/>
      <c r="LIY5079" s="912"/>
      <c r="LJA5079" s="913" t="s">
        <v>1</v>
      </c>
      <c r="LJB5079" s="31"/>
      <c r="LJC5079" s="909" t="s">
        <v>0</v>
      </c>
      <c r="LJD5079" s="909"/>
      <c r="LJE5079" s="909"/>
      <c r="LJF5079" s="909"/>
      <c r="LJG5079" s="909"/>
      <c r="LJH5079" s="909"/>
      <c r="LJI5079" s="907" t="s">
        <v>79</v>
      </c>
      <c r="LJJ5079" s="909" t="s">
        <v>68</v>
      </c>
      <c r="LJK5079" s="910" t="s">
        <v>75</v>
      </c>
      <c r="LJL5079" s="911"/>
      <c r="LJM5079" s="911"/>
      <c r="LJN5079" s="911"/>
      <c r="LJO5079" s="911"/>
      <c r="LJP5079" s="911"/>
      <c r="LJQ5079" s="911"/>
      <c r="LJR5079" s="911"/>
      <c r="LJS5079" s="911"/>
      <c r="LJT5079" s="911"/>
      <c r="LJU5079" s="32"/>
      <c r="LJV5079" s="911" t="s">
        <v>74</v>
      </c>
      <c r="LJW5079" s="911"/>
      <c r="LJX5079" s="911"/>
      <c r="LJY5079" s="911"/>
      <c r="LJZ5079" s="911"/>
      <c r="LKA5079" s="911"/>
      <c r="LKB5079" s="911"/>
      <c r="LKC5079" s="911"/>
      <c r="LKD5079" s="911"/>
      <c r="LKE5079" s="912"/>
      <c r="LKG5079" s="913" t="s">
        <v>1</v>
      </c>
      <c r="LKH5079" s="31"/>
      <c r="LKI5079" s="909" t="s">
        <v>0</v>
      </c>
      <c r="LKJ5079" s="909"/>
      <c r="LKK5079" s="909"/>
      <c r="LKL5079" s="909"/>
      <c r="LKM5079" s="909"/>
      <c r="LKN5079" s="909"/>
      <c r="LKO5079" s="907" t="s">
        <v>79</v>
      </c>
      <c r="LKP5079" s="909" t="s">
        <v>68</v>
      </c>
      <c r="LKQ5079" s="910" t="s">
        <v>75</v>
      </c>
      <c r="LKR5079" s="911"/>
      <c r="LKS5079" s="911"/>
      <c r="LKT5079" s="911"/>
      <c r="LKU5079" s="911"/>
      <c r="LKV5079" s="911"/>
      <c r="LKW5079" s="911"/>
      <c r="LKX5079" s="911"/>
      <c r="LKY5079" s="911"/>
      <c r="LKZ5079" s="911"/>
      <c r="LLA5079" s="32"/>
      <c r="LLB5079" s="911" t="s">
        <v>74</v>
      </c>
      <c r="LLC5079" s="911"/>
      <c r="LLD5079" s="911"/>
      <c r="LLE5079" s="911"/>
      <c r="LLF5079" s="911"/>
      <c r="LLG5079" s="911"/>
      <c r="LLH5079" s="911"/>
      <c r="LLI5079" s="911"/>
      <c r="LLJ5079" s="911"/>
      <c r="LLK5079" s="912"/>
      <c r="LLM5079" s="913" t="s">
        <v>1</v>
      </c>
      <c r="LLN5079" s="31"/>
      <c r="LLO5079" s="909" t="s">
        <v>0</v>
      </c>
      <c r="LLP5079" s="909"/>
      <c r="LLQ5079" s="909"/>
      <c r="LLR5079" s="909"/>
      <c r="LLS5079" s="909"/>
      <c r="LLT5079" s="909"/>
      <c r="LLU5079" s="907" t="s">
        <v>79</v>
      </c>
      <c r="LLV5079" s="909" t="s">
        <v>68</v>
      </c>
      <c r="LLW5079" s="910" t="s">
        <v>75</v>
      </c>
      <c r="LLX5079" s="911"/>
      <c r="LLY5079" s="911"/>
      <c r="LLZ5079" s="911"/>
      <c r="LMA5079" s="911"/>
      <c r="LMB5079" s="911"/>
      <c r="LMC5079" s="911"/>
      <c r="LMD5079" s="911"/>
      <c r="LME5079" s="911"/>
      <c r="LMF5079" s="911"/>
      <c r="LMG5079" s="32"/>
      <c r="LMH5079" s="911" t="s">
        <v>74</v>
      </c>
      <c r="LMI5079" s="911"/>
      <c r="LMJ5079" s="911"/>
      <c r="LMK5079" s="911"/>
      <c r="LML5079" s="911"/>
      <c r="LMM5079" s="911"/>
      <c r="LMN5079" s="911"/>
      <c r="LMO5079" s="911"/>
      <c r="LMP5079" s="911"/>
      <c r="LMQ5079" s="912"/>
      <c r="LMS5079" s="913" t="s">
        <v>1</v>
      </c>
      <c r="LMT5079" s="31"/>
      <c r="LMU5079" s="909" t="s">
        <v>0</v>
      </c>
      <c r="LMV5079" s="909"/>
      <c r="LMW5079" s="909"/>
      <c r="LMX5079" s="909"/>
      <c r="LMY5079" s="909"/>
      <c r="LMZ5079" s="909"/>
      <c r="LNA5079" s="907" t="s">
        <v>79</v>
      </c>
      <c r="LNB5079" s="909" t="s">
        <v>68</v>
      </c>
      <c r="LNC5079" s="910" t="s">
        <v>75</v>
      </c>
      <c r="LND5079" s="911"/>
      <c r="LNE5079" s="911"/>
      <c r="LNF5079" s="911"/>
      <c r="LNG5079" s="911"/>
      <c r="LNH5079" s="911"/>
      <c r="LNI5079" s="911"/>
      <c r="LNJ5079" s="911"/>
      <c r="LNK5079" s="911"/>
      <c r="LNL5079" s="911"/>
      <c r="LNM5079" s="32"/>
      <c r="LNN5079" s="911" t="s">
        <v>74</v>
      </c>
      <c r="LNO5079" s="911"/>
      <c r="LNP5079" s="911"/>
      <c r="LNQ5079" s="911"/>
      <c r="LNR5079" s="911"/>
      <c r="LNS5079" s="911"/>
      <c r="LNT5079" s="911"/>
      <c r="LNU5079" s="911"/>
      <c r="LNV5079" s="911"/>
      <c r="LNW5079" s="912"/>
      <c r="LNY5079" s="913" t="s">
        <v>1</v>
      </c>
      <c r="LNZ5079" s="31"/>
      <c r="LOA5079" s="909" t="s">
        <v>0</v>
      </c>
      <c r="LOB5079" s="909"/>
      <c r="LOC5079" s="909"/>
      <c r="LOD5079" s="909"/>
      <c r="LOE5079" s="909"/>
      <c r="LOF5079" s="909"/>
      <c r="LOG5079" s="907" t="s">
        <v>79</v>
      </c>
      <c r="LOH5079" s="909" t="s">
        <v>68</v>
      </c>
      <c r="LOI5079" s="910" t="s">
        <v>75</v>
      </c>
      <c r="LOJ5079" s="911"/>
      <c r="LOK5079" s="911"/>
      <c r="LOL5079" s="911"/>
      <c r="LOM5079" s="911"/>
      <c r="LON5079" s="911"/>
      <c r="LOO5079" s="911"/>
      <c r="LOP5079" s="911"/>
      <c r="LOQ5079" s="911"/>
      <c r="LOR5079" s="911"/>
      <c r="LOS5079" s="32"/>
      <c r="LOT5079" s="911" t="s">
        <v>74</v>
      </c>
      <c r="LOU5079" s="911"/>
      <c r="LOV5079" s="911"/>
      <c r="LOW5079" s="911"/>
      <c r="LOX5079" s="911"/>
      <c r="LOY5079" s="911"/>
      <c r="LOZ5079" s="911"/>
      <c r="LPA5079" s="911"/>
      <c r="LPB5079" s="911"/>
      <c r="LPC5079" s="912"/>
      <c r="LPE5079" s="913" t="s">
        <v>1</v>
      </c>
      <c r="LPF5079" s="31"/>
      <c r="LPG5079" s="909" t="s">
        <v>0</v>
      </c>
      <c r="LPH5079" s="909"/>
      <c r="LPI5079" s="909"/>
      <c r="LPJ5079" s="909"/>
      <c r="LPK5079" s="909"/>
      <c r="LPL5079" s="909"/>
      <c r="LPM5079" s="907" t="s">
        <v>79</v>
      </c>
      <c r="LPN5079" s="909" t="s">
        <v>68</v>
      </c>
      <c r="LPO5079" s="910" t="s">
        <v>75</v>
      </c>
      <c r="LPP5079" s="911"/>
      <c r="LPQ5079" s="911"/>
      <c r="LPR5079" s="911"/>
      <c r="LPS5079" s="911"/>
      <c r="LPT5079" s="911"/>
      <c r="LPU5079" s="911"/>
      <c r="LPV5079" s="911"/>
      <c r="LPW5079" s="911"/>
      <c r="LPX5079" s="911"/>
      <c r="LPY5079" s="32"/>
      <c r="LPZ5079" s="911" t="s">
        <v>74</v>
      </c>
      <c r="LQA5079" s="911"/>
      <c r="LQB5079" s="911"/>
      <c r="LQC5079" s="911"/>
      <c r="LQD5079" s="911"/>
      <c r="LQE5079" s="911"/>
      <c r="LQF5079" s="911"/>
      <c r="LQG5079" s="911"/>
      <c r="LQH5079" s="911"/>
      <c r="LQI5079" s="912"/>
      <c r="LQK5079" s="913" t="s">
        <v>1</v>
      </c>
      <c r="LQL5079" s="31"/>
      <c r="LQM5079" s="909" t="s">
        <v>0</v>
      </c>
      <c r="LQN5079" s="909"/>
      <c r="LQO5079" s="909"/>
      <c r="LQP5079" s="909"/>
      <c r="LQQ5079" s="909"/>
      <c r="LQR5079" s="909"/>
      <c r="LQS5079" s="907" t="s">
        <v>79</v>
      </c>
      <c r="LQT5079" s="909" t="s">
        <v>68</v>
      </c>
      <c r="LQU5079" s="910" t="s">
        <v>75</v>
      </c>
      <c r="LQV5079" s="911"/>
      <c r="LQW5079" s="911"/>
      <c r="LQX5079" s="911"/>
      <c r="LQY5079" s="911"/>
      <c r="LQZ5079" s="911"/>
      <c r="LRA5079" s="911"/>
      <c r="LRB5079" s="911"/>
      <c r="LRC5079" s="911"/>
      <c r="LRD5079" s="911"/>
      <c r="LRE5079" s="32"/>
      <c r="LRF5079" s="911" t="s">
        <v>74</v>
      </c>
      <c r="LRG5079" s="911"/>
      <c r="LRH5079" s="911"/>
      <c r="LRI5079" s="911"/>
      <c r="LRJ5079" s="911"/>
      <c r="LRK5079" s="911"/>
      <c r="LRL5079" s="911"/>
      <c r="LRM5079" s="911"/>
      <c r="LRN5079" s="911"/>
      <c r="LRO5079" s="912"/>
      <c r="LRQ5079" s="913" t="s">
        <v>1</v>
      </c>
      <c r="LRR5079" s="31"/>
      <c r="LRS5079" s="909" t="s">
        <v>0</v>
      </c>
      <c r="LRT5079" s="909"/>
      <c r="LRU5079" s="909"/>
      <c r="LRV5079" s="909"/>
      <c r="LRW5079" s="909"/>
      <c r="LRX5079" s="909"/>
      <c r="LRY5079" s="907" t="s">
        <v>79</v>
      </c>
      <c r="LRZ5079" s="909" t="s">
        <v>68</v>
      </c>
      <c r="LSA5079" s="910" t="s">
        <v>75</v>
      </c>
      <c r="LSB5079" s="911"/>
      <c r="LSC5079" s="911"/>
      <c r="LSD5079" s="911"/>
      <c r="LSE5079" s="911"/>
      <c r="LSF5079" s="911"/>
      <c r="LSG5079" s="911"/>
      <c r="LSH5079" s="911"/>
      <c r="LSI5079" s="911"/>
      <c r="LSJ5079" s="911"/>
      <c r="LSK5079" s="32"/>
      <c r="LSL5079" s="911" t="s">
        <v>74</v>
      </c>
      <c r="LSM5079" s="911"/>
      <c r="LSN5079" s="911"/>
      <c r="LSO5079" s="911"/>
      <c r="LSP5079" s="911"/>
      <c r="LSQ5079" s="911"/>
      <c r="LSR5079" s="911"/>
      <c r="LSS5079" s="911"/>
      <c r="LST5079" s="911"/>
      <c r="LSU5079" s="912"/>
      <c r="LSW5079" s="913" t="s">
        <v>1</v>
      </c>
      <c r="LSX5079" s="31"/>
      <c r="LSY5079" s="909" t="s">
        <v>0</v>
      </c>
      <c r="LSZ5079" s="909"/>
      <c r="LTA5079" s="909"/>
      <c r="LTB5079" s="909"/>
      <c r="LTC5079" s="909"/>
      <c r="LTD5079" s="909"/>
      <c r="LTE5079" s="907" t="s">
        <v>79</v>
      </c>
      <c r="LTF5079" s="909" t="s">
        <v>68</v>
      </c>
      <c r="LTG5079" s="910" t="s">
        <v>75</v>
      </c>
      <c r="LTH5079" s="911"/>
      <c r="LTI5079" s="911"/>
      <c r="LTJ5079" s="911"/>
      <c r="LTK5079" s="911"/>
      <c r="LTL5079" s="911"/>
      <c r="LTM5079" s="911"/>
      <c r="LTN5079" s="911"/>
      <c r="LTO5079" s="911"/>
      <c r="LTP5079" s="911"/>
      <c r="LTQ5079" s="32"/>
      <c r="LTR5079" s="911" t="s">
        <v>74</v>
      </c>
      <c r="LTS5079" s="911"/>
      <c r="LTT5079" s="911"/>
      <c r="LTU5079" s="911"/>
      <c r="LTV5079" s="911"/>
      <c r="LTW5079" s="911"/>
      <c r="LTX5079" s="911"/>
      <c r="LTY5079" s="911"/>
      <c r="LTZ5079" s="911"/>
      <c r="LUA5079" s="912"/>
      <c r="LUC5079" s="913" t="s">
        <v>1</v>
      </c>
      <c r="LUD5079" s="31"/>
      <c r="LUE5079" s="909" t="s">
        <v>0</v>
      </c>
      <c r="LUF5079" s="909"/>
      <c r="LUG5079" s="909"/>
      <c r="LUH5079" s="909"/>
      <c r="LUI5079" s="909"/>
      <c r="LUJ5079" s="909"/>
      <c r="LUK5079" s="907" t="s">
        <v>79</v>
      </c>
      <c r="LUL5079" s="909" t="s">
        <v>68</v>
      </c>
      <c r="LUM5079" s="910" t="s">
        <v>75</v>
      </c>
      <c r="LUN5079" s="911"/>
      <c r="LUO5079" s="911"/>
      <c r="LUP5079" s="911"/>
      <c r="LUQ5079" s="911"/>
      <c r="LUR5079" s="911"/>
      <c r="LUS5079" s="911"/>
      <c r="LUT5079" s="911"/>
      <c r="LUU5079" s="911"/>
      <c r="LUV5079" s="911"/>
      <c r="LUW5079" s="32"/>
      <c r="LUX5079" s="911" t="s">
        <v>74</v>
      </c>
      <c r="LUY5079" s="911"/>
      <c r="LUZ5079" s="911"/>
      <c r="LVA5079" s="911"/>
      <c r="LVB5079" s="911"/>
      <c r="LVC5079" s="911"/>
      <c r="LVD5079" s="911"/>
      <c r="LVE5079" s="911"/>
      <c r="LVF5079" s="911"/>
      <c r="LVG5079" s="912"/>
      <c r="LVI5079" s="913" t="s">
        <v>1</v>
      </c>
      <c r="LVJ5079" s="31"/>
      <c r="LVK5079" s="909" t="s">
        <v>0</v>
      </c>
      <c r="LVL5079" s="909"/>
      <c r="LVM5079" s="909"/>
      <c r="LVN5079" s="909"/>
      <c r="LVO5079" s="909"/>
      <c r="LVP5079" s="909"/>
      <c r="LVQ5079" s="907" t="s">
        <v>79</v>
      </c>
      <c r="LVR5079" s="909" t="s">
        <v>68</v>
      </c>
      <c r="LVS5079" s="910" t="s">
        <v>75</v>
      </c>
      <c r="LVT5079" s="911"/>
      <c r="LVU5079" s="911"/>
      <c r="LVV5079" s="911"/>
      <c r="LVW5079" s="911"/>
      <c r="LVX5079" s="911"/>
      <c r="LVY5079" s="911"/>
      <c r="LVZ5079" s="911"/>
      <c r="LWA5079" s="911"/>
      <c r="LWB5079" s="911"/>
      <c r="LWC5079" s="32"/>
      <c r="LWD5079" s="911" t="s">
        <v>74</v>
      </c>
      <c r="LWE5079" s="911"/>
      <c r="LWF5079" s="911"/>
      <c r="LWG5079" s="911"/>
      <c r="LWH5079" s="911"/>
      <c r="LWI5079" s="911"/>
      <c r="LWJ5079" s="911"/>
      <c r="LWK5079" s="911"/>
      <c r="LWL5079" s="911"/>
      <c r="LWM5079" s="912"/>
      <c r="LWO5079" s="913" t="s">
        <v>1</v>
      </c>
      <c r="LWP5079" s="31"/>
      <c r="LWQ5079" s="909" t="s">
        <v>0</v>
      </c>
      <c r="LWR5079" s="909"/>
      <c r="LWS5079" s="909"/>
      <c r="LWT5079" s="909"/>
      <c r="LWU5079" s="909"/>
      <c r="LWV5079" s="909"/>
      <c r="LWW5079" s="907" t="s">
        <v>79</v>
      </c>
      <c r="LWX5079" s="909" t="s">
        <v>68</v>
      </c>
      <c r="LWY5079" s="910" t="s">
        <v>75</v>
      </c>
      <c r="LWZ5079" s="911"/>
      <c r="LXA5079" s="911"/>
      <c r="LXB5079" s="911"/>
      <c r="LXC5079" s="911"/>
      <c r="LXD5079" s="911"/>
      <c r="LXE5079" s="911"/>
      <c r="LXF5079" s="911"/>
      <c r="LXG5079" s="911"/>
      <c r="LXH5079" s="911"/>
      <c r="LXI5079" s="32"/>
      <c r="LXJ5079" s="911" t="s">
        <v>74</v>
      </c>
      <c r="LXK5079" s="911"/>
      <c r="LXL5079" s="911"/>
      <c r="LXM5079" s="911"/>
      <c r="LXN5079" s="911"/>
      <c r="LXO5079" s="911"/>
      <c r="LXP5079" s="911"/>
      <c r="LXQ5079" s="911"/>
      <c r="LXR5079" s="911"/>
      <c r="LXS5079" s="912"/>
      <c r="LXU5079" s="913" t="s">
        <v>1</v>
      </c>
      <c r="LXV5079" s="31"/>
      <c r="LXW5079" s="909" t="s">
        <v>0</v>
      </c>
      <c r="LXX5079" s="909"/>
      <c r="LXY5079" s="909"/>
      <c r="LXZ5079" s="909"/>
      <c r="LYA5079" s="909"/>
      <c r="LYB5079" s="909"/>
      <c r="LYC5079" s="907" t="s">
        <v>79</v>
      </c>
      <c r="LYD5079" s="909" t="s">
        <v>68</v>
      </c>
      <c r="LYE5079" s="910" t="s">
        <v>75</v>
      </c>
      <c r="LYF5079" s="911"/>
      <c r="LYG5079" s="911"/>
      <c r="LYH5079" s="911"/>
      <c r="LYI5079" s="911"/>
      <c r="LYJ5079" s="911"/>
      <c r="LYK5079" s="911"/>
      <c r="LYL5079" s="911"/>
      <c r="LYM5079" s="911"/>
      <c r="LYN5079" s="911"/>
      <c r="LYO5079" s="32"/>
      <c r="LYP5079" s="911" t="s">
        <v>74</v>
      </c>
      <c r="LYQ5079" s="911"/>
      <c r="LYR5079" s="911"/>
      <c r="LYS5079" s="911"/>
      <c r="LYT5079" s="911"/>
      <c r="LYU5079" s="911"/>
      <c r="LYV5079" s="911"/>
      <c r="LYW5079" s="911"/>
      <c r="LYX5079" s="911"/>
      <c r="LYY5079" s="912"/>
      <c r="LZA5079" s="913" t="s">
        <v>1</v>
      </c>
      <c r="LZB5079" s="31"/>
      <c r="LZC5079" s="909" t="s">
        <v>0</v>
      </c>
      <c r="LZD5079" s="909"/>
      <c r="LZE5079" s="909"/>
      <c r="LZF5079" s="909"/>
      <c r="LZG5079" s="909"/>
      <c r="LZH5079" s="909"/>
      <c r="LZI5079" s="907" t="s">
        <v>79</v>
      </c>
      <c r="LZJ5079" s="909" t="s">
        <v>68</v>
      </c>
      <c r="LZK5079" s="910" t="s">
        <v>75</v>
      </c>
      <c r="LZL5079" s="911"/>
      <c r="LZM5079" s="911"/>
      <c r="LZN5079" s="911"/>
      <c r="LZO5079" s="911"/>
      <c r="LZP5079" s="911"/>
      <c r="LZQ5079" s="911"/>
      <c r="LZR5079" s="911"/>
      <c r="LZS5079" s="911"/>
      <c r="LZT5079" s="911"/>
      <c r="LZU5079" s="32"/>
      <c r="LZV5079" s="911" t="s">
        <v>74</v>
      </c>
      <c r="LZW5079" s="911"/>
      <c r="LZX5079" s="911"/>
      <c r="LZY5079" s="911"/>
      <c r="LZZ5079" s="911"/>
      <c r="MAA5079" s="911"/>
      <c r="MAB5079" s="911"/>
      <c r="MAC5079" s="911"/>
      <c r="MAD5079" s="911"/>
      <c r="MAE5079" s="912"/>
      <c r="MAG5079" s="913" t="s">
        <v>1</v>
      </c>
      <c r="MAH5079" s="31"/>
      <c r="MAI5079" s="909" t="s">
        <v>0</v>
      </c>
      <c r="MAJ5079" s="909"/>
      <c r="MAK5079" s="909"/>
      <c r="MAL5079" s="909"/>
      <c r="MAM5079" s="909"/>
      <c r="MAN5079" s="909"/>
      <c r="MAO5079" s="907" t="s">
        <v>79</v>
      </c>
      <c r="MAP5079" s="909" t="s">
        <v>68</v>
      </c>
      <c r="MAQ5079" s="910" t="s">
        <v>75</v>
      </c>
      <c r="MAR5079" s="911"/>
      <c r="MAS5079" s="911"/>
      <c r="MAT5079" s="911"/>
      <c r="MAU5079" s="911"/>
      <c r="MAV5079" s="911"/>
      <c r="MAW5079" s="911"/>
      <c r="MAX5079" s="911"/>
      <c r="MAY5079" s="911"/>
      <c r="MAZ5079" s="911"/>
      <c r="MBA5079" s="32"/>
      <c r="MBB5079" s="911" t="s">
        <v>74</v>
      </c>
      <c r="MBC5079" s="911"/>
      <c r="MBD5079" s="911"/>
      <c r="MBE5079" s="911"/>
      <c r="MBF5079" s="911"/>
      <c r="MBG5079" s="911"/>
      <c r="MBH5079" s="911"/>
      <c r="MBI5079" s="911"/>
      <c r="MBJ5079" s="911"/>
      <c r="MBK5079" s="912"/>
      <c r="MBM5079" s="913" t="s">
        <v>1</v>
      </c>
      <c r="MBN5079" s="31"/>
      <c r="MBO5079" s="909" t="s">
        <v>0</v>
      </c>
      <c r="MBP5079" s="909"/>
      <c r="MBQ5079" s="909"/>
      <c r="MBR5079" s="909"/>
      <c r="MBS5079" s="909"/>
      <c r="MBT5079" s="909"/>
      <c r="MBU5079" s="907" t="s">
        <v>79</v>
      </c>
      <c r="MBV5079" s="909" t="s">
        <v>68</v>
      </c>
      <c r="MBW5079" s="910" t="s">
        <v>75</v>
      </c>
      <c r="MBX5079" s="911"/>
      <c r="MBY5079" s="911"/>
      <c r="MBZ5079" s="911"/>
      <c r="MCA5079" s="911"/>
      <c r="MCB5079" s="911"/>
      <c r="MCC5079" s="911"/>
      <c r="MCD5079" s="911"/>
      <c r="MCE5079" s="911"/>
      <c r="MCF5079" s="911"/>
      <c r="MCG5079" s="32"/>
      <c r="MCH5079" s="911" t="s">
        <v>74</v>
      </c>
      <c r="MCI5079" s="911"/>
      <c r="MCJ5079" s="911"/>
      <c r="MCK5079" s="911"/>
      <c r="MCL5079" s="911"/>
      <c r="MCM5079" s="911"/>
      <c r="MCN5079" s="911"/>
      <c r="MCO5079" s="911"/>
      <c r="MCP5079" s="911"/>
      <c r="MCQ5079" s="912"/>
      <c r="MCS5079" s="913" t="s">
        <v>1</v>
      </c>
      <c r="MCT5079" s="31"/>
      <c r="MCU5079" s="909" t="s">
        <v>0</v>
      </c>
      <c r="MCV5079" s="909"/>
      <c r="MCW5079" s="909"/>
      <c r="MCX5079" s="909"/>
      <c r="MCY5079" s="909"/>
      <c r="MCZ5079" s="909"/>
      <c r="MDA5079" s="907" t="s">
        <v>79</v>
      </c>
      <c r="MDB5079" s="909" t="s">
        <v>68</v>
      </c>
      <c r="MDC5079" s="910" t="s">
        <v>75</v>
      </c>
      <c r="MDD5079" s="911"/>
      <c r="MDE5079" s="911"/>
      <c r="MDF5079" s="911"/>
      <c r="MDG5079" s="911"/>
      <c r="MDH5079" s="911"/>
      <c r="MDI5079" s="911"/>
      <c r="MDJ5079" s="911"/>
      <c r="MDK5079" s="911"/>
      <c r="MDL5079" s="911"/>
      <c r="MDM5079" s="32"/>
      <c r="MDN5079" s="911" t="s">
        <v>74</v>
      </c>
      <c r="MDO5079" s="911"/>
      <c r="MDP5079" s="911"/>
      <c r="MDQ5079" s="911"/>
      <c r="MDR5079" s="911"/>
      <c r="MDS5079" s="911"/>
      <c r="MDT5079" s="911"/>
      <c r="MDU5079" s="911"/>
      <c r="MDV5079" s="911"/>
      <c r="MDW5079" s="912"/>
      <c r="MDY5079" s="913" t="s">
        <v>1</v>
      </c>
      <c r="MDZ5079" s="31"/>
      <c r="MEA5079" s="909" t="s">
        <v>0</v>
      </c>
      <c r="MEB5079" s="909"/>
      <c r="MEC5079" s="909"/>
      <c r="MED5079" s="909"/>
      <c r="MEE5079" s="909"/>
      <c r="MEF5079" s="909"/>
      <c r="MEG5079" s="907" t="s">
        <v>79</v>
      </c>
      <c r="MEH5079" s="909" t="s">
        <v>68</v>
      </c>
      <c r="MEI5079" s="910" t="s">
        <v>75</v>
      </c>
      <c r="MEJ5079" s="911"/>
      <c r="MEK5079" s="911"/>
      <c r="MEL5079" s="911"/>
      <c r="MEM5079" s="911"/>
      <c r="MEN5079" s="911"/>
      <c r="MEO5079" s="911"/>
      <c r="MEP5079" s="911"/>
      <c r="MEQ5079" s="911"/>
      <c r="MER5079" s="911"/>
      <c r="MES5079" s="32"/>
      <c r="MET5079" s="911" t="s">
        <v>74</v>
      </c>
      <c r="MEU5079" s="911"/>
      <c r="MEV5079" s="911"/>
      <c r="MEW5079" s="911"/>
      <c r="MEX5079" s="911"/>
      <c r="MEY5079" s="911"/>
      <c r="MEZ5079" s="911"/>
      <c r="MFA5079" s="911"/>
      <c r="MFB5079" s="911"/>
      <c r="MFC5079" s="912"/>
      <c r="MFE5079" s="913" t="s">
        <v>1</v>
      </c>
      <c r="MFF5079" s="31"/>
      <c r="MFG5079" s="909" t="s">
        <v>0</v>
      </c>
      <c r="MFH5079" s="909"/>
      <c r="MFI5079" s="909"/>
      <c r="MFJ5079" s="909"/>
      <c r="MFK5079" s="909"/>
      <c r="MFL5079" s="909"/>
      <c r="MFM5079" s="907" t="s">
        <v>79</v>
      </c>
      <c r="MFN5079" s="909" t="s">
        <v>68</v>
      </c>
      <c r="MFO5079" s="910" t="s">
        <v>75</v>
      </c>
      <c r="MFP5079" s="911"/>
      <c r="MFQ5079" s="911"/>
      <c r="MFR5079" s="911"/>
      <c r="MFS5079" s="911"/>
      <c r="MFT5079" s="911"/>
      <c r="MFU5079" s="911"/>
      <c r="MFV5079" s="911"/>
      <c r="MFW5079" s="911"/>
      <c r="MFX5079" s="911"/>
      <c r="MFY5079" s="32"/>
      <c r="MFZ5079" s="911" t="s">
        <v>74</v>
      </c>
      <c r="MGA5079" s="911"/>
      <c r="MGB5079" s="911"/>
      <c r="MGC5079" s="911"/>
      <c r="MGD5079" s="911"/>
      <c r="MGE5079" s="911"/>
      <c r="MGF5079" s="911"/>
      <c r="MGG5079" s="911"/>
      <c r="MGH5079" s="911"/>
      <c r="MGI5079" s="912"/>
      <c r="MGK5079" s="913" t="s">
        <v>1</v>
      </c>
      <c r="MGL5079" s="31"/>
      <c r="MGM5079" s="909" t="s">
        <v>0</v>
      </c>
      <c r="MGN5079" s="909"/>
      <c r="MGO5079" s="909"/>
      <c r="MGP5079" s="909"/>
      <c r="MGQ5079" s="909"/>
      <c r="MGR5079" s="909"/>
      <c r="MGS5079" s="907" t="s">
        <v>79</v>
      </c>
      <c r="MGT5079" s="909" t="s">
        <v>68</v>
      </c>
      <c r="MGU5079" s="910" t="s">
        <v>75</v>
      </c>
      <c r="MGV5079" s="911"/>
      <c r="MGW5079" s="911"/>
      <c r="MGX5079" s="911"/>
      <c r="MGY5079" s="911"/>
      <c r="MGZ5079" s="911"/>
      <c r="MHA5079" s="911"/>
      <c r="MHB5079" s="911"/>
      <c r="MHC5079" s="911"/>
      <c r="MHD5079" s="911"/>
      <c r="MHE5079" s="32"/>
      <c r="MHF5079" s="911" t="s">
        <v>74</v>
      </c>
      <c r="MHG5079" s="911"/>
      <c r="MHH5079" s="911"/>
      <c r="MHI5079" s="911"/>
      <c r="MHJ5079" s="911"/>
      <c r="MHK5079" s="911"/>
      <c r="MHL5079" s="911"/>
      <c r="MHM5079" s="911"/>
      <c r="MHN5079" s="911"/>
      <c r="MHO5079" s="912"/>
      <c r="MHQ5079" s="913" t="s">
        <v>1</v>
      </c>
      <c r="MHR5079" s="31"/>
      <c r="MHS5079" s="909" t="s">
        <v>0</v>
      </c>
      <c r="MHT5079" s="909"/>
      <c r="MHU5079" s="909"/>
      <c r="MHV5079" s="909"/>
      <c r="MHW5079" s="909"/>
      <c r="MHX5079" s="909"/>
      <c r="MHY5079" s="907" t="s">
        <v>79</v>
      </c>
      <c r="MHZ5079" s="909" t="s">
        <v>68</v>
      </c>
      <c r="MIA5079" s="910" t="s">
        <v>75</v>
      </c>
      <c r="MIB5079" s="911"/>
      <c r="MIC5079" s="911"/>
      <c r="MID5079" s="911"/>
      <c r="MIE5079" s="911"/>
      <c r="MIF5079" s="911"/>
      <c r="MIG5079" s="911"/>
      <c r="MIH5079" s="911"/>
      <c r="MII5079" s="911"/>
      <c r="MIJ5079" s="911"/>
      <c r="MIK5079" s="32"/>
      <c r="MIL5079" s="911" t="s">
        <v>74</v>
      </c>
      <c r="MIM5079" s="911"/>
      <c r="MIN5079" s="911"/>
      <c r="MIO5079" s="911"/>
      <c r="MIP5079" s="911"/>
      <c r="MIQ5079" s="911"/>
      <c r="MIR5079" s="911"/>
      <c r="MIS5079" s="911"/>
      <c r="MIT5079" s="911"/>
      <c r="MIU5079" s="912"/>
      <c r="MIW5079" s="913" t="s">
        <v>1</v>
      </c>
      <c r="MIX5079" s="31"/>
      <c r="MIY5079" s="909" t="s">
        <v>0</v>
      </c>
      <c r="MIZ5079" s="909"/>
      <c r="MJA5079" s="909"/>
      <c r="MJB5079" s="909"/>
      <c r="MJC5079" s="909"/>
      <c r="MJD5079" s="909"/>
      <c r="MJE5079" s="907" t="s">
        <v>79</v>
      </c>
      <c r="MJF5079" s="909" t="s">
        <v>68</v>
      </c>
      <c r="MJG5079" s="910" t="s">
        <v>75</v>
      </c>
      <c r="MJH5079" s="911"/>
      <c r="MJI5079" s="911"/>
      <c r="MJJ5079" s="911"/>
      <c r="MJK5079" s="911"/>
      <c r="MJL5079" s="911"/>
      <c r="MJM5079" s="911"/>
      <c r="MJN5079" s="911"/>
      <c r="MJO5079" s="911"/>
      <c r="MJP5079" s="911"/>
      <c r="MJQ5079" s="32"/>
      <c r="MJR5079" s="911" t="s">
        <v>74</v>
      </c>
      <c r="MJS5079" s="911"/>
      <c r="MJT5079" s="911"/>
      <c r="MJU5079" s="911"/>
      <c r="MJV5079" s="911"/>
      <c r="MJW5079" s="911"/>
      <c r="MJX5079" s="911"/>
      <c r="MJY5079" s="911"/>
      <c r="MJZ5079" s="911"/>
      <c r="MKA5079" s="912"/>
      <c r="MKC5079" s="913" t="s">
        <v>1</v>
      </c>
      <c r="MKD5079" s="31"/>
      <c r="MKE5079" s="909" t="s">
        <v>0</v>
      </c>
      <c r="MKF5079" s="909"/>
      <c r="MKG5079" s="909"/>
      <c r="MKH5079" s="909"/>
      <c r="MKI5079" s="909"/>
      <c r="MKJ5079" s="909"/>
      <c r="MKK5079" s="907" t="s">
        <v>79</v>
      </c>
      <c r="MKL5079" s="909" t="s">
        <v>68</v>
      </c>
      <c r="MKM5079" s="910" t="s">
        <v>75</v>
      </c>
      <c r="MKN5079" s="911"/>
      <c r="MKO5079" s="911"/>
      <c r="MKP5079" s="911"/>
      <c r="MKQ5079" s="911"/>
      <c r="MKR5079" s="911"/>
      <c r="MKS5079" s="911"/>
      <c r="MKT5079" s="911"/>
      <c r="MKU5079" s="911"/>
      <c r="MKV5079" s="911"/>
      <c r="MKW5079" s="32"/>
      <c r="MKX5079" s="911" t="s">
        <v>74</v>
      </c>
      <c r="MKY5079" s="911"/>
      <c r="MKZ5079" s="911"/>
      <c r="MLA5079" s="911"/>
      <c r="MLB5079" s="911"/>
      <c r="MLC5079" s="911"/>
      <c r="MLD5079" s="911"/>
      <c r="MLE5079" s="911"/>
      <c r="MLF5079" s="911"/>
      <c r="MLG5079" s="912"/>
      <c r="MLI5079" s="913" t="s">
        <v>1</v>
      </c>
      <c r="MLJ5079" s="31"/>
      <c r="MLK5079" s="909" t="s">
        <v>0</v>
      </c>
      <c r="MLL5079" s="909"/>
      <c r="MLM5079" s="909"/>
      <c r="MLN5079" s="909"/>
      <c r="MLO5079" s="909"/>
      <c r="MLP5079" s="909"/>
      <c r="MLQ5079" s="907" t="s">
        <v>79</v>
      </c>
      <c r="MLR5079" s="909" t="s">
        <v>68</v>
      </c>
      <c r="MLS5079" s="910" t="s">
        <v>75</v>
      </c>
      <c r="MLT5079" s="911"/>
      <c r="MLU5079" s="911"/>
      <c r="MLV5079" s="911"/>
      <c r="MLW5079" s="911"/>
      <c r="MLX5079" s="911"/>
      <c r="MLY5079" s="911"/>
      <c r="MLZ5079" s="911"/>
      <c r="MMA5079" s="911"/>
      <c r="MMB5079" s="911"/>
      <c r="MMC5079" s="32"/>
      <c r="MMD5079" s="911" t="s">
        <v>74</v>
      </c>
      <c r="MME5079" s="911"/>
      <c r="MMF5079" s="911"/>
      <c r="MMG5079" s="911"/>
      <c r="MMH5079" s="911"/>
      <c r="MMI5079" s="911"/>
      <c r="MMJ5079" s="911"/>
      <c r="MMK5079" s="911"/>
      <c r="MML5079" s="911"/>
      <c r="MMM5079" s="912"/>
      <c r="MMO5079" s="913" t="s">
        <v>1</v>
      </c>
      <c r="MMP5079" s="31"/>
      <c r="MMQ5079" s="909" t="s">
        <v>0</v>
      </c>
      <c r="MMR5079" s="909"/>
      <c r="MMS5079" s="909"/>
      <c r="MMT5079" s="909"/>
      <c r="MMU5079" s="909"/>
      <c r="MMV5079" s="909"/>
      <c r="MMW5079" s="907" t="s">
        <v>79</v>
      </c>
      <c r="MMX5079" s="909" t="s">
        <v>68</v>
      </c>
      <c r="MMY5079" s="910" t="s">
        <v>75</v>
      </c>
      <c r="MMZ5079" s="911"/>
      <c r="MNA5079" s="911"/>
      <c r="MNB5079" s="911"/>
      <c r="MNC5079" s="911"/>
      <c r="MND5079" s="911"/>
      <c r="MNE5079" s="911"/>
      <c r="MNF5079" s="911"/>
      <c r="MNG5079" s="911"/>
      <c r="MNH5079" s="911"/>
      <c r="MNI5079" s="32"/>
      <c r="MNJ5079" s="911" t="s">
        <v>74</v>
      </c>
      <c r="MNK5079" s="911"/>
      <c r="MNL5079" s="911"/>
      <c r="MNM5079" s="911"/>
      <c r="MNN5079" s="911"/>
      <c r="MNO5079" s="911"/>
      <c r="MNP5079" s="911"/>
      <c r="MNQ5079" s="911"/>
      <c r="MNR5079" s="911"/>
      <c r="MNS5079" s="912"/>
      <c r="MNU5079" s="913" t="s">
        <v>1</v>
      </c>
      <c r="MNV5079" s="31"/>
      <c r="MNW5079" s="909" t="s">
        <v>0</v>
      </c>
      <c r="MNX5079" s="909"/>
      <c r="MNY5079" s="909"/>
      <c r="MNZ5079" s="909"/>
      <c r="MOA5079" s="909"/>
      <c r="MOB5079" s="909"/>
      <c r="MOC5079" s="907" t="s">
        <v>79</v>
      </c>
      <c r="MOD5079" s="909" t="s">
        <v>68</v>
      </c>
      <c r="MOE5079" s="910" t="s">
        <v>75</v>
      </c>
      <c r="MOF5079" s="911"/>
      <c r="MOG5079" s="911"/>
      <c r="MOH5079" s="911"/>
      <c r="MOI5079" s="911"/>
      <c r="MOJ5079" s="911"/>
      <c r="MOK5079" s="911"/>
      <c r="MOL5079" s="911"/>
      <c r="MOM5079" s="911"/>
      <c r="MON5079" s="911"/>
      <c r="MOO5079" s="32"/>
      <c r="MOP5079" s="911" t="s">
        <v>74</v>
      </c>
      <c r="MOQ5079" s="911"/>
      <c r="MOR5079" s="911"/>
      <c r="MOS5079" s="911"/>
      <c r="MOT5079" s="911"/>
      <c r="MOU5079" s="911"/>
      <c r="MOV5079" s="911"/>
      <c r="MOW5079" s="911"/>
      <c r="MOX5079" s="911"/>
      <c r="MOY5079" s="912"/>
      <c r="MPA5079" s="913" t="s">
        <v>1</v>
      </c>
      <c r="MPB5079" s="31"/>
      <c r="MPC5079" s="909" t="s">
        <v>0</v>
      </c>
      <c r="MPD5079" s="909"/>
      <c r="MPE5079" s="909"/>
      <c r="MPF5079" s="909"/>
      <c r="MPG5079" s="909"/>
      <c r="MPH5079" s="909"/>
      <c r="MPI5079" s="907" t="s">
        <v>79</v>
      </c>
      <c r="MPJ5079" s="909" t="s">
        <v>68</v>
      </c>
      <c r="MPK5079" s="910" t="s">
        <v>75</v>
      </c>
      <c r="MPL5079" s="911"/>
      <c r="MPM5079" s="911"/>
      <c r="MPN5079" s="911"/>
      <c r="MPO5079" s="911"/>
      <c r="MPP5079" s="911"/>
      <c r="MPQ5079" s="911"/>
      <c r="MPR5079" s="911"/>
      <c r="MPS5079" s="911"/>
      <c r="MPT5079" s="911"/>
      <c r="MPU5079" s="32"/>
      <c r="MPV5079" s="911" t="s">
        <v>74</v>
      </c>
      <c r="MPW5079" s="911"/>
      <c r="MPX5079" s="911"/>
      <c r="MPY5079" s="911"/>
      <c r="MPZ5079" s="911"/>
      <c r="MQA5079" s="911"/>
      <c r="MQB5079" s="911"/>
      <c r="MQC5079" s="911"/>
      <c r="MQD5079" s="911"/>
      <c r="MQE5079" s="912"/>
      <c r="MQG5079" s="913" t="s">
        <v>1</v>
      </c>
      <c r="MQH5079" s="31"/>
      <c r="MQI5079" s="909" t="s">
        <v>0</v>
      </c>
      <c r="MQJ5079" s="909"/>
      <c r="MQK5079" s="909"/>
      <c r="MQL5079" s="909"/>
      <c r="MQM5079" s="909"/>
      <c r="MQN5079" s="909"/>
      <c r="MQO5079" s="907" t="s">
        <v>79</v>
      </c>
      <c r="MQP5079" s="909" t="s">
        <v>68</v>
      </c>
      <c r="MQQ5079" s="910" t="s">
        <v>75</v>
      </c>
      <c r="MQR5079" s="911"/>
      <c r="MQS5079" s="911"/>
      <c r="MQT5079" s="911"/>
      <c r="MQU5079" s="911"/>
      <c r="MQV5079" s="911"/>
      <c r="MQW5079" s="911"/>
      <c r="MQX5079" s="911"/>
      <c r="MQY5079" s="911"/>
      <c r="MQZ5079" s="911"/>
      <c r="MRA5079" s="32"/>
      <c r="MRB5079" s="911" t="s">
        <v>74</v>
      </c>
      <c r="MRC5079" s="911"/>
      <c r="MRD5079" s="911"/>
      <c r="MRE5079" s="911"/>
      <c r="MRF5079" s="911"/>
      <c r="MRG5079" s="911"/>
      <c r="MRH5079" s="911"/>
      <c r="MRI5079" s="911"/>
      <c r="MRJ5079" s="911"/>
      <c r="MRK5079" s="912"/>
      <c r="MRM5079" s="913" t="s">
        <v>1</v>
      </c>
      <c r="MRN5079" s="31"/>
      <c r="MRO5079" s="909" t="s">
        <v>0</v>
      </c>
      <c r="MRP5079" s="909"/>
      <c r="MRQ5079" s="909"/>
      <c r="MRR5079" s="909"/>
      <c r="MRS5079" s="909"/>
      <c r="MRT5079" s="909"/>
      <c r="MRU5079" s="907" t="s">
        <v>79</v>
      </c>
      <c r="MRV5079" s="909" t="s">
        <v>68</v>
      </c>
      <c r="MRW5079" s="910" t="s">
        <v>75</v>
      </c>
      <c r="MRX5079" s="911"/>
      <c r="MRY5079" s="911"/>
      <c r="MRZ5079" s="911"/>
      <c r="MSA5079" s="911"/>
      <c r="MSB5079" s="911"/>
      <c r="MSC5079" s="911"/>
      <c r="MSD5079" s="911"/>
      <c r="MSE5079" s="911"/>
      <c r="MSF5079" s="911"/>
      <c r="MSG5079" s="32"/>
      <c r="MSH5079" s="911" t="s">
        <v>74</v>
      </c>
      <c r="MSI5079" s="911"/>
      <c r="MSJ5079" s="911"/>
      <c r="MSK5079" s="911"/>
      <c r="MSL5079" s="911"/>
      <c r="MSM5079" s="911"/>
      <c r="MSN5079" s="911"/>
      <c r="MSO5079" s="911"/>
      <c r="MSP5079" s="911"/>
      <c r="MSQ5079" s="912"/>
      <c r="MSS5079" s="913" t="s">
        <v>1</v>
      </c>
      <c r="MST5079" s="31"/>
      <c r="MSU5079" s="909" t="s">
        <v>0</v>
      </c>
      <c r="MSV5079" s="909"/>
      <c r="MSW5079" s="909"/>
      <c r="MSX5079" s="909"/>
      <c r="MSY5079" s="909"/>
      <c r="MSZ5079" s="909"/>
      <c r="MTA5079" s="907" t="s">
        <v>79</v>
      </c>
      <c r="MTB5079" s="909" t="s">
        <v>68</v>
      </c>
      <c r="MTC5079" s="910" t="s">
        <v>75</v>
      </c>
      <c r="MTD5079" s="911"/>
      <c r="MTE5079" s="911"/>
      <c r="MTF5079" s="911"/>
      <c r="MTG5079" s="911"/>
      <c r="MTH5079" s="911"/>
      <c r="MTI5079" s="911"/>
      <c r="MTJ5079" s="911"/>
      <c r="MTK5079" s="911"/>
      <c r="MTL5079" s="911"/>
      <c r="MTM5079" s="32"/>
      <c r="MTN5079" s="911" t="s">
        <v>74</v>
      </c>
      <c r="MTO5079" s="911"/>
      <c r="MTP5079" s="911"/>
      <c r="MTQ5079" s="911"/>
      <c r="MTR5079" s="911"/>
      <c r="MTS5079" s="911"/>
      <c r="MTT5079" s="911"/>
      <c r="MTU5079" s="911"/>
      <c r="MTV5079" s="911"/>
      <c r="MTW5079" s="912"/>
      <c r="MTY5079" s="913" t="s">
        <v>1</v>
      </c>
      <c r="MTZ5079" s="31"/>
      <c r="MUA5079" s="909" t="s">
        <v>0</v>
      </c>
      <c r="MUB5079" s="909"/>
      <c r="MUC5079" s="909"/>
      <c r="MUD5079" s="909"/>
      <c r="MUE5079" s="909"/>
      <c r="MUF5079" s="909"/>
      <c r="MUG5079" s="907" t="s">
        <v>79</v>
      </c>
      <c r="MUH5079" s="909" t="s">
        <v>68</v>
      </c>
      <c r="MUI5079" s="910" t="s">
        <v>75</v>
      </c>
      <c r="MUJ5079" s="911"/>
      <c r="MUK5079" s="911"/>
      <c r="MUL5079" s="911"/>
      <c r="MUM5079" s="911"/>
      <c r="MUN5079" s="911"/>
      <c r="MUO5079" s="911"/>
      <c r="MUP5079" s="911"/>
      <c r="MUQ5079" s="911"/>
      <c r="MUR5079" s="911"/>
      <c r="MUS5079" s="32"/>
      <c r="MUT5079" s="911" t="s">
        <v>74</v>
      </c>
      <c r="MUU5079" s="911"/>
      <c r="MUV5079" s="911"/>
      <c r="MUW5079" s="911"/>
      <c r="MUX5079" s="911"/>
      <c r="MUY5079" s="911"/>
      <c r="MUZ5079" s="911"/>
      <c r="MVA5079" s="911"/>
      <c r="MVB5079" s="911"/>
      <c r="MVC5079" s="912"/>
      <c r="MVE5079" s="913" t="s">
        <v>1</v>
      </c>
      <c r="MVF5079" s="31"/>
      <c r="MVG5079" s="909" t="s">
        <v>0</v>
      </c>
      <c r="MVH5079" s="909"/>
      <c r="MVI5079" s="909"/>
      <c r="MVJ5079" s="909"/>
      <c r="MVK5079" s="909"/>
      <c r="MVL5079" s="909"/>
      <c r="MVM5079" s="907" t="s">
        <v>79</v>
      </c>
      <c r="MVN5079" s="909" t="s">
        <v>68</v>
      </c>
      <c r="MVO5079" s="910" t="s">
        <v>75</v>
      </c>
      <c r="MVP5079" s="911"/>
      <c r="MVQ5079" s="911"/>
      <c r="MVR5079" s="911"/>
      <c r="MVS5079" s="911"/>
      <c r="MVT5079" s="911"/>
      <c r="MVU5079" s="911"/>
      <c r="MVV5079" s="911"/>
      <c r="MVW5079" s="911"/>
      <c r="MVX5079" s="911"/>
      <c r="MVY5079" s="32"/>
      <c r="MVZ5079" s="911" t="s">
        <v>74</v>
      </c>
      <c r="MWA5079" s="911"/>
      <c r="MWB5079" s="911"/>
      <c r="MWC5079" s="911"/>
      <c r="MWD5079" s="911"/>
      <c r="MWE5079" s="911"/>
      <c r="MWF5079" s="911"/>
      <c r="MWG5079" s="911"/>
      <c r="MWH5079" s="911"/>
      <c r="MWI5079" s="912"/>
      <c r="MWK5079" s="913" t="s">
        <v>1</v>
      </c>
      <c r="MWL5079" s="31"/>
      <c r="MWM5079" s="909" t="s">
        <v>0</v>
      </c>
      <c r="MWN5079" s="909"/>
      <c r="MWO5079" s="909"/>
      <c r="MWP5079" s="909"/>
      <c r="MWQ5079" s="909"/>
      <c r="MWR5079" s="909"/>
      <c r="MWS5079" s="907" t="s">
        <v>79</v>
      </c>
      <c r="MWT5079" s="909" t="s">
        <v>68</v>
      </c>
      <c r="MWU5079" s="910" t="s">
        <v>75</v>
      </c>
      <c r="MWV5079" s="911"/>
      <c r="MWW5079" s="911"/>
      <c r="MWX5079" s="911"/>
      <c r="MWY5079" s="911"/>
      <c r="MWZ5079" s="911"/>
      <c r="MXA5079" s="911"/>
      <c r="MXB5079" s="911"/>
      <c r="MXC5079" s="911"/>
      <c r="MXD5079" s="911"/>
      <c r="MXE5079" s="32"/>
      <c r="MXF5079" s="911" t="s">
        <v>74</v>
      </c>
      <c r="MXG5079" s="911"/>
      <c r="MXH5079" s="911"/>
      <c r="MXI5079" s="911"/>
      <c r="MXJ5079" s="911"/>
      <c r="MXK5079" s="911"/>
      <c r="MXL5079" s="911"/>
      <c r="MXM5079" s="911"/>
      <c r="MXN5079" s="911"/>
      <c r="MXO5079" s="912"/>
      <c r="MXQ5079" s="913" t="s">
        <v>1</v>
      </c>
      <c r="MXR5079" s="31"/>
      <c r="MXS5079" s="909" t="s">
        <v>0</v>
      </c>
      <c r="MXT5079" s="909"/>
      <c r="MXU5079" s="909"/>
      <c r="MXV5079" s="909"/>
      <c r="MXW5079" s="909"/>
      <c r="MXX5079" s="909"/>
      <c r="MXY5079" s="907" t="s">
        <v>79</v>
      </c>
      <c r="MXZ5079" s="909" t="s">
        <v>68</v>
      </c>
      <c r="MYA5079" s="910" t="s">
        <v>75</v>
      </c>
      <c r="MYB5079" s="911"/>
      <c r="MYC5079" s="911"/>
      <c r="MYD5079" s="911"/>
      <c r="MYE5079" s="911"/>
      <c r="MYF5079" s="911"/>
      <c r="MYG5079" s="911"/>
      <c r="MYH5079" s="911"/>
      <c r="MYI5079" s="911"/>
      <c r="MYJ5079" s="911"/>
      <c r="MYK5079" s="32"/>
      <c r="MYL5079" s="911" t="s">
        <v>74</v>
      </c>
      <c r="MYM5079" s="911"/>
      <c r="MYN5079" s="911"/>
      <c r="MYO5079" s="911"/>
      <c r="MYP5079" s="911"/>
      <c r="MYQ5079" s="911"/>
      <c r="MYR5079" s="911"/>
      <c r="MYS5079" s="911"/>
      <c r="MYT5079" s="911"/>
      <c r="MYU5079" s="912"/>
      <c r="MYW5079" s="913" t="s">
        <v>1</v>
      </c>
      <c r="MYX5079" s="31"/>
      <c r="MYY5079" s="909" t="s">
        <v>0</v>
      </c>
      <c r="MYZ5079" s="909"/>
      <c r="MZA5079" s="909"/>
      <c r="MZB5079" s="909"/>
      <c r="MZC5079" s="909"/>
      <c r="MZD5079" s="909"/>
      <c r="MZE5079" s="907" t="s">
        <v>79</v>
      </c>
      <c r="MZF5079" s="909" t="s">
        <v>68</v>
      </c>
      <c r="MZG5079" s="910" t="s">
        <v>75</v>
      </c>
      <c r="MZH5079" s="911"/>
      <c r="MZI5079" s="911"/>
      <c r="MZJ5079" s="911"/>
      <c r="MZK5079" s="911"/>
      <c r="MZL5079" s="911"/>
      <c r="MZM5079" s="911"/>
      <c r="MZN5079" s="911"/>
      <c r="MZO5079" s="911"/>
      <c r="MZP5079" s="911"/>
      <c r="MZQ5079" s="32"/>
      <c r="MZR5079" s="911" t="s">
        <v>74</v>
      </c>
      <c r="MZS5079" s="911"/>
      <c r="MZT5079" s="911"/>
      <c r="MZU5079" s="911"/>
      <c r="MZV5079" s="911"/>
      <c r="MZW5079" s="911"/>
      <c r="MZX5079" s="911"/>
      <c r="MZY5079" s="911"/>
      <c r="MZZ5079" s="911"/>
      <c r="NAA5079" s="912"/>
      <c r="NAC5079" s="913" t="s">
        <v>1</v>
      </c>
      <c r="NAD5079" s="31"/>
      <c r="NAE5079" s="909" t="s">
        <v>0</v>
      </c>
      <c r="NAF5079" s="909"/>
      <c r="NAG5079" s="909"/>
      <c r="NAH5079" s="909"/>
      <c r="NAI5079" s="909"/>
      <c r="NAJ5079" s="909"/>
      <c r="NAK5079" s="907" t="s">
        <v>79</v>
      </c>
      <c r="NAL5079" s="909" t="s">
        <v>68</v>
      </c>
      <c r="NAM5079" s="910" t="s">
        <v>75</v>
      </c>
      <c r="NAN5079" s="911"/>
      <c r="NAO5079" s="911"/>
      <c r="NAP5079" s="911"/>
      <c r="NAQ5079" s="911"/>
      <c r="NAR5079" s="911"/>
      <c r="NAS5079" s="911"/>
      <c r="NAT5079" s="911"/>
      <c r="NAU5079" s="911"/>
      <c r="NAV5079" s="911"/>
      <c r="NAW5079" s="32"/>
      <c r="NAX5079" s="911" t="s">
        <v>74</v>
      </c>
      <c r="NAY5079" s="911"/>
      <c r="NAZ5079" s="911"/>
      <c r="NBA5079" s="911"/>
      <c r="NBB5079" s="911"/>
      <c r="NBC5079" s="911"/>
      <c r="NBD5079" s="911"/>
      <c r="NBE5079" s="911"/>
      <c r="NBF5079" s="911"/>
      <c r="NBG5079" s="912"/>
      <c r="NBI5079" s="913" t="s">
        <v>1</v>
      </c>
      <c r="NBJ5079" s="31"/>
      <c r="NBK5079" s="909" t="s">
        <v>0</v>
      </c>
      <c r="NBL5079" s="909"/>
      <c r="NBM5079" s="909"/>
      <c r="NBN5079" s="909"/>
      <c r="NBO5079" s="909"/>
      <c r="NBP5079" s="909"/>
      <c r="NBQ5079" s="907" t="s">
        <v>79</v>
      </c>
      <c r="NBR5079" s="909" t="s">
        <v>68</v>
      </c>
      <c r="NBS5079" s="910" t="s">
        <v>75</v>
      </c>
      <c r="NBT5079" s="911"/>
      <c r="NBU5079" s="911"/>
      <c r="NBV5079" s="911"/>
      <c r="NBW5079" s="911"/>
      <c r="NBX5079" s="911"/>
      <c r="NBY5079" s="911"/>
      <c r="NBZ5079" s="911"/>
      <c r="NCA5079" s="911"/>
      <c r="NCB5079" s="911"/>
      <c r="NCC5079" s="32"/>
      <c r="NCD5079" s="911" t="s">
        <v>74</v>
      </c>
      <c r="NCE5079" s="911"/>
      <c r="NCF5079" s="911"/>
      <c r="NCG5079" s="911"/>
      <c r="NCH5079" s="911"/>
      <c r="NCI5079" s="911"/>
      <c r="NCJ5079" s="911"/>
      <c r="NCK5079" s="911"/>
      <c r="NCL5079" s="911"/>
      <c r="NCM5079" s="912"/>
      <c r="NCO5079" s="913" t="s">
        <v>1</v>
      </c>
      <c r="NCP5079" s="31"/>
      <c r="NCQ5079" s="909" t="s">
        <v>0</v>
      </c>
      <c r="NCR5079" s="909"/>
      <c r="NCS5079" s="909"/>
      <c r="NCT5079" s="909"/>
      <c r="NCU5079" s="909"/>
      <c r="NCV5079" s="909"/>
      <c r="NCW5079" s="907" t="s">
        <v>79</v>
      </c>
      <c r="NCX5079" s="909" t="s">
        <v>68</v>
      </c>
      <c r="NCY5079" s="910" t="s">
        <v>75</v>
      </c>
      <c r="NCZ5079" s="911"/>
      <c r="NDA5079" s="911"/>
      <c r="NDB5079" s="911"/>
      <c r="NDC5079" s="911"/>
      <c r="NDD5079" s="911"/>
      <c r="NDE5079" s="911"/>
      <c r="NDF5079" s="911"/>
      <c r="NDG5079" s="911"/>
      <c r="NDH5079" s="911"/>
      <c r="NDI5079" s="32"/>
      <c r="NDJ5079" s="911" t="s">
        <v>74</v>
      </c>
      <c r="NDK5079" s="911"/>
      <c r="NDL5079" s="911"/>
      <c r="NDM5079" s="911"/>
      <c r="NDN5079" s="911"/>
      <c r="NDO5079" s="911"/>
      <c r="NDP5079" s="911"/>
      <c r="NDQ5079" s="911"/>
      <c r="NDR5079" s="911"/>
      <c r="NDS5079" s="912"/>
      <c r="NDU5079" s="913" t="s">
        <v>1</v>
      </c>
      <c r="NDV5079" s="31"/>
      <c r="NDW5079" s="909" t="s">
        <v>0</v>
      </c>
      <c r="NDX5079" s="909"/>
      <c r="NDY5079" s="909"/>
      <c r="NDZ5079" s="909"/>
      <c r="NEA5079" s="909"/>
      <c r="NEB5079" s="909"/>
      <c r="NEC5079" s="907" t="s">
        <v>79</v>
      </c>
      <c r="NED5079" s="909" t="s">
        <v>68</v>
      </c>
      <c r="NEE5079" s="910" t="s">
        <v>75</v>
      </c>
      <c r="NEF5079" s="911"/>
      <c r="NEG5079" s="911"/>
      <c r="NEH5079" s="911"/>
      <c r="NEI5079" s="911"/>
      <c r="NEJ5079" s="911"/>
      <c r="NEK5079" s="911"/>
      <c r="NEL5079" s="911"/>
      <c r="NEM5079" s="911"/>
      <c r="NEN5079" s="911"/>
      <c r="NEO5079" s="32"/>
      <c r="NEP5079" s="911" t="s">
        <v>74</v>
      </c>
      <c r="NEQ5079" s="911"/>
      <c r="NER5079" s="911"/>
      <c r="NES5079" s="911"/>
      <c r="NET5079" s="911"/>
      <c r="NEU5079" s="911"/>
      <c r="NEV5079" s="911"/>
      <c r="NEW5079" s="911"/>
      <c r="NEX5079" s="911"/>
      <c r="NEY5079" s="912"/>
      <c r="NFA5079" s="913" t="s">
        <v>1</v>
      </c>
      <c r="NFB5079" s="31"/>
      <c r="NFC5079" s="909" t="s">
        <v>0</v>
      </c>
      <c r="NFD5079" s="909"/>
      <c r="NFE5079" s="909"/>
      <c r="NFF5079" s="909"/>
      <c r="NFG5079" s="909"/>
      <c r="NFH5079" s="909"/>
      <c r="NFI5079" s="907" t="s">
        <v>79</v>
      </c>
      <c r="NFJ5079" s="909" t="s">
        <v>68</v>
      </c>
      <c r="NFK5079" s="910" t="s">
        <v>75</v>
      </c>
      <c r="NFL5079" s="911"/>
      <c r="NFM5079" s="911"/>
      <c r="NFN5079" s="911"/>
      <c r="NFO5079" s="911"/>
      <c r="NFP5079" s="911"/>
      <c r="NFQ5079" s="911"/>
      <c r="NFR5079" s="911"/>
      <c r="NFS5079" s="911"/>
      <c r="NFT5079" s="911"/>
      <c r="NFU5079" s="32"/>
      <c r="NFV5079" s="911" t="s">
        <v>74</v>
      </c>
      <c r="NFW5079" s="911"/>
      <c r="NFX5079" s="911"/>
      <c r="NFY5079" s="911"/>
      <c r="NFZ5079" s="911"/>
      <c r="NGA5079" s="911"/>
      <c r="NGB5079" s="911"/>
      <c r="NGC5079" s="911"/>
      <c r="NGD5079" s="911"/>
      <c r="NGE5079" s="912"/>
      <c r="NGG5079" s="913" t="s">
        <v>1</v>
      </c>
      <c r="NGH5079" s="31"/>
      <c r="NGI5079" s="909" t="s">
        <v>0</v>
      </c>
      <c r="NGJ5079" s="909"/>
      <c r="NGK5079" s="909"/>
      <c r="NGL5079" s="909"/>
      <c r="NGM5079" s="909"/>
      <c r="NGN5079" s="909"/>
      <c r="NGO5079" s="907" t="s">
        <v>79</v>
      </c>
      <c r="NGP5079" s="909" t="s">
        <v>68</v>
      </c>
      <c r="NGQ5079" s="910" t="s">
        <v>75</v>
      </c>
      <c r="NGR5079" s="911"/>
      <c r="NGS5079" s="911"/>
      <c r="NGT5079" s="911"/>
      <c r="NGU5079" s="911"/>
      <c r="NGV5079" s="911"/>
      <c r="NGW5079" s="911"/>
      <c r="NGX5079" s="911"/>
      <c r="NGY5079" s="911"/>
      <c r="NGZ5079" s="911"/>
      <c r="NHA5079" s="32"/>
      <c r="NHB5079" s="911" t="s">
        <v>74</v>
      </c>
      <c r="NHC5079" s="911"/>
      <c r="NHD5079" s="911"/>
      <c r="NHE5079" s="911"/>
      <c r="NHF5079" s="911"/>
      <c r="NHG5079" s="911"/>
      <c r="NHH5079" s="911"/>
      <c r="NHI5079" s="911"/>
      <c r="NHJ5079" s="911"/>
      <c r="NHK5079" s="912"/>
      <c r="NHM5079" s="913" t="s">
        <v>1</v>
      </c>
      <c r="NHN5079" s="31"/>
      <c r="NHO5079" s="909" t="s">
        <v>0</v>
      </c>
      <c r="NHP5079" s="909"/>
      <c r="NHQ5079" s="909"/>
      <c r="NHR5079" s="909"/>
      <c r="NHS5079" s="909"/>
      <c r="NHT5079" s="909"/>
      <c r="NHU5079" s="907" t="s">
        <v>79</v>
      </c>
      <c r="NHV5079" s="909" t="s">
        <v>68</v>
      </c>
      <c r="NHW5079" s="910" t="s">
        <v>75</v>
      </c>
      <c r="NHX5079" s="911"/>
      <c r="NHY5079" s="911"/>
      <c r="NHZ5079" s="911"/>
      <c r="NIA5079" s="911"/>
      <c r="NIB5079" s="911"/>
      <c r="NIC5079" s="911"/>
      <c r="NID5079" s="911"/>
      <c r="NIE5079" s="911"/>
      <c r="NIF5079" s="911"/>
      <c r="NIG5079" s="32"/>
      <c r="NIH5079" s="911" t="s">
        <v>74</v>
      </c>
      <c r="NII5079" s="911"/>
      <c r="NIJ5079" s="911"/>
      <c r="NIK5079" s="911"/>
      <c r="NIL5079" s="911"/>
      <c r="NIM5079" s="911"/>
      <c r="NIN5079" s="911"/>
      <c r="NIO5079" s="911"/>
      <c r="NIP5079" s="911"/>
      <c r="NIQ5079" s="912"/>
      <c r="NIS5079" s="913" t="s">
        <v>1</v>
      </c>
      <c r="NIT5079" s="31"/>
      <c r="NIU5079" s="909" t="s">
        <v>0</v>
      </c>
      <c r="NIV5079" s="909"/>
      <c r="NIW5079" s="909"/>
      <c r="NIX5079" s="909"/>
      <c r="NIY5079" s="909"/>
      <c r="NIZ5079" s="909"/>
      <c r="NJA5079" s="907" t="s">
        <v>79</v>
      </c>
      <c r="NJB5079" s="909" t="s">
        <v>68</v>
      </c>
      <c r="NJC5079" s="910" t="s">
        <v>75</v>
      </c>
      <c r="NJD5079" s="911"/>
      <c r="NJE5079" s="911"/>
      <c r="NJF5079" s="911"/>
      <c r="NJG5079" s="911"/>
      <c r="NJH5079" s="911"/>
      <c r="NJI5079" s="911"/>
      <c r="NJJ5079" s="911"/>
      <c r="NJK5079" s="911"/>
      <c r="NJL5079" s="911"/>
      <c r="NJM5079" s="32"/>
      <c r="NJN5079" s="911" t="s">
        <v>74</v>
      </c>
      <c r="NJO5079" s="911"/>
      <c r="NJP5079" s="911"/>
      <c r="NJQ5079" s="911"/>
      <c r="NJR5079" s="911"/>
      <c r="NJS5079" s="911"/>
      <c r="NJT5079" s="911"/>
      <c r="NJU5079" s="911"/>
      <c r="NJV5079" s="911"/>
      <c r="NJW5079" s="912"/>
      <c r="NJY5079" s="913" t="s">
        <v>1</v>
      </c>
      <c r="NJZ5079" s="31"/>
      <c r="NKA5079" s="909" t="s">
        <v>0</v>
      </c>
      <c r="NKB5079" s="909"/>
      <c r="NKC5079" s="909"/>
      <c r="NKD5079" s="909"/>
      <c r="NKE5079" s="909"/>
      <c r="NKF5079" s="909"/>
      <c r="NKG5079" s="907" t="s">
        <v>79</v>
      </c>
      <c r="NKH5079" s="909" t="s">
        <v>68</v>
      </c>
      <c r="NKI5079" s="910" t="s">
        <v>75</v>
      </c>
      <c r="NKJ5079" s="911"/>
      <c r="NKK5079" s="911"/>
      <c r="NKL5079" s="911"/>
      <c r="NKM5079" s="911"/>
      <c r="NKN5079" s="911"/>
      <c r="NKO5079" s="911"/>
      <c r="NKP5079" s="911"/>
      <c r="NKQ5079" s="911"/>
      <c r="NKR5079" s="911"/>
      <c r="NKS5079" s="32"/>
      <c r="NKT5079" s="911" t="s">
        <v>74</v>
      </c>
      <c r="NKU5079" s="911"/>
      <c r="NKV5079" s="911"/>
      <c r="NKW5079" s="911"/>
      <c r="NKX5079" s="911"/>
      <c r="NKY5079" s="911"/>
      <c r="NKZ5079" s="911"/>
      <c r="NLA5079" s="911"/>
      <c r="NLB5079" s="911"/>
      <c r="NLC5079" s="912"/>
      <c r="NLE5079" s="913" t="s">
        <v>1</v>
      </c>
      <c r="NLF5079" s="31"/>
      <c r="NLG5079" s="909" t="s">
        <v>0</v>
      </c>
      <c r="NLH5079" s="909"/>
      <c r="NLI5079" s="909"/>
      <c r="NLJ5079" s="909"/>
      <c r="NLK5079" s="909"/>
      <c r="NLL5079" s="909"/>
      <c r="NLM5079" s="907" t="s">
        <v>79</v>
      </c>
      <c r="NLN5079" s="909" t="s">
        <v>68</v>
      </c>
      <c r="NLO5079" s="910" t="s">
        <v>75</v>
      </c>
      <c r="NLP5079" s="911"/>
      <c r="NLQ5079" s="911"/>
      <c r="NLR5079" s="911"/>
      <c r="NLS5079" s="911"/>
      <c r="NLT5079" s="911"/>
      <c r="NLU5079" s="911"/>
      <c r="NLV5079" s="911"/>
      <c r="NLW5079" s="911"/>
      <c r="NLX5079" s="911"/>
      <c r="NLY5079" s="32"/>
      <c r="NLZ5079" s="911" t="s">
        <v>74</v>
      </c>
      <c r="NMA5079" s="911"/>
      <c r="NMB5079" s="911"/>
      <c r="NMC5079" s="911"/>
      <c r="NMD5079" s="911"/>
      <c r="NME5079" s="911"/>
      <c r="NMF5079" s="911"/>
      <c r="NMG5079" s="911"/>
      <c r="NMH5079" s="911"/>
      <c r="NMI5079" s="912"/>
      <c r="NMK5079" s="913" t="s">
        <v>1</v>
      </c>
      <c r="NML5079" s="31"/>
      <c r="NMM5079" s="909" t="s">
        <v>0</v>
      </c>
      <c r="NMN5079" s="909"/>
      <c r="NMO5079" s="909"/>
      <c r="NMP5079" s="909"/>
      <c r="NMQ5079" s="909"/>
      <c r="NMR5079" s="909"/>
      <c r="NMS5079" s="907" t="s">
        <v>79</v>
      </c>
      <c r="NMT5079" s="909" t="s">
        <v>68</v>
      </c>
      <c r="NMU5079" s="910" t="s">
        <v>75</v>
      </c>
      <c r="NMV5079" s="911"/>
      <c r="NMW5079" s="911"/>
      <c r="NMX5079" s="911"/>
      <c r="NMY5079" s="911"/>
      <c r="NMZ5079" s="911"/>
      <c r="NNA5079" s="911"/>
      <c r="NNB5079" s="911"/>
      <c r="NNC5079" s="911"/>
      <c r="NND5079" s="911"/>
      <c r="NNE5079" s="32"/>
      <c r="NNF5079" s="911" t="s">
        <v>74</v>
      </c>
      <c r="NNG5079" s="911"/>
      <c r="NNH5079" s="911"/>
      <c r="NNI5079" s="911"/>
      <c r="NNJ5079" s="911"/>
      <c r="NNK5079" s="911"/>
      <c r="NNL5079" s="911"/>
      <c r="NNM5079" s="911"/>
      <c r="NNN5079" s="911"/>
      <c r="NNO5079" s="912"/>
      <c r="NNQ5079" s="913" t="s">
        <v>1</v>
      </c>
      <c r="NNR5079" s="31"/>
      <c r="NNS5079" s="909" t="s">
        <v>0</v>
      </c>
      <c r="NNT5079" s="909"/>
      <c r="NNU5079" s="909"/>
      <c r="NNV5079" s="909"/>
      <c r="NNW5079" s="909"/>
      <c r="NNX5079" s="909"/>
      <c r="NNY5079" s="907" t="s">
        <v>79</v>
      </c>
      <c r="NNZ5079" s="909" t="s">
        <v>68</v>
      </c>
      <c r="NOA5079" s="910" t="s">
        <v>75</v>
      </c>
      <c r="NOB5079" s="911"/>
      <c r="NOC5079" s="911"/>
      <c r="NOD5079" s="911"/>
      <c r="NOE5079" s="911"/>
      <c r="NOF5079" s="911"/>
      <c r="NOG5079" s="911"/>
      <c r="NOH5079" s="911"/>
      <c r="NOI5079" s="911"/>
      <c r="NOJ5079" s="911"/>
      <c r="NOK5079" s="32"/>
      <c r="NOL5079" s="911" t="s">
        <v>74</v>
      </c>
      <c r="NOM5079" s="911"/>
      <c r="NON5079" s="911"/>
      <c r="NOO5079" s="911"/>
      <c r="NOP5079" s="911"/>
      <c r="NOQ5079" s="911"/>
      <c r="NOR5079" s="911"/>
      <c r="NOS5079" s="911"/>
      <c r="NOT5079" s="911"/>
      <c r="NOU5079" s="912"/>
      <c r="NOW5079" s="913" t="s">
        <v>1</v>
      </c>
      <c r="NOX5079" s="31"/>
      <c r="NOY5079" s="909" t="s">
        <v>0</v>
      </c>
      <c r="NOZ5079" s="909"/>
      <c r="NPA5079" s="909"/>
      <c r="NPB5079" s="909"/>
      <c r="NPC5079" s="909"/>
      <c r="NPD5079" s="909"/>
      <c r="NPE5079" s="907" t="s">
        <v>79</v>
      </c>
      <c r="NPF5079" s="909" t="s">
        <v>68</v>
      </c>
      <c r="NPG5079" s="910" t="s">
        <v>75</v>
      </c>
      <c r="NPH5079" s="911"/>
      <c r="NPI5079" s="911"/>
      <c r="NPJ5079" s="911"/>
      <c r="NPK5079" s="911"/>
      <c r="NPL5079" s="911"/>
      <c r="NPM5079" s="911"/>
      <c r="NPN5079" s="911"/>
      <c r="NPO5079" s="911"/>
      <c r="NPP5079" s="911"/>
      <c r="NPQ5079" s="32"/>
      <c r="NPR5079" s="911" t="s">
        <v>74</v>
      </c>
      <c r="NPS5079" s="911"/>
      <c r="NPT5079" s="911"/>
      <c r="NPU5079" s="911"/>
      <c r="NPV5079" s="911"/>
      <c r="NPW5079" s="911"/>
      <c r="NPX5079" s="911"/>
      <c r="NPY5079" s="911"/>
      <c r="NPZ5079" s="911"/>
      <c r="NQA5079" s="912"/>
      <c r="NQC5079" s="913" t="s">
        <v>1</v>
      </c>
      <c r="NQD5079" s="31"/>
      <c r="NQE5079" s="909" t="s">
        <v>0</v>
      </c>
      <c r="NQF5079" s="909"/>
      <c r="NQG5079" s="909"/>
      <c r="NQH5079" s="909"/>
      <c r="NQI5079" s="909"/>
      <c r="NQJ5079" s="909"/>
      <c r="NQK5079" s="907" t="s">
        <v>79</v>
      </c>
      <c r="NQL5079" s="909" t="s">
        <v>68</v>
      </c>
      <c r="NQM5079" s="910" t="s">
        <v>75</v>
      </c>
      <c r="NQN5079" s="911"/>
      <c r="NQO5079" s="911"/>
      <c r="NQP5079" s="911"/>
      <c r="NQQ5079" s="911"/>
      <c r="NQR5079" s="911"/>
      <c r="NQS5079" s="911"/>
      <c r="NQT5079" s="911"/>
      <c r="NQU5079" s="911"/>
      <c r="NQV5079" s="911"/>
      <c r="NQW5079" s="32"/>
      <c r="NQX5079" s="911" t="s">
        <v>74</v>
      </c>
      <c r="NQY5079" s="911"/>
      <c r="NQZ5079" s="911"/>
      <c r="NRA5079" s="911"/>
      <c r="NRB5079" s="911"/>
      <c r="NRC5079" s="911"/>
      <c r="NRD5079" s="911"/>
      <c r="NRE5079" s="911"/>
      <c r="NRF5079" s="911"/>
      <c r="NRG5079" s="912"/>
      <c r="NRI5079" s="913" t="s">
        <v>1</v>
      </c>
      <c r="NRJ5079" s="31"/>
      <c r="NRK5079" s="909" t="s">
        <v>0</v>
      </c>
      <c r="NRL5079" s="909"/>
      <c r="NRM5079" s="909"/>
      <c r="NRN5079" s="909"/>
      <c r="NRO5079" s="909"/>
      <c r="NRP5079" s="909"/>
      <c r="NRQ5079" s="907" t="s">
        <v>79</v>
      </c>
      <c r="NRR5079" s="909" t="s">
        <v>68</v>
      </c>
      <c r="NRS5079" s="910" t="s">
        <v>75</v>
      </c>
      <c r="NRT5079" s="911"/>
      <c r="NRU5079" s="911"/>
      <c r="NRV5079" s="911"/>
      <c r="NRW5079" s="911"/>
      <c r="NRX5079" s="911"/>
      <c r="NRY5079" s="911"/>
      <c r="NRZ5079" s="911"/>
      <c r="NSA5079" s="911"/>
      <c r="NSB5079" s="911"/>
      <c r="NSC5079" s="32"/>
      <c r="NSD5079" s="911" t="s">
        <v>74</v>
      </c>
      <c r="NSE5079" s="911"/>
      <c r="NSF5079" s="911"/>
      <c r="NSG5079" s="911"/>
      <c r="NSH5079" s="911"/>
      <c r="NSI5079" s="911"/>
      <c r="NSJ5079" s="911"/>
      <c r="NSK5079" s="911"/>
      <c r="NSL5079" s="911"/>
      <c r="NSM5079" s="912"/>
      <c r="NSO5079" s="913" t="s">
        <v>1</v>
      </c>
      <c r="NSP5079" s="31"/>
      <c r="NSQ5079" s="909" t="s">
        <v>0</v>
      </c>
      <c r="NSR5079" s="909"/>
      <c r="NSS5079" s="909"/>
      <c r="NST5079" s="909"/>
      <c r="NSU5079" s="909"/>
      <c r="NSV5079" s="909"/>
      <c r="NSW5079" s="907" t="s">
        <v>79</v>
      </c>
      <c r="NSX5079" s="909" t="s">
        <v>68</v>
      </c>
      <c r="NSY5079" s="910" t="s">
        <v>75</v>
      </c>
      <c r="NSZ5079" s="911"/>
      <c r="NTA5079" s="911"/>
      <c r="NTB5079" s="911"/>
      <c r="NTC5079" s="911"/>
      <c r="NTD5079" s="911"/>
      <c r="NTE5079" s="911"/>
      <c r="NTF5079" s="911"/>
      <c r="NTG5079" s="911"/>
      <c r="NTH5079" s="911"/>
      <c r="NTI5079" s="32"/>
      <c r="NTJ5079" s="911" t="s">
        <v>74</v>
      </c>
      <c r="NTK5079" s="911"/>
      <c r="NTL5079" s="911"/>
      <c r="NTM5079" s="911"/>
      <c r="NTN5079" s="911"/>
      <c r="NTO5079" s="911"/>
      <c r="NTP5079" s="911"/>
      <c r="NTQ5079" s="911"/>
      <c r="NTR5079" s="911"/>
      <c r="NTS5079" s="912"/>
      <c r="NTU5079" s="913" t="s">
        <v>1</v>
      </c>
      <c r="NTV5079" s="31"/>
      <c r="NTW5079" s="909" t="s">
        <v>0</v>
      </c>
      <c r="NTX5079" s="909"/>
      <c r="NTY5079" s="909"/>
      <c r="NTZ5079" s="909"/>
      <c r="NUA5079" s="909"/>
      <c r="NUB5079" s="909"/>
      <c r="NUC5079" s="907" t="s">
        <v>79</v>
      </c>
      <c r="NUD5079" s="909" t="s">
        <v>68</v>
      </c>
      <c r="NUE5079" s="910" t="s">
        <v>75</v>
      </c>
      <c r="NUF5079" s="911"/>
      <c r="NUG5079" s="911"/>
      <c r="NUH5079" s="911"/>
      <c r="NUI5079" s="911"/>
      <c r="NUJ5079" s="911"/>
      <c r="NUK5079" s="911"/>
      <c r="NUL5079" s="911"/>
      <c r="NUM5079" s="911"/>
      <c r="NUN5079" s="911"/>
      <c r="NUO5079" s="32"/>
      <c r="NUP5079" s="911" t="s">
        <v>74</v>
      </c>
      <c r="NUQ5079" s="911"/>
      <c r="NUR5079" s="911"/>
      <c r="NUS5079" s="911"/>
      <c r="NUT5079" s="911"/>
      <c r="NUU5079" s="911"/>
      <c r="NUV5079" s="911"/>
      <c r="NUW5079" s="911"/>
      <c r="NUX5079" s="911"/>
      <c r="NUY5079" s="912"/>
      <c r="NVA5079" s="913" t="s">
        <v>1</v>
      </c>
      <c r="NVB5079" s="31"/>
      <c r="NVC5079" s="909" t="s">
        <v>0</v>
      </c>
      <c r="NVD5079" s="909"/>
      <c r="NVE5079" s="909"/>
      <c r="NVF5079" s="909"/>
      <c r="NVG5079" s="909"/>
      <c r="NVH5079" s="909"/>
      <c r="NVI5079" s="907" t="s">
        <v>79</v>
      </c>
      <c r="NVJ5079" s="909" t="s">
        <v>68</v>
      </c>
      <c r="NVK5079" s="910" t="s">
        <v>75</v>
      </c>
      <c r="NVL5079" s="911"/>
      <c r="NVM5079" s="911"/>
      <c r="NVN5079" s="911"/>
      <c r="NVO5079" s="911"/>
      <c r="NVP5079" s="911"/>
      <c r="NVQ5079" s="911"/>
      <c r="NVR5079" s="911"/>
      <c r="NVS5079" s="911"/>
      <c r="NVT5079" s="911"/>
      <c r="NVU5079" s="32"/>
      <c r="NVV5079" s="911" t="s">
        <v>74</v>
      </c>
      <c r="NVW5079" s="911"/>
      <c r="NVX5079" s="911"/>
      <c r="NVY5079" s="911"/>
      <c r="NVZ5079" s="911"/>
      <c r="NWA5079" s="911"/>
      <c r="NWB5079" s="911"/>
      <c r="NWC5079" s="911"/>
      <c r="NWD5079" s="911"/>
      <c r="NWE5079" s="912"/>
      <c r="NWG5079" s="913" t="s">
        <v>1</v>
      </c>
      <c r="NWH5079" s="31"/>
      <c r="NWI5079" s="909" t="s">
        <v>0</v>
      </c>
      <c r="NWJ5079" s="909"/>
      <c r="NWK5079" s="909"/>
      <c r="NWL5079" s="909"/>
      <c r="NWM5079" s="909"/>
      <c r="NWN5079" s="909"/>
      <c r="NWO5079" s="907" t="s">
        <v>79</v>
      </c>
      <c r="NWP5079" s="909" t="s">
        <v>68</v>
      </c>
      <c r="NWQ5079" s="910" t="s">
        <v>75</v>
      </c>
      <c r="NWR5079" s="911"/>
      <c r="NWS5079" s="911"/>
      <c r="NWT5079" s="911"/>
      <c r="NWU5079" s="911"/>
      <c r="NWV5079" s="911"/>
      <c r="NWW5079" s="911"/>
      <c r="NWX5079" s="911"/>
      <c r="NWY5079" s="911"/>
      <c r="NWZ5079" s="911"/>
      <c r="NXA5079" s="32"/>
      <c r="NXB5079" s="911" t="s">
        <v>74</v>
      </c>
      <c r="NXC5079" s="911"/>
      <c r="NXD5079" s="911"/>
      <c r="NXE5079" s="911"/>
      <c r="NXF5079" s="911"/>
      <c r="NXG5079" s="911"/>
      <c r="NXH5079" s="911"/>
      <c r="NXI5079" s="911"/>
      <c r="NXJ5079" s="911"/>
      <c r="NXK5079" s="912"/>
      <c r="NXM5079" s="913" t="s">
        <v>1</v>
      </c>
      <c r="NXN5079" s="31"/>
      <c r="NXO5079" s="909" t="s">
        <v>0</v>
      </c>
      <c r="NXP5079" s="909"/>
      <c r="NXQ5079" s="909"/>
      <c r="NXR5079" s="909"/>
      <c r="NXS5079" s="909"/>
      <c r="NXT5079" s="909"/>
      <c r="NXU5079" s="907" t="s">
        <v>79</v>
      </c>
      <c r="NXV5079" s="909" t="s">
        <v>68</v>
      </c>
      <c r="NXW5079" s="910" t="s">
        <v>75</v>
      </c>
      <c r="NXX5079" s="911"/>
      <c r="NXY5079" s="911"/>
      <c r="NXZ5079" s="911"/>
      <c r="NYA5079" s="911"/>
      <c r="NYB5079" s="911"/>
      <c r="NYC5079" s="911"/>
      <c r="NYD5079" s="911"/>
      <c r="NYE5079" s="911"/>
      <c r="NYF5079" s="911"/>
      <c r="NYG5079" s="32"/>
      <c r="NYH5079" s="911" t="s">
        <v>74</v>
      </c>
      <c r="NYI5079" s="911"/>
      <c r="NYJ5079" s="911"/>
      <c r="NYK5079" s="911"/>
      <c r="NYL5079" s="911"/>
      <c r="NYM5079" s="911"/>
      <c r="NYN5079" s="911"/>
      <c r="NYO5079" s="911"/>
      <c r="NYP5079" s="911"/>
      <c r="NYQ5079" s="912"/>
      <c r="NYS5079" s="913" t="s">
        <v>1</v>
      </c>
      <c r="NYT5079" s="31"/>
      <c r="NYU5079" s="909" t="s">
        <v>0</v>
      </c>
      <c r="NYV5079" s="909"/>
      <c r="NYW5079" s="909"/>
      <c r="NYX5079" s="909"/>
      <c r="NYY5079" s="909"/>
      <c r="NYZ5079" s="909"/>
      <c r="NZA5079" s="907" t="s">
        <v>79</v>
      </c>
      <c r="NZB5079" s="909" t="s">
        <v>68</v>
      </c>
      <c r="NZC5079" s="910" t="s">
        <v>75</v>
      </c>
      <c r="NZD5079" s="911"/>
      <c r="NZE5079" s="911"/>
      <c r="NZF5079" s="911"/>
      <c r="NZG5079" s="911"/>
      <c r="NZH5079" s="911"/>
      <c r="NZI5079" s="911"/>
      <c r="NZJ5079" s="911"/>
      <c r="NZK5079" s="911"/>
      <c r="NZL5079" s="911"/>
      <c r="NZM5079" s="32"/>
      <c r="NZN5079" s="911" t="s">
        <v>74</v>
      </c>
      <c r="NZO5079" s="911"/>
      <c r="NZP5079" s="911"/>
      <c r="NZQ5079" s="911"/>
      <c r="NZR5079" s="911"/>
      <c r="NZS5079" s="911"/>
      <c r="NZT5079" s="911"/>
      <c r="NZU5079" s="911"/>
      <c r="NZV5079" s="911"/>
      <c r="NZW5079" s="912"/>
      <c r="NZY5079" s="913" t="s">
        <v>1</v>
      </c>
      <c r="NZZ5079" s="31"/>
      <c r="OAA5079" s="909" t="s">
        <v>0</v>
      </c>
      <c r="OAB5079" s="909"/>
      <c r="OAC5079" s="909"/>
      <c r="OAD5079" s="909"/>
      <c r="OAE5079" s="909"/>
      <c r="OAF5079" s="909"/>
      <c r="OAG5079" s="907" t="s">
        <v>79</v>
      </c>
      <c r="OAH5079" s="909" t="s">
        <v>68</v>
      </c>
      <c r="OAI5079" s="910" t="s">
        <v>75</v>
      </c>
      <c r="OAJ5079" s="911"/>
      <c r="OAK5079" s="911"/>
      <c r="OAL5079" s="911"/>
      <c r="OAM5079" s="911"/>
      <c r="OAN5079" s="911"/>
      <c r="OAO5079" s="911"/>
      <c r="OAP5079" s="911"/>
      <c r="OAQ5079" s="911"/>
      <c r="OAR5079" s="911"/>
      <c r="OAS5079" s="32"/>
      <c r="OAT5079" s="911" t="s">
        <v>74</v>
      </c>
      <c r="OAU5079" s="911"/>
      <c r="OAV5079" s="911"/>
      <c r="OAW5079" s="911"/>
      <c r="OAX5079" s="911"/>
      <c r="OAY5079" s="911"/>
      <c r="OAZ5079" s="911"/>
      <c r="OBA5079" s="911"/>
      <c r="OBB5079" s="911"/>
      <c r="OBC5079" s="912"/>
      <c r="OBE5079" s="913" t="s">
        <v>1</v>
      </c>
      <c r="OBF5079" s="31"/>
      <c r="OBG5079" s="909" t="s">
        <v>0</v>
      </c>
      <c r="OBH5079" s="909"/>
      <c r="OBI5079" s="909"/>
      <c r="OBJ5079" s="909"/>
      <c r="OBK5079" s="909"/>
      <c r="OBL5079" s="909"/>
      <c r="OBM5079" s="907" t="s">
        <v>79</v>
      </c>
      <c r="OBN5079" s="909" t="s">
        <v>68</v>
      </c>
      <c r="OBO5079" s="910" t="s">
        <v>75</v>
      </c>
      <c r="OBP5079" s="911"/>
      <c r="OBQ5079" s="911"/>
      <c r="OBR5079" s="911"/>
      <c r="OBS5079" s="911"/>
      <c r="OBT5079" s="911"/>
      <c r="OBU5079" s="911"/>
      <c r="OBV5079" s="911"/>
      <c r="OBW5079" s="911"/>
      <c r="OBX5079" s="911"/>
      <c r="OBY5079" s="32"/>
      <c r="OBZ5079" s="911" t="s">
        <v>74</v>
      </c>
      <c r="OCA5079" s="911"/>
      <c r="OCB5079" s="911"/>
      <c r="OCC5079" s="911"/>
      <c r="OCD5079" s="911"/>
      <c r="OCE5079" s="911"/>
      <c r="OCF5079" s="911"/>
      <c r="OCG5079" s="911"/>
      <c r="OCH5079" s="911"/>
      <c r="OCI5079" s="912"/>
      <c r="OCK5079" s="913" t="s">
        <v>1</v>
      </c>
      <c r="OCL5079" s="31"/>
      <c r="OCM5079" s="909" t="s">
        <v>0</v>
      </c>
      <c r="OCN5079" s="909"/>
      <c r="OCO5079" s="909"/>
      <c r="OCP5079" s="909"/>
      <c r="OCQ5079" s="909"/>
      <c r="OCR5079" s="909"/>
      <c r="OCS5079" s="907" t="s">
        <v>79</v>
      </c>
      <c r="OCT5079" s="909" t="s">
        <v>68</v>
      </c>
      <c r="OCU5079" s="910" t="s">
        <v>75</v>
      </c>
      <c r="OCV5079" s="911"/>
      <c r="OCW5079" s="911"/>
      <c r="OCX5079" s="911"/>
      <c r="OCY5079" s="911"/>
      <c r="OCZ5079" s="911"/>
      <c r="ODA5079" s="911"/>
      <c r="ODB5079" s="911"/>
      <c r="ODC5079" s="911"/>
      <c r="ODD5079" s="911"/>
      <c r="ODE5079" s="32"/>
      <c r="ODF5079" s="911" t="s">
        <v>74</v>
      </c>
      <c r="ODG5079" s="911"/>
      <c r="ODH5079" s="911"/>
      <c r="ODI5079" s="911"/>
      <c r="ODJ5079" s="911"/>
      <c r="ODK5079" s="911"/>
      <c r="ODL5079" s="911"/>
      <c r="ODM5079" s="911"/>
      <c r="ODN5079" s="911"/>
      <c r="ODO5079" s="912"/>
      <c r="ODQ5079" s="913" t="s">
        <v>1</v>
      </c>
      <c r="ODR5079" s="31"/>
      <c r="ODS5079" s="909" t="s">
        <v>0</v>
      </c>
      <c r="ODT5079" s="909"/>
      <c r="ODU5079" s="909"/>
      <c r="ODV5079" s="909"/>
      <c r="ODW5079" s="909"/>
      <c r="ODX5079" s="909"/>
      <c r="ODY5079" s="907" t="s">
        <v>79</v>
      </c>
      <c r="ODZ5079" s="909" t="s">
        <v>68</v>
      </c>
      <c r="OEA5079" s="910" t="s">
        <v>75</v>
      </c>
      <c r="OEB5079" s="911"/>
      <c r="OEC5079" s="911"/>
      <c r="OED5079" s="911"/>
      <c r="OEE5079" s="911"/>
      <c r="OEF5079" s="911"/>
      <c r="OEG5079" s="911"/>
      <c r="OEH5079" s="911"/>
      <c r="OEI5079" s="911"/>
      <c r="OEJ5079" s="911"/>
      <c r="OEK5079" s="32"/>
      <c r="OEL5079" s="911" t="s">
        <v>74</v>
      </c>
      <c r="OEM5079" s="911"/>
      <c r="OEN5079" s="911"/>
      <c r="OEO5079" s="911"/>
      <c r="OEP5079" s="911"/>
      <c r="OEQ5079" s="911"/>
      <c r="OER5079" s="911"/>
      <c r="OES5079" s="911"/>
      <c r="OET5079" s="911"/>
      <c r="OEU5079" s="912"/>
      <c r="OEW5079" s="913" t="s">
        <v>1</v>
      </c>
      <c r="OEX5079" s="31"/>
      <c r="OEY5079" s="909" t="s">
        <v>0</v>
      </c>
      <c r="OEZ5079" s="909"/>
      <c r="OFA5079" s="909"/>
      <c r="OFB5079" s="909"/>
      <c r="OFC5079" s="909"/>
      <c r="OFD5079" s="909"/>
      <c r="OFE5079" s="907" t="s">
        <v>79</v>
      </c>
      <c r="OFF5079" s="909" t="s">
        <v>68</v>
      </c>
      <c r="OFG5079" s="910" t="s">
        <v>75</v>
      </c>
      <c r="OFH5079" s="911"/>
      <c r="OFI5079" s="911"/>
      <c r="OFJ5079" s="911"/>
      <c r="OFK5079" s="911"/>
      <c r="OFL5079" s="911"/>
      <c r="OFM5079" s="911"/>
      <c r="OFN5079" s="911"/>
      <c r="OFO5079" s="911"/>
      <c r="OFP5079" s="911"/>
      <c r="OFQ5079" s="32"/>
      <c r="OFR5079" s="911" t="s">
        <v>74</v>
      </c>
      <c r="OFS5079" s="911"/>
      <c r="OFT5079" s="911"/>
      <c r="OFU5079" s="911"/>
      <c r="OFV5079" s="911"/>
      <c r="OFW5079" s="911"/>
      <c r="OFX5079" s="911"/>
      <c r="OFY5079" s="911"/>
      <c r="OFZ5079" s="911"/>
      <c r="OGA5079" s="912"/>
      <c r="OGC5079" s="913" t="s">
        <v>1</v>
      </c>
      <c r="OGD5079" s="31"/>
      <c r="OGE5079" s="909" t="s">
        <v>0</v>
      </c>
      <c r="OGF5079" s="909"/>
      <c r="OGG5079" s="909"/>
      <c r="OGH5079" s="909"/>
      <c r="OGI5079" s="909"/>
      <c r="OGJ5079" s="909"/>
      <c r="OGK5079" s="907" t="s">
        <v>79</v>
      </c>
      <c r="OGL5079" s="909" t="s">
        <v>68</v>
      </c>
      <c r="OGM5079" s="910" t="s">
        <v>75</v>
      </c>
      <c r="OGN5079" s="911"/>
      <c r="OGO5079" s="911"/>
      <c r="OGP5079" s="911"/>
      <c r="OGQ5079" s="911"/>
      <c r="OGR5079" s="911"/>
      <c r="OGS5079" s="911"/>
      <c r="OGT5079" s="911"/>
      <c r="OGU5079" s="911"/>
      <c r="OGV5079" s="911"/>
      <c r="OGW5079" s="32"/>
      <c r="OGX5079" s="911" t="s">
        <v>74</v>
      </c>
      <c r="OGY5079" s="911"/>
      <c r="OGZ5079" s="911"/>
      <c r="OHA5079" s="911"/>
      <c r="OHB5079" s="911"/>
      <c r="OHC5079" s="911"/>
      <c r="OHD5079" s="911"/>
      <c r="OHE5079" s="911"/>
      <c r="OHF5079" s="911"/>
      <c r="OHG5079" s="912"/>
      <c r="OHI5079" s="913" t="s">
        <v>1</v>
      </c>
      <c r="OHJ5079" s="31"/>
      <c r="OHK5079" s="909" t="s">
        <v>0</v>
      </c>
      <c r="OHL5079" s="909"/>
      <c r="OHM5079" s="909"/>
      <c r="OHN5079" s="909"/>
      <c r="OHO5079" s="909"/>
      <c r="OHP5079" s="909"/>
      <c r="OHQ5079" s="907" t="s">
        <v>79</v>
      </c>
      <c r="OHR5079" s="909" t="s">
        <v>68</v>
      </c>
      <c r="OHS5079" s="910" t="s">
        <v>75</v>
      </c>
      <c r="OHT5079" s="911"/>
      <c r="OHU5079" s="911"/>
      <c r="OHV5079" s="911"/>
      <c r="OHW5079" s="911"/>
      <c r="OHX5079" s="911"/>
      <c r="OHY5079" s="911"/>
      <c r="OHZ5079" s="911"/>
      <c r="OIA5079" s="911"/>
      <c r="OIB5079" s="911"/>
      <c r="OIC5079" s="32"/>
      <c r="OID5079" s="911" t="s">
        <v>74</v>
      </c>
      <c r="OIE5079" s="911"/>
      <c r="OIF5079" s="911"/>
      <c r="OIG5079" s="911"/>
      <c r="OIH5079" s="911"/>
      <c r="OII5079" s="911"/>
      <c r="OIJ5079" s="911"/>
      <c r="OIK5079" s="911"/>
      <c r="OIL5079" s="911"/>
      <c r="OIM5079" s="912"/>
      <c r="OIO5079" s="913" t="s">
        <v>1</v>
      </c>
      <c r="OIP5079" s="31"/>
      <c r="OIQ5079" s="909" t="s">
        <v>0</v>
      </c>
      <c r="OIR5079" s="909"/>
      <c r="OIS5079" s="909"/>
      <c r="OIT5079" s="909"/>
      <c r="OIU5079" s="909"/>
      <c r="OIV5079" s="909"/>
      <c r="OIW5079" s="907" t="s">
        <v>79</v>
      </c>
      <c r="OIX5079" s="909" t="s">
        <v>68</v>
      </c>
      <c r="OIY5079" s="910" t="s">
        <v>75</v>
      </c>
      <c r="OIZ5079" s="911"/>
      <c r="OJA5079" s="911"/>
      <c r="OJB5079" s="911"/>
      <c r="OJC5079" s="911"/>
      <c r="OJD5079" s="911"/>
      <c r="OJE5079" s="911"/>
      <c r="OJF5079" s="911"/>
      <c r="OJG5079" s="911"/>
      <c r="OJH5079" s="911"/>
      <c r="OJI5079" s="32"/>
      <c r="OJJ5079" s="911" t="s">
        <v>74</v>
      </c>
      <c r="OJK5079" s="911"/>
      <c r="OJL5079" s="911"/>
      <c r="OJM5079" s="911"/>
      <c r="OJN5079" s="911"/>
      <c r="OJO5079" s="911"/>
      <c r="OJP5079" s="911"/>
      <c r="OJQ5079" s="911"/>
      <c r="OJR5079" s="911"/>
      <c r="OJS5079" s="912"/>
      <c r="OJU5079" s="913" t="s">
        <v>1</v>
      </c>
      <c r="OJV5079" s="31"/>
      <c r="OJW5079" s="909" t="s">
        <v>0</v>
      </c>
      <c r="OJX5079" s="909"/>
      <c r="OJY5079" s="909"/>
      <c r="OJZ5079" s="909"/>
      <c r="OKA5079" s="909"/>
      <c r="OKB5079" s="909"/>
      <c r="OKC5079" s="907" t="s">
        <v>79</v>
      </c>
      <c r="OKD5079" s="909" t="s">
        <v>68</v>
      </c>
      <c r="OKE5079" s="910" t="s">
        <v>75</v>
      </c>
      <c r="OKF5079" s="911"/>
      <c r="OKG5079" s="911"/>
      <c r="OKH5079" s="911"/>
      <c r="OKI5079" s="911"/>
      <c r="OKJ5079" s="911"/>
      <c r="OKK5079" s="911"/>
      <c r="OKL5079" s="911"/>
      <c r="OKM5079" s="911"/>
      <c r="OKN5079" s="911"/>
      <c r="OKO5079" s="32"/>
      <c r="OKP5079" s="911" t="s">
        <v>74</v>
      </c>
      <c r="OKQ5079" s="911"/>
      <c r="OKR5079" s="911"/>
      <c r="OKS5079" s="911"/>
      <c r="OKT5079" s="911"/>
      <c r="OKU5079" s="911"/>
      <c r="OKV5079" s="911"/>
      <c r="OKW5079" s="911"/>
      <c r="OKX5079" s="911"/>
      <c r="OKY5079" s="912"/>
      <c r="OLA5079" s="913" t="s">
        <v>1</v>
      </c>
      <c r="OLB5079" s="31"/>
      <c r="OLC5079" s="909" t="s">
        <v>0</v>
      </c>
      <c r="OLD5079" s="909"/>
      <c r="OLE5079" s="909"/>
      <c r="OLF5079" s="909"/>
      <c r="OLG5079" s="909"/>
      <c r="OLH5079" s="909"/>
      <c r="OLI5079" s="907" t="s">
        <v>79</v>
      </c>
      <c r="OLJ5079" s="909" t="s">
        <v>68</v>
      </c>
      <c r="OLK5079" s="910" t="s">
        <v>75</v>
      </c>
      <c r="OLL5079" s="911"/>
      <c r="OLM5079" s="911"/>
      <c r="OLN5079" s="911"/>
      <c r="OLO5079" s="911"/>
      <c r="OLP5079" s="911"/>
      <c r="OLQ5079" s="911"/>
      <c r="OLR5079" s="911"/>
      <c r="OLS5079" s="911"/>
      <c r="OLT5079" s="911"/>
      <c r="OLU5079" s="32"/>
      <c r="OLV5079" s="911" t="s">
        <v>74</v>
      </c>
      <c r="OLW5079" s="911"/>
      <c r="OLX5079" s="911"/>
      <c r="OLY5079" s="911"/>
      <c r="OLZ5079" s="911"/>
      <c r="OMA5079" s="911"/>
      <c r="OMB5079" s="911"/>
      <c r="OMC5079" s="911"/>
      <c r="OMD5079" s="911"/>
      <c r="OME5079" s="912"/>
      <c r="OMG5079" s="913" t="s">
        <v>1</v>
      </c>
      <c r="OMH5079" s="31"/>
      <c r="OMI5079" s="909" t="s">
        <v>0</v>
      </c>
      <c r="OMJ5079" s="909"/>
      <c r="OMK5079" s="909"/>
      <c r="OML5079" s="909"/>
      <c r="OMM5079" s="909"/>
      <c r="OMN5079" s="909"/>
      <c r="OMO5079" s="907" t="s">
        <v>79</v>
      </c>
      <c r="OMP5079" s="909" t="s">
        <v>68</v>
      </c>
      <c r="OMQ5079" s="910" t="s">
        <v>75</v>
      </c>
      <c r="OMR5079" s="911"/>
      <c r="OMS5079" s="911"/>
      <c r="OMT5079" s="911"/>
      <c r="OMU5079" s="911"/>
      <c r="OMV5079" s="911"/>
      <c r="OMW5079" s="911"/>
      <c r="OMX5079" s="911"/>
      <c r="OMY5079" s="911"/>
      <c r="OMZ5079" s="911"/>
      <c r="ONA5079" s="32"/>
      <c r="ONB5079" s="911" t="s">
        <v>74</v>
      </c>
      <c r="ONC5079" s="911"/>
      <c r="OND5079" s="911"/>
      <c r="ONE5079" s="911"/>
      <c r="ONF5079" s="911"/>
      <c r="ONG5079" s="911"/>
      <c r="ONH5079" s="911"/>
      <c r="ONI5079" s="911"/>
      <c r="ONJ5079" s="911"/>
      <c r="ONK5079" s="912"/>
      <c r="ONM5079" s="913" t="s">
        <v>1</v>
      </c>
      <c r="ONN5079" s="31"/>
      <c r="ONO5079" s="909" t="s">
        <v>0</v>
      </c>
      <c r="ONP5079" s="909"/>
      <c r="ONQ5079" s="909"/>
      <c r="ONR5079" s="909"/>
      <c r="ONS5079" s="909"/>
      <c r="ONT5079" s="909"/>
      <c r="ONU5079" s="907" t="s">
        <v>79</v>
      </c>
      <c r="ONV5079" s="909" t="s">
        <v>68</v>
      </c>
      <c r="ONW5079" s="910" t="s">
        <v>75</v>
      </c>
      <c r="ONX5079" s="911"/>
      <c r="ONY5079" s="911"/>
      <c r="ONZ5079" s="911"/>
      <c r="OOA5079" s="911"/>
      <c r="OOB5079" s="911"/>
      <c r="OOC5079" s="911"/>
      <c r="OOD5079" s="911"/>
      <c r="OOE5079" s="911"/>
      <c r="OOF5079" s="911"/>
      <c r="OOG5079" s="32"/>
      <c r="OOH5079" s="911" t="s">
        <v>74</v>
      </c>
      <c r="OOI5079" s="911"/>
      <c r="OOJ5079" s="911"/>
      <c r="OOK5079" s="911"/>
      <c r="OOL5079" s="911"/>
      <c r="OOM5079" s="911"/>
      <c r="OON5079" s="911"/>
      <c r="OOO5079" s="911"/>
      <c r="OOP5079" s="911"/>
      <c r="OOQ5079" s="912"/>
      <c r="OOS5079" s="913" t="s">
        <v>1</v>
      </c>
      <c r="OOT5079" s="31"/>
      <c r="OOU5079" s="909" t="s">
        <v>0</v>
      </c>
      <c r="OOV5079" s="909"/>
      <c r="OOW5079" s="909"/>
      <c r="OOX5079" s="909"/>
      <c r="OOY5079" s="909"/>
      <c r="OOZ5079" s="909"/>
      <c r="OPA5079" s="907" t="s">
        <v>79</v>
      </c>
      <c r="OPB5079" s="909" t="s">
        <v>68</v>
      </c>
      <c r="OPC5079" s="910" t="s">
        <v>75</v>
      </c>
      <c r="OPD5079" s="911"/>
      <c r="OPE5079" s="911"/>
      <c r="OPF5079" s="911"/>
      <c r="OPG5079" s="911"/>
      <c r="OPH5079" s="911"/>
      <c r="OPI5079" s="911"/>
      <c r="OPJ5079" s="911"/>
      <c r="OPK5079" s="911"/>
      <c r="OPL5079" s="911"/>
      <c r="OPM5079" s="32"/>
      <c r="OPN5079" s="911" t="s">
        <v>74</v>
      </c>
      <c r="OPO5079" s="911"/>
      <c r="OPP5079" s="911"/>
      <c r="OPQ5079" s="911"/>
      <c r="OPR5079" s="911"/>
      <c r="OPS5079" s="911"/>
      <c r="OPT5079" s="911"/>
      <c r="OPU5079" s="911"/>
      <c r="OPV5079" s="911"/>
      <c r="OPW5079" s="912"/>
      <c r="OPY5079" s="913" t="s">
        <v>1</v>
      </c>
      <c r="OPZ5079" s="31"/>
      <c r="OQA5079" s="909" t="s">
        <v>0</v>
      </c>
      <c r="OQB5079" s="909"/>
      <c r="OQC5079" s="909"/>
      <c r="OQD5079" s="909"/>
      <c r="OQE5079" s="909"/>
      <c r="OQF5079" s="909"/>
      <c r="OQG5079" s="907" t="s">
        <v>79</v>
      </c>
      <c r="OQH5079" s="909" t="s">
        <v>68</v>
      </c>
      <c r="OQI5079" s="910" t="s">
        <v>75</v>
      </c>
      <c r="OQJ5079" s="911"/>
      <c r="OQK5079" s="911"/>
      <c r="OQL5079" s="911"/>
      <c r="OQM5079" s="911"/>
      <c r="OQN5079" s="911"/>
      <c r="OQO5079" s="911"/>
      <c r="OQP5079" s="911"/>
      <c r="OQQ5079" s="911"/>
      <c r="OQR5079" s="911"/>
      <c r="OQS5079" s="32"/>
      <c r="OQT5079" s="911" t="s">
        <v>74</v>
      </c>
      <c r="OQU5079" s="911"/>
      <c r="OQV5079" s="911"/>
      <c r="OQW5079" s="911"/>
      <c r="OQX5079" s="911"/>
      <c r="OQY5079" s="911"/>
      <c r="OQZ5079" s="911"/>
      <c r="ORA5079" s="911"/>
      <c r="ORB5079" s="911"/>
      <c r="ORC5079" s="912"/>
      <c r="ORE5079" s="913" t="s">
        <v>1</v>
      </c>
      <c r="ORF5079" s="31"/>
      <c r="ORG5079" s="909" t="s">
        <v>0</v>
      </c>
      <c r="ORH5079" s="909"/>
      <c r="ORI5079" s="909"/>
      <c r="ORJ5079" s="909"/>
      <c r="ORK5079" s="909"/>
      <c r="ORL5079" s="909"/>
      <c r="ORM5079" s="907" t="s">
        <v>79</v>
      </c>
      <c r="ORN5079" s="909" t="s">
        <v>68</v>
      </c>
      <c r="ORO5079" s="910" t="s">
        <v>75</v>
      </c>
      <c r="ORP5079" s="911"/>
      <c r="ORQ5079" s="911"/>
      <c r="ORR5079" s="911"/>
      <c r="ORS5079" s="911"/>
      <c r="ORT5079" s="911"/>
      <c r="ORU5079" s="911"/>
      <c r="ORV5079" s="911"/>
      <c r="ORW5079" s="911"/>
      <c r="ORX5079" s="911"/>
      <c r="ORY5079" s="32"/>
      <c r="ORZ5079" s="911" t="s">
        <v>74</v>
      </c>
      <c r="OSA5079" s="911"/>
      <c r="OSB5079" s="911"/>
      <c r="OSC5079" s="911"/>
      <c r="OSD5079" s="911"/>
      <c r="OSE5079" s="911"/>
      <c r="OSF5079" s="911"/>
      <c r="OSG5079" s="911"/>
      <c r="OSH5079" s="911"/>
      <c r="OSI5079" s="912"/>
      <c r="OSK5079" s="913" t="s">
        <v>1</v>
      </c>
      <c r="OSL5079" s="31"/>
      <c r="OSM5079" s="909" t="s">
        <v>0</v>
      </c>
      <c r="OSN5079" s="909"/>
      <c r="OSO5079" s="909"/>
      <c r="OSP5079" s="909"/>
      <c r="OSQ5079" s="909"/>
      <c r="OSR5079" s="909"/>
      <c r="OSS5079" s="907" t="s">
        <v>79</v>
      </c>
      <c r="OST5079" s="909" t="s">
        <v>68</v>
      </c>
      <c r="OSU5079" s="910" t="s">
        <v>75</v>
      </c>
      <c r="OSV5079" s="911"/>
      <c r="OSW5079" s="911"/>
      <c r="OSX5079" s="911"/>
      <c r="OSY5079" s="911"/>
      <c r="OSZ5079" s="911"/>
      <c r="OTA5079" s="911"/>
      <c r="OTB5079" s="911"/>
      <c r="OTC5079" s="911"/>
      <c r="OTD5079" s="911"/>
      <c r="OTE5079" s="32"/>
      <c r="OTF5079" s="911" t="s">
        <v>74</v>
      </c>
      <c r="OTG5079" s="911"/>
      <c r="OTH5079" s="911"/>
      <c r="OTI5079" s="911"/>
      <c r="OTJ5079" s="911"/>
      <c r="OTK5079" s="911"/>
      <c r="OTL5079" s="911"/>
      <c r="OTM5079" s="911"/>
      <c r="OTN5079" s="911"/>
      <c r="OTO5079" s="912"/>
      <c r="OTQ5079" s="913" t="s">
        <v>1</v>
      </c>
      <c r="OTR5079" s="31"/>
      <c r="OTS5079" s="909" t="s">
        <v>0</v>
      </c>
      <c r="OTT5079" s="909"/>
      <c r="OTU5079" s="909"/>
      <c r="OTV5079" s="909"/>
      <c r="OTW5079" s="909"/>
      <c r="OTX5079" s="909"/>
      <c r="OTY5079" s="907" t="s">
        <v>79</v>
      </c>
      <c r="OTZ5079" s="909" t="s">
        <v>68</v>
      </c>
      <c r="OUA5079" s="910" t="s">
        <v>75</v>
      </c>
      <c r="OUB5079" s="911"/>
      <c r="OUC5079" s="911"/>
      <c r="OUD5079" s="911"/>
      <c r="OUE5079" s="911"/>
      <c r="OUF5079" s="911"/>
      <c r="OUG5079" s="911"/>
      <c r="OUH5079" s="911"/>
      <c r="OUI5079" s="911"/>
      <c r="OUJ5079" s="911"/>
      <c r="OUK5079" s="32"/>
      <c r="OUL5079" s="911" t="s">
        <v>74</v>
      </c>
      <c r="OUM5079" s="911"/>
      <c r="OUN5079" s="911"/>
      <c r="OUO5079" s="911"/>
      <c r="OUP5079" s="911"/>
      <c r="OUQ5079" s="911"/>
      <c r="OUR5079" s="911"/>
      <c r="OUS5079" s="911"/>
      <c r="OUT5079" s="911"/>
      <c r="OUU5079" s="912"/>
      <c r="OUW5079" s="913" t="s">
        <v>1</v>
      </c>
      <c r="OUX5079" s="31"/>
      <c r="OUY5079" s="909" t="s">
        <v>0</v>
      </c>
      <c r="OUZ5079" s="909"/>
      <c r="OVA5079" s="909"/>
      <c r="OVB5079" s="909"/>
      <c r="OVC5079" s="909"/>
      <c r="OVD5079" s="909"/>
      <c r="OVE5079" s="907" t="s">
        <v>79</v>
      </c>
      <c r="OVF5079" s="909" t="s">
        <v>68</v>
      </c>
      <c r="OVG5079" s="910" t="s">
        <v>75</v>
      </c>
      <c r="OVH5079" s="911"/>
      <c r="OVI5079" s="911"/>
      <c r="OVJ5079" s="911"/>
      <c r="OVK5079" s="911"/>
      <c r="OVL5079" s="911"/>
      <c r="OVM5079" s="911"/>
      <c r="OVN5079" s="911"/>
      <c r="OVO5079" s="911"/>
      <c r="OVP5079" s="911"/>
      <c r="OVQ5079" s="32"/>
      <c r="OVR5079" s="911" t="s">
        <v>74</v>
      </c>
      <c r="OVS5079" s="911"/>
      <c r="OVT5079" s="911"/>
      <c r="OVU5079" s="911"/>
      <c r="OVV5079" s="911"/>
      <c r="OVW5079" s="911"/>
      <c r="OVX5079" s="911"/>
      <c r="OVY5079" s="911"/>
      <c r="OVZ5079" s="911"/>
      <c r="OWA5079" s="912"/>
      <c r="OWC5079" s="913" t="s">
        <v>1</v>
      </c>
      <c r="OWD5079" s="31"/>
      <c r="OWE5079" s="909" t="s">
        <v>0</v>
      </c>
      <c r="OWF5079" s="909"/>
      <c r="OWG5079" s="909"/>
      <c r="OWH5079" s="909"/>
      <c r="OWI5079" s="909"/>
      <c r="OWJ5079" s="909"/>
      <c r="OWK5079" s="907" t="s">
        <v>79</v>
      </c>
      <c r="OWL5079" s="909" t="s">
        <v>68</v>
      </c>
      <c r="OWM5079" s="910" t="s">
        <v>75</v>
      </c>
      <c r="OWN5079" s="911"/>
      <c r="OWO5079" s="911"/>
      <c r="OWP5079" s="911"/>
      <c r="OWQ5079" s="911"/>
      <c r="OWR5079" s="911"/>
      <c r="OWS5079" s="911"/>
      <c r="OWT5079" s="911"/>
      <c r="OWU5079" s="911"/>
      <c r="OWV5079" s="911"/>
      <c r="OWW5079" s="32"/>
      <c r="OWX5079" s="911" t="s">
        <v>74</v>
      </c>
      <c r="OWY5079" s="911"/>
      <c r="OWZ5079" s="911"/>
      <c r="OXA5079" s="911"/>
      <c r="OXB5079" s="911"/>
      <c r="OXC5079" s="911"/>
      <c r="OXD5079" s="911"/>
      <c r="OXE5079" s="911"/>
      <c r="OXF5079" s="911"/>
      <c r="OXG5079" s="912"/>
      <c r="OXI5079" s="913" t="s">
        <v>1</v>
      </c>
      <c r="OXJ5079" s="31"/>
      <c r="OXK5079" s="909" t="s">
        <v>0</v>
      </c>
      <c r="OXL5079" s="909"/>
      <c r="OXM5079" s="909"/>
      <c r="OXN5079" s="909"/>
      <c r="OXO5079" s="909"/>
      <c r="OXP5079" s="909"/>
      <c r="OXQ5079" s="907" t="s">
        <v>79</v>
      </c>
      <c r="OXR5079" s="909" t="s">
        <v>68</v>
      </c>
      <c r="OXS5079" s="910" t="s">
        <v>75</v>
      </c>
      <c r="OXT5079" s="911"/>
      <c r="OXU5079" s="911"/>
      <c r="OXV5079" s="911"/>
      <c r="OXW5079" s="911"/>
      <c r="OXX5079" s="911"/>
      <c r="OXY5079" s="911"/>
      <c r="OXZ5079" s="911"/>
      <c r="OYA5079" s="911"/>
      <c r="OYB5079" s="911"/>
      <c r="OYC5079" s="32"/>
      <c r="OYD5079" s="911" t="s">
        <v>74</v>
      </c>
      <c r="OYE5079" s="911"/>
      <c r="OYF5079" s="911"/>
      <c r="OYG5079" s="911"/>
      <c r="OYH5079" s="911"/>
      <c r="OYI5079" s="911"/>
      <c r="OYJ5079" s="911"/>
      <c r="OYK5079" s="911"/>
      <c r="OYL5079" s="911"/>
      <c r="OYM5079" s="912"/>
      <c r="OYO5079" s="913" t="s">
        <v>1</v>
      </c>
      <c r="OYP5079" s="31"/>
      <c r="OYQ5079" s="909" t="s">
        <v>0</v>
      </c>
      <c r="OYR5079" s="909"/>
      <c r="OYS5079" s="909"/>
      <c r="OYT5079" s="909"/>
      <c r="OYU5079" s="909"/>
      <c r="OYV5079" s="909"/>
      <c r="OYW5079" s="907" t="s">
        <v>79</v>
      </c>
      <c r="OYX5079" s="909" t="s">
        <v>68</v>
      </c>
      <c r="OYY5079" s="910" t="s">
        <v>75</v>
      </c>
      <c r="OYZ5079" s="911"/>
      <c r="OZA5079" s="911"/>
      <c r="OZB5079" s="911"/>
      <c r="OZC5079" s="911"/>
      <c r="OZD5079" s="911"/>
      <c r="OZE5079" s="911"/>
      <c r="OZF5079" s="911"/>
      <c r="OZG5079" s="911"/>
      <c r="OZH5079" s="911"/>
      <c r="OZI5079" s="32"/>
      <c r="OZJ5079" s="911" t="s">
        <v>74</v>
      </c>
      <c r="OZK5079" s="911"/>
      <c r="OZL5079" s="911"/>
      <c r="OZM5079" s="911"/>
      <c r="OZN5079" s="911"/>
      <c r="OZO5079" s="911"/>
      <c r="OZP5079" s="911"/>
      <c r="OZQ5079" s="911"/>
      <c r="OZR5079" s="911"/>
      <c r="OZS5079" s="912"/>
      <c r="OZU5079" s="913" t="s">
        <v>1</v>
      </c>
      <c r="OZV5079" s="31"/>
      <c r="OZW5079" s="909" t="s">
        <v>0</v>
      </c>
      <c r="OZX5079" s="909"/>
      <c r="OZY5079" s="909"/>
      <c r="OZZ5079" s="909"/>
      <c r="PAA5079" s="909"/>
      <c r="PAB5079" s="909"/>
      <c r="PAC5079" s="907" t="s">
        <v>79</v>
      </c>
      <c r="PAD5079" s="909" t="s">
        <v>68</v>
      </c>
      <c r="PAE5079" s="910" t="s">
        <v>75</v>
      </c>
      <c r="PAF5079" s="911"/>
      <c r="PAG5079" s="911"/>
      <c r="PAH5079" s="911"/>
      <c r="PAI5079" s="911"/>
      <c r="PAJ5079" s="911"/>
      <c r="PAK5079" s="911"/>
      <c r="PAL5079" s="911"/>
      <c r="PAM5079" s="911"/>
      <c r="PAN5079" s="911"/>
      <c r="PAO5079" s="32"/>
      <c r="PAP5079" s="911" t="s">
        <v>74</v>
      </c>
      <c r="PAQ5079" s="911"/>
      <c r="PAR5079" s="911"/>
      <c r="PAS5079" s="911"/>
      <c r="PAT5079" s="911"/>
      <c r="PAU5079" s="911"/>
      <c r="PAV5079" s="911"/>
      <c r="PAW5079" s="911"/>
      <c r="PAX5079" s="911"/>
      <c r="PAY5079" s="912"/>
      <c r="PBA5079" s="913" t="s">
        <v>1</v>
      </c>
      <c r="PBB5079" s="31"/>
      <c r="PBC5079" s="909" t="s">
        <v>0</v>
      </c>
      <c r="PBD5079" s="909"/>
      <c r="PBE5079" s="909"/>
      <c r="PBF5079" s="909"/>
      <c r="PBG5079" s="909"/>
      <c r="PBH5079" s="909"/>
      <c r="PBI5079" s="907" t="s">
        <v>79</v>
      </c>
      <c r="PBJ5079" s="909" t="s">
        <v>68</v>
      </c>
      <c r="PBK5079" s="910" t="s">
        <v>75</v>
      </c>
      <c r="PBL5079" s="911"/>
      <c r="PBM5079" s="911"/>
      <c r="PBN5079" s="911"/>
      <c r="PBO5079" s="911"/>
      <c r="PBP5079" s="911"/>
      <c r="PBQ5079" s="911"/>
      <c r="PBR5079" s="911"/>
      <c r="PBS5079" s="911"/>
      <c r="PBT5079" s="911"/>
      <c r="PBU5079" s="32"/>
      <c r="PBV5079" s="911" t="s">
        <v>74</v>
      </c>
      <c r="PBW5079" s="911"/>
      <c r="PBX5079" s="911"/>
      <c r="PBY5079" s="911"/>
      <c r="PBZ5079" s="911"/>
      <c r="PCA5079" s="911"/>
      <c r="PCB5079" s="911"/>
      <c r="PCC5079" s="911"/>
      <c r="PCD5079" s="911"/>
      <c r="PCE5079" s="912"/>
      <c r="PCG5079" s="913" t="s">
        <v>1</v>
      </c>
      <c r="PCH5079" s="31"/>
      <c r="PCI5079" s="909" t="s">
        <v>0</v>
      </c>
      <c r="PCJ5079" s="909"/>
      <c r="PCK5079" s="909"/>
      <c r="PCL5079" s="909"/>
      <c r="PCM5079" s="909"/>
      <c r="PCN5079" s="909"/>
      <c r="PCO5079" s="907" t="s">
        <v>79</v>
      </c>
      <c r="PCP5079" s="909" t="s">
        <v>68</v>
      </c>
      <c r="PCQ5079" s="910" t="s">
        <v>75</v>
      </c>
      <c r="PCR5079" s="911"/>
      <c r="PCS5079" s="911"/>
      <c r="PCT5079" s="911"/>
      <c r="PCU5079" s="911"/>
      <c r="PCV5079" s="911"/>
      <c r="PCW5079" s="911"/>
      <c r="PCX5079" s="911"/>
      <c r="PCY5079" s="911"/>
      <c r="PCZ5079" s="911"/>
      <c r="PDA5079" s="32"/>
      <c r="PDB5079" s="911" t="s">
        <v>74</v>
      </c>
      <c r="PDC5079" s="911"/>
      <c r="PDD5079" s="911"/>
      <c r="PDE5079" s="911"/>
      <c r="PDF5079" s="911"/>
      <c r="PDG5079" s="911"/>
      <c r="PDH5079" s="911"/>
      <c r="PDI5079" s="911"/>
      <c r="PDJ5079" s="911"/>
      <c r="PDK5079" s="912"/>
      <c r="PDM5079" s="913" t="s">
        <v>1</v>
      </c>
      <c r="PDN5079" s="31"/>
      <c r="PDO5079" s="909" t="s">
        <v>0</v>
      </c>
      <c r="PDP5079" s="909"/>
      <c r="PDQ5079" s="909"/>
      <c r="PDR5079" s="909"/>
      <c r="PDS5079" s="909"/>
      <c r="PDT5079" s="909"/>
      <c r="PDU5079" s="907" t="s">
        <v>79</v>
      </c>
      <c r="PDV5079" s="909" t="s">
        <v>68</v>
      </c>
      <c r="PDW5079" s="910" t="s">
        <v>75</v>
      </c>
      <c r="PDX5079" s="911"/>
      <c r="PDY5079" s="911"/>
      <c r="PDZ5079" s="911"/>
      <c r="PEA5079" s="911"/>
      <c r="PEB5079" s="911"/>
      <c r="PEC5079" s="911"/>
      <c r="PED5079" s="911"/>
      <c r="PEE5079" s="911"/>
      <c r="PEF5079" s="911"/>
      <c r="PEG5079" s="32"/>
      <c r="PEH5079" s="911" t="s">
        <v>74</v>
      </c>
      <c r="PEI5079" s="911"/>
      <c r="PEJ5079" s="911"/>
      <c r="PEK5079" s="911"/>
      <c r="PEL5079" s="911"/>
      <c r="PEM5079" s="911"/>
      <c r="PEN5079" s="911"/>
      <c r="PEO5079" s="911"/>
      <c r="PEP5079" s="911"/>
      <c r="PEQ5079" s="912"/>
      <c r="PES5079" s="913" t="s">
        <v>1</v>
      </c>
      <c r="PET5079" s="31"/>
      <c r="PEU5079" s="909" t="s">
        <v>0</v>
      </c>
      <c r="PEV5079" s="909"/>
      <c r="PEW5079" s="909"/>
      <c r="PEX5079" s="909"/>
      <c r="PEY5079" s="909"/>
      <c r="PEZ5079" s="909"/>
      <c r="PFA5079" s="907" t="s">
        <v>79</v>
      </c>
      <c r="PFB5079" s="909" t="s">
        <v>68</v>
      </c>
      <c r="PFC5079" s="910" t="s">
        <v>75</v>
      </c>
      <c r="PFD5079" s="911"/>
      <c r="PFE5079" s="911"/>
      <c r="PFF5079" s="911"/>
      <c r="PFG5079" s="911"/>
      <c r="PFH5079" s="911"/>
      <c r="PFI5079" s="911"/>
      <c r="PFJ5079" s="911"/>
      <c r="PFK5079" s="911"/>
      <c r="PFL5079" s="911"/>
      <c r="PFM5079" s="32"/>
      <c r="PFN5079" s="911" t="s">
        <v>74</v>
      </c>
      <c r="PFO5079" s="911"/>
      <c r="PFP5079" s="911"/>
      <c r="PFQ5079" s="911"/>
      <c r="PFR5079" s="911"/>
      <c r="PFS5079" s="911"/>
      <c r="PFT5079" s="911"/>
      <c r="PFU5079" s="911"/>
      <c r="PFV5079" s="911"/>
      <c r="PFW5079" s="912"/>
      <c r="PFY5079" s="913" t="s">
        <v>1</v>
      </c>
      <c r="PFZ5079" s="31"/>
      <c r="PGA5079" s="909" t="s">
        <v>0</v>
      </c>
      <c r="PGB5079" s="909"/>
      <c r="PGC5079" s="909"/>
      <c r="PGD5079" s="909"/>
      <c r="PGE5079" s="909"/>
      <c r="PGF5079" s="909"/>
      <c r="PGG5079" s="907" t="s">
        <v>79</v>
      </c>
      <c r="PGH5079" s="909" t="s">
        <v>68</v>
      </c>
      <c r="PGI5079" s="910" t="s">
        <v>75</v>
      </c>
      <c r="PGJ5079" s="911"/>
      <c r="PGK5079" s="911"/>
      <c r="PGL5079" s="911"/>
      <c r="PGM5079" s="911"/>
      <c r="PGN5079" s="911"/>
      <c r="PGO5079" s="911"/>
      <c r="PGP5079" s="911"/>
      <c r="PGQ5079" s="911"/>
      <c r="PGR5079" s="911"/>
      <c r="PGS5079" s="32"/>
      <c r="PGT5079" s="911" t="s">
        <v>74</v>
      </c>
      <c r="PGU5079" s="911"/>
      <c r="PGV5079" s="911"/>
      <c r="PGW5079" s="911"/>
      <c r="PGX5079" s="911"/>
      <c r="PGY5079" s="911"/>
      <c r="PGZ5079" s="911"/>
      <c r="PHA5079" s="911"/>
      <c r="PHB5079" s="911"/>
      <c r="PHC5079" s="912"/>
      <c r="PHE5079" s="913" t="s">
        <v>1</v>
      </c>
      <c r="PHF5079" s="31"/>
      <c r="PHG5079" s="909" t="s">
        <v>0</v>
      </c>
      <c r="PHH5079" s="909"/>
      <c r="PHI5079" s="909"/>
      <c r="PHJ5079" s="909"/>
      <c r="PHK5079" s="909"/>
      <c r="PHL5079" s="909"/>
      <c r="PHM5079" s="907" t="s">
        <v>79</v>
      </c>
      <c r="PHN5079" s="909" t="s">
        <v>68</v>
      </c>
      <c r="PHO5079" s="910" t="s">
        <v>75</v>
      </c>
      <c r="PHP5079" s="911"/>
      <c r="PHQ5079" s="911"/>
      <c r="PHR5079" s="911"/>
      <c r="PHS5079" s="911"/>
      <c r="PHT5079" s="911"/>
      <c r="PHU5079" s="911"/>
      <c r="PHV5079" s="911"/>
      <c r="PHW5079" s="911"/>
      <c r="PHX5079" s="911"/>
      <c r="PHY5079" s="32"/>
      <c r="PHZ5079" s="911" t="s">
        <v>74</v>
      </c>
      <c r="PIA5079" s="911"/>
      <c r="PIB5079" s="911"/>
      <c r="PIC5079" s="911"/>
      <c r="PID5079" s="911"/>
      <c r="PIE5079" s="911"/>
      <c r="PIF5079" s="911"/>
      <c r="PIG5079" s="911"/>
      <c r="PIH5079" s="911"/>
      <c r="PII5079" s="912"/>
      <c r="PIK5079" s="913" t="s">
        <v>1</v>
      </c>
      <c r="PIL5079" s="31"/>
      <c r="PIM5079" s="909" t="s">
        <v>0</v>
      </c>
      <c r="PIN5079" s="909"/>
      <c r="PIO5079" s="909"/>
      <c r="PIP5079" s="909"/>
      <c r="PIQ5079" s="909"/>
      <c r="PIR5079" s="909"/>
      <c r="PIS5079" s="907" t="s">
        <v>79</v>
      </c>
      <c r="PIT5079" s="909" t="s">
        <v>68</v>
      </c>
      <c r="PIU5079" s="910" t="s">
        <v>75</v>
      </c>
      <c r="PIV5079" s="911"/>
      <c r="PIW5079" s="911"/>
      <c r="PIX5079" s="911"/>
      <c r="PIY5079" s="911"/>
      <c r="PIZ5079" s="911"/>
      <c r="PJA5079" s="911"/>
      <c r="PJB5079" s="911"/>
      <c r="PJC5079" s="911"/>
      <c r="PJD5079" s="911"/>
      <c r="PJE5079" s="32"/>
      <c r="PJF5079" s="911" t="s">
        <v>74</v>
      </c>
      <c r="PJG5079" s="911"/>
      <c r="PJH5079" s="911"/>
      <c r="PJI5079" s="911"/>
      <c r="PJJ5079" s="911"/>
      <c r="PJK5079" s="911"/>
      <c r="PJL5079" s="911"/>
      <c r="PJM5079" s="911"/>
      <c r="PJN5079" s="911"/>
      <c r="PJO5079" s="912"/>
      <c r="PJQ5079" s="913" t="s">
        <v>1</v>
      </c>
      <c r="PJR5079" s="31"/>
      <c r="PJS5079" s="909" t="s">
        <v>0</v>
      </c>
      <c r="PJT5079" s="909"/>
      <c r="PJU5079" s="909"/>
      <c r="PJV5079" s="909"/>
      <c r="PJW5079" s="909"/>
      <c r="PJX5079" s="909"/>
      <c r="PJY5079" s="907" t="s">
        <v>79</v>
      </c>
      <c r="PJZ5079" s="909" t="s">
        <v>68</v>
      </c>
      <c r="PKA5079" s="910" t="s">
        <v>75</v>
      </c>
      <c r="PKB5079" s="911"/>
      <c r="PKC5079" s="911"/>
      <c r="PKD5079" s="911"/>
      <c r="PKE5079" s="911"/>
      <c r="PKF5079" s="911"/>
      <c r="PKG5079" s="911"/>
      <c r="PKH5079" s="911"/>
      <c r="PKI5079" s="911"/>
      <c r="PKJ5079" s="911"/>
      <c r="PKK5079" s="32"/>
      <c r="PKL5079" s="911" t="s">
        <v>74</v>
      </c>
      <c r="PKM5079" s="911"/>
      <c r="PKN5079" s="911"/>
      <c r="PKO5079" s="911"/>
      <c r="PKP5079" s="911"/>
      <c r="PKQ5079" s="911"/>
      <c r="PKR5079" s="911"/>
      <c r="PKS5079" s="911"/>
      <c r="PKT5079" s="911"/>
      <c r="PKU5079" s="912"/>
      <c r="PKW5079" s="913" t="s">
        <v>1</v>
      </c>
      <c r="PKX5079" s="31"/>
      <c r="PKY5079" s="909" t="s">
        <v>0</v>
      </c>
      <c r="PKZ5079" s="909"/>
      <c r="PLA5079" s="909"/>
      <c r="PLB5079" s="909"/>
      <c r="PLC5079" s="909"/>
      <c r="PLD5079" s="909"/>
      <c r="PLE5079" s="907" t="s">
        <v>79</v>
      </c>
      <c r="PLF5079" s="909" t="s">
        <v>68</v>
      </c>
      <c r="PLG5079" s="910" t="s">
        <v>75</v>
      </c>
      <c r="PLH5079" s="911"/>
      <c r="PLI5079" s="911"/>
      <c r="PLJ5079" s="911"/>
      <c r="PLK5079" s="911"/>
      <c r="PLL5079" s="911"/>
      <c r="PLM5079" s="911"/>
      <c r="PLN5079" s="911"/>
      <c r="PLO5079" s="911"/>
      <c r="PLP5079" s="911"/>
      <c r="PLQ5079" s="32"/>
      <c r="PLR5079" s="911" t="s">
        <v>74</v>
      </c>
      <c r="PLS5079" s="911"/>
      <c r="PLT5079" s="911"/>
      <c r="PLU5079" s="911"/>
      <c r="PLV5079" s="911"/>
      <c r="PLW5079" s="911"/>
      <c r="PLX5079" s="911"/>
      <c r="PLY5079" s="911"/>
      <c r="PLZ5079" s="911"/>
      <c r="PMA5079" s="912"/>
      <c r="PMC5079" s="913" t="s">
        <v>1</v>
      </c>
      <c r="PMD5079" s="31"/>
      <c r="PME5079" s="909" t="s">
        <v>0</v>
      </c>
      <c r="PMF5079" s="909"/>
      <c r="PMG5079" s="909"/>
      <c r="PMH5079" s="909"/>
      <c r="PMI5079" s="909"/>
      <c r="PMJ5079" s="909"/>
      <c r="PMK5079" s="907" t="s">
        <v>79</v>
      </c>
      <c r="PML5079" s="909" t="s">
        <v>68</v>
      </c>
      <c r="PMM5079" s="910" t="s">
        <v>75</v>
      </c>
      <c r="PMN5079" s="911"/>
      <c r="PMO5079" s="911"/>
      <c r="PMP5079" s="911"/>
      <c r="PMQ5079" s="911"/>
      <c r="PMR5079" s="911"/>
      <c r="PMS5079" s="911"/>
      <c r="PMT5079" s="911"/>
      <c r="PMU5079" s="911"/>
      <c r="PMV5079" s="911"/>
      <c r="PMW5079" s="32"/>
      <c r="PMX5079" s="911" t="s">
        <v>74</v>
      </c>
      <c r="PMY5079" s="911"/>
      <c r="PMZ5079" s="911"/>
      <c r="PNA5079" s="911"/>
      <c r="PNB5079" s="911"/>
      <c r="PNC5079" s="911"/>
      <c r="PND5079" s="911"/>
      <c r="PNE5079" s="911"/>
      <c r="PNF5079" s="911"/>
      <c r="PNG5079" s="912"/>
      <c r="PNI5079" s="913" t="s">
        <v>1</v>
      </c>
      <c r="PNJ5079" s="31"/>
      <c r="PNK5079" s="909" t="s">
        <v>0</v>
      </c>
      <c r="PNL5079" s="909"/>
      <c r="PNM5079" s="909"/>
      <c r="PNN5079" s="909"/>
      <c r="PNO5079" s="909"/>
      <c r="PNP5079" s="909"/>
      <c r="PNQ5079" s="907" t="s">
        <v>79</v>
      </c>
      <c r="PNR5079" s="909" t="s">
        <v>68</v>
      </c>
      <c r="PNS5079" s="910" t="s">
        <v>75</v>
      </c>
      <c r="PNT5079" s="911"/>
      <c r="PNU5079" s="911"/>
      <c r="PNV5079" s="911"/>
      <c r="PNW5079" s="911"/>
      <c r="PNX5079" s="911"/>
      <c r="PNY5079" s="911"/>
      <c r="PNZ5079" s="911"/>
      <c r="POA5079" s="911"/>
      <c r="POB5079" s="911"/>
      <c r="POC5079" s="32"/>
      <c r="POD5079" s="911" t="s">
        <v>74</v>
      </c>
      <c r="POE5079" s="911"/>
      <c r="POF5079" s="911"/>
      <c r="POG5079" s="911"/>
      <c r="POH5079" s="911"/>
      <c r="POI5079" s="911"/>
      <c r="POJ5079" s="911"/>
      <c r="POK5079" s="911"/>
      <c r="POL5079" s="911"/>
      <c r="POM5079" s="912"/>
      <c r="POO5079" s="913" t="s">
        <v>1</v>
      </c>
      <c r="POP5079" s="31"/>
      <c r="POQ5079" s="909" t="s">
        <v>0</v>
      </c>
      <c r="POR5079" s="909"/>
      <c r="POS5079" s="909"/>
      <c r="POT5079" s="909"/>
      <c r="POU5079" s="909"/>
      <c r="POV5079" s="909"/>
      <c r="POW5079" s="907" t="s">
        <v>79</v>
      </c>
      <c r="POX5079" s="909" t="s">
        <v>68</v>
      </c>
      <c r="POY5079" s="910" t="s">
        <v>75</v>
      </c>
      <c r="POZ5079" s="911"/>
      <c r="PPA5079" s="911"/>
      <c r="PPB5079" s="911"/>
      <c r="PPC5079" s="911"/>
      <c r="PPD5079" s="911"/>
      <c r="PPE5079" s="911"/>
      <c r="PPF5079" s="911"/>
      <c r="PPG5079" s="911"/>
      <c r="PPH5079" s="911"/>
      <c r="PPI5079" s="32"/>
      <c r="PPJ5079" s="911" t="s">
        <v>74</v>
      </c>
      <c r="PPK5079" s="911"/>
      <c r="PPL5079" s="911"/>
      <c r="PPM5079" s="911"/>
      <c r="PPN5079" s="911"/>
      <c r="PPO5079" s="911"/>
      <c r="PPP5079" s="911"/>
      <c r="PPQ5079" s="911"/>
      <c r="PPR5079" s="911"/>
      <c r="PPS5079" s="912"/>
      <c r="PPU5079" s="913" t="s">
        <v>1</v>
      </c>
      <c r="PPV5079" s="31"/>
      <c r="PPW5079" s="909" t="s">
        <v>0</v>
      </c>
      <c r="PPX5079" s="909"/>
      <c r="PPY5079" s="909"/>
      <c r="PPZ5079" s="909"/>
      <c r="PQA5079" s="909"/>
      <c r="PQB5079" s="909"/>
      <c r="PQC5079" s="907" t="s">
        <v>79</v>
      </c>
      <c r="PQD5079" s="909" t="s">
        <v>68</v>
      </c>
      <c r="PQE5079" s="910" t="s">
        <v>75</v>
      </c>
      <c r="PQF5079" s="911"/>
      <c r="PQG5079" s="911"/>
      <c r="PQH5079" s="911"/>
      <c r="PQI5079" s="911"/>
      <c r="PQJ5079" s="911"/>
      <c r="PQK5079" s="911"/>
      <c r="PQL5079" s="911"/>
      <c r="PQM5079" s="911"/>
      <c r="PQN5079" s="911"/>
      <c r="PQO5079" s="32"/>
      <c r="PQP5079" s="911" t="s">
        <v>74</v>
      </c>
      <c r="PQQ5079" s="911"/>
      <c r="PQR5079" s="911"/>
      <c r="PQS5079" s="911"/>
      <c r="PQT5079" s="911"/>
      <c r="PQU5079" s="911"/>
      <c r="PQV5079" s="911"/>
      <c r="PQW5079" s="911"/>
      <c r="PQX5079" s="911"/>
      <c r="PQY5079" s="912"/>
      <c r="PRA5079" s="913" t="s">
        <v>1</v>
      </c>
      <c r="PRB5079" s="31"/>
      <c r="PRC5079" s="909" t="s">
        <v>0</v>
      </c>
      <c r="PRD5079" s="909"/>
      <c r="PRE5079" s="909"/>
      <c r="PRF5079" s="909"/>
      <c r="PRG5079" s="909"/>
      <c r="PRH5079" s="909"/>
      <c r="PRI5079" s="907" t="s">
        <v>79</v>
      </c>
      <c r="PRJ5079" s="909" t="s">
        <v>68</v>
      </c>
      <c r="PRK5079" s="910" t="s">
        <v>75</v>
      </c>
      <c r="PRL5079" s="911"/>
      <c r="PRM5079" s="911"/>
      <c r="PRN5079" s="911"/>
      <c r="PRO5079" s="911"/>
      <c r="PRP5079" s="911"/>
      <c r="PRQ5079" s="911"/>
      <c r="PRR5079" s="911"/>
      <c r="PRS5079" s="911"/>
      <c r="PRT5079" s="911"/>
      <c r="PRU5079" s="32"/>
      <c r="PRV5079" s="911" t="s">
        <v>74</v>
      </c>
      <c r="PRW5079" s="911"/>
      <c r="PRX5079" s="911"/>
      <c r="PRY5079" s="911"/>
      <c r="PRZ5079" s="911"/>
      <c r="PSA5079" s="911"/>
      <c r="PSB5079" s="911"/>
      <c r="PSC5079" s="911"/>
      <c r="PSD5079" s="911"/>
      <c r="PSE5079" s="912"/>
      <c r="PSG5079" s="913" t="s">
        <v>1</v>
      </c>
      <c r="PSH5079" s="31"/>
      <c r="PSI5079" s="909" t="s">
        <v>0</v>
      </c>
      <c r="PSJ5079" s="909"/>
      <c r="PSK5079" s="909"/>
      <c r="PSL5079" s="909"/>
      <c r="PSM5079" s="909"/>
      <c r="PSN5079" s="909"/>
      <c r="PSO5079" s="907" t="s">
        <v>79</v>
      </c>
      <c r="PSP5079" s="909" t="s">
        <v>68</v>
      </c>
      <c r="PSQ5079" s="910" t="s">
        <v>75</v>
      </c>
      <c r="PSR5079" s="911"/>
      <c r="PSS5079" s="911"/>
      <c r="PST5079" s="911"/>
      <c r="PSU5079" s="911"/>
      <c r="PSV5079" s="911"/>
      <c r="PSW5079" s="911"/>
      <c r="PSX5079" s="911"/>
      <c r="PSY5079" s="911"/>
      <c r="PSZ5079" s="911"/>
      <c r="PTA5079" s="32"/>
      <c r="PTB5079" s="911" t="s">
        <v>74</v>
      </c>
      <c r="PTC5079" s="911"/>
      <c r="PTD5079" s="911"/>
      <c r="PTE5079" s="911"/>
      <c r="PTF5079" s="911"/>
      <c r="PTG5079" s="911"/>
      <c r="PTH5079" s="911"/>
      <c r="PTI5079" s="911"/>
      <c r="PTJ5079" s="911"/>
      <c r="PTK5079" s="912"/>
      <c r="PTM5079" s="913" t="s">
        <v>1</v>
      </c>
      <c r="PTN5079" s="31"/>
      <c r="PTO5079" s="909" t="s">
        <v>0</v>
      </c>
      <c r="PTP5079" s="909"/>
      <c r="PTQ5079" s="909"/>
      <c r="PTR5079" s="909"/>
      <c r="PTS5079" s="909"/>
      <c r="PTT5079" s="909"/>
      <c r="PTU5079" s="907" t="s">
        <v>79</v>
      </c>
      <c r="PTV5079" s="909" t="s">
        <v>68</v>
      </c>
      <c r="PTW5079" s="910" t="s">
        <v>75</v>
      </c>
      <c r="PTX5079" s="911"/>
      <c r="PTY5079" s="911"/>
      <c r="PTZ5079" s="911"/>
      <c r="PUA5079" s="911"/>
      <c r="PUB5079" s="911"/>
      <c r="PUC5079" s="911"/>
      <c r="PUD5079" s="911"/>
      <c r="PUE5079" s="911"/>
      <c r="PUF5079" s="911"/>
      <c r="PUG5079" s="32"/>
      <c r="PUH5079" s="911" t="s">
        <v>74</v>
      </c>
      <c r="PUI5079" s="911"/>
      <c r="PUJ5079" s="911"/>
      <c r="PUK5079" s="911"/>
      <c r="PUL5079" s="911"/>
      <c r="PUM5079" s="911"/>
      <c r="PUN5079" s="911"/>
      <c r="PUO5079" s="911"/>
      <c r="PUP5079" s="911"/>
      <c r="PUQ5079" s="912"/>
      <c r="PUS5079" s="913" t="s">
        <v>1</v>
      </c>
      <c r="PUT5079" s="31"/>
      <c r="PUU5079" s="909" t="s">
        <v>0</v>
      </c>
      <c r="PUV5079" s="909"/>
      <c r="PUW5079" s="909"/>
      <c r="PUX5079" s="909"/>
      <c r="PUY5079" s="909"/>
      <c r="PUZ5079" s="909"/>
      <c r="PVA5079" s="907" t="s">
        <v>79</v>
      </c>
      <c r="PVB5079" s="909" t="s">
        <v>68</v>
      </c>
      <c r="PVC5079" s="910" t="s">
        <v>75</v>
      </c>
      <c r="PVD5079" s="911"/>
      <c r="PVE5079" s="911"/>
      <c r="PVF5079" s="911"/>
      <c r="PVG5079" s="911"/>
      <c r="PVH5079" s="911"/>
      <c r="PVI5079" s="911"/>
      <c r="PVJ5079" s="911"/>
      <c r="PVK5079" s="911"/>
      <c r="PVL5079" s="911"/>
      <c r="PVM5079" s="32"/>
      <c r="PVN5079" s="911" t="s">
        <v>74</v>
      </c>
      <c r="PVO5079" s="911"/>
      <c r="PVP5079" s="911"/>
      <c r="PVQ5079" s="911"/>
      <c r="PVR5079" s="911"/>
      <c r="PVS5079" s="911"/>
      <c r="PVT5079" s="911"/>
      <c r="PVU5079" s="911"/>
      <c r="PVV5079" s="911"/>
      <c r="PVW5079" s="912"/>
      <c r="PVY5079" s="913" t="s">
        <v>1</v>
      </c>
      <c r="PVZ5079" s="31"/>
      <c r="PWA5079" s="909" t="s">
        <v>0</v>
      </c>
      <c r="PWB5079" s="909"/>
      <c r="PWC5079" s="909"/>
      <c r="PWD5079" s="909"/>
      <c r="PWE5079" s="909"/>
      <c r="PWF5079" s="909"/>
      <c r="PWG5079" s="907" t="s">
        <v>79</v>
      </c>
      <c r="PWH5079" s="909" t="s">
        <v>68</v>
      </c>
      <c r="PWI5079" s="910" t="s">
        <v>75</v>
      </c>
      <c r="PWJ5079" s="911"/>
      <c r="PWK5079" s="911"/>
      <c r="PWL5079" s="911"/>
      <c r="PWM5079" s="911"/>
      <c r="PWN5079" s="911"/>
      <c r="PWO5079" s="911"/>
      <c r="PWP5079" s="911"/>
      <c r="PWQ5079" s="911"/>
      <c r="PWR5079" s="911"/>
      <c r="PWS5079" s="32"/>
      <c r="PWT5079" s="911" t="s">
        <v>74</v>
      </c>
      <c r="PWU5079" s="911"/>
      <c r="PWV5079" s="911"/>
      <c r="PWW5079" s="911"/>
      <c r="PWX5079" s="911"/>
      <c r="PWY5079" s="911"/>
      <c r="PWZ5079" s="911"/>
      <c r="PXA5079" s="911"/>
      <c r="PXB5079" s="911"/>
      <c r="PXC5079" s="912"/>
      <c r="PXE5079" s="913" t="s">
        <v>1</v>
      </c>
      <c r="PXF5079" s="31"/>
      <c r="PXG5079" s="909" t="s">
        <v>0</v>
      </c>
      <c r="PXH5079" s="909"/>
      <c r="PXI5079" s="909"/>
      <c r="PXJ5079" s="909"/>
      <c r="PXK5079" s="909"/>
      <c r="PXL5079" s="909"/>
      <c r="PXM5079" s="907" t="s">
        <v>79</v>
      </c>
      <c r="PXN5079" s="909" t="s">
        <v>68</v>
      </c>
      <c r="PXO5079" s="910" t="s">
        <v>75</v>
      </c>
      <c r="PXP5079" s="911"/>
      <c r="PXQ5079" s="911"/>
      <c r="PXR5079" s="911"/>
      <c r="PXS5079" s="911"/>
      <c r="PXT5079" s="911"/>
      <c r="PXU5079" s="911"/>
      <c r="PXV5079" s="911"/>
      <c r="PXW5079" s="911"/>
      <c r="PXX5079" s="911"/>
      <c r="PXY5079" s="32"/>
      <c r="PXZ5079" s="911" t="s">
        <v>74</v>
      </c>
      <c r="PYA5079" s="911"/>
      <c r="PYB5079" s="911"/>
      <c r="PYC5079" s="911"/>
      <c r="PYD5079" s="911"/>
      <c r="PYE5079" s="911"/>
      <c r="PYF5079" s="911"/>
      <c r="PYG5079" s="911"/>
      <c r="PYH5079" s="911"/>
      <c r="PYI5079" s="912"/>
      <c r="PYK5079" s="913" t="s">
        <v>1</v>
      </c>
      <c r="PYL5079" s="31"/>
      <c r="PYM5079" s="909" t="s">
        <v>0</v>
      </c>
      <c r="PYN5079" s="909"/>
      <c r="PYO5079" s="909"/>
      <c r="PYP5079" s="909"/>
      <c r="PYQ5079" s="909"/>
      <c r="PYR5079" s="909"/>
      <c r="PYS5079" s="907" t="s">
        <v>79</v>
      </c>
      <c r="PYT5079" s="909" t="s">
        <v>68</v>
      </c>
      <c r="PYU5079" s="910" t="s">
        <v>75</v>
      </c>
      <c r="PYV5079" s="911"/>
      <c r="PYW5079" s="911"/>
      <c r="PYX5079" s="911"/>
      <c r="PYY5079" s="911"/>
      <c r="PYZ5079" s="911"/>
      <c r="PZA5079" s="911"/>
      <c r="PZB5079" s="911"/>
      <c r="PZC5079" s="911"/>
      <c r="PZD5079" s="911"/>
      <c r="PZE5079" s="32"/>
      <c r="PZF5079" s="911" t="s">
        <v>74</v>
      </c>
      <c r="PZG5079" s="911"/>
      <c r="PZH5079" s="911"/>
      <c r="PZI5079" s="911"/>
      <c r="PZJ5079" s="911"/>
      <c r="PZK5079" s="911"/>
      <c r="PZL5079" s="911"/>
      <c r="PZM5079" s="911"/>
      <c r="PZN5079" s="911"/>
      <c r="PZO5079" s="912"/>
      <c r="PZQ5079" s="913" t="s">
        <v>1</v>
      </c>
      <c r="PZR5079" s="31"/>
      <c r="PZS5079" s="909" t="s">
        <v>0</v>
      </c>
      <c r="PZT5079" s="909"/>
      <c r="PZU5079" s="909"/>
      <c r="PZV5079" s="909"/>
      <c r="PZW5079" s="909"/>
      <c r="PZX5079" s="909"/>
      <c r="PZY5079" s="907" t="s">
        <v>79</v>
      </c>
      <c r="PZZ5079" s="909" t="s">
        <v>68</v>
      </c>
      <c r="QAA5079" s="910" t="s">
        <v>75</v>
      </c>
      <c r="QAB5079" s="911"/>
      <c r="QAC5079" s="911"/>
      <c r="QAD5079" s="911"/>
      <c r="QAE5079" s="911"/>
      <c r="QAF5079" s="911"/>
      <c r="QAG5079" s="911"/>
      <c r="QAH5079" s="911"/>
      <c r="QAI5079" s="911"/>
      <c r="QAJ5079" s="911"/>
      <c r="QAK5079" s="32"/>
      <c r="QAL5079" s="911" t="s">
        <v>74</v>
      </c>
      <c r="QAM5079" s="911"/>
      <c r="QAN5079" s="911"/>
      <c r="QAO5079" s="911"/>
      <c r="QAP5079" s="911"/>
      <c r="QAQ5079" s="911"/>
      <c r="QAR5079" s="911"/>
      <c r="QAS5079" s="911"/>
      <c r="QAT5079" s="911"/>
      <c r="QAU5079" s="912"/>
      <c r="QAW5079" s="913" t="s">
        <v>1</v>
      </c>
      <c r="QAX5079" s="31"/>
      <c r="QAY5079" s="909" t="s">
        <v>0</v>
      </c>
      <c r="QAZ5079" s="909"/>
      <c r="QBA5079" s="909"/>
      <c r="QBB5079" s="909"/>
      <c r="QBC5079" s="909"/>
      <c r="QBD5079" s="909"/>
      <c r="QBE5079" s="907" t="s">
        <v>79</v>
      </c>
      <c r="QBF5079" s="909" t="s">
        <v>68</v>
      </c>
      <c r="QBG5079" s="910" t="s">
        <v>75</v>
      </c>
      <c r="QBH5079" s="911"/>
      <c r="QBI5079" s="911"/>
      <c r="QBJ5079" s="911"/>
      <c r="QBK5079" s="911"/>
      <c r="QBL5079" s="911"/>
      <c r="QBM5079" s="911"/>
      <c r="QBN5079" s="911"/>
      <c r="QBO5079" s="911"/>
      <c r="QBP5079" s="911"/>
      <c r="QBQ5079" s="32"/>
      <c r="QBR5079" s="911" t="s">
        <v>74</v>
      </c>
      <c r="QBS5079" s="911"/>
      <c r="QBT5079" s="911"/>
      <c r="QBU5079" s="911"/>
      <c r="QBV5079" s="911"/>
      <c r="QBW5079" s="911"/>
      <c r="QBX5079" s="911"/>
      <c r="QBY5079" s="911"/>
      <c r="QBZ5079" s="911"/>
      <c r="QCA5079" s="912"/>
      <c r="QCC5079" s="913" t="s">
        <v>1</v>
      </c>
      <c r="QCD5079" s="31"/>
      <c r="QCE5079" s="909" t="s">
        <v>0</v>
      </c>
      <c r="QCF5079" s="909"/>
      <c r="QCG5079" s="909"/>
      <c r="QCH5079" s="909"/>
      <c r="QCI5079" s="909"/>
      <c r="QCJ5079" s="909"/>
      <c r="QCK5079" s="907" t="s">
        <v>79</v>
      </c>
      <c r="QCL5079" s="909" t="s">
        <v>68</v>
      </c>
      <c r="QCM5079" s="910" t="s">
        <v>75</v>
      </c>
      <c r="QCN5079" s="911"/>
      <c r="QCO5079" s="911"/>
      <c r="QCP5079" s="911"/>
      <c r="QCQ5079" s="911"/>
      <c r="QCR5079" s="911"/>
      <c r="QCS5079" s="911"/>
      <c r="QCT5079" s="911"/>
      <c r="QCU5079" s="911"/>
      <c r="QCV5079" s="911"/>
      <c r="QCW5079" s="32"/>
      <c r="QCX5079" s="911" t="s">
        <v>74</v>
      </c>
      <c r="QCY5079" s="911"/>
      <c r="QCZ5079" s="911"/>
      <c r="QDA5079" s="911"/>
      <c r="QDB5079" s="911"/>
      <c r="QDC5079" s="911"/>
      <c r="QDD5079" s="911"/>
      <c r="QDE5079" s="911"/>
      <c r="QDF5079" s="911"/>
      <c r="QDG5079" s="912"/>
      <c r="QDI5079" s="913" t="s">
        <v>1</v>
      </c>
      <c r="QDJ5079" s="31"/>
      <c r="QDK5079" s="909" t="s">
        <v>0</v>
      </c>
      <c r="QDL5079" s="909"/>
      <c r="QDM5079" s="909"/>
      <c r="QDN5079" s="909"/>
      <c r="QDO5079" s="909"/>
      <c r="QDP5079" s="909"/>
      <c r="QDQ5079" s="907" t="s">
        <v>79</v>
      </c>
      <c r="QDR5079" s="909" t="s">
        <v>68</v>
      </c>
      <c r="QDS5079" s="910" t="s">
        <v>75</v>
      </c>
      <c r="QDT5079" s="911"/>
      <c r="QDU5079" s="911"/>
      <c r="QDV5079" s="911"/>
      <c r="QDW5079" s="911"/>
      <c r="QDX5079" s="911"/>
      <c r="QDY5079" s="911"/>
      <c r="QDZ5079" s="911"/>
      <c r="QEA5079" s="911"/>
      <c r="QEB5079" s="911"/>
      <c r="QEC5079" s="32"/>
      <c r="QED5079" s="911" t="s">
        <v>74</v>
      </c>
      <c r="QEE5079" s="911"/>
      <c r="QEF5079" s="911"/>
      <c r="QEG5079" s="911"/>
      <c r="QEH5079" s="911"/>
      <c r="QEI5079" s="911"/>
      <c r="QEJ5079" s="911"/>
      <c r="QEK5079" s="911"/>
      <c r="QEL5079" s="911"/>
      <c r="QEM5079" s="912"/>
      <c r="QEO5079" s="913" t="s">
        <v>1</v>
      </c>
      <c r="QEP5079" s="31"/>
      <c r="QEQ5079" s="909" t="s">
        <v>0</v>
      </c>
      <c r="QER5079" s="909"/>
      <c r="QES5079" s="909"/>
      <c r="QET5079" s="909"/>
      <c r="QEU5079" s="909"/>
      <c r="QEV5079" s="909"/>
      <c r="QEW5079" s="907" t="s">
        <v>79</v>
      </c>
      <c r="QEX5079" s="909" t="s">
        <v>68</v>
      </c>
      <c r="QEY5079" s="910" t="s">
        <v>75</v>
      </c>
      <c r="QEZ5079" s="911"/>
      <c r="QFA5079" s="911"/>
      <c r="QFB5079" s="911"/>
      <c r="QFC5079" s="911"/>
      <c r="QFD5079" s="911"/>
      <c r="QFE5079" s="911"/>
      <c r="QFF5079" s="911"/>
      <c r="QFG5079" s="911"/>
      <c r="QFH5079" s="911"/>
      <c r="QFI5079" s="32"/>
      <c r="QFJ5079" s="911" t="s">
        <v>74</v>
      </c>
      <c r="QFK5079" s="911"/>
      <c r="QFL5079" s="911"/>
      <c r="QFM5079" s="911"/>
      <c r="QFN5079" s="911"/>
      <c r="QFO5079" s="911"/>
      <c r="QFP5079" s="911"/>
      <c r="QFQ5079" s="911"/>
      <c r="QFR5079" s="911"/>
      <c r="QFS5079" s="912"/>
      <c r="QFU5079" s="913" t="s">
        <v>1</v>
      </c>
      <c r="QFV5079" s="31"/>
      <c r="QFW5079" s="909" t="s">
        <v>0</v>
      </c>
      <c r="QFX5079" s="909"/>
      <c r="QFY5079" s="909"/>
      <c r="QFZ5079" s="909"/>
      <c r="QGA5079" s="909"/>
      <c r="QGB5079" s="909"/>
      <c r="QGC5079" s="907" t="s">
        <v>79</v>
      </c>
      <c r="QGD5079" s="909" t="s">
        <v>68</v>
      </c>
      <c r="QGE5079" s="910" t="s">
        <v>75</v>
      </c>
      <c r="QGF5079" s="911"/>
      <c r="QGG5079" s="911"/>
      <c r="QGH5079" s="911"/>
      <c r="QGI5079" s="911"/>
      <c r="QGJ5079" s="911"/>
      <c r="QGK5079" s="911"/>
      <c r="QGL5079" s="911"/>
      <c r="QGM5079" s="911"/>
      <c r="QGN5079" s="911"/>
      <c r="QGO5079" s="32"/>
      <c r="QGP5079" s="911" t="s">
        <v>74</v>
      </c>
      <c r="QGQ5079" s="911"/>
      <c r="QGR5079" s="911"/>
      <c r="QGS5079" s="911"/>
      <c r="QGT5079" s="911"/>
      <c r="QGU5079" s="911"/>
      <c r="QGV5079" s="911"/>
      <c r="QGW5079" s="911"/>
      <c r="QGX5079" s="911"/>
      <c r="QGY5079" s="912"/>
      <c r="QHA5079" s="913" t="s">
        <v>1</v>
      </c>
      <c r="QHB5079" s="31"/>
      <c r="QHC5079" s="909" t="s">
        <v>0</v>
      </c>
      <c r="QHD5079" s="909"/>
      <c r="QHE5079" s="909"/>
      <c r="QHF5079" s="909"/>
      <c r="QHG5079" s="909"/>
      <c r="QHH5079" s="909"/>
      <c r="QHI5079" s="907" t="s">
        <v>79</v>
      </c>
      <c r="QHJ5079" s="909" t="s">
        <v>68</v>
      </c>
      <c r="QHK5079" s="910" t="s">
        <v>75</v>
      </c>
      <c r="QHL5079" s="911"/>
      <c r="QHM5079" s="911"/>
      <c r="QHN5079" s="911"/>
      <c r="QHO5079" s="911"/>
      <c r="QHP5079" s="911"/>
      <c r="QHQ5079" s="911"/>
      <c r="QHR5079" s="911"/>
      <c r="QHS5079" s="911"/>
      <c r="QHT5079" s="911"/>
      <c r="QHU5079" s="32"/>
      <c r="QHV5079" s="911" t="s">
        <v>74</v>
      </c>
      <c r="QHW5079" s="911"/>
      <c r="QHX5079" s="911"/>
      <c r="QHY5079" s="911"/>
      <c r="QHZ5079" s="911"/>
      <c r="QIA5079" s="911"/>
      <c r="QIB5079" s="911"/>
      <c r="QIC5079" s="911"/>
      <c r="QID5079" s="911"/>
      <c r="QIE5079" s="912"/>
      <c r="QIG5079" s="913" t="s">
        <v>1</v>
      </c>
      <c r="QIH5079" s="31"/>
      <c r="QII5079" s="909" t="s">
        <v>0</v>
      </c>
      <c r="QIJ5079" s="909"/>
      <c r="QIK5079" s="909"/>
      <c r="QIL5079" s="909"/>
      <c r="QIM5079" s="909"/>
      <c r="QIN5079" s="909"/>
      <c r="QIO5079" s="907" t="s">
        <v>79</v>
      </c>
      <c r="QIP5079" s="909" t="s">
        <v>68</v>
      </c>
      <c r="QIQ5079" s="910" t="s">
        <v>75</v>
      </c>
      <c r="QIR5079" s="911"/>
      <c r="QIS5079" s="911"/>
      <c r="QIT5079" s="911"/>
      <c r="QIU5079" s="911"/>
      <c r="QIV5079" s="911"/>
      <c r="QIW5079" s="911"/>
      <c r="QIX5079" s="911"/>
      <c r="QIY5079" s="911"/>
      <c r="QIZ5079" s="911"/>
      <c r="QJA5079" s="32"/>
      <c r="QJB5079" s="911" t="s">
        <v>74</v>
      </c>
      <c r="QJC5079" s="911"/>
      <c r="QJD5079" s="911"/>
      <c r="QJE5079" s="911"/>
      <c r="QJF5079" s="911"/>
      <c r="QJG5079" s="911"/>
      <c r="QJH5079" s="911"/>
      <c r="QJI5079" s="911"/>
      <c r="QJJ5079" s="911"/>
      <c r="QJK5079" s="912"/>
      <c r="QJM5079" s="913" t="s">
        <v>1</v>
      </c>
      <c r="QJN5079" s="31"/>
      <c r="QJO5079" s="909" t="s">
        <v>0</v>
      </c>
      <c r="QJP5079" s="909"/>
      <c r="QJQ5079" s="909"/>
      <c r="QJR5079" s="909"/>
      <c r="QJS5079" s="909"/>
      <c r="QJT5079" s="909"/>
      <c r="QJU5079" s="907" t="s">
        <v>79</v>
      </c>
      <c r="QJV5079" s="909" t="s">
        <v>68</v>
      </c>
      <c r="QJW5079" s="910" t="s">
        <v>75</v>
      </c>
      <c r="QJX5079" s="911"/>
      <c r="QJY5079" s="911"/>
      <c r="QJZ5079" s="911"/>
      <c r="QKA5079" s="911"/>
      <c r="QKB5079" s="911"/>
      <c r="QKC5079" s="911"/>
      <c r="QKD5079" s="911"/>
      <c r="QKE5079" s="911"/>
      <c r="QKF5079" s="911"/>
      <c r="QKG5079" s="32"/>
      <c r="QKH5079" s="911" t="s">
        <v>74</v>
      </c>
      <c r="QKI5079" s="911"/>
      <c r="QKJ5079" s="911"/>
      <c r="QKK5079" s="911"/>
      <c r="QKL5079" s="911"/>
      <c r="QKM5079" s="911"/>
      <c r="QKN5079" s="911"/>
      <c r="QKO5079" s="911"/>
      <c r="QKP5079" s="911"/>
      <c r="QKQ5079" s="912"/>
      <c r="QKS5079" s="913" t="s">
        <v>1</v>
      </c>
      <c r="QKT5079" s="31"/>
      <c r="QKU5079" s="909" t="s">
        <v>0</v>
      </c>
      <c r="QKV5079" s="909"/>
      <c r="QKW5079" s="909"/>
      <c r="QKX5079" s="909"/>
      <c r="QKY5079" s="909"/>
      <c r="QKZ5079" s="909"/>
      <c r="QLA5079" s="907" t="s">
        <v>79</v>
      </c>
      <c r="QLB5079" s="909" t="s">
        <v>68</v>
      </c>
      <c r="QLC5079" s="910" t="s">
        <v>75</v>
      </c>
      <c r="QLD5079" s="911"/>
      <c r="QLE5079" s="911"/>
      <c r="QLF5079" s="911"/>
      <c r="QLG5079" s="911"/>
      <c r="QLH5079" s="911"/>
      <c r="QLI5079" s="911"/>
      <c r="QLJ5079" s="911"/>
      <c r="QLK5079" s="911"/>
      <c r="QLL5079" s="911"/>
      <c r="QLM5079" s="32"/>
      <c r="QLN5079" s="911" t="s">
        <v>74</v>
      </c>
      <c r="QLO5079" s="911"/>
      <c r="QLP5079" s="911"/>
      <c r="QLQ5079" s="911"/>
      <c r="QLR5079" s="911"/>
      <c r="QLS5079" s="911"/>
      <c r="QLT5079" s="911"/>
      <c r="QLU5079" s="911"/>
      <c r="QLV5079" s="911"/>
      <c r="QLW5079" s="912"/>
      <c r="QLY5079" s="913" t="s">
        <v>1</v>
      </c>
      <c r="QLZ5079" s="31"/>
      <c r="QMA5079" s="909" t="s">
        <v>0</v>
      </c>
      <c r="QMB5079" s="909"/>
      <c r="QMC5079" s="909"/>
      <c r="QMD5079" s="909"/>
      <c r="QME5079" s="909"/>
      <c r="QMF5079" s="909"/>
      <c r="QMG5079" s="907" t="s">
        <v>79</v>
      </c>
      <c r="QMH5079" s="909" t="s">
        <v>68</v>
      </c>
      <c r="QMI5079" s="910" t="s">
        <v>75</v>
      </c>
      <c r="QMJ5079" s="911"/>
      <c r="QMK5079" s="911"/>
      <c r="QML5079" s="911"/>
      <c r="QMM5079" s="911"/>
      <c r="QMN5079" s="911"/>
      <c r="QMO5079" s="911"/>
      <c r="QMP5079" s="911"/>
      <c r="QMQ5079" s="911"/>
      <c r="QMR5079" s="911"/>
      <c r="QMS5079" s="32"/>
      <c r="QMT5079" s="911" t="s">
        <v>74</v>
      </c>
      <c r="QMU5079" s="911"/>
      <c r="QMV5079" s="911"/>
      <c r="QMW5079" s="911"/>
      <c r="QMX5079" s="911"/>
      <c r="QMY5079" s="911"/>
      <c r="QMZ5079" s="911"/>
      <c r="QNA5079" s="911"/>
      <c r="QNB5079" s="911"/>
      <c r="QNC5079" s="912"/>
      <c r="QNE5079" s="913" t="s">
        <v>1</v>
      </c>
      <c r="QNF5079" s="31"/>
      <c r="QNG5079" s="909" t="s">
        <v>0</v>
      </c>
      <c r="QNH5079" s="909"/>
      <c r="QNI5079" s="909"/>
      <c r="QNJ5079" s="909"/>
      <c r="QNK5079" s="909"/>
      <c r="QNL5079" s="909"/>
      <c r="QNM5079" s="907" t="s">
        <v>79</v>
      </c>
      <c r="QNN5079" s="909" t="s">
        <v>68</v>
      </c>
      <c r="QNO5079" s="910" t="s">
        <v>75</v>
      </c>
      <c r="QNP5079" s="911"/>
      <c r="QNQ5079" s="911"/>
      <c r="QNR5079" s="911"/>
      <c r="QNS5079" s="911"/>
      <c r="QNT5079" s="911"/>
      <c r="QNU5079" s="911"/>
      <c r="QNV5079" s="911"/>
      <c r="QNW5079" s="911"/>
      <c r="QNX5079" s="911"/>
      <c r="QNY5079" s="32"/>
      <c r="QNZ5079" s="911" t="s">
        <v>74</v>
      </c>
      <c r="QOA5079" s="911"/>
      <c r="QOB5079" s="911"/>
      <c r="QOC5079" s="911"/>
      <c r="QOD5079" s="911"/>
      <c r="QOE5079" s="911"/>
      <c r="QOF5079" s="911"/>
      <c r="QOG5079" s="911"/>
      <c r="QOH5079" s="911"/>
      <c r="QOI5079" s="912"/>
      <c r="QOK5079" s="913" t="s">
        <v>1</v>
      </c>
      <c r="QOL5079" s="31"/>
      <c r="QOM5079" s="909" t="s">
        <v>0</v>
      </c>
      <c r="QON5079" s="909"/>
      <c r="QOO5079" s="909"/>
      <c r="QOP5079" s="909"/>
      <c r="QOQ5079" s="909"/>
      <c r="QOR5079" s="909"/>
      <c r="QOS5079" s="907" t="s">
        <v>79</v>
      </c>
      <c r="QOT5079" s="909" t="s">
        <v>68</v>
      </c>
      <c r="QOU5079" s="910" t="s">
        <v>75</v>
      </c>
      <c r="QOV5079" s="911"/>
      <c r="QOW5079" s="911"/>
      <c r="QOX5079" s="911"/>
      <c r="QOY5079" s="911"/>
      <c r="QOZ5079" s="911"/>
      <c r="QPA5079" s="911"/>
      <c r="QPB5079" s="911"/>
      <c r="QPC5079" s="911"/>
      <c r="QPD5079" s="911"/>
      <c r="QPE5079" s="32"/>
      <c r="QPF5079" s="911" t="s">
        <v>74</v>
      </c>
      <c r="QPG5079" s="911"/>
      <c r="QPH5079" s="911"/>
      <c r="QPI5079" s="911"/>
      <c r="QPJ5079" s="911"/>
      <c r="QPK5079" s="911"/>
      <c r="QPL5079" s="911"/>
      <c r="QPM5079" s="911"/>
      <c r="QPN5079" s="911"/>
      <c r="QPO5079" s="912"/>
      <c r="QPQ5079" s="913" t="s">
        <v>1</v>
      </c>
      <c r="QPR5079" s="31"/>
      <c r="QPS5079" s="909" t="s">
        <v>0</v>
      </c>
      <c r="QPT5079" s="909"/>
      <c r="QPU5079" s="909"/>
      <c r="QPV5079" s="909"/>
      <c r="QPW5079" s="909"/>
      <c r="QPX5079" s="909"/>
      <c r="QPY5079" s="907" t="s">
        <v>79</v>
      </c>
      <c r="QPZ5079" s="909" t="s">
        <v>68</v>
      </c>
      <c r="QQA5079" s="910" t="s">
        <v>75</v>
      </c>
      <c r="QQB5079" s="911"/>
      <c r="QQC5079" s="911"/>
      <c r="QQD5079" s="911"/>
      <c r="QQE5079" s="911"/>
      <c r="QQF5079" s="911"/>
      <c r="QQG5079" s="911"/>
      <c r="QQH5079" s="911"/>
      <c r="QQI5079" s="911"/>
      <c r="QQJ5079" s="911"/>
      <c r="QQK5079" s="32"/>
      <c r="QQL5079" s="911" t="s">
        <v>74</v>
      </c>
      <c r="QQM5079" s="911"/>
      <c r="QQN5079" s="911"/>
      <c r="QQO5079" s="911"/>
      <c r="QQP5079" s="911"/>
      <c r="QQQ5079" s="911"/>
      <c r="QQR5079" s="911"/>
      <c r="QQS5079" s="911"/>
      <c r="QQT5079" s="911"/>
      <c r="QQU5079" s="912"/>
      <c r="QQW5079" s="913" t="s">
        <v>1</v>
      </c>
      <c r="QQX5079" s="31"/>
      <c r="QQY5079" s="909" t="s">
        <v>0</v>
      </c>
      <c r="QQZ5079" s="909"/>
      <c r="QRA5079" s="909"/>
      <c r="QRB5079" s="909"/>
      <c r="QRC5079" s="909"/>
      <c r="QRD5079" s="909"/>
      <c r="QRE5079" s="907" t="s">
        <v>79</v>
      </c>
      <c r="QRF5079" s="909" t="s">
        <v>68</v>
      </c>
      <c r="QRG5079" s="910" t="s">
        <v>75</v>
      </c>
      <c r="QRH5079" s="911"/>
      <c r="QRI5079" s="911"/>
      <c r="QRJ5079" s="911"/>
      <c r="QRK5079" s="911"/>
      <c r="QRL5079" s="911"/>
      <c r="QRM5079" s="911"/>
      <c r="QRN5079" s="911"/>
      <c r="QRO5079" s="911"/>
      <c r="QRP5079" s="911"/>
      <c r="QRQ5079" s="32"/>
      <c r="QRR5079" s="911" t="s">
        <v>74</v>
      </c>
      <c r="QRS5079" s="911"/>
      <c r="QRT5079" s="911"/>
      <c r="QRU5079" s="911"/>
      <c r="QRV5079" s="911"/>
      <c r="QRW5079" s="911"/>
      <c r="QRX5079" s="911"/>
      <c r="QRY5079" s="911"/>
      <c r="QRZ5079" s="911"/>
      <c r="QSA5079" s="912"/>
      <c r="QSC5079" s="913" t="s">
        <v>1</v>
      </c>
      <c r="QSD5079" s="31"/>
      <c r="QSE5079" s="909" t="s">
        <v>0</v>
      </c>
      <c r="QSF5079" s="909"/>
      <c r="QSG5079" s="909"/>
      <c r="QSH5079" s="909"/>
      <c r="QSI5079" s="909"/>
      <c r="QSJ5079" s="909"/>
      <c r="QSK5079" s="907" t="s">
        <v>79</v>
      </c>
      <c r="QSL5079" s="909" t="s">
        <v>68</v>
      </c>
      <c r="QSM5079" s="910" t="s">
        <v>75</v>
      </c>
      <c r="QSN5079" s="911"/>
      <c r="QSO5079" s="911"/>
      <c r="QSP5079" s="911"/>
      <c r="QSQ5079" s="911"/>
      <c r="QSR5079" s="911"/>
      <c r="QSS5079" s="911"/>
      <c r="QST5079" s="911"/>
      <c r="QSU5079" s="911"/>
      <c r="QSV5079" s="911"/>
      <c r="QSW5079" s="32"/>
      <c r="QSX5079" s="911" t="s">
        <v>74</v>
      </c>
      <c r="QSY5079" s="911"/>
      <c r="QSZ5079" s="911"/>
      <c r="QTA5079" s="911"/>
      <c r="QTB5079" s="911"/>
      <c r="QTC5079" s="911"/>
      <c r="QTD5079" s="911"/>
      <c r="QTE5079" s="911"/>
      <c r="QTF5079" s="911"/>
      <c r="QTG5079" s="912"/>
      <c r="QTI5079" s="913" t="s">
        <v>1</v>
      </c>
      <c r="QTJ5079" s="31"/>
      <c r="QTK5079" s="909" t="s">
        <v>0</v>
      </c>
      <c r="QTL5079" s="909"/>
      <c r="QTM5079" s="909"/>
      <c r="QTN5079" s="909"/>
      <c r="QTO5079" s="909"/>
      <c r="QTP5079" s="909"/>
      <c r="QTQ5079" s="907" t="s">
        <v>79</v>
      </c>
      <c r="QTR5079" s="909" t="s">
        <v>68</v>
      </c>
      <c r="QTS5079" s="910" t="s">
        <v>75</v>
      </c>
      <c r="QTT5079" s="911"/>
      <c r="QTU5079" s="911"/>
      <c r="QTV5079" s="911"/>
      <c r="QTW5079" s="911"/>
      <c r="QTX5079" s="911"/>
      <c r="QTY5079" s="911"/>
      <c r="QTZ5079" s="911"/>
      <c r="QUA5079" s="911"/>
      <c r="QUB5079" s="911"/>
      <c r="QUC5079" s="32"/>
      <c r="QUD5079" s="911" t="s">
        <v>74</v>
      </c>
      <c r="QUE5079" s="911"/>
      <c r="QUF5079" s="911"/>
      <c r="QUG5079" s="911"/>
      <c r="QUH5079" s="911"/>
      <c r="QUI5079" s="911"/>
      <c r="QUJ5079" s="911"/>
      <c r="QUK5079" s="911"/>
      <c r="QUL5079" s="911"/>
      <c r="QUM5079" s="912"/>
      <c r="QUO5079" s="913" t="s">
        <v>1</v>
      </c>
      <c r="QUP5079" s="31"/>
      <c r="QUQ5079" s="909" t="s">
        <v>0</v>
      </c>
      <c r="QUR5079" s="909"/>
      <c r="QUS5079" s="909"/>
      <c r="QUT5079" s="909"/>
      <c r="QUU5079" s="909"/>
      <c r="QUV5079" s="909"/>
      <c r="QUW5079" s="907" t="s">
        <v>79</v>
      </c>
      <c r="QUX5079" s="909" t="s">
        <v>68</v>
      </c>
      <c r="QUY5079" s="910" t="s">
        <v>75</v>
      </c>
      <c r="QUZ5079" s="911"/>
      <c r="QVA5079" s="911"/>
      <c r="QVB5079" s="911"/>
      <c r="QVC5079" s="911"/>
      <c r="QVD5079" s="911"/>
      <c r="QVE5079" s="911"/>
      <c r="QVF5079" s="911"/>
      <c r="QVG5079" s="911"/>
      <c r="QVH5079" s="911"/>
      <c r="QVI5079" s="32"/>
      <c r="QVJ5079" s="911" t="s">
        <v>74</v>
      </c>
      <c r="QVK5079" s="911"/>
      <c r="QVL5079" s="911"/>
      <c r="QVM5079" s="911"/>
      <c r="QVN5079" s="911"/>
      <c r="QVO5079" s="911"/>
      <c r="QVP5079" s="911"/>
      <c r="QVQ5079" s="911"/>
      <c r="QVR5079" s="911"/>
      <c r="QVS5079" s="912"/>
      <c r="QVU5079" s="913" t="s">
        <v>1</v>
      </c>
      <c r="QVV5079" s="31"/>
      <c r="QVW5079" s="909" t="s">
        <v>0</v>
      </c>
      <c r="QVX5079" s="909"/>
      <c r="QVY5079" s="909"/>
      <c r="QVZ5079" s="909"/>
      <c r="QWA5079" s="909"/>
      <c r="QWB5079" s="909"/>
      <c r="QWC5079" s="907" t="s">
        <v>79</v>
      </c>
      <c r="QWD5079" s="909" t="s">
        <v>68</v>
      </c>
      <c r="QWE5079" s="910" t="s">
        <v>75</v>
      </c>
      <c r="QWF5079" s="911"/>
      <c r="QWG5079" s="911"/>
      <c r="QWH5079" s="911"/>
      <c r="QWI5079" s="911"/>
      <c r="QWJ5079" s="911"/>
      <c r="QWK5079" s="911"/>
      <c r="QWL5079" s="911"/>
      <c r="QWM5079" s="911"/>
      <c r="QWN5079" s="911"/>
      <c r="QWO5079" s="32"/>
      <c r="QWP5079" s="911" t="s">
        <v>74</v>
      </c>
      <c r="QWQ5079" s="911"/>
      <c r="QWR5079" s="911"/>
      <c r="QWS5079" s="911"/>
      <c r="QWT5079" s="911"/>
      <c r="QWU5079" s="911"/>
      <c r="QWV5079" s="911"/>
      <c r="QWW5079" s="911"/>
      <c r="QWX5079" s="911"/>
      <c r="QWY5079" s="912"/>
      <c r="QXA5079" s="913" t="s">
        <v>1</v>
      </c>
      <c r="QXB5079" s="31"/>
      <c r="QXC5079" s="909" t="s">
        <v>0</v>
      </c>
      <c r="QXD5079" s="909"/>
      <c r="QXE5079" s="909"/>
      <c r="QXF5079" s="909"/>
      <c r="QXG5079" s="909"/>
      <c r="QXH5079" s="909"/>
      <c r="QXI5079" s="907" t="s">
        <v>79</v>
      </c>
      <c r="QXJ5079" s="909" t="s">
        <v>68</v>
      </c>
      <c r="QXK5079" s="910" t="s">
        <v>75</v>
      </c>
      <c r="QXL5079" s="911"/>
      <c r="QXM5079" s="911"/>
      <c r="QXN5079" s="911"/>
      <c r="QXO5079" s="911"/>
      <c r="QXP5079" s="911"/>
      <c r="QXQ5079" s="911"/>
      <c r="QXR5079" s="911"/>
      <c r="QXS5079" s="911"/>
      <c r="QXT5079" s="911"/>
      <c r="QXU5079" s="32"/>
      <c r="QXV5079" s="911" t="s">
        <v>74</v>
      </c>
      <c r="QXW5079" s="911"/>
      <c r="QXX5079" s="911"/>
      <c r="QXY5079" s="911"/>
      <c r="QXZ5079" s="911"/>
      <c r="QYA5079" s="911"/>
      <c r="QYB5079" s="911"/>
      <c r="QYC5079" s="911"/>
      <c r="QYD5079" s="911"/>
      <c r="QYE5079" s="912"/>
      <c r="QYG5079" s="913" t="s">
        <v>1</v>
      </c>
      <c r="QYH5079" s="31"/>
      <c r="QYI5079" s="909" t="s">
        <v>0</v>
      </c>
      <c r="QYJ5079" s="909"/>
      <c r="QYK5079" s="909"/>
      <c r="QYL5079" s="909"/>
      <c r="QYM5079" s="909"/>
      <c r="QYN5079" s="909"/>
      <c r="QYO5079" s="907" t="s">
        <v>79</v>
      </c>
      <c r="QYP5079" s="909" t="s">
        <v>68</v>
      </c>
      <c r="QYQ5079" s="910" t="s">
        <v>75</v>
      </c>
      <c r="QYR5079" s="911"/>
      <c r="QYS5079" s="911"/>
      <c r="QYT5079" s="911"/>
      <c r="QYU5079" s="911"/>
      <c r="QYV5079" s="911"/>
      <c r="QYW5079" s="911"/>
      <c r="QYX5079" s="911"/>
      <c r="QYY5079" s="911"/>
      <c r="QYZ5079" s="911"/>
      <c r="QZA5079" s="32"/>
      <c r="QZB5079" s="911" t="s">
        <v>74</v>
      </c>
      <c r="QZC5079" s="911"/>
      <c r="QZD5079" s="911"/>
      <c r="QZE5079" s="911"/>
      <c r="QZF5079" s="911"/>
      <c r="QZG5079" s="911"/>
      <c r="QZH5079" s="911"/>
      <c r="QZI5079" s="911"/>
      <c r="QZJ5079" s="911"/>
      <c r="QZK5079" s="912"/>
      <c r="QZM5079" s="913" t="s">
        <v>1</v>
      </c>
      <c r="QZN5079" s="31"/>
      <c r="QZO5079" s="909" t="s">
        <v>0</v>
      </c>
      <c r="QZP5079" s="909"/>
      <c r="QZQ5079" s="909"/>
      <c r="QZR5079" s="909"/>
      <c r="QZS5079" s="909"/>
      <c r="QZT5079" s="909"/>
      <c r="QZU5079" s="907" t="s">
        <v>79</v>
      </c>
      <c r="QZV5079" s="909" t="s">
        <v>68</v>
      </c>
      <c r="QZW5079" s="910" t="s">
        <v>75</v>
      </c>
      <c r="QZX5079" s="911"/>
      <c r="QZY5079" s="911"/>
      <c r="QZZ5079" s="911"/>
      <c r="RAA5079" s="911"/>
      <c r="RAB5079" s="911"/>
      <c r="RAC5079" s="911"/>
      <c r="RAD5079" s="911"/>
      <c r="RAE5079" s="911"/>
      <c r="RAF5079" s="911"/>
      <c r="RAG5079" s="32"/>
      <c r="RAH5079" s="911" t="s">
        <v>74</v>
      </c>
      <c r="RAI5079" s="911"/>
      <c r="RAJ5079" s="911"/>
      <c r="RAK5079" s="911"/>
      <c r="RAL5079" s="911"/>
      <c r="RAM5079" s="911"/>
      <c r="RAN5079" s="911"/>
      <c r="RAO5079" s="911"/>
      <c r="RAP5079" s="911"/>
      <c r="RAQ5079" s="912"/>
      <c r="RAS5079" s="913" t="s">
        <v>1</v>
      </c>
      <c r="RAT5079" s="31"/>
      <c r="RAU5079" s="909" t="s">
        <v>0</v>
      </c>
      <c r="RAV5079" s="909"/>
      <c r="RAW5079" s="909"/>
      <c r="RAX5079" s="909"/>
      <c r="RAY5079" s="909"/>
      <c r="RAZ5079" s="909"/>
      <c r="RBA5079" s="907" t="s">
        <v>79</v>
      </c>
      <c r="RBB5079" s="909" t="s">
        <v>68</v>
      </c>
      <c r="RBC5079" s="910" t="s">
        <v>75</v>
      </c>
      <c r="RBD5079" s="911"/>
      <c r="RBE5079" s="911"/>
      <c r="RBF5079" s="911"/>
      <c r="RBG5079" s="911"/>
      <c r="RBH5079" s="911"/>
      <c r="RBI5079" s="911"/>
      <c r="RBJ5079" s="911"/>
      <c r="RBK5079" s="911"/>
      <c r="RBL5079" s="911"/>
      <c r="RBM5079" s="32"/>
      <c r="RBN5079" s="911" t="s">
        <v>74</v>
      </c>
      <c r="RBO5079" s="911"/>
      <c r="RBP5079" s="911"/>
      <c r="RBQ5079" s="911"/>
      <c r="RBR5079" s="911"/>
      <c r="RBS5079" s="911"/>
      <c r="RBT5079" s="911"/>
      <c r="RBU5079" s="911"/>
      <c r="RBV5079" s="911"/>
      <c r="RBW5079" s="912"/>
      <c r="RBY5079" s="913" t="s">
        <v>1</v>
      </c>
      <c r="RBZ5079" s="31"/>
      <c r="RCA5079" s="909" t="s">
        <v>0</v>
      </c>
      <c r="RCB5079" s="909"/>
      <c r="RCC5079" s="909"/>
      <c r="RCD5079" s="909"/>
      <c r="RCE5079" s="909"/>
      <c r="RCF5079" s="909"/>
      <c r="RCG5079" s="907" t="s">
        <v>79</v>
      </c>
      <c r="RCH5079" s="909" t="s">
        <v>68</v>
      </c>
      <c r="RCI5079" s="910" t="s">
        <v>75</v>
      </c>
      <c r="RCJ5079" s="911"/>
      <c r="RCK5079" s="911"/>
      <c r="RCL5079" s="911"/>
      <c r="RCM5079" s="911"/>
      <c r="RCN5079" s="911"/>
      <c r="RCO5079" s="911"/>
      <c r="RCP5079" s="911"/>
      <c r="RCQ5079" s="911"/>
      <c r="RCR5079" s="911"/>
      <c r="RCS5079" s="32"/>
      <c r="RCT5079" s="911" t="s">
        <v>74</v>
      </c>
      <c r="RCU5079" s="911"/>
      <c r="RCV5079" s="911"/>
      <c r="RCW5079" s="911"/>
      <c r="RCX5079" s="911"/>
      <c r="RCY5079" s="911"/>
      <c r="RCZ5079" s="911"/>
      <c r="RDA5079" s="911"/>
      <c r="RDB5079" s="911"/>
      <c r="RDC5079" s="912"/>
      <c r="RDE5079" s="913" t="s">
        <v>1</v>
      </c>
      <c r="RDF5079" s="31"/>
      <c r="RDG5079" s="909" t="s">
        <v>0</v>
      </c>
      <c r="RDH5079" s="909"/>
      <c r="RDI5079" s="909"/>
      <c r="RDJ5079" s="909"/>
      <c r="RDK5079" s="909"/>
      <c r="RDL5079" s="909"/>
      <c r="RDM5079" s="907" t="s">
        <v>79</v>
      </c>
      <c r="RDN5079" s="909" t="s">
        <v>68</v>
      </c>
      <c r="RDO5079" s="910" t="s">
        <v>75</v>
      </c>
      <c r="RDP5079" s="911"/>
      <c r="RDQ5079" s="911"/>
      <c r="RDR5079" s="911"/>
      <c r="RDS5079" s="911"/>
      <c r="RDT5079" s="911"/>
      <c r="RDU5079" s="911"/>
      <c r="RDV5079" s="911"/>
      <c r="RDW5079" s="911"/>
      <c r="RDX5079" s="911"/>
      <c r="RDY5079" s="32"/>
      <c r="RDZ5079" s="911" t="s">
        <v>74</v>
      </c>
      <c r="REA5079" s="911"/>
      <c r="REB5079" s="911"/>
      <c r="REC5079" s="911"/>
      <c r="RED5079" s="911"/>
      <c r="REE5079" s="911"/>
      <c r="REF5079" s="911"/>
      <c r="REG5079" s="911"/>
      <c r="REH5079" s="911"/>
      <c r="REI5079" s="912"/>
      <c r="REK5079" s="913" t="s">
        <v>1</v>
      </c>
      <c r="REL5079" s="31"/>
      <c r="REM5079" s="909" t="s">
        <v>0</v>
      </c>
      <c r="REN5079" s="909"/>
      <c r="REO5079" s="909"/>
      <c r="REP5079" s="909"/>
      <c r="REQ5079" s="909"/>
      <c r="RER5079" s="909"/>
      <c r="RES5079" s="907" t="s">
        <v>79</v>
      </c>
      <c r="RET5079" s="909" t="s">
        <v>68</v>
      </c>
      <c r="REU5079" s="910" t="s">
        <v>75</v>
      </c>
      <c r="REV5079" s="911"/>
      <c r="REW5079" s="911"/>
      <c r="REX5079" s="911"/>
      <c r="REY5079" s="911"/>
      <c r="REZ5079" s="911"/>
      <c r="RFA5079" s="911"/>
      <c r="RFB5079" s="911"/>
      <c r="RFC5079" s="911"/>
      <c r="RFD5079" s="911"/>
      <c r="RFE5079" s="32"/>
      <c r="RFF5079" s="911" t="s">
        <v>74</v>
      </c>
      <c r="RFG5079" s="911"/>
      <c r="RFH5079" s="911"/>
      <c r="RFI5079" s="911"/>
      <c r="RFJ5079" s="911"/>
      <c r="RFK5079" s="911"/>
      <c r="RFL5079" s="911"/>
      <c r="RFM5079" s="911"/>
      <c r="RFN5079" s="911"/>
      <c r="RFO5079" s="912"/>
      <c r="RFQ5079" s="913" t="s">
        <v>1</v>
      </c>
      <c r="RFR5079" s="31"/>
      <c r="RFS5079" s="909" t="s">
        <v>0</v>
      </c>
      <c r="RFT5079" s="909"/>
      <c r="RFU5079" s="909"/>
      <c r="RFV5079" s="909"/>
      <c r="RFW5079" s="909"/>
      <c r="RFX5079" s="909"/>
      <c r="RFY5079" s="907" t="s">
        <v>79</v>
      </c>
      <c r="RFZ5079" s="909" t="s">
        <v>68</v>
      </c>
      <c r="RGA5079" s="910" t="s">
        <v>75</v>
      </c>
      <c r="RGB5079" s="911"/>
      <c r="RGC5079" s="911"/>
      <c r="RGD5079" s="911"/>
      <c r="RGE5079" s="911"/>
      <c r="RGF5079" s="911"/>
      <c r="RGG5079" s="911"/>
      <c r="RGH5079" s="911"/>
      <c r="RGI5079" s="911"/>
      <c r="RGJ5079" s="911"/>
      <c r="RGK5079" s="32"/>
      <c r="RGL5079" s="911" t="s">
        <v>74</v>
      </c>
      <c r="RGM5079" s="911"/>
      <c r="RGN5079" s="911"/>
      <c r="RGO5079" s="911"/>
      <c r="RGP5079" s="911"/>
      <c r="RGQ5079" s="911"/>
      <c r="RGR5079" s="911"/>
      <c r="RGS5079" s="911"/>
      <c r="RGT5079" s="911"/>
      <c r="RGU5079" s="912"/>
      <c r="RGW5079" s="913" t="s">
        <v>1</v>
      </c>
      <c r="RGX5079" s="31"/>
      <c r="RGY5079" s="909" t="s">
        <v>0</v>
      </c>
      <c r="RGZ5079" s="909"/>
      <c r="RHA5079" s="909"/>
      <c r="RHB5079" s="909"/>
      <c r="RHC5079" s="909"/>
      <c r="RHD5079" s="909"/>
      <c r="RHE5079" s="907" t="s">
        <v>79</v>
      </c>
      <c r="RHF5079" s="909" t="s">
        <v>68</v>
      </c>
      <c r="RHG5079" s="910" t="s">
        <v>75</v>
      </c>
      <c r="RHH5079" s="911"/>
      <c r="RHI5079" s="911"/>
      <c r="RHJ5079" s="911"/>
      <c r="RHK5079" s="911"/>
      <c r="RHL5079" s="911"/>
      <c r="RHM5079" s="911"/>
      <c r="RHN5079" s="911"/>
      <c r="RHO5079" s="911"/>
      <c r="RHP5079" s="911"/>
      <c r="RHQ5079" s="32"/>
      <c r="RHR5079" s="911" t="s">
        <v>74</v>
      </c>
      <c r="RHS5079" s="911"/>
      <c r="RHT5079" s="911"/>
      <c r="RHU5079" s="911"/>
      <c r="RHV5079" s="911"/>
      <c r="RHW5079" s="911"/>
      <c r="RHX5079" s="911"/>
      <c r="RHY5079" s="911"/>
      <c r="RHZ5079" s="911"/>
      <c r="RIA5079" s="912"/>
      <c r="RIC5079" s="913" t="s">
        <v>1</v>
      </c>
      <c r="RID5079" s="31"/>
      <c r="RIE5079" s="909" t="s">
        <v>0</v>
      </c>
      <c r="RIF5079" s="909"/>
      <c r="RIG5079" s="909"/>
      <c r="RIH5079" s="909"/>
      <c r="RII5079" s="909"/>
      <c r="RIJ5079" s="909"/>
      <c r="RIK5079" s="907" t="s">
        <v>79</v>
      </c>
      <c r="RIL5079" s="909" t="s">
        <v>68</v>
      </c>
      <c r="RIM5079" s="910" t="s">
        <v>75</v>
      </c>
      <c r="RIN5079" s="911"/>
      <c r="RIO5079" s="911"/>
      <c r="RIP5079" s="911"/>
      <c r="RIQ5079" s="911"/>
      <c r="RIR5079" s="911"/>
      <c r="RIS5079" s="911"/>
      <c r="RIT5079" s="911"/>
      <c r="RIU5079" s="911"/>
      <c r="RIV5079" s="911"/>
      <c r="RIW5079" s="32"/>
      <c r="RIX5079" s="911" t="s">
        <v>74</v>
      </c>
      <c r="RIY5079" s="911"/>
      <c r="RIZ5079" s="911"/>
      <c r="RJA5079" s="911"/>
      <c r="RJB5079" s="911"/>
      <c r="RJC5079" s="911"/>
      <c r="RJD5079" s="911"/>
      <c r="RJE5079" s="911"/>
      <c r="RJF5079" s="911"/>
      <c r="RJG5079" s="912"/>
      <c r="RJI5079" s="913" t="s">
        <v>1</v>
      </c>
      <c r="RJJ5079" s="31"/>
      <c r="RJK5079" s="909" t="s">
        <v>0</v>
      </c>
      <c r="RJL5079" s="909"/>
      <c r="RJM5079" s="909"/>
      <c r="RJN5079" s="909"/>
      <c r="RJO5079" s="909"/>
      <c r="RJP5079" s="909"/>
      <c r="RJQ5079" s="907" t="s">
        <v>79</v>
      </c>
      <c r="RJR5079" s="909" t="s">
        <v>68</v>
      </c>
      <c r="RJS5079" s="910" t="s">
        <v>75</v>
      </c>
      <c r="RJT5079" s="911"/>
      <c r="RJU5079" s="911"/>
      <c r="RJV5079" s="911"/>
      <c r="RJW5079" s="911"/>
      <c r="RJX5079" s="911"/>
      <c r="RJY5079" s="911"/>
      <c r="RJZ5079" s="911"/>
      <c r="RKA5079" s="911"/>
      <c r="RKB5079" s="911"/>
      <c r="RKC5079" s="32"/>
      <c r="RKD5079" s="911" t="s">
        <v>74</v>
      </c>
      <c r="RKE5079" s="911"/>
      <c r="RKF5079" s="911"/>
      <c r="RKG5079" s="911"/>
      <c r="RKH5079" s="911"/>
      <c r="RKI5079" s="911"/>
      <c r="RKJ5079" s="911"/>
      <c r="RKK5079" s="911"/>
      <c r="RKL5079" s="911"/>
      <c r="RKM5079" s="912"/>
      <c r="RKO5079" s="913" t="s">
        <v>1</v>
      </c>
      <c r="RKP5079" s="31"/>
      <c r="RKQ5079" s="909" t="s">
        <v>0</v>
      </c>
      <c r="RKR5079" s="909"/>
      <c r="RKS5079" s="909"/>
      <c r="RKT5079" s="909"/>
      <c r="RKU5079" s="909"/>
      <c r="RKV5079" s="909"/>
      <c r="RKW5079" s="907" t="s">
        <v>79</v>
      </c>
      <c r="RKX5079" s="909" t="s">
        <v>68</v>
      </c>
      <c r="RKY5079" s="910" t="s">
        <v>75</v>
      </c>
      <c r="RKZ5079" s="911"/>
      <c r="RLA5079" s="911"/>
      <c r="RLB5079" s="911"/>
      <c r="RLC5079" s="911"/>
      <c r="RLD5079" s="911"/>
      <c r="RLE5079" s="911"/>
      <c r="RLF5079" s="911"/>
      <c r="RLG5079" s="911"/>
      <c r="RLH5079" s="911"/>
      <c r="RLI5079" s="32"/>
      <c r="RLJ5079" s="911" t="s">
        <v>74</v>
      </c>
      <c r="RLK5079" s="911"/>
      <c r="RLL5079" s="911"/>
      <c r="RLM5079" s="911"/>
      <c r="RLN5079" s="911"/>
      <c r="RLO5079" s="911"/>
      <c r="RLP5079" s="911"/>
      <c r="RLQ5079" s="911"/>
      <c r="RLR5079" s="911"/>
      <c r="RLS5079" s="912"/>
      <c r="RLU5079" s="913" t="s">
        <v>1</v>
      </c>
      <c r="RLV5079" s="31"/>
      <c r="RLW5079" s="909" t="s">
        <v>0</v>
      </c>
      <c r="RLX5079" s="909"/>
      <c r="RLY5079" s="909"/>
      <c r="RLZ5079" s="909"/>
      <c r="RMA5079" s="909"/>
      <c r="RMB5079" s="909"/>
      <c r="RMC5079" s="907" t="s">
        <v>79</v>
      </c>
      <c r="RMD5079" s="909" t="s">
        <v>68</v>
      </c>
      <c r="RME5079" s="910" t="s">
        <v>75</v>
      </c>
      <c r="RMF5079" s="911"/>
      <c r="RMG5079" s="911"/>
      <c r="RMH5079" s="911"/>
      <c r="RMI5079" s="911"/>
      <c r="RMJ5079" s="911"/>
      <c r="RMK5079" s="911"/>
      <c r="RML5079" s="911"/>
      <c r="RMM5079" s="911"/>
      <c r="RMN5079" s="911"/>
      <c r="RMO5079" s="32"/>
      <c r="RMP5079" s="911" t="s">
        <v>74</v>
      </c>
      <c r="RMQ5079" s="911"/>
      <c r="RMR5079" s="911"/>
      <c r="RMS5079" s="911"/>
      <c r="RMT5079" s="911"/>
      <c r="RMU5079" s="911"/>
      <c r="RMV5079" s="911"/>
      <c r="RMW5079" s="911"/>
      <c r="RMX5079" s="911"/>
      <c r="RMY5079" s="912"/>
      <c r="RNA5079" s="913" t="s">
        <v>1</v>
      </c>
      <c r="RNB5079" s="31"/>
      <c r="RNC5079" s="909" t="s">
        <v>0</v>
      </c>
      <c r="RND5079" s="909"/>
      <c r="RNE5079" s="909"/>
      <c r="RNF5079" s="909"/>
      <c r="RNG5079" s="909"/>
      <c r="RNH5079" s="909"/>
      <c r="RNI5079" s="907" t="s">
        <v>79</v>
      </c>
      <c r="RNJ5079" s="909" t="s">
        <v>68</v>
      </c>
      <c r="RNK5079" s="910" t="s">
        <v>75</v>
      </c>
      <c r="RNL5079" s="911"/>
      <c r="RNM5079" s="911"/>
      <c r="RNN5079" s="911"/>
      <c r="RNO5079" s="911"/>
      <c r="RNP5079" s="911"/>
      <c r="RNQ5079" s="911"/>
      <c r="RNR5079" s="911"/>
      <c r="RNS5079" s="911"/>
      <c r="RNT5079" s="911"/>
      <c r="RNU5079" s="32"/>
      <c r="RNV5079" s="911" t="s">
        <v>74</v>
      </c>
      <c r="RNW5079" s="911"/>
      <c r="RNX5079" s="911"/>
      <c r="RNY5079" s="911"/>
      <c r="RNZ5079" s="911"/>
      <c r="ROA5079" s="911"/>
      <c r="ROB5079" s="911"/>
      <c r="ROC5079" s="911"/>
      <c r="ROD5079" s="911"/>
      <c r="ROE5079" s="912"/>
      <c r="ROG5079" s="913" t="s">
        <v>1</v>
      </c>
      <c r="ROH5079" s="31"/>
      <c r="ROI5079" s="909" t="s">
        <v>0</v>
      </c>
      <c r="ROJ5079" s="909"/>
      <c r="ROK5079" s="909"/>
      <c r="ROL5079" s="909"/>
      <c r="ROM5079" s="909"/>
      <c r="RON5079" s="909"/>
      <c r="ROO5079" s="907" t="s">
        <v>79</v>
      </c>
      <c r="ROP5079" s="909" t="s">
        <v>68</v>
      </c>
      <c r="ROQ5079" s="910" t="s">
        <v>75</v>
      </c>
      <c r="ROR5079" s="911"/>
      <c r="ROS5079" s="911"/>
      <c r="ROT5079" s="911"/>
      <c r="ROU5079" s="911"/>
      <c r="ROV5079" s="911"/>
      <c r="ROW5079" s="911"/>
      <c r="ROX5079" s="911"/>
      <c r="ROY5079" s="911"/>
      <c r="ROZ5079" s="911"/>
      <c r="RPA5079" s="32"/>
      <c r="RPB5079" s="911" t="s">
        <v>74</v>
      </c>
      <c r="RPC5079" s="911"/>
      <c r="RPD5079" s="911"/>
      <c r="RPE5079" s="911"/>
      <c r="RPF5079" s="911"/>
      <c r="RPG5079" s="911"/>
      <c r="RPH5079" s="911"/>
      <c r="RPI5079" s="911"/>
      <c r="RPJ5079" s="911"/>
      <c r="RPK5079" s="912"/>
      <c r="RPM5079" s="913" t="s">
        <v>1</v>
      </c>
      <c r="RPN5079" s="31"/>
      <c r="RPO5079" s="909" t="s">
        <v>0</v>
      </c>
      <c r="RPP5079" s="909"/>
      <c r="RPQ5079" s="909"/>
      <c r="RPR5079" s="909"/>
      <c r="RPS5079" s="909"/>
      <c r="RPT5079" s="909"/>
      <c r="RPU5079" s="907" t="s">
        <v>79</v>
      </c>
      <c r="RPV5079" s="909" t="s">
        <v>68</v>
      </c>
      <c r="RPW5079" s="910" t="s">
        <v>75</v>
      </c>
      <c r="RPX5079" s="911"/>
      <c r="RPY5079" s="911"/>
      <c r="RPZ5079" s="911"/>
      <c r="RQA5079" s="911"/>
      <c r="RQB5079" s="911"/>
      <c r="RQC5079" s="911"/>
      <c r="RQD5079" s="911"/>
      <c r="RQE5079" s="911"/>
      <c r="RQF5079" s="911"/>
      <c r="RQG5079" s="32"/>
      <c r="RQH5079" s="911" t="s">
        <v>74</v>
      </c>
      <c r="RQI5079" s="911"/>
      <c r="RQJ5079" s="911"/>
      <c r="RQK5079" s="911"/>
      <c r="RQL5079" s="911"/>
      <c r="RQM5079" s="911"/>
      <c r="RQN5079" s="911"/>
      <c r="RQO5079" s="911"/>
      <c r="RQP5079" s="911"/>
      <c r="RQQ5079" s="912"/>
      <c r="RQS5079" s="913" t="s">
        <v>1</v>
      </c>
      <c r="RQT5079" s="31"/>
      <c r="RQU5079" s="909" t="s">
        <v>0</v>
      </c>
      <c r="RQV5079" s="909"/>
      <c r="RQW5079" s="909"/>
      <c r="RQX5079" s="909"/>
      <c r="RQY5079" s="909"/>
      <c r="RQZ5079" s="909"/>
      <c r="RRA5079" s="907" t="s">
        <v>79</v>
      </c>
      <c r="RRB5079" s="909" t="s">
        <v>68</v>
      </c>
      <c r="RRC5079" s="910" t="s">
        <v>75</v>
      </c>
      <c r="RRD5079" s="911"/>
      <c r="RRE5079" s="911"/>
      <c r="RRF5079" s="911"/>
      <c r="RRG5079" s="911"/>
      <c r="RRH5079" s="911"/>
      <c r="RRI5079" s="911"/>
      <c r="RRJ5079" s="911"/>
      <c r="RRK5079" s="911"/>
      <c r="RRL5079" s="911"/>
      <c r="RRM5079" s="32"/>
      <c r="RRN5079" s="911" t="s">
        <v>74</v>
      </c>
      <c r="RRO5079" s="911"/>
      <c r="RRP5079" s="911"/>
      <c r="RRQ5079" s="911"/>
      <c r="RRR5079" s="911"/>
      <c r="RRS5079" s="911"/>
      <c r="RRT5079" s="911"/>
      <c r="RRU5079" s="911"/>
      <c r="RRV5079" s="911"/>
      <c r="RRW5079" s="912"/>
      <c r="RRY5079" s="913" t="s">
        <v>1</v>
      </c>
      <c r="RRZ5079" s="31"/>
      <c r="RSA5079" s="909" t="s">
        <v>0</v>
      </c>
      <c r="RSB5079" s="909"/>
      <c r="RSC5079" s="909"/>
      <c r="RSD5079" s="909"/>
      <c r="RSE5079" s="909"/>
      <c r="RSF5079" s="909"/>
      <c r="RSG5079" s="907" t="s">
        <v>79</v>
      </c>
      <c r="RSH5079" s="909" t="s">
        <v>68</v>
      </c>
      <c r="RSI5079" s="910" t="s">
        <v>75</v>
      </c>
      <c r="RSJ5079" s="911"/>
      <c r="RSK5079" s="911"/>
      <c r="RSL5079" s="911"/>
      <c r="RSM5079" s="911"/>
      <c r="RSN5079" s="911"/>
      <c r="RSO5079" s="911"/>
      <c r="RSP5079" s="911"/>
      <c r="RSQ5079" s="911"/>
      <c r="RSR5079" s="911"/>
      <c r="RSS5079" s="32"/>
      <c r="RST5079" s="911" t="s">
        <v>74</v>
      </c>
      <c r="RSU5079" s="911"/>
      <c r="RSV5079" s="911"/>
      <c r="RSW5079" s="911"/>
      <c r="RSX5079" s="911"/>
      <c r="RSY5079" s="911"/>
      <c r="RSZ5079" s="911"/>
      <c r="RTA5079" s="911"/>
      <c r="RTB5079" s="911"/>
      <c r="RTC5079" s="912"/>
      <c r="RTE5079" s="913" t="s">
        <v>1</v>
      </c>
      <c r="RTF5079" s="31"/>
      <c r="RTG5079" s="909" t="s">
        <v>0</v>
      </c>
      <c r="RTH5079" s="909"/>
      <c r="RTI5079" s="909"/>
      <c r="RTJ5079" s="909"/>
      <c r="RTK5079" s="909"/>
      <c r="RTL5079" s="909"/>
      <c r="RTM5079" s="907" t="s">
        <v>79</v>
      </c>
      <c r="RTN5079" s="909" t="s">
        <v>68</v>
      </c>
      <c r="RTO5079" s="910" t="s">
        <v>75</v>
      </c>
      <c r="RTP5079" s="911"/>
      <c r="RTQ5079" s="911"/>
      <c r="RTR5079" s="911"/>
      <c r="RTS5079" s="911"/>
      <c r="RTT5079" s="911"/>
      <c r="RTU5079" s="911"/>
      <c r="RTV5079" s="911"/>
      <c r="RTW5079" s="911"/>
      <c r="RTX5079" s="911"/>
      <c r="RTY5079" s="32"/>
      <c r="RTZ5079" s="911" t="s">
        <v>74</v>
      </c>
      <c r="RUA5079" s="911"/>
      <c r="RUB5079" s="911"/>
      <c r="RUC5079" s="911"/>
      <c r="RUD5079" s="911"/>
      <c r="RUE5079" s="911"/>
      <c r="RUF5079" s="911"/>
      <c r="RUG5079" s="911"/>
      <c r="RUH5079" s="911"/>
      <c r="RUI5079" s="912"/>
      <c r="RUK5079" s="913" t="s">
        <v>1</v>
      </c>
      <c r="RUL5079" s="31"/>
      <c r="RUM5079" s="909" t="s">
        <v>0</v>
      </c>
      <c r="RUN5079" s="909"/>
      <c r="RUO5079" s="909"/>
      <c r="RUP5079" s="909"/>
      <c r="RUQ5079" s="909"/>
      <c r="RUR5079" s="909"/>
      <c r="RUS5079" s="907" t="s">
        <v>79</v>
      </c>
      <c r="RUT5079" s="909" t="s">
        <v>68</v>
      </c>
      <c r="RUU5079" s="910" t="s">
        <v>75</v>
      </c>
      <c r="RUV5079" s="911"/>
      <c r="RUW5079" s="911"/>
      <c r="RUX5079" s="911"/>
      <c r="RUY5079" s="911"/>
      <c r="RUZ5079" s="911"/>
      <c r="RVA5079" s="911"/>
      <c r="RVB5079" s="911"/>
      <c r="RVC5079" s="911"/>
      <c r="RVD5079" s="911"/>
      <c r="RVE5079" s="32"/>
      <c r="RVF5079" s="911" t="s">
        <v>74</v>
      </c>
      <c r="RVG5079" s="911"/>
      <c r="RVH5079" s="911"/>
      <c r="RVI5079" s="911"/>
      <c r="RVJ5079" s="911"/>
      <c r="RVK5079" s="911"/>
      <c r="RVL5079" s="911"/>
      <c r="RVM5079" s="911"/>
      <c r="RVN5079" s="911"/>
      <c r="RVO5079" s="912"/>
      <c r="RVQ5079" s="913" t="s">
        <v>1</v>
      </c>
      <c r="RVR5079" s="31"/>
      <c r="RVS5079" s="909" t="s">
        <v>0</v>
      </c>
      <c r="RVT5079" s="909"/>
      <c r="RVU5079" s="909"/>
      <c r="RVV5079" s="909"/>
      <c r="RVW5079" s="909"/>
      <c r="RVX5079" s="909"/>
      <c r="RVY5079" s="907" t="s">
        <v>79</v>
      </c>
      <c r="RVZ5079" s="909" t="s">
        <v>68</v>
      </c>
      <c r="RWA5079" s="910" t="s">
        <v>75</v>
      </c>
      <c r="RWB5079" s="911"/>
      <c r="RWC5079" s="911"/>
      <c r="RWD5079" s="911"/>
      <c r="RWE5079" s="911"/>
      <c r="RWF5079" s="911"/>
      <c r="RWG5079" s="911"/>
      <c r="RWH5079" s="911"/>
      <c r="RWI5079" s="911"/>
      <c r="RWJ5079" s="911"/>
      <c r="RWK5079" s="32"/>
      <c r="RWL5079" s="911" t="s">
        <v>74</v>
      </c>
      <c r="RWM5079" s="911"/>
      <c r="RWN5079" s="911"/>
      <c r="RWO5079" s="911"/>
      <c r="RWP5079" s="911"/>
      <c r="RWQ5079" s="911"/>
      <c r="RWR5079" s="911"/>
      <c r="RWS5079" s="911"/>
      <c r="RWT5079" s="911"/>
      <c r="RWU5079" s="912"/>
      <c r="RWW5079" s="913" t="s">
        <v>1</v>
      </c>
      <c r="RWX5079" s="31"/>
      <c r="RWY5079" s="909" t="s">
        <v>0</v>
      </c>
      <c r="RWZ5079" s="909"/>
      <c r="RXA5079" s="909"/>
      <c r="RXB5079" s="909"/>
      <c r="RXC5079" s="909"/>
      <c r="RXD5079" s="909"/>
      <c r="RXE5079" s="907" t="s">
        <v>79</v>
      </c>
      <c r="RXF5079" s="909" t="s">
        <v>68</v>
      </c>
      <c r="RXG5079" s="910" t="s">
        <v>75</v>
      </c>
      <c r="RXH5079" s="911"/>
      <c r="RXI5079" s="911"/>
      <c r="RXJ5079" s="911"/>
      <c r="RXK5079" s="911"/>
      <c r="RXL5079" s="911"/>
      <c r="RXM5079" s="911"/>
      <c r="RXN5079" s="911"/>
      <c r="RXO5079" s="911"/>
      <c r="RXP5079" s="911"/>
      <c r="RXQ5079" s="32"/>
      <c r="RXR5079" s="911" t="s">
        <v>74</v>
      </c>
      <c r="RXS5079" s="911"/>
      <c r="RXT5079" s="911"/>
      <c r="RXU5079" s="911"/>
      <c r="RXV5079" s="911"/>
      <c r="RXW5079" s="911"/>
      <c r="RXX5079" s="911"/>
      <c r="RXY5079" s="911"/>
      <c r="RXZ5079" s="911"/>
      <c r="RYA5079" s="912"/>
      <c r="RYC5079" s="913" t="s">
        <v>1</v>
      </c>
      <c r="RYD5079" s="31"/>
      <c r="RYE5079" s="909" t="s">
        <v>0</v>
      </c>
      <c r="RYF5079" s="909"/>
      <c r="RYG5079" s="909"/>
      <c r="RYH5079" s="909"/>
      <c r="RYI5079" s="909"/>
      <c r="RYJ5079" s="909"/>
      <c r="RYK5079" s="907" t="s">
        <v>79</v>
      </c>
      <c r="RYL5079" s="909" t="s">
        <v>68</v>
      </c>
      <c r="RYM5079" s="910" t="s">
        <v>75</v>
      </c>
      <c r="RYN5079" s="911"/>
      <c r="RYO5079" s="911"/>
      <c r="RYP5079" s="911"/>
      <c r="RYQ5079" s="911"/>
      <c r="RYR5079" s="911"/>
      <c r="RYS5079" s="911"/>
      <c r="RYT5079" s="911"/>
      <c r="RYU5079" s="911"/>
      <c r="RYV5079" s="911"/>
      <c r="RYW5079" s="32"/>
      <c r="RYX5079" s="911" t="s">
        <v>74</v>
      </c>
      <c r="RYY5079" s="911"/>
      <c r="RYZ5079" s="911"/>
      <c r="RZA5079" s="911"/>
      <c r="RZB5079" s="911"/>
      <c r="RZC5079" s="911"/>
      <c r="RZD5079" s="911"/>
      <c r="RZE5079" s="911"/>
      <c r="RZF5079" s="911"/>
      <c r="RZG5079" s="912"/>
      <c r="RZI5079" s="913" t="s">
        <v>1</v>
      </c>
      <c r="RZJ5079" s="31"/>
      <c r="RZK5079" s="909" t="s">
        <v>0</v>
      </c>
      <c r="RZL5079" s="909"/>
      <c r="RZM5079" s="909"/>
      <c r="RZN5079" s="909"/>
      <c r="RZO5079" s="909"/>
      <c r="RZP5079" s="909"/>
      <c r="RZQ5079" s="907" t="s">
        <v>79</v>
      </c>
      <c r="RZR5079" s="909" t="s">
        <v>68</v>
      </c>
      <c r="RZS5079" s="910" t="s">
        <v>75</v>
      </c>
      <c r="RZT5079" s="911"/>
      <c r="RZU5079" s="911"/>
      <c r="RZV5079" s="911"/>
      <c r="RZW5079" s="911"/>
      <c r="RZX5079" s="911"/>
      <c r="RZY5079" s="911"/>
      <c r="RZZ5079" s="911"/>
      <c r="SAA5079" s="911"/>
      <c r="SAB5079" s="911"/>
      <c r="SAC5079" s="32"/>
      <c r="SAD5079" s="911" t="s">
        <v>74</v>
      </c>
      <c r="SAE5079" s="911"/>
      <c r="SAF5079" s="911"/>
      <c r="SAG5079" s="911"/>
      <c r="SAH5079" s="911"/>
      <c r="SAI5079" s="911"/>
      <c r="SAJ5079" s="911"/>
      <c r="SAK5079" s="911"/>
      <c r="SAL5079" s="911"/>
      <c r="SAM5079" s="912"/>
      <c r="SAO5079" s="913" t="s">
        <v>1</v>
      </c>
      <c r="SAP5079" s="31"/>
      <c r="SAQ5079" s="909" t="s">
        <v>0</v>
      </c>
      <c r="SAR5079" s="909"/>
      <c r="SAS5079" s="909"/>
      <c r="SAT5079" s="909"/>
      <c r="SAU5079" s="909"/>
      <c r="SAV5079" s="909"/>
      <c r="SAW5079" s="907" t="s">
        <v>79</v>
      </c>
      <c r="SAX5079" s="909" t="s">
        <v>68</v>
      </c>
      <c r="SAY5079" s="910" t="s">
        <v>75</v>
      </c>
      <c r="SAZ5079" s="911"/>
      <c r="SBA5079" s="911"/>
      <c r="SBB5079" s="911"/>
      <c r="SBC5079" s="911"/>
      <c r="SBD5079" s="911"/>
      <c r="SBE5079" s="911"/>
      <c r="SBF5079" s="911"/>
      <c r="SBG5079" s="911"/>
      <c r="SBH5079" s="911"/>
      <c r="SBI5079" s="32"/>
      <c r="SBJ5079" s="911" t="s">
        <v>74</v>
      </c>
      <c r="SBK5079" s="911"/>
      <c r="SBL5079" s="911"/>
      <c r="SBM5079" s="911"/>
      <c r="SBN5079" s="911"/>
      <c r="SBO5079" s="911"/>
      <c r="SBP5079" s="911"/>
      <c r="SBQ5079" s="911"/>
      <c r="SBR5079" s="911"/>
      <c r="SBS5079" s="912"/>
      <c r="SBU5079" s="913" t="s">
        <v>1</v>
      </c>
      <c r="SBV5079" s="31"/>
      <c r="SBW5079" s="909" t="s">
        <v>0</v>
      </c>
      <c r="SBX5079" s="909"/>
      <c r="SBY5079" s="909"/>
      <c r="SBZ5079" s="909"/>
      <c r="SCA5079" s="909"/>
      <c r="SCB5079" s="909"/>
      <c r="SCC5079" s="907" t="s">
        <v>79</v>
      </c>
      <c r="SCD5079" s="909" t="s">
        <v>68</v>
      </c>
      <c r="SCE5079" s="910" t="s">
        <v>75</v>
      </c>
      <c r="SCF5079" s="911"/>
      <c r="SCG5079" s="911"/>
      <c r="SCH5079" s="911"/>
      <c r="SCI5079" s="911"/>
      <c r="SCJ5079" s="911"/>
      <c r="SCK5079" s="911"/>
      <c r="SCL5079" s="911"/>
      <c r="SCM5079" s="911"/>
      <c r="SCN5079" s="911"/>
      <c r="SCO5079" s="32"/>
      <c r="SCP5079" s="911" t="s">
        <v>74</v>
      </c>
      <c r="SCQ5079" s="911"/>
      <c r="SCR5079" s="911"/>
      <c r="SCS5079" s="911"/>
      <c r="SCT5079" s="911"/>
      <c r="SCU5079" s="911"/>
      <c r="SCV5079" s="911"/>
      <c r="SCW5079" s="911"/>
      <c r="SCX5079" s="911"/>
      <c r="SCY5079" s="912"/>
      <c r="SDA5079" s="913" t="s">
        <v>1</v>
      </c>
      <c r="SDB5079" s="31"/>
      <c r="SDC5079" s="909" t="s">
        <v>0</v>
      </c>
      <c r="SDD5079" s="909"/>
      <c r="SDE5079" s="909"/>
      <c r="SDF5079" s="909"/>
      <c r="SDG5079" s="909"/>
      <c r="SDH5079" s="909"/>
      <c r="SDI5079" s="907" t="s">
        <v>79</v>
      </c>
      <c r="SDJ5079" s="909" t="s">
        <v>68</v>
      </c>
      <c r="SDK5079" s="910" t="s">
        <v>75</v>
      </c>
      <c r="SDL5079" s="911"/>
      <c r="SDM5079" s="911"/>
      <c r="SDN5079" s="911"/>
      <c r="SDO5079" s="911"/>
      <c r="SDP5079" s="911"/>
      <c r="SDQ5079" s="911"/>
      <c r="SDR5079" s="911"/>
      <c r="SDS5079" s="911"/>
      <c r="SDT5079" s="911"/>
      <c r="SDU5079" s="32"/>
      <c r="SDV5079" s="911" t="s">
        <v>74</v>
      </c>
      <c r="SDW5079" s="911"/>
      <c r="SDX5079" s="911"/>
      <c r="SDY5079" s="911"/>
      <c r="SDZ5079" s="911"/>
      <c r="SEA5079" s="911"/>
      <c r="SEB5079" s="911"/>
      <c r="SEC5079" s="911"/>
      <c r="SED5079" s="911"/>
      <c r="SEE5079" s="912"/>
      <c r="SEG5079" s="913" t="s">
        <v>1</v>
      </c>
      <c r="SEH5079" s="31"/>
      <c r="SEI5079" s="909" t="s">
        <v>0</v>
      </c>
      <c r="SEJ5079" s="909"/>
      <c r="SEK5079" s="909"/>
      <c r="SEL5079" s="909"/>
      <c r="SEM5079" s="909"/>
      <c r="SEN5079" s="909"/>
      <c r="SEO5079" s="907" t="s">
        <v>79</v>
      </c>
      <c r="SEP5079" s="909" t="s">
        <v>68</v>
      </c>
      <c r="SEQ5079" s="910" t="s">
        <v>75</v>
      </c>
      <c r="SER5079" s="911"/>
      <c r="SES5079" s="911"/>
      <c r="SET5079" s="911"/>
      <c r="SEU5079" s="911"/>
      <c r="SEV5079" s="911"/>
      <c r="SEW5079" s="911"/>
      <c r="SEX5079" s="911"/>
      <c r="SEY5079" s="911"/>
      <c r="SEZ5079" s="911"/>
      <c r="SFA5079" s="32"/>
      <c r="SFB5079" s="911" t="s">
        <v>74</v>
      </c>
      <c r="SFC5079" s="911"/>
      <c r="SFD5079" s="911"/>
      <c r="SFE5079" s="911"/>
      <c r="SFF5079" s="911"/>
      <c r="SFG5079" s="911"/>
      <c r="SFH5079" s="911"/>
      <c r="SFI5079" s="911"/>
      <c r="SFJ5079" s="911"/>
      <c r="SFK5079" s="912"/>
      <c r="SFM5079" s="913" t="s">
        <v>1</v>
      </c>
      <c r="SFN5079" s="31"/>
      <c r="SFO5079" s="909" t="s">
        <v>0</v>
      </c>
      <c r="SFP5079" s="909"/>
      <c r="SFQ5079" s="909"/>
      <c r="SFR5079" s="909"/>
      <c r="SFS5079" s="909"/>
      <c r="SFT5079" s="909"/>
      <c r="SFU5079" s="907" t="s">
        <v>79</v>
      </c>
      <c r="SFV5079" s="909" t="s">
        <v>68</v>
      </c>
      <c r="SFW5079" s="910" t="s">
        <v>75</v>
      </c>
      <c r="SFX5079" s="911"/>
      <c r="SFY5079" s="911"/>
      <c r="SFZ5079" s="911"/>
      <c r="SGA5079" s="911"/>
      <c r="SGB5079" s="911"/>
      <c r="SGC5079" s="911"/>
      <c r="SGD5079" s="911"/>
      <c r="SGE5079" s="911"/>
      <c r="SGF5079" s="911"/>
      <c r="SGG5079" s="32"/>
      <c r="SGH5079" s="911" t="s">
        <v>74</v>
      </c>
      <c r="SGI5079" s="911"/>
      <c r="SGJ5079" s="911"/>
      <c r="SGK5079" s="911"/>
      <c r="SGL5079" s="911"/>
      <c r="SGM5079" s="911"/>
      <c r="SGN5079" s="911"/>
      <c r="SGO5079" s="911"/>
      <c r="SGP5079" s="911"/>
      <c r="SGQ5079" s="912"/>
      <c r="SGS5079" s="913" t="s">
        <v>1</v>
      </c>
      <c r="SGT5079" s="31"/>
      <c r="SGU5079" s="909" t="s">
        <v>0</v>
      </c>
      <c r="SGV5079" s="909"/>
      <c r="SGW5079" s="909"/>
      <c r="SGX5079" s="909"/>
      <c r="SGY5079" s="909"/>
      <c r="SGZ5079" s="909"/>
      <c r="SHA5079" s="907" t="s">
        <v>79</v>
      </c>
      <c r="SHB5079" s="909" t="s">
        <v>68</v>
      </c>
      <c r="SHC5079" s="910" t="s">
        <v>75</v>
      </c>
      <c r="SHD5079" s="911"/>
      <c r="SHE5079" s="911"/>
      <c r="SHF5079" s="911"/>
      <c r="SHG5079" s="911"/>
      <c r="SHH5079" s="911"/>
      <c r="SHI5079" s="911"/>
      <c r="SHJ5079" s="911"/>
      <c r="SHK5079" s="911"/>
      <c r="SHL5079" s="911"/>
      <c r="SHM5079" s="32"/>
      <c r="SHN5079" s="911" t="s">
        <v>74</v>
      </c>
      <c r="SHO5079" s="911"/>
      <c r="SHP5079" s="911"/>
      <c r="SHQ5079" s="911"/>
      <c r="SHR5079" s="911"/>
      <c r="SHS5079" s="911"/>
      <c r="SHT5079" s="911"/>
      <c r="SHU5079" s="911"/>
      <c r="SHV5079" s="911"/>
      <c r="SHW5079" s="912"/>
      <c r="SHY5079" s="913" t="s">
        <v>1</v>
      </c>
      <c r="SHZ5079" s="31"/>
      <c r="SIA5079" s="909" t="s">
        <v>0</v>
      </c>
      <c r="SIB5079" s="909"/>
      <c r="SIC5079" s="909"/>
      <c r="SID5079" s="909"/>
      <c r="SIE5079" s="909"/>
      <c r="SIF5079" s="909"/>
      <c r="SIG5079" s="907" t="s">
        <v>79</v>
      </c>
      <c r="SIH5079" s="909" t="s">
        <v>68</v>
      </c>
      <c r="SII5079" s="910" t="s">
        <v>75</v>
      </c>
      <c r="SIJ5079" s="911"/>
      <c r="SIK5079" s="911"/>
      <c r="SIL5079" s="911"/>
      <c r="SIM5079" s="911"/>
      <c r="SIN5079" s="911"/>
      <c r="SIO5079" s="911"/>
      <c r="SIP5079" s="911"/>
      <c r="SIQ5079" s="911"/>
      <c r="SIR5079" s="911"/>
      <c r="SIS5079" s="32"/>
      <c r="SIT5079" s="911" t="s">
        <v>74</v>
      </c>
      <c r="SIU5079" s="911"/>
      <c r="SIV5079" s="911"/>
      <c r="SIW5079" s="911"/>
      <c r="SIX5079" s="911"/>
      <c r="SIY5079" s="911"/>
      <c r="SIZ5079" s="911"/>
      <c r="SJA5079" s="911"/>
      <c r="SJB5079" s="911"/>
      <c r="SJC5079" s="912"/>
      <c r="SJE5079" s="913" t="s">
        <v>1</v>
      </c>
      <c r="SJF5079" s="31"/>
      <c r="SJG5079" s="909" t="s">
        <v>0</v>
      </c>
      <c r="SJH5079" s="909"/>
      <c r="SJI5079" s="909"/>
      <c r="SJJ5079" s="909"/>
      <c r="SJK5079" s="909"/>
      <c r="SJL5079" s="909"/>
      <c r="SJM5079" s="907" t="s">
        <v>79</v>
      </c>
      <c r="SJN5079" s="909" t="s">
        <v>68</v>
      </c>
      <c r="SJO5079" s="910" t="s">
        <v>75</v>
      </c>
      <c r="SJP5079" s="911"/>
      <c r="SJQ5079" s="911"/>
      <c r="SJR5079" s="911"/>
      <c r="SJS5079" s="911"/>
      <c r="SJT5079" s="911"/>
      <c r="SJU5079" s="911"/>
      <c r="SJV5079" s="911"/>
      <c r="SJW5079" s="911"/>
      <c r="SJX5079" s="911"/>
      <c r="SJY5079" s="32"/>
      <c r="SJZ5079" s="911" t="s">
        <v>74</v>
      </c>
      <c r="SKA5079" s="911"/>
      <c r="SKB5079" s="911"/>
      <c r="SKC5079" s="911"/>
      <c r="SKD5079" s="911"/>
      <c r="SKE5079" s="911"/>
      <c r="SKF5079" s="911"/>
      <c r="SKG5079" s="911"/>
      <c r="SKH5079" s="911"/>
      <c r="SKI5079" s="912"/>
      <c r="SKK5079" s="913" t="s">
        <v>1</v>
      </c>
      <c r="SKL5079" s="31"/>
      <c r="SKM5079" s="909" t="s">
        <v>0</v>
      </c>
      <c r="SKN5079" s="909"/>
      <c r="SKO5079" s="909"/>
      <c r="SKP5079" s="909"/>
      <c r="SKQ5079" s="909"/>
      <c r="SKR5079" s="909"/>
      <c r="SKS5079" s="907" t="s">
        <v>79</v>
      </c>
      <c r="SKT5079" s="909" t="s">
        <v>68</v>
      </c>
      <c r="SKU5079" s="910" t="s">
        <v>75</v>
      </c>
      <c r="SKV5079" s="911"/>
      <c r="SKW5079" s="911"/>
      <c r="SKX5079" s="911"/>
      <c r="SKY5079" s="911"/>
      <c r="SKZ5079" s="911"/>
      <c r="SLA5079" s="911"/>
      <c r="SLB5079" s="911"/>
      <c r="SLC5079" s="911"/>
      <c r="SLD5079" s="911"/>
      <c r="SLE5079" s="32"/>
      <c r="SLF5079" s="911" t="s">
        <v>74</v>
      </c>
      <c r="SLG5079" s="911"/>
      <c r="SLH5079" s="911"/>
      <c r="SLI5079" s="911"/>
      <c r="SLJ5079" s="911"/>
      <c r="SLK5079" s="911"/>
      <c r="SLL5079" s="911"/>
      <c r="SLM5079" s="911"/>
      <c r="SLN5079" s="911"/>
      <c r="SLO5079" s="912"/>
      <c r="SLQ5079" s="913" t="s">
        <v>1</v>
      </c>
      <c r="SLR5079" s="31"/>
      <c r="SLS5079" s="909" t="s">
        <v>0</v>
      </c>
      <c r="SLT5079" s="909"/>
      <c r="SLU5079" s="909"/>
      <c r="SLV5079" s="909"/>
      <c r="SLW5079" s="909"/>
      <c r="SLX5079" s="909"/>
      <c r="SLY5079" s="907" t="s">
        <v>79</v>
      </c>
      <c r="SLZ5079" s="909" t="s">
        <v>68</v>
      </c>
      <c r="SMA5079" s="910" t="s">
        <v>75</v>
      </c>
      <c r="SMB5079" s="911"/>
      <c r="SMC5079" s="911"/>
      <c r="SMD5079" s="911"/>
      <c r="SME5079" s="911"/>
      <c r="SMF5079" s="911"/>
      <c r="SMG5079" s="911"/>
      <c r="SMH5079" s="911"/>
      <c r="SMI5079" s="911"/>
      <c r="SMJ5079" s="911"/>
      <c r="SMK5079" s="32"/>
      <c r="SML5079" s="911" t="s">
        <v>74</v>
      </c>
      <c r="SMM5079" s="911"/>
      <c r="SMN5079" s="911"/>
      <c r="SMO5079" s="911"/>
      <c r="SMP5079" s="911"/>
      <c r="SMQ5079" s="911"/>
      <c r="SMR5079" s="911"/>
      <c r="SMS5079" s="911"/>
      <c r="SMT5079" s="911"/>
      <c r="SMU5079" s="912"/>
      <c r="SMW5079" s="913" t="s">
        <v>1</v>
      </c>
      <c r="SMX5079" s="31"/>
      <c r="SMY5079" s="909" t="s">
        <v>0</v>
      </c>
      <c r="SMZ5079" s="909"/>
      <c r="SNA5079" s="909"/>
      <c r="SNB5079" s="909"/>
      <c r="SNC5079" s="909"/>
      <c r="SND5079" s="909"/>
      <c r="SNE5079" s="907" t="s">
        <v>79</v>
      </c>
      <c r="SNF5079" s="909" t="s">
        <v>68</v>
      </c>
      <c r="SNG5079" s="910" t="s">
        <v>75</v>
      </c>
      <c r="SNH5079" s="911"/>
      <c r="SNI5079" s="911"/>
      <c r="SNJ5079" s="911"/>
      <c r="SNK5079" s="911"/>
      <c r="SNL5079" s="911"/>
      <c r="SNM5079" s="911"/>
      <c r="SNN5079" s="911"/>
      <c r="SNO5079" s="911"/>
      <c r="SNP5079" s="911"/>
      <c r="SNQ5079" s="32"/>
      <c r="SNR5079" s="911" t="s">
        <v>74</v>
      </c>
      <c r="SNS5079" s="911"/>
      <c r="SNT5079" s="911"/>
      <c r="SNU5079" s="911"/>
      <c r="SNV5079" s="911"/>
      <c r="SNW5079" s="911"/>
      <c r="SNX5079" s="911"/>
      <c r="SNY5079" s="911"/>
      <c r="SNZ5079" s="911"/>
      <c r="SOA5079" s="912"/>
      <c r="SOC5079" s="913" t="s">
        <v>1</v>
      </c>
      <c r="SOD5079" s="31"/>
      <c r="SOE5079" s="909" t="s">
        <v>0</v>
      </c>
      <c r="SOF5079" s="909"/>
      <c r="SOG5079" s="909"/>
      <c r="SOH5079" s="909"/>
      <c r="SOI5079" s="909"/>
      <c r="SOJ5079" s="909"/>
      <c r="SOK5079" s="907" t="s">
        <v>79</v>
      </c>
      <c r="SOL5079" s="909" t="s">
        <v>68</v>
      </c>
      <c r="SOM5079" s="910" t="s">
        <v>75</v>
      </c>
      <c r="SON5079" s="911"/>
      <c r="SOO5079" s="911"/>
      <c r="SOP5079" s="911"/>
      <c r="SOQ5079" s="911"/>
      <c r="SOR5079" s="911"/>
      <c r="SOS5079" s="911"/>
      <c r="SOT5079" s="911"/>
      <c r="SOU5079" s="911"/>
      <c r="SOV5079" s="911"/>
      <c r="SOW5079" s="32"/>
      <c r="SOX5079" s="911" t="s">
        <v>74</v>
      </c>
      <c r="SOY5079" s="911"/>
      <c r="SOZ5079" s="911"/>
      <c r="SPA5079" s="911"/>
      <c r="SPB5079" s="911"/>
      <c r="SPC5079" s="911"/>
      <c r="SPD5079" s="911"/>
      <c r="SPE5079" s="911"/>
      <c r="SPF5079" s="911"/>
      <c r="SPG5079" s="912"/>
      <c r="SPI5079" s="913" t="s">
        <v>1</v>
      </c>
      <c r="SPJ5079" s="31"/>
      <c r="SPK5079" s="909" t="s">
        <v>0</v>
      </c>
      <c r="SPL5079" s="909"/>
      <c r="SPM5079" s="909"/>
      <c r="SPN5079" s="909"/>
      <c r="SPO5079" s="909"/>
      <c r="SPP5079" s="909"/>
      <c r="SPQ5079" s="907" t="s">
        <v>79</v>
      </c>
      <c r="SPR5079" s="909" t="s">
        <v>68</v>
      </c>
      <c r="SPS5079" s="910" t="s">
        <v>75</v>
      </c>
      <c r="SPT5079" s="911"/>
      <c r="SPU5079" s="911"/>
      <c r="SPV5079" s="911"/>
      <c r="SPW5079" s="911"/>
      <c r="SPX5079" s="911"/>
      <c r="SPY5079" s="911"/>
      <c r="SPZ5079" s="911"/>
      <c r="SQA5079" s="911"/>
      <c r="SQB5079" s="911"/>
      <c r="SQC5079" s="32"/>
      <c r="SQD5079" s="911" t="s">
        <v>74</v>
      </c>
      <c r="SQE5079" s="911"/>
      <c r="SQF5079" s="911"/>
      <c r="SQG5079" s="911"/>
      <c r="SQH5079" s="911"/>
      <c r="SQI5079" s="911"/>
      <c r="SQJ5079" s="911"/>
      <c r="SQK5079" s="911"/>
      <c r="SQL5079" s="911"/>
      <c r="SQM5079" s="912"/>
      <c r="SQO5079" s="913" t="s">
        <v>1</v>
      </c>
      <c r="SQP5079" s="31"/>
      <c r="SQQ5079" s="909" t="s">
        <v>0</v>
      </c>
      <c r="SQR5079" s="909"/>
      <c r="SQS5079" s="909"/>
      <c r="SQT5079" s="909"/>
      <c r="SQU5079" s="909"/>
      <c r="SQV5079" s="909"/>
      <c r="SQW5079" s="907" t="s">
        <v>79</v>
      </c>
      <c r="SQX5079" s="909" t="s">
        <v>68</v>
      </c>
      <c r="SQY5079" s="910" t="s">
        <v>75</v>
      </c>
      <c r="SQZ5079" s="911"/>
      <c r="SRA5079" s="911"/>
      <c r="SRB5079" s="911"/>
      <c r="SRC5079" s="911"/>
      <c r="SRD5079" s="911"/>
      <c r="SRE5079" s="911"/>
      <c r="SRF5079" s="911"/>
      <c r="SRG5079" s="911"/>
      <c r="SRH5079" s="911"/>
      <c r="SRI5079" s="32"/>
      <c r="SRJ5079" s="911" t="s">
        <v>74</v>
      </c>
      <c r="SRK5079" s="911"/>
      <c r="SRL5079" s="911"/>
      <c r="SRM5079" s="911"/>
      <c r="SRN5079" s="911"/>
      <c r="SRO5079" s="911"/>
      <c r="SRP5079" s="911"/>
      <c r="SRQ5079" s="911"/>
      <c r="SRR5079" s="911"/>
      <c r="SRS5079" s="912"/>
      <c r="SRU5079" s="913" t="s">
        <v>1</v>
      </c>
      <c r="SRV5079" s="31"/>
      <c r="SRW5079" s="909" t="s">
        <v>0</v>
      </c>
      <c r="SRX5079" s="909"/>
      <c r="SRY5079" s="909"/>
      <c r="SRZ5079" s="909"/>
      <c r="SSA5079" s="909"/>
      <c r="SSB5079" s="909"/>
      <c r="SSC5079" s="907" t="s">
        <v>79</v>
      </c>
      <c r="SSD5079" s="909" t="s">
        <v>68</v>
      </c>
      <c r="SSE5079" s="910" t="s">
        <v>75</v>
      </c>
      <c r="SSF5079" s="911"/>
      <c r="SSG5079" s="911"/>
      <c r="SSH5079" s="911"/>
      <c r="SSI5079" s="911"/>
      <c r="SSJ5079" s="911"/>
      <c r="SSK5079" s="911"/>
      <c r="SSL5079" s="911"/>
      <c r="SSM5079" s="911"/>
      <c r="SSN5079" s="911"/>
      <c r="SSO5079" s="32"/>
      <c r="SSP5079" s="911" t="s">
        <v>74</v>
      </c>
      <c r="SSQ5079" s="911"/>
      <c r="SSR5079" s="911"/>
      <c r="SSS5079" s="911"/>
      <c r="SST5079" s="911"/>
      <c r="SSU5079" s="911"/>
      <c r="SSV5079" s="911"/>
      <c r="SSW5079" s="911"/>
      <c r="SSX5079" s="911"/>
      <c r="SSY5079" s="912"/>
      <c r="STA5079" s="913" t="s">
        <v>1</v>
      </c>
      <c r="STB5079" s="31"/>
      <c r="STC5079" s="909" t="s">
        <v>0</v>
      </c>
      <c r="STD5079" s="909"/>
      <c r="STE5079" s="909"/>
      <c r="STF5079" s="909"/>
      <c r="STG5079" s="909"/>
      <c r="STH5079" s="909"/>
      <c r="STI5079" s="907" t="s">
        <v>79</v>
      </c>
      <c r="STJ5079" s="909" t="s">
        <v>68</v>
      </c>
      <c r="STK5079" s="910" t="s">
        <v>75</v>
      </c>
      <c r="STL5079" s="911"/>
      <c r="STM5079" s="911"/>
      <c r="STN5079" s="911"/>
      <c r="STO5079" s="911"/>
      <c r="STP5079" s="911"/>
      <c r="STQ5079" s="911"/>
      <c r="STR5079" s="911"/>
      <c r="STS5079" s="911"/>
      <c r="STT5079" s="911"/>
      <c r="STU5079" s="32"/>
      <c r="STV5079" s="911" t="s">
        <v>74</v>
      </c>
      <c r="STW5079" s="911"/>
      <c r="STX5079" s="911"/>
      <c r="STY5079" s="911"/>
      <c r="STZ5079" s="911"/>
      <c r="SUA5079" s="911"/>
      <c r="SUB5079" s="911"/>
      <c r="SUC5079" s="911"/>
      <c r="SUD5079" s="911"/>
      <c r="SUE5079" s="912"/>
      <c r="SUG5079" s="913" t="s">
        <v>1</v>
      </c>
      <c r="SUH5079" s="31"/>
      <c r="SUI5079" s="909" t="s">
        <v>0</v>
      </c>
      <c r="SUJ5079" s="909"/>
      <c r="SUK5079" s="909"/>
      <c r="SUL5079" s="909"/>
      <c r="SUM5079" s="909"/>
      <c r="SUN5079" s="909"/>
      <c r="SUO5079" s="907" t="s">
        <v>79</v>
      </c>
      <c r="SUP5079" s="909" t="s">
        <v>68</v>
      </c>
      <c r="SUQ5079" s="910" t="s">
        <v>75</v>
      </c>
      <c r="SUR5079" s="911"/>
      <c r="SUS5079" s="911"/>
      <c r="SUT5079" s="911"/>
      <c r="SUU5079" s="911"/>
      <c r="SUV5079" s="911"/>
      <c r="SUW5079" s="911"/>
      <c r="SUX5079" s="911"/>
      <c r="SUY5079" s="911"/>
      <c r="SUZ5079" s="911"/>
      <c r="SVA5079" s="32"/>
      <c r="SVB5079" s="911" t="s">
        <v>74</v>
      </c>
      <c r="SVC5079" s="911"/>
      <c r="SVD5079" s="911"/>
      <c r="SVE5079" s="911"/>
      <c r="SVF5079" s="911"/>
      <c r="SVG5079" s="911"/>
      <c r="SVH5079" s="911"/>
      <c r="SVI5079" s="911"/>
      <c r="SVJ5079" s="911"/>
      <c r="SVK5079" s="912"/>
      <c r="SVM5079" s="913" t="s">
        <v>1</v>
      </c>
      <c r="SVN5079" s="31"/>
      <c r="SVO5079" s="909" t="s">
        <v>0</v>
      </c>
      <c r="SVP5079" s="909"/>
      <c r="SVQ5079" s="909"/>
      <c r="SVR5079" s="909"/>
      <c r="SVS5079" s="909"/>
      <c r="SVT5079" s="909"/>
      <c r="SVU5079" s="907" t="s">
        <v>79</v>
      </c>
      <c r="SVV5079" s="909" t="s">
        <v>68</v>
      </c>
      <c r="SVW5079" s="910" t="s">
        <v>75</v>
      </c>
      <c r="SVX5079" s="911"/>
      <c r="SVY5079" s="911"/>
      <c r="SVZ5079" s="911"/>
      <c r="SWA5079" s="911"/>
      <c r="SWB5079" s="911"/>
      <c r="SWC5079" s="911"/>
      <c r="SWD5079" s="911"/>
      <c r="SWE5079" s="911"/>
      <c r="SWF5079" s="911"/>
      <c r="SWG5079" s="32"/>
      <c r="SWH5079" s="911" t="s">
        <v>74</v>
      </c>
      <c r="SWI5079" s="911"/>
      <c r="SWJ5079" s="911"/>
      <c r="SWK5079" s="911"/>
      <c r="SWL5079" s="911"/>
      <c r="SWM5079" s="911"/>
      <c r="SWN5079" s="911"/>
      <c r="SWO5079" s="911"/>
      <c r="SWP5079" s="911"/>
      <c r="SWQ5079" s="912"/>
      <c r="SWS5079" s="913" t="s">
        <v>1</v>
      </c>
      <c r="SWT5079" s="31"/>
      <c r="SWU5079" s="909" t="s">
        <v>0</v>
      </c>
      <c r="SWV5079" s="909"/>
      <c r="SWW5079" s="909"/>
      <c r="SWX5079" s="909"/>
      <c r="SWY5079" s="909"/>
      <c r="SWZ5079" s="909"/>
      <c r="SXA5079" s="907" t="s">
        <v>79</v>
      </c>
      <c r="SXB5079" s="909" t="s">
        <v>68</v>
      </c>
      <c r="SXC5079" s="910" t="s">
        <v>75</v>
      </c>
      <c r="SXD5079" s="911"/>
      <c r="SXE5079" s="911"/>
      <c r="SXF5079" s="911"/>
      <c r="SXG5079" s="911"/>
      <c r="SXH5079" s="911"/>
      <c r="SXI5079" s="911"/>
      <c r="SXJ5079" s="911"/>
      <c r="SXK5079" s="911"/>
      <c r="SXL5079" s="911"/>
      <c r="SXM5079" s="32"/>
      <c r="SXN5079" s="911" t="s">
        <v>74</v>
      </c>
      <c r="SXO5079" s="911"/>
      <c r="SXP5079" s="911"/>
      <c r="SXQ5079" s="911"/>
      <c r="SXR5079" s="911"/>
      <c r="SXS5079" s="911"/>
      <c r="SXT5079" s="911"/>
      <c r="SXU5079" s="911"/>
      <c r="SXV5079" s="911"/>
      <c r="SXW5079" s="912"/>
      <c r="SXY5079" s="913" t="s">
        <v>1</v>
      </c>
      <c r="SXZ5079" s="31"/>
      <c r="SYA5079" s="909" t="s">
        <v>0</v>
      </c>
      <c r="SYB5079" s="909"/>
      <c r="SYC5079" s="909"/>
      <c r="SYD5079" s="909"/>
      <c r="SYE5079" s="909"/>
      <c r="SYF5079" s="909"/>
      <c r="SYG5079" s="907" t="s">
        <v>79</v>
      </c>
      <c r="SYH5079" s="909" t="s">
        <v>68</v>
      </c>
      <c r="SYI5079" s="910" t="s">
        <v>75</v>
      </c>
      <c r="SYJ5079" s="911"/>
      <c r="SYK5079" s="911"/>
      <c r="SYL5079" s="911"/>
      <c r="SYM5079" s="911"/>
      <c r="SYN5079" s="911"/>
      <c r="SYO5079" s="911"/>
      <c r="SYP5079" s="911"/>
      <c r="SYQ5079" s="911"/>
      <c r="SYR5079" s="911"/>
      <c r="SYS5079" s="32"/>
      <c r="SYT5079" s="911" t="s">
        <v>74</v>
      </c>
      <c r="SYU5079" s="911"/>
      <c r="SYV5079" s="911"/>
      <c r="SYW5079" s="911"/>
      <c r="SYX5079" s="911"/>
      <c r="SYY5079" s="911"/>
      <c r="SYZ5079" s="911"/>
      <c r="SZA5079" s="911"/>
      <c r="SZB5079" s="911"/>
      <c r="SZC5079" s="912"/>
      <c r="SZE5079" s="913" t="s">
        <v>1</v>
      </c>
      <c r="SZF5079" s="31"/>
      <c r="SZG5079" s="909" t="s">
        <v>0</v>
      </c>
      <c r="SZH5079" s="909"/>
      <c r="SZI5079" s="909"/>
      <c r="SZJ5079" s="909"/>
      <c r="SZK5079" s="909"/>
      <c r="SZL5079" s="909"/>
      <c r="SZM5079" s="907" t="s">
        <v>79</v>
      </c>
      <c r="SZN5079" s="909" t="s">
        <v>68</v>
      </c>
      <c r="SZO5079" s="910" t="s">
        <v>75</v>
      </c>
      <c r="SZP5079" s="911"/>
      <c r="SZQ5079" s="911"/>
      <c r="SZR5079" s="911"/>
      <c r="SZS5079" s="911"/>
      <c r="SZT5079" s="911"/>
      <c r="SZU5079" s="911"/>
      <c r="SZV5079" s="911"/>
      <c r="SZW5079" s="911"/>
      <c r="SZX5079" s="911"/>
      <c r="SZY5079" s="32"/>
      <c r="SZZ5079" s="911" t="s">
        <v>74</v>
      </c>
      <c r="TAA5079" s="911"/>
      <c r="TAB5079" s="911"/>
      <c r="TAC5079" s="911"/>
      <c r="TAD5079" s="911"/>
      <c r="TAE5079" s="911"/>
      <c r="TAF5079" s="911"/>
      <c r="TAG5079" s="911"/>
      <c r="TAH5079" s="911"/>
      <c r="TAI5079" s="912"/>
      <c r="TAK5079" s="913" t="s">
        <v>1</v>
      </c>
      <c r="TAL5079" s="31"/>
      <c r="TAM5079" s="909" t="s">
        <v>0</v>
      </c>
      <c r="TAN5079" s="909"/>
      <c r="TAO5079" s="909"/>
      <c r="TAP5079" s="909"/>
      <c r="TAQ5079" s="909"/>
      <c r="TAR5079" s="909"/>
      <c r="TAS5079" s="907" t="s">
        <v>79</v>
      </c>
      <c r="TAT5079" s="909" t="s">
        <v>68</v>
      </c>
      <c r="TAU5079" s="910" t="s">
        <v>75</v>
      </c>
      <c r="TAV5079" s="911"/>
      <c r="TAW5079" s="911"/>
      <c r="TAX5079" s="911"/>
      <c r="TAY5079" s="911"/>
      <c r="TAZ5079" s="911"/>
      <c r="TBA5079" s="911"/>
      <c r="TBB5079" s="911"/>
      <c r="TBC5079" s="911"/>
      <c r="TBD5079" s="911"/>
      <c r="TBE5079" s="32"/>
      <c r="TBF5079" s="911" t="s">
        <v>74</v>
      </c>
      <c r="TBG5079" s="911"/>
      <c r="TBH5079" s="911"/>
      <c r="TBI5079" s="911"/>
      <c r="TBJ5079" s="911"/>
      <c r="TBK5079" s="911"/>
      <c r="TBL5079" s="911"/>
      <c r="TBM5079" s="911"/>
      <c r="TBN5079" s="911"/>
      <c r="TBO5079" s="912"/>
      <c r="TBQ5079" s="913" t="s">
        <v>1</v>
      </c>
      <c r="TBR5079" s="31"/>
      <c r="TBS5079" s="909" t="s">
        <v>0</v>
      </c>
      <c r="TBT5079" s="909"/>
      <c r="TBU5079" s="909"/>
      <c r="TBV5079" s="909"/>
      <c r="TBW5079" s="909"/>
      <c r="TBX5079" s="909"/>
      <c r="TBY5079" s="907" t="s">
        <v>79</v>
      </c>
      <c r="TBZ5079" s="909" t="s">
        <v>68</v>
      </c>
      <c r="TCA5079" s="910" t="s">
        <v>75</v>
      </c>
      <c r="TCB5079" s="911"/>
      <c r="TCC5079" s="911"/>
      <c r="TCD5079" s="911"/>
      <c r="TCE5079" s="911"/>
      <c r="TCF5079" s="911"/>
      <c r="TCG5079" s="911"/>
      <c r="TCH5079" s="911"/>
      <c r="TCI5079" s="911"/>
      <c r="TCJ5079" s="911"/>
      <c r="TCK5079" s="32"/>
      <c r="TCL5079" s="911" t="s">
        <v>74</v>
      </c>
      <c r="TCM5079" s="911"/>
      <c r="TCN5079" s="911"/>
      <c r="TCO5079" s="911"/>
      <c r="TCP5079" s="911"/>
      <c r="TCQ5079" s="911"/>
      <c r="TCR5079" s="911"/>
      <c r="TCS5079" s="911"/>
      <c r="TCT5079" s="911"/>
      <c r="TCU5079" s="912"/>
      <c r="TCW5079" s="913" t="s">
        <v>1</v>
      </c>
      <c r="TCX5079" s="31"/>
      <c r="TCY5079" s="909" t="s">
        <v>0</v>
      </c>
      <c r="TCZ5079" s="909"/>
      <c r="TDA5079" s="909"/>
      <c r="TDB5079" s="909"/>
      <c r="TDC5079" s="909"/>
      <c r="TDD5079" s="909"/>
      <c r="TDE5079" s="907" t="s">
        <v>79</v>
      </c>
      <c r="TDF5079" s="909" t="s">
        <v>68</v>
      </c>
      <c r="TDG5079" s="910" t="s">
        <v>75</v>
      </c>
      <c r="TDH5079" s="911"/>
      <c r="TDI5079" s="911"/>
      <c r="TDJ5079" s="911"/>
      <c r="TDK5079" s="911"/>
      <c r="TDL5079" s="911"/>
      <c r="TDM5079" s="911"/>
      <c r="TDN5079" s="911"/>
      <c r="TDO5079" s="911"/>
      <c r="TDP5079" s="911"/>
      <c r="TDQ5079" s="32"/>
      <c r="TDR5079" s="911" t="s">
        <v>74</v>
      </c>
      <c r="TDS5079" s="911"/>
      <c r="TDT5079" s="911"/>
      <c r="TDU5079" s="911"/>
      <c r="TDV5079" s="911"/>
      <c r="TDW5079" s="911"/>
      <c r="TDX5079" s="911"/>
      <c r="TDY5079" s="911"/>
      <c r="TDZ5079" s="911"/>
      <c r="TEA5079" s="912"/>
      <c r="TEC5079" s="913" t="s">
        <v>1</v>
      </c>
      <c r="TED5079" s="31"/>
      <c r="TEE5079" s="909" t="s">
        <v>0</v>
      </c>
      <c r="TEF5079" s="909"/>
      <c r="TEG5079" s="909"/>
      <c r="TEH5079" s="909"/>
      <c r="TEI5079" s="909"/>
      <c r="TEJ5079" s="909"/>
      <c r="TEK5079" s="907" t="s">
        <v>79</v>
      </c>
      <c r="TEL5079" s="909" t="s">
        <v>68</v>
      </c>
      <c r="TEM5079" s="910" t="s">
        <v>75</v>
      </c>
      <c r="TEN5079" s="911"/>
      <c r="TEO5079" s="911"/>
      <c r="TEP5079" s="911"/>
      <c r="TEQ5079" s="911"/>
      <c r="TER5079" s="911"/>
      <c r="TES5079" s="911"/>
      <c r="TET5079" s="911"/>
      <c r="TEU5079" s="911"/>
      <c r="TEV5079" s="911"/>
      <c r="TEW5079" s="32"/>
      <c r="TEX5079" s="911" t="s">
        <v>74</v>
      </c>
      <c r="TEY5079" s="911"/>
      <c r="TEZ5079" s="911"/>
      <c r="TFA5079" s="911"/>
      <c r="TFB5079" s="911"/>
      <c r="TFC5079" s="911"/>
      <c r="TFD5079" s="911"/>
      <c r="TFE5079" s="911"/>
      <c r="TFF5079" s="911"/>
      <c r="TFG5079" s="912"/>
      <c r="TFI5079" s="913" t="s">
        <v>1</v>
      </c>
      <c r="TFJ5079" s="31"/>
      <c r="TFK5079" s="909" t="s">
        <v>0</v>
      </c>
      <c r="TFL5079" s="909"/>
      <c r="TFM5079" s="909"/>
      <c r="TFN5079" s="909"/>
      <c r="TFO5079" s="909"/>
      <c r="TFP5079" s="909"/>
      <c r="TFQ5079" s="907" t="s">
        <v>79</v>
      </c>
      <c r="TFR5079" s="909" t="s">
        <v>68</v>
      </c>
      <c r="TFS5079" s="910" t="s">
        <v>75</v>
      </c>
      <c r="TFT5079" s="911"/>
      <c r="TFU5079" s="911"/>
      <c r="TFV5079" s="911"/>
      <c r="TFW5079" s="911"/>
      <c r="TFX5079" s="911"/>
      <c r="TFY5079" s="911"/>
      <c r="TFZ5079" s="911"/>
      <c r="TGA5079" s="911"/>
      <c r="TGB5079" s="911"/>
      <c r="TGC5079" s="32"/>
      <c r="TGD5079" s="911" t="s">
        <v>74</v>
      </c>
      <c r="TGE5079" s="911"/>
      <c r="TGF5079" s="911"/>
      <c r="TGG5079" s="911"/>
      <c r="TGH5079" s="911"/>
      <c r="TGI5079" s="911"/>
      <c r="TGJ5079" s="911"/>
      <c r="TGK5079" s="911"/>
      <c r="TGL5079" s="911"/>
      <c r="TGM5079" s="912"/>
      <c r="TGO5079" s="913" t="s">
        <v>1</v>
      </c>
      <c r="TGP5079" s="31"/>
      <c r="TGQ5079" s="909" t="s">
        <v>0</v>
      </c>
      <c r="TGR5079" s="909"/>
      <c r="TGS5079" s="909"/>
      <c r="TGT5079" s="909"/>
      <c r="TGU5079" s="909"/>
      <c r="TGV5079" s="909"/>
      <c r="TGW5079" s="907" t="s">
        <v>79</v>
      </c>
      <c r="TGX5079" s="909" t="s">
        <v>68</v>
      </c>
      <c r="TGY5079" s="910" t="s">
        <v>75</v>
      </c>
      <c r="TGZ5079" s="911"/>
      <c r="THA5079" s="911"/>
      <c r="THB5079" s="911"/>
      <c r="THC5079" s="911"/>
      <c r="THD5079" s="911"/>
      <c r="THE5079" s="911"/>
      <c r="THF5079" s="911"/>
      <c r="THG5079" s="911"/>
      <c r="THH5079" s="911"/>
      <c r="THI5079" s="32"/>
      <c r="THJ5079" s="911" t="s">
        <v>74</v>
      </c>
      <c r="THK5079" s="911"/>
      <c r="THL5079" s="911"/>
      <c r="THM5079" s="911"/>
      <c r="THN5079" s="911"/>
      <c r="THO5079" s="911"/>
      <c r="THP5079" s="911"/>
      <c r="THQ5079" s="911"/>
      <c r="THR5079" s="911"/>
      <c r="THS5079" s="912"/>
      <c r="THU5079" s="913" t="s">
        <v>1</v>
      </c>
      <c r="THV5079" s="31"/>
      <c r="THW5079" s="909" t="s">
        <v>0</v>
      </c>
      <c r="THX5079" s="909"/>
      <c r="THY5079" s="909"/>
      <c r="THZ5079" s="909"/>
      <c r="TIA5079" s="909"/>
      <c r="TIB5079" s="909"/>
      <c r="TIC5079" s="907" t="s">
        <v>79</v>
      </c>
      <c r="TID5079" s="909" t="s">
        <v>68</v>
      </c>
      <c r="TIE5079" s="910" t="s">
        <v>75</v>
      </c>
      <c r="TIF5079" s="911"/>
      <c r="TIG5079" s="911"/>
      <c r="TIH5079" s="911"/>
      <c r="TII5079" s="911"/>
      <c r="TIJ5079" s="911"/>
      <c r="TIK5079" s="911"/>
      <c r="TIL5079" s="911"/>
      <c r="TIM5079" s="911"/>
      <c r="TIN5079" s="911"/>
      <c r="TIO5079" s="32"/>
      <c r="TIP5079" s="911" t="s">
        <v>74</v>
      </c>
      <c r="TIQ5079" s="911"/>
      <c r="TIR5079" s="911"/>
      <c r="TIS5079" s="911"/>
      <c r="TIT5079" s="911"/>
      <c r="TIU5079" s="911"/>
      <c r="TIV5079" s="911"/>
      <c r="TIW5079" s="911"/>
      <c r="TIX5079" s="911"/>
      <c r="TIY5079" s="912"/>
      <c r="TJA5079" s="913" t="s">
        <v>1</v>
      </c>
      <c r="TJB5079" s="31"/>
      <c r="TJC5079" s="909" t="s">
        <v>0</v>
      </c>
      <c r="TJD5079" s="909"/>
      <c r="TJE5079" s="909"/>
      <c r="TJF5079" s="909"/>
      <c r="TJG5079" s="909"/>
      <c r="TJH5079" s="909"/>
      <c r="TJI5079" s="907" t="s">
        <v>79</v>
      </c>
      <c r="TJJ5079" s="909" t="s">
        <v>68</v>
      </c>
      <c r="TJK5079" s="910" t="s">
        <v>75</v>
      </c>
      <c r="TJL5079" s="911"/>
      <c r="TJM5079" s="911"/>
      <c r="TJN5079" s="911"/>
      <c r="TJO5079" s="911"/>
      <c r="TJP5079" s="911"/>
      <c r="TJQ5079" s="911"/>
      <c r="TJR5079" s="911"/>
      <c r="TJS5079" s="911"/>
      <c r="TJT5079" s="911"/>
      <c r="TJU5079" s="32"/>
      <c r="TJV5079" s="911" t="s">
        <v>74</v>
      </c>
      <c r="TJW5079" s="911"/>
      <c r="TJX5079" s="911"/>
      <c r="TJY5079" s="911"/>
      <c r="TJZ5079" s="911"/>
      <c r="TKA5079" s="911"/>
      <c r="TKB5079" s="911"/>
      <c r="TKC5079" s="911"/>
      <c r="TKD5079" s="911"/>
      <c r="TKE5079" s="912"/>
      <c r="TKG5079" s="913" t="s">
        <v>1</v>
      </c>
      <c r="TKH5079" s="31"/>
      <c r="TKI5079" s="909" t="s">
        <v>0</v>
      </c>
      <c r="TKJ5079" s="909"/>
      <c r="TKK5079" s="909"/>
      <c r="TKL5079" s="909"/>
      <c r="TKM5079" s="909"/>
      <c r="TKN5079" s="909"/>
      <c r="TKO5079" s="907" t="s">
        <v>79</v>
      </c>
      <c r="TKP5079" s="909" t="s">
        <v>68</v>
      </c>
      <c r="TKQ5079" s="910" t="s">
        <v>75</v>
      </c>
      <c r="TKR5079" s="911"/>
      <c r="TKS5079" s="911"/>
      <c r="TKT5079" s="911"/>
      <c r="TKU5079" s="911"/>
      <c r="TKV5079" s="911"/>
      <c r="TKW5079" s="911"/>
      <c r="TKX5079" s="911"/>
      <c r="TKY5079" s="911"/>
      <c r="TKZ5079" s="911"/>
      <c r="TLA5079" s="32"/>
      <c r="TLB5079" s="911" t="s">
        <v>74</v>
      </c>
      <c r="TLC5079" s="911"/>
      <c r="TLD5079" s="911"/>
      <c r="TLE5079" s="911"/>
      <c r="TLF5079" s="911"/>
      <c r="TLG5079" s="911"/>
      <c r="TLH5079" s="911"/>
      <c r="TLI5079" s="911"/>
      <c r="TLJ5079" s="911"/>
      <c r="TLK5079" s="912"/>
      <c r="TLM5079" s="913" t="s">
        <v>1</v>
      </c>
      <c r="TLN5079" s="31"/>
      <c r="TLO5079" s="909" t="s">
        <v>0</v>
      </c>
      <c r="TLP5079" s="909"/>
      <c r="TLQ5079" s="909"/>
      <c r="TLR5079" s="909"/>
      <c r="TLS5079" s="909"/>
      <c r="TLT5079" s="909"/>
      <c r="TLU5079" s="907" t="s">
        <v>79</v>
      </c>
      <c r="TLV5079" s="909" t="s">
        <v>68</v>
      </c>
      <c r="TLW5079" s="910" t="s">
        <v>75</v>
      </c>
      <c r="TLX5079" s="911"/>
      <c r="TLY5079" s="911"/>
      <c r="TLZ5079" s="911"/>
      <c r="TMA5079" s="911"/>
      <c r="TMB5079" s="911"/>
      <c r="TMC5079" s="911"/>
      <c r="TMD5079" s="911"/>
      <c r="TME5079" s="911"/>
      <c r="TMF5079" s="911"/>
      <c r="TMG5079" s="32"/>
      <c r="TMH5079" s="911" t="s">
        <v>74</v>
      </c>
      <c r="TMI5079" s="911"/>
      <c r="TMJ5079" s="911"/>
      <c r="TMK5079" s="911"/>
      <c r="TML5079" s="911"/>
      <c r="TMM5079" s="911"/>
      <c r="TMN5079" s="911"/>
      <c r="TMO5079" s="911"/>
      <c r="TMP5079" s="911"/>
      <c r="TMQ5079" s="912"/>
      <c r="TMS5079" s="913" t="s">
        <v>1</v>
      </c>
      <c r="TMT5079" s="31"/>
      <c r="TMU5079" s="909" t="s">
        <v>0</v>
      </c>
      <c r="TMV5079" s="909"/>
      <c r="TMW5079" s="909"/>
      <c r="TMX5079" s="909"/>
      <c r="TMY5079" s="909"/>
      <c r="TMZ5079" s="909"/>
      <c r="TNA5079" s="907" t="s">
        <v>79</v>
      </c>
      <c r="TNB5079" s="909" t="s">
        <v>68</v>
      </c>
      <c r="TNC5079" s="910" t="s">
        <v>75</v>
      </c>
      <c r="TND5079" s="911"/>
      <c r="TNE5079" s="911"/>
      <c r="TNF5079" s="911"/>
      <c r="TNG5079" s="911"/>
      <c r="TNH5079" s="911"/>
      <c r="TNI5079" s="911"/>
      <c r="TNJ5079" s="911"/>
      <c r="TNK5079" s="911"/>
      <c r="TNL5079" s="911"/>
      <c r="TNM5079" s="32"/>
      <c r="TNN5079" s="911" t="s">
        <v>74</v>
      </c>
      <c r="TNO5079" s="911"/>
      <c r="TNP5079" s="911"/>
      <c r="TNQ5079" s="911"/>
      <c r="TNR5079" s="911"/>
      <c r="TNS5079" s="911"/>
      <c r="TNT5079" s="911"/>
      <c r="TNU5079" s="911"/>
      <c r="TNV5079" s="911"/>
      <c r="TNW5079" s="912"/>
      <c r="TNY5079" s="913" t="s">
        <v>1</v>
      </c>
      <c r="TNZ5079" s="31"/>
      <c r="TOA5079" s="909" t="s">
        <v>0</v>
      </c>
      <c r="TOB5079" s="909"/>
      <c r="TOC5079" s="909"/>
      <c r="TOD5079" s="909"/>
      <c r="TOE5079" s="909"/>
      <c r="TOF5079" s="909"/>
      <c r="TOG5079" s="907" t="s">
        <v>79</v>
      </c>
      <c r="TOH5079" s="909" t="s">
        <v>68</v>
      </c>
      <c r="TOI5079" s="910" t="s">
        <v>75</v>
      </c>
      <c r="TOJ5079" s="911"/>
      <c r="TOK5079" s="911"/>
      <c r="TOL5079" s="911"/>
      <c r="TOM5079" s="911"/>
      <c r="TON5079" s="911"/>
      <c r="TOO5079" s="911"/>
      <c r="TOP5079" s="911"/>
      <c r="TOQ5079" s="911"/>
      <c r="TOR5079" s="911"/>
      <c r="TOS5079" s="32"/>
      <c r="TOT5079" s="911" t="s">
        <v>74</v>
      </c>
      <c r="TOU5079" s="911"/>
      <c r="TOV5079" s="911"/>
      <c r="TOW5079" s="911"/>
      <c r="TOX5079" s="911"/>
      <c r="TOY5079" s="911"/>
      <c r="TOZ5079" s="911"/>
      <c r="TPA5079" s="911"/>
      <c r="TPB5079" s="911"/>
      <c r="TPC5079" s="912"/>
      <c r="TPE5079" s="913" t="s">
        <v>1</v>
      </c>
      <c r="TPF5079" s="31"/>
      <c r="TPG5079" s="909" t="s">
        <v>0</v>
      </c>
      <c r="TPH5079" s="909"/>
      <c r="TPI5079" s="909"/>
      <c r="TPJ5079" s="909"/>
      <c r="TPK5079" s="909"/>
      <c r="TPL5079" s="909"/>
      <c r="TPM5079" s="907" t="s">
        <v>79</v>
      </c>
      <c r="TPN5079" s="909" t="s">
        <v>68</v>
      </c>
      <c r="TPO5079" s="910" t="s">
        <v>75</v>
      </c>
      <c r="TPP5079" s="911"/>
      <c r="TPQ5079" s="911"/>
      <c r="TPR5079" s="911"/>
      <c r="TPS5079" s="911"/>
      <c r="TPT5079" s="911"/>
      <c r="TPU5079" s="911"/>
      <c r="TPV5079" s="911"/>
      <c r="TPW5079" s="911"/>
      <c r="TPX5079" s="911"/>
      <c r="TPY5079" s="32"/>
      <c r="TPZ5079" s="911" t="s">
        <v>74</v>
      </c>
      <c r="TQA5079" s="911"/>
      <c r="TQB5079" s="911"/>
      <c r="TQC5079" s="911"/>
      <c r="TQD5079" s="911"/>
      <c r="TQE5079" s="911"/>
      <c r="TQF5079" s="911"/>
      <c r="TQG5079" s="911"/>
      <c r="TQH5079" s="911"/>
      <c r="TQI5079" s="912"/>
      <c r="TQK5079" s="913" t="s">
        <v>1</v>
      </c>
      <c r="TQL5079" s="31"/>
      <c r="TQM5079" s="909" t="s">
        <v>0</v>
      </c>
      <c r="TQN5079" s="909"/>
      <c r="TQO5079" s="909"/>
      <c r="TQP5079" s="909"/>
      <c r="TQQ5079" s="909"/>
      <c r="TQR5079" s="909"/>
      <c r="TQS5079" s="907" t="s">
        <v>79</v>
      </c>
      <c r="TQT5079" s="909" t="s">
        <v>68</v>
      </c>
      <c r="TQU5079" s="910" t="s">
        <v>75</v>
      </c>
      <c r="TQV5079" s="911"/>
      <c r="TQW5079" s="911"/>
      <c r="TQX5079" s="911"/>
      <c r="TQY5079" s="911"/>
      <c r="TQZ5079" s="911"/>
      <c r="TRA5079" s="911"/>
      <c r="TRB5079" s="911"/>
      <c r="TRC5079" s="911"/>
      <c r="TRD5079" s="911"/>
      <c r="TRE5079" s="32"/>
      <c r="TRF5079" s="911" t="s">
        <v>74</v>
      </c>
      <c r="TRG5079" s="911"/>
      <c r="TRH5079" s="911"/>
      <c r="TRI5079" s="911"/>
      <c r="TRJ5079" s="911"/>
      <c r="TRK5079" s="911"/>
      <c r="TRL5079" s="911"/>
      <c r="TRM5079" s="911"/>
      <c r="TRN5079" s="911"/>
      <c r="TRO5079" s="912"/>
      <c r="TRQ5079" s="913" t="s">
        <v>1</v>
      </c>
      <c r="TRR5079" s="31"/>
      <c r="TRS5079" s="909" t="s">
        <v>0</v>
      </c>
      <c r="TRT5079" s="909"/>
      <c r="TRU5079" s="909"/>
      <c r="TRV5079" s="909"/>
      <c r="TRW5079" s="909"/>
      <c r="TRX5079" s="909"/>
      <c r="TRY5079" s="907" t="s">
        <v>79</v>
      </c>
      <c r="TRZ5079" s="909" t="s">
        <v>68</v>
      </c>
      <c r="TSA5079" s="910" t="s">
        <v>75</v>
      </c>
      <c r="TSB5079" s="911"/>
      <c r="TSC5079" s="911"/>
      <c r="TSD5079" s="911"/>
      <c r="TSE5079" s="911"/>
      <c r="TSF5079" s="911"/>
      <c r="TSG5079" s="911"/>
      <c r="TSH5079" s="911"/>
      <c r="TSI5079" s="911"/>
      <c r="TSJ5079" s="911"/>
      <c r="TSK5079" s="32"/>
      <c r="TSL5079" s="911" t="s">
        <v>74</v>
      </c>
      <c r="TSM5079" s="911"/>
      <c r="TSN5079" s="911"/>
      <c r="TSO5079" s="911"/>
      <c r="TSP5079" s="911"/>
      <c r="TSQ5079" s="911"/>
      <c r="TSR5079" s="911"/>
      <c r="TSS5079" s="911"/>
      <c r="TST5079" s="911"/>
      <c r="TSU5079" s="912"/>
      <c r="TSW5079" s="913" t="s">
        <v>1</v>
      </c>
      <c r="TSX5079" s="31"/>
      <c r="TSY5079" s="909" t="s">
        <v>0</v>
      </c>
      <c r="TSZ5079" s="909"/>
      <c r="TTA5079" s="909"/>
      <c r="TTB5079" s="909"/>
      <c r="TTC5079" s="909"/>
      <c r="TTD5079" s="909"/>
      <c r="TTE5079" s="907" t="s">
        <v>79</v>
      </c>
      <c r="TTF5079" s="909" t="s">
        <v>68</v>
      </c>
      <c r="TTG5079" s="910" t="s">
        <v>75</v>
      </c>
      <c r="TTH5079" s="911"/>
      <c r="TTI5079" s="911"/>
      <c r="TTJ5079" s="911"/>
      <c r="TTK5079" s="911"/>
      <c r="TTL5079" s="911"/>
      <c r="TTM5079" s="911"/>
      <c r="TTN5079" s="911"/>
      <c r="TTO5079" s="911"/>
      <c r="TTP5079" s="911"/>
      <c r="TTQ5079" s="32"/>
      <c r="TTR5079" s="911" t="s">
        <v>74</v>
      </c>
      <c r="TTS5079" s="911"/>
      <c r="TTT5079" s="911"/>
      <c r="TTU5079" s="911"/>
      <c r="TTV5079" s="911"/>
      <c r="TTW5079" s="911"/>
      <c r="TTX5079" s="911"/>
      <c r="TTY5079" s="911"/>
      <c r="TTZ5079" s="911"/>
      <c r="TUA5079" s="912"/>
      <c r="TUC5079" s="913" t="s">
        <v>1</v>
      </c>
      <c r="TUD5079" s="31"/>
      <c r="TUE5079" s="909" t="s">
        <v>0</v>
      </c>
      <c r="TUF5079" s="909"/>
      <c r="TUG5079" s="909"/>
      <c r="TUH5079" s="909"/>
      <c r="TUI5079" s="909"/>
      <c r="TUJ5079" s="909"/>
      <c r="TUK5079" s="907" t="s">
        <v>79</v>
      </c>
      <c r="TUL5079" s="909" t="s">
        <v>68</v>
      </c>
      <c r="TUM5079" s="910" t="s">
        <v>75</v>
      </c>
      <c r="TUN5079" s="911"/>
      <c r="TUO5079" s="911"/>
      <c r="TUP5079" s="911"/>
      <c r="TUQ5079" s="911"/>
      <c r="TUR5079" s="911"/>
      <c r="TUS5079" s="911"/>
      <c r="TUT5079" s="911"/>
      <c r="TUU5079" s="911"/>
      <c r="TUV5079" s="911"/>
      <c r="TUW5079" s="32"/>
      <c r="TUX5079" s="911" t="s">
        <v>74</v>
      </c>
      <c r="TUY5079" s="911"/>
      <c r="TUZ5079" s="911"/>
      <c r="TVA5079" s="911"/>
      <c r="TVB5079" s="911"/>
      <c r="TVC5079" s="911"/>
      <c r="TVD5079" s="911"/>
      <c r="TVE5079" s="911"/>
      <c r="TVF5079" s="911"/>
      <c r="TVG5079" s="912"/>
      <c r="TVI5079" s="913" t="s">
        <v>1</v>
      </c>
      <c r="TVJ5079" s="31"/>
      <c r="TVK5079" s="909" t="s">
        <v>0</v>
      </c>
      <c r="TVL5079" s="909"/>
      <c r="TVM5079" s="909"/>
      <c r="TVN5079" s="909"/>
      <c r="TVO5079" s="909"/>
      <c r="TVP5079" s="909"/>
      <c r="TVQ5079" s="907" t="s">
        <v>79</v>
      </c>
      <c r="TVR5079" s="909" t="s">
        <v>68</v>
      </c>
      <c r="TVS5079" s="910" t="s">
        <v>75</v>
      </c>
      <c r="TVT5079" s="911"/>
      <c r="TVU5079" s="911"/>
      <c r="TVV5079" s="911"/>
      <c r="TVW5079" s="911"/>
      <c r="TVX5079" s="911"/>
      <c r="TVY5079" s="911"/>
      <c r="TVZ5079" s="911"/>
      <c r="TWA5079" s="911"/>
      <c r="TWB5079" s="911"/>
      <c r="TWC5079" s="32"/>
      <c r="TWD5079" s="911" t="s">
        <v>74</v>
      </c>
      <c r="TWE5079" s="911"/>
      <c r="TWF5079" s="911"/>
      <c r="TWG5079" s="911"/>
      <c r="TWH5079" s="911"/>
      <c r="TWI5079" s="911"/>
      <c r="TWJ5079" s="911"/>
      <c r="TWK5079" s="911"/>
      <c r="TWL5079" s="911"/>
      <c r="TWM5079" s="912"/>
      <c r="TWO5079" s="913" t="s">
        <v>1</v>
      </c>
      <c r="TWP5079" s="31"/>
      <c r="TWQ5079" s="909" t="s">
        <v>0</v>
      </c>
      <c r="TWR5079" s="909"/>
      <c r="TWS5079" s="909"/>
      <c r="TWT5079" s="909"/>
      <c r="TWU5079" s="909"/>
      <c r="TWV5079" s="909"/>
      <c r="TWW5079" s="907" t="s">
        <v>79</v>
      </c>
      <c r="TWX5079" s="909" t="s">
        <v>68</v>
      </c>
      <c r="TWY5079" s="910" t="s">
        <v>75</v>
      </c>
      <c r="TWZ5079" s="911"/>
      <c r="TXA5079" s="911"/>
      <c r="TXB5079" s="911"/>
      <c r="TXC5079" s="911"/>
      <c r="TXD5079" s="911"/>
      <c r="TXE5079" s="911"/>
      <c r="TXF5079" s="911"/>
      <c r="TXG5079" s="911"/>
      <c r="TXH5079" s="911"/>
      <c r="TXI5079" s="32"/>
      <c r="TXJ5079" s="911" t="s">
        <v>74</v>
      </c>
      <c r="TXK5079" s="911"/>
      <c r="TXL5079" s="911"/>
      <c r="TXM5079" s="911"/>
      <c r="TXN5079" s="911"/>
      <c r="TXO5079" s="911"/>
      <c r="TXP5079" s="911"/>
      <c r="TXQ5079" s="911"/>
      <c r="TXR5079" s="911"/>
      <c r="TXS5079" s="912"/>
      <c r="TXU5079" s="913" t="s">
        <v>1</v>
      </c>
      <c r="TXV5079" s="31"/>
      <c r="TXW5079" s="909" t="s">
        <v>0</v>
      </c>
      <c r="TXX5079" s="909"/>
      <c r="TXY5079" s="909"/>
      <c r="TXZ5079" s="909"/>
      <c r="TYA5079" s="909"/>
      <c r="TYB5079" s="909"/>
      <c r="TYC5079" s="907" t="s">
        <v>79</v>
      </c>
      <c r="TYD5079" s="909" t="s">
        <v>68</v>
      </c>
      <c r="TYE5079" s="910" t="s">
        <v>75</v>
      </c>
      <c r="TYF5079" s="911"/>
      <c r="TYG5079" s="911"/>
      <c r="TYH5079" s="911"/>
      <c r="TYI5079" s="911"/>
      <c r="TYJ5079" s="911"/>
      <c r="TYK5079" s="911"/>
      <c r="TYL5079" s="911"/>
      <c r="TYM5079" s="911"/>
      <c r="TYN5079" s="911"/>
      <c r="TYO5079" s="32"/>
      <c r="TYP5079" s="911" t="s">
        <v>74</v>
      </c>
      <c r="TYQ5079" s="911"/>
      <c r="TYR5079" s="911"/>
      <c r="TYS5079" s="911"/>
      <c r="TYT5079" s="911"/>
      <c r="TYU5079" s="911"/>
      <c r="TYV5079" s="911"/>
      <c r="TYW5079" s="911"/>
      <c r="TYX5079" s="911"/>
      <c r="TYY5079" s="912"/>
      <c r="TZA5079" s="913" t="s">
        <v>1</v>
      </c>
      <c r="TZB5079" s="31"/>
      <c r="TZC5079" s="909" t="s">
        <v>0</v>
      </c>
      <c r="TZD5079" s="909"/>
      <c r="TZE5079" s="909"/>
      <c r="TZF5079" s="909"/>
      <c r="TZG5079" s="909"/>
      <c r="TZH5079" s="909"/>
      <c r="TZI5079" s="907" t="s">
        <v>79</v>
      </c>
      <c r="TZJ5079" s="909" t="s">
        <v>68</v>
      </c>
      <c r="TZK5079" s="910" t="s">
        <v>75</v>
      </c>
      <c r="TZL5079" s="911"/>
      <c r="TZM5079" s="911"/>
      <c r="TZN5079" s="911"/>
      <c r="TZO5079" s="911"/>
      <c r="TZP5079" s="911"/>
      <c r="TZQ5079" s="911"/>
      <c r="TZR5079" s="911"/>
      <c r="TZS5079" s="911"/>
      <c r="TZT5079" s="911"/>
      <c r="TZU5079" s="32"/>
      <c r="TZV5079" s="911" t="s">
        <v>74</v>
      </c>
      <c r="TZW5079" s="911"/>
      <c r="TZX5079" s="911"/>
      <c r="TZY5079" s="911"/>
      <c r="TZZ5079" s="911"/>
      <c r="UAA5079" s="911"/>
      <c r="UAB5079" s="911"/>
      <c r="UAC5079" s="911"/>
      <c r="UAD5079" s="911"/>
      <c r="UAE5079" s="912"/>
      <c r="UAG5079" s="913" t="s">
        <v>1</v>
      </c>
      <c r="UAH5079" s="31"/>
      <c r="UAI5079" s="909" t="s">
        <v>0</v>
      </c>
      <c r="UAJ5079" s="909"/>
      <c r="UAK5079" s="909"/>
      <c r="UAL5079" s="909"/>
      <c r="UAM5079" s="909"/>
      <c r="UAN5079" s="909"/>
      <c r="UAO5079" s="907" t="s">
        <v>79</v>
      </c>
      <c r="UAP5079" s="909" t="s">
        <v>68</v>
      </c>
      <c r="UAQ5079" s="910" t="s">
        <v>75</v>
      </c>
      <c r="UAR5079" s="911"/>
      <c r="UAS5079" s="911"/>
      <c r="UAT5079" s="911"/>
      <c r="UAU5079" s="911"/>
      <c r="UAV5079" s="911"/>
      <c r="UAW5079" s="911"/>
      <c r="UAX5079" s="911"/>
      <c r="UAY5079" s="911"/>
      <c r="UAZ5079" s="911"/>
      <c r="UBA5079" s="32"/>
      <c r="UBB5079" s="911" t="s">
        <v>74</v>
      </c>
      <c r="UBC5079" s="911"/>
      <c r="UBD5079" s="911"/>
      <c r="UBE5079" s="911"/>
      <c r="UBF5079" s="911"/>
      <c r="UBG5079" s="911"/>
      <c r="UBH5079" s="911"/>
      <c r="UBI5079" s="911"/>
      <c r="UBJ5079" s="911"/>
      <c r="UBK5079" s="912"/>
      <c r="UBM5079" s="913" t="s">
        <v>1</v>
      </c>
      <c r="UBN5079" s="31"/>
      <c r="UBO5079" s="909" t="s">
        <v>0</v>
      </c>
      <c r="UBP5079" s="909"/>
      <c r="UBQ5079" s="909"/>
      <c r="UBR5079" s="909"/>
      <c r="UBS5079" s="909"/>
      <c r="UBT5079" s="909"/>
      <c r="UBU5079" s="907" t="s">
        <v>79</v>
      </c>
      <c r="UBV5079" s="909" t="s">
        <v>68</v>
      </c>
      <c r="UBW5079" s="910" t="s">
        <v>75</v>
      </c>
      <c r="UBX5079" s="911"/>
      <c r="UBY5079" s="911"/>
      <c r="UBZ5079" s="911"/>
      <c r="UCA5079" s="911"/>
      <c r="UCB5079" s="911"/>
      <c r="UCC5079" s="911"/>
      <c r="UCD5079" s="911"/>
      <c r="UCE5079" s="911"/>
      <c r="UCF5079" s="911"/>
      <c r="UCG5079" s="32"/>
      <c r="UCH5079" s="911" t="s">
        <v>74</v>
      </c>
      <c r="UCI5079" s="911"/>
      <c r="UCJ5079" s="911"/>
      <c r="UCK5079" s="911"/>
      <c r="UCL5079" s="911"/>
      <c r="UCM5079" s="911"/>
      <c r="UCN5079" s="911"/>
      <c r="UCO5079" s="911"/>
      <c r="UCP5079" s="911"/>
      <c r="UCQ5079" s="912"/>
      <c r="UCS5079" s="913" t="s">
        <v>1</v>
      </c>
      <c r="UCT5079" s="31"/>
      <c r="UCU5079" s="909" t="s">
        <v>0</v>
      </c>
      <c r="UCV5079" s="909"/>
      <c r="UCW5079" s="909"/>
      <c r="UCX5079" s="909"/>
      <c r="UCY5079" s="909"/>
      <c r="UCZ5079" s="909"/>
      <c r="UDA5079" s="907" t="s">
        <v>79</v>
      </c>
      <c r="UDB5079" s="909" t="s">
        <v>68</v>
      </c>
      <c r="UDC5079" s="910" t="s">
        <v>75</v>
      </c>
      <c r="UDD5079" s="911"/>
      <c r="UDE5079" s="911"/>
      <c r="UDF5079" s="911"/>
      <c r="UDG5079" s="911"/>
      <c r="UDH5079" s="911"/>
      <c r="UDI5079" s="911"/>
      <c r="UDJ5079" s="911"/>
      <c r="UDK5079" s="911"/>
      <c r="UDL5079" s="911"/>
      <c r="UDM5079" s="32"/>
      <c r="UDN5079" s="911" t="s">
        <v>74</v>
      </c>
      <c r="UDO5079" s="911"/>
      <c r="UDP5079" s="911"/>
      <c r="UDQ5079" s="911"/>
      <c r="UDR5079" s="911"/>
      <c r="UDS5079" s="911"/>
      <c r="UDT5079" s="911"/>
      <c r="UDU5079" s="911"/>
      <c r="UDV5079" s="911"/>
      <c r="UDW5079" s="912"/>
      <c r="UDY5079" s="913" t="s">
        <v>1</v>
      </c>
      <c r="UDZ5079" s="31"/>
      <c r="UEA5079" s="909" t="s">
        <v>0</v>
      </c>
      <c r="UEB5079" s="909"/>
      <c r="UEC5079" s="909"/>
      <c r="UED5079" s="909"/>
      <c r="UEE5079" s="909"/>
      <c r="UEF5079" s="909"/>
      <c r="UEG5079" s="907" t="s">
        <v>79</v>
      </c>
      <c r="UEH5079" s="909" t="s">
        <v>68</v>
      </c>
      <c r="UEI5079" s="910" t="s">
        <v>75</v>
      </c>
      <c r="UEJ5079" s="911"/>
      <c r="UEK5079" s="911"/>
      <c r="UEL5079" s="911"/>
      <c r="UEM5079" s="911"/>
      <c r="UEN5079" s="911"/>
      <c r="UEO5079" s="911"/>
      <c r="UEP5079" s="911"/>
      <c r="UEQ5079" s="911"/>
      <c r="UER5079" s="911"/>
      <c r="UES5079" s="32"/>
      <c r="UET5079" s="911" t="s">
        <v>74</v>
      </c>
      <c r="UEU5079" s="911"/>
      <c r="UEV5079" s="911"/>
      <c r="UEW5079" s="911"/>
      <c r="UEX5079" s="911"/>
      <c r="UEY5079" s="911"/>
      <c r="UEZ5079" s="911"/>
      <c r="UFA5079" s="911"/>
      <c r="UFB5079" s="911"/>
      <c r="UFC5079" s="912"/>
      <c r="UFE5079" s="913" t="s">
        <v>1</v>
      </c>
      <c r="UFF5079" s="31"/>
      <c r="UFG5079" s="909" t="s">
        <v>0</v>
      </c>
      <c r="UFH5079" s="909"/>
      <c r="UFI5079" s="909"/>
      <c r="UFJ5079" s="909"/>
      <c r="UFK5079" s="909"/>
      <c r="UFL5079" s="909"/>
      <c r="UFM5079" s="907" t="s">
        <v>79</v>
      </c>
      <c r="UFN5079" s="909" t="s">
        <v>68</v>
      </c>
      <c r="UFO5079" s="910" t="s">
        <v>75</v>
      </c>
      <c r="UFP5079" s="911"/>
      <c r="UFQ5079" s="911"/>
      <c r="UFR5079" s="911"/>
      <c r="UFS5079" s="911"/>
      <c r="UFT5079" s="911"/>
      <c r="UFU5079" s="911"/>
      <c r="UFV5079" s="911"/>
      <c r="UFW5079" s="911"/>
      <c r="UFX5079" s="911"/>
      <c r="UFY5079" s="32"/>
      <c r="UFZ5079" s="911" t="s">
        <v>74</v>
      </c>
      <c r="UGA5079" s="911"/>
      <c r="UGB5079" s="911"/>
      <c r="UGC5079" s="911"/>
      <c r="UGD5079" s="911"/>
      <c r="UGE5079" s="911"/>
      <c r="UGF5079" s="911"/>
      <c r="UGG5079" s="911"/>
      <c r="UGH5079" s="911"/>
      <c r="UGI5079" s="912"/>
      <c r="UGK5079" s="913" t="s">
        <v>1</v>
      </c>
      <c r="UGL5079" s="31"/>
      <c r="UGM5079" s="909" t="s">
        <v>0</v>
      </c>
      <c r="UGN5079" s="909"/>
      <c r="UGO5079" s="909"/>
      <c r="UGP5079" s="909"/>
      <c r="UGQ5079" s="909"/>
      <c r="UGR5079" s="909"/>
      <c r="UGS5079" s="907" t="s">
        <v>79</v>
      </c>
      <c r="UGT5079" s="909" t="s">
        <v>68</v>
      </c>
      <c r="UGU5079" s="910" t="s">
        <v>75</v>
      </c>
      <c r="UGV5079" s="911"/>
      <c r="UGW5079" s="911"/>
      <c r="UGX5079" s="911"/>
      <c r="UGY5079" s="911"/>
      <c r="UGZ5079" s="911"/>
      <c r="UHA5079" s="911"/>
      <c r="UHB5079" s="911"/>
      <c r="UHC5079" s="911"/>
      <c r="UHD5079" s="911"/>
      <c r="UHE5079" s="32"/>
      <c r="UHF5079" s="911" t="s">
        <v>74</v>
      </c>
      <c r="UHG5079" s="911"/>
      <c r="UHH5079" s="911"/>
      <c r="UHI5079" s="911"/>
      <c r="UHJ5079" s="911"/>
      <c r="UHK5079" s="911"/>
      <c r="UHL5079" s="911"/>
      <c r="UHM5079" s="911"/>
      <c r="UHN5079" s="911"/>
      <c r="UHO5079" s="912"/>
      <c r="UHQ5079" s="913" t="s">
        <v>1</v>
      </c>
      <c r="UHR5079" s="31"/>
      <c r="UHS5079" s="909" t="s">
        <v>0</v>
      </c>
      <c r="UHT5079" s="909"/>
      <c r="UHU5079" s="909"/>
      <c r="UHV5079" s="909"/>
      <c r="UHW5079" s="909"/>
      <c r="UHX5079" s="909"/>
      <c r="UHY5079" s="907" t="s">
        <v>79</v>
      </c>
      <c r="UHZ5079" s="909" t="s">
        <v>68</v>
      </c>
      <c r="UIA5079" s="910" t="s">
        <v>75</v>
      </c>
      <c r="UIB5079" s="911"/>
      <c r="UIC5079" s="911"/>
      <c r="UID5079" s="911"/>
      <c r="UIE5079" s="911"/>
      <c r="UIF5079" s="911"/>
      <c r="UIG5079" s="911"/>
      <c r="UIH5079" s="911"/>
      <c r="UII5079" s="911"/>
      <c r="UIJ5079" s="911"/>
      <c r="UIK5079" s="32"/>
      <c r="UIL5079" s="911" t="s">
        <v>74</v>
      </c>
      <c r="UIM5079" s="911"/>
      <c r="UIN5079" s="911"/>
      <c r="UIO5079" s="911"/>
      <c r="UIP5079" s="911"/>
      <c r="UIQ5079" s="911"/>
      <c r="UIR5079" s="911"/>
      <c r="UIS5079" s="911"/>
      <c r="UIT5079" s="911"/>
      <c r="UIU5079" s="912"/>
      <c r="UIW5079" s="913" t="s">
        <v>1</v>
      </c>
      <c r="UIX5079" s="31"/>
      <c r="UIY5079" s="909" t="s">
        <v>0</v>
      </c>
      <c r="UIZ5079" s="909"/>
      <c r="UJA5079" s="909"/>
      <c r="UJB5079" s="909"/>
      <c r="UJC5079" s="909"/>
      <c r="UJD5079" s="909"/>
      <c r="UJE5079" s="907" t="s">
        <v>79</v>
      </c>
      <c r="UJF5079" s="909" t="s">
        <v>68</v>
      </c>
      <c r="UJG5079" s="910" t="s">
        <v>75</v>
      </c>
      <c r="UJH5079" s="911"/>
      <c r="UJI5079" s="911"/>
      <c r="UJJ5079" s="911"/>
      <c r="UJK5079" s="911"/>
      <c r="UJL5079" s="911"/>
      <c r="UJM5079" s="911"/>
      <c r="UJN5079" s="911"/>
      <c r="UJO5079" s="911"/>
      <c r="UJP5079" s="911"/>
      <c r="UJQ5079" s="32"/>
      <c r="UJR5079" s="911" t="s">
        <v>74</v>
      </c>
      <c r="UJS5079" s="911"/>
      <c r="UJT5079" s="911"/>
      <c r="UJU5079" s="911"/>
      <c r="UJV5079" s="911"/>
      <c r="UJW5079" s="911"/>
      <c r="UJX5079" s="911"/>
      <c r="UJY5079" s="911"/>
      <c r="UJZ5079" s="911"/>
      <c r="UKA5079" s="912"/>
      <c r="UKC5079" s="913" t="s">
        <v>1</v>
      </c>
      <c r="UKD5079" s="31"/>
      <c r="UKE5079" s="909" t="s">
        <v>0</v>
      </c>
      <c r="UKF5079" s="909"/>
      <c r="UKG5079" s="909"/>
      <c r="UKH5079" s="909"/>
      <c r="UKI5079" s="909"/>
      <c r="UKJ5079" s="909"/>
      <c r="UKK5079" s="907" t="s">
        <v>79</v>
      </c>
      <c r="UKL5079" s="909" t="s">
        <v>68</v>
      </c>
      <c r="UKM5079" s="910" t="s">
        <v>75</v>
      </c>
      <c r="UKN5079" s="911"/>
      <c r="UKO5079" s="911"/>
      <c r="UKP5079" s="911"/>
      <c r="UKQ5079" s="911"/>
      <c r="UKR5079" s="911"/>
      <c r="UKS5079" s="911"/>
      <c r="UKT5079" s="911"/>
      <c r="UKU5079" s="911"/>
      <c r="UKV5079" s="911"/>
      <c r="UKW5079" s="32"/>
      <c r="UKX5079" s="911" t="s">
        <v>74</v>
      </c>
      <c r="UKY5079" s="911"/>
      <c r="UKZ5079" s="911"/>
      <c r="ULA5079" s="911"/>
      <c r="ULB5079" s="911"/>
      <c r="ULC5079" s="911"/>
      <c r="ULD5079" s="911"/>
      <c r="ULE5079" s="911"/>
      <c r="ULF5079" s="911"/>
      <c r="ULG5079" s="912"/>
      <c r="ULI5079" s="913" t="s">
        <v>1</v>
      </c>
      <c r="ULJ5079" s="31"/>
      <c r="ULK5079" s="909" t="s">
        <v>0</v>
      </c>
      <c r="ULL5079" s="909"/>
      <c r="ULM5079" s="909"/>
      <c r="ULN5079" s="909"/>
      <c r="ULO5079" s="909"/>
      <c r="ULP5079" s="909"/>
      <c r="ULQ5079" s="907" t="s">
        <v>79</v>
      </c>
      <c r="ULR5079" s="909" t="s">
        <v>68</v>
      </c>
      <c r="ULS5079" s="910" t="s">
        <v>75</v>
      </c>
      <c r="ULT5079" s="911"/>
      <c r="ULU5079" s="911"/>
      <c r="ULV5079" s="911"/>
      <c r="ULW5079" s="911"/>
      <c r="ULX5079" s="911"/>
      <c r="ULY5079" s="911"/>
      <c r="ULZ5079" s="911"/>
      <c r="UMA5079" s="911"/>
      <c r="UMB5079" s="911"/>
      <c r="UMC5079" s="32"/>
      <c r="UMD5079" s="911" t="s">
        <v>74</v>
      </c>
      <c r="UME5079" s="911"/>
      <c r="UMF5079" s="911"/>
      <c r="UMG5079" s="911"/>
      <c r="UMH5079" s="911"/>
      <c r="UMI5079" s="911"/>
      <c r="UMJ5079" s="911"/>
      <c r="UMK5079" s="911"/>
      <c r="UML5079" s="911"/>
      <c r="UMM5079" s="912"/>
      <c r="UMO5079" s="913" t="s">
        <v>1</v>
      </c>
      <c r="UMP5079" s="31"/>
      <c r="UMQ5079" s="909" t="s">
        <v>0</v>
      </c>
      <c r="UMR5079" s="909"/>
      <c r="UMS5079" s="909"/>
      <c r="UMT5079" s="909"/>
      <c r="UMU5079" s="909"/>
      <c r="UMV5079" s="909"/>
      <c r="UMW5079" s="907" t="s">
        <v>79</v>
      </c>
      <c r="UMX5079" s="909" t="s">
        <v>68</v>
      </c>
      <c r="UMY5079" s="910" t="s">
        <v>75</v>
      </c>
      <c r="UMZ5079" s="911"/>
      <c r="UNA5079" s="911"/>
      <c r="UNB5079" s="911"/>
      <c r="UNC5079" s="911"/>
      <c r="UND5079" s="911"/>
      <c r="UNE5079" s="911"/>
      <c r="UNF5079" s="911"/>
      <c r="UNG5079" s="911"/>
      <c r="UNH5079" s="911"/>
      <c r="UNI5079" s="32"/>
      <c r="UNJ5079" s="911" t="s">
        <v>74</v>
      </c>
      <c r="UNK5079" s="911"/>
      <c r="UNL5079" s="911"/>
      <c r="UNM5079" s="911"/>
      <c r="UNN5079" s="911"/>
      <c r="UNO5079" s="911"/>
      <c r="UNP5079" s="911"/>
      <c r="UNQ5079" s="911"/>
      <c r="UNR5079" s="911"/>
      <c r="UNS5079" s="912"/>
      <c r="UNU5079" s="913" t="s">
        <v>1</v>
      </c>
      <c r="UNV5079" s="31"/>
      <c r="UNW5079" s="909" t="s">
        <v>0</v>
      </c>
      <c r="UNX5079" s="909"/>
      <c r="UNY5079" s="909"/>
      <c r="UNZ5079" s="909"/>
      <c r="UOA5079" s="909"/>
      <c r="UOB5079" s="909"/>
      <c r="UOC5079" s="907" t="s">
        <v>79</v>
      </c>
      <c r="UOD5079" s="909" t="s">
        <v>68</v>
      </c>
      <c r="UOE5079" s="910" t="s">
        <v>75</v>
      </c>
      <c r="UOF5079" s="911"/>
      <c r="UOG5079" s="911"/>
      <c r="UOH5079" s="911"/>
      <c r="UOI5079" s="911"/>
      <c r="UOJ5079" s="911"/>
      <c r="UOK5079" s="911"/>
      <c r="UOL5079" s="911"/>
      <c r="UOM5079" s="911"/>
      <c r="UON5079" s="911"/>
      <c r="UOO5079" s="32"/>
      <c r="UOP5079" s="911" t="s">
        <v>74</v>
      </c>
      <c r="UOQ5079" s="911"/>
      <c r="UOR5079" s="911"/>
      <c r="UOS5079" s="911"/>
      <c r="UOT5079" s="911"/>
      <c r="UOU5079" s="911"/>
      <c r="UOV5079" s="911"/>
      <c r="UOW5079" s="911"/>
      <c r="UOX5079" s="911"/>
      <c r="UOY5079" s="912"/>
      <c r="UPA5079" s="913" t="s">
        <v>1</v>
      </c>
      <c r="UPB5079" s="31"/>
      <c r="UPC5079" s="909" t="s">
        <v>0</v>
      </c>
      <c r="UPD5079" s="909"/>
      <c r="UPE5079" s="909"/>
      <c r="UPF5079" s="909"/>
      <c r="UPG5079" s="909"/>
      <c r="UPH5079" s="909"/>
      <c r="UPI5079" s="907" t="s">
        <v>79</v>
      </c>
      <c r="UPJ5079" s="909" t="s">
        <v>68</v>
      </c>
      <c r="UPK5079" s="910" t="s">
        <v>75</v>
      </c>
      <c r="UPL5079" s="911"/>
      <c r="UPM5079" s="911"/>
      <c r="UPN5079" s="911"/>
      <c r="UPO5079" s="911"/>
      <c r="UPP5079" s="911"/>
      <c r="UPQ5079" s="911"/>
      <c r="UPR5079" s="911"/>
      <c r="UPS5079" s="911"/>
      <c r="UPT5079" s="911"/>
      <c r="UPU5079" s="32"/>
      <c r="UPV5079" s="911" t="s">
        <v>74</v>
      </c>
      <c r="UPW5079" s="911"/>
      <c r="UPX5079" s="911"/>
      <c r="UPY5079" s="911"/>
      <c r="UPZ5079" s="911"/>
      <c r="UQA5079" s="911"/>
      <c r="UQB5079" s="911"/>
      <c r="UQC5079" s="911"/>
      <c r="UQD5079" s="911"/>
      <c r="UQE5079" s="912"/>
      <c r="UQG5079" s="913" t="s">
        <v>1</v>
      </c>
      <c r="UQH5079" s="31"/>
      <c r="UQI5079" s="909" t="s">
        <v>0</v>
      </c>
      <c r="UQJ5079" s="909"/>
      <c r="UQK5079" s="909"/>
      <c r="UQL5079" s="909"/>
      <c r="UQM5079" s="909"/>
      <c r="UQN5079" s="909"/>
      <c r="UQO5079" s="907" t="s">
        <v>79</v>
      </c>
      <c r="UQP5079" s="909" t="s">
        <v>68</v>
      </c>
      <c r="UQQ5079" s="910" t="s">
        <v>75</v>
      </c>
      <c r="UQR5079" s="911"/>
      <c r="UQS5079" s="911"/>
      <c r="UQT5079" s="911"/>
      <c r="UQU5079" s="911"/>
      <c r="UQV5079" s="911"/>
      <c r="UQW5079" s="911"/>
      <c r="UQX5079" s="911"/>
      <c r="UQY5079" s="911"/>
      <c r="UQZ5079" s="911"/>
      <c r="URA5079" s="32"/>
      <c r="URB5079" s="911" t="s">
        <v>74</v>
      </c>
      <c r="URC5079" s="911"/>
      <c r="URD5079" s="911"/>
      <c r="URE5079" s="911"/>
      <c r="URF5079" s="911"/>
      <c r="URG5079" s="911"/>
      <c r="URH5079" s="911"/>
      <c r="URI5079" s="911"/>
      <c r="URJ5079" s="911"/>
      <c r="URK5079" s="912"/>
      <c r="URM5079" s="913" t="s">
        <v>1</v>
      </c>
      <c r="URN5079" s="31"/>
      <c r="URO5079" s="909" t="s">
        <v>0</v>
      </c>
      <c r="URP5079" s="909"/>
      <c r="URQ5079" s="909"/>
      <c r="URR5079" s="909"/>
      <c r="URS5079" s="909"/>
      <c r="URT5079" s="909"/>
      <c r="URU5079" s="907" t="s">
        <v>79</v>
      </c>
      <c r="URV5079" s="909" t="s">
        <v>68</v>
      </c>
      <c r="URW5079" s="910" t="s">
        <v>75</v>
      </c>
      <c r="URX5079" s="911"/>
      <c r="URY5079" s="911"/>
      <c r="URZ5079" s="911"/>
      <c r="USA5079" s="911"/>
      <c r="USB5079" s="911"/>
      <c r="USC5079" s="911"/>
      <c r="USD5079" s="911"/>
      <c r="USE5079" s="911"/>
      <c r="USF5079" s="911"/>
      <c r="USG5079" s="32"/>
      <c r="USH5079" s="911" t="s">
        <v>74</v>
      </c>
      <c r="USI5079" s="911"/>
      <c r="USJ5079" s="911"/>
      <c r="USK5079" s="911"/>
      <c r="USL5079" s="911"/>
      <c r="USM5079" s="911"/>
      <c r="USN5079" s="911"/>
      <c r="USO5079" s="911"/>
      <c r="USP5079" s="911"/>
      <c r="USQ5079" s="912"/>
      <c r="USS5079" s="913" t="s">
        <v>1</v>
      </c>
      <c r="UST5079" s="31"/>
      <c r="USU5079" s="909" t="s">
        <v>0</v>
      </c>
      <c r="USV5079" s="909"/>
      <c r="USW5079" s="909"/>
      <c r="USX5079" s="909"/>
      <c r="USY5079" s="909"/>
      <c r="USZ5079" s="909"/>
      <c r="UTA5079" s="907" t="s">
        <v>79</v>
      </c>
      <c r="UTB5079" s="909" t="s">
        <v>68</v>
      </c>
      <c r="UTC5079" s="910" t="s">
        <v>75</v>
      </c>
      <c r="UTD5079" s="911"/>
      <c r="UTE5079" s="911"/>
      <c r="UTF5079" s="911"/>
      <c r="UTG5079" s="911"/>
      <c r="UTH5079" s="911"/>
      <c r="UTI5079" s="911"/>
      <c r="UTJ5079" s="911"/>
      <c r="UTK5079" s="911"/>
      <c r="UTL5079" s="911"/>
      <c r="UTM5079" s="32"/>
      <c r="UTN5079" s="911" t="s">
        <v>74</v>
      </c>
      <c r="UTO5079" s="911"/>
      <c r="UTP5079" s="911"/>
      <c r="UTQ5079" s="911"/>
      <c r="UTR5079" s="911"/>
      <c r="UTS5079" s="911"/>
      <c r="UTT5079" s="911"/>
      <c r="UTU5079" s="911"/>
      <c r="UTV5079" s="911"/>
      <c r="UTW5079" s="912"/>
      <c r="UTY5079" s="913" t="s">
        <v>1</v>
      </c>
      <c r="UTZ5079" s="31"/>
      <c r="UUA5079" s="909" t="s">
        <v>0</v>
      </c>
      <c r="UUB5079" s="909"/>
      <c r="UUC5079" s="909"/>
      <c r="UUD5079" s="909"/>
      <c r="UUE5079" s="909"/>
      <c r="UUF5079" s="909"/>
      <c r="UUG5079" s="907" t="s">
        <v>79</v>
      </c>
      <c r="UUH5079" s="909" t="s">
        <v>68</v>
      </c>
      <c r="UUI5079" s="910" t="s">
        <v>75</v>
      </c>
      <c r="UUJ5079" s="911"/>
      <c r="UUK5079" s="911"/>
      <c r="UUL5079" s="911"/>
      <c r="UUM5079" s="911"/>
      <c r="UUN5079" s="911"/>
      <c r="UUO5079" s="911"/>
      <c r="UUP5079" s="911"/>
      <c r="UUQ5079" s="911"/>
      <c r="UUR5079" s="911"/>
      <c r="UUS5079" s="32"/>
      <c r="UUT5079" s="911" t="s">
        <v>74</v>
      </c>
      <c r="UUU5079" s="911"/>
      <c r="UUV5079" s="911"/>
      <c r="UUW5079" s="911"/>
      <c r="UUX5079" s="911"/>
      <c r="UUY5079" s="911"/>
      <c r="UUZ5079" s="911"/>
      <c r="UVA5079" s="911"/>
      <c r="UVB5079" s="911"/>
      <c r="UVC5079" s="912"/>
      <c r="UVE5079" s="913" t="s">
        <v>1</v>
      </c>
      <c r="UVF5079" s="31"/>
      <c r="UVG5079" s="909" t="s">
        <v>0</v>
      </c>
      <c r="UVH5079" s="909"/>
      <c r="UVI5079" s="909"/>
      <c r="UVJ5079" s="909"/>
      <c r="UVK5079" s="909"/>
      <c r="UVL5079" s="909"/>
      <c r="UVM5079" s="907" t="s">
        <v>79</v>
      </c>
      <c r="UVN5079" s="909" t="s">
        <v>68</v>
      </c>
      <c r="UVO5079" s="910" t="s">
        <v>75</v>
      </c>
      <c r="UVP5079" s="911"/>
      <c r="UVQ5079" s="911"/>
      <c r="UVR5079" s="911"/>
      <c r="UVS5079" s="911"/>
      <c r="UVT5079" s="911"/>
      <c r="UVU5079" s="911"/>
      <c r="UVV5079" s="911"/>
      <c r="UVW5079" s="911"/>
      <c r="UVX5079" s="911"/>
      <c r="UVY5079" s="32"/>
      <c r="UVZ5079" s="911" t="s">
        <v>74</v>
      </c>
      <c r="UWA5079" s="911"/>
      <c r="UWB5079" s="911"/>
      <c r="UWC5079" s="911"/>
      <c r="UWD5079" s="911"/>
      <c r="UWE5079" s="911"/>
      <c r="UWF5079" s="911"/>
      <c r="UWG5079" s="911"/>
      <c r="UWH5079" s="911"/>
      <c r="UWI5079" s="912"/>
      <c r="UWK5079" s="913" t="s">
        <v>1</v>
      </c>
      <c r="UWL5079" s="31"/>
      <c r="UWM5079" s="909" t="s">
        <v>0</v>
      </c>
      <c r="UWN5079" s="909"/>
      <c r="UWO5079" s="909"/>
      <c r="UWP5079" s="909"/>
      <c r="UWQ5079" s="909"/>
      <c r="UWR5079" s="909"/>
      <c r="UWS5079" s="907" t="s">
        <v>79</v>
      </c>
      <c r="UWT5079" s="909" t="s">
        <v>68</v>
      </c>
      <c r="UWU5079" s="910" t="s">
        <v>75</v>
      </c>
      <c r="UWV5079" s="911"/>
      <c r="UWW5079" s="911"/>
      <c r="UWX5079" s="911"/>
      <c r="UWY5079" s="911"/>
      <c r="UWZ5079" s="911"/>
      <c r="UXA5079" s="911"/>
      <c r="UXB5079" s="911"/>
      <c r="UXC5079" s="911"/>
      <c r="UXD5079" s="911"/>
      <c r="UXE5079" s="32"/>
      <c r="UXF5079" s="911" t="s">
        <v>74</v>
      </c>
      <c r="UXG5079" s="911"/>
      <c r="UXH5079" s="911"/>
      <c r="UXI5079" s="911"/>
      <c r="UXJ5079" s="911"/>
      <c r="UXK5079" s="911"/>
      <c r="UXL5079" s="911"/>
      <c r="UXM5079" s="911"/>
      <c r="UXN5079" s="911"/>
      <c r="UXO5079" s="912"/>
      <c r="UXQ5079" s="913" t="s">
        <v>1</v>
      </c>
      <c r="UXR5079" s="31"/>
      <c r="UXS5079" s="909" t="s">
        <v>0</v>
      </c>
      <c r="UXT5079" s="909"/>
      <c r="UXU5079" s="909"/>
      <c r="UXV5079" s="909"/>
      <c r="UXW5079" s="909"/>
      <c r="UXX5079" s="909"/>
      <c r="UXY5079" s="907" t="s">
        <v>79</v>
      </c>
      <c r="UXZ5079" s="909" t="s">
        <v>68</v>
      </c>
      <c r="UYA5079" s="910" t="s">
        <v>75</v>
      </c>
      <c r="UYB5079" s="911"/>
      <c r="UYC5079" s="911"/>
      <c r="UYD5079" s="911"/>
      <c r="UYE5079" s="911"/>
      <c r="UYF5079" s="911"/>
      <c r="UYG5079" s="911"/>
      <c r="UYH5079" s="911"/>
      <c r="UYI5079" s="911"/>
      <c r="UYJ5079" s="911"/>
      <c r="UYK5079" s="32"/>
      <c r="UYL5079" s="911" t="s">
        <v>74</v>
      </c>
      <c r="UYM5079" s="911"/>
      <c r="UYN5079" s="911"/>
      <c r="UYO5079" s="911"/>
      <c r="UYP5079" s="911"/>
      <c r="UYQ5079" s="911"/>
      <c r="UYR5079" s="911"/>
      <c r="UYS5079" s="911"/>
      <c r="UYT5079" s="911"/>
      <c r="UYU5079" s="912"/>
      <c r="UYW5079" s="913" t="s">
        <v>1</v>
      </c>
      <c r="UYX5079" s="31"/>
      <c r="UYY5079" s="909" t="s">
        <v>0</v>
      </c>
      <c r="UYZ5079" s="909"/>
      <c r="UZA5079" s="909"/>
      <c r="UZB5079" s="909"/>
      <c r="UZC5079" s="909"/>
      <c r="UZD5079" s="909"/>
      <c r="UZE5079" s="907" t="s">
        <v>79</v>
      </c>
      <c r="UZF5079" s="909" t="s">
        <v>68</v>
      </c>
      <c r="UZG5079" s="910" t="s">
        <v>75</v>
      </c>
      <c r="UZH5079" s="911"/>
      <c r="UZI5079" s="911"/>
      <c r="UZJ5079" s="911"/>
      <c r="UZK5079" s="911"/>
      <c r="UZL5079" s="911"/>
      <c r="UZM5079" s="911"/>
      <c r="UZN5079" s="911"/>
      <c r="UZO5079" s="911"/>
      <c r="UZP5079" s="911"/>
      <c r="UZQ5079" s="32"/>
      <c r="UZR5079" s="911" t="s">
        <v>74</v>
      </c>
      <c r="UZS5079" s="911"/>
      <c r="UZT5079" s="911"/>
      <c r="UZU5079" s="911"/>
      <c r="UZV5079" s="911"/>
      <c r="UZW5079" s="911"/>
      <c r="UZX5079" s="911"/>
      <c r="UZY5079" s="911"/>
      <c r="UZZ5079" s="911"/>
      <c r="VAA5079" s="912"/>
      <c r="VAC5079" s="913" t="s">
        <v>1</v>
      </c>
      <c r="VAD5079" s="31"/>
      <c r="VAE5079" s="909" t="s">
        <v>0</v>
      </c>
      <c r="VAF5079" s="909"/>
      <c r="VAG5079" s="909"/>
      <c r="VAH5079" s="909"/>
      <c r="VAI5079" s="909"/>
      <c r="VAJ5079" s="909"/>
      <c r="VAK5079" s="907" t="s">
        <v>79</v>
      </c>
      <c r="VAL5079" s="909" t="s">
        <v>68</v>
      </c>
      <c r="VAM5079" s="910" t="s">
        <v>75</v>
      </c>
      <c r="VAN5079" s="911"/>
      <c r="VAO5079" s="911"/>
      <c r="VAP5079" s="911"/>
      <c r="VAQ5079" s="911"/>
      <c r="VAR5079" s="911"/>
      <c r="VAS5079" s="911"/>
      <c r="VAT5079" s="911"/>
      <c r="VAU5079" s="911"/>
      <c r="VAV5079" s="911"/>
      <c r="VAW5079" s="32"/>
      <c r="VAX5079" s="911" t="s">
        <v>74</v>
      </c>
      <c r="VAY5079" s="911"/>
      <c r="VAZ5079" s="911"/>
      <c r="VBA5079" s="911"/>
      <c r="VBB5079" s="911"/>
      <c r="VBC5079" s="911"/>
      <c r="VBD5079" s="911"/>
      <c r="VBE5079" s="911"/>
      <c r="VBF5079" s="911"/>
      <c r="VBG5079" s="912"/>
      <c r="VBI5079" s="913" t="s">
        <v>1</v>
      </c>
      <c r="VBJ5079" s="31"/>
      <c r="VBK5079" s="909" t="s">
        <v>0</v>
      </c>
      <c r="VBL5079" s="909"/>
      <c r="VBM5079" s="909"/>
      <c r="VBN5079" s="909"/>
      <c r="VBO5079" s="909"/>
      <c r="VBP5079" s="909"/>
      <c r="VBQ5079" s="907" t="s">
        <v>79</v>
      </c>
      <c r="VBR5079" s="909" t="s">
        <v>68</v>
      </c>
      <c r="VBS5079" s="910" t="s">
        <v>75</v>
      </c>
      <c r="VBT5079" s="911"/>
      <c r="VBU5079" s="911"/>
      <c r="VBV5079" s="911"/>
      <c r="VBW5079" s="911"/>
      <c r="VBX5079" s="911"/>
      <c r="VBY5079" s="911"/>
      <c r="VBZ5079" s="911"/>
      <c r="VCA5079" s="911"/>
      <c r="VCB5079" s="911"/>
      <c r="VCC5079" s="32"/>
      <c r="VCD5079" s="911" t="s">
        <v>74</v>
      </c>
      <c r="VCE5079" s="911"/>
      <c r="VCF5079" s="911"/>
      <c r="VCG5079" s="911"/>
      <c r="VCH5079" s="911"/>
      <c r="VCI5079" s="911"/>
      <c r="VCJ5079" s="911"/>
      <c r="VCK5079" s="911"/>
      <c r="VCL5079" s="911"/>
      <c r="VCM5079" s="912"/>
      <c r="VCO5079" s="913" t="s">
        <v>1</v>
      </c>
      <c r="VCP5079" s="31"/>
      <c r="VCQ5079" s="909" t="s">
        <v>0</v>
      </c>
      <c r="VCR5079" s="909"/>
      <c r="VCS5079" s="909"/>
      <c r="VCT5079" s="909"/>
      <c r="VCU5079" s="909"/>
      <c r="VCV5079" s="909"/>
      <c r="VCW5079" s="907" t="s">
        <v>79</v>
      </c>
      <c r="VCX5079" s="909" t="s">
        <v>68</v>
      </c>
      <c r="VCY5079" s="910" t="s">
        <v>75</v>
      </c>
      <c r="VCZ5079" s="911"/>
      <c r="VDA5079" s="911"/>
      <c r="VDB5079" s="911"/>
      <c r="VDC5079" s="911"/>
      <c r="VDD5079" s="911"/>
      <c r="VDE5079" s="911"/>
      <c r="VDF5079" s="911"/>
      <c r="VDG5079" s="911"/>
      <c r="VDH5079" s="911"/>
      <c r="VDI5079" s="32"/>
      <c r="VDJ5079" s="911" t="s">
        <v>74</v>
      </c>
      <c r="VDK5079" s="911"/>
      <c r="VDL5079" s="911"/>
      <c r="VDM5079" s="911"/>
      <c r="VDN5079" s="911"/>
      <c r="VDO5079" s="911"/>
      <c r="VDP5079" s="911"/>
      <c r="VDQ5079" s="911"/>
      <c r="VDR5079" s="911"/>
      <c r="VDS5079" s="912"/>
      <c r="VDU5079" s="913" t="s">
        <v>1</v>
      </c>
      <c r="VDV5079" s="31"/>
      <c r="VDW5079" s="909" t="s">
        <v>0</v>
      </c>
      <c r="VDX5079" s="909"/>
      <c r="VDY5079" s="909"/>
      <c r="VDZ5079" s="909"/>
      <c r="VEA5079" s="909"/>
      <c r="VEB5079" s="909"/>
      <c r="VEC5079" s="907" t="s">
        <v>79</v>
      </c>
      <c r="VED5079" s="909" t="s">
        <v>68</v>
      </c>
      <c r="VEE5079" s="910" t="s">
        <v>75</v>
      </c>
      <c r="VEF5079" s="911"/>
      <c r="VEG5079" s="911"/>
      <c r="VEH5079" s="911"/>
      <c r="VEI5079" s="911"/>
      <c r="VEJ5079" s="911"/>
      <c r="VEK5079" s="911"/>
      <c r="VEL5079" s="911"/>
      <c r="VEM5079" s="911"/>
      <c r="VEN5079" s="911"/>
      <c r="VEO5079" s="32"/>
      <c r="VEP5079" s="911" t="s">
        <v>74</v>
      </c>
      <c r="VEQ5079" s="911"/>
      <c r="VER5079" s="911"/>
      <c r="VES5079" s="911"/>
      <c r="VET5079" s="911"/>
      <c r="VEU5079" s="911"/>
      <c r="VEV5079" s="911"/>
      <c r="VEW5079" s="911"/>
      <c r="VEX5079" s="911"/>
      <c r="VEY5079" s="912"/>
      <c r="VFA5079" s="913" t="s">
        <v>1</v>
      </c>
      <c r="VFB5079" s="31"/>
      <c r="VFC5079" s="909" t="s">
        <v>0</v>
      </c>
      <c r="VFD5079" s="909"/>
      <c r="VFE5079" s="909"/>
      <c r="VFF5079" s="909"/>
      <c r="VFG5079" s="909"/>
      <c r="VFH5079" s="909"/>
      <c r="VFI5079" s="907" t="s">
        <v>79</v>
      </c>
      <c r="VFJ5079" s="909" t="s">
        <v>68</v>
      </c>
      <c r="VFK5079" s="910" t="s">
        <v>75</v>
      </c>
      <c r="VFL5079" s="911"/>
      <c r="VFM5079" s="911"/>
      <c r="VFN5079" s="911"/>
      <c r="VFO5079" s="911"/>
      <c r="VFP5079" s="911"/>
      <c r="VFQ5079" s="911"/>
      <c r="VFR5079" s="911"/>
      <c r="VFS5079" s="911"/>
      <c r="VFT5079" s="911"/>
      <c r="VFU5079" s="32"/>
      <c r="VFV5079" s="911" t="s">
        <v>74</v>
      </c>
      <c r="VFW5079" s="911"/>
      <c r="VFX5079" s="911"/>
      <c r="VFY5079" s="911"/>
      <c r="VFZ5079" s="911"/>
      <c r="VGA5079" s="911"/>
      <c r="VGB5079" s="911"/>
      <c r="VGC5079" s="911"/>
      <c r="VGD5079" s="911"/>
      <c r="VGE5079" s="912"/>
      <c r="VGG5079" s="913" t="s">
        <v>1</v>
      </c>
      <c r="VGH5079" s="31"/>
      <c r="VGI5079" s="909" t="s">
        <v>0</v>
      </c>
      <c r="VGJ5079" s="909"/>
      <c r="VGK5079" s="909"/>
      <c r="VGL5079" s="909"/>
      <c r="VGM5079" s="909"/>
      <c r="VGN5079" s="909"/>
      <c r="VGO5079" s="907" t="s">
        <v>79</v>
      </c>
      <c r="VGP5079" s="909" t="s">
        <v>68</v>
      </c>
      <c r="VGQ5079" s="910" t="s">
        <v>75</v>
      </c>
      <c r="VGR5079" s="911"/>
      <c r="VGS5079" s="911"/>
      <c r="VGT5079" s="911"/>
      <c r="VGU5079" s="911"/>
      <c r="VGV5079" s="911"/>
      <c r="VGW5079" s="911"/>
      <c r="VGX5079" s="911"/>
      <c r="VGY5079" s="911"/>
      <c r="VGZ5079" s="911"/>
      <c r="VHA5079" s="32"/>
      <c r="VHB5079" s="911" t="s">
        <v>74</v>
      </c>
      <c r="VHC5079" s="911"/>
      <c r="VHD5079" s="911"/>
      <c r="VHE5079" s="911"/>
      <c r="VHF5079" s="911"/>
      <c r="VHG5079" s="911"/>
      <c r="VHH5079" s="911"/>
      <c r="VHI5079" s="911"/>
      <c r="VHJ5079" s="911"/>
      <c r="VHK5079" s="912"/>
      <c r="VHM5079" s="913" t="s">
        <v>1</v>
      </c>
      <c r="VHN5079" s="31"/>
      <c r="VHO5079" s="909" t="s">
        <v>0</v>
      </c>
      <c r="VHP5079" s="909"/>
      <c r="VHQ5079" s="909"/>
      <c r="VHR5079" s="909"/>
      <c r="VHS5079" s="909"/>
      <c r="VHT5079" s="909"/>
      <c r="VHU5079" s="907" t="s">
        <v>79</v>
      </c>
      <c r="VHV5079" s="909" t="s">
        <v>68</v>
      </c>
      <c r="VHW5079" s="910" t="s">
        <v>75</v>
      </c>
      <c r="VHX5079" s="911"/>
      <c r="VHY5079" s="911"/>
      <c r="VHZ5079" s="911"/>
      <c r="VIA5079" s="911"/>
      <c r="VIB5079" s="911"/>
      <c r="VIC5079" s="911"/>
      <c r="VID5079" s="911"/>
      <c r="VIE5079" s="911"/>
      <c r="VIF5079" s="911"/>
      <c r="VIG5079" s="32"/>
      <c r="VIH5079" s="911" t="s">
        <v>74</v>
      </c>
      <c r="VII5079" s="911"/>
      <c r="VIJ5079" s="911"/>
      <c r="VIK5079" s="911"/>
      <c r="VIL5079" s="911"/>
      <c r="VIM5079" s="911"/>
      <c r="VIN5079" s="911"/>
      <c r="VIO5079" s="911"/>
      <c r="VIP5079" s="911"/>
      <c r="VIQ5079" s="912"/>
      <c r="VIS5079" s="913" t="s">
        <v>1</v>
      </c>
      <c r="VIT5079" s="31"/>
      <c r="VIU5079" s="909" t="s">
        <v>0</v>
      </c>
      <c r="VIV5079" s="909"/>
      <c r="VIW5079" s="909"/>
      <c r="VIX5079" s="909"/>
      <c r="VIY5079" s="909"/>
      <c r="VIZ5079" s="909"/>
      <c r="VJA5079" s="907" t="s">
        <v>79</v>
      </c>
      <c r="VJB5079" s="909" t="s">
        <v>68</v>
      </c>
      <c r="VJC5079" s="910" t="s">
        <v>75</v>
      </c>
      <c r="VJD5079" s="911"/>
      <c r="VJE5079" s="911"/>
      <c r="VJF5079" s="911"/>
      <c r="VJG5079" s="911"/>
      <c r="VJH5079" s="911"/>
      <c r="VJI5079" s="911"/>
      <c r="VJJ5079" s="911"/>
      <c r="VJK5079" s="911"/>
      <c r="VJL5079" s="911"/>
      <c r="VJM5079" s="32"/>
      <c r="VJN5079" s="911" t="s">
        <v>74</v>
      </c>
      <c r="VJO5079" s="911"/>
      <c r="VJP5079" s="911"/>
      <c r="VJQ5079" s="911"/>
      <c r="VJR5079" s="911"/>
      <c r="VJS5079" s="911"/>
      <c r="VJT5079" s="911"/>
      <c r="VJU5079" s="911"/>
      <c r="VJV5079" s="911"/>
      <c r="VJW5079" s="912"/>
      <c r="VJY5079" s="913" t="s">
        <v>1</v>
      </c>
      <c r="VJZ5079" s="31"/>
      <c r="VKA5079" s="909" t="s">
        <v>0</v>
      </c>
      <c r="VKB5079" s="909"/>
      <c r="VKC5079" s="909"/>
      <c r="VKD5079" s="909"/>
      <c r="VKE5079" s="909"/>
      <c r="VKF5079" s="909"/>
      <c r="VKG5079" s="907" t="s">
        <v>79</v>
      </c>
      <c r="VKH5079" s="909" t="s">
        <v>68</v>
      </c>
      <c r="VKI5079" s="910" t="s">
        <v>75</v>
      </c>
      <c r="VKJ5079" s="911"/>
      <c r="VKK5079" s="911"/>
      <c r="VKL5079" s="911"/>
      <c r="VKM5079" s="911"/>
      <c r="VKN5079" s="911"/>
      <c r="VKO5079" s="911"/>
      <c r="VKP5079" s="911"/>
      <c r="VKQ5079" s="911"/>
      <c r="VKR5079" s="911"/>
      <c r="VKS5079" s="32"/>
      <c r="VKT5079" s="911" t="s">
        <v>74</v>
      </c>
      <c r="VKU5079" s="911"/>
      <c r="VKV5079" s="911"/>
      <c r="VKW5079" s="911"/>
      <c r="VKX5079" s="911"/>
      <c r="VKY5079" s="911"/>
      <c r="VKZ5079" s="911"/>
      <c r="VLA5079" s="911"/>
      <c r="VLB5079" s="911"/>
      <c r="VLC5079" s="912"/>
      <c r="VLE5079" s="913" t="s">
        <v>1</v>
      </c>
      <c r="VLF5079" s="31"/>
      <c r="VLG5079" s="909" t="s">
        <v>0</v>
      </c>
      <c r="VLH5079" s="909"/>
      <c r="VLI5079" s="909"/>
      <c r="VLJ5079" s="909"/>
      <c r="VLK5079" s="909"/>
      <c r="VLL5079" s="909"/>
      <c r="VLM5079" s="907" t="s">
        <v>79</v>
      </c>
      <c r="VLN5079" s="909" t="s">
        <v>68</v>
      </c>
      <c r="VLO5079" s="910" t="s">
        <v>75</v>
      </c>
      <c r="VLP5079" s="911"/>
      <c r="VLQ5079" s="911"/>
      <c r="VLR5079" s="911"/>
      <c r="VLS5079" s="911"/>
      <c r="VLT5079" s="911"/>
      <c r="VLU5079" s="911"/>
      <c r="VLV5079" s="911"/>
      <c r="VLW5079" s="911"/>
      <c r="VLX5079" s="911"/>
      <c r="VLY5079" s="32"/>
      <c r="VLZ5079" s="911" t="s">
        <v>74</v>
      </c>
      <c r="VMA5079" s="911"/>
      <c r="VMB5079" s="911"/>
      <c r="VMC5079" s="911"/>
      <c r="VMD5079" s="911"/>
      <c r="VME5079" s="911"/>
      <c r="VMF5079" s="911"/>
      <c r="VMG5079" s="911"/>
      <c r="VMH5079" s="911"/>
      <c r="VMI5079" s="912"/>
      <c r="VMK5079" s="913" t="s">
        <v>1</v>
      </c>
      <c r="VML5079" s="31"/>
      <c r="VMM5079" s="909" t="s">
        <v>0</v>
      </c>
      <c r="VMN5079" s="909"/>
      <c r="VMO5079" s="909"/>
      <c r="VMP5079" s="909"/>
      <c r="VMQ5079" s="909"/>
      <c r="VMR5079" s="909"/>
      <c r="VMS5079" s="907" t="s">
        <v>79</v>
      </c>
      <c r="VMT5079" s="909" t="s">
        <v>68</v>
      </c>
      <c r="VMU5079" s="910" t="s">
        <v>75</v>
      </c>
      <c r="VMV5079" s="911"/>
      <c r="VMW5079" s="911"/>
      <c r="VMX5079" s="911"/>
      <c r="VMY5079" s="911"/>
      <c r="VMZ5079" s="911"/>
      <c r="VNA5079" s="911"/>
      <c r="VNB5079" s="911"/>
      <c r="VNC5079" s="911"/>
      <c r="VND5079" s="911"/>
      <c r="VNE5079" s="32"/>
      <c r="VNF5079" s="911" t="s">
        <v>74</v>
      </c>
      <c r="VNG5079" s="911"/>
      <c r="VNH5079" s="911"/>
      <c r="VNI5079" s="911"/>
      <c r="VNJ5079" s="911"/>
      <c r="VNK5079" s="911"/>
      <c r="VNL5079" s="911"/>
      <c r="VNM5079" s="911"/>
      <c r="VNN5079" s="911"/>
      <c r="VNO5079" s="912"/>
      <c r="VNQ5079" s="913" t="s">
        <v>1</v>
      </c>
      <c r="VNR5079" s="31"/>
      <c r="VNS5079" s="909" t="s">
        <v>0</v>
      </c>
      <c r="VNT5079" s="909"/>
      <c r="VNU5079" s="909"/>
      <c r="VNV5079" s="909"/>
      <c r="VNW5079" s="909"/>
      <c r="VNX5079" s="909"/>
      <c r="VNY5079" s="907" t="s">
        <v>79</v>
      </c>
      <c r="VNZ5079" s="909" t="s">
        <v>68</v>
      </c>
      <c r="VOA5079" s="910" t="s">
        <v>75</v>
      </c>
      <c r="VOB5079" s="911"/>
      <c r="VOC5079" s="911"/>
      <c r="VOD5079" s="911"/>
      <c r="VOE5079" s="911"/>
      <c r="VOF5079" s="911"/>
      <c r="VOG5079" s="911"/>
      <c r="VOH5079" s="911"/>
      <c r="VOI5079" s="911"/>
      <c r="VOJ5079" s="911"/>
      <c r="VOK5079" s="32"/>
      <c r="VOL5079" s="911" t="s">
        <v>74</v>
      </c>
      <c r="VOM5079" s="911"/>
      <c r="VON5079" s="911"/>
      <c r="VOO5079" s="911"/>
      <c r="VOP5079" s="911"/>
      <c r="VOQ5079" s="911"/>
      <c r="VOR5079" s="911"/>
      <c r="VOS5079" s="911"/>
      <c r="VOT5079" s="911"/>
      <c r="VOU5079" s="912"/>
      <c r="VOW5079" s="913" t="s">
        <v>1</v>
      </c>
      <c r="VOX5079" s="31"/>
      <c r="VOY5079" s="909" t="s">
        <v>0</v>
      </c>
      <c r="VOZ5079" s="909"/>
      <c r="VPA5079" s="909"/>
      <c r="VPB5079" s="909"/>
      <c r="VPC5079" s="909"/>
      <c r="VPD5079" s="909"/>
      <c r="VPE5079" s="907" t="s">
        <v>79</v>
      </c>
      <c r="VPF5079" s="909" t="s">
        <v>68</v>
      </c>
      <c r="VPG5079" s="910" t="s">
        <v>75</v>
      </c>
      <c r="VPH5079" s="911"/>
      <c r="VPI5079" s="911"/>
      <c r="VPJ5079" s="911"/>
      <c r="VPK5079" s="911"/>
      <c r="VPL5079" s="911"/>
      <c r="VPM5079" s="911"/>
      <c r="VPN5079" s="911"/>
      <c r="VPO5079" s="911"/>
      <c r="VPP5079" s="911"/>
      <c r="VPQ5079" s="32"/>
      <c r="VPR5079" s="911" t="s">
        <v>74</v>
      </c>
      <c r="VPS5079" s="911"/>
      <c r="VPT5079" s="911"/>
      <c r="VPU5079" s="911"/>
      <c r="VPV5079" s="911"/>
      <c r="VPW5079" s="911"/>
      <c r="VPX5079" s="911"/>
      <c r="VPY5079" s="911"/>
      <c r="VPZ5079" s="911"/>
      <c r="VQA5079" s="912"/>
      <c r="VQC5079" s="913" t="s">
        <v>1</v>
      </c>
      <c r="VQD5079" s="31"/>
      <c r="VQE5079" s="909" t="s">
        <v>0</v>
      </c>
      <c r="VQF5079" s="909"/>
      <c r="VQG5079" s="909"/>
      <c r="VQH5079" s="909"/>
      <c r="VQI5079" s="909"/>
      <c r="VQJ5079" s="909"/>
      <c r="VQK5079" s="907" t="s">
        <v>79</v>
      </c>
      <c r="VQL5079" s="909" t="s">
        <v>68</v>
      </c>
      <c r="VQM5079" s="910" t="s">
        <v>75</v>
      </c>
      <c r="VQN5079" s="911"/>
      <c r="VQO5079" s="911"/>
      <c r="VQP5079" s="911"/>
      <c r="VQQ5079" s="911"/>
      <c r="VQR5079" s="911"/>
      <c r="VQS5079" s="911"/>
      <c r="VQT5079" s="911"/>
      <c r="VQU5079" s="911"/>
      <c r="VQV5079" s="911"/>
      <c r="VQW5079" s="32"/>
      <c r="VQX5079" s="911" t="s">
        <v>74</v>
      </c>
      <c r="VQY5079" s="911"/>
      <c r="VQZ5079" s="911"/>
      <c r="VRA5079" s="911"/>
      <c r="VRB5079" s="911"/>
      <c r="VRC5079" s="911"/>
      <c r="VRD5079" s="911"/>
      <c r="VRE5079" s="911"/>
      <c r="VRF5079" s="911"/>
      <c r="VRG5079" s="912"/>
      <c r="VRI5079" s="913" t="s">
        <v>1</v>
      </c>
      <c r="VRJ5079" s="31"/>
      <c r="VRK5079" s="909" t="s">
        <v>0</v>
      </c>
      <c r="VRL5079" s="909"/>
      <c r="VRM5079" s="909"/>
      <c r="VRN5079" s="909"/>
      <c r="VRO5079" s="909"/>
      <c r="VRP5079" s="909"/>
      <c r="VRQ5079" s="907" t="s">
        <v>79</v>
      </c>
      <c r="VRR5079" s="909" t="s">
        <v>68</v>
      </c>
      <c r="VRS5079" s="910" t="s">
        <v>75</v>
      </c>
      <c r="VRT5079" s="911"/>
      <c r="VRU5079" s="911"/>
      <c r="VRV5079" s="911"/>
      <c r="VRW5079" s="911"/>
      <c r="VRX5079" s="911"/>
      <c r="VRY5079" s="911"/>
      <c r="VRZ5079" s="911"/>
      <c r="VSA5079" s="911"/>
      <c r="VSB5079" s="911"/>
      <c r="VSC5079" s="32"/>
      <c r="VSD5079" s="911" t="s">
        <v>74</v>
      </c>
      <c r="VSE5079" s="911"/>
      <c r="VSF5079" s="911"/>
      <c r="VSG5079" s="911"/>
      <c r="VSH5079" s="911"/>
      <c r="VSI5079" s="911"/>
      <c r="VSJ5079" s="911"/>
      <c r="VSK5079" s="911"/>
      <c r="VSL5079" s="911"/>
      <c r="VSM5079" s="912"/>
      <c r="VSO5079" s="913" t="s">
        <v>1</v>
      </c>
      <c r="VSP5079" s="31"/>
      <c r="VSQ5079" s="909" t="s">
        <v>0</v>
      </c>
      <c r="VSR5079" s="909"/>
      <c r="VSS5079" s="909"/>
      <c r="VST5079" s="909"/>
      <c r="VSU5079" s="909"/>
      <c r="VSV5079" s="909"/>
      <c r="VSW5079" s="907" t="s">
        <v>79</v>
      </c>
      <c r="VSX5079" s="909" t="s">
        <v>68</v>
      </c>
      <c r="VSY5079" s="910" t="s">
        <v>75</v>
      </c>
      <c r="VSZ5079" s="911"/>
      <c r="VTA5079" s="911"/>
      <c r="VTB5079" s="911"/>
      <c r="VTC5079" s="911"/>
      <c r="VTD5079" s="911"/>
      <c r="VTE5079" s="911"/>
      <c r="VTF5079" s="911"/>
      <c r="VTG5079" s="911"/>
      <c r="VTH5079" s="911"/>
      <c r="VTI5079" s="32"/>
      <c r="VTJ5079" s="911" t="s">
        <v>74</v>
      </c>
      <c r="VTK5079" s="911"/>
      <c r="VTL5079" s="911"/>
      <c r="VTM5079" s="911"/>
      <c r="VTN5079" s="911"/>
      <c r="VTO5079" s="911"/>
      <c r="VTP5079" s="911"/>
      <c r="VTQ5079" s="911"/>
      <c r="VTR5079" s="911"/>
      <c r="VTS5079" s="912"/>
      <c r="VTU5079" s="913" t="s">
        <v>1</v>
      </c>
      <c r="VTV5079" s="31"/>
      <c r="VTW5079" s="909" t="s">
        <v>0</v>
      </c>
      <c r="VTX5079" s="909"/>
      <c r="VTY5079" s="909"/>
      <c r="VTZ5079" s="909"/>
      <c r="VUA5079" s="909"/>
      <c r="VUB5079" s="909"/>
      <c r="VUC5079" s="907" t="s">
        <v>79</v>
      </c>
      <c r="VUD5079" s="909" t="s">
        <v>68</v>
      </c>
      <c r="VUE5079" s="910" t="s">
        <v>75</v>
      </c>
      <c r="VUF5079" s="911"/>
      <c r="VUG5079" s="911"/>
      <c r="VUH5079" s="911"/>
      <c r="VUI5079" s="911"/>
      <c r="VUJ5079" s="911"/>
      <c r="VUK5079" s="911"/>
      <c r="VUL5079" s="911"/>
      <c r="VUM5079" s="911"/>
      <c r="VUN5079" s="911"/>
      <c r="VUO5079" s="32"/>
      <c r="VUP5079" s="911" t="s">
        <v>74</v>
      </c>
      <c r="VUQ5079" s="911"/>
      <c r="VUR5079" s="911"/>
      <c r="VUS5079" s="911"/>
      <c r="VUT5079" s="911"/>
      <c r="VUU5079" s="911"/>
      <c r="VUV5079" s="911"/>
      <c r="VUW5079" s="911"/>
      <c r="VUX5079" s="911"/>
      <c r="VUY5079" s="912"/>
      <c r="VVA5079" s="913" t="s">
        <v>1</v>
      </c>
      <c r="VVB5079" s="31"/>
      <c r="VVC5079" s="909" t="s">
        <v>0</v>
      </c>
      <c r="VVD5079" s="909"/>
      <c r="VVE5079" s="909"/>
      <c r="VVF5079" s="909"/>
      <c r="VVG5079" s="909"/>
      <c r="VVH5079" s="909"/>
      <c r="VVI5079" s="907" t="s">
        <v>79</v>
      </c>
      <c r="VVJ5079" s="909" t="s">
        <v>68</v>
      </c>
      <c r="VVK5079" s="910" t="s">
        <v>75</v>
      </c>
      <c r="VVL5079" s="911"/>
      <c r="VVM5079" s="911"/>
      <c r="VVN5079" s="911"/>
      <c r="VVO5079" s="911"/>
      <c r="VVP5079" s="911"/>
      <c r="VVQ5079" s="911"/>
      <c r="VVR5079" s="911"/>
      <c r="VVS5079" s="911"/>
      <c r="VVT5079" s="911"/>
      <c r="VVU5079" s="32"/>
      <c r="VVV5079" s="911" t="s">
        <v>74</v>
      </c>
      <c r="VVW5079" s="911"/>
      <c r="VVX5079" s="911"/>
      <c r="VVY5079" s="911"/>
      <c r="VVZ5079" s="911"/>
      <c r="VWA5079" s="911"/>
      <c r="VWB5079" s="911"/>
      <c r="VWC5079" s="911"/>
      <c r="VWD5079" s="911"/>
      <c r="VWE5079" s="912"/>
      <c r="VWG5079" s="913" t="s">
        <v>1</v>
      </c>
      <c r="VWH5079" s="31"/>
      <c r="VWI5079" s="909" t="s">
        <v>0</v>
      </c>
      <c r="VWJ5079" s="909"/>
      <c r="VWK5079" s="909"/>
      <c r="VWL5079" s="909"/>
      <c r="VWM5079" s="909"/>
      <c r="VWN5079" s="909"/>
      <c r="VWO5079" s="907" t="s">
        <v>79</v>
      </c>
      <c r="VWP5079" s="909" t="s">
        <v>68</v>
      </c>
      <c r="VWQ5079" s="910" t="s">
        <v>75</v>
      </c>
      <c r="VWR5079" s="911"/>
      <c r="VWS5079" s="911"/>
      <c r="VWT5079" s="911"/>
      <c r="VWU5079" s="911"/>
      <c r="VWV5079" s="911"/>
      <c r="VWW5079" s="911"/>
      <c r="VWX5079" s="911"/>
      <c r="VWY5079" s="911"/>
      <c r="VWZ5079" s="911"/>
      <c r="VXA5079" s="32"/>
      <c r="VXB5079" s="911" t="s">
        <v>74</v>
      </c>
      <c r="VXC5079" s="911"/>
      <c r="VXD5079" s="911"/>
      <c r="VXE5079" s="911"/>
      <c r="VXF5079" s="911"/>
      <c r="VXG5079" s="911"/>
      <c r="VXH5079" s="911"/>
      <c r="VXI5079" s="911"/>
      <c r="VXJ5079" s="911"/>
      <c r="VXK5079" s="912"/>
      <c r="VXM5079" s="913" t="s">
        <v>1</v>
      </c>
      <c r="VXN5079" s="31"/>
      <c r="VXO5079" s="909" t="s">
        <v>0</v>
      </c>
      <c r="VXP5079" s="909"/>
      <c r="VXQ5079" s="909"/>
      <c r="VXR5079" s="909"/>
      <c r="VXS5079" s="909"/>
      <c r="VXT5079" s="909"/>
      <c r="VXU5079" s="907" t="s">
        <v>79</v>
      </c>
      <c r="VXV5079" s="909" t="s">
        <v>68</v>
      </c>
      <c r="VXW5079" s="910" t="s">
        <v>75</v>
      </c>
      <c r="VXX5079" s="911"/>
      <c r="VXY5079" s="911"/>
      <c r="VXZ5079" s="911"/>
      <c r="VYA5079" s="911"/>
      <c r="VYB5079" s="911"/>
      <c r="VYC5079" s="911"/>
      <c r="VYD5079" s="911"/>
      <c r="VYE5079" s="911"/>
      <c r="VYF5079" s="911"/>
      <c r="VYG5079" s="32"/>
      <c r="VYH5079" s="911" t="s">
        <v>74</v>
      </c>
      <c r="VYI5079" s="911"/>
      <c r="VYJ5079" s="911"/>
      <c r="VYK5079" s="911"/>
      <c r="VYL5079" s="911"/>
      <c r="VYM5079" s="911"/>
      <c r="VYN5079" s="911"/>
      <c r="VYO5079" s="911"/>
      <c r="VYP5079" s="911"/>
      <c r="VYQ5079" s="912"/>
      <c r="VYS5079" s="913" t="s">
        <v>1</v>
      </c>
      <c r="VYT5079" s="31"/>
      <c r="VYU5079" s="909" t="s">
        <v>0</v>
      </c>
      <c r="VYV5079" s="909"/>
      <c r="VYW5079" s="909"/>
      <c r="VYX5079" s="909"/>
      <c r="VYY5079" s="909"/>
      <c r="VYZ5079" s="909"/>
      <c r="VZA5079" s="907" t="s">
        <v>79</v>
      </c>
      <c r="VZB5079" s="909" t="s">
        <v>68</v>
      </c>
      <c r="VZC5079" s="910" t="s">
        <v>75</v>
      </c>
      <c r="VZD5079" s="911"/>
      <c r="VZE5079" s="911"/>
      <c r="VZF5079" s="911"/>
      <c r="VZG5079" s="911"/>
      <c r="VZH5079" s="911"/>
      <c r="VZI5079" s="911"/>
      <c r="VZJ5079" s="911"/>
      <c r="VZK5079" s="911"/>
      <c r="VZL5079" s="911"/>
      <c r="VZM5079" s="32"/>
      <c r="VZN5079" s="911" t="s">
        <v>74</v>
      </c>
      <c r="VZO5079" s="911"/>
      <c r="VZP5079" s="911"/>
      <c r="VZQ5079" s="911"/>
      <c r="VZR5079" s="911"/>
      <c r="VZS5079" s="911"/>
      <c r="VZT5079" s="911"/>
      <c r="VZU5079" s="911"/>
      <c r="VZV5079" s="911"/>
      <c r="VZW5079" s="912"/>
      <c r="VZY5079" s="913" t="s">
        <v>1</v>
      </c>
      <c r="VZZ5079" s="31"/>
      <c r="WAA5079" s="909" t="s">
        <v>0</v>
      </c>
      <c r="WAB5079" s="909"/>
      <c r="WAC5079" s="909"/>
      <c r="WAD5079" s="909"/>
      <c r="WAE5079" s="909"/>
      <c r="WAF5079" s="909"/>
      <c r="WAG5079" s="907" t="s">
        <v>79</v>
      </c>
      <c r="WAH5079" s="909" t="s">
        <v>68</v>
      </c>
      <c r="WAI5079" s="910" t="s">
        <v>75</v>
      </c>
      <c r="WAJ5079" s="911"/>
      <c r="WAK5079" s="911"/>
      <c r="WAL5079" s="911"/>
      <c r="WAM5079" s="911"/>
      <c r="WAN5079" s="911"/>
      <c r="WAO5079" s="911"/>
      <c r="WAP5079" s="911"/>
      <c r="WAQ5079" s="911"/>
      <c r="WAR5079" s="911"/>
      <c r="WAS5079" s="32"/>
      <c r="WAT5079" s="911" t="s">
        <v>74</v>
      </c>
      <c r="WAU5079" s="911"/>
      <c r="WAV5079" s="911"/>
      <c r="WAW5079" s="911"/>
      <c r="WAX5079" s="911"/>
      <c r="WAY5079" s="911"/>
      <c r="WAZ5079" s="911"/>
      <c r="WBA5079" s="911"/>
      <c r="WBB5079" s="911"/>
      <c r="WBC5079" s="912"/>
      <c r="WBE5079" s="913" t="s">
        <v>1</v>
      </c>
      <c r="WBF5079" s="31"/>
      <c r="WBG5079" s="909" t="s">
        <v>0</v>
      </c>
      <c r="WBH5079" s="909"/>
      <c r="WBI5079" s="909"/>
      <c r="WBJ5079" s="909"/>
      <c r="WBK5079" s="909"/>
      <c r="WBL5079" s="909"/>
      <c r="WBM5079" s="907" t="s">
        <v>79</v>
      </c>
      <c r="WBN5079" s="909" t="s">
        <v>68</v>
      </c>
      <c r="WBO5079" s="910" t="s">
        <v>75</v>
      </c>
      <c r="WBP5079" s="911"/>
      <c r="WBQ5079" s="911"/>
      <c r="WBR5079" s="911"/>
      <c r="WBS5079" s="911"/>
      <c r="WBT5079" s="911"/>
      <c r="WBU5079" s="911"/>
      <c r="WBV5079" s="911"/>
      <c r="WBW5079" s="911"/>
      <c r="WBX5079" s="911"/>
      <c r="WBY5079" s="32"/>
      <c r="WBZ5079" s="911" t="s">
        <v>74</v>
      </c>
      <c r="WCA5079" s="911"/>
      <c r="WCB5079" s="911"/>
      <c r="WCC5079" s="911"/>
      <c r="WCD5079" s="911"/>
      <c r="WCE5079" s="911"/>
      <c r="WCF5079" s="911"/>
      <c r="WCG5079" s="911"/>
      <c r="WCH5079" s="911"/>
      <c r="WCI5079" s="912"/>
      <c r="WCK5079" s="913" t="s">
        <v>1</v>
      </c>
      <c r="WCL5079" s="31"/>
      <c r="WCM5079" s="909" t="s">
        <v>0</v>
      </c>
      <c r="WCN5079" s="909"/>
      <c r="WCO5079" s="909"/>
      <c r="WCP5079" s="909"/>
      <c r="WCQ5079" s="909"/>
      <c r="WCR5079" s="909"/>
      <c r="WCS5079" s="907" t="s">
        <v>79</v>
      </c>
      <c r="WCT5079" s="909" t="s">
        <v>68</v>
      </c>
      <c r="WCU5079" s="910" t="s">
        <v>75</v>
      </c>
      <c r="WCV5079" s="911"/>
      <c r="WCW5079" s="911"/>
      <c r="WCX5079" s="911"/>
      <c r="WCY5079" s="911"/>
      <c r="WCZ5079" s="911"/>
      <c r="WDA5079" s="911"/>
      <c r="WDB5079" s="911"/>
      <c r="WDC5079" s="911"/>
      <c r="WDD5079" s="911"/>
      <c r="WDE5079" s="32"/>
      <c r="WDF5079" s="911" t="s">
        <v>74</v>
      </c>
      <c r="WDG5079" s="911"/>
      <c r="WDH5079" s="911"/>
      <c r="WDI5079" s="911"/>
      <c r="WDJ5079" s="911"/>
      <c r="WDK5079" s="911"/>
      <c r="WDL5079" s="911"/>
      <c r="WDM5079" s="911"/>
      <c r="WDN5079" s="911"/>
      <c r="WDO5079" s="912"/>
      <c r="WDQ5079" s="913" t="s">
        <v>1</v>
      </c>
      <c r="WDR5079" s="31"/>
      <c r="WDS5079" s="909" t="s">
        <v>0</v>
      </c>
      <c r="WDT5079" s="909"/>
      <c r="WDU5079" s="909"/>
      <c r="WDV5079" s="909"/>
      <c r="WDW5079" s="909"/>
      <c r="WDX5079" s="909"/>
      <c r="WDY5079" s="907" t="s">
        <v>79</v>
      </c>
      <c r="WDZ5079" s="909" t="s">
        <v>68</v>
      </c>
      <c r="WEA5079" s="910" t="s">
        <v>75</v>
      </c>
      <c r="WEB5079" s="911"/>
      <c r="WEC5079" s="911"/>
      <c r="WED5079" s="911"/>
      <c r="WEE5079" s="911"/>
      <c r="WEF5079" s="911"/>
      <c r="WEG5079" s="911"/>
      <c r="WEH5079" s="911"/>
      <c r="WEI5079" s="911"/>
      <c r="WEJ5079" s="911"/>
      <c r="WEK5079" s="32"/>
      <c r="WEL5079" s="911" t="s">
        <v>74</v>
      </c>
      <c r="WEM5079" s="911"/>
      <c r="WEN5079" s="911"/>
      <c r="WEO5079" s="911"/>
      <c r="WEP5079" s="911"/>
      <c r="WEQ5079" s="911"/>
      <c r="WER5079" s="911"/>
      <c r="WES5079" s="911"/>
      <c r="WET5079" s="911"/>
      <c r="WEU5079" s="912"/>
      <c r="WEW5079" s="913" t="s">
        <v>1</v>
      </c>
      <c r="WEX5079" s="31"/>
      <c r="WEY5079" s="909" t="s">
        <v>0</v>
      </c>
      <c r="WEZ5079" s="909"/>
      <c r="WFA5079" s="909"/>
      <c r="WFB5079" s="909"/>
      <c r="WFC5079" s="909"/>
      <c r="WFD5079" s="909"/>
      <c r="WFE5079" s="907" t="s">
        <v>79</v>
      </c>
      <c r="WFF5079" s="909" t="s">
        <v>68</v>
      </c>
      <c r="WFG5079" s="910" t="s">
        <v>75</v>
      </c>
      <c r="WFH5079" s="911"/>
      <c r="WFI5079" s="911"/>
      <c r="WFJ5079" s="911"/>
      <c r="WFK5079" s="911"/>
      <c r="WFL5079" s="911"/>
      <c r="WFM5079" s="911"/>
      <c r="WFN5079" s="911"/>
      <c r="WFO5079" s="911"/>
      <c r="WFP5079" s="911"/>
      <c r="WFQ5079" s="32"/>
      <c r="WFR5079" s="911" t="s">
        <v>74</v>
      </c>
      <c r="WFS5079" s="911"/>
      <c r="WFT5079" s="911"/>
      <c r="WFU5079" s="911"/>
      <c r="WFV5079" s="911"/>
      <c r="WFW5079" s="911"/>
      <c r="WFX5079" s="911"/>
      <c r="WFY5079" s="911"/>
      <c r="WFZ5079" s="911"/>
      <c r="WGA5079" s="912"/>
      <c r="WGC5079" s="913" t="s">
        <v>1</v>
      </c>
      <c r="WGD5079" s="31"/>
      <c r="WGE5079" s="909" t="s">
        <v>0</v>
      </c>
      <c r="WGF5079" s="909"/>
      <c r="WGG5079" s="909"/>
      <c r="WGH5079" s="909"/>
      <c r="WGI5079" s="909"/>
      <c r="WGJ5079" s="909"/>
      <c r="WGK5079" s="907" t="s">
        <v>79</v>
      </c>
      <c r="WGL5079" s="909" t="s">
        <v>68</v>
      </c>
      <c r="WGM5079" s="910" t="s">
        <v>75</v>
      </c>
      <c r="WGN5079" s="911"/>
      <c r="WGO5079" s="911"/>
      <c r="WGP5079" s="911"/>
      <c r="WGQ5079" s="911"/>
      <c r="WGR5079" s="911"/>
      <c r="WGS5079" s="911"/>
      <c r="WGT5079" s="911"/>
      <c r="WGU5079" s="911"/>
      <c r="WGV5079" s="911"/>
      <c r="WGW5079" s="32"/>
      <c r="WGX5079" s="911" t="s">
        <v>74</v>
      </c>
      <c r="WGY5079" s="911"/>
      <c r="WGZ5079" s="911"/>
      <c r="WHA5079" s="911"/>
      <c r="WHB5079" s="911"/>
      <c r="WHC5079" s="911"/>
      <c r="WHD5079" s="911"/>
      <c r="WHE5079" s="911"/>
      <c r="WHF5079" s="911"/>
      <c r="WHG5079" s="912"/>
      <c r="WHI5079" s="913" t="s">
        <v>1</v>
      </c>
      <c r="WHJ5079" s="31"/>
      <c r="WHK5079" s="909" t="s">
        <v>0</v>
      </c>
      <c r="WHL5079" s="909"/>
      <c r="WHM5079" s="909"/>
      <c r="WHN5079" s="909"/>
      <c r="WHO5079" s="909"/>
      <c r="WHP5079" s="909"/>
      <c r="WHQ5079" s="907" t="s">
        <v>79</v>
      </c>
      <c r="WHR5079" s="909" t="s">
        <v>68</v>
      </c>
      <c r="WHS5079" s="910" t="s">
        <v>75</v>
      </c>
      <c r="WHT5079" s="911"/>
      <c r="WHU5079" s="911"/>
      <c r="WHV5079" s="911"/>
      <c r="WHW5079" s="911"/>
      <c r="WHX5079" s="911"/>
      <c r="WHY5079" s="911"/>
      <c r="WHZ5079" s="911"/>
      <c r="WIA5079" s="911"/>
      <c r="WIB5079" s="911"/>
      <c r="WIC5079" s="32"/>
      <c r="WID5079" s="911" t="s">
        <v>74</v>
      </c>
      <c r="WIE5079" s="911"/>
      <c r="WIF5079" s="911"/>
      <c r="WIG5079" s="911"/>
      <c r="WIH5079" s="911"/>
      <c r="WII5079" s="911"/>
      <c r="WIJ5079" s="911"/>
      <c r="WIK5079" s="911"/>
      <c r="WIL5079" s="911"/>
      <c r="WIM5079" s="912"/>
      <c r="WIO5079" s="913" t="s">
        <v>1</v>
      </c>
      <c r="WIP5079" s="31"/>
      <c r="WIQ5079" s="909" t="s">
        <v>0</v>
      </c>
      <c r="WIR5079" s="909"/>
      <c r="WIS5079" s="909"/>
      <c r="WIT5079" s="909"/>
      <c r="WIU5079" s="909"/>
      <c r="WIV5079" s="909"/>
      <c r="WIW5079" s="907" t="s">
        <v>79</v>
      </c>
      <c r="WIX5079" s="909" t="s">
        <v>68</v>
      </c>
      <c r="WIY5079" s="910" t="s">
        <v>75</v>
      </c>
      <c r="WIZ5079" s="911"/>
      <c r="WJA5079" s="911"/>
      <c r="WJB5079" s="911"/>
      <c r="WJC5079" s="911"/>
      <c r="WJD5079" s="911"/>
      <c r="WJE5079" s="911"/>
      <c r="WJF5079" s="911"/>
      <c r="WJG5079" s="911"/>
      <c r="WJH5079" s="911"/>
      <c r="WJI5079" s="32"/>
      <c r="WJJ5079" s="911" t="s">
        <v>74</v>
      </c>
      <c r="WJK5079" s="911"/>
      <c r="WJL5079" s="911"/>
      <c r="WJM5079" s="911"/>
      <c r="WJN5079" s="911"/>
      <c r="WJO5079" s="911"/>
      <c r="WJP5079" s="911"/>
      <c r="WJQ5079" s="911"/>
      <c r="WJR5079" s="911"/>
      <c r="WJS5079" s="912"/>
      <c r="WJU5079" s="913" t="s">
        <v>1</v>
      </c>
      <c r="WJV5079" s="31"/>
      <c r="WJW5079" s="909" t="s">
        <v>0</v>
      </c>
      <c r="WJX5079" s="909"/>
      <c r="WJY5079" s="909"/>
      <c r="WJZ5079" s="909"/>
      <c r="WKA5079" s="909"/>
      <c r="WKB5079" s="909"/>
      <c r="WKC5079" s="907" t="s">
        <v>79</v>
      </c>
      <c r="WKD5079" s="909" t="s">
        <v>68</v>
      </c>
      <c r="WKE5079" s="910" t="s">
        <v>75</v>
      </c>
      <c r="WKF5079" s="911"/>
      <c r="WKG5079" s="911"/>
      <c r="WKH5079" s="911"/>
      <c r="WKI5079" s="911"/>
      <c r="WKJ5079" s="911"/>
      <c r="WKK5079" s="911"/>
      <c r="WKL5079" s="911"/>
      <c r="WKM5079" s="911"/>
      <c r="WKN5079" s="911"/>
      <c r="WKO5079" s="32"/>
      <c r="WKP5079" s="911" t="s">
        <v>74</v>
      </c>
      <c r="WKQ5079" s="911"/>
      <c r="WKR5079" s="911"/>
      <c r="WKS5079" s="911"/>
      <c r="WKT5079" s="911"/>
      <c r="WKU5079" s="911"/>
      <c r="WKV5079" s="911"/>
      <c r="WKW5079" s="911"/>
      <c r="WKX5079" s="911"/>
      <c r="WKY5079" s="912"/>
      <c r="WLA5079" s="913" t="s">
        <v>1</v>
      </c>
      <c r="WLB5079" s="31"/>
      <c r="WLC5079" s="909" t="s">
        <v>0</v>
      </c>
      <c r="WLD5079" s="909"/>
      <c r="WLE5079" s="909"/>
      <c r="WLF5079" s="909"/>
      <c r="WLG5079" s="909"/>
      <c r="WLH5079" s="909"/>
      <c r="WLI5079" s="907" t="s">
        <v>79</v>
      </c>
      <c r="WLJ5079" s="909" t="s">
        <v>68</v>
      </c>
      <c r="WLK5079" s="910" t="s">
        <v>75</v>
      </c>
      <c r="WLL5079" s="911"/>
      <c r="WLM5079" s="911"/>
      <c r="WLN5079" s="911"/>
      <c r="WLO5079" s="911"/>
      <c r="WLP5079" s="911"/>
      <c r="WLQ5079" s="911"/>
      <c r="WLR5079" s="911"/>
      <c r="WLS5079" s="911"/>
      <c r="WLT5079" s="911"/>
      <c r="WLU5079" s="32"/>
      <c r="WLV5079" s="911" t="s">
        <v>74</v>
      </c>
      <c r="WLW5079" s="911"/>
      <c r="WLX5079" s="911"/>
      <c r="WLY5079" s="911"/>
      <c r="WLZ5079" s="911"/>
      <c r="WMA5079" s="911"/>
      <c r="WMB5079" s="911"/>
      <c r="WMC5079" s="911"/>
      <c r="WMD5079" s="911"/>
      <c r="WME5079" s="912"/>
      <c r="WMG5079" s="913" t="s">
        <v>1</v>
      </c>
      <c r="WMH5079" s="31"/>
      <c r="WMI5079" s="909" t="s">
        <v>0</v>
      </c>
      <c r="WMJ5079" s="909"/>
      <c r="WMK5079" s="909"/>
      <c r="WML5079" s="909"/>
      <c r="WMM5079" s="909"/>
      <c r="WMN5079" s="909"/>
      <c r="WMO5079" s="907" t="s">
        <v>79</v>
      </c>
      <c r="WMP5079" s="909" t="s">
        <v>68</v>
      </c>
      <c r="WMQ5079" s="910" t="s">
        <v>75</v>
      </c>
      <c r="WMR5079" s="911"/>
      <c r="WMS5079" s="911"/>
      <c r="WMT5079" s="911"/>
      <c r="WMU5079" s="911"/>
      <c r="WMV5079" s="911"/>
      <c r="WMW5079" s="911"/>
      <c r="WMX5079" s="911"/>
      <c r="WMY5079" s="911"/>
      <c r="WMZ5079" s="911"/>
      <c r="WNA5079" s="32"/>
      <c r="WNB5079" s="911" t="s">
        <v>74</v>
      </c>
      <c r="WNC5079" s="911"/>
      <c r="WND5079" s="911"/>
      <c r="WNE5079" s="911"/>
      <c r="WNF5079" s="911"/>
      <c r="WNG5079" s="911"/>
      <c r="WNH5079" s="911"/>
      <c r="WNI5079" s="911"/>
      <c r="WNJ5079" s="911"/>
      <c r="WNK5079" s="912"/>
      <c r="WNM5079" s="913" t="s">
        <v>1</v>
      </c>
      <c r="WNN5079" s="31"/>
      <c r="WNO5079" s="909" t="s">
        <v>0</v>
      </c>
      <c r="WNP5079" s="909"/>
      <c r="WNQ5079" s="909"/>
      <c r="WNR5079" s="909"/>
      <c r="WNS5079" s="909"/>
      <c r="WNT5079" s="909"/>
      <c r="WNU5079" s="907" t="s">
        <v>79</v>
      </c>
      <c r="WNV5079" s="909" t="s">
        <v>68</v>
      </c>
      <c r="WNW5079" s="910" t="s">
        <v>75</v>
      </c>
      <c r="WNX5079" s="911"/>
      <c r="WNY5079" s="911"/>
      <c r="WNZ5079" s="911"/>
      <c r="WOA5079" s="911"/>
      <c r="WOB5079" s="911"/>
      <c r="WOC5079" s="911"/>
      <c r="WOD5079" s="911"/>
      <c r="WOE5079" s="911"/>
      <c r="WOF5079" s="911"/>
      <c r="WOG5079" s="32"/>
      <c r="WOH5079" s="911" t="s">
        <v>74</v>
      </c>
      <c r="WOI5079" s="911"/>
      <c r="WOJ5079" s="911"/>
      <c r="WOK5079" s="911"/>
      <c r="WOL5079" s="911"/>
      <c r="WOM5079" s="911"/>
      <c r="WON5079" s="911"/>
      <c r="WOO5079" s="911"/>
      <c r="WOP5079" s="911"/>
      <c r="WOQ5079" s="912"/>
      <c r="WOS5079" s="913" t="s">
        <v>1</v>
      </c>
      <c r="WOT5079" s="31"/>
      <c r="WOU5079" s="909" t="s">
        <v>0</v>
      </c>
      <c r="WOV5079" s="909"/>
      <c r="WOW5079" s="909"/>
      <c r="WOX5079" s="909"/>
      <c r="WOY5079" s="909"/>
      <c r="WOZ5079" s="909"/>
      <c r="WPA5079" s="907" t="s">
        <v>79</v>
      </c>
      <c r="WPB5079" s="909" t="s">
        <v>68</v>
      </c>
      <c r="WPC5079" s="910" t="s">
        <v>75</v>
      </c>
      <c r="WPD5079" s="911"/>
      <c r="WPE5079" s="911"/>
      <c r="WPF5079" s="911"/>
      <c r="WPG5079" s="911"/>
      <c r="WPH5079" s="911"/>
      <c r="WPI5079" s="911"/>
      <c r="WPJ5079" s="911"/>
      <c r="WPK5079" s="911"/>
      <c r="WPL5079" s="911"/>
      <c r="WPM5079" s="32"/>
      <c r="WPN5079" s="911" t="s">
        <v>74</v>
      </c>
      <c r="WPO5079" s="911"/>
      <c r="WPP5079" s="911"/>
      <c r="WPQ5079" s="911"/>
      <c r="WPR5079" s="911"/>
      <c r="WPS5079" s="911"/>
      <c r="WPT5079" s="911"/>
      <c r="WPU5079" s="911"/>
      <c r="WPV5079" s="911"/>
      <c r="WPW5079" s="912"/>
      <c r="WPY5079" s="913" t="s">
        <v>1</v>
      </c>
      <c r="WPZ5079" s="31"/>
      <c r="WQA5079" s="909" t="s">
        <v>0</v>
      </c>
      <c r="WQB5079" s="909"/>
      <c r="WQC5079" s="909"/>
      <c r="WQD5079" s="909"/>
      <c r="WQE5079" s="909"/>
      <c r="WQF5079" s="909"/>
      <c r="WQG5079" s="907" t="s">
        <v>79</v>
      </c>
      <c r="WQH5079" s="909" t="s">
        <v>68</v>
      </c>
      <c r="WQI5079" s="910" t="s">
        <v>75</v>
      </c>
      <c r="WQJ5079" s="911"/>
      <c r="WQK5079" s="911"/>
      <c r="WQL5079" s="911"/>
      <c r="WQM5079" s="911"/>
      <c r="WQN5079" s="911"/>
      <c r="WQO5079" s="911"/>
      <c r="WQP5079" s="911"/>
      <c r="WQQ5079" s="911"/>
      <c r="WQR5079" s="911"/>
      <c r="WQS5079" s="32"/>
      <c r="WQT5079" s="911" t="s">
        <v>74</v>
      </c>
      <c r="WQU5079" s="911"/>
      <c r="WQV5079" s="911"/>
      <c r="WQW5079" s="911"/>
      <c r="WQX5079" s="911"/>
      <c r="WQY5079" s="911"/>
      <c r="WQZ5079" s="911"/>
      <c r="WRA5079" s="911"/>
      <c r="WRB5079" s="911"/>
      <c r="WRC5079" s="912"/>
      <c r="WRE5079" s="913" t="s">
        <v>1</v>
      </c>
      <c r="WRF5079" s="31"/>
      <c r="WRG5079" s="909" t="s">
        <v>0</v>
      </c>
      <c r="WRH5079" s="909"/>
      <c r="WRI5079" s="909"/>
      <c r="WRJ5079" s="909"/>
      <c r="WRK5079" s="909"/>
      <c r="WRL5079" s="909"/>
      <c r="WRM5079" s="907" t="s">
        <v>79</v>
      </c>
      <c r="WRN5079" s="909" t="s">
        <v>68</v>
      </c>
      <c r="WRO5079" s="910" t="s">
        <v>75</v>
      </c>
      <c r="WRP5079" s="911"/>
      <c r="WRQ5079" s="911"/>
      <c r="WRR5079" s="911"/>
      <c r="WRS5079" s="911"/>
      <c r="WRT5079" s="911"/>
      <c r="WRU5079" s="911"/>
      <c r="WRV5079" s="911"/>
      <c r="WRW5079" s="911"/>
      <c r="WRX5079" s="911"/>
      <c r="WRY5079" s="32"/>
      <c r="WRZ5079" s="911" t="s">
        <v>74</v>
      </c>
      <c r="WSA5079" s="911"/>
      <c r="WSB5079" s="911"/>
      <c r="WSC5079" s="911"/>
      <c r="WSD5079" s="911"/>
      <c r="WSE5079" s="911"/>
      <c r="WSF5079" s="911"/>
      <c r="WSG5079" s="911"/>
      <c r="WSH5079" s="911"/>
      <c r="WSI5079" s="912"/>
      <c r="WSK5079" s="913" t="s">
        <v>1</v>
      </c>
      <c r="WSL5079" s="31"/>
      <c r="WSM5079" s="909" t="s">
        <v>0</v>
      </c>
      <c r="WSN5079" s="909"/>
      <c r="WSO5079" s="909"/>
      <c r="WSP5079" s="909"/>
      <c r="WSQ5079" s="909"/>
      <c r="WSR5079" s="909"/>
      <c r="WSS5079" s="907" t="s">
        <v>79</v>
      </c>
      <c r="WST5079" s="909" t="s">
        <v>68</v>
      </c>
      <c r="WSU5079" s="910" t="s">
        <v>75</v>
      </c>
      <c r="WSV5079" s="911"/>
      <c r="WSW5079" s="911"/>
      <c r="WSX5079" s="911"/>
      <c r="WSY5079" s="911"/>
      <c r="WSZ5079" s="911"/>
      <c r="WTA5079" s="911"/>
      <c r="WTB5079" s="911"/>
      <c r="WTC5079" s="911"/>
      <c r="WTD5079" s="911"/>
      <c r="WTE5079" s="32"/>
      <c r="WTF5079" s="911" t="s">
        <v>74</v>
      </c>
      <c r="WTG5079" s="911"/>
      <c r="WTH5079" s="911"/>
      <c r="WTI5079" s="911"/>
      <c r="WTJ5079" s="911"/>
      <c r="WTK5079" s="911"/>
      <c r="WTL5079" s="911"/>
      <c r="WTM5079" s="911"/>
      <c r="WTN5079" s="911"/>
      <c r="WTO5079" s="912"/>
      <c r="WTQ5079" s="913" t="s">
        <v>1</v>
      </c>
      <c r="WTR5079" s="31"/>
      <c r="WTS5079" s="909" t="s">
        <v>0</v>
      </c>
      <c r="WTT5079" s="909"/>
      <c r="WTU5079" s="909"/>
      <c r="WTV5079" s="909"/>
      <c r="WTW5079" s="909"/>
      <c r="WTX5079" s="909"/>
      <c r="WTY5079" s="907" t="s">
        <v>79</v>
      </c>
      <c r="WTZ5079" s="909" t="s">
        <v>68</v>
      </c>
      <c r="WUA5079" s="910" t="s">
        <v>75</v>
      </c>
      <c r="WUB5079" s="911"/>
      <c r="WUC5079" s="911"/>
      <c r="WUD5079" s="911"/>
      <c r="WUE5079" s="911"/>
      <c r="WUF5079" s="911"/>
      <c r="WUG5079" s="911"/>
      <c r="WUH5079" s="911"/>
      <c r="WUI5079" s="911"/>
      <c r="WUJ5079" s="911"/>
      <c r="WUK5079" s="32"/>
      <c r="WUL5079" s="911" t="s">
        <v>74</v>
      </c>
      <c r="WUM5079" s="911"/>
      <c r="WUN5079" s="911"/>
      <c r="WUO5079" s="911"/>
      <c r="WUP5079" s="911"/>
      <c r="WUQ5079" s="911"/>
      <c r="WUR5079" s="911"/>
      <c r="WUS5079" s="911"/>
      <c r="WUT5079" s="911"/>
      <c r="WUU5079" s="912"/>
      <c r="WUW5079" s="913" t="s">
        <v>1</v>
      </c>
      <c r="WUX5079" s="31"/>
      <c r="WUY5079" s="909" t="s">
        <v>0</v>
      </c>
      <c r="WUZ5079" s="909"/>
      <c r="WVA5079" s="909"/>
      <c r="WVB5079" s="909"/>
      <c r="WVC5079" s="909"/>
      <c r="WVD5079" s="909"/>
      <c r="WVE5079" s="907" t="s">
        <v>79</v>
      </c>
      <c r="WVF5079" s="909" t="s">
        <v>68</v>
      </c>
      <c r="WVG5079" s="910" t="s">
        <v>75</v>
      </c>
      <c r="WVH5079" s="911"/>
      <c r="WVI5079" s="911"/>
      <c r="WVJ5079" s="911"/>
      <c r="WVK5079" s="911"/>
      <c r="WVL5079" s="911"/>
      <c r="WVM5079" s="911"/>
      <c r="WVN5079" s="911"/>
      <c r="WVO5079" s="911"/>
      <c r="WVP5079" s="911"/>
      <c r="WVQ5079" s="32"/>
      <c r="WVR5079" s="911" t="s">
        <v>74</v>
      </c>
      <c r="WVS5079" s="911"/>
      <c r="WVT5079" s="911"/>
      <c r="WVU5079" s="911"/>
      <c r="WVV5079" s="911"/>
      <c r="WVW5079" s="911"/>
      <c r="WVX5079" s="911"/>
      <c r="WVY5079" s="911"/>
      <c r="WVZ5079" s="911"/>
      <c r="WWA5079" s="912"/>
      <c r="WWC5079" s="913" t="s">
        <v>1</v>
      </c>
      <c r="WWD5079" s="31"/>
      <c r="WWE5079" s="909" t="s">
        <v>0</v>
      </c>
      <c r="WWF5079" s="909"/>
      <c r="WWG5079" s="909"/>
      <c r="WWH5079" s="909"/>
      <c r="WWI5079" s="909"/>
      <c r="WWJ5079" s="909"/>
      <c r="WWK5079" s="907" t="s">
        <v>79</v>
      </c>
      <c r="WWL5079" s="909" t="s">
        <v>68</v>
      </c>
      <c r="WWM5079" s="910" t="s">
        <v>75</v>
      </c>
      <c r="WWN5079" s="911"/>
      <c r="WWO5079" s="911"/>
      <c r="WWP5079" s="911"/>
      <c r="WWQ5079" s="911"/>
      <c r="WWR5079" s="911"/>
      <c r="WWS5079" s="911"/>
      <c r="WWT5079" s="911"/>
      <c r="WWU5079" s="911"/>
      <c r="WWV5079" s="911"/>
      <c r="WWW5079" s="32"/>
      <c r="WWX5079" s="911" t="s">
        <v>74</v>
      </c>
      <c r="WWY5079" s="911"/>
      <c r="WWZ5079" s="911"/>
      <c r="WXA5079" s="911"/>
      <c r="WXB5079" s="911"/>
      <c r="WXC5079" s="911"/>
      <c r="WXD5079" s="911"/>
      <c r="WXE5079" s="911"/>
      <c r="WXF5079" s="911"/>
      <c r="WXG5079" s="912"/>
      <c r="WXI5079" s="913" t="s">
        <v>1</v>
      </c>
      <c r="WXJ5079" s="31"/>
      <c r="WXK5079" s="909" t="s">
        <v>0</v>
      </c>
      <c r="WXL5079" s="909"/>
      <c r="WXM5079" s="909"/>
      <c r="WXN5079" s="909"/>
      <c r="WXO5079" s="909"/>
      <c r="WXP5079" s="909"/>
      <c r="WXQ5079" s="907" t="s">
        <v>79</v>
      </c>
      <c r="WXR5079" s="909" t="s">
        <v>68</v>
      </c>
      <c r="WXS5079" s="910" t="s">
        <v>75</v>
      </c>
      <c r="WXT5079" s="911"/>
      <c r="WXU5079" s="911"/>
      <c r="WXV5079" s="911"/>
      <c r="WXW5079" s="911"/>
      <c r="WXX5079" s="911"/>
      <c r="WXY5079" s="911"/>
      <c r="WXZ5079" s="911"/>
      <c r="WYA5079" s="911"/>
      <c r="WYB5079" s="911"/>
      <c r="WYC5079" s="32"/>
      <c r="WYD5079" s="911" t="s">
        <v>74</v>
      </c>
      <c r="WYE5079" s="911"/>
      <c r="WYF5079" s="911"/>
      <c r="WYG5079" s="911"/>
      <c r="WYH5079" s="911"/>
      <c r="WYI5079" s="911"/>
      <c r="WYJ5079" s="911"/>
      <c r="WYK5079" s="911"/>
      <c r="WYL5079" s="911"/>
      <c r="WYM5079" s="912"/>
      <c r="WYO5079" s="913" t="s">
        <v>1</v>
      </c>
      <c r="WYP5079" s="31"/>
      <c r="WYQ5079" s="909" t="s">
        <v>0</v>
      </c>
      <c r="WYR5079" s="909"/>
      <c r="WYS5079" s="909"/>
      <c r="WYT5079" s="909"/>
      <c r="WYU5079" s="909"/>
      <c r="WYV5079" s="909"/>
      <c r="WYW5079" s="907" t="s">
        <v>79</v>
      </c>
      <c r="WYX5079" s="909" t="s">
        <v>68</v>
      </c>
      <c r="WYY5079" s="910" t="s">
        <v>75</v>
      </c>
      <c r="WYZ5079" s="911"/>
      <c r="WZA5079" s="911"/>
      <c r="WZB5079" s="911"/>
      <c r="WZC5079" s="911"/>
      <c r="WZD5079" s="911"/>
      <c r="WZE5079" s="911"/>
      <c r="WZF5079" s="911"/>
      <c r="WZG5079" s="911"/>
      <c r="WZH5079" s="911"/>
      <c r="WZI5079" s="32"/>
      <c r="WZJ5079" s="911" t="s">
        <v>74</v>
      </c>
      <c r="WZK5079" s="911"/>
      <c r="WZL5079" s="911"/>
      <c r="WZM5079" s="911"/>
      <c r="WZN5079" s="911"/>
      <c r="WZO5079" s="911"/>
      <c r="WZP5079" s="911"/>
      <c r="WZQ5079" s="911"/>
      <c r="WZR5079" s="911"/>
      <c r="WZS5079" s="912"/>
      <c r="WZU5079" s="913" t="s">
        <v>1</v>
      </c>
      <c r="WZV5079" s="31"/>
      <c r="WZW5079" s="909" t="s">
        <v>0</v>
      </c>
      <c r="WZX5079" s="909"/>
      <c r="WZY5079" s="909"/>
      <c r="WZZ5079" s="909"/>
      <c r="XAA5079" s="909"/>
      <c r="XAB5079" s="909"/>
      <c r="XAC5079" s="907" t="s">
        <v>79</v>
      </c>
      <c r="XAD5079" s="909" t="s">
        <v>68</v>
      </c>
      <c r="XAE5079" s="910" t="s">
        <v>75</v>
      </c>
      <c r="XAF5079" s="911"/>
      <c r="XAG5079" s="911"/>
      <c r="XAH5079" s="911"/>
      <c r="XAI5079" s="911"/>
      <c r="XAJ5079" s="911"/>
      <c r="XAK5079" s="911"/>
      <c r="XAL5079" s="911"/>
      <c r="XAM5079" s="911"/>
      <c r="XAN5079" s="911"/>
      <c r="XAO5079" s="32"/>
      <c r="XAP5079" s="911" t="s">
        <v>74</v>
      </c>
      <c r="XAQ5079" s="911"/>
      <c r="XAR5079" s="911"/>
      <c r="XAS5079" s="911"/>
      <c r="XAT5079" s="911"/>
      <c r="XAU5079" s="911"/>
      <c r="XAV5079" s="911"/>
      <c r="XAW5079" s="911"/>
      <c r="XAX5079" s="911"/>
      <c r="XAY5079" s="912"/>
      <c r="XBA5079" s="913" t="s">
        <v>1</v>
      </c>
      <c r="XBB5079" s="31"/>
      <c r="XBC5079" s="909" t="s">
        <v>0</v>
      </c>
      <c r="XBD5079" s="909"/>
      <c r="XBE5079" s="909"/>
      <c r="XBF5079" s="909"/>
      <c r="XBG5079" s="909"/>
      <c r="XBH5079" s="909"/>
      <c r="XBI5079" s="907" t="s">
        <v>79</v>
      </c>
      <c r="XBJ5079" s="909" t="s">
        <v>68</v>
      </c>
      <c r="XBK5079" s="910" t="s">
        <v>75</v>
      </c>
      <c r="XBL5079" s="911"/>
      <c r="XBM5079" s="911"/>
      <c r="XBN5079" s="911"/>
      <c r="XBO5079" s="911"/>
      <c r="XBP5079" s="911"/>
      <c r="XBQ5079" s="911"/>
      <c r="XBR5079" s="911"/>
      <c r="XBS5079" s="911"/>
      <c r="XBT5079" s="911"/>
      <c r="XBU5079" s="32"/>
      <c r="XBV5079" s="911" t="s">
        <v>74</v>
      </c>
      <c r="XBW5079" s="911"/>
      <c r="XBX5079" s="911"/>
      <c r="XBY5079" s="911"/>
      <c r="XBZ5079" s="911"/>
      <c r="XCA5079" s="911"/>
      <c r="XCB5079" s="911"/>
      <c r="XCC5079" s="911"/>
      <c r="XCD5079" s="911"/>
      <c r="XCE5079" s="912"/>
      <c r="XCG5079" s="913" t="s">
        <v>1</v>
      </c>
      <c r="XCH5079" s="31"/>
      <c r="XCI5079" s="909" t="s">
        <v>0</v>
      </c>
      <c r="XCJ5079" s="909"/>
      <c r="XCK5079" s="909"/>
      <c r="XCL5079" s="909"/>
      <c r="XCM5079" s="909"/>
      <c r="XCN5079" s="909"/>
      <c r="XCO5079" s="907" t="s">
        <v>79</v>
      </c>
      <c r="XCP5079" s="909" t="s">
        <v>68</v>
      </c>
      <c r="XCQ5079" s="910" t="s">
        <v>75</v>
      </c>
      <c r="XCR5079" s="911"/>
      <c r="XCS5079" s="911"/>
      <c r="XCT5079" s="911"/>
      <c r="XCU5079" s="911"/>
      <c r="XCV5079" s="911"/>
      <c r="XCW5079" s="911"/>
      <c r="XCX5079" s="911"/>
      <c r="XCY5079" s="911"/>
      <c r="XCZ5079" s="911"/>
      <c r="XDA5079" s="32"/>
      <c r="XDB5079" s="911" t="s">
        <v>74</v>
      </c>
      <c r="XDC5079" s="911"/>
      <c r="XDD5079" s="911"/>
      <c r="XDE5079" s="911"/>
      <c r="XDF5079" s="911"/>
      <c r="XDG5079" s="911"/>
      <c r="XDH5079" s="911"/>
      <c r="XDI5079" s="911"/>
      <c r="XDJ5079" s="911"/>
      <c r="XDK5079" s="912"/>
      <c r="XDM5079" s="913" t="s">
        <v>1</v>
      </c>
      <c r="XDN5079" s="31"/>
      <c r="XDO5079" s="909" t="s">
        <v>0</v>
      </c>
      <c r="XDP5079" s="909"/>
      <c r="XDQ5079" s="909"/>
      <c r="XDR5079" s="909"/>
      <c r="XDS5079" s="909"/>
      <c r="XDT5079" s="909"/>
      <c r="XDU5079" s="907" t="s">
        <v>79</v>
      </c>
      <c r="XDV5079" s="909" t="s">
        <v>68</v>
      </c>
      <c r="XDW5079" s="910" t="s">
        <v>75</v>
      </c>
      <c r="XDX5079" s="911"/>
      <c r="XDY5079" s="911"/>
      <c r="XDZ5079" s="911"/>
      <c r="XEA5079" s="911"/>
      <c r="XEB5079" s="911"/>
      <c r="XEC5079" s="911"/>
      <c r="XED5079" s="911"/>
      <c r="XEE5079" s="911"/>
      <c r="XEF5079" s="911"/>
      <c r="XEG5079" s="32"/>
      <c r="XEH5079" s="911" t="s">
        <v>74</v>
      </c>
      <c r="XEI5079" s="911"/>
      <c r="XEJ5079" s="911"/>
      <c r="XEK5079" s="911"/>
      <c r="XEL5079" s="911"/>
      <c r="XEM5079" s="911"/>
      <c r="XEN5079" s="911"/>
      <c r="XEO5079" s="911"/>
      <c r="XEP5079" s="911"/>
      <c r="XEQ5079" s="912"/>
    </row>
    <row r="5080" spans="1:16372">
      <c r="A5080" s="1">
        <v>100</v>
      </c>
      <c r="B5080" s="1">
        <v>2.9689999999999999</v>
      </c>
      <c r="C5080" s="1">
        <v>2.9430000000000001</v>
      </c>
      <c r="D5080" s="1">
        <v>2.93</v>
      </c>
      <c r="E5080" s="1">
        <v>2.9180000000000001</v>
      </c>
      <c r="F5080" s="1">
        <v>2.9049999999999998</v>
      </c>
      <c r="G5080" s="1">
        <v>2.8919999999999999</v>
      </c>
      <c r="H5080" s="1">
        <v>2.8660000000000001</v>
      </c>
      <c r="I5080" s="1">
        <v>2.84</v>
      </c>
      <c r="J5080" s="21">
        <v>4750</v>
      </c>
      <c r="K5080" s="1">
        <v>200</v>
      </c>
      <c r="L5080" s="1">
        <v>-172.70099999999999</v>
      </c>
      <c r="M5080" s="1">
        <v>-152.62899999999999</v>
      </c>
      <c r="N5080" s="1">
        <v>-112.774</v>
      </c>
      <c r="O5080" s="1">
        <v>-56.393000000000001</v>
      </c>
      <c r="P5080" s="365">
        <v>0</v>
      </c>
      <c r="Q5080" s="1">
        <v>56.4</v>
      </c>
      <c r="R5080" s="1">
        <v>112.84</v>
      </c>
      <c r="S5080" s="1">
        <v>169.352</v>
      </c>
      <c r="T5080" s="1">
        <v>225.97499999999999</v>
      </c>
      <c r="U5080" s="25"/>
      <c r="V5080" s="1">
        <f>trim</f>
        <v>0.36</v>
      </c>
      <c r="AA5080" s="30"/>
      <c r="AB5080" s="42"/>
      <c r="AC5080" s="919"/>
      <c r="AD5080" s="918"/>
      <c r="AE5080" s="33"/>
      <c r="AF5080" s="33"/>
      <c r="AG5080" s="33"/>
      <c r="AH5080" s="33"/>
      <c r="AI5080" s="33"/>
      <c r="AJ5080" s="33"/>
      <c r="AK5080" s="33"/>
      <c r="AL5080" s="33"/>
      <c r="AM5080" s="33"/>
      <c r="AN5080" s="33"/>
      <c r="AO5080" s="33"/>
      <c r="AP5080" s="33"/>
      <c r="AQ5080" s="33"/>
      <c r="AR5080" s="33"/>
      <c r="AS5080" s="33"/>
      <c r="AT5080" s="33"/>
      <c r="AU5080" s="33"/>
      <c r="AV5080" s="33"/>
      <c r="AW5080" s="33"/>
      <c r="AX5080" s="33"/>
      <c r="AY5080" s="33"/>
      <c r="BA5080" s="913"/>
      <c r="BB5080" s="31">
        <v>1</v>
      </c>
      <c r="BC5080" s="34">
        <v>0</v>
      </c>
      <c r="BD5080" s="34">
        <v>-1</v>
      </c>
      <c r="BE5080" s="34">
        <v>-2</v>
      </c>
      <c r="BF5080" s="34">
        <v>-3</v>
      </c>
      <c r="BG5080" s="34">
        <v>-4</v>
      </c>
      <c r="BH5080" s="34">
        <v>-5</v>
      </c>
      <c r="BI5080" s="908"/>
      <c r="BJ5080" s="909"/>
      <c r="BK5080" s="34">
        <v>-5</v>
      </c>
      <c r="BL5080" s="34">
        <v>-4.5</v>
      </c>
      <c r="BM5080" s="34">
        <v>-4</v>
      </c>
      <c r="BN5080" s="34">
        <v>-3.5</v>
      </c>
      <c r="BO5080" s="34">
        <v>-3</v>
      </c>
      <c r="BP5080" s="34">
        <v>-2.5</v>
      </c>
      <c r="BQ5080" s="34">
        <v>-2</v>
      </c>
      <c r="BR5080" s="34">
        <v>-1.5</v>
      </c>
      <c r="BS5080" s="34">
        <v>-1</v>
      </c>
      <c r="BT5080" s="34">
        <v>-0.5</v>
      </c>
      <c r="BU5080" s="34">
        <v>0</v>
      </c>
      <c r="BV5080" s="34">
        <v>0.5</v>
      </c>
      <c r="BW5080" s="34">
        <v>1</v>
      </c>
      <c r="BX5080" s="34">
        <v>1.5</v>
      </c>
      <c r="BY5080" s="34">
        <v>2</v>
      </c>
      <c r="BZ5080" s="34">
        <v>2.5</v>
      </c>
      <c r="CA5080" s="34">
        <v>3</v>
      </c>
      <c r="CB5080" s="34">
        <v>3.5</v>
      </c>
      <c r="CC5080" s="34">
        <v>4</v>
      </c>
      <c r="CD5080" s="34">
        <v>4.5</v>
      </c>
      <c r="CE5080" s="34">
        <v>5</v>
      </c>
      <c r="CG5080" s="913"/>
      <c r="CH5080" s="31">
        <v>1</v>
      </c>
      <c r="CI5080" s="34">
        <v>0</v>
      </c>
      <c r="CJ5080" s="34">
        <v>-1</v>
      </c>
      <c r="CK5080" s="34">
        <v>-2</v>
      </c>
      <c r="CL5080" s="34">
        <v>-3</v>
      </c>
      <c r="CM5080" s="34">
        <v>-4</v>
      </c>
      <c r="CN5080" s="34">
        <v>-5</v>
      </c>
      <c r="CO5080" s="908"/>
      <c r="CP5080" s="909"/>
      <c r="CQ5080" s="34">
        <v>-5</v>
      </c>
      <c r="CR5080" s="34">
        <v>-4.5</v>
      </c>
      <c r="CS5080" s="34">
        <v>-4</v>
      </c>
      <c r="CT5080" s="34">
        <v>-3.5</v>
      </c>
      <c r="CU5080" s="34">
        <v>-3</v>
      </c>
      <c r="CV5080" s="34">
        <v>-2.5</v>
      </c>
      <c r="CW5080" s="34">
        <v>-2</v>
      </c>
      <c r="CX5080" s="34">
        <v>-1.5</v>
      </c>
      <c r="CY5080" s="34">
        <v>-1</v>
      </c>
      <c r="CZ5080" s="34">
        <v>-0.5</v>
      </c>
      <c r="DA5080" s="34">
        <v>0</v>
      </c>
      <c r="DB5080" s="34">
        <v>0.5</v>
      </c>
      <c r="DC5080" s="34">
        <v>1</v>
      </c>
      <c r="DD5080" s="34">
        <v>1.5</v>
      </c>
      <c r="DE5080" s="34">
        <v>2</v>
      </c>
      <c r="DF5080" s="34">
        <v>2.5</v>
      </c>
      <c r="DG5080" s="34">
        <v>3</v>
      </c>
      <c r="DH5080" s="34">
        <v>3.5</v>
      </c>
      <c r="DI5080" s="34">
        <v>4</v>
      </c>
      <c r="DJ5080" s="34">
        <v>4.5</v>
      </c>
      <c r="DK5080" s="34">
        <v>5</v>
      </c>
      <c r="DM5080" s="913"/>
      <c r="DN5080" s="31">
        <v>1</v>
      </c>
      <c r="DO5080" s="34">
        <v>0</v>
      </c>
      <c r="DP5080" s="34">
        <v>-1</v>
      </c>
      <c r="DQ5080" s="34">
        <v>-2</v>
      </c>
      <c r="DR5080" s="34">
        <v>-3</v>
      </c>
      <c r="DS5080" s="34">
        <v>-4</v>
      </c>
      <c r="DT5080" s="34">
        <v>-5</v>
      </c>
      <c r="DU5080" s="908"/>
      <c r="DV5080" s="909"/>
      <c r="DW5080" s="34">
        <v>-5</v>
      </c>
      <c r="DX5080" s="34">
        <v>-4.5</v>
      </c>
      <c r="DY5080" s="34">
        <v>-4</v>
      </c>
      <c r="DZ5080" s="34">
        <v>-3.5</v>
      </c>
      <c r="EA5080" s="34">
        <v>-3</v>
      </c>
      <c r="EB5080" s="34">
        <v>-2.5</v>
      </c>
      <c r="EC5080" s="34">
        <v>-2</v>
      </c>
      <c r="ED5080" s="34">
        <v>-1.5</v>
      </c>
      <c r="EE5080" s="34">
        <v>-1</v>
      </c>
      <c r="EF5080" s="34">
        <v>-0.5</v>
      </c>
      <c r="EG5080" s="34">
        <v>0</v>
      </c>
      <c r="EH5080" s="34">
        <v>0.5</v>
      </c>
      <c r="EI5080" s="34">
        <v>1</v>
      </c>
      <c r="EJ5080" s="34">
        <v>1.5</v>
      </c>
      <c r="EK5080" s="34">
        <v>2</v>
      </c>
      <c r="EL5080" s="34">
        <v>2.5</v>
      </c>
      <c r="EM5080" s="34">
        <v>3</v>
      </c>
      <c r="EN5080" s="34">
        <v>3.5</v>
      </c>
      <c r="EO5080" s="34">
        <v>4</v>
      </c>
      <c r="EP5080" s="34">
        <v>4.5</v>
      </c>
      <c r="EQ5080" s="34">
        <v>5</v>
      </c>
      <c r="ES5080" s="913"/>
      <c r="ET5080" s="31">
        <v>1</v>
      </c>
      <c r="EU5080" s="34">
        <v>0</v>
      </c>
      <c r="EV5080" s="34">
        <v>-1</v>
      </c>
      <c r="EW5080" s="34">
        <v>-2</v>
      </c>
      <c r="EX5080" s="34">
        <v>-3</v>
      </c>
      <c r="EY5080" s="34">
        <v>-4</v>
      </c>
      <c r="EZ5080" s="34">
        <v>-5</v>
      </c>
      <c r="FA5080" s="908"/>
      <c r="FB5080" s="909"/>
      <c r="FC5080" s="34">
        <v>-5</v>
      </c>
      <c r="FD5080" s="34">
        <v>-4.5</v>
      </c>
      <c r="FE5080" s="34">
        <v>-4</v>
      </c>
      <c r="FF5080" s="34">
        <v>-3.5</v>
      </c>
      <c r="FG5080" s="34">
        <v>-3</v>
      </c>
      <c r="FH5080" s="34">
        <v>-2.5</v>
      </c>
      <c r="FI5080" s="34">
        <v>-2</v>
      </c>
      <c r="FJ5080" s="34">
        <v>-1.5</v>
      </c>
      <c r="FK5080" s="34">
        <v>-1</v>
      </c>
      <c r="FL5080" s="34">
        <v>-0.5</v>
      </c>
      <c r="FM5080" s="34">
        <v>0</v>
      </c>
      <c r="FN5080" s="34">
        <v>0.5</v>
      </c>
      <c r="FO5080" s="34">
        <v>1</v>
      </c>
      <c r="FP5080" s="34">
        <v>1.5</v>
      </c>
      <c r="FQ5080" s="34">
        <v>2</v>
      </c>
      <c r="FR5080" s="34">
        <v>2.5</v>
      </c>
      <c r="FS5080" s="34">
        <v>3</v>
      </c>
      <c r="FT5080" s="34">
        <v>3.5</v>
      </c>
      <c r="FU5080" s="34">
        <v>4</v>
      </c>
      <c r="FV5080" s="34">
        <v>4.5</v>
      </c>
      <c r="FW5080" s="34">
        <v>5</v>
      </c>
      <c r="FY5080" s="913"/>
      <c r="FZ5080" s="31">
        <v>1</v>
      </c>
      <c r="GA5080" s="34">
        <v>0</v>
      </c>
      <c r="GB5080" s="34">
        <v>-1</v>
      </c>
      <c r="GC5080" s="34">
        <v>-2</v>
      </c>
      <c r="GD5080" s="34">
        <v>-3</v>
      </c>
      <c r="GE5080" s="34">
        <v>-4</v>
      </c>
      <c r="GF5080" s="34">
        <v>-5</v>
      </c>
      <c r="GG5080" s="908"/>
      <c r="GH5080" s="909"/>
      <c r="GI5080" s="34">
        <v>-5</v>
      </c>
      <c r="GJ5080" s="34">
        <v>-4.5</v>
      </c>
      <c r="GK5080" s="34">
        <v>-4</v>
      </c>
      <c r="GL5080" s="34">
        <v>-3.5</v>
      </c>
      <c r="GM5080" s="34">
        <v>-3</v>
      </c>
      <c r="GN5080" s="34">
        <v>-2.5</v>
      </c>
      <c r="GO5080" s="34">
        <v>-2</v>
      </c>
      <c r="GP5080" s="34">
        <v>-1.5</v>
      </c>
      <c r="GQ5080" s="34">
        <v>-1</v>
      </c>
      <c r="GR5080" s="34">
        <v>-0.5</v>
      </c>
      <c r="GS5080" s="34">
        <v>0</v>
      </c>
      <c r="GT5080" s="34">
        <v>0.5</v>
      </c>
      <c r="GU5080" s="34">
        <v>1</v>
      </c>
      <c r="GV5080" s="34">
        <v>1.5</v>
      </c>
      <c r="GW5080" s="34">
        <v>2</v>
      </c>
      <c r="GX5080" s="34">
        <v>2.5</v>
      </c>
      <c r="GY5080" s="34">
        <v>3</v>
      </c>
      <c r="GZ5080" s="34">
        <v>3.5</v>
      </c>
      <c r="HA5080" s="34">
        <v>4</v>
      </c>
      <c r="HB5080" s="34">
        <v>4.5</v>
      </c>
      <c r="HC5080" s="34">
        <v>5</v>
      </c>
      <c r="HE5080" s="913"/>
      <c r="HF5080" s="31">
        <v>1</v>
      </c>
      <c r="HG5080" s="34">
        <v>0</v>
      </c>
      <c r="HH5080" s="34">
        <v>-1</v>
      </c>
      <c r="HI5080" s="34">
        <v>-2</v>
      </c>
      <c r="HJ5080" s="34">
        <v>-3</v>
      </c>
      <c r="HK5080" s="34">
        <v>-4</v>
      </c>
      <c r="HL5080" s="34">
        <v>-5</v>
      </c>
      <c r="HM5080" s="908"/>
      <c r="HN5080" s="909"/>
      <c r="HO5080" s="34">
        <v>-5</v>
      </c>
      <c r="HP5080" s="34">
        <v>-4.5</v>
      </c>
      <c r="HQ5080" s="34">
        <v>-4</v>
      </c>
      <c r="HR5080" s="34">
        <v>-3.5</v>
      </c>
      <c r="HS5080" s="34">
        <v>-3</v>
      </c>
      <c r="HT5080" s="34">
        <v>-2.5</v>
      </c>
      <c r="HU5080" s="34">
        <v>-2</v>
      </c>
      <c r="HV5080" s="34">
        <v>-1.5</v>
      </c>
      <c r="HW5080" s="34">
        <v>-1</v>
      </c>
      <c r="HX5080" s="34">
        <v>-0.5</v>
      </c>
      <c r="HY5080" s="34">
        <v>0</v>
      </c>
      <c r="HZ5080" s="34">
        <v>0.5</v>
      </c>
      <c r="IA5080" s="34">
        <v>1</v>
      </c>
      <c r="IB5080" s="34">
        <v>1.5</v>
      </c>
      <c r="IC5080" s="34">
        <v>2</v>
      </c>
      <c r="ID5080" s="34">
        <v>2.5</v>
      </c>
      <c r="IE5080" s="34">
        <v>3</v>
      </c>
      <c r="IF5080" s="34">
        <v>3.5</v>
      </c>
      <c r="IG5080" s="34">
        <v>4</v>
      </c>
      <c r="IH5080" s="34">
        <v>4.5</v>
      </c>
      <c r="II5080" s="34">
        <v>5</v>
      </c>
      <c r="IK5080" s="913"/>
      <c r="IL5080" s="31">
        <v>1</v>
      </c>
      <c r="IM5080" s="34">
        <v>0</v>
      </c>
      <c r="IN5080" s="34">
        <v>-1</v>
      </c>
      <c r="IO5080" s="34">
        <v>-2</v>
      </c>
      <c r="IP5080" s="34">
        <v>-3</v>
      </c>
      <c r="IQ5080" s="34">
        <v>-4</v>
      </c>
      <c r="IR5080" s="34">
        <v>-5</v>
      </c>
      <c r="IS5080" s="908"/>
      <c r="IT5080" s="909"/>
      <c r="IU5080" s="34">
        <v>-5</v>
      </c>
      <c r="IV5080" s="34">
        <v>-4.5</v>
      </c>
      <c r="IW5080" s="34">
        <v>-4</v>
      </c>
      <c r="IX5080" s="34">
        <v>-3.5</v>
      </c>
      <c r="IY5080" s="34">
        <v>-3</v>
      </c>
      <c r="IZ5080" s="34">
        <v>-2.5</v>
      </c>
      <c r="JA5080" s="34">
        <v>-2</v>
      </c>
      <c r="JB5080" s="34">
        <v>-1.5</v>
      </c>
      <c r="JC5080" s="34">
        <v>-1</v>
      </c>
      <c r="JD5080" s="34">
        <v>-0.5</v>
      </c>
      <c r="JE5080" s="34">
        <v>0</v>
      </c>
      <c r="JF5080" s="34">
        <v>0.5</v>
      </c>
      <c r="JG5080" s="34">
        <v>1</v>
      </c>
      <c r="JH5080" s="34">
        <v>1.5</v>
      </c>
      <c r="JI5080" s="34">
        <v>2</v>
      </c>
      <c r="JJ5080" s="34">
        <v>2.5</v>
      </c>
      <c r="JK5080" s="34">
        <v>3</v>
      </c>
      <c r="JL5080" s="34">
        <v>3.5</v>
      </c>
      <c r="JM5080" s="34">
        <v>4</v>
      </c>
      <c r="JN5080" s="34">
        <v>4.5</v>
      </c>
      <c r="JO5080" s="34">
        <v>5</v>
      </c>
      <c r="JQ5080" s="913"/>
      <c r="JR5080" s="31">
        <v>1</v>
      </c>
      <c r="JS5080" s="34">
        <v>0</v>
      </c>
      <c r="JT5080" s="34">
        <v>-1</v>
      </c>
      <c r="JU5080" s="34">
        <v>-2</v>
      </c>
      <c r="JV5080" s="34">
        <v>-3</v>
      </c>
      <c r="JW5080" s="34">
        <v>-4</v>
      </c>
      <c r="JX5080" s="34">
        <v>-5</v>
      </c>
      <c r="JY5080" s="908"/>
      <c r="JZ5080" s="909"/>
      <c r="KA5080" s="34">
        <v>-5</v>
      </c>
      <c r="KB5080" s="34">
        <v>-4.5</v>
      </c>
      <c r="KC5080" s="34">
        <v>-4</v>
      </c>
      <c r="KD5080" s="34">
        <v>-3.5</v>
      </c>
      <c r="KE5080" s="34">
        <v>-3</v>
      </c>
      <c r="KF5080" s="34">
        <v>-2.5</v>
      </c>
      <c r="KG5080" s="34">
        <v>-2</v>
      </c>
      <c r="KH5080" s="34">
        <v>-1.5</v>
      </c>
      <c r="KI5080" s="34">
        <v>-1</v>
      </c>
      <c r="KJ5080" s="34">
        <v>-0.5</v>
      </c>
      <c r="KK5080" s="34">
        <v>0</v>
      </c>
      <c r="KL5080" s="34">
        <v>0.5</v>
      </c>
      <c r="KM5080" s="34">
        <v>1</v>
      </c>
      <c r="KN5080" s="34">
        <v>1.5</v>
      </c>
      <c r="KO5080" s="34">
        <v>2</v>
      </c>
      <c r="KP5080" s="34">
        <v>2.5</v>
      </c>
      <c r="KQ5080" s="34">
        <v>3</v>
      </c>
      <c r="KR5080" s="34">
        <v>3.5</v>
      </c>
      <c r="KS5080" s="34">
        <v>4</v>
      </c>
      <c r="KT5080" s="34">
        <v>4.5</v>
      </c>
      <c r="KU5080" s="34">
        <v>5</v>
      </c>
      <c r="KW5080" s="913"/>
      <c r="KX5080" s="31">
        <v>1</v>
      </c>
      <c r="KY5080" s="34">
        <v>0</v>
      </c>
      <c r="KZ5080" s="34">
        <v>-1</v>
      </c>
      <c r="LA5080" s="34">
        <v>-2</v>
      </c>
      <c r="LB5080" s="34">
        <v>-3</v>
      </c>
      <c r="LC5080" s="34">
        <v>-4</v>
      </c>
      <c r="LD5080" s="34">
        <v>-5</v>
      </c>
      <c r="LE5080" s="908"/>
      <c r="LF5080" s="909"/>
      <c r="LG5080" s="34">
        <v>-5</v>
      </c>
      <c r="LH5080" s="34">
        <v>-4.5</v>
      </c>
      <c r="LI5080" s="34">
        <v>-4</v>
      </c>
      <c r="LJ5080" s="34">
        <v>-3.5</v>
      </c>
      <c r="LK5080" s="34">
        <v>-3</v>
      </c>
      <c r="LL5080" s="34">
        <v>-2.5</v>
      </c>
      <c r="LM5080" s="34">
        <v>-2</v>
      </c>
      <c r="LN5080" s="34">
        <v>-1.5</v>
      </c>
      <c r="LO5080" s="34">
        <v>-1</v>
      </c>
      <c r="LP5080" s="34">
        <v>-0.5</v>
      </c>
      <c r="LQ5080" s="34">
        <v>0</v>
      </c>
      <c r="LR5080" s="34">
        <v>0.5</v>
      </c>
      <c r="LS5080" s="34">
        <v>1</v>
      </c>
      <c r="LT5080" s="34">
        <v>1.5</v>
      </c>
      <c r="LU5080" s="34">
        <v>2</v>
      </c>
      <c r="LV5080" s="34">
        <v>2.5</v>
      </c>
      <c r="LW5080" s="34">
        <v>3</v>
      </c>
      <c r="LX5080" s="34">
        <v>3.5</v>
      </c>
      <c r="LY5080" s="34">
        <v>4</v>
      </c>
      <c r="LZ5080" s="34">
        <v>4.5</v>
      </c>
      <c r="MA5080" s="34">
        <v>5</v>
      </c>
      <c r="MC5080" s="913"/>
      <c r="MD5080" s="31">
        <v>1</v>
      </c>
      <c r="ME5080" s="34">
        <v>0</v>
      </c>
      <c r="MF5080" s="34">
        <v>-1</v>
      </c>
      <c r="MG5080" s="34">
        <v>-2</v>
      </c>
      <c r="MH5080" s="34">
        <v>-3</v>
      </c>
      <c r="MI5080" s="34">
        <v>-4</v>
      </c>
      <c r="MJ5080" s="34">
        <v>-5</v>
      </c>
      <c r="MK5080" s="908"/>
      <c r="ML5080" s="909"/>
      <c r="MM5080" s="34">
        <v>-5</v>
      </c>
      <c r="MN5080" s="34">
        <v>-4.5</v>
      </c>
      <c r="MO5080" s="34">
        <v>-4</v>
      </c>
      <c r="MP5080" s="34">
        <v>-3.5</v>
      </c>
      <c r="MQ5080" s="34">
        <v>-3</v>
      </c>
      <c r="MR5080" s="34">
        <v>-2.5</v>
      </c>
      <c r="MS5080" s="34">
        <v>-2</v>
      </c>
      <c r="MT5080" s="34">
        <v>-1.5</v>
      </c>
      <c r="MU5080" s="34">
        <v>-1</v>
      </c>
      <c r="MV5080" s="34">
        <v>-0.5</v>
      </c>
      <c r="MW5080" s="34">
        <v>0</v>
      </c>
      <c r="MX5080" s="34">
        <v>0.5</v>
      </c>
      <c r="MY5080" s="34">
        <v>1</v>
      </c>
      <c r="MZ5080" s="34">
        <v>1.5</v>
      </c>
      <c r="NA5080" s="34">
        <v>2</v>
      </c>
      <c r="NB5080" s="34">
        <v>2.5</v>
      </c>
      <c r="NC5080" s="34">
        <v>3</v>
      </c>
      <c r="ND5080" s="34">
        <v>3.5</v>
      </c>
      <c r="NE5080" s="34">
        <v>4</v>
      </c>
      <c r="NF5080" s="34">
        <v>4.5</v>
      </c>
      <c r="NG5080" s="34">
        <v>5</v>
      </c>
      <c r="NI5080" s="913"/>
      <c r="NJ5080" s="31">
        <v>1</v>
      </c>
      <c r="NK5080" s="34">
        <v>0</v>
      </c>
      <c r="NL5080" s="34">
        <v>-1</v>
      </c>
      <c r="NM5080" s="34">
        <v>-2</v>
      </c>
      <c r="NN5080" s="34">
        <v>-3</v>
      </c>
      <c r="NO5080" s="34">
        <v>-4</v>
      </c>
      <c r="NP5080" s="34">
        <v>-5</v>
      </c>
      <c r="NQ5080" s="908"/>
      <c r="NR5080" s="909"/>
      <c r="NS5080" s="34">
        <v>-5</v>
      </c>
      <c r="NT5080" s="34">
        <v>-4.5</v>
      </c>
      <c r="NU5080" s="34">
        <v>-4</v>
      </c>
      <c r="NV5080" s="34">
        <v>-3.5</v>
      </c>
      <c r="NW5080" s="34">
        <v>-3</v>
      </c>
      <c r="NX5080" s="34">
        <v>-2.5</v>
      </c>
      <c r="NY5080" s="34">
        <v>-2</v>
      </c>
      <c r="NZ5080" s="34">
        <v>-1.5</v>
      </c>
      <c r="OA5080" s="34">
        <v>-1</v>
      </c>
      <c r="OB5080" s="34">
        <v>-0.5</v>
      </c>
      <c r="OC5080" s="34">
        <v>0</v>
      </c>
      <c r="OD5080" s="34">
        <v>0.5</v>
      </c>
      <c r="OE5080" s="34">
        <v>1</v>
      </c>
      <c r="OF5080" s="34">
        <v>1.5</v>
      </c>
      <c r="OG5080" s="34">
        <v>2</v>
      </c>
      <c r="OH5080" s="34">
        <v>2.5</v>
      </c>
      <c r="OI5080" s="34">
        <v>3</v>
      </c>
      <c r="OJ5080" s="34">
        <v>3.5</v>
      </c>
      <c r="OK5080" s="34">
        <v>4</v>
      </c>
      <c r="OL5080" s="34">
        <v>4.5</v>
      </c>
      <c r="OM5080" s="34">
        <v>5</v>
      </c>
      <c r="OO5080" s="913"/>
      <c r="OP5080" s="31">
        <v>1</v>
      </c>
      <c r="OQ5080" s="34">
        <v>0</v>
      </c>
      <c r="OR5080" s="34">
        <v>-1</v>
      </c>
      <c r="OS5080" s="34">
        <v>-2</v>
      </c>
      <c r="OT5080" s="34">
        <v>-3</v>
      </c>
      <c r="OU5080" s="34">
        <v>-4</v>
      </c>
      <c r="OV5080" s="34">
        <v>-5</v>
      </c>
      <c r="OW5080" s="908"/>
      <c r="OX5080" s="909"/>
      <c r="OY5080" s="34">
        <v>-5</v>
      </c>
      <c r="OZ5080" s="34">
        <v>-4.5</v>
      </c>
      <c r="PA5080" s="34">
        <v>-4</v>
      </c>
      <c r="PB5080" s="34">
        <v>-3.5</v>
      </c>
      <c r="PC5080" s="34">
        <v>-3</v>
      </c>
      <c r="PD5080" s="34">
        <v>-2.5</v>
      </c>
      <c r="PE5080" s="34">
        <v>-2</v>
      </c>
      <c r="PF5080" s="34">
        <v>-1.5</v>
      </c>
      <c r="PG5080" s="34">
        <v>-1</v>
      </c>
      <c r="PH5080" s="34">
        <v>-0.5</v>
      </c>
      <c r="PI5080" s="34">
        <v>0</v>
      </c>
      <c r="PJ5080" s="34">
        <v>0.5</v>
      </c>
      <c r="PK5080" s="34">
        <v>1</v>
      </c>
      <c r="PL5080" s="34">
        <v>1.5</v>
      </c>
      <c r="PM5080" s="34">
        <v>2</v>
      </c>
      <c r="PN5080" s="34">
        <v>2.5</v>
      </c>
      <c r="PO5080" s="34">
        <v>3</v>
      </c>
      <c r="PP5080" s="34">
        <v>3.5</v>
      </c>
      <c r="PQ5080" s="34">
        <v>4</v>
      </c>
      <c r="PR5080" s="34">
        <v>4.5</v>
      </c>
      <c r="PS5080" s="34">
        <v>5</v>
      </c>
      <c r="PU5080" s="913"/>
      <c r="PV5080" s="31">
        <v>1</v>
      </c>
      <c r="PW5080" s="34">
        <v>0</v>
      </c>
      <c r="PX5080" s="34">
        <v>-1</v>
      </c>
      <c r="PY5080" s="34">
        <v>-2</v>
      </c>
      <c r="PZ5080" s="34">
        <v>-3</v>
      </c>
      <c r="QA5080" s="34">
        <v>-4</v>
      </c>
      <c r="QB5080" s="34">
        <v>-5</v>
      </c>
      <c r="QC5080" s="908"/>
      <c r="QD5080" s="909"/>
      <c r="QE5080" s="34">
        <v>-5</v>
      </c>
      <c r="QF5080" s="34">
        <v>-4.5</v>
      </c>
      <c r="QG5080" s="34">
        <v>-4</v>
      </c>
      <c r="QH5080" s="34">
        <v>-3.5</v>
      </c>
      <c r="QI5080" s="34">
        <v>-3</v>
      </c>
      <c r="QJ5080" s="34">
        <v>-2.5</v>
      </c>
      <c r="QK5080" s="34">
        <v>-2</v>
      </c>
      <c r="QL5080" s="34">
        <v>-1.5</v>
      </c>
      <c r="QM5080" s="34">
        <v>-1</v>
      </c>
      <c r="QN5080" s="34">
        <v>-0.5</v>
      </c>
      <c r="QO5080" s="34">
        <v>0</v>
      </c>
      <c r="QP5080" s="34">
        <v>0.5</v>
      </c>
      <c r="QQ5080" s="34">
        <v>1</v>
      </c>
      <c r="QR5080" s="34">
        <v>1.5</v>
      </c>
      <c r="QS5080" s="34">
        <v>2</v>
      </c>
      <c r="QT5080" s="34">
        <v>2.5</v>
      </c>
      <c r="QU5080" s="34">
        <v>3</v>
      </c>
      <c r="QV5080" s="34">
        <v>3.5</v>
      </c>
      <c r="QW5080" s="34">
        <v>4</v>
      </c>
      <c r="QX5080" s="34">
        <v>4.5</v>
      </c>
      <c r="QY5080" s="34">
        <v>5</v>
      </c>
      <c r="RA5080" s="913"/>
      <c r="RB5080" s="31">
        <v>1</v>
      </c>
      <c r="RC5080" s="34">
        <v>0</v>
      </c>
      <c r="RD5080" s="34">
        <v>-1</v>
      </c>
      <c r="RE5080" s="34">
        <v>-2</v>
      </c>
      <c r="RF5080" s="34">
        <v>-3</v>
      </c>
      <c r="RG5080" s="34">
        <v>-4</v>
      </c>
      <c r="RH5080" s="34">
        <v>-5</v>
      </c>
      <c r="RI5080" s="908"/>
      <c r="RJ5080" s="909"/>
      <c r="RK5080" s="34">
        <v>-5</v>
      </c>
      <c r="RL5080" s="34">
        <v>-4.5</v>
      </c>
      <c r="RM5080" s="34">
        <v>-4</v>
      </c>
      <c r="RN5080" s="34">
        <v>-3.5</v>
      </c>
      <c r="RO5080" s="34">
        <v>-3</v>
      </c>
      <c r="RP5080" s="34">
        <v>-2.5</v>
      </c>
      <c r="RQ5080" s="34">
        <v>-2</v>
      </c>
      <c r="RR5080" s="34">
        <v>-1.5</v>
      </c>
      <c r="RS5080" s="34">
        <v>-1</v>
      </c>
      <c r="RT5080" s="34">
        <v>-0.5</v>
      </c>
      <c r="RU5080" s="34">
        <v>0</v>
      </c>
      <c r="RV5080" s="34">
        <v>0.5</v>
      </c>
      <c r="RW5080" s="34">
        <v>1</v>
      </c>
      <c r="RX5080" s="34">
        <v>1.5</v>
      </c>
      <c r="RY5080" s="34">
        <v>2</v>
      </c>
      <c r="RZ5080" s="34">
        <v>2.5</v>
      </c>
      <c r="SA5080" s="34">
        <v>3</v>
      </c>
      <c r="SB5080" s="34">
        <v>3.5</v>
      </c>
      <c r="SC5080" s="34">
        <v>4</v>
      </c>
      <c r="SD5080" s="34">
        <v>4.5</v>
      </c>
      <c r="SE5080" s="34">
        <v>5</v>
      </c>
      <c r="SG5080" s="913"/>
      <c r="SH5080" s="31">
        <v>1</v>
      </c>
      <c r="SI5080" s="34">
        <v>0</v>
      </c>
      <c r="SJ5080" s="34">
        <v>-1</v>
      </c>
      <c r="SK5080" s="34">
        <v>-2</v>
      </c>
      <c r="SL5080" s="34">
        <v>-3</v>
      </c>
      <c r="SM5080" s="34">
        <v>-4</v>
      </c>
      <c r="SN5080" s="34">
        <v>-5</v>
      </c>
      <c r="SO5080" s="908"/>
      <c r="SP5080" s="909"/>
      <c r="SQ5080" s="34">
        <v>-5</v>
      </c>
      <c r="SR5080" s="34">
        <v>-4.5</v>
      </c>
      <c r="SS5080" s="34">
        <v>-4</v>
      </c>
      <c r="ST5080" s="34">
        <v>-3.5</v>
      </c>
      <c r="SU5080" s="34">
        <v>-3</v>
      </c>
      <c r="SV5080" s="34">
        <v>-2.5</v>
      </c>
      <c r="SW5080" s="34">
        <v>-2</v>
      </c>
      <c r="SX5080" s="34">
        <v>-1.5</v>
      </c>
      <c r="SY5080" s="34">
        <v>-1</v>
      </c>
      <c r="SZ5080" s="34">
        <v>-0.5</v>
      </c>
      <c r="TA5080" s="34">
        <v>0</v>
      </c>
      <c r="TB5080" s="34">
        <v>0.5</v>
      </c>
      <c r="TC5080" s="34">
        <v>1</v>
      </c>
      <c r="TD5080" s="34">
        <v>1.5</v>
      </c>
      <c r="TE5080" s="34">
        <v>2</v>
      </c>
      <c r="TF5080" s="34">
        <v>2.5</v>
      </c>
      <c r="TG5080" s="34">
        <v>3</v>
      </c>
      <c r="TH5080" s="34">
        <v>3.5</v>
      </c>
      <c r="TI5080" s="34">
        <v>4</v>
      </c>
      <c r="TJ5080" s="34">
        <v>4.5</v>
      </c>
      <c r="TK5080" s="34">
        <v>5</v>
      </c>
      <c r="TM5080" s="913"/>
      <c r="TN5080" s="31">
        <v>1</v>
      </c>
      <c r="TO5080" s="34">
        <v>0</v>
      </c>
      <c r="TP5080" s="34">
        <v>-1</v>
      </c>
      <c r="TQ5080" s="34">
        <v>-2</v>
      </c>
      <c r="TR5080" s="34">
        <v>-3</v>
      </c>
      <c r="TS5080" s="34">
        <v>-4</v>
      </c>
      <c r="TT5080" s="34">
        <v>-5</v>
      </c>
      <c r="TU5080" s="908"/>
      <c r="TV5080" s="909"/>
      <c r="TW5080" s="34">
        <v>-5</v>
      </c>
      <c r="TX5080" s="34">
        <v>-4.5</v>
      </c>
      <c r="TY5080" s="34">
        <v>-4</v>
      </c>
      <c r="TZ5080" s="34">
        <v>-3.5</v>
      </c>
      <c r="UA5080" s="34">
        <v>-3</v>
      </c>
      <c r="UB5080" s="34">
        <v>-2.5</v>
      </c>
      <c r="UC5080" s="34">
        <v>-2</v>
      </c>
      <c r="UD5080" s="34">
        <v>-1.5</v>
      </c>
      <c r="UE5080" s="34">
        <v>-1</v>
      </c>
      <c r="UF5080" s="34">
        <v>-0.5</v>
      </c>
      <c r="UG5080" s="34">
        <v>0</v>
      </c>
      <c r="UH5080" s="34">
        <v>0.5</v>
      </c>
      <c r="UI5080" s="34">
        <v>1</v>
      </c>
      <c r="UJ5080" s="34">
        <v>1.5</v>
      </c>
      <c r="UK5080" s="34">
        <v>2</v>
      </c>
      <c r="UL5080" s="34">
        <v>2.5</v>
      </c>
      <c r="UM5080" s="34">
        <v>3</v>
      </c>
      <c r="UN5080" s="34">
        <v>3.5</v>
      </c>
      <c r="UO5080" s="34">
        <v>4</v>
      </c>
      <c r="UP5080" s="34">
        <v>4.5</v>
      </c>
      <c r="UQ5080" s="34">
        <v>5</v>
      </c>
      <c r="US5080" s="913"/>
      <c r="UT5080" s="31">
        <v>1</v>
      </c>
      <c r="UU5080" s="34">
        <v>0</v>
      </c>
      <c r="UV5080" s="34">
        <v>-1</v>
      </c>
      <c r="UW5080" s="34">
        <v>-2</v>
      </c>
      <c r="UX5080" s="34">
        <v>-3</v>
      </c>
      <c r="UY5080" s="34">
        <v>-4</v>
      </c>
      <c r="UZ5080" s="34">
        <v>-5</v>
      </c>
      <c r="VA5080" s="908"/>
      <c r="VB5080" s="909"/>
      <c r="VC5080" s="34">
        <v>-5</v>
      </c>
      <c r="VD5080" s="34">
        <v>-4.5</v>
      </c>
      <c r="VE5080" s="34">
        <v>-4</v>
      </c>
      <c r="VF5080" s="34">
        <v>-3.5</v>
      </c>
      <c r="VG5080" s="34">
        <v>-3</v>
      </c>
      <c r="VH5080" s="34">
        <v>-2.5</v>
      </c>
      <c r="VI5080" s="34">
        <v>-2</v>
      </c>
      <c r="VJ5080" s="34">
        <v>-1.5</v>
      </c>
      <c r="VK5080" s="34">
        <v>-1</v>
      </c>
      <c r="VL5080" s="34">
        <v>-0.5</v>
      </c>
      <c r="VM5080" s="34">
        <v>0</v>
      </c>
      <c r="VN5080" s="34">
        <v>0.5</v>
      </c>
      <c r="VO5080" s="34">
        <v>1</v>
      </c>
      <c r="VP5080" s="34">
        <v>1.5</v>
      </c>
      <c r="VQ5080" s="34">
        <v>2</v>
      </c>
      <c r="VR5080" s="34">
        <v>2.5</v>
      </c>
      <c r="VS5080" s="34">
        <v>3</v>
      </c>
      <c r="VT5080" s="34">
        <v>3.5</v>
      </c>
      <c r="VU5080" s="34">
        <v>4</v>
      </c>
      <c r="VV5080" s="34">
        <v>4.5</v>
      </c>
      <c r="VW5080" s="34">
        <v>5</v>
      </c>
      <c r="VY5080" s="913"/>
      <c r="VZ5080" s="31">
        <v>1</v>
      </c>
      <c r="WA5080" s="34">
        <v>0</v>
      </c>
      <c r="WB5080" s="34">
        <v>-1</v>
      </c>
      <c r="WC5080" s="34">
        <v>-2</v>
      </c>
      <c r="WD5080" s="34">
        <v>-3</v>
      </c>
      <c r="WE5080" s="34">
        <v>-4</v>
      </c>
      <c r="WF5080" s="34">
        <v>-5</v>
      </c>
      <c r="WG5080" s="908"/>
      <c r="WH5080" s="909"/>
      <c r="WI5080" s="34">
        <v>-5</v>
      </c>
      <c r="WJ5080" s="34">
        <v>-4.5</v>
      </c>
      <c r="WK5080" s="34">
        <v>-4</v>
      </c>
      <c r="WL5080" s="34">
        <v>-3.5</v>
      </c>
      <c r="WM5080" s="34">
        <v>-3</v>
      </c>
      <c r="WN5080" s="34">
        <v>-2.5</v>
      </c>
      <c r="WO5080" s="34">
        <v>-2</v>
      </c>
      <c r="WP5080" s="34">
        <v>-1.5</v>
      </c>
      <c r="WQ5080" s="34">
        <v>-1</v>
      </c>
      <c r="WR5080" s="34">
        <v>-0.5</v>
      </c>
      <c r="WS5080" s="34">
        <v>0</v>
      </c>
      <c r="WT5080" s="34">
        <v>0.5</v>
      </c>
      <c r="WU5080" s="34">
        <v>1</v>
      </c>
      <c r="WV5080" s="34">
        <v>1.5</v>
      </c>
      <c r="WW5080" s="34">
        <v>2</v>
      </c>
      <c r="WX5080" s="34">
        <v>2.5</v>
      </c>
      <c r="WY5080" s="34">
        <v>3</v>
      </c>
      <c r="WZ5080" s="34">
        <v>3.5</v>
      </c>
      <c r="XA5080" s="34">
        <v>4</v>
      </c>
      <c r="XB5080" s="34">
        <v>4.5</v>
      </c>
      <c r="XC5080" s="34">
        <v>5</v>
      </c>
      <c r="XE5080" s="913"/>
      <c r="XF5080" s="31">
        <v>1</v>
      </c>
      <c r="XG5080" s="34">
        <v>0</v>
      </c>
      <c r="XH5080" s="34">
        <v>-1</v>
      </c>
      <c r="XI5080" s="34">
        <v>-2</v>
      </c>
      <c r="XJ5080" s="34">
        <v>-3</v>
      </c>
      <c r="XK5080" s="34">
        <v>-4</v>
      </c>
      <c r="XL5080" s="34">
        <v>-5</v>
      </c>
      <c r="XM5080" s="908"/>
      <c r="XN5080" s="909"/>
      <c r="XO5080" s="34">
        <v>-5</v>
      </c>
      <c r="XP5080" s="34">
        <v>-4.5</v>
      </c>
      <c r="XQ5080" s="34">
        <v>-4</v>
      </c>
      <c r="XR5080" s="34">
        <v>-3.5</v>
      </c>
      <c r="XS5080" s="34">
        <v>-3</v>
      </c>
      <c r="XT5080" s="34">
        <v>-2.5</v>
      </c>
      <c r="XU5080" s="34">
        <v>-2</v>
      </c>
      <c r="XV5080" s="34">
        <v>-1.5</v>
      </c>
      <c r="XW5080" s="34">
        <v>-1</v>
      </c>
      <c r="XX5080" s="34">
        <v>-0.5</v>
      </c>
      <c r="XY5080" s="34">
        <v>0</v>
      </c>
      <c r="XZ5080" s="34">
        <v>0.5</v>
      </c>
      <c r="YA5080" s="34">
        <v>1</v>
      </c>
      <c r="YB5080" s="34">
        <v>1.5</v>
      </c>
      <c r="YC5080" s="34">
        <v>2</v>
      </c>
      <c r="YD5080" s="34">
        <v>2.5</v>
      </c>
      <c r="YE5080" s="34">
        <v>3</v>
      </c>
      <c r="YF5080" s="34">
        <v>3.5</v>
      </c>
      <c r="YG5080" s="34">
        <v>4</v>
      </c>
      <c r="YH5080" s="34">
        <v>4.5</v>
      </c>
      <c r="YI5080" s="34">
        <v>5</v>
      </c>
      <c r="YK5080" s="913"/>
      <c r="YL5080" s="31">
        <v>1</v>
      </c>
      <c r="YM5080" s="34">
        <v>0</v>
      </c>
      <c r="YN5080" s="34">
        <v>-1</v>
      </c>
      <c r="YO5080" s="34">
        <v>-2</v>
      </c>
      <c r="YP5080" s="34">
        <v>-3</v>
      </c>
      <c r="YQ5080" s="34">
        <v>-4</v>
      </c>
      <c r="YR5080" s="34">
        <v>-5</v>
      </c>
      <c r="YS5080" s="908"/>
      <c r="YT5080" s="909"/>
      <c r="YU5080" s="34">
        <v>-5</v>
      </c>
      <c r="YV5080" s="34">
        <v>-4.5</v>
      </c>
      <c r="YW5080" s="34">
        <v>-4</v>
      </c>
      <c r="YX5080" s="34">
        <v>-3.5</v>
      </c>
      <c r="YY5080" s="34">
        <v>-3</v>
      </c>
      <c r="YZ5080" s="34">
        <v>-2.5</v>
      </c>
      <c r="ZA5080" s="34">
        <v>-2</v>
      </c>
      <c r="ZB5080" s="34">
        <v>-1.5</v>
      </c>
      <c r="ZC5080" s="34">
        <v>-1</v>
      </c>
      <c r="ZD5080" s="34">
        <v>-0.5</v>
      </c>
      <c r="ZE5080" s="34">
        <v>0</v>
      </c>
      <c r="ZF5080" s="34">
        <v>0.5</v>
      </c>
      <c r="ZG5080" s="34">
        <v>1</v>
      </c>
      <c r="ZH5080" s="34">
        <v>1.5</v>
      </c>
      <c r="ZI5080" s="34">
        <v>2</v>
      </c>
      <c r="ZJ5080" s="34">
        <v>2.5</v>
      </c>
      <c r="ZK5080" s="34">
        <v>3</v>
      </c>
      <c r="ZL5080" s="34">
        <v>3.5</v>
      </c>
      <c r="ZM5080" s="34">
        <v>4</v>
      </c>
      <c r="ZN5080" s="34">
        <v>4.5</v>
      </c>
      <c r="ZO5080" s="34">
        <v>5</v>
      </c>
      <c r="ZQ5080" s="913"/>
      <c r="ZR5080" s="31">
        <v>1</v>
      </c>
      <c r="ZS5080" s="34">
        <v>0</v>
      </c>
      <c r="ZT5080" s="34">
        <v>-1</v>
      </c>
      <c r="ZU5080" s="34">
        <v>-2</v>
      </c>
      <c r="ZV5080" s="34">
        <v>-3</v>
      </c>
      <c r="ZW5080" s="34">
        <v>-4</v>
      </c>
      <c r="ZX5080" s="34">
        <v>-5</v>
      </c>
      <c r="ZY5080" s="908"/>
      <c r="ZZ5080" s="909"/>
      <c r="AAA5080" s="34">
        <v>-5</v>
      </c>
      <c r="AAB5080" s="34">
        <v>-4.5</v>
      </c>
      <c r="AAC5080" s="34">
        <v>-4</v>
      </c>
      <c r="AAD5080" s="34">
        <v>-3.5</v>
      </c>
      <c r="AAE5080" s="34">
        <v>-3</v>
      </c>
      <c r="AAF5080" s="34">
        <v>-2.5</v>
      </c>
      <c r="AAG5080" s="34">
        <v>-2</v>
      </c>
      <c r="AAH5080" s="34">
        <v>-1.5</v>
      </c>
      <c r="AAI5080" s="34">
        <v>-1</v>
      </c>
      <c r="AAJ5080" s="34">
        <v>-0.5</v>
      </c>
      <c r="AAK5080" s="34">
        <v>0</v>
      </c>
      <c r="AAL5080" s="34">
        <v>0.5</v>
      </c>
      <c r="AAM5080" s="34">
        <v>1</v>
      </c>
      <c r="AAN5080" s="34">
        <v>1.5</v>
      </c>
      <c r="AAO5080" s="34">
        <v>2</v>
      </c>
      <c r="AAP5080" s="34">
        <v>2.5</v>
      </c>
      <c r="AAQ5080" s="34">
        <v>3</v>
      </c>
      <c r="AAR5080" s="34">
        <v>3.5</v>
      </c>
      <c r="AAS5080" s="34">
        <v>4</v>
      </c>
      <c r="AAT5080" s="34">
        <v>4.5</v>
      </c>
      <c r="AAU5080" s="34">
        <v>5</v>
      </c>
      <c r="AAW5080" s="913"/>
      <c r="AAX5080" s="31">
        <v>1</v>
      </c>
      <c r="AAY5080" s="34">
        <v>0</v>
      </c>
      <c r="AAZ5080" s="34">
        <v>-1</v>
      </c>
      <c r="ABA5080" s="34">
        <v>-2</v>
      </c>
      <c r="ABB5080" s="34">
        <v>-3</v>
      </c>
      <c r="ABC5080" s="34">
        <v>-4</v>
      </c>
      <c r="ABD5080" s="34">
        <v>-5</v>
      </c>
      <c r="ABE5080" s="908"/>
      <c r="ABF5080" s="909"/>
      <c r="ABG5080" s="34">
        <v>-5</v>
      </c>
      <c r="ABH5080" s="34">
        <v>-4.5</v>
      </c>
      <c r="ABI5080" s="34">
        <v>-4</v>
      </c>
      <c r="ABJ5080" s="34">
        <v>-3.5</v>
      </c>
      <c r="ABK5080" s="34">
        <v>-3</v>
      </c>
      <c r="ABL5080" s="34">
        <v>-2.5</v>
      </c>
      <c r="ABM5080" s="34">
        <v>-2</v>
      </c>
      <c r="ABN5080" s="34">
        <v>-1.5</v>
      </c>
      <c r="ABO5080" s="34">
        <v>-1</v>
      </c>
      <c r="ABP5080" s="34">
        <v>-0.5</v>
      </c>
      <c r="ABQ5080" s="34">
        <v>0</v>
      </c>
      <c r="ABR5080" s="34">
        <v>0.5</v>
      </c>
      <c r="ABS5080" s="34">
        <v>1</v>
      </c>
      <c r="ABT5080" s="34">
        <v>1.5</v>
      </c>
      <c r="ABU5080" s="34">
        <v>2</v>
      </c>
      <c r="ABV5080" s="34">
        <v>2.5</v>
      </c>
      <c r="ABW5080" s="34">
        <v>3</v>
      </c>
      <c r="ABX5080" s="34">
        <v>3.5</v>
      </c>
      <c r="ABY5080" s="34">
        <v>4</v>
      </c>
      <c r="ABZ5080" s="34">
        <v>4.5</v>
      </c>
      <c r="ACA5080" s="34">
        <v>5</v>
      </c>
      <c r="ACC5080" s="913"/>
      <c r="ACD5080" s="31">
        <v>1</v>
      </c>
      <c r="ACE5080" s="34">
        <v>0</v>
      </c>
      <c r="ACF5080" s="34">
        <v>-1</v>
      </c>
      <c r="ACG5080" s="34">
        <v>-2</v>
      </c>
      <c r="ACH5080" s="34">
        <v>-3</v>
      </c>
      <c r="ACI5080" s="34">
        <v>-4</v>
      </c>
      <c r="ACJ5080" s="34">
        <v>-5</v>
      </c>
      <c r="ACK5080" s="908"/>
      <c r="ACL5080" s="909"/>
      <c r="ACM5080" s="34">
        <v>-5</v>
      </c>
      <c r="ACN5080" s="34">
        <v>-4.5</v>
      </c>
      <c r="ACO5080" s="34">
        <v>-4</v>
      </c>
      <c r="ACP5080" s="34">
        <v>-3.5</v>
      </c>
      <c r="ACQ5080" s="34">
        <v>-3</v>
      </c>
      <c r="ACR5080" s="34">
        <v>-2.5</v>
      </c>
      <c r="ACS5080" s="34">
        <v>-2</v>
      </c>
      <c r="ACT5080" s="34">
        <v>-1.5</v>
      </c>
      <c r="ACU5080" s="34">
        <v>-1</v>
      </c>
      <c r="ACV5080" s="34">
        <v>-0.5</v>
      </c>
      <c r="ACW5080" s="34">
        <v>0</v>
      </c>
      <c r="ACX5080" s="34">
        <v>0.5</v>
      </c>
      <c r="ACY5080" s="34">
        <v>1</v>
      </c>
      <c r="ACZ5080" s="34">
        <v>1.5</v>
      </c>
      <c r="ADA5080" s="34">
        <v>2</v>
      </c>
      <c r="ADB5080" s="34">
        <v>2.5</v>
      </c>
      <c r="ADC5080" s="34">
        <v>3</v>
      </c>
      <c r="ADD5080" s="34">
        <v>3.5</v>
      </c>
      <c r="ADE5080" s="34">
        <v>4</v>
      </c>
      <c r="ADF5080" s="34">
        <v>4.5</v>
      </c>
      <c r="ADG5080" s="34">
        <v>5</v>
      </c>
      <c r="ADI5080" s="913"/>
      <c r="ADJ5080" s="31">
        <v>1</v>
      </c>
      <c r="ADK5080" s="34">
        <v>0</v>
      </c>
      <c r="ADL5080" s="34">
        <v>-1</v>
      </c>
      <c r="ADM5080" s="34">
        <v>-2</v>
      </c>
      <c r="ADN5080" s="34">
        <v>-3</v>
      </c>
      <c r="ADO5080" s="34">
        <v>-4</v>
      </c>
      <c r="ADP5080" s="34">
        <v>-5</v>
      </c>
      <c r="ADQ5080" s="908"/>
      <c r="ADR5080" s="909"/>
      <c r="ADS5080" s="34">
        <v>-5</v>
      </c>
      <c r="ADT5080" s="34">
        <v>-4.5</v>
      </c>
      <c r="ADU5080" s="34">
        <v>-4</v>
      </c>
      <c r="ADV5080" s="34">
        <v>-3.5</v>
      </c>
      <c r="ADW5080" s="34">
        <v>-3</v>
      </c>
      <c r="ADX5080" s="34">
        <v>-2.5</v>
      </c>
      <c r="ADY5080" s="34">
        <v>-2</v>
      </c>
      <c r="ADZ5080" s="34">
        <v>-1.5</v>
      </c>
      <c r="AEA5080" s="34">
        <v>-1</v>
      </c>
      <c r="AEB5080" s="34">
        <v>-0.5</v>
      </c>
      <c r="AEC5080" s="34">
        <v>0</v>
      </c>
      <c r="AED5080" s="34">
        <v>0.5</v>
      </c>
      <c r="AEE5080" s="34">
        <v>1</v>
      </c>
      <c r="AEF5080" s="34">
        <v>1.5</v>
      </c>
      <c r="AEG5080" s="34">
        <v>2</v>
      </c>
      <c r="AEH5080" s="34">
        <v>2.5</v>
      </c>
      <c r="AEI5080" s="34">
        <v>3</v>
      </c>
      <c r="AEJ5080" s="34">
        <v>3.5</v>
      </c>
      <c r="AEK5080" s="34">
        <v>4</v>
      </c>
      <c r="AEL5080" s="34">
        <v>4.5</v>
      </c>
      <c r="AEM5080" s="34">
        <v>5</v>
      </c>
      <c r="AEO5080" s="913"/>
      <c r="AEP5080" s="31">
        <v>1</v>
      </c>
      <c r="AEQ5080" s="34">
        <v>0</v>
      </c>
      <c r="AER5080" s="34">
        <v>-1</v>
      </c>
      <c r="AES5080" s="34">
        <v>-2</v>
      </c>
      <c r="AET5080" s="34">
        <v>-3</v>
      </c>
      <c r="AEU5080" s="34">
        <v>-4</v>
      </c>
      <c r="AEV5080" s="34">
        <v>-5</v>
      </c>
      <c r="AEW5080" s="908"/>
      <c r="AEX5080" s="909"/>
      <c r="AEY5080" s="34">
        <v>-5</v>
      </c>
      <c r="AEZ5080" s="34">
        <v>-4.5</v>
      </c>
      <c r="AFA5080" s="34">
        <v>-4</v>
      </c>
      <c r="AFB5080" s="34">
        <v>-3.5</v>
      </c>
      <c r="AFC5080" s="34">
        <v>-3</v>
      </c>
      <c r="AFD5080" s="34">
        <v>-2.5</v>
      </c>
      <c r="AFE5080" s="34">
        <v>-2</v>
      </c>
      <c r="AFF5080" s="34">
        <v>-1.5</v>
      </c>
      <c r="AFG5080" s="34">
        <v>-1</v>
      </c>
      <c r="AFH5080" s="34">
        <v>-0.5</v>
      </c>
      <c r="AFI5080" s="34">
        <v>0</v>
      </c>
      <c r="AFJ5080" s="34">
        <v>0.5</v>
      </c>
      <c r="AFK5080" s="34">
        <v>1</v>
      </c>
      <c r="AFL5080" s="34">
        <v>1.5</v>
      </c>
      <c r="AFM5080" s="34">
        <v>2</v>
      </c>
      <c r="AFN5080" s="34">
        <v>2.5</v>
      </c>
      <c r="AFO5080" s="34">
        <v>3</v>
      </c>
      <c r="AFP5080" s="34">
        <v>3.5</v>
      </c>
      <c r="AFQ5080" s="34">
        <v>4</v>
      </c>
      <c r="AFR5080" s="34">
        <v>4.5</v>
      </c>
      <c r="AFS5080" s="34">
        <v>5</v>
      </c>
      <c r="AFU5080" s="913"/>
      <c r="AFV5080" s="31">
        <v>1</v>
      </c>
      <c r="AFW5080" s="34">
        <v>0</v>
      </c>
      <c r="AFX5080" s="34">
        <v>-1</v>
      </c>
      <c r="AFY5080" s="34">
        <v>-2</v>
      </c>
      <c r="AFZ5080" s="34">
        <v>-3</v>
      </c>
      <c r="AGA5080" s="34">
        <v>-4</v>
      </c>
      <c r="AGB5080" s="34">
        <v>-5</v>
      </c>
      <c r="AGC5080" s="908"/>
      <c r="AGD5080" s="909"/>
      <c r="AGE5080" s="34">
        <v>-5</v>
      </c>
      <c r="AGF5080" s="34">
        <v>-4.5</v>
      </c>
      <c r="AGG5080" s="34">
        <v>-4</v>
      </c>
      <c r="AGH5080" s="34">
        <v>-3.5</v>
      </c>
      <c r="AGI5080" s="34">
        <v>-3</v>
      </c>
      <c r="AGJ5080" s="34">
        <v>-2.5</v>
      </c>
      <c r="AGK5080" s="34">
        <v>-2</v>
      </c>
      <c r="AGL5080" s="34">
        <v>-1.5</v>
      </c>
      <c r="AGM5080" s="34">
        <v>-1</v>
      </c>
      <c r="AGN5080" s="34">
        <v>-0.5</v>
      </c>
      <c r="AGO5080" s="34">
        <v>0</v>
      </c>
      <c r="AGP5080" s="34">
        <v>0.5</v>
      </c>
      <c r="AGQ5080" s="34">
        <v>1</v>
      </c>
      <c r="AGR5080" s="34">
        <v>1.5</v>
      </c>
      <c r="AGS5080" s="34">
        <v>2</v>
      </c>
      <c r="AGT5080" s="34">
        <v>2.5</v>
      </c>
      <c r="AGU5080" s="34">
        <v>3</v>
      </c>
      <c r="AGV5080" s="34">
        <v>3.5</v>
      </c>
      <c r="AGW5080" s="34">
        <v>4</v>
      </c>
      <c r="AGX5080" s="34">
        <v>4.5</v>
      </c>
      <c r="AGY5080" s="34">
        <v>5</v>
      </c>
      <c r="AHA5080" s="913"/>
      <c r="AHB5080" s="31">
        <v>1</v>
      </c>
      <c r="AHC5080" s="34">
        <v>0</v>
      </c>
      <c r="AHD5080" s="34">
        <v>-1</v>
      </c>
      <c r="AHE5080" s="34">
        <v>-2</v>
      </c>
      <c r="AHF5080" s="34">
        <v>-3</v>
      </c>
      <c r="AHG5080" s="34">
        <v>-4</v>
      </c>
      <c r="AHH5080" s="34">
        <v>-5</v>
      </c>
      <c r="AHI5080" s="908"/>
      <c r="AHJ5080" s="909"/>
      <c r="AHK5080" s="34">
        <v>-5</v>
      </c>
      <c r="AHL5080" s="34">
        <v>-4.5</v>
      </c>
      <c r="AHM5080" s="34">
        <v>-4</v>
      </c>
      <c r="AHN5080" s="34">
        <v>-3.5</v>
      </c>
      <c r="AHO5080" s="34">
        <v>-3</v>
      </c>
      <c r="AHP5080" s="34">
        <v>-2.5</v>
      </c>
      <c r="AHQ5080" s="34">
        <v>-2</v>
      </c>
      <c r="AHR5080" s="34">
        <v>-1.5</v>
      </c>
      <c r="AHS5080" s="34">
        <v>-1</v>
      </c>
      <c r="AHT5080" s="34">
        <v>-0.5</v>
      </c>
      <c r="AHU5080" s="34">
        <v>0</v>
      </c>
      <c r="AHV5080" s="34">
        <v>0.5</v>
      </c>
      <c r="AHW5080" s="34">
        <v>1</v>
      </c>
      <c r="AHX5080" s="34">
        <v>1.5</v>
      </c>
      <c r="AHY5080" s="34">
        <v>2</v>
      </c>
      <c r="AHZ5080" s="34">
        <v>2.5</v>
      </c>
      <c r="AIA5080" s="34">
        <v>3</v>
      </c>
      <c r="AIB5080" s="34">
        <v>3.5</v>
      </c>
      <c r="AIC5080" s="34">
        <v>4</v>
      </c>
      <c r="AID5080" s="34">
        <v>4.5</v>
      </c>
      <c r="AIE5080" s="34">
        <v>5</v>
      </c>
      <c r="AIG5080" s="913"/>
      <c r="AIH5080" s="31">
        <v>1</v>
      </c>
      <c r="AII5080" s="34">
        <v>0</v>
      </c>
      <c r="AIJ5080" s="34">
        <v>-1</v>
      </c>
      <c r="AIK5080" s="34">
        <v>-2</v>
      </c>
      <c r="AIL5080" s="34">
        <v>-3</v>
      </c>
      <c r="AIM5080" s="34">
        <v>-4</v>
      </c>
      <c r="AIN5080" s="34">
        <v>-5</v>
      </c>
      <c r="AIO5080" s="908"/>
      <c r="AIP5080" s="909"/>
      <c r="AIQ5080" s="34">
        <v>-5</v>
      </c>
      <c r="AIR5080" s="34">
        <v>-4.5</v>
      </c>
      <c r="AIS5080" s="34">
        <v>-4</v>
      </c>
      <c r="AIT5080" s="34">
        <v>-3.5</v>
      </c>
      <c r="AIU5080" s="34">
        <v>-3</v>
      </c>
      <c r="AIV5080" s="34">
        <v>-2.5</v>
      </c>
      <c r="AIW5080" s="34">
        <v>-2</v>
      </c>
      <c r="AIX5080" s="34">
        <v>-1.5</v>
      </c>
      <c r="AIY5080" s="34">
        <v>-1</v>
      </c>
      <c r="AIZ5080" s="34">
        <v>-0.5</v>
      </c>
      <c r="AJA5080" s="34">
        <v>0</v>
      </c>
      <c r="AJB5080" s="34">
        <v>0.5</v>
      </c>
      <c r="AJC5080" s="34">
        <v>1</v>
      </c>
      <c r="AJD5080" s="34">
        <v>1.5</v>
      </c>
      <c r="AJE5080" s="34">
        <v>2</v>
      </c>
      <c r="AJF5080" s="34">
        <v>2.5</v>
      </c>
      <c r="AJG5080" s="34">
        <v>3</v>
      </c>
      <c r="AJH5080" s="34">
        <v>3.5</v>
      </c>
      <c r="AJI5080" s="34">
        <v>4</v>
      </c>
      <c r="AJJ5080" s="34">
        <v>4.5</v>
      </c>
      <c r="AJK5080" s="34">
        <v>5</v>
      </c>
      <c r="AJM5080" s="913"/>
      <c r="AJN5080" s="31">
        <v>1</v>
      </c>
      <c r="AJO5080" s="34">
        <v>0</v>
      </c>
      <c r="AJP5080" s="34">
        <v>-1</v>
      </c>
      <c r="AJQ5080" s="34">
        <v>-2</v>
      </c>
      <c r="AJR5080" s="34">
        <v>-3</v>
      </c>
      <c r="AJS5080" s="34">
        <v>-4</v>
      </c>
      <c r="AJT5080" s="34">
        <v>-5</v>
      </c>
      <c r="AJU5080" s="908"/>
      <c r="AJV5080" s="909"/>
      <c r="AJW5080" s="34">
        <v>-5</v>
      </c>
      <c r="AJX5080" s="34">
        <v>-4.5</v>
      </c>
      <c r="AJY5080" s="34">
        <v>-4</v>
      </c>
      <c r="AJZ5080" s="34">
        <v>-3.5</v>
      </c>
      <c r="AKA5080" s="34">
        <v>-3</v>
      </c>
      <c r="AKB5080" s="34">
        <v>-2.5</v>
      </c>
      <c r="AKC5080" s="34">
        <v>-2</v>
      </c>
      <c r="AKD5080" s="34">
        <v>-1.5</v>
      </c>
      <c r="AKE5080" s="34">
        <v>-1</v>
      </c>
      <c r="AKF5080" s="34">
        <v>-0.5</v>
      </c>
      <c r="AKG5080" s="34">
        <v>0</v>
      </c>
      <c r="AKH5080" s="34">
        <v>0.5</v>
      </c>
      <c r="AKI5080" s="34">
        <v>1</v>
      </c>
      <c r="AKJ5080" s="34">
        <v>1.5</v>
      </c>
      <c r="AKK5080" s="34">
        <v>2</v>
      </c>
      <c r="AKL5080" s="34">
        <v>2.5</v>
      </c>
      <c r="AKM5080" s="34">
        <v>3</v>
      </c>
      <c r="AKN5080" s="34">
        <v>3.5</v>
      </c>
      <c r="AKO5080" s="34">
        <v>4</v>
      </c>
      <c r="AKP5080" s="34">
        <v>4.5</v>
      </c>
      <c r="AKQ5080" s="34">
        <v>5</v>
      </c>
      <c r="AKS5080" s="913"/>
      <c r="AKT5080" s="31">
        <v>1</v>
      </c>
      <c r="AKU5080" s="34">
        <v>0</v>
      </c>
      <c r="AKV5080" s="34">
        <v>-1</v>
      </c>
      <c r="AKW5080" s="34">
        <v>-2</v>
      </c>
      <c r="AKX5080" s="34">
        <v>-3</v>
      </c>
      <c r="AKY5080" s="34">
        <v>-4</v>
      </c>
      <c r="AKZ5080" s="34">
        <v>-5</v>
      </c>
      <c r="ALA5080" s="908"/>
      <c r="ALB5080" s="909"/>
      <c r="ALC5080" s="34">
        <v>-5</v>
      </c>
      <c r="ALD5080" s="34">
        <v>-4.5</v>
      </c>
      <c r="ALE5080" s="34">
        <v>-4</v>
      </c>
      <c r="ALF5080" s="34">
        <v>-3.5</v>
      </c>
      <c r="ALG5080" s="34">
        <v>-3</v>
      </c>
      <c r="ALH5080" s="34">
        <v>-2.5</v>
      </c>
      <c r="ALI5080" s="34">
        <v>-2</v>
      </c>
      <c r="ALJ5080" s="34">
        <v>-1.5</v>
      </c>
      <c r="ALK5080" s="34">
        <v>-1</v>
      </c>
      <c r="ALL5080" s="34">
        <v>-0.5</v>
      </c>
      <c r="ALM5080" s="34">
        <v>0</v>
      </c>
      <c r="ALN5080" s="34">
        <v>0.5</v>
      </c>
      <c r="ALO5080" s="34">
        <v>1</v>
      </c>
      <c r="ALP5080" s="34">
        <v>1.5</v>
      </c>
      <c r="ALQ5080" s="34">
        <v>2</v>
      </c>
      <c r="ALR5080" s="34">
        <v>2.5</v>
      </c>
      <c r="ALS5080" s="34">
        <v>3</v>
      </c>
      <c r="ALT5080" s="34">
        <v>3.5</v>
      </c>
      <c r="ALU5080" s="34">
        <v>4</v>
      </c>
      <c r="ALV5080" s="34">
        <v>4.5</v>
      </c>
      <c r="ALW5080" s="34">
        <v>5</v>
      </c>
      <c r="ALY5080" s="913"/>
      <c r="ALZ5080" s="31">
        <v>1</v>
      </c>
      <c r="AMA5080" s="34">
        <v>0</v>
      </c>
      <c r="AMB5080" s="34">
        <v>-1</v>
      </c>
      <c r="AMC5080" s="34">
        <v>-2</v>
      </c>
      <c r="AMD5080" s="34">
        <v>-3</v>
      </c>
      <c r="AME5080" s="34">
        <v>-4</v>
      </c>
      <c r="AMF5080" s="34">
        <v>-5</v>
      </c>
      <c r="AMG5080" s="908"/>
      <c r="AMH5080" s="909"/>
      <c r="AMI5080" s="34">
        <v>-5</v>
      </c>
      <c r="AMJ5080" s="34">
        <v>-4.5</v>
      </c>
      <c r="AMK5080" s="34">
        <v>-4</v>
      </c>
      <c r="AML5080" s="34">
        <v>-3.5</v>
      </c>
      <c r="AMM5080" s="34">
        <v>-3</v>
      </c>
      <c r="AMN5080" s="34">
        <v>-2.5</v>
      </c>
      <c r="AMO5080" s="34">
        <v>-2</v>
      </c>
      <c r="AMP5080" s="34">
        <v>-1.5</v>
      </c>
      <c r="AMQ5080" s="34">
        <v>-1</v>
      </c>
      <c r="AMR5080" s="34">
        <v>-0.5</v>
      </c>
      <c r="AMS5080" s="34">
        <v>0</v>
      </c>
      <c r="AMT5080" s="34">
        <v>0.5</v>
      </c>
      <c r="AMU5080" s="34">
        <v>1</v>
      </c>
      <c r="AMV5080" s="34">
        <v>1.5</v>
      </c>
      <c r="AMW5080" s="34">
        <v>2</v>
      </c>
      <c r="AMX5080" s="34">
        <v>2.5</v>
      </c>
      <c r="AMY5080" s="34">
        <v>3</v>
      </c>
      <c r="AMZ5080" s="34">
        <v>3.5</v>
      </c>
      <c r="ANA5080" s="34">
        <v>4</v>
      </c>
      <c r="ANB5080" s="34">
        <v>4.5</v>
      </c>
      <c r="ANC5080" s="34">
        <v>5</v>
      </c>
      <c r="ANE5080" s="913"/>
      <c r="ANF5080" s="31">
        <v>1</v>
      </c>
      <c r="ANG5080" s="34">
        <v>0</v>
      </c>
      <c r="ANH5080" s="34">
        <v>-1</v>
      </c>
      <c r="ANI5080" s="34">
        <v>-2</v>
      </c>
      <c r="ANJ5080" s="34">
        <v>-3</v>
      </c>
      <c r="ANK5080" s="34">
        <v>-4</v>
      </c>
      <c r="ANL5080" s="34">
        <v>-5</v>
      </c>
      <c r="ANM5080" s="908"/>
      <c r="ANN5080" s="909"/>
      <c r="ANO5080" s="34">
        <v>-5</v>
      </c>
      <c r="ANP5080" s="34">
        <v>-4.5</v>
      </c>
      <c r="ANQ5080" s="34">
        <v>-4</v>
      </c>
      <c r="ANR5080" s="34">
        <v>-3.5</v>
      </c>
      <c r="ANS5080" s="34">
        <v>-3</v>
      </c>
      <c r="ANT5080" s="34">
        <v>-2.5</v>
      </c>
      <c r="ANU5080" s="34">
        <v>-2</v>
      </c>
      <c r="ANV5080" s="34">
        <v>-1.5</v>
      </c>
      <c r="ANW5080" s="34">
        <v>-1</v>
      </c>
      <c r="ANX5080" s="34">
        <v>-0.5</v>
      </c>
      <c r="ANY5080" s="34">
        <v>0</v>
      </c>
      <c r="ANZ5080" s="34">
        <v>0.5</v>
      </c>
      <c r="AOA5080" s="34">
        <v>1</v>
      </c>
      <c r="AOB5080" s="34">
        <v>1.5</v>
      </c>
      <c r="AOC5080" s="34">
        <v>2</v>
      </c>
      <c r="AOD5080" s="34">
        <v>2.5</v>
      </c>
      <c r="AOE5080" s="34">
        <v>3</v>
      </c>
      <c r="AOF5080" s="34">
        <v>3.5</v>
      </c>
      <c r="AOG5080" s="34">
        <v>4</v>
      </c>
      <c r="AOH5080" s="34">
        <v>4.5</v>
      </c>
      <c r="AOI5080" s="34">
        <v>5</v>
      </c>
      <c r="AOK5080" s="913"/>
      <c r="AOL5080" s="31">
        <v>1</v>
      </c>
      <c r="AOM5080" s="34">
        <v>0</v>
      </c>
      <c r="AON5080" s="34">
        <v>-1</v>
      </c>
      <c r="AOO5080" s="34">
        <v>-2</v>
      </c>
      <c r="AOP5080" s="34">
        <v>-3</v>
      </c>
      <c r="AOQ5080" s="34">
        <v>-4</v>
      </c>
      <c r="AOR5080" s="34">
        <v>-5</v>
      </c>
      <c r="AOS5080" s="908"/>
      <c r="AOT5080" s="909"/>
      <c r="AOU5080" s="34">
        <v>-5</v>
      </c>
      <c r="AOV5080" s="34">
        <v>-4.5</v>
      </c>
      <c r="AOW5080" s="34">
        <v>-4</v>
      </c>
      <c r="AOX5080" s="34">
        <v>-3.5</v>
      </c>
      <c r="AOY5080" s="34">
        <v>-3</v>
      </c>
      <c r="AOZ5080" s="34">
        <v>-2.5</v>
      </c>
      <c r="APA5080" s="34">
        <v>-2</v>
      </c>
      <c r="APB5080" s="34">
        <v>-1.5</v>
      </c>
      <c r="APC5080" s="34">
        <v>-1</v>
      </c>
      <c r="APD5080" s="34">
        <v>-0.5</v>
      </c>
      <c r="APE5080" s="34">
        <v>0</v>
      </c>
      <c r="APF5080" s="34">
        <v>0.5</v>
      </c>
      <c r="APG5080" s="34">
        <v>1</v>
      </c>
      <c r="APH5080" s="34">
        <v>1.5</v>
      </c>
      <c r="API5080" s="34">
        <v>2</v>
      </c>
      <c r="APJ5080" s="34">
        <v>2.5</v>
      </c>
      <c r="APK5080" s="34">
        <v>3</v>
      </c>
      <c r="APL5080" s="34">
        <v>3.5</v>
      </c>
      <c r="APM5080" s="34">
        <v>4</v>
      </c>
      <c r="APN5080" s="34">
        <v>4.5</v>
      </c>
      <c r="APO5080" s="34">
        <v>5</v>
      </c>
      <c r="APQ5080" s="913"/>
      <c r="APR5080" s="31">
        <v>1</v>
      </c>
      <c r="APS5080" s="34">
        <v>0</v>
      </c>
      <c r="APT5080" s="34">
        <v>-1</v>
      </c>
      <c r="APU5080" s="34">
        <v>-2</v>
      </c>
      <c r="APV5080" s="34">
        <v>-3</v>
      </c>
      <c r="APW5080" s="34">
        <v>-4</v>
      </c>
      <c r="APX5080" s="34">
        <v>-5</v>
      </c>
      <c r="APY5080" s="908"/>
      <c r="APZ5080" s="909"/>
      <c r="AQA5080" s="34">
        <v>-5</v>
      </c>
      <c r="AQB5080" s="34">
        <v>-4.5</v>
      </c>
      <c r="AQC5080" s="34">
        <v>-4</v>
      </c>
      <c r="AQD5080" s="34">
        <v>-3.5</v>
      </c>
      <c r="AQE5080" s="34">
        <v>-3</v>
      </c>
      <c r="AQF5080" s="34">
        <v>-2.5</v>
      </c>
      <c r="AQG5080" s="34">
        <v>-2</v>
      </c>
      <c r="AQH5080" s="34">
        <v>-1.5</v>
      </c>
      <c r="AQI5080" s="34">
        <v>-1</v>
      </c>
      <c r="AQJ5080" s="34">
        <v>-0.5</v>
      </c>
      <c r="AQK5080" s="34">
        <v>0</v>
      </c>
      <c r="AQL5080" s="34">
        <v>0.5</v>
      </c>
      <c r="AQM5080" s="34">
        <v>1</v>
      </c>
      <c r="AQN5080" s="34">
        <v>1.5</v>
      </c>
      <c r="AQO5080" s="34">
        <v>2</v>
      </c>
      <c r="AQP5080" s="34">
        <v>2.5</v>
      </c>
      <c r="AQQ5080" s="34">
        <v>3</v>
      </c>
      <c r="AQR5080" s="34">
        <v>3.5</v>
      </c>
      <c r="AQS5080" s="34">
        <v>4</v>
      </c>
      <c r="AQT5080" s="34">
        <v>4.5</v>
      </c>
      <c r="AQU5080" s="34">
        <v>5</v>
      </c>
      <c r="AQW5080" s="913"/>
      <c r="AQX5080" s="31">
        <v>1</v>
      </c>
      <c r="AQY5080" s="34">
        <v>0</v>
      </c>
      <c r="AQZ5080" s="34">
        <v>-1</v>
      </c>
      <c r="ARA5080" s="34">
        <v>-2</v>
      </c>
      <c r="ARB5080" s="34">
        <v>-3</v>
      </c>
      <c r="ARC5080" s="34">
        <v>-4</v>
      </c>
      <c r="ARD5080" s="34">
        <v>-5</v>
      </c>
      <c r="ARE5080" s="908"/>
      <c r="ARF5080" s="909"/>
      <c r="ARG5080" s="34">
        <v>-5</v>
      </c>
      <c r="ARH5080" s="34">
        <v>-4.5</v>
      </c>
      <c r="ARI5080" s="34">
        <v>-4</v>
      </c>
      <c r="ARJ5080" s="34">
        <v>-3.5</v>
      </c>
      <c r="ARK5080" s="34">
        <v>-3</v>
      </c>
      <c r="ARL5080" s="34">
        <v>-2.5</v>
      </c>
      <c r="ARM5080" s="34">
        <v>-2</v>
      </c>
      <c r="ARN5080" s="34">
        <v>-1.5</v>
      </c>
      <c r="ARO5080" s="34">
        <v>-1</v>
      </c>
      <c r="ARP5080" s="34">
        <v>-0.5</v>
      </c>
      <c r="ARQ5080" s="34">
        <v>0</v>
      </c>
      <c r="ARR5080" s="34">
        <v>0.5</v>
      </c>
      <c r="ARS5080" s="34">
        <v>1</v>
      </c>
      <c r="ART5080" s="34">
        <v>1.5</v>
      </c>
      <c r="ARU5080" s="34">
        <v>2</v>
      </c>
      <c r="ARV5080" s="34">
        <v>2.5</v>
      </c>
      <c r="ARW5080" s="34">
        <v>3</v>
      </c>
      <c r="ARX5080" s="34">
        <v>3.5</v>
      </c>
      <c r="ARY5080" s="34">
        <v>4</v>
      </c>
      <c r="ARZ5080" s="34">
        <v>4.5</v>
      </c>
      <c r="ASA5080" s="34">
        <v>5</v>
      </c>
      <c r="ASC5080" s="913"/>
      <c r="ASD5080" s="31">
        <v>1</v>
      </c>
      <c r="ASE5080" s="34">
        <v>0</v>
      </c>
      <c r="ASF5080" s="34">
        <v>-1</v>
      </c>
      <c r="ASG5080" s="34">
        <v>-2</v>
      </c>
      <c r="ASH5080" s="34">
        <v>-3</v>
      </c>
      <c r="ASI5080" s="34">
        <v>-4</v>
      </c>
      <c r="ASJ5080" s="34">
        <v>-5</v>
      </c>
      <c r="ASK5080" s="908"/>
      <c r="ASL5080" s="909"/>
      <c r="ASM5080" s="34">
        <v>-5</v>
      </c>
      <c r="ASN5080" s="34">
        <v>-4.5</v>
      </c>
      <c r="ASO5080" s="34">
        <v>-4</v>
      </c>
      <c r="ASP5080" s="34">
        <v>-3.5</v>
      </c>
      <c r="ASQ5080" s="34">
        <v>-3</v>
      </c>
      <c r="ASR5080" s="34">
        <v>-2.5</v>
      </c>
      <c r="ASS5080" s="34">
        <v>-2</v>
      </c>
      <c r="AST5080" s="34">
        <v>-1.5</v>
      </c>
      <c r="ASU5080" s="34">
        <v>-1</v>
      </c>
      <c r="ASV5080" s="34">
        <v>-0.5</v>
      </c>
      <c r="ASW5080" s="34">
        <v>0</v>
      </c>
      <c r="ASX5080" s="34">
        <v>0.5</v>
      </c>
      <c r="ASY5080" s="34">
        <v>1</v>
      </c>
      <c r="ASZ5080" s="34">
        <v>1.5</v>
      </c>
      <c r="ATA5080" s="34">
        <v>2</v>
      </c>
      <c r="ATB5080" s="34">
        <v>2.5</v>
      </c>
      <c r="ATC5080" s="34">
        <v>3</v>
      </c>
      <c r="ATD5080" s="34">
        <v>3.5</v>
      </c>
      <c r="ATE5080" s="34">
        <v>4</v>
      </c>
      <c r="ATF5080" s="34">
        <v>4.5</v>
      </c>
      <c r="ATG5080" s="34">
        <v>5</v>
      </c>
      <c r="ATI5080" s="913"/>
      <c r="ATJ5080" s="31">
        <v>1</v>
      </c>
      <c r="ATK5080" s="34">
        <v>0</v>
      </c>
      <c r="ATL5080" s="34">
        <v>-1</v>
      </c>
      <c r="ATM5080" s="34">
        <v>-2</v>
      </c>
      <c r="ATN5080" s="34">
        <v>-3</v>
      </c>
      <c r="ATO5080" s="34">
        <v>-4</v>
      </c>
      <c r="ATP5080" s="34">
        <v>-5</v>
      </c>
      <c r="ATQ5080" s="908"/>
      <c r="ATR5080" s="909"/>
      <c r="ATS5080" s="34">
        <v>-5</v>
      </c>
      <c r="ATT5080" s="34">
        <v>-4.5</v>
      </c>
      <c r="ATU5080" s="34">
        <v>-4</v>
      </c>
      <c r="ATV5080" s="34">
        <v>-3.5</v>
      </c>
      <c r="ATW5080" s="34">
        <v>-3</v>
      </c>
      <c r="ATX5080" s="34">
        <v>-2.5</v>
      </c>
      <c r="ATY5080" s="34">
        <v>-2</v>
      </c>
      <c r="ATZ5080" s="34">
        <v>-1.5</v>
      </c>
      <c r="AUA5080" s="34">
        <v>-1</v>
      </c>
      <c r="AUB5080" s="34">
        <v>-0.5</v>
      </c>
      <c r="AUC5080" s="34">
        <v>0</v>
      </c>
      <c r="AUD5080" s="34">
        <v>0.5</v>
      </c>
      <c r="AUE5080" s="34">
        <v>1</v>
      </c>
      <c r="AUF5080" s="34">
        <v>1.5</v>
      </c>
      <c r="AUG5080" s="34">
        <v>2</v>
      </c>
      <c r="AUH5080" s="34">
        <v>2.5</v>
      </c>
      <c r="AUI5080" s="34">
        <v>3</v>
      </c>
      <c r="AUJ5080" s="34">
        <v>3.5</v>
      </c>
      <c r="AUK5080" s="34">
        <v>4</v>
      </c>
      <c r="AUL5080" s="34">
        <v>4.5</v>
      </c>
      <c r="AUM5080" s="34">
        <v>5</v>
      </c>
      <c r="AUO5080" s="913"/>
      <c r="AUP5080" s="31">
        <v>1</v>
      </c>
      <c r="AUQ5080" s="34">
        <v>0</v>
      </c>
      <c r="AUR5080" s="34">
        <v>-1</v>
      </c>
      <c r="AUS5080" s="34">
        <v>-2</v>
      </c>
      <c r="AUT5080" s="34">
        <v>-3</v>
      </c>
      <c r="AUU5080" s="34">
        <v>-4</v>
      </c>
      <c r="AUV5080" s="34">
        <v>-5</v>
      </c>
      <c r="AUW5080" s="908"/>
      <c r="AUX5080" s="909"/>
      <c r="AUY5080" s="34">
        <v>-5</v>
      </c>
      <c r="AUZ5080" s="34">
        <v>-4.5</v>
      </c>
      <c r="AVA5080" s="34">
        <v>-4</v>
      </c>
      <c r="AVB5080" s="34">
        <v>-3.5</v>
      </c>
      <c r="AVC5080" s="34">
        <v>-3</v>
      </c>
      <c r="AVD5080" s="34">
        <v>-2.5</v>
      </c>
      <c r="AVE5080" s="34">
        <v>-2</v>
      </c>
      <c r="AVF5080" s="34">
        <v>-1.5</v>
      </c>
      <c r="AVG5080" s="34">
        <v>-1</v>
      </c>
      <c r="AVH5080" s="34">
        <v>-0.5</v>
      </c>
      <c r="AVI5080" s="34">
        <v>0</v>
      </c>
      <c r="AVJ5080" s="34">
        <v>0.5</v>
      </c>
      <c r="AVK5080" s="34">
        <v>1</v>
      </c>
      <c r="AVL5080" s="34">
        <v>1.5</v>
      </c>
      <c r="AVM5080" s="34">
        <v>2</v>
      </c>
      <c r="AVN5080" s="34">
        <v>2.5</v>
      </c>
      <c r="AVO5080" s="34">
        <v>3</v>
      </c>
      <c r="AVP5080" s="34">
        <v>3.5</v>
      </c>
      <c r="AVQ5080" s="34">
        <v>4</v>
      </c>
      <c r="AVR5080" s="34">
        <v>4.5</v>
      </c>
      <c r="AVS5080" s="34">
        <v>5</v>
      </c>
      <c r="AVU5080" s="913"/>
      <c r="AVV5080" s="31">
        <v>1</v>
      </c>
      <c r="AVW5080" s="34">
        <v>0</v>
      </c>
      <c r="AVX5080" s="34">
        <v>-1</v>
      </c>
      <c r="AVY5080" s="34">
        <v>-2</v>
      </c>
      <c r="AVZ5080" s="34">
        <v>-3</v>
      </c>
      <c r="AWA5080" s="34">
        <v>-4</v>
      </c>
      <c r="AWB5080" s="34">
        <v>-5</v>
      </c>
      <c r="AWC5080" s="908"/>
      <c r="AWD5080" s="909"/>
      <c r="AWE5080" s="34">
        <v>-5</v>
      </c>
      <c r="AWF5080" s="34">
        <v>-4.5</v>
      </c>
      <c r="AWG5080" s="34">
        <v>-4</v>
      </c>
      <c r="AWH5080" s="34">
        <v>-3.5</v>
      </c>
      <c r="AWI5080" s="34">
        <v>-3</v>
      </c>
      <c r="AWJ5080" s="34">
        <v>-2.5</v>
      </c>
      <c r="AWK5080" s="34">
        <v>-2</v>
      </c>
      <c r="AWL5080" s="34">
        <v>-1.5</v>
      </c>
      <c r="AWM5080" s="34">
        <v>-1</v>
      </c>
      <c r="AWN5080" s="34">
        <v>-0.5</v>
      </c>
      <c r="AWO5080" s="34">
        <v>0</v>
      </c>
      <c r="AWP5080" s="34">
        <v>0.5</v>
      </c>
      <c r="AWQ5080" s="34">
        <v>1</v>
      </c>
      <c r="AWR5080" s="34">
        <v>1.5</v>
      </c>
      <c r="AWS5080" s="34">
        <v>2</v>
      </c>
      <c r="AWT5080" s="34">
        <v>2.5</v>
      </c>
      <c r="AWU5080" s="34">
        <v>3</v>
      </c>
      <c r="AWV5080" s="34">
        <v>3.5</v>
      </c>
      <c r="AWW5080" s="34">
        <v>4</v>
      </c>
      <c r="AWX5080" s="34">
        <v>4.5</v>
      </c>
      <c r="AWY5080" s="34">
        <v>5</v>
      </c>
      <c r="AXA5080" s="913"/>
      <c r="AXB5080" s="31">
        <v>1</v>
      </c>
      <c r="AXC5080" s="34">
        <v>0</v>
      </c>
      <c r="AXD5080" s="34">
        <v>-1</v>
      </c>
      <c r="AXE5080" s="34">
        <v>-2</v>
      </c>
      <c r="AXF5080" s="34">
        <v>-3</v>
      </c>
      <c r="AXG5080" s="34">
        <v>-4</v>
      </c>
      <c r="AXH5080" s="34">
        <v>-5</v>
      </c>
      <c r="AXI5080" s="908"/>
      <c r="AXJ5080" s="909"/>
      <c r="AXK5080" s="34">
        <v>-5</v>
      </c>
      <c r="AXL5080" s="34">
        <v>-4.5</v>
      </c>
      <c r="AXM5080" s="34">
        <v>-4</v>
      </c>
      <c r="AXN5080" s="34">
        <v>-3.5</v>
      </c>
      <c r="AXO5080" s="34">
        <v>-3</v>
      </c>
      <c r="AXP5080" s="34">
        <v>-2.5</v>
      </c>
      <c r="AXQ5080" s="34">
        <v>-2</v>
      </c>
      <c r="AXR5080" s="34">
        <v>-1.5</v>
      </c>
      <c r="AXS5080" s="34">
        <v>-1</v>
      </c>
      <c r="AXT5080" s="34">
        <v>-0.5</v>
      </c>
      <c r="AXU5080" s="34">
        <v>0</v>
      </c>
      <c r="AXV5080" s="34">
        <v>0.5</v>
      </c>
      <c r="AXW5080" s="34">
        <v>1</v>
      </c>
      <c r="AXX5080" s="34">
        <v>1.5</v>
      </c>
      <c r="AXY5080" s="34">
        <v>2</v>
      </c>
      <c r="AXZ5080" s="34">
        <v>2.5</v>
      </c>
      <c r="AYA5080" s="34">
        <v>3</v>
      </c>
      <c r="AYB5080" s="34">
        <v>3.5</v>
      </c>
      <c r="AYC5080" s="34">
        <v>4</v>
      </c>
      <c r="AYD5080" s="34">
        <v>4.5</v>
      </c>
      <c r="AYE5080" s="34">
        <v>5</v>
      </c>
      <c r="AYG5080" s="913"/>
      <c r="AYH5080" s="31">
        <v>1</v>
      </c>
      <c r="AYI5080" s="34">
        <v>0</v>
      </c>
      <c r="AYJ5080" s="34">
        <v>-1</v>
      </c>
      <c r="AYK5080" s="34">
        <v>-2</v>
      </c>
      <c r="AYL5080" s="34">
        <v>-3</v>
      </c>
      <c r="AYM5080" s="34">
        <v>-4</v>
      </c>
      <c r="AYN5080" s="34">
        <v>-5</v>
      </c>
      <c r="AYO5080" s="908"/>
      <c r="AYP5080" s="909"/>
      <c r="AYQ5080" s="34">
        <v>-5</v>
      </c>
      <c r="AYR5080" s="34">
        <v>-4.5</v>
      </c>
      <c r="AYS5080" s="34">
        <v>-4</v>
      </c>
      <c r="AYT5080" s="34">
        <v>-3.5</v>
      </c>
      <c r="AYU5080" s="34">
        <v>-3</v>
      </c>
      <c r="AYV5080" s="34">
        <v>-2.5</v>
      </c>
      <c r="AYW5080" s="34">
        <v>-2</v>
      </c>
      <c r="AYX5080" s="34">
        <v>-1.5</v>
      </c>
      <c r="AYY5080" s="34">
        <v>-1</v>
      </c>
      <c r="AYZ5080" s="34">
        <v>-0.5</v>
      </c>
      <c r="AZA5080" s="34">
        <v>0</v>
      </c>
      <c r="AZB5080" s="34">
        <v>0.5</v>
      </c>
      <c r="AZC5080" s="34">
        <v>1</v>
      </c>
      <c r="AZD5080" s="34">
        <v>1.5</v>
      </c>
      <c r="AZE5080" s="34">
        <v>2</v>
      </c>
      <c r="AZF5080" s="34">
        <v>2.5</v>
      </c>
      <c r="AZG5080" s="34">
        <v>3</v>
      </c>
      <c r="AZH5080" s="34">
        <v>3.5</v>
      </c>
      <c r="AZI5080" s="34">
        <v>4</v>
      </c>
      <c r="AZJ5080" s="34">
        <v>4.5</v>
      </c>
      <c r="AZK5080" s="34">
        <v>5</v>
      </c>
      <c r="AZM5080" s="913"/>
      <c r="AZN5080" s="31">
        <v>1</v>
      </c>
      <c r="AZO5080" s="34">
        <v>0</v>
      </c>
      <c r="AZP5080" s="34">
        <v>-1</v>
      </c>
      <c r="AZQ5080" s="34">
        <v>-2</v>
      </c>
      <c r="AZR5080" s="34">
        <v>-3</v>
      </c>
      <c r="AZS5080" s="34">
        <v>-4</v>
      </c>
      <c r="AZT5080" s="34">
        <v>-5</v>
      </c>
      <c r="AZU5080" s="908"/>
      <c r="AZV5080" s="909"/>
      <c r="AZW5080" s="34">
        <v>-5</v>
      </c>
      <c r="AZX5080" s="34">
        <v>-4.5</v>
      </c>
      <c r="AZY5080" s="34">
        <v>-4</v>
      </c>
      <c r="AZZ5080" s="34">
        <v>-3.5</v>
      </c>
      <c r="BAA5080" s="34">
        <v>-3</v>
      </c>
      <c r="BAB5080" s="34">
        <v>-2.5</v>
      </c>
      <c r="BAC5080" s="34">
        <v>-2</v>
      </c>
      <c r="BAD5080" s="34">
        <v>-1.5</v>
      </c>
      <c r="BAE5080" s="34">
        <v>-1</v>
      </c>
      <c r="BAF5080" s="34">
        <v>-0.5</v>
      </c>
      <c r="BAG5080" s="34">
        <v>0</v>
      </c>
      <c r="BAH5080" s="34">
        <v>0.5</v>
      </c>
      <c r="BAI5080" s="34">
        <v>1</v>
      </c>
      <c r="BAJ5080" s="34">
        <v>1.5</v>
      </c>
      <c r="BAK5080" s="34">
        <v>2</v>
      </c>
      <c r="BAL5080" s="34">
        <v>2.5</v>
      </c>
      <c r="BAM5080" s="34">
        <v>3</v>
      </c>
      <c r="BAN5080" s="34">
        <v>3.5</v>
      </c>
      <c r="BAO5080" s="34">
        <v>4</v>
      </c>
      <c r="BAP5080" s="34">
        <v>4.5</v>
      </c>
      <c r="BAQ5080" s="34">
        <v>5</v>
      </c>
      <c r="BAS5080" s="913"/>
      <c r="BAT5080" s="31">
        <v>1</v>
      </c>
      <c r="BAU5080" s="34">
        <v>0</v>
      </c>
      <c r="BAV5080" s="34">
        <v>-1</v>
      </c>
      <c r="BAW5080" s="34">
        <v>-2</v>
      </c>
      <c r="BAX5080" s="34">
        <v>-3</v>
      </c>
      <c r="BAY5080" s="34">
        <v>-4</v>
      </c>
      <c r="BAZ5080" s="34">
        <v>-5</v>
      </c>
      <c r="BBA5080" s="908"/>
      <c r="BBB5080" s="909"/>
      <c r="BBC5080" s="34">
        <v>-5</v>
      </c>
      <c r="BBD5080" s="34">
        <v>-4.5</v>
      </c>
      <c r="BBE5080" s="34">
        <v>-4</v>
      </c>
      <c r="BBF5080" s="34">
        <v>-3.5</v>
      </c>
      <c r="BBG5080" s="34">
        <v>-3</v>
      </c>
      <c r="BBH5080" s="34">
        <v>-2.5</v>
      </c>
      <c r="BBI5080" s="34">
        <v>-2</v>
      </c>
      <c r="BBJ5080" s="34">
        <v>-1.5</v>
      </c>
      <c r="BBK5080" s="34">
        <v>-1</v>
      </c>
      <c r="BBL5080" s="34">
        <v>-0.5</v>
      </c>
      <c r="BBM5080" s="34">
        <v>0</v>
      </c>
      <c r="BBN5080" s="34">
        <v>0.5</v>
      </c>
      <c r="BBO5080" s="34">
        <v>1</v>
      </c>
      <c r="BBP5080" s="34">
        <v>1.5</v>
      </c>
      <c r="BBQ5080" s="34">
        <v>2</v>
      </c>
      <c r="BBR5080" s="34">
        <v>2.5</v>
      </c>
      <c r="BBS5080" s="34">
        <v>3</v>
      </c>
      <c r="BBT5080" s="34">
        <v>3.5</v>
      </c>
      <c r="BBU5080" s="34">
        <v>4</v>
      </c>
      <c r="BBV5080" s="34">
        <v>4.5</v>
      </c>
      <c r="BBW5080" s="34">
        <v>5</v>
      </c>
      <c r="BBY5080" s="913"/>
      <c r="BBZ5080" s="31">
        <v>1</v>
      </c>
      <c r="BCA5080" s="34">
        <v>0</v>
      </c>
      <c r="BCB5080" s="34">
        <v>-1</v>
      </c>
      <c r="BCC5080" s="34">
        <v>-2</v>
      </c>
      <c r="BCD5080" s="34">
        <v>-3</v>
      </c>
      <c r="BCE5080" s="34">
        <v>-4</v>
      </c>
      <c r="BCF5080" s="34">
        <v>-5</v>
      </c>
      <c r="BCG5080" s="908"/>
      <c r="BCH5080" s="909"/>
      <c r="BCI5080" s="34">
        <v>-5</v>
      </c>
      <c r="BCJ5080" s="34">
        <v>-4.5</v>
      </c>
      <c r="BCK5080" s="34">
        <v>-4</v>
      </c>
      <c r="BCL5080" s="34">
        <v>-3.5</v>
      </c>
      <c r="BCM5080" s="34">
        <v>-3</v>
      </c>
      <c r="BCN5080" s="34">
        <v>-2.5</v>
      </c>
      <c r="BCO5080" s="34">
        <v>-2</v>
      </c>
      <c r="BCP5080" s="34">
        <v>-1.5</v>
      </c>
      <c r="BCQ5080" s="34">
        <v>-1</v>
      </c>
      <c r="BCR5080" s="34">
        <v>-0.5</v>
      </c>
      <c r="BCS5080" s="34">
        <v>0</v>
      </c>
      <c r="BCT5080" s="34">
        <v>0.5</v>
      </c>
      <c r="BCU5080" s="34">
        <v>1</v>
      </c>
      <c r="BCV5080" s="34">
        <v>1.5</v>
      </c>
      <c r="BCW5080" s="34">
        <v>2</v>
      </c>
      <c r="BCX5080" s="34">
        <v>2.5</v>
      </c>
      <c r="BCY5080" s="34">
        <v>3</v>
      </c>
      <c r="BCZ5080" s="34">
        <v>3.5</v>
      </c>
      <c r="BDA5080" s="34">
        <v>4</v>
      </c>
      <c r="BDB5080" s="34">
        <v>4.5</v>
      </c>
      <c r="BDC5080" s="34">
        <v>5</v>
      </c>
      <c r="BDE5080" s="913"/>
      <c r="BDF5080" s="31">
        <v>1</v>
      </c>
      <c r="BDG5080" s="34">
        <v>0</v>
      </c>
      <c r="BDH5080" s="34">
        <v>-1</v>
      </c>
      <c r="BDI5080" s="34">
        <v>-2</v>
      </c>
      <c r="BDJ5080" s="34">
        <v>-3</v>
      </c>
      <c r="BDK5080" s="34">
        <v>-4</v>
      </c>
      <c r="BDL5080" s="34">
        <v>-5</v>
      </c>
      <c r="BDM5080" s="908"/>
      <c r="BDN5080" s="909"/>
      <c r="BDO5080" s="34">
        <v>-5</v>
      </c>
      <c r="BDP5080" s="34">
        <v>-4.5</v>
      </c>
      <c r="BDQ5080" s="34">
        <v>-4</v>
      </c>
      <c r="BDR5080" s="34">
        <v>-3.5</v>
      </c>
      <c r="BDS5080" s="34">
        <v>-3</v>
      </c>
      <c r="BDT5080" s="34">
        <v>-2.5</v>
      </c>
      <c r="BDU5080" s="34">
        <v>-2</v>
      </c>
      <c r="BDV5080" s="34">
        <v>-1.5</v>
      </c>
      <c r="BDW5080" s="34">
        <v>-1</v>
      </c>
      <c r="BDX5080" s="34">
        <v>-0.5</v>
      </c>
      <c r="BDY5080" s="34">
        <v>0</v>
      </c>
      <c r="BDZ5080" s="34">
        <v>0.5</v>
      </c>
      <c r="BEA5080" s="34">
        <v>1</v>
      </c>
      <c r="BEB5080" s="34">
        <v>1.5</v>
      </c>
      <c r="BEC5080" s="34">
        <v>2</v>
      </c>
      <c r="BED5080" s="34">
        <v>2.5</v>
      </c>
      <c r="BEE5080" s="34">
        <v>3</v>
      </c>
      <c r="BEF5080" s="34">
        <v>3.5</v>
      </c>
      <c r="BEG5080" s="34">
        <v>4</v>
      </c>
      <c r="BEH5080" s="34">
        <v>4.5</v>
      </c>
      <c r="BEI5080" s="34">
        <v>5</v>
      </c>
      <c r="BEK5080" s="913"/>
      <c r="BEL5080" s="31">
        <v>1</v>
      </c>
      <c r="BEM5080" s="34">
        <v>0</v>
      </c>
      <c r="BEN5080" s="34">
        <v>-1</v>
      </c>
      <c r="BEO5080" s="34">
        <v>-2</v>
      </c>
      <c r="BEP5080" s="34">
        <v>-3</v>
      </c>
      <c r="BEQ5080" s="34">
        <v>-4</v>
      </c>
      <c r="BER5080" s="34">
        <v>-5</v>
      </c>
      <c r="BES5080" s="908"/>
      <c r="BET5080" s="909"/>
      <c r="BEU5080" s="34">
        <v>-5</v>
      </c>
      <c r="BEV5080" s="34">
        <v>-4.5</v>
      </c>
      <c r="BEW5080" s="34">
        <v>-4</v>
      </c>
      <c r="BEX5080" s="34">
        <v>-3.5</v>
      </c>
      <c r="BEY5080" s="34">
        <v>-3</v>
      </c>
      <c r="BEZ5080" s="34">
        <v>-2.5</v>
      </c>
      <c r="BFA5080" s="34">
        <v>-2</v>
      </c>
      <c r="BFB5080" s="34">
        <v>-1.5</v>
      </c>
      <c r="BFC5080" s="34">
        <v>-1</v>
      </c>
      <c r="BFD5080" s="34">
        <v>-0.5</v>
      </c>
      <c r="BFE5080" s="34">
        <v>0</v>
      </c>
      <c r="BFF5080" s="34">
        <v>0.5</v>
      </c>
      <c r="BFG5080" s="34">
        <v>1</v>
      </c>
      <c r="BFH5080" s="34">
        <v>1.5</v>
      </c>
      <c r="BFI5080" s="34">
        <v>2</v>
      </c>
      <c r="BFJ5080" s="34">
        <v>2.5</v>
      </c>
      <c r="BFK5080" s="34">
        <v>3</v>
      </c>
      <c r="BFL5080" s="34">
        <v>3.5</v>
      </c>
      <c r="BFM5080" s="34">
        <v>4</v>
      </c>
      <c r="BFN5080" s="34">
        <v>4.5</v>
      </c>
      <c r="BFO5080" s="34">
        <v>5</v>
      </c>
      <c r="BFQ5080" s="913"/>
      <c r="BFR5080" s="31">
        <v>1</v>
      </c>
      <c r="BFS5080" s="34">
        <v>0</v>
      </c>
      <c r="BFT5080" s="34">
        <v>-1</v>
      </c>
      <c r="BFU5080" s="34">
        <v>-2</v>
      </c>
      <c r="BFV5080" s="34">
        <v>-3</v>
      </c>
      <c r="BFW5080" s="34">
        <v>-4</v>
      </c>
      <c r="BFX5080" s="34">
        <v>-5</v>
      </c>
      <c r="BFY5080" s="908"/>
      <c r="BFZ5080" s="909"/>
      <c r="BGA5080" s="34">
        <v>-5</v>
      </c>
      <c r="BGB5080" s="34">
        <v>-4.5</v>
      </c>
      <c r="BGC5080" s="34">
        <v>-4</v>
      </c>
      <c r="BGD5080" s="34">
        <v>-3.5</v>
      </c>
      <c r="BGE5080" s="34">
        <v>-3</v>
      </c>
      <c r="BGF5080" s="34">
        <v>-2.5</v>
      </c>
      <c r="BGG5080" s="34">
        <v>-2</v>
      </c>
      <c r="BGH5080" s="34">
        <v>-1.5</v>
      </c>
      <c r="BGI5080" s="34">
        <v>-1</v>
      </c>
      <c r="BGJ5080" s="34">
        <v>-0.5</v>
      </c>
      <c r="BGK5080" s="34">
        <v>0</v>
      </c>
      <c r="BGL5080" s="34">
        <v>0.5</v>
      </c>
      <c r="BGM5080" s="34">
        <v>1</v>
      </c>
      <c r="BGN5080" s="34">
        <v>1.5</v>
      </c>
      <c r="BGO5080" s="34">
        <v>2</v>
      </c>
      <c r="BGP5080" s="34">
        <v>2.5</v>
      </c>
      <c r="BGQ5080" s="34">
        <v>3</v>
      </c>
      <c r="BGR5080" s="34">
        <v>3.5</v>
      </c>
      <c r="BGS5080" s="34">
        <v>4</v>
      </c>
      <c r="BGT5080" s="34">
        <v>4.5</v>
      </c>
      <c r="BGU5080" s="34">
        <v>5</v>
      </c>
      <c r="BGW5080" s="913"/>
      <c r="BGX5080" s="31">
        <v>1</v>
      </c>
      <c r="BGY5080" s="34">
        <v>0</v>
      </c>
      <c r="BGZ5080" s="34">
        <v>-1</v>
      </c>
      <c r="BHA5080" s="34">
        <v>-2</v>
      </c>
      <c r="BHB5080" s="34">
        <v>-3</v>
      </c>
      <c r="BHC5080" s="34">
        <v>-4</v>
      </c>
      <c r="BHD5080" s="34">
        <v>-5</v>
      </c>
      <c r="BHE5080" s="908"/>
      <c r="BHF5080" s="909"/>
      <c r="BHG5080" s="34">
        <v>-5</v>
      </c>
      <c r="BHH5080" s="34">
        <v>-4.5</v>
      </c>
      <c r="BHI5080" s="34">
        <v>-4</v>
      </c>
      <c r="BHJ5080" s="34">
        <v>-3.5</v>
      </c>
      <c r="BHK5080" s="34">
        <v>-3</v>
      </c>
      <c r="BHL5080" s="34">
        <v>-2.5</v>
      </c>
      <c r="BHM5080" s="34">
        <v>-2</v>
      </c>
      <c r="BHN5080" s="34">
        <v>-1.5</v>
      </c>
      <c r="BHO5080" s="34">
        <v>-1</v>
      </c>
      <c r="BHP5080" s="34">
        <v>-0.5</v>
      </c>
      <c r="BHQ5080" s="34">
        <v>0</v>
      </c>
      <c r="BHR5080" s="34">
        <v>0.5</v>
      </c>
      <c r="BHS5080" s="34">
        <v>1</v>
      </c>
      <c r="BHT5080" s="34">
        <v>1.5</v>
      </c>
      <c r="BHU5080" s="34">
        <v>2</v>
      </c>
      <c r="BHV5080" s="34">
        <v>2.5</v>
      </c>
      <c r="BHW5080" s="34">
        <v>3</v>
      </c>
      <c r="BHX5080" s="34">
        <v>3.5</v>
      </c>
      <c r="BHY5080" s="34">
        <v>4</v>
      </c>
      <c r="BHZ5080" s="34">
        <v>4.5</v>
      </c>
      <c r="BIA5080" s="34">
        <v>5</v>
      </c>
      <c r="BIC5080" s="913"/>
      <c r="BID5080" s="31">
        <v>1</v>
      </c>
      <c r="BIE5080" s="34">
        <v>0</v>
      </c>
      <c r="BIF5080" s="34">
        <v>-1</v>
      </c>
      <c r="BIG5080" s="34">
        <v>-2</v>
      </c>
      <c r="BIH5080" s="34">
        <v>-3</v>
      </c>
      <c r="BII5080" s="34">
        <v>-4</v>
      </c>
      <c r="BIJ5080" s="34">
        <v>-5</v>
      </c>
      <c r="BIK5080" s="908"/>
      <c r="BIL5080" s="909"/>
      <c r="BIM5080" s="34">
        <v>-5</v>
      </c>
      <c r="BIN5080" s="34">
        <v>-4.5</v>
      </c>
      <c r="BIO5080" s="34">
        <v>-4</v>
      </c>
      <c r="BIP5080" s="34">
        <v>-3.5</v>
      </c>
      <c r="BIQ5080" s="34">
        <v>-3</v>
      </c>
      <c r="BIR5080" s="34">
        <v>-2.5</v>
      </c>
      <c r="BIS5080" s="34">
        <v>-2</v>
      </c>
      <c r="BIT5080" s="34">
        <v>-1.5</v>
      </c>
      <c r="BIU5080" s="34">
        <v>-1</v>
      </c>
      <c r="BIV5080" s="34">
        <v>-0.5</v>
      </c>
      <c r="BIW5080" s="34">
        <v>0</v>
      </c>
      <c r="BIX5080" s="34">
        <v>0.5</v>
      </c>
      <c r="BIY5080" s="34">
        <v>1</v>
      </c>
      <c r="BIZ5080" s="34">
        <v>1.5</v>
      </c>
      <c r="BJA5080" s="34">
        <v>2</v>
      </c>
      <c r="BJB5080" s="34">
        <v>2.5</v>
      </c>
      <c r="BJC5080" s="34">
        <v>3</v>
      </c>
      <c r="BJD5080" s="34">
        <v>3.5</v>
      </c>
      <c r="BJE5080" s="34">
        <v>4</v>
      </c>
      <c r="BJF5080" s="34">
        <v>4.5</v>
      </c>
      <c r="BJG5080" s="34">
        <v>5</v>
      </c>
      <c r="BJI5080" s="913"/>
      <c r="BJJ5080" s="31">
        <v>1</v>
      </c>
      <c r="BJK5080" s="34">
        <v>0</v>
      </c>
      <c r="BJL5080" s="34">
        <v>-1</v>
      </c>
      <c r="BJM5080" s="34">
        <v>-2</v>
      </c>
      <c r="BJN5080" s="34">
        <v>-3</v>
      </c>
      <c r="BJO5080" s="34">
        <v>-4</v>
      </c>
      <c r="BJP5080" s="34">
        <v>-5</v>
      </c>
      <c r="BJQ5080" s="908"/>
      <c r="BJR5080" s="909"/>
      <c r="BJS5080" s="34">
        <v>-5</v>
      </c>
      <c r="BJT5080" s="34">
        <v>-4.5</v>
      </c>
      <c r="BJU5080" s="34">
        <v>-4</v>
      </c>
      <c r="BJV5080" s="34">
        <v>-3.5</v>
      </c>
      <c r="BJW5080" s="34">
        <v>-3</v>
      </c>
      <c r="BJX5080" s="34">
        <v>-2.5</v>
      </c>
      <c r="BJY5080" s="34">
        <v>-2</v>
      </c>
      <c r="BJZ5080" s="34">
        <v>-1.5</v>
      </c>
      <c r="BKA5080" s="34">
        <v>-1</v>
      </c>
      <c r="BKB5080" s="34">
        <v>-0.5</v>
      </c>
      <c r="BKC5080" s="34">
        <v>0</v>
      </c>
      <c r="BKD5080" s="34">
        <v>0.5</v>
      </c>
      <c r="BKE5080" s="34">
        <v>1</v>
      </c>
      <c r="BKF5080" s="34">
        <v>1.5</v>
      </c>
      <c r="BKG5080" s="34">
        <v>2</v>
      </c>
      <c r="BKH5080" s="34">
        <v>2.5</v>
      </c>
      <c r="BKI5080" s="34">
        <v>3</v>
      </c>
      <c r="BKJ5080" s="34">
        <v>3.5</v>
      </c>
      <c r="BKK5080" s="34">
        <v>4</v>
      </c>
      <c r="BKL5080" s="34">
        <v>4.5</v>
      </c>
      <c r="BKM5080" s="34">
        <v>5</v>
      </c>
      <c r="BKO5080" s="913"/>
      <c r="BKP5080" s="31">
        <v>1</v>
      </c>
      <c r="BKQ5080" s="34">
        <v>0</v>
      </c>
      <c r="BKR5080" s="34">
        <v>-1</v>
      </c>
      <c r="BKS5080" s="34">
        <v>-2</v>
      </c>
      <c r="BKT5080" s="34">
        <v>-3</v>
      </c>
      <c r="BKU5080" s="34">
        <v>-4</v>
      </c>
      <c r="BKV5080" s="34">
        <v>-5</v>
      </c>
      <c r="BKW5080" s="908"/>
      <c r="BKX5080" s="909"/>
      <c r="BKY5080" s="34">
        <v>-5</v>
      </c>
      <c r="BKZ5080" s="34">
        <v>-4.5</v>
      </c>
      <c r="BLA5080" s="34">
        <v>-4</v>
      </c>
      <c r="BLB5080" s="34">
        <v>-3.5</v>
      </c>
      <c r="BLC5080" s="34">
        <v>-3</v>
      </c>
      <c r="BLD5080" s="34">
        <v>-2.5</v>
      </c>
      <c r="BLE5080" s="34">
        <v>-2</v>
      </c>
      <c r="BLF5080" s="34">
        <v>-1.5</v>
      </c>
      <c r="BLG5080" s="34">
        <v>-1</v>
      </c>
      <c r="BLH5080" s="34">
        <v>-0.5</v>
      </c>
      <c r="BLI5080" s="34">
        <v>0</v>
      </c>
      <c r="BLJ5080" s="34">
        <v>0.5</v>
      </c>
      <c r="BLK5080" s="34">
        <v>1</v>
      </c>
      <c r="BLL5080" s="34">
        <v>1.5</v>
      </c>
      <c r="BLM5080" s="34">
        <v>2</v>
      </c>
      <c r="BLN5080" s="34">
        <v>2.5</v>
      </c>
      <c r="BLO5080" s="34">
        <v>3</v>
      </c>
      <c r="BLP5080" s="34">
        <v>3.5</v>
      </c>
      <c r="BLQ5080" s="34">
        <v>4</v>
      </c>
      <c r="BLR5080" s="34">
        <v>4.5</v>
      </c>
      <c r="BLS5080" s="34">
        <v>5</v>
      </c>
      <c r="BLU5080" s="913"/>
      <c r="BLV5080" s="31">
        <v>1</v>
      </c>
      <c r="BLW5080" s="34">
        <v>0</v>
      </c>
      <c r="BLX5080" s="34">
        <v>-1</v>
      </c>
      <c r="BLY5080" s="34">
        <v>-2</v>
      </c>
      <c r="BLZ5080" s="34">
        <v>-3</v>
      </c>
      <c r="BMA5080" s="34">
        <v>-4</v>
      </c>
      <c r="BMB5080" s="34">
        <v>-5</v>
      </c>
      <c r="BMC5080" s="908"/>
      <c r="BMD5080" s="909"/>
      <c r="BME5080" s="34">
        <v>-5</v>
      </c>
      <c r="BMF5080" s="34">
        <v>-4.5</v>
      </c>
      <c r="BMG5080" s="34">
        <v>-4</v>
      </c>
      <c r="BMH5080" s="34">
        <v>-3.5</v>
      </c>
      <c r="BMI5080" s="34">
        <v>-3</v>
      </c>
      <c r="BMJ5080" s="34">
        <v>-2.5</v>
      </c>
      <c r="BMK5080" s="34">
        <v>-2</v>
      </c>
      <c r="BML5080" s="34">
        <v>-1.5</v>
      </c>
      <c r="BMM5080" s="34">
        <v>-1</v>
      </c>
      <c r="BMN5080" s="34">
        <v>-0.5</v>
      </c>
      <c r="BMO5080" s="34">
        <v>0</v>
      </c>
      <c r="BMP5080" s="34">
        <v>0.5</v>
      </c>
      <c r="BMQ5080" s="34">
        <v>1</v>
      </c>
      <c r="BMR5080" s="34">
        <v>1.5</v>
      </c>
      <c r="BMS5080" s="34">
        <v>2</v>
      </c>
      <c r="BMT5080" s="34">
        <v>2.5</v>
      </c>
      <c r="BMU5080" s="34">
        <v>3</v>
      </c>
      <c r="BMV5080" s="34">
        <v>3.5</v>
      </c>
      <c r="BMW5080" s="34">
        <v>4</v>
      </c>
      <c r="BMX5080" s="34">
        <v>4.5</v>
      </c>
      <c r="BMY5080" s="34">
        <v>5</v>
      </c>
      <c r="BNA5080" s="913"/>
      <c r="BNB5080" s="31">
        <v>1</v>
      </c>
      <c r="BNC5080" s="34">
        <v>0</v>
      </c>
      <c r="BND5080" s="34">
        <v>-1</v>
      </c>
      <c r="BNE5080" s="34">
        <v>-2</v>
      </c>
      <c r="BNF5080" s="34">
        <v>-3</v>
      </c>
      <c r="BNG5080" s="34">
        <v>-4</v>
      </c>
      <c r="BNH5080" s="34">
        <v>-5</v>
      </c>
      <c r="BNI5080" s="908"/>
      <c r="BNJ5080" s="909"/>
      <c r="BNK5080" s="34">
        <v>-5</v>
      </c>
      <c r="BNL5080" s="34">
        <v>-4.5</v>
      </c>
      <c r="BNM5080" s="34">
        <v>-4</v>
      </c>
      <c r="BNN5080" s="34">
        <v>-3.5</v>
      </c>
      <c r="BNO5080" s="34">
        <v>-3</v>
      </c>
      <c r="BNP5080" s="34">
        <v>-2.5</v>
      </c>
      <c r="BNQ5080" s="34">
        <v>-2</v>
      </c>
      <c r="BNR5080" s="34">
        <v>-1.5</v>
      </c>
      <c r="BNS5080" s="34">
        <v>-1</v>
      </c>
      <c r="BNT5080" s="34">
        <v>-0.5</v>
      </c>
      <c r="BNU5080" s="34">
        <v>0</v>
      </c>
      <c r="BNV5080" s="34">
        <v>0.5</v>
      </c>
      <c r="BNW5080" s="34">
        <v>1</v>
      </c>
      <c r="BNX5080" s="34">
        <v>1.5</v>
      </c>
      <c r="BNY5080" s="34">
        <v>2</v>
      </c>
      <c r="BNZ5080" s="34">
        <v>2.5</v>
      </c>
      <c r="BOA5080" s="34">
        <v>3</v>
      </c>
      <c r="BOB5080" s="34">
        <v>3.5</v>
      </c>
      <c r="BOC5080" s="34">
        <v>4</v>
      </c>
      <c r="BOD5080" s="34">
        <v>4.5</v>
      </c>
      <c r="BOE5080" s="34">
        <v>5</v>
      </c>
      <c r="BOG5080" s="913"/>
      <c r="BOH5080" s="31">
        <v>1</v>
      </c>
      <c r="BOI5080" s="34">
        <v>0</v>
      </c>
      <c r="BOJ5080" s="34">
        <v>-1</v>
      </c>
      <c r="BOK5080" s="34">
        <v>-2</v>
      </c>
      <c r="BOL5080" s="34">
        <v>-3</v>
      </c>
      <c r="BOM5080" s="34">
        <v>-4</v>
      </c>
      <c r="BON5080" s="34">
        <v>-5</v>
      </c>
      <c r="BOO5080" s="908"/>
      <c r="BOP5080" s="909"/>
      <c r="BOQ5080" s="34">
        <v>-5</v>
      </c>
      <c r="BOR5080" s="34">
        <v>-4.5</v>
      </c>
      <c r="BOS5080" s="34">
        <v>-4</v>
      </c>
      <c r="BOT5080" s="34">
        <v>-3.5</v>
      </c>
      <c r="BOU5080" s="34">
        <v>-3</v>
      </c>
      <c r="BOV5080" s="34">
        <v>-2.5</v>
      </c>
      <c r="BOW5080" s="34">
        <v>-2</v>
      </c>
      <c r="BOX5080" s="34">
        <v>-1.5</v>
      </c>
      <c r="BOY5080" s="34">
        <v>-1</v>
      </c>
      <c r="BOZ5080" s="34">
        <v>-0.5</v>
      </c>
      <c r="BPA5080" s="34">
        <v>0</v>
      </c>
      <c r="BPB5080" s="34">
        <v>0.5</v>
      </c>
      <c r="BPC5080" s="34">
        <v>1</v>
      </c>
      <c r="BPD5080" s="34">
        <v>1.5</v>
      </c>
      <c r="BPE5080" s="34">
        <v>2</v>
      </c>
      <c r="BPF5080" s="34">
        <v>2.5</v>
      </c>
      <c r="BPG5080" s="34">
        <v>3</v>
      </c>
      <c r="BPH5080" s="34">
        <v>3.5</v>
      </c>
      <c r="BPI5080" s="34">
        <v>4</v>
      </c>
      <c r="BPJ5080" s="34">
        <v>4.5</v>
      </c>
      <c r="BPK5080" s="34">
        <v>5</v>
      </c>
      <c r="BPM5080" s="913"/>
      <c r="BPN5080" s="31">
        <v>1</v>
      </c>
      <c r="BPO5080" s="34">
        <v>0</v>
      </c>
      <c r="BPP5080" s="34">
        <v>-1</v>
      </c>
      <c r="BPQ5080" s="34">
        <v>-2</v>
      </c>
      <c r="BPR5080" s="34">
        <v>-3</v>
      </c>
      <c r="BPS5080" s="34">
        <v>-4</v>
      </c>
      <c r="BPT5080" s="34">
        <v>-5</v>
      </c>
      <c r="BPU5080" s="908"/>
      <c r="BPV5080" s="909"/>
      <c r="BPW5080" s="34">
        <v>-5</v>
      </c>
      <c r="BPX5080" s="34">
        <v>-4.5</v>
      </c>
      <c r="BPY5080" s="34">
        <v>-4</v>
      </c>
      <c r="BPZ5080" s="34">
        <v>-3.5</v>
      </c>
      <c r="BQA5080" s="34">
        <v>-3</v>
      </c>
      <c r="BQB5080" s="34">
        <v>-2.5</v>
      </c>
      <c r="BQC5080" s="34">
        <v>-2</v>
      </c>
      <c r="BQD5080" s="34">
        <v>-1.5</v>
      </c>
      <c r="BQE5080" s="34">
        <v>-1</v>
      </c>
      <c r="BQF5080" s="34">
        <v>-0.5</v>
      </c>
      <c r="BQG5080" s="34">
        <v>0</v>
      </c>
      <c r="BQH5080" s="34">
        <v>0.5</v>
      </c>
      <c r="BQI5080" s="34">
        <v>1</v>
      </c>
      <c r="BQJ5080" s="34">
        <v>1.5</v>
      </c>
      <c r="BQK5080" s="34">
        <v>2</v>
      </c>
      <c r="BQL5080" s="34">
        <v>2.5</v>
      </c>
      <c r="BQM5080" s="34">
        <v>3</v>
      </c>
      <c r="BQN5080" s="34">
        <v>3.5</v>
      </c>
      <c r="BQO5080" s="34">
        <v>4</v>
      </c>
      <c r="BQP5080" s="34">
        <v>4.5</v>
      </c>
      <c r="BQQ5080" s="34">
        <v>5</v>
      </c>
      <c r="BQS5080" s="913"/>
      <c r="BQT5080" s="31">
        <v>1</v>
      </c>
      <c r="BQU5080" s="34">
        <v>0</v>
      </c>
      <c r="BQV5080" s="34">
        <v>-1</v>
      </c>
      <c r="BQW5080" s="34">
        <v>-2</v>
      </c>
      <c r="BQX5080" s="34">
        <v>-3</v>
      </c>
      <c r="BQY5080" s="34">
        <v>-4</v>
      </c>
      <c r="BQZ5080" s="34">
        <v>-5</v>
      </c>
      <c r="BRA5080" s="908"/>
      <c r="BRB5080" s="909"/>
      <c r="BRC5080" s="34">
        <v>-5</v>
      </c>
      <c r="BRD5080" s="34">
        <v>-4.5</v>
      </c>
      <c r="BRE5080" s="34">
        <v>-4</v>
      </c>
      <c r="BRF5080" s="34">
        <v>-3.5</v>
      </c>
      <c r="BRG5080" s="34">
        <v>-3</v>
      </c>
      <c r="BRH5080" s="34">
        <v>-2.5</v>
      </c>
      <c r="BRI5080" s="34">
        <v>-2</v>
      </c>
      <c r="BRJ5080" s="34">
        <v>-1.5</v>
      </c>
      <c r="BRK5080" s="34">
        <v>-1</v>
      </c>
      <c r="BRL5080" s="34">
        <v>-0.5</v>
      </c>
      <c r="BRM5080" s="34">
        <v>0</v>
      </c>
      <c r="BRN5080" s="34">
        <v>0.5</v>
      </c>
      <c r="BRO5080" s="34">
        <v>1</v>
      </c>
      <c r="BRP5080" s="34">
        <v>1.5</v>
      </c>
      <c r="BRQ5080" s="34">
        <v>2</v>
      </c>
      <c r="BRR5080" s="34">
        <v>2.5</v>
      </c>
      <c r="BRS5080" s="34">
        <v>3</v>
      </c>
      <c r="BRT5080" s="34">
        <v>3.5</v>
      </c>
      <c r="BRU5080" s="34">
        <v>4</v>
      </c>
      <c r="BRV5080" s="34">
        <v>4.5</v>
      </c>
      <c r="BRW5080" s="34">
        <v>5</v>
      </c>
      <c r="BRY5080" s="913"/>
      <c r="BRZ5080" s="31">
        <v>1</v>
      </c>
      <c r="BSA5080" s="34">
        <v>0</v>
      </c>
      <c r="BSB5080" s="34">
        <v>-1</v>
      </c>
      <c r="BSC5080" s="34">
        <v>-2</v>
      </c>
      <c r="BSD5080" s="34">
        <v>-3</v>
      </c>
      <c r="BSE5080" s="34">
        <v>-4</v>
      </c>
      <c r="BSF5080" s="34">
        <v>-5</v>
      </c>
      <c r="BSG5080" s="908"/>
      <c r="BSH5080" s="909"/>
      <c r="BSI5080" s="34">
        <v>-5</v>
      </c>
      <c r="BSJ5080" s="34">
        <v>-4.5</v>
      </c>
      <c r="BSK5080" s="34">
        <v>-4</v>
      </c>
      <c r="BSL5080" s="34">
        <v>-3.5</v>
      </c>
      <c r="BSM5080" s="34">
        <v>-3</v>
      </c>
      <c r="BSN5080" s="34">
        <v>-2.5</v>
      </c>
      <c r="BSO5080" s="34">
        <v>-2</v>
      </c>
      <c r="BSP5080" s="34">
        <v>-1.5</v>
      </c>
      <c r="BSQ5080" s="34">
        <v>-1</v>
      </c>
      <c r="BSR5080" s="34">
        <v>-0.5</v>
      </c>
      <c r="BSS5080" s="34">
        <v>0</v>
      </c>
      <c r="BST5080" s="34">
        <v>0.5</v>
      </c>
      <c r="BSU5080" s="34">
        <v>1</v>
      </c>
      <c r="BSV5080" s="34">
        <v>1.5</v>
      </c>
      <c r="BSW5080" s="34">
        <v>2</v>
      </c>
      <c r="BSX5080" s="34">
        <v>2.5</v>
      </c>
      <c r="BSY5080" s="34">
        <v>3</v>
      </c>
      <c r="BSZ5080" s="34">
        <v>3.5</v>
      </c>
      <c r="BTA5080" s="34">
        <v>4</v>
      </c>
      <c r="BTB5080" s="34">
        <v>4.5</v>
      </c>
      <c r="BTC5080" s="34">
        <v>5</v>
      </c>
      <c r="BTE5080" s="913"/>
      <c r="BTF5080" s="31">
        <v>1</v>
      </c>
      <c r="BTG5080" s="34">
        <v>0</v>
      </c>
      <c r="BTH5080" s="34">
        <v>-1</v>
      </c>
      <c r="BTI5080" s="34">
        <v>-2</v>
      </c>
      <c r="BTJ5080" s="34">
        <v>-3</v>
      </c>
      <c r="BTK5080" s="34">
        <v>-4</v>
      </c>
      <c r="BTL5080" s="34">
        <v>-5</v>
      </c>
      <c r="BTM5080" s="908"/>
      <c r="BTN5080" s="909"/>
      <c r="BTO5080" s="34">
        <v>-5</v>
      </c>
      <c r="BTP5080" s="34">
        <v>-4.5</v>
      </c>
      <c r="BTQ5080" s="34">
        <v>-4</v>
      </c>
      <c r="BTR5080" s="34">
        <v>-3.5</v>
      </c>
      <c r="BTS5080" s="34">
        <v>-3</v>
      </c>
      <c r="BTT5080" s="34">
        <v>-2.5</v>
      </c>
      <c r="BTU5080" s="34">
        <v>-2</v>
      </c>
      <c r="BTV5080" s="34">
        <v>-1.5</v>
      </c>
      <c r="BTW5080" s="34">
        <v>-1</v>
      </c>
      <c r="BTX5080" s="34">
        <v>-0.5</v>
      </c>
      <c r="BTY5080" s="34">
        <v>0</v>
      </c>
      <c r="BTZ5080" s="34">
        <v>0.5</v>
      </c>
      <c r="BUA5080" s="34">
        <v>1</v>
      </c>
      <c r="BUB5080" s="34">
        <v>1.5</v>
      </c>
      <c r="BUC5080" s="34">
        <v>2</v>
      </c>
      <c r="BUD5080" s="34">
        <v>2.5</v>
      </c>
      <c r="BUE5080" s="34">
        <v>3</v>
      </c>
      <c r="BUF5080" s="34">
        <v>3.5</v>
      </c>
      <c r="BUG5080" s="34">
        <v>4</v>
      </c>
      <c r="BUH5080" s="34">
        <v>4.5</v>
      </c>
      <c r="BUI5080" s="34">
        <v>5</v>
      </c>
      <c r="BUK5080" s="913"/>
      <c r="BUL5080" s="31">
        <v>1</v>
      </c>
      <c r="BUM5080" s="34">
        <v>0</v>
      </c>
      <c r="BUN5080" s="34">
        <v>-1</v>
      </c>
      <c r="BUO5080" s="34">
        <v>-2</v>
      </c>
      <c r="BUP5080" s="34">
        <v>-3</v>
      </c>
      <c r="BUQ5080" s="34">
        <v>-4</v>
      </c>
      <c r="BUR5080" s="34">
        <v>-5</v>
      </c>
      <c r="BUS5080" s="908"/>
      <c r="BUT5080" s="909"/>
      <c r="BUU5080" s="34">
        <v>-5</v>
      </c>
      <c r="BUV5080" s="34">
        <v>-4.5</v>
      </c>
      <c r="BUW5080" s="34">
        <v>-4</v>
      </c>
      <c r="BUX5080" s="34">
        <v>-3.5</v>
      </c>
      <c r="BUY5080" s="34">
        <v>-3</v>
      </c>
      <c r="BUZ5080" s="34">
        <v>-2.5</v>
      </c>
      <c r="BVA5080" s="34">
        <v>-2</v>
      </c>
      <c r="BVB5080" s="34">
        <v>-1.5</v>
      </c>
      <c r="BVC5080" s="34">
        <v>-1</v>
      </c>
      <c r="BVD5080" s="34">
        <v>-0.5</v>
      </c>
      <c r="BVE5080" s="34">
        <v>0</v>
      </c>
      <c r="BVF5080" s="34">
        <v>0.5</v>
      </c>
      <c r="BVG5080" s="34">
        <v>1</v>
      </c>
      <c r="BVH5080" s="34">
        <v>1.5</v>
      </c>
      <c r="BVI5080" s="34">
        <v>2</v>
      </c>
      <c r="BVJ5080" s="34">
        <v>2.5</v>
      </c>
      <c r="BVK5080" s="34">
        <v>3</v>
      </c>
      <c r="BVL5080" s="34">
        <v>3.5</v>
      </c>
      <c r="BVM5080" s="34">
        <v>4</v>
      </c>
      <c r="BVN5080" s="34">
        <v>4.5</v>
      </c>
      <c r="BVO5080" s="34">
        <v>5</v>
      </c>
      <c r="BVQ5080" s="913"/>
      <c r="BVR5080" s="31">
        <v>1</v>
      </c>
      <c r="BVS5080" s="34">
        <v>0</v>
      </c>
      <c r="BVT5080" s="34">
        <v>-1</v>
      </c>
      <c r="BVU5080" s="34">
        <v>-2</v>
      </c>
      <c r="BVV5080" s="34">
        <v>-3</v>
      </c>
      <c r="BVW5080" s="34">
        <v>-4</v>
      </c>
      <c r="BVX5080" s="34">
        <v>-5</v>
      </c>
      <c r="BVY5080" s="908"/>
      <c r="BVZ5080" s="909"/>
      <c r="BWA5080" s="34">
        <v>-5</v>
      </c>
      <c r="BWB5080" s="34">
        <v>-4.5</v>
      </c>
      <c r="BWC5080" s="34">
        <v>-4</v>
      </c>
      <c r="BWD5080" s="34">
        <v>-3.5</v>
      </c>
      <c r="BWE5080" s="34">
        <v>-3</v>
      </c>
      <c r="BWF5080" s="34">
        <v>-2.5</v>
      </c>
      <c r="BWG5080" s="34">
        <v>-2</v>
      </c>
      <c r="BWH5080" s="34">
        <v>-1.5</v>
      </c>
      <c r="BWI5080" s="34">
        <v>-1</v>
      </c>
      <c r="BWJ5080" s="34">
        <v>-0.5</v>
      </c>
      <c r="BWK5080" s="34">
        <v>0</v>
      </c>
      <c r="BWL5080" s="34">
        <v>0.5</v>
      </c>
      <c r="BWM5080" s="34">
        <v>1</v>
      </c>
      <c r="BWN5080" s="34">
        <v>1.5</v>
      </c>
      <c r="BWO5080" s="34">
        <v>2</v>
      </c>
      <c r="BWP5080" s="34">
        <v>2.5</v>
      </c>
      <c r="BWQ5080" s="34">
        <v>3</v>
      </c>
      <c r="BWR5080" s="34">
        <v>3.5</v>
      </c>
      <c r="BWS5080" s="34">
        <v>4</v>
      </c>
      <c r="BWT5080" s="34">
        <v>4.5</v>
      </c>
      <c r="BWU5080" s="34">
        <v>5</v>
      </c>
      <c r="BWW5080" s="913"/>
      <c r="BWX5080" s="31">
        <v>1</v>
      </c>
      <c r="BWY5080" s="34">
        <v>0</v>
      </c>
      <c r="BWZ5080" s="34">
        <v>-1</v>
      </c>
      <c r="BXA5080" s="34">
        <v>-2</v>
      </c>
      <c r="BXB5080" s="34">
        <v>-3</v>
      </c>
      <c r="BXC5080" s="34">
        <v>-4</v>
      </c>
      <c r="BXD5080" s="34">
        <v>-5</v>
      </c>
      <c r="BXE5080" s="908"/>
      <c r="BXF5080" s="909"/>
      <c r="BXG5080" s="34">
        <v>-5</v>
      </c>
      <c r="BXH5080" s="34">
        <v>-4.5</v>
      </c>
      <c r="BXI5080" s="34">
        <v>-4</v>
      </c>
      <c r="BXJ5080" s="34">
        <v>-3.5</v>
      </c>
      <c r="BXK5080" s="34">
        <v>-3</v>
      </c>
      <c r="BXL5080" s="34">
        <v>-2.5</v>
      </c>
      <c r="BXM5080" s="34">
        <v>-2</v>
      </c>
      <c r="BXN5080" s="34">
        <v>-1.5</v>
      </c>
      <c r="BXO5080" s="34">
        <v>-1</v>
      </c>
      <c r="BXP5080" s="34">
        <v>-0.5</v>
      </c>
      <c r="BXQ5080" s="34">
        <v>0</v>
      </c>
      <c r="BXR5080" s="34">
        <v>0.5</v>
      </c>
      <c r="BXS5080" s="34">
        <v>1</v>
      </c>
      <c r="BXT5080" s="34">
        <v>1.5</v>
      </c>
      <c r="BXU5080" s="34">
        <v>2</v>
      </c>
      <c r="BXV5080" s="34">
        <v>2.5</v>
      </c>
      <c r="BXW5080" s="34">
        <v>3</v>
      </c>
      <c r="BXX5080" s="34">
        <v>3.5</v>
      </c>
      <c r="BXY5080" s="34">
        <v>4</v>
      </c>
      <c r="BXZ5080" s="34">
        <v>4.5</v>
      </c>
      <c r="BYA5080" s="34">
        <v>5</v>
      </c>
      <c r="BYC5080" s="913"/>
      <c r="BYD5080" s="31">
        <v>1</v>
      </c>
      <c r="BYE5080" s="34">
        <v>0</v>
      </c>
      <c r="BYF5080" s="34">
        <v>-1</v>
      </c>
      <c r="BYG5080" s="34">
        <v>-2</v>
      </c>
      <c r="BYH5080" s="34">
        <v>-3</v>
      </c>
      <c r="BYI5080" s="34">
        <v>-4</v>
      </c>
      <c r="BYJ5080" s="34">
        <v>-5</v>
      </c>
      <c r="BYK5080" s="908"/>
      <c r="BYL5080" s="909"/>
      <c r="BYM5080" s="34">
        <v>-5</v>
      </c>
      <c r="BYN5080" s="34">
        <v>-4.5</v>
      </c>
      <c r="BYO5080" s="34">
        <v>-4</v>
      </c>
      <c r="BYP5080" s="34">
        <v>-3.5</v>
      </c>
      <c r="BYQ5080" s="34">
        <v>-3</v>
      </c>
      <c r="BYR5080" s="34">
        <v>-2.5</v>
      </c>
      <c r="BYS5080" s="34">
        <v>-2</v>
      </c>
      <c r="BYT5080" s="34">
        <v>-1.5</v>
      </c>
      <c r="BYU5080" s="34">
        <v>-1</v>
      </c>
      <c r="BYV5080" s="34">
        <v>-0.5</v>
      </c>
      <c r="BYW5080" s="34">
        <v>0</v>
      </c>
      <c r="BYX5080" s="34">
        <v>0.5</v>
      </c>
      <c r="BYY5080" s="34">
        <v>1</v>
      </c>
      <c r="BYZ5080" s="34">
        <v>1.5</v>
      </c>
      <c r="BZA5080" s="34">
        <v>2</v>
      </c>
      <c r="BZB5080" s="34">
        <v>2.5</v>
      </c>
      <c r="BZC5080" s="34">
        <v>3</v>
      </c>
      <c r="BZD5080" s="34">
        <v>3.5</v>
      </c>
      <c r="BZE5080" s="34">
        <v>4</v>
      </c>
      <c r="BZF5080" s="34">
        <v>4.5</v>
      </c>
      <c r="BZG5080" s="34">
        <v>5</v>
      </c>
      <c r="BZI5080" s="913"/>
      <c r="BZJ5080" s="31">
        <v>1</v>
      </c>
      <c r="BZK5080" s="34">
        <v>0</v>
      </c>
      <c r="BZL5080" s="34">
        <v>-1</v>
      </c>
      <c r="BZM5080" s="34">
        <v>-2</v>
      </c>
      <c r="BZN5080" s="34">
        <v>-3</v>
      </c>
      <c r="BZO5080" s="34">
        <v>-4</v>
      </c>
      <c r="BZP5080" s="34">
        <v>-5</v>
      </c>
      <c r="BZQ5080" s="908"/>
      <c r="BZR5080" s="909"/>
      <c r="BZS5080" s="34">
        <v>-5</v>
      </c>
      <c r="BZT5080" s="34">
        <v>-4.5</v>
      </c>
      <c r="BZU5080" s="34">
        <v>-4</v>
      </c>
      <c r="BZV5080" s="34">
        <v>-3.5</v>
      </c>
      <c r="BZW5080" s="34">
        <v>-3</v>
      </c>
      <c r="BZX5080" s="34">
        <v>-2.5</v>
      </c>
      <c r="BZY5080" s="34">
        <v>-2</v>
      </c>
      <c r="BZZ5080" s="34">
        <v>-1.5</v>
      </c>
      <c r="CAA5080" s="34">
        <v>-1</v>
      </c>
      <c r="CAB5080" s="34">
        <v>-0.5</v>
      </c>
      <c r="CAC5080" s="34">
        <v>0</v>
      </c>
      <c r="CAD5080" s="34">
        <v>0.5</v>
      </c>
      <c r="CAE5080" s="34">
        <v>1</v>
      </c>
      <c r="CAF5080" s="34">
        <v>1.5</v>
      </c>
      <c r="CAG5080" s="34">
        <v>2</v>
      </c>
      <c r="CAH5080" s="34">
        <v>2.5</v>
      </c>
      <c r="CAI5080" s="34">
        <v>3</v>
      </c>
      <c r="CAJ5080" s="34">
        <v>3.5</v>
      </c>
      <c r="CAK5080" s="34">
        <v>4</v>
      </c>
      <c r="CAL5080" s="34">
        <v>4.5</v>
      </c>
      <c r="CAM5080" s="34">
        <v>5</v>
      </c>
      <c r="CAO5080" s="913"/>
      <c r="CAP5080" s="31">
        <v>1</v>
      </c>
      <c r="CAQ5080" s="34">
        <v>0</v>
      </c>
      <c r="CAR5080" s="34">
        <v>-1</v>
      </c>
      <c r="CAS5080" s="34">
        <v>-2</v>
      </c>
      <c r="CAT5080" s="34">
        <v>-3</v>
      </c>
      <c r="CAU5080" s="34">
        <v>-4</v>
      </c>
      <c r="CAV5080" s="34">
        <v>-5</v>
      </c>
      <c r="CAW5080" s="908"/>
      <c r="CAX5080" s="909"/>
      <c r="CAY5080" s="34">
        <v>-5</v>
      </c>
      <c r="CAZ5080" s="34">
        <v>-4.5</v>
      </c>
      <c r="CBA5080" s="34">
        <v>-4</v>
      </c>
      <c r="CBB5080" s="34">
        <v>-3.5</v>
      </c>
      <c r="CBC5080" s="34">
        <v>-3</v>
      </c>
      <c r="CBD5080" s="34">
        <v>-2.5</v>
      </c>
      <c r="CBE5080" s="34">
        <v>-2</v>
      </c>
      <c r="CBF5080" s="34">
        <v>-1.5</v>
      </c>
      <c r="CBG5080" s="34">
        <v>-1</v>
      </c>
      <c r="CBH5080" s="34">
        <v>-0.5</v>
      </c>
      <c r="CBI5080" s="34">
        <v>0</v>
      </c>
      <c r="CBJ5080" s="34">
        <v>0.5</v>
      </c>
      <c r="CBK5080" s="34">
        <v>1</v>
      </c>
      <c r="CBL5080" s="34">
        <v>1.5</v>
      </c>
      <c r="CBM5080" s="34">
        <v>2</v>
      </c>
      <c r="CBN5080" s="34">
        <v>2.5</v>
      </c>
      <c r="CBO5080" s="34">
        <v>3</v>
      </c>
      <c r="CBP5080" s="34">
        <v>3.5</v>
      </c>
      <c r="CBQ5080" s="34">
        <v>4</v>
      </c>
      <c r="CBR5080" s="34">
        <v>4.5</v>
      </c>
      <c r="CBS5080" s="34">
        <v>5</v>
      </c>
      <c r="CBU5080" s="913"/>
      <c r="CBV5080" s="31">
        <v>1</v>
      </c>
      <c r="CBW5080" s="34">
        <v>0</v>
      </c>
      <c r="CBX5080" s="34">
        <v>-1</v>
      </c>
      <c r="CBY5080" s="34">
        <v>-2</v>
      </c>
      <c r="CBZ5080" s="34">
        <v>-3</v>
      </c>
      <c r="CCA5080" s="34">
        <v>-4</v>
      </c>
      <c r="CCB5080" s="34">
        <v>-5</v>
      </c>
      <c r="CCC5080" s="908"/>
      <c r="CCD5080" s="909"/>
      <c r="CCE5080" s="34">
        <v>-5</v>
      </c>
      <c r="CCF5080" s="34">
        <v>-4.5</v>
      </c>
      <c r="CCG5080" s="34">
        <v>-4</v>
      </c>
      <c r="CCH5080" s="34">
        <v>-3.5</v>
      </c>
      <c r="CCI5080" s="34">
        <v>-3</v>
      </c>
      <c r="CCJ5080" s="34">
        <v>-2.5</v>
      </c>
      <c r="CCK5080" s="34">
        <v>-2</v>
      </c>
      <c r="CCL5080" s="34">
        <v>-1.5</v>
      </c>
      <c r="CCM5080" s="34">
        <v>-1</v>
      </c>
      <c r="CCN5080" s="34">
        <v>-0.5</v>
      </c>
      <c r="CCO5080" s="34">
        <v>0</v>
      </c>
      <c r="CCP5080" s="34">
        <v>0.5</v>
      </c>
      <c r="CCQ5080" s="34">
        <v>1</v>
      </c>
      <c r="CCR5080" s="34">
        <v>1.5</v>
      </c>
      <c r="CCS5080" s="34">
        <v>2</v>
      </c>
      <c r="CCT5080" s="34">
        <v>2.5</v>
      </c>
      <c r="CCU5080" s="34">
        <v>3</v>
      </c>
      <c r="CCV5080" s="34">
        <v>3.5</v>
      </c>
      <c r="CCW5080" s="34">
        <v>4</v>
      </c>
      <c r="CCX5080" s="34">
        <v>4.5</v>
      </c>
      <c r="CCY5080" s="34">
        <v>5</v>
      </c>
      <c r="CDA5080" s="913"/>
      <c r="CDB5080" s="31">
        <v>1</v>
      </c>
      <c r="CDC5080" s="34">
        <v>0</v>
      </c>
      <c r="CDD5080" s="34">
        <v>-1</v>
      </c>
      <c r="CDE5080" s="34">
        <v>-2</v>
      </c>
      <c r="CDF5080" s="34">
        <v>-3</v>
      </c>
      <c r="CDG5080" s="34">
        <v>-4</v>
      </c>
      <c r="CDH5080" s="34">
        <v>-5</v>
      </c>
      <c r="CDI5080" s="908"/>
      <c r="CDJ5080" s="909"/>
      <c r="CDK5080" s="34">
        <v>-5</v>
      </c>
      <c r="CDL5080" s="34">
        <v>-4.5</v>
      </c>
      <c r="CDM5080" s="34">
        <v>-4</v>
      </c>
      <c r="CDN5080" s="34">
        <v>-3.5</v>
      </c>
      <c r="CDO5080" s="34">
        <v>-3</v>
      </c>
      <c r="CDP5080" s="34">
        <v>-2.5</v>
      </c>
      <c r="CDQ5080" s="34">
        <v>-2</v>
      </c>
      <c r="CDR5080" s="34">
        <v>-1.5</v>
      </c>
      <c r="CDS5080" s="34">
        <v>-1</v>
      </c>
      <c r="CDT5080" s="34">
        <v>-0.5</v>
      </c>
      <c r="CDU5080" s="34">
        <v>0</v>
      </c>
      <c r="CDV5080" s="34">
        <v>0.5</v>
      </c>
      <c r="CDW5080" s="34">
        <v>1</v>
      </c>
      <c r="CDX5080" s="34">
        <v>1.5</v>
      </c>
      <c r="CDY5080" s="34">
        <v>2</v>
      </c>
      <c r="CDZ5080" s="34">
        <v>2.5</v>
      </c>
      <c r="CEA5080" s="34">
        <v>3</v>
      </c>
      <c r="CEB5080" s="34">
        <v>3.5</v>
      </c>
      <c r="CEC5080" s="34">
        <v>4</v>
      </c>
      <c r="CED5080" s="34">
        <v>4.5</v>
      </c>
      <c r="CEE5080" s="34">
        <v>5</v>
      </c>
      <c r="CEG5080" s="913"/>
      <c r="CEH5080" s="31">
        <v>1</v>
      </c>
      <c r="CEI5080" s="34">
        <v>0</v>
      </c>
      <c r="CEJ5080" s="34">
        <v>-1</v>
      </c>
      <c r="CEK5080" s="34">
        <v>-2</v>
      </c>
      <c r="CEL5080" s="34">
        <v>-3</v>
      </c>
      <c r="CEM5080" s="34">
        <v>-4</v>
      </c>
      <c r="CEN5080" s="34">
        <v>-5</v>
      </c>
      <c r="CEO5080" s="908"/>
      <c r="CEP5080" s="909"/>
      <c r="CEQ5080" s="34">
        <v>-5</v>
      </c>
      <c r="CER5080" s="34">
        <v>-4.5</v>
      </c>
      <c r="CES5080" s="34">
        <v>-4</v>
      </c>
      <c r="CET5080" s="34">
        <v>-3.5</v>
      </c>
      <c r="CEU5080" s="34">
        <v>-3</v>
      </c>
      <c r="CEV5080" s="34">
        <v>-2.5</v>
      </c>
      <c r="CEW5080" s="34">
        <v>-2</v>
      </c>
      <c r="CEX5080" s="34">
        <v>-1.5</v>
      </c>
      <c r="CEY5080" s="34">
        <v>-1</v>
      </c>
      <c r="CEZ5080" s="34">
        <v>-0.5</v>
      </c>
      <c r="CFA5080" s="34">
        <v>0</v>
      </c>
      <c r="CFB5080" s="34">
        <v>0.5</v>
      </c>
      <c r="CFC5080" s="34">
        <v>1</v>
      </c>
      <c r="CFD5080" s="34">
        <v>1.5</v>
      </c>
      <c r="CFE5080" s="34">
        <v>2</v>
      </c>
      <c r="CFF5080" s="34">
        <v>2.5</v>
      </c>
      <c r="CFG5080" s="34">
        <v>3</v>
      </c>
      <c r="CFH5080" s="34">
        <v>3.5</v>
      </c>
      <c r="CFI5080" s="34">
        <v>4</v>
      </c>
      <c r="CFJ5080" s="34">
        <v>4.5</v>
      </c>
      <c r="CFK5080" s="34">
        <v>5</v>
      </c>
      <c r="CFM5080" s="913"/>
      <c r="CFN5080" s="31">
        <v>1</v>
      </c>
      <c r="CFO5080" s="34">
        <v>0</v>
      </c>
      <c r="CFP5080" s="34">
        <v>-1</v>
      </c>
      <c r="CFQ5080" s="34">
        <v>-2</v>
      </c>
      <c r="CFR5080" s="34">
        <v>-3</v>
      </c>
      <c r="CFS5080" s="34">
        <v>-4</v>
      </c>
      <c r="CFT5080" s="34">
        <v>-5</v>
      </c>
      <c r="CFU5080" s="908"/>
      <c r="CFV5080" s="909"/>
      <c r="CFW5080" s="34">
        <v>-5</v>
      </c>
      <c r="CFX5080" s="34">
        <v>-4.5</v>
      </c>
      <c r="CFY5080" s="34">
        <v>-4</v>
      </c>
      <c r="CFZ5080" s="34">
        <v>-3.5</v>
      </c>
      <c r="CGA5080" s="34">
        <v>-3</v>
      </c>
      <c r="CGB5080" s="34">
        <v>-2.5</v>
      </c>
      <c r="CGC5080" s="34">
        <v>-2</v>
      </c>
      <c r="CGD5080" s="34">
        <v>-1.5</v>
      </c>
      <c r="CGE5080" s="34">
        <v>-1</v>
      </c>
      <c r="CGF5080" s="34">
        <v>-0.5</v>
      </c>
      <c r="CGG5080" s="34">
        <v>0</v>
      </c>
      <c r="CGH5080" s="34">
        <v>0.5</v>
      </c>
      <c r="CGI5080" s="34">
        <v>1</v>
      </c>
      <c r="CGJ5080" s="34">
        <v>1.5</v>
      </c>
      <c r="CGK5080" s="34">
        <v>2</v>
      </c>
      <c r="CGL5080" s="34">
        <v>2.5</v>
      </c>
      <c r="CGM5080" s="34">
        <v>3</v>
      </c>
      <c r="CGN5080" s="34">
        <v>3.5</v>
      </c>
      <c r="CGO5080" s="34">
        <v>4</v>
      </c>
      <c r="CGP5080" s="34">
        <v>4.5</v>
      </c>
      <c r="CGQ5080" s="34">
        <v>5</v>
      </c>
      <c r="CGS5080" s="913"/>
      <c r="CGT5080" s="31">
        <v>1</v>
      </c>
      <c r="CGU5080" s="34">
        <v>0</v>
      </c>
      <c r="CGV5080" s="34">
        <v>-1</v>
      </c>
      <c r="CGW5080" s="34">
        <v>-2</v>
      </c>
      <c r="CGX5080" s="34">
        <v>-3</v>
      </c>
      <c r="CGY5080" s="34">
        <v>-4</v>
      </c>
      <c r="CGZ5080" s="34">
        <v>-5</v>
      </c>
      <c r="CHA5080" s="908"/>
      <c r="CHB5080" s="909"/>
      <c r="CHC5080" s="34">
        <v>-5</v>
      </c>
      <c r="CHD5080" s="34">
        <v>-4.5</v>
      </c>
      <c r="CHE5080" s="34">
        <v>-4</v>
      </c>
      <c r="CHF5080" s="34">
        <v>-3.5</v>
      </c>
      <c r="CHG5080" s="34">
        <v>-3</v>
      </c>
      <c r="CHH5080" s="34">
        <v>-2.5</v>
      </c>
      <c r="CHI5080" s="34">
        <v>-2</v>
      </c>
      <c r="CHJ5080" s="34">
        <v>-1.5</v>
      </c>
      <c r="CHK5080" s="34">
        <v>-1</v>
      </c>
      <c r="CHL5080" s="34">
        <v>-0.5</v>
      </c>
      <c r="CHM5080" s="34">
        <v>0</v>
      </c>
      <c r="CHN5080" s="34">
        <v>0.5</v>
      </c>
      <c r="CHO5080" s="34">
        <v>1</v>
      </c>
      <c r="CHP5080" s="34">
        <v>1.5</v>
      </c>
      <c r="CHQ5080" s="34">
        <v>2</v>
      </c>
      <c r="CHR5080" s="34">
        <v>2.5</v>
      </c>
      <c r="CHS5080" s="34">
        <v>3</v>
      </c>
      <c r="CHT5080" s="34">
        <v>3.5</v>
      </c>
      <c r="CHU5080" s="34">
        <v>4</v>
      </c>
      <c r="CHV5080" s="34">
        <v>4.5</v>
      </c>
      <c r="CHW5080" s="34">
        <v>5</v>
      </c>
      <c r="CHY5080" s="913"/>
      <c r="CHZ5080" s="31">
        <v>1</v>
      </c>
      <c r="CIA5080" s="34">
        <v>0</v>
      </c>
      <c r="CIB5080" s="34">
        <v>-1</v>
      </c>
      <c r="CIC5080" s="34">
        <v>-2</v>
      </c>
      <c r="CID5080" s="34">
        <v>-3</v>
      </c>
      <c r="CIE5080" s="34">
        <v>-4</v>
      </c>
      <c r="CIF5080" s="34">
        <v>-5</v>
      </c>
      <c r="CIG5080" s="908"/>
      <c r="CIH5080" s="909"/>
      <c r="CII5080" s="34">
        <v>-5</v>
      </c>
      <c r="CIJ5080" s="34">
        <v>-4.5</v>
      </c>
      <c r="CIK5080" s="34">
        <v>-4</v>
      </c>
      <c r="CIL5080" s="34">
        <v>-3.5</v>
      </c>
      <c r="CIM5080" s="34">
        <v>-3</v>
      </c>
      <c r="CIN5080" s="34">
        <v>-2.5</v>
      </c>
      <c r="CIO5080" s="34">
        <v>-2</v>
      </c>
      <c r="CIP5080" s="34">
        <v>-1.5</v>
      </c>
      <c r="CIQ5080" s="34">
        <v>-1</v>
      </c>
      <c r="CIR5080" s="34">
        <v>-0.5</v>
      </c>
      <c r="CIS5080" s="34">
        <v>0</v>
      </c>
      <c r="CIT5080" s="34">
        <v>0.5</v>
      </c>
      <c r="CIU5080" s="34">
        <v>1</v>
      </c>
      <c r="CIV5080" s="34">
        <v>1.5</v>
      </c>
      <c r="CIW5080" s="34">
        <v>2</v>
      </c>
      <c r="CIX5080" s="34">
        <v>2.5</v>
      </c>
      <c r="CIY5080" s="34">
        <v>3</v>
      </c>
      <c r="CIZ5080" s="34">
        <v>3.5</v>
      </c>
      <c r="CJA5080" s="34">
        <v>4</v>
      </c>
      <c r="CJB5080" s="34">
        <v>4.5</v>
      </c>
      <c r="CJC5080" s="34">
        <v>5</v>
      </c>
      <c r="CJE5080" s="913"/>
      <c r="CJF5080" s="31">
        <v>1</v>
      </c>
      <c r="CJG5080" s="34">
        <v>0</v>
      </c>
      <c r="CJH5080" s="34">
        <v>-1</v>
      </c>
      <c r="CJI5080" s="34">
        <v>-2</v>
      </c>
      <c r="CJJ5080" s="34">
        <v>-3</v>
      </c>
      <c r="CJK5080" s="34">
        <v>-4</v>
      </c>
      <c r="CJL5080" s="34">
        <v>-5</v>
      </c>
      <c r="CJM5080" s="908"/>
      <c r="CJN5080" s="909"/>
      <c r="CJO5080" s="34">
        <v>-5</v>
      </c>
      <c r="CJP5080" s="34">
        <v>-4.5</v>
      </c>
      <c r="CJQ5080" s="34">
        <v>-4</v>
      </c>
      <c r="CJR5080" s="34">
        <v>-3.5</v>
      </c>
      <c r="CJS5080" s="34">
        <v>-3</v>
      </c>
      <c r="CJT5080" s="34">
        <v>-2.5</v>
      </c>
      <c r="CJU5080" s="34">
        <v>-2</v>
      </c>
      <c r="CJV5080" s="34">
        <v>-1.5</v>
      </c>
      <c r="CJW5080" s="34">
        <v>-1</v>
      </c>
      <c r="CJX5080" s="34">
        <v>-0.5</v>
      </c>
      <c r="CJY5080" s="34">
        <v>0</v>
      </c>
      <c r="CJZ5080" s="34">
        <v>0.5</v>
      </c>
      <c r="CKA5080" s="34">
        <v>1</v>
      </c>
      <c r="CKB5080" s="34">
        <v>1.5</v>
      </c>
      <c r="CKC5080" s="34">
        <v>2</v>
      </c>
      <c r="CKD5080" s="34">
        <v>2.5</v>
      </c>
      <c r="CKE5080" s="34">
        <v>3</v>
      </c>
      <c r="CKF5080" s="34">
        <v>3.5</v>
      </c>
      <c r="CKG5080" s="34">
        <v>4</v>
      </c>
      <c r="CKH5080" s="34">
        <v>4.5</v>
      </c>
      <c r="CKI5080" s="34">
        <v>5</v>
      </c>
      <c r="CKK5080" s="913"/>
      <c r="CKL5080" s="31">
        <v>1</v>
      </c>
      <c r="CKM5080" s="34">
        <v>0</v>
      </c>
      <c r="CKN5080" s="34">
        <v>-1</v>
      </c>
      <c r="CKO5080" s="34">
        <v>-2</v>
      </c>
      <c r="CKP5080" s="34">
        <v>-3</v>
      </c>
      <c r="CKQ5080" s="34">
        <v>-4</v>
      </c>
      <c r="CKR5080" s="34">
        <v>-5</v>
      </c>
      <c r="CKS5080" s="908"/>
      <c r="CKT5080" s="909"/>
      <c r="CKU5080" s="34">
        <v>-5</v>
      </c>
      <c r="CKV5080" s="34">
        <v>-4.5</v>
      </c>
      <c r="CKW5080" s="34">
        <v>-4</v>
      </c>
      <c r="CKX5080" s="34">
        <v>-3.5</v>
      </c>
      <c r="CKY5080" s="34">
        <v>-3</v>
      </c>
      <c r="CKZ5080" s="34">
        <v>-2.5</v>
      </c>
      <c r="CLA5080" s="34">
        <v>-2</v>
      </c>
      <c r="CLB5080" s="34">
        <v>-1.5</v>
      </c>
      <c r="CLC5080" s="34">
        <v>-1</v>
      </c>
      <c r="CLD5080" s="34">
        <v>-0.5</v>
      </c>
      <c r="CLE5080" s="34">
        <v>0</v>
      </c>
      <c r="CLF5080" s="34">
        <v>0.5</v>
      </c>
      <c r="CLG5080" s="34">
        <v>1</v>
      </c>
      <c r="CLH5080" s="34">
        <v>1.5</v>
      </c>
      <c r="CLI5080" s="34">
        <v>2</v>
      </c>
      <c r="CLJ5080" s="34">
        <v>2.5</v>
      </c>
      <c r="CLK5080" s="34">
        <v>3</v>
      </c>
      <c r="CLL5080" s="34">
        <v>3.5</v>
      </c>
      <c r="CLM5080" s="34">
        <v>4</v>
      </c>
      <c r="CLN5080" s="34">
        <v>4.5</v>
      </c>
      <c r="CLO5080" s="34">
        <v>5</v>
      </c>
      <c r="CLQ5080" s="913"/>
      <c r="CLR5080" s="31">
        <v>1</v>
      </c>
      <c r="CLS5080" s="34">
        <v>0</v>
      </c>
      <c r="CLT5080" s="34">
        <v>-1</v>
      </c>
      <c r="CLU5080" s="34">
        <v>-2</v>
      </c>
      <c r="CLV5080" s="34">
        <v>-3</v>
      </c>
      <c r="CLW5080" s="34">
        <v>-4</v>
      </c>
      <c r="CLX5080" s="34">
        <v>-5</v>
      </c>
      <c r="CLY5080" s="908"/>
      <c r="CLZ5080" s="909"/>
      <c r="CMA5080" s="34">
        <v>-5</v>
      </c>
      <c r="CMB5080" s="34">
        <v>-4.5</v>
      </c>
      <c r="CMC5080" s="34">
        <v>-4</v>
      </c>
      <c r="CMD5080" s="34">
        <v>-3.5</v>
      </c>
      <c r="CME5080" s="34">
        <v>-3</v>
      </c>
      <c r="CMF5080" s="34">
        <v>-2.5</v>
      </c>
      <c r="CMG5080" s="34">
        <v>-2</v>
      </c>
      <c r="CMH5080" s="34">
        <v>-1.5</v>
      </c>
      <c r="CMI5080" s="34">
        <v>-1</v>
      </c>
      <c r="CMJ5080" s="34">
        <v>-0.5</v>
      </c>
      <c r="CMK5080" s="34">
        <v>0</v>
      </c>
      <c r="CML5080" s="34">
        <v>0.5</v>
      </c>
      <c r="CMM5080" s="34">
        <v>1</v>
      </c>
      <c r="CMN5080" s="34">
        <v>1.5</v>
      </c>
      <c r="CMO5080" s="34">
        <v>2</v>
      </c>
      <c r="CMP5080" s="34">
        <v>2.5</v>
      </c>
      <c r="CMQ5080" s="34">
        <v>3</v>
      </c>
      <c r="CMR5080" s="34">
        <v>3.5</v>
      </c>
      <c r="CMS5080" s="34">
        <v>4</v>
      </c>
      <c r="CMT5080" s="34">
        <v>4.5</v>
      </c>
      <c r="CMU5080" s="34">
        <v>5</v>
      </c>
      <c r="CMW5080" s="913"/>
      <c r="CMX5080" s="31">
        <v>1</v>
      </c>
      <c r="CMY5080" s="34">
        <v>0</v>
      </c>
      <c r="CMZ5080" s="34">
        <v>-1</v>
      </c>
      <c r="CNA5080" s="34">
        <v>-2</v>
      </c>
      <c r="CNB5080" s="34">
        <v>-3</v>
      </c>
      <c r="CNC5080" s="34">
        <v>-4</v>
      </c>
      <c r="CND5080" s="34">
        <v>-5</v>
      </c>
      <c r="CNE5080" s="908"/>
      <c r="CNF5080" s="909"/>
      <c r="CNG5080" s="34">
        <v>-5</v>
      </c>
      <c r="CNH5080" s="34">
        <v>-4.5</v>
      </c>
      <c r="CNI5080" s="34">
        <v>-4</v>
      </c>
      <c r="CNJ5080" s="34">
        <v>-3.5</v>
      </c>
      <c r="CNK5080" s="34">
        <v>-3</v>
      </c>
      <c r="CNL5080" s="34">
        <v>-2.5</v>
      </c>
      <c r="CNM5080" s="34">
        <v>-2</v>
      </c>
      <c r="CNN5080" s="34">
        <v>-1.5</v>
      </c>
      <c r="CNO5080" s="34">
        <v>-1</v>
      </c>
      <c r="CNP5080" s="34">
        <v>-0.5</v>
      </c>
      <c r="CNQ5080" s="34">
        <v>0</v>
      </c>
      <c r="CNR5080" s="34">
        <v>0.5</v>
      </c>
      <c r="CNS5080" s="34">
        <v>1</v>
      </c>
      <c r="CNT5080" s="34">
        <v>1.5</v>
      </c>
      <c r="CNU5080" s="34">
        <v>2</v>
      </c>
      <c r="CNV5080" s="34">
        <v>2.5</v>
      </c>
      <c r="CNW5080" s="34">
        <v>3</v>
      </c>
      <c r="CNX5080" s="34">
        <v>3.5</v>
      </c>
      <c r="CNY5080" s="34">
        <v>4</v>
      </c>
      <c r="CNZ5080" s="34">
        <v>4.5</v>
      </c>
      <c r="COA5080" s="34">
        <v>5</v>
      </c>
      <c r="COC5080" s="913"/>
      <c r="COD5080" s="31">
        <v>1</v>
      </c>
      <c r="COE5080" s="34">
        <v>0</v>
      </c>
      <c r="COF5080" s="34">
        <v>-1</v>
      </c>
      <c r="COG5080" s="34">
        <v>-2</v>
      </c>
      <c r="COH5080" s="34">
        <v>-3</v>
      </c>
      <c r="COI5080" s="34">
        <v>-4</v>
      </c>
      <c r="COJ5080" s="34">
        <v>-5</v>
      </c>
      <c r="COK5080" s="908"/>
      <c r="COL5080" s="909"/>
      <c r="COM5080" s="34">
        <v>-5</v>
      </c>
      <c r="CON5080" s="34">
        <v>-4.5</v>
      </c>
      <c r="COO5080" s="34">
        <v>-4</v>
      </c>
      <c r="COP5080" s="34">
        <v>-3.5</v>
      </c>
      <c r="COQ5080" s="34">
        <v>-3</v>
      </c>
      <c r="COR5080" s="34">
        <v>-2.5</v>
      </c>
      <c r="COS5080" s="34">
        <v>-2</v>
      </c>
      <c r="COT5080" s="34">
        <v>-1.5</v>
      </c>
      <c r="COU5080" s="34">
        <v>-1</v>
      </c>
      <c r="COV5080" s="34">
        <v>-0.5</v>
      </c>
      <c r="COW5080" s="34">
        <v>0</v>
      </c>
      <c r="COX5080" s="34">
        <v>0.5</v>
      </c>
      <c r="COY5080" s="34">
        <v>1</v>
      </c>
      <c r="COZ5080" s="34">
        <v>1.5</v>
      </c>
      <c r="CPA5080" s="34">
        <v>2</v>
      </c>
      <c r="CPB5080" s="34">
        <v>2.5</v>
      </c>
      <c r="CPC5080" s="34">
        <v>3</v>
      </c>
      <c r="CPD5080" s="34">
        <v>3.5</v>
      </c>
      <c r="CPE5080" s="34">
        <v>4</v>
      </c>
      <c r="CPF5080" s="34">
        <v>4.5</v>
      </c>
      <c r="CPG5080" s="34">
        <v>5</v>
      </c>
      <c r="CPI5080" s="913"/>
      <c r="CPJ5080" s="31">
        <v>1</v>
      </c>
      <c r="CPK5080" s="34">
        <v>0</v>
      </c>
      <c r="CPL5080" s="34">
        <v>-1</v>
      </c>
      <c r="CPM5080" s="34">
        <v>-2</v>
      </c>
      <c r="CPN5080" s="34">
        <v>-3</v>
      </c>
      <c r="CPO5080" s="34">
        <v>-4</v>
      </c>
      <c r="CPP5080" s="34">
        <v>-5</v>
      </c>
      <c r="CPQ5080" s="908"/>
      <c r="CPR5080" s="909"/>
      <c r="CPS5080" s="34">
        <v>-5</v>
      </c>
      <c r="CPT5080" s="34">
        <v>-4.5</v>
      </c>
      <c r="CPU5080" s="34">
        <v>-4</v>
      </c>
      <c r="CPV5080" s="34">
        <v>-3.5</v>
      </c>
      <c r="CPW5080" s="34">
        <v>-3</v>
      </c>
      <c r="CPX5080" s="34">
        <v>-2.5</v>
      </c>
      <c r="CPY5080" s="34">
        <v>-2</v>
      </c>
      <c r="CPZ5080" s="34">
        <v>-1.5</v>
      </c>
      <c r="CQA5080" s="34">
        <v>-1</v>
      </c>
      <c r="CQB5080" s="34">
        <v>-0.5</v>
      </c>
      <c r="CQC5080" s="34">
        <v>0</v>
      </c>
      <c r="CQD5080" s="34">
        <v>0.5</v>
      </c>
      <c r="CQE5080" s="34">
        <v>1</v>
      </c>
      <c r="CQF5080" s="34">
        <v>1.5</v>
      </c>
      <c r="CQG5080" s="34">
        <v>2</v>
      </c>
      <c r="CQH5080" s="34">
        <v>2.5</v>
      </c>
      <c r="CQI5080" s="34">
        <v>3</v>
      </c>
      <c r="CQJ5080" s="34">
        <v>3.5</v>
      </c>
      <c r="CQK5080" s="34">
        <v>4</v>
      </c>
      <c r="CQL5080" s="34">
        <v>4.5</v>
      </c>
      <c r="CQM5080" s="34">
        <v>5</v>
      </c>
      <c r="CQO5080" s="913"/>
      <c r="CQP5080" s="31">
        <v>1</v>
      </c>
      <c r="CQQ5080" s="34">
        <v>0</v>
      </c>
      <c r="CQR5080" s="34">
        <v>-1</v>
      </c>
      <c r="CQS5080" s="34">
        <v>-2</v>
      </c>
      <c r="CQT5080" s="34">
        <v>-3</v>
      </c>
      <c r="CQU5080" s="34">
        <v>-4</v>
      </c>
      <c r="CQV5080" s="34">
        <v>-5</v>
      </c>
      <c r="CQW5080" s="908"/>
      <c r="CQX5080" s="909"/>
      <c r="CQY5080" s="34">
        <v>-5</v>
      </c>
      <c r="CQZ5080" s="34">
        <v>-4.5</v>
      </c>
      <c r="CRA5080" s="34">
        <v>-4</v>
      </c>
      <c r="CRB5080" s="34">
        <v>-3.5</v>
      </c>
      <c r="CRC5080" s="34">
        <v>-3</v>
      </c>
      <c r="CRD5080" s="34">
        <v>-2.5</v>
      </c>
      <c r="CRE5080" s="34">
        <v>-2</v>
      </c>
      <c r="CRF5080" s="34">
        <v>-1.5</v>
      </c>
      <c r="CRG5080" s="34">
        <v>-1</v>
      </c>
      <c r="CRH5080" s="34">
        <v>-0.5</v>
      </c>
      <c r="CRI5080" s="34">
        <v>0</v>
      </c>
      <c r="CRJ5080" s="34">
        <v>0.5</v>
      </c>
      <c r="CRK5080" s="34">
        <v>1</v>
      </c>
      <c r="CRL5080" s="34">
        <v>1.5</v>
      </c>
      <c r="CRM5080" s="34">
        <v>2</v>
      </c>
      <c r="CRN5080" s="34">
        <v>2.5</v>
      </c>
      <c r="CRO5080" s="34">
        <v>3</v>
      </c>
      <c r="CRP5080" s="34">
        <v>3.5</v>
      </c>
      <c r="CRQ5080" s="34">
        <v>4</v>
      </c>
      <c r="CRR5080" s="34">
        <v>4.5</v>
      </c>
      <c r="CRS5080" s="34">
        <v>5</v>
      </c>
      <c r="CRU5080" s="913"/>
      <c r="CRV5080" s="31">
        <v>1</v>
      </c>
      <c r="CRW5080" s="34">
        <v>0</v>
      </c>
      <c r="CRX5080" s="34">
        <v>-1</v>
      </c>
      <c r="CRY5080" s="34">
        <v>-2</v>
      </c>
      <c r="CRZ5080" s="34">
        <v>-3</v>
      </c>
      <c r="CSA5080" s="34">
        <v>-4</v>
      </c>
      <c r="CSB5080" s="34">
        <v>-5</v>
      </c>
      <c r="CSC5080" s="908"/>
      <c r="CSD5080" s="909"/>
      <c r="CSE5080" s="34">
        <v>-5</v>
      </c>
      <c r="CSF5080" s="34">
        <v>-4.5</v>
      </c>
      <c r="CSG5080" s="34">
        <v>-4</v>
      </c>
      <c r="CSH5080" s="34">
        <v>-3.5</v>
      </c>
      <c r="CSI5080" s="34">
        <v>-3</v>
      </c>
      <c r="CSJ5080" s="34">
        <v>-2.5</v>
      </c>
      <c r="CSK5080" s="34">
        <v>-2</v>
      </c>
      <c r="CSL5080" s="34">
        <v>-1.5</v>
      </c>
      <c r="CSM5080" s="34">
        <v>-1</v>
      </c>
      <c r="CSN5080" s="34">
        <v>-0.5</v>
      </c>
      <c r="CSO5080" s="34">
        <v>0</v>
      </c>
      <c r="CSP5080" s="34">
        <v>0.5</v>
      </c>
      <c r="CSQ5080" s="34">
        <v>1</v>
      </c>
      <c r="CSR5080" s="34">
        <v>1.5</v>
      </c>
      <c r="CSS5080" s="34">
        <v>2</v>
      </c>
      <c r="CST5080" s="34">
        <v>2.5</v>
      </c>
      <c r="CSU5080" s="34">
        <v>3</v>
      </c>
      <c r="CSV5080" s="34">
        <v>3.5</v>
      </c>
      <c r="CSW5080" s="34">
        <v>4</v>
      </c>
      <c r="CSX5080" s="34">
        <v>4.5</v>
      </c>
      <c r="CSY5080" s="34">
        <v>5</v>
      </c>
      <c r="CTA5080" s="913"/>
      <c r="CTB5080" s="31">
        <v>1</v>
      </c>
      <c r="CTC5080" s="34">
        <v>0</v>
      </c>
      <c r="CTD5080" s="34">
        <v>-1</v>
      </c>
      <c r="CTE5080" s="34">
        <v>-2</v>
      </c>
      <c r="CTF5080" s="34">
        <v>-3</v>
      </c>
      <c r="CTG5080" s="34">
        <v>-4</v>
      </c>
      <c r="CTH5080" s="34">
        <v>-5</v>
      </c>
      <c r="CTI5080" s="908"/>
      <c r="CTJ5080" s="909"/>
      <c r="CTK5080" s="34">
        <v>-5</v>
      </c>
      <c r="CTL5080" s="34">
        <v>-4.5</v>
      </c>
      <c r="CTM5080" s="34">
        <v>-4</v>
      </c>
      <c r="CTN5080" s="34">
        <v>-3.5</v>
      </c>
      <c r="CTO5080" s="34">
        <v>-3</v>
      </c>
      <c r="CTP5080" s="34">
        <v>-2.5</v>
      </c>
      <c r="CTQ5080" s="34">
        <v>-2</v>
      </c>
      <c r="CTR5080" s="34">
        <v>-1.5</v>
      </c>
      <c r="CTS5080" s="34">
        <v>-1</v>
      </c>
      <c r="CTT5080" s="34">
        <v>-0.5</v>
      </c>
      <c r="CTU5080" s="34">
        <v>0</v>
      </c>
      <c r="CTV5080" s="34">
        <v>0.5</v>
      </c>
      <c r="CTW5080" s="34">
        <v>1</v>
      </c>
      <c r="CTX5080" s="34">
        <v>1.5</v>
      </c>
      <c r="CTY5080" s="34">
        <v>2</v>
      </c>
      <c r="CTZ5080" s="34">
        <v>2.5</v>
      </c>
      <c r="CUA5080" s="34">
        <v>3</v>
      </c>
      <c r="CUB5080" s="34">
        <v>3.5</v>
      </c>
      <c r="CUC5080" s="34">
        <v>4</v>
      </c>
      <c r="CUD5080" s="34">
        <v>4.5</v>
      </c>
      <c r="CUE5080" s="34">
        <v>5</v>
      </c>
      <c r="CUG5080" s="913"/>
      <c r="CUH5080" s="31">
        <v>1</v>
      </c>
      <c r="CUI5080" s="34">
        <v>0</v>
      </c>
      <c r="CUJ5080" s="34">
        <v>-1</v>
      </c>
      <c r="CUK5080" s="34">
        <v>-2</v>
      </c>
      <c r="CUL5080" s="34">
        <v>-3</v>
      </c>
      <c r="CUM5080" s="34">
        <v>-4</v>
      </c>
      <c r="CUN5080" s="34">
        <v>-5</v>
      </c>
      <c r="CUO5080" s="908"/>
      <c r="CUP5080" s="909"/>
      <c r="CUQ5080" s="34">
        <v>-5</v>
      </c>
      <c r="CUR5080" s="34">
        <v>-4.5</v>
      </c>
      <c r="CUS5080" s="34">
        <v>-4</v>
      </c>
      <c r="CUT5080" s="34">
        <v>-3.5</v>
      </c>
      <c r="CUU5080" s="34">
        <v>-3</v>
      </c>
      <c r="CUV5080" s="34">
        <v>-2.5</v>
      </c>
      <c r="CUW5080" s="34">
        <v>-2</v>
      </c>
      <c r="CUX5080" s="34">
        <v>-1.5</v>
      </c>
      <c r="CUY5080" s="34">
        <v>-1</v>
      </c>
      <c r="CUZ5080" s="34">
        <v>-0.5</v>
      </c>
      <c r="CVA5080" s="34">
        <v>0</v>
      </c>
      <c r="CVB5080" s="34">
        <v>0.5</v>
      </c>
      <c r="CVC5080" s="34">
        <v>1</v>
      </c>
      <c r="CVD5080" s="34">
        <v>1.5</v>
      </c>
      <c r="CVE5080" s="34">
        <v>2</v>
      </c>
      <c r="CVF5080" s="34">
        <v>2.5</v>
      </c>
      <c r="CVG5080" s="34">
        <v>3</v>
      </c>
      <c r="CVH5080" s="34">
        <v>3.5</v>
      </c>
      <c r="CVI5080" s="34">
        <v>4</v>
      </c>
      <c r="CVJ5080" s="34">
        <v>4.5</v>
      </c>
      <c r="CVK5080" s="34">
        <v>5</v>
      </c>
      <c r="CVM5080" s="913"/>
      <c r="CVN5080" s="31">
        <v>1</v>
      </c>
      <c r="CVO5080" s="34">
        <v>0</v>
      </c>
      <c r="CVP5080" s="34">
        <v>-1</v>
      </c>
      <c r="CVQ5080" s="34">
        <v>-2</v>
      </c>
      <c r="CVR5080" s="34">
        <v>-3</v>
      </c>
      <c r="CVS5080" s="34">
        <v>-4</v>
      </c>
      <c r="CVT5080" s="34">
        <v>-5</v>
      </c>
      <c r="CVU5080" s="908"/>
      <c r="CVV5080" s="909"/>
      <c r="CVW5080" s="34">
        <v>-5</v>
      </c>
      <c r="CVX5080" s="34">
        <v>-4.5</v>
      </c>
      <c r="CVY5080" s="34">
        <v>-4</v>
      </c>
      <c r="CVZ5080" s="34">
        <v>-3.5</v>
      </c>
      <c r="CWA5080" s="34">
        <v>-3</v>
      </c>
      <c r="CWB5080" s="34">
        <v>-2.5</v>
      </c>
      <c r="CWC5080" s="34">
        <v>-2</v>
      </c>
      <c r="CWD5080" s="34">
        <v>-1.5</v>
      </c>
      <c r="CWE5080" s="34">
        <v>-1</v>
      </c>
      <c r="CWF5080" s="34">
        <v>-0.5</v>
      </c>
      <c r="CWG5080" s="34">
        <v>0</v>
      </c>
      <c r="CWH5080" s="34">
        <v>0.5</v>
      </c>
      <c r="CWI5080" s="34">
        <v>1</v>
      </c>
      <c r="CWJ5080" s="34">
        <v>1.5</v>
      </c>
      <c r="CWK5080" s="34">
        <v>2</v>
      </c>
      <c r="CWL5080" s="34">
        <v>2.5</v>
      </c>
      <c r="CWM5080" s="34">
        <v>3</v>
      </c>
      <c r="CWN5080" s="34">
        <v>3.5</v>
      </c>
      <c r="CWO5080" s="34">
        <v>4</v>
      </c>
      <c r="CWP5080" s="34">
        <v>4.5</v>
      </c>
      <c r="CWQ5080" s="34">
        <v>5</v>
      </c>
      <c r="CWS5080" s="913"/>
      <c r="CWT5080" s="31">
        <v>1</v>
      </c>
      <c r="CWU5080" s="34">
        <v>0</v>
      </c>
      <c r="CWV5080" s="34">
        <v>-1</v>
      </c>
      <c r="CWW5080" s="34">
        <v>-2</v>
      </c>
      <c r="CWX5080" s="34">
        <v>-3</v>
      </c>
      <c r="CWY5080" s="34">
        <v>-4</v>
      </c>
      <c r="CWZ5080" s="34">
        <v>-5</v>
      </c>
      <c r="CXA5080" s="908"/>
      <c r="CXB5080" s="909"/>
      <c r="CXC5080" s="34">
        <v>-5</v>
      </c>
      <c r="CXD5080" s="34">
        <v>-4.5</v>
      </c>
      <c r="CXE5080" s="34">
        <v>-4</v>
      </c>
      <c r="CXF5080" s="34">
        <v>-3.5</v>
      </c>
      <c r="CXG5080" s="34">
        <v>-3</v>
      </c>
      <c r="CXH5080" s="34">
        <v>-2.5</v>
      </c>
      <c r="CXI5080" s="34">
        <v>-2</v>
      </c>
      <c r="CXJ5080" s="34">
        <v>-1.5</v>
      </c>
      <c r="CXK5080" s="34">
        <v>-1</v>
      </c>
      <c r="CXL5080" s="34">
        <v>-0.5</v>
      </c>
      <c r="CXM5080" s="34">
        <v>0</v>
      </c>
      <c r="CXN5080" s="34">
        <v>0.5</v>
      </c>
      <c r="CXO5080" s="34">
        <v>1</v>
      </c>
      <c r="CXP5080" s="34">
        <v>1.5</v>
      </c>
      <c r="CXQ5080" s="34">
        <v>2</v>
      </c>
      <c r="CXR5080" s="34">
        <v>2.5</v>
      </c>
      <c r="CXS5080" s="34">
        <v>3</v>
      </c>
      <c r="CXT5080" s="34">
        <v>3.5</v>
      </c>
      <c r="CXU5080" s="34">
        <v>4</v>
      </c>
      <c r="CXV5080" s="34">
        <v>4.5</v>
      </c>
      <c r="CXW5080" s="34">
        <v>5</v>
      </c>
      <c r="CXY5080" s="913"/>
      <c r="CXZ5080" s="31">
        <v>1</v>
      </c>
      <c r="CYA5080" s="34">
        <v>0</v>
      </c>
      <c r="CYB5080" s="34">
        <v>-1</v>
      </c>
      <c r="CYC5080" s="34">
        <v>-2</v>
      </c>
      <c r="CYD5080" s="34">
        <v>-3</v>
      </c>
      <c r="CYE5080" s="34">
        <v>-4</v>
      </c>
      <c r="CYF5080" s="34">
        <v>-5</v>
      </c>
      <c r="CYG5080" s="908"/>
      <c r="CYH5080" s="909"/>
      <c r="CYI5080" s="34">
        <v>-5</v>
      </c>
      <c r="CYJ5080" s="34">
        <v>-4.5</v>
      </c>
      <c r="CYK5080" s="34">
        <v>-4</v>
      </c>
      <c r="CYL5080" s="34">
        <v>-3.5</v>
      </c>
      <c r="CYM5080" s="34">
        <v>-3</v>
      </c>
      <c r="CYN5080" s="34">
        <v>-2.5</v>
      </c>
      <c r="CYO5080" s="34">
        <v>-2</v>
      </c>
      <c r="CYP5080" s="34">
        <v>-1.5</v>
      </c>
      <c r="CYQ5080" s="34">
        <v>-1</v>
      </c>
      <c r="CYR5080" s="34">
        <v>-0.5</v>
      </c>
      <c r="CYS5080" s="34">
        <v>0</v>
      </c>
      <c r="CYT5080" s="34">
        <v>0.5</v>
      </c>
      <c r="CYU5080" s="34">
        <v>1</v>
      </c>
      <c r="CYV5080" s="34">
        <v>1.5</v>
      </c>
      <c r="CYW5080" s="34">
        <v>2</v>
      </c>
      <c r="CYX5080" s="34">
        <v>2.5</v>
      </c>
      <c r="CYY5080" s="34">
        <v>3</v>
      </c>
      <c r="CYZ5080" s="34">
        <v>3.5</v>
      </c>
      <c r="CZA5080" s="34">
        <v>4</v>
      </c>
      <c r="CZB5080" s="34">
        <v>4.5</v>
      </c>
      <c r="CZC5080" s="34">
        <v>5</v>
      </c>
      <c r="CZE5080" s="913"/>
      <c r="CZF5080" s="31">
        <v>1</v>
      </c>
      <c r="CZG5080" s="34">
        <v>0</v>
      </c>
      <c r="CZH5080" s="34">
        <v>-1</v>
      </c>
      <c r="CZI5080" s="34">
        <v>-2</v>
      </c>
      <c r="CZJ5080" s="34">
        <v>-3</v>
      </c>
      <c r="CZK5080" s="34">
        <v>-4</v>
      </c>
      <c r="CZL5080" s="34">
        <v>-5</v>
      </c>
      <c r="CZM5080" s="908"/>
      <c r="CZN5080" s="909"/>
      <c r="CZO5080" s="34">
        <v>-5</v>
      </c>
      <c r="CZP5080" s="34">
        <v>-4.5</v>
      </c>
      <c r="CZQ5080" s="34">
        <v>-4</v>
      </c>
      <c r="CZR5080" s="34">
        <v>-3.5</v>
      </c>
      <c r="CZS5080" s="34">
        <v>-3</v>
      </c>
      <c r="CZT5080" s="34">
        <v>-2.5</v>
      </c>
      <c r="CZU5080" s="34">
        <v>-2</v>
      </c>
      <c r="CZV5080" s="34">
        <v>-1.5</v>
      </c>
      <c r="CZW5080" s="34">
        <v>-1</v>
      </c>
      <c r="CZX5080" s="34">
        <v>-0.5</v>
      </c>
      <c r="CZY5080" s="34">
        <v>0</v>
      </c>
      <c r="CZZ5080" s="34">
        <v>0.5</v>
      </c>
      <c r="DAA5080" s="34">
        <v>1</v>
      </c>
      <c r="DAB5080" s="34">
        <v>1.5</v>
      </c>
      <c r="DAC5080" s="34">
        <v>2</v>
      </c>
      <c r="DAD5080" s="34">
        <v>2.5</v>
      </c>
      <c r="DAE5080" s="34">
        <v>3</v>
      </c>
      <c r="DAF5080" s="34">
        <v>3.5</v>
      </c>
      <c r="DAG5080" s="34">
        <v>4</v>
      </c>
      <c r="DAH5080" s="34">
        <v>4.5</v>
      </c>
      <c r="DAI5080" s="34">
        <v>5</v>
      </c>
      <c r="DAK5080" s="913"/>
      <c r="DAL5080" s="31">
        <v>1</v>
      </c>
      <c r="DAM5080" s="34">
        <v>0</v>
      </c>
      <c r="DAN5080" s="34">
        <v>-1</v>
      </c>
      <c r="DAO5080" s="34">
        <v>-2</v>
      </c>
      <c r="DAP5080" s="34">
        <v>-3</v>
      </c>
      <c r="DAQ5080" s="34">
        <v>-4</v>
      </c>
      <c r="DAR5080" s="34">
        <v>-5</v>
      </c>
      <c r="DAS5080" s="908"/>
      <c r="DAT5080" s="909"/>
      <c r="DAU5080" s="34">
        <v>-5</v>
      </c>
      <c r="DAV5080" s="34">
        <v>-4.5</v>
      </c>
      <c r="DAW5080" s="34">
        <v>-4</v>
      </c>
      <c r="DAX5080" s="34">
        <v>-3.5</v>
      </c>
      <c r="DAY5080" s="34">
        <v>-3</v>
      </c>
      <c r="DAZ5080" s="34">
        <v>-2.5</v>
      </c>
      <c r="DBA5080" s="34">
        <v>-2</v>
      </c>
      <c r="DBB5080" s="34">
        <v>-1.5</v>
      </c>
      <c r="DBC5080" s="34">
        <v>-1</v>
      </c>
      <c r="DBD5080" s="34">
        <v>-0.5</v>
      </c>
      <c r="DBE5080" s="34">
        <v>0</v>
      </c>
      <c r="DBF5080" s="34">
        <v>0.5</v>
      </c>
      <c r="DBG5080" s="34">
        <v>1</v>
      </c>
      <c r="DBH5080" s="34">
        <v>1.5</v>
      </c>
      <c r="DBI5080" s="34">
        <v>2</v>
      </c>
      <c r="DBJ5080" s="34">
        <v>2.5</v>
      </c>
      <c r="DBK5080" s="34">
        <v>3</v>
      </c>
      <c r="DBL5080" s="34">
        <v>3.5</v>
      </c>
      <c r="DBM5080" s="34">
        <v>4</v>
      </c>
      <c r="DBN5080" s="34">
        <v>4.5</v>
      </c>
      <c r="DBO5080" s="34">
        <v>5</v>
      </c>
      <c r="DBQ5080" s="913"/>
      <c r="DBR5080" s="31">
        <v>1</v>
      </c>
      <c r="DBS5080" s="34">
        <v>0</v>
      </c>
      <c r="DBT5080" s="34">
        <v>-1</v>
      </c>
      <c r="DBU5080" s="34">
        <v>-2</v>
      </c>
      <c r="DBV5080" s="34">
        <v>-3</v>
      </c>
      <c r="DBW5080" s="34">
        <v>-4</v>
      </c>
      <c r="DBX5080" s="34">
        <v>-5</v>
      </c>
      <c r="DBY5080" s="908"/>
      <c r="DBZ5080" s="909"/>
      <c r="DCA5080" s="34">
        <v>-5</v>
      </c>
      <c r="DCB5080" s="34">
        <v>-4.5</v>
      </c>
      <c r="DCC5080" s="34">
        <v>-4</v>
      </c>
      <c r="DCD5080" s="34">
        <v>-3.5</v>
      </c>
      <c r="DCE5080" s="34">
        <v>-3</v>
      </c>
      <c r="DCF5080" s="34">
        <v>-2.5</v>
      </c>
      <c r="DCG5080" s="34">
        <v>-2</v>
      </c>
      <c r="DCH5080" s="34">
        <v>-1.5</v>
      </c>
      <c r="DCI5080" s="34">
        <v>-1</v>
      </c>
      <c r="DCJ5080" s="34">
        <v>-0.5</v>
      </c>
      <c r="DCK5080" s="34">
        <v>0</v>
      </c>
      <c r="DCL5080" s="34">
        <v>0.5</v>
      </c>
      <c r="DCM5080" s="34">
        <v>1</v>
      </c>
      <c r="DCN5080" s="34">
        <v>1.5</v>
      </c>
      <c r="DCO5080" s="34">
        <v>2</v>
      </c>
      <c r="DCP5080" s="34">
        <v>2.5</v>
      </c>
      <c r="DCQ5080" s="34">
        <v>3</v>
      </c>
      <c r="DCR5080" s="34">
        <v>3.5</v>
      </c>
      <c r="DCS5080" s="34">
        <v>4</v>
      </c>
      <c r="DCT5080" s="34">
        <v>4.5</v>
      </c>
      <c r="DCU5080" s="34">
        <v>5</v>
      </c>
      <c r="DCW5080" s="913"/>
      <c r="DCX5080" s="31">
        <v>1</v>
      </c>
      <c r="DCY5080" s="34">
        <v>0</v>
      </c>
      <c r="DCZ5080" s="34">
        <v>-1</v>
      </c>
      <c r="DDA5080" s="34">
        <v>-2</v>
      </c>
      <c r="DDB5080" s="34">
        <v>-3</v>
      </c>
      <c r="DDC5080" s="34">
        <v>-4</v>
      </c>
      <c r="DDD5080" s="34">
        <v>-5</v>
      </c>
      <c r="DDE5080" s="908"/>
      <c r="DDF5080" s="909"/>
      <c r="DDG5080" s="34">
        <v>-5</v>
      </c>
      <c r="DDH5080" s="34">
        <v>-4.5</v>
      </c>
      <c r="DDI5080" s="34">
        <v>-4</v>
      </c>
      <c r="DDJ5080" s="34">
        <v>-3.5</v>
      </c>
      <c r="DDK5080" s="34">
        <v>-3</v>
      </c>
      <c r="DDL5080" s="34">
        <v>-2.5</v>
      </c>
      <c r="DDM5080" s="34">
        <v>-2</v>
      </c>
      <c r="DDN5080" s="34">
        <v>-1.5</v>
      </c>
      <c r="DDO5080" s="34">
        <v>-1</v>
      </c>
      <c r="DDP5080" s="34">
        <v>-0.5</v>
      </c>
      <c r="DDQ5080" s="34">
        <v>0</v>
      </c>
      <c r="DDR5080" s="34">
        <v>0.5</v>
      </c>
      <c r="DDS5080" s="34">
        <v>1</v>
      </c>
      <c r="DDT5080" s="34">
        <v>1.5</v>
      </c>
      <c r="DDU5080" s="34">
        <v>2</v>
      </c>
      <c r="DDV5080" s="34">
        <v>2.5</v>
      </c>
      <c r="DDW5080" s="34">
        <v>3</v>
      </c>
      <c r="DDX5080" s="34">
        <v>3.5</v>
      </c>
      <c r="DDY5080" s="34">
        <v>4</v>
      </c>
      <c r="DDZ5080" s="34">
        <v>4.5</v>
      </c>
      <c r="DEA5080" s="34">
        <v>5</v>
      </c>
      <c r="DEC5080" s="913"/>
      <c r="DED5080" s="31">
        <v>1</v>
      </c>
      <c r="DEE5080" s="34">
        <v>0</v>
      </c>
      <c r="DEF5080" s="34">
        <v>-1</v>
      </c>
      <c r="DEG5080" s="34">
        <v>-2</v>
      </c>
      <c r="DEH5080" s="34">
        <v>-3</v>
      </c>
      <c r="DEI5080" s="34">
        <v>-4</v>
      </c>
      <c r="DEJ5080" s="34">
        <v>-5</v>
      </c>
      <c r="DEK5080" s="908"/>
      <c r="DEL5080" s="909"/>
      <c r="DEM5080" s="34">
        <v>-5</v>
      </c>
      <c r="DEN5080" s="34">
        <v>-4.5</v>
      </c>
      <c r="DEO5080" s="34">
        <v>-4</v>
      </c>
      <c r="DEP5080" s="34">
        <v>-3.5</v>
      </c>
      <c r="DEQ5080" s="34">
        <v>-3</v>
      </c>
      <c r="DER5080" s="34">
        <v>-2.5</v>
      </c>
      <c r="DES5080" s="34">
        <v>-2</v>
      </c>
      <c r="DET5080" s="34">
        <v>-1.5</v>
      </c>
      <c r="DEU5080" s="34">
        <v>-1</v>
      </c>
      <c r="DEV5080" s="34">
        <v>-0.5</v>
      </c>
      <c r="DEW5080" s="34">
        <v>0</v>
      </c>
      <c r="DEX5080" s="34">
        <v>0.5</v>
      </c>
      <c r="DEY5080" s="34">
        <v>1</v>
      </c>
      <c r="DEZ5080" s="34">
        <v>1.5</v>
      </c>
      <c r="DFA5080" s="34">
        <v>2</v>
      </c>
      <c r="DFB5080" s="34">
        <v>2.5</v>
      </c>
      <c r="DFC5080" s="34">
        <v>3</v>
      </c>
      <c r="DFD5080" s="34">
        <v>3.5</v>
      </c>
      <c r="DFE5080" s="34">
        <v>4</v>
      </c>
      <c r="DFF5080" s="34">
        <v>4.5</v>
      </c>
      <c r="DFG5080" s="34">
        <v>5</v>
      </c>
      <c r="DFI5080" s="913"/>
      <c r="DFJ5080" s="31">
        <v>1</v>
      </c>
      <c r="DFK5080" s="34">
        <v>0</v>
      </c>
      <c r="DFL5080" s="34">
        <v>-1</v>
      </c>
      <c r="DFM5080" s="34">
        <v>-2</v>
      </c>
      <c r="DFN5080" s="34">
        <v>-3</v>
      </c>
      <c r="DFO5080" s="34">
        <v>-4</v>
      </c>
      <c r="DFP5080" s="34">
        <v>-5</v>
      </c>
      <c r="DFQ5080" s="908"/>
      <c r="DFR5080" s="909"/>
      <c r="DFS5080" s="34">
        <v>-5</v>
      </c>
      <c r="DFT5080" s="34">
        <v>-4.5</v>
      </c>
      <c r="DFU5080" s="34">
        <v>-4</v>
      </c>
      <c r="DFV5080" s="34">
        <v>-3.5</v>
      </c>
      <c r="DFW5080" s="34">
        <v>-3</v>
      </c>
      <c r="DFX5080" s="34">
        <v>-2.5</v>
      </c>
      <c r="DFY5080" s="34">
        <v>-2</v>
      </c>
      <c r="DFZ5080" s="34">
        <v>-1.5</v>
      </c>
      <c r="DGA5080" s="34">
        <v>-1</v>
      </c>
      <c r="DGB5080" s="34">
        <v>-0.5</v>
      </c>
      <c r="DGC5080" s="34">
        <v>0</v>
      </c>
      <c r="DGD5080" s="34">
        <v>0.5</v>
      </c>
      <c r="DGE5080" s="34">
        <v>1</v>
      </c>
      <c r="DGF5080" s="34">
        <v>1.5</v>
      </c>
      <c r="DGG5080" s="34">
        <v>2</v>
      </c>
      <c r="DGH5080" s="34">
        <v>2.5</v>
      </c>
      <c r="DGI5080" s="34">
        <v>3</v>
      </c>
      <c r="DGJ5080" s="34">
        <v>3.5</v>
      </c>
      <c r="DGK5080" s="34">
        <v>4</v>
      </c>
      <c r="DGL5080" s="34">
        <v>4.5</v>
      </c>
      <c r="DGM5080" s="34">
        <v>5</v>
      </c>
      <c r="DGO5080" s="913"/>
      <c r="DGP5080" s="31">
        <v>1</v>
      </c>
      <c r="DGQ5080" s="34">
        <v>0</v>
      </c>
      <c r="DGR5080" s="34">
        <v>-1</v>
      </c>
      <c r="DGS5080" s="34">
        <v>-2</v>
      </c>
      <c r="DGT5080" s="34">
        <v>-3</v>
      </c>
      <c r="DGU5080" s="34">
        <v>-4</v>
      </c>
      <c r="DGV5080" s="34">
        <v>-5</v>
      </c>
      <c r="DGW5080" s="908"/>
      <c r="DGX5080" s="909"/>
      <c r="DGY5080" s="34">
        <v>-5</v>
      </c>
      <c r="DGZ5080" s="34">
        <v>-4.5</v>
      </c>
      <c r="DHA5080" s="34">
        <v>-4</v>
      </c>
      <c r="DHB5080" s="34">
        <v>-3.5</v>
      </c>
      <c r="DHC5080" s="34">
        <v>-3</v>
      </c>
      <c r="DHD5080" s="34">
        <v>-2.5</v>
      </c>
      <c r="DHE5080" s="34">
        <v>-2</v>
      </c>
      <c r="DHF5080" s="34">
        <v>-1.5</v>
      </c>
      <c r="DHG5080" s="34">
        <v>-1</v>
      </c>
      <c r="DHH5080" s="34">
        <v>-0.5</v>
      </c>
      <c r="DHI5080" s="34">
        <v>0</v>
      </c>
      <c r="DHJ5080" s="34">
        <v>0.5</v>
      </c>
      <c r="DHK5080" s="34">
        <v>1</v>
      </c>
      <c r="DHL5080" s="34">
        <v>1.5</v>
      </c>
      <c r="DHM5080" s="34">
        <v>2</v>
      </c>
      <c r="DHN5080" s="34">
        <v>2.5</v>
      </c>
      <c r="DHO5080" s="34">
        <v>3</v>
      </c>
      <c r="DHP5080" s="34">
        <v>3.5</v>
      </c>
      <c r="DHQ5080" s="34">
        <v>4</v>
      </c>
      <c r="DHR5080" s="34">
        <v>4.5</v>
      </c>
      <c r="DHS5080" s="34">
        <v>5</v>
      </c>
      <c r="DHU5080" s="913"/>
      <c r="DHV5080" s="31">
        <v>1</v>
      </c>
      <c r="DHW5080" s="34">
        <v>0</v>
      </c>
      <c r="DHX5080" s="34">
        <v>-1</v>
      </c>
      <c r="DHY5080" s="34">
        <v>-2</v>
      </c>
      <c r="DHZ5080" s="34">
        <v>-3</v>
      </c>
      <c r="DIA5080" s="34">
        <v>-4</v>
      </c>
      <c r="DIB5080" s="34">
        <v>-5</v>
      </c>
      <c r="DIC5080" s="908"/>
      <c r="DID5080" s="909"/>
      <c r="DIE5080" s="34">
        <v>-5</v>
      </c>
      <c r="DIF5080" s="34">
        <v>-4.5</v>
      </c>
      <c r="DIG5080" s="34">
        <v>-4</v>
      </c>
      <c r="DIH5080" s="34">
        <v>-3.5</v>
      </c>
      <c r="DII5080" s="34">
        <v>-3</v>
      </c>
      <c r="DIJ5080" s="34">
        <v>-2.5</v>
      </c>
      <c r="DIK5080" s="34">
        <v>-2</v>
      </c>
      <c r="DIL5080" s="34">
        <v>-1.5</v>
      </c>
      <c r="DIM5080" s="34">
        <v>-1</v>
      </c>
      <c r="DIN5080" s="34">
        <v>-0.5</v>
      </c>
      <c r="DIO5080" s="34">
        <v>0</v>
      </c>
      <c r="DIP5080" s="34">
        <v>0.5</v>
      </c>
      <c r="DIQ5080" s="34">
        <v>1</v>
      </c>
      <c r="DIR5080" s="34">
        <v>1.5</v>
      </c>
      <c r="DIS5080" s="34">
        <v>2</v>
      </c>
      <c r="DIT5080" s="34">
        <v>2.5</v>
      </c>
      <c r="DIU5080" s="34">
        <v>3</v>
      </c>
      <c r="DIV5080" s="34">
        <v>3.5</v>
      </c>
      <c r="DIW5080" s="34">
        <v>4</v>
      </c>
      <c r="DIX5080" s="34">
        <v>4.5</v>
      </c>
      <c r="DIY5080" s="34">
        <v>5</v>
      </c>
      <c r="DJA5080" s="913"/>
      <c r="DJB5080" s="31">
        <v>1</v>
      </c>
      <c r="DJC5080" s="34">
        <v>0</v>
      </c>
      <c r="DJD5080" s="34">
        <v>-1</v>
      </c>
      <c r="DJE5080" s="34">
        <v>-2</v>
      </c>
      <c r="DJF5080" s="34">
        <v>-3</v>
      </c>
      <c r="DJG5080" s="34">
        <v>-4</v>
      </c>
      <c r="DJH5080" s="34">
        <v>-5</v>
      </c>
      <c r="DJI5080" s="908"/>
      <c r="DJJ5080" s="909"/>
      <c r="DJK5080" s="34">
        <v>-5</v>
      </c>
      <c r="DJL5080" s="34">
        <v>-4.5</v>
      </c>
      <c r="DJM5080" s="34">
        <v>-4</v>
      </c>
      <c r="DJN5080" s="34">
        <v>-3.5</v>
      </c>
      <c r="DJO5080" s="34">
        <v>-3</v>
      </c>
      <c r="DJP5080" s="34">
        <v>-2.5</v>
      </c>
      <c r="DJQ5080" s="34">
        <v>-2</v>
      </c>
      <c r="DJR5080" s="34">
        <v>-1.5</v>
      </c>
      <c r="DJS5080" s="34">
        <v>-1</v>
      </c>
      <c r="DJT5080" s="34">
        <v>-0.5</v>
      </c>
      <c r="DJU5080" s="34">
        <v>0</v>
      </c>
      <c r="DJV5080" s="34">
        <v>0.5</v>
      </c>
      <c r="DJW5080" s="34">
        <v>1</v>
      </c>
      <c r="DJX5080" s="34">
        <v>1.5</v>
      </c>
      <c r="DJY5080" s="34">
        <v>2</v>
      </c>
      <c r="DJZ5080" s="34">
        <v>2.5</v>
      </c>
      <c r="DKA5080" s="34">
        <v>3</v>
      </c>
      <c r="DKB5080" s="34">
        <v>3.5</v>
      </c>
      <c r="DKC5080" s="34">
        <v>4</v>
      </c>
      <c r="DKD5080" s="34">
        <v>4.5</v>
      </c>
      <c r="DKE5080" s="34">
        <v>5</v>
      </c>
      <c r="DKG5080" s="913"/>
      <c r="DKH5080" s="31">
        <v>1</v>
      </c>
      <c r="DKI5080" s="34">
        <v>0</v>
      </c>
      <c r="DKJ5080" s="34">
        <v>-1</v>
      </c>
      <c r="DKK5080" s="34">
        <v>-2</v>
      </c>
      <c r="DKL5080" s="34">
        <v>-3</v>
      </c>
      <c r="DKM5080" s="34">
        <v>-4</v>
      </c>
      <c r="DKN5080" s="34">
        <v>-5</v>
      </c>
      <c r="DKO5080" s="908"/>
      <c r="DKP5080" s="909"/>
      <c r="DKQ5080" s="34">
        <v>-5</v>
      </c>
      <c r="DKR5080" s="34">
        <v>-4.5</v>
      </c>
      <c r="DKS5080" s="34">
        <v>-4</v>
      </c>
      <c r="DKT5080" s="34">
        <v>-3.5</v>
      </c>
      <c r="DKU5080" s="34">
        <v>-3</v>
      </c>
      <c r="DKV5080" s="34">
        <v>-2.5</v>
      </c>
      <c r="DKW5080" s="34">
        <v>-2</v>
      </c>
      <c r="DKX5080" s="34">
        <v>-1.5</v>
      </c>
      <c r="DKY5080" s="34">
        <v>-1</v>
      </c>
      <c r="DKZ5080" s="34">
        <v>-0.5</v>
      </c>
      <c r="DLA5080" s="34">
        <v>0</v>
      </c>
      <c r="DLB5080" s="34">
        <v>0.5</v>
      </c>
      <c r="DLC5080" s="34">
        <v>1</v>
      </c>
      <c r="DLD5080" s="34">
        <v>1.5</v>
      </c>
      <c r="DLE5080" s="34">
        <v>2</v>
      </c>
      <c r="DLF5080" s="34">
        <v>2.5</v>
      </c>
      <c r="DLG5080" s="34">
        <v>3</v>
      </c>
      <c r="DLH5080" s="34">
        <v>3.5</v>
      </c>
      <c r="DLI5080" s="34">
        <v>4</v>
      </c>
      <c r="DLJ5080" s="34">
        <v>4.5</v>
      </c>
      <c r="DLK5080" s="34">
        <v>5</v>
      </c>
      <c r="DLM5080" s="913"/>
      <c r="DLN5080" s="31">
        <v>1</v>
      </c>
      <c r="DLO5080" s="34">
        <v>0</v>
      </c>
      <c r="DLP5080" s="34">
        <v>-1</v>
      </c>
      <c r="DLQ5080" s="34">
        <v>-2</v>
      </c>
      <c r="DLR5080" s="34">
        <v>-3</v>
      </c>
      <c r="DLS5080" s="34">
        <v>-4</v>
      </c>
      <c r="DLT5080" s="34">
        <v>-5</v>
      </c>
      <c r="DLU5080" s="908"/>
      <c r="DLV5080" s="909"/>
      <c r="DLW5080" s="34">
        <v>-5</v>
      </c>
      <c r="DLX5080" s="34">
        <v>-4.5</v>
      </c>
      <c r="DLY5080" s="34">
        <v>-4</v>
      </c>
      <c r="DLZ5080" s="34">
        <v>-3.5</v>
      </c>
      <c r="DMA5080" s="34">
        <v>-3</v>
      </c>
      <c r="DMB5080" s="34">
        <v>-2.5</v>
      </c>
      <c r="DMC5080" s="34">
        <v>-2</v>
      </c>
      <c r="DMD5080" s="34">
        <v>-1.5</v>
      </c>
      <c r="DME5080" s="34">
        <v>-1</v>
      </c>
      <c r="DMF5080" s="34">
        <v>-0.5</v>
      </c>
      <c r="DMG5080" s="34">
        <v>0</v>
      </c>
      <c r="DMH5080" s="34">
        <v>0.5</v>
      </c>
      <c r="DMI5080" s="34">
        <v>1</v>
      </c>
      <c r="DMJ5080" s="34">
        <v>1.5</v>
      </c>
      <c r="DMK5080" s="34">
        <v>2</v>
      </c>
      <c r="DML5080" s="34">
        <v>2.5</v>
      </c>
      <c r="DMM5080" s="34">
        <v>3</v>
      </c>
      <c r="DMN5080" s="34">
        <v>3.5</v>
      </c>
      <c r="DMO5080" s="34">
        <v>4</v>
      </c>
      <c r="DMP5080" s="34">
        <v>4.5</v>
      </c>
      <c r="DMQ5080" s="34">
        <v>5</v>
      </c>
      <c r="DMS5080" s="913"/>
      <c r="DMT5080" s="31">
        <v>1</v>
      </c>
      <c r="DMU5080" s="34">
        <v>0</v>
      </c>
      <c r="DMV5080" s="34">
        <v>-1</v>
      </c>
      <c r="DMW5080" s="34">
        <v>-2</v>
      </c>
      <c r="DMX5080" s="34">
        <v>-3</v>
      </c>
      <c r="DMY5080" s="34">
        <v>-4</v>
      </c>
      <c r="DMZ5080" s="34">
        <v>-5</v>
      </c>
      <c r="DNA5080" s="908"/>
      <c r="DNB5080" s="909"/>
      <c r="DNC5080" s="34">
        <v>-5</v>
      </c>
      <c r="DND5080" s="34">
        <v>-4.5</v>
      </c>
      <c r="DNE5080" s="34">
        <v>-4</v>
      </c>
      <c r="DNF5080" s="34">
        <v>-3.5</v>
      </c>
      <c r="DNG5080" s="34">
        <v>-3</v>
      </c>
      <c r="DNH5080" s="34">
        <v>-2.5</v>
      </c>
      <c r="DNI5080" s="34">
        <v>-2</v>
      </c>
      <c r="DNJ5080" s="34">
        <v>-1.5</v>
      </c>
      <c r="DNK5080" s="34">
        <v>-1</v>
      </c>
      <c r="DNL5080" s="34">
        <v>-0.5</v>
      </c>
      <c r="DNM5080" s="34">
        <v>0</v>
      </c>
      <c r="DNN5080" s="34">
        <v>0.5</v>
      </c>
      <c r="DNO5080" s="34">
        <v>1</v>
      </c>
      <c r="DNP5080" s="34">
        <v>1.5</v>
      </c>
      <c r="DNQ5080" s="34">
        <v>2</v>
      </c>
      <c r="DNR5080" s="34">
        <v>2.5</v>
      </c>
      <c r="DNS5080" s="34">
        <v>3</v>
      </c>
      <c r="DNT5080" s="34">
        <v>3.5</v>
      </c>
      <c r="DNU5080" s="34">
        <v>4</v>
      </c>
      <c r="DNV5080" s="34">
        <v>4.5</v>
      </c>
      <c r="DNW5080" s="34">
        <v>5</v>
      </c>
      <c r="DNY5080" s="913"/>
      <c r="DNZ5080" s="31">
        <v>1</v>
      </c>
      <c r="DOA5080" s="34">
        <v>0</v>
      </c>
      <c r="DOB5080" s="34">
        <v>-1</v>
      </c>
      <c r="DOC5080" s="34">
        <v>-2</v>
      </c>
      <c r="DOD5080" s="34">
        <v>-3</v>
      </c>
      <c r="DOE5080" s="34">
        <v>-4</v>
      </c>
      <c r="DOF5080" s="34">
        <v>-5</v>
      </c>
      <c r="DOG5080" s="908"/>
      <c r="DOH5080" s="909"/>
      <c r="DOI5080" s="34">
        <v>-5</v>
      </c>
      <c r="DOJ5080" s="34">
        <v>-4.5</v>
      </c>
      <c r="DOK5080" s="34">
        <v>-4</v>
      </c>
      <c r="DOL5080" s="34">
        <v>-3.5</v>
      </c>
      <c r="DOM5080" s="34">
        <v>-3</v>
      </c>
      <c r="DON5080" s="34">
        <v>-2.5</v>
      </c>
      <c r="DOO5080" s="34">
        <v>-2</v>
      </c>
      <c r="DOP5080" s="34">
        <v>-1.5</v>
      </c>
      <c r="DOQ5080" s="34">
        <v>-1</v>
      </c>
      <c r="DOR5080" s="34">
        <v>-0.5</v>
      </c>
      <c r="DOS5080" s="34">
        <v>0</v>
      </c>
      <c r="DOT5080" s="34">
        <v>0.5</v>
      </c>
      <c r="DOU5080" s="34">
        <v>1</v>
      </c>
      <c r="DOV5080" s="34">
        <v>1.5</v>
      </c>
      <c r="DOW5080" s="34">
        <v>2</v>
      </c>
      <c r="DOX5080" s="34">
        <v>2.5</v>
      </c>
      <c r="DOY5080" s="34">
        <v>3</v>
      </c>
      <c r="DOZ5080" s="34">
        <v>3.5</v>
      </c>
      <c r="DPA5080" s="34">
        <v>4</v>
      </c>
      <c r="DPB5080" s="34">
        <v>4.5</v>
      </c>
      <c r="DPC5080" s="34">
        <v>5</v>
      </c>
      <c r="DPE5080" s="913"/>
      <c r="DPF5080" s="31">
        <v>1</v>
      </c>
      <c r="DPG5080" s="34">
        <v>0</v>
      </c>
      <c r="DPH5080" s="34">
        <v>-1</v>
      </c>
      <c r="DPI5080" s="34">
        <v>-2</v>
      </c>
      <c r="DPJ5080" s="34">
        <v>-3</v>
      </c>
      <c r="DPK5080" s="34">
        <v>-4</v>
      </c>
      <c r="DPL5080" s="34">
        <v>-5</v>
      </c>
      <c r="DPM5080" s="908"/>
      <c r="DPN5080" s="909"/>
      <c r="DPO5080" s="34">
        <v>-5</v>
      </c>
      <c r="DPP5080" s="34">
        <v>-4.5</v>
      </c>
      <c r="DPQ5080" s="34">
        <v>-4</v>
      </c>
      <c r="DPR5080" s="34">
        <v>-3.5</v>
      </c>
      <c r="DPS5080" s="34">
        <v>-3</v>
      </c>
      <c r="DPT5080" s="34">
        <v>-2.5</v>
      </c>
      <c r="DPU5080" s="34">
        <v>-2</v>
      </c>
      <c r="DPV5080" s="34">
        <v>-1.5</v>
      </c>
      <c r="DPW5080" s="34">
        <v>-1</v>
      </c>
      <c r="DPX5080" s="34">
        <v>-0.5</v>
      </c>
      <c r="DPY5080" s="34">
        <v>0</v>
      </c>
      <c r="DPZ5080" s="34">
        <v>0.5</v>
      </c>
      <c r="DQA5080" s="34">
        <v>1</v>
      </c>
      <c r="DQB5080" s="34">
        <v>1.5</v>
      </c>
      <c r="DQC5080" s="34">
        <v>2</v>
      </c>
      <c r="DQD5080" s="34">
        <v>2.5</v>
      </c>
      <c r="DQE5080" s="34">
        <v>3</v>
      </c>
      <c r="DQF5080" s="34">
        <v>3.5</v>
      </c>
      <c r="DQG5080" s="34">
        <v>4</v>
      </c>
      <c r="DQH5080" s="34">
        <v>4.5</v>
      </c>
      <c r="DQI5080" s="34">
        <v>5</v>
      </c>
      <c r="DQK5080" s="913"/>
      <c r="DQL5080" s="31">
        <v>1</v>
      </c>
      <c r="DQM5080" s="34">
        <v>0</v>
      </c>
      <c r="DQN5080" s="34">
        <v>-1</v>
      </c>
      <c r="DQO5080" s="34">
        <v>-2</v>
      </c>
      <c r="DQP5080" s="34">
        <v>-3</v>
      </c>
      <c r="DQQ5080" s="34">
        <v>-4</v>
      </c>
      <c r="DQR5080" s="34">
        <v>-5</v>
      </c>
      <c r="DQS5080" s="908"/>
      <c r="DQT5080" s="909"/>
      <c r="DQU5080" s="34">
        <v>-5</v>
      </c>
      <c r="DQV5080" s="34">
        <v>-4.5</v>
      </c>
      <c r="DQW5080" s="34">
        <v>-4</v>
      </c>
      <c r="DQX5080" s="34">
        <v>-3.5</v>
      </c>
      <c r="DQY5080" s="34">
        <v>-3</v>
      </c>
      <c r="DQZ5080" s="34">
        <v>-2.5</v>
      </c>
      <c r="DRA5080" s="34">
        <v>-2</v>
      </c>
      <c r="DRB5080" s="34">
        <v>-1.5</v>
      </c>
      <c r="DRC5080" s="34">
        <v>-1</v>
      </c>
      <c r="DRD5080" s="34">
        <v>-0.5</v>
      </c>
      <c r="DRE5080" s="34">
        <v>0</v>
      </c>
      <c r="DRF5080" s="34">
        <v>0.5</v>
      </c>
      <c r="DRG5080" s="34">
        <v>1</v>
      </c>
      <c r="DRH5080" s="34">
        <v>1.5</v>
      </c>
      <c r="DRI5080" s="34">
        <v>2</v>
      </c>
      <c r="DRJ5080" s="34">
        <v>2.5</v>
      </c>
      <c r="DRK5080" s="34">
        <v>3</v>
      </c>
      <c r="DRL5080" s="34">
        <v>3.5</v>
      </c>
      <c r="DRM5080" s="34">
        <v>4</v>
      </c>
      <c r="DRN5080" s="34">
        <v>4.5</v>
      </c>
      <c r="DRO5080" s="34">
        <v>5</v>
      </c>
      <c r="DRQ5080" s="913"/>
      <c r="DRR5080" s="31">
        <v>1</v>
      </c>
      <c r="DRS5080" s="34">
        <v>0</v>
      </c>
      <c r="DRT5080" s="34">
        <v>-1</v>
      </c>
      <c r="DRU5080" s="34">
        <v>-2</v>
      </c>
      <c r="DRV5080" s="34">
        <v>-3</v>
      </c>
      <c r="DRW5080" s="34">
        <v>-4</v>
      </c>
      <c r="DRX5080" s="34">
        <v>-5</v>
      </c>
      <c r="DRY5080" s="908"/>
      <c r="DRZ5080" s="909"/>
      <c r="DSA5080" s="34">
        <v>-5</v>
      </c>
      <c r="DSB5080" s="34">
        <v>-4.5</v>
      </c>
      <c r="DSC5080" s="34">
        <v>-4</v>
      </c>
      <c r="DSD5080" s="34">
        <v>-3.5</v>
      </c>
      <c r="DSE5080" s="34">
        <v>-3</v>
      </c>
      <c r="DSF5080" s="34">
        <v>-2.5</v>
      </c>
      <c r="DSG5080" s="34">
        <v>-2</v>
      </c>
      <c r="DSH5080" s="34">
        <v>-1.5</v>
      </c>
      <c r="DSI5080" s="34">
        <v>-1</v>
      </c>
      <c r="DSJ5080" s="34">
        <v>-0.5</v>
      </c>
      <c r="DSK5080" s="34">
        <v>0</v>
      </c>
      <c r="DSL5080" s="34">
        <v>0.5</v>
      </c>
      <c r="DSM5080" s="34">
        <v>1</v>
      </c>
      <c r="DSN5080" s="34">
        <v>1.5</v>
      </c>
      <c r="DSO5080" s="34">
        <v>2</v>
      </c>
      <c r="DSP5080" s="34">
        <v>2.5</v>
      </c>
      <c r="DSQ5080" s="34">
        <v>3</v>
      </c>
      <c r="DSR5080" s="34">
        <v>3.5</v>
      </c>
      <c r="DSS5080" s="34">
        <v>4</v>
      </c>
      <c r="DST5080" s="34">
        <v>4.5</v>
      </c>
      <c r="DSU5080" s="34">
        <v>5</v>
      </c>
      <c r="DSW5080" s="913"/>
      <c r="DSX5080" s="31">
        <v>1</v>
      </c>
      <c r="DSY5080" s="34">
        <v>0</v>
      </c>
      <c r="DSZ5080" s="34">
        <v>-1</v>
      </c>
      <c r="DTA5080" s="34">
        <v>-2</v>
      </c>
      <c r="DTB5080" s="34">
        <v>-3</v>
      </c>
      <c r="DTC5080" s="34">
        <v>-4</v>
      </c>
      <c r="DTD5080" s="34">
        <v>-5</v>
      </c>
      <c r="DTE5080" s="908"/>
      <c r="DTF5080" s="909"/>
      <c r="DTG5080" s="34">
        <v>-5</v>
      </c>
      <c r="DTH5080" s="34">
        <v>-4.5</v>
      </c>
      <c r="DTI5080" s="34">
        <v>-4</v>
      </c>
      <c r="DTJ5080" s="34">
        <v>-3.5</v>
      </c>
      <c r="DTK5080" s="34">
        <v>-3</v>
      </c>
      <c r="DTL5080" s="34">
        <v>-2.5</v>
      </c>
      <c r="DTM5080" s="34">
        <v>-2</v>
      </c>
      <c r="DTN5080" s="34">
        <v>-1.5</v>
      </c>
      <c r="DTO5080" s="34">
        <v>-1</v>
      </c>
      <c r="DTP5080" s="34">
        <v>-0.5</v>
      </c>
      <c r="DTQ5080" s="34">
        <v>0</v>
      </c>
      <c r="DTR5080" s="34">
        <v>0.5</v>
      </c>
      <c r="DTS5080" s="34">
        <v>1</v>
      </c>
      <c r="DTT5080" s="34">
        <v>1.5</v>
      </c>
      <c r="DTU5080" s="34">
        <v>2</v>
      </c>
      <c r="DTV5080" s="34">
        <v>2.5</v>
      </c>
      <c r="DTW5080" s="34">
        <v>3</v>
      </c>
      <c r="DTX5080" s="34">
        <v>3.5</v>
      </c>
      <c r="DTY5080" s="34">
        <v>4</v>
      </c>
      <c r="DTZ5080" s="34">
        <v>4.5</v>
      </c>
      <c r="DUA5080" s="34">
        <v>5</v>
      </c>
      <c r="DUC5080" s="913"/>
      <c r="DUD5080" s="31">
        <v>1</v>
      </c>
      <c r="DUE5080" s="34">
        <v>0</v>
      </c>
      <c r="DUF5080" s="34">
        <v>-1</v>
      </c>
      <c r="DUG5080" s="34">
        <v>-2</v>
      </c>
      <c r="DUH5080" s="34">
        <v>-3</v>
      </c>
      <c r="DUI5080" s="34">
        <v>-4</v>
      </c>
      <c r="DUJ5080" s="34">
        <v>-5</v>
      </c>
      <c r="DUK5080" s="908"/>
      <c r="DUL5080" s="909"/>
      <c r="DUM5080" s="34">
        <v>-5</v>
      </c>
      <c r="DUN5080" s="34">
        <v>-4.5</v>
      </c>
      <c r="DUO5080" s="34">
        <v>-4</v>
      </c>
      <c r="DUP5080" s="34">
        <v>-3.5</v>
      </c>
      <c r="DUQ5080" s="34">
        <v>-3</v>
      </c>
      <c r="DUR5080" s="34">
        <v>-2.5</v>
      </c>
      <c r="DUS5080" s="34">
        <v>-2</v>
      </c>
      <c r="DUT5080" s="34">
        <v>-1.5</v>
      </c>
      <c r="DUU5080" s="34">
        <v>-1</v>
      </c>
      <c r="DUV5080" s="34">
        <v>-0.5</v>
      </c>
      <c r="DUW5080" s="34">
        <v>0</v>
      </c>
      <c r="DUX5080" s="34">
        <v>0.5</v>
      </c>
      <c r="DUY5080" s="34">
        <v>1</v>
      </c>
      <c r="DUZ5080" s="34">
        <v>1.5</v>
      </c>
      <c r="DVA5080" s="34">
        <v>2</v>
      </c>
      <c r="DVB5080" s="34">
        <v>2.5</v>
      </c>
      <c r="DVC5080" s="34">
        <v>3</v>
      </c>
      <c r="DVD5080" s="34">
        <v>3.5</v>
      </c>
      <c r="DVE5080" s="34">
        <v>4</v>
      </c>
      <c r="DVF5080" s="34">
        <v>4.5</v>
      </c>
      <c r="DVG5080" s="34">
        <v>5</v>
      </c>
      <c r="DVI5080" s="913"/>
      <c r="DVJ5080" s="31">
        <v>1</v>
      </c>
      <c r="DVK5080" s="34">
        <v>0</v>
      </c>
      <c r="DVL5080" s="34">
        <v>-1</v>
      </c>
      <c r="DVM5080" s="34">
        <v>-2</v>
      </c>
      <c r="DVN5080" s="34">
        <v>-3</v>
      </c>
      <c r="DVO5080" s="34">
        <v>-4</v>
      </c>
      <c r="DVP5080" s="34">
        <v>-5</v>
      </c>
      <c r="DVQ5080" s="908"/>
      <c r="DVR5080" s="909"/>
      <c r="DVS5080" s="34">
        <v>-5</v>
      </c>
      <c r="DVT5080" s="34">
        <v>-4.5</v>
      </c>
      <c r="DVU5080" s="34">
        <v>-4</v>
      </c>
      <c r="DVV5080" s="34">
        <v>-3.5</v>
      </c>
      <c r="DVW5080" s="34">
        <v>-3</v>
      </c>
      <c r="DVX5080" s="34">
        <v>-2.5</v>
      </c>
      <c r="DVY5080" s="34">
        <v>-2</v>
      </c>
      <c r="DVZ5080" s="34">
        <v>-1.5</v>
      </c>
      <c r="DWA5080" s="34">
        <v>-1</v>
      </c>
      <c r="DWB5080" s="34">
        <v>-0.5</v>
      </c>
      <c r="DWC5080" s="34">
        <v>0</v>
      </c>
      <c r="DWD5080" s="34">
        <v>0.5</v>
      </c>
      <c r="DWE5080" s="34">
        <v>1</v>
      </c>
      <c r="DWF5080" s="34">
        <v>1.5</v>
      </c>
      <c r="DWG5080" s="34">
        <v>2</v>
      </c>
      <c r="DWH5080" s="34">
        <v>2.5</v>
      </c>
      <c r="DWI5080" s="34">
        <v>3</v>
      </c>
      <c r="DWJ5080" s="34">
        <v>3.5</v>
      </c>
      <c r="DWK5080" s="34">
        <v>4</v>
      </c>
      <c r="DWL5080" s="34">
        <v>4.5</v>
      </c>
      <c r="DWM5080" s="34">
        <v>5</v>
      </c>
      <c r="DWO5080" s="913"/>
      <c r="DWP5080" s="31">
        <v>1</v>
      </c>
      <c r="DWQ5080" s="34">
        <v>0</v>
      </c>
      <c r="DWR5080" s="34">
        <v>-1</v>
      </c>
      <c r="DWS5080" s="34">
        <v>-2</v>
      </c>
      <c r="DWT5080" s="34">
        <v>-3</v>
      </c>
      <c r="DWU5080" s="34">
        <v>-4</v>
      </c>
      <c r="DWV5080" s="34">
        <v>-5</v>
      </c>
      <c r="DWW5080" s="908"/>
      <c r="DWX5080" s="909"/>
      <c r="DWY5080" s="34">
        <v>-5</v>
      </c>
      <c r="DWZ5080" s="34">
        <v>-4.5</v>
      </c>
      <c r="DXA5080" s="34">
        <v>-4</v>
      </c>
      <c r="DXB5080" s="34">
        <v>-3.5</v>
      </c>
      <c r="DXC5080" s="34">
        <v>-3</v>
      </c>
      <c r="DXD5080" s="34">
        <v>-2.5</v>
      </c>
      <c r="DXE5080" s="34">
        <v>-2</v>
      </c>
      <c r="DXF5080" s="34">
        <v>-1.5</v>
      </c>
      <c r="DXG5080" s="34">
        <v>-1</v>
      </c>
      <c r="DXH5080" s="34">
        <v>-0.5</v>
      </c>
      <c r="DXI5080" s="34">
        <v>0</v>
      </c>
      <c r="DXJ5080" s="34">
        <v>0.5</v>
      </c>
      <c r="DXK5080" s="34">
        <v>1</v>
      </c>
      <c r="DXL5080" s="34">
        <v>1.5</v>
      </c>
      <c r="DXM5080" s="34">
        <v>2</v>
      </c>
      <c r="DXN5080" s="34">
        <v>2.5</v>
      </c>
      <c r="DXO5080" s="34">
        <v>3</v>
      </c>
      <c r="DXP5080" s="34">
        <v>3.5</v>
      </c>
      <c r="DXQ5080" s="34">
        <v>4</v>
      </c>
      <c r="DXR5080" s="34">
        <v>4.5</v>
      </c>
      <c r="DXS5080" s="34">
        <v>5</v>
      </c>
      <c r="DXU5080" s="913"/>
      <c r="DXV5080" s="31">
        <v>1</v>
      </c>
      <c r="DXW5080" s="34">
        <v>0</v>
      </c>
      <c r="DXX5080" s="34">
        <v>-1</v>
      </c>
      <c r="DXY5080" s="34">
        <v>-2</v>
      </c>
      <c r="DXZ5080" s="34">
        <v>-3</v>
      </c>
      <c r="DYA5080" s="34">
        <v>-4</v>
      </c>
      <c r="DYB5080" s="34">
        <v>-5</v>
      </c>
      <c r="DYC5080" s="908"/>
      <c r="DYD5080" s="909"/>
      <c r="DYE5080" s="34">
        <v>-5</v>
      </c>
      <c r="DYF5080" s="34">
        <v>-4.5</v>
      </c>
      <c r="DYG5080" s="34">
        <v>-4</v>
      </c>
      <c r="DYH5080" s="34">
        <v>-3.5</v>
      </c>
      <c r="DYI5080" s="34">
        <v>-3</v>
      </c>
      <c r="DYJ5080" s="34">
        <v>-2.5</v>
      </c>
      <c r="DYK5080" s="34">
        <v>-2</v>
      </c>
      <c r="DYL5080" s="34">
        <v>-1.5</v>
      </c>
      <c r="DYM5080" s="34">
        <v>-1</v>
      </c>
      <c r="DYN5080" s="34">
        <v>-0.5</v>
      </c>
      <c r="DYO5080" s="34">
        <v>0</v>
      </c>
      <c r="DYP5080" s="34">
        <v>0.5</v>
      </c>
      <c r="DYQ5080" s="34">
        <v>1</v>
      </c>
      <c r="DYR5080" s="34">
        <v>1.5</v>
      </c>
      <c r="DYS5080" s="34">
        <v>2</v>
      </c>
      <c r="DYT5080" s="34">
        <v>2.5</v>
      </c>
      <c r="DYU5080" s="34">
        <v>3</v>
      </c>
      <c r="DYV5080" s="34">
        <v>3.5</v>
      </c>
      <c r="DYW5080" s="34">
        <v>4</v>
      </c>
      <c r="DYX5080" s="34">
        <v>4.5</v>
      </c>
      <c r="DYY5080" s="34">
        <v>5</v>
      </c>
      <c r="DZA5080" s="913"/>
      <c r="DZB5080" s="31">
        <v>1</v>
      </c>
      <c r="DZC5080" s="34">
        <v>0</v>
      </c>
      <c r="DZD5080" s="34">
        <v>-1</v>
      </c>
      <c r="DZE5080" s="34">
        <v>-2</v>
      </c>
      <c r="DZF5080" s="34">
        <v>-3</v>
      </c>
      <c r="DZG5080" s="34">
        <v>-4</v>
      </c>
      <c r="DZH5080" s="34">
        <v>-5</v>
      </c>
      <c r="DZI5080" s="908"/>
      <c r="DZJ5080" s="909"/>
      <c r="DZK5080" s="34">
        <v>-5</v>
      </c>
      <c r="DZL5080" s="34">
        <v>-4.5</v>
      </c>
      <c r="DZM5080" s="34">
        <v>-4</v>
      </c>
      <c r="DZN5080" s="34">
        <v>-3.5</v>
      </c>
      <c r="DZO5080" s="34">
        <v>-3</v>
      </c>
      <c r="DZP5080" s="34">
        <v>-2.5</v>
      </c>
      <c r="DZQ5080" s="34">
        <v>-2</v>
      </c>
      <c r="DZR5080" s="34">
        <v>-1.5</v>
      </c>
      <c r="DZS5080" s="34">
        <v>-1</v>
      </c>
      <c r="DZT5080" s="34">
        <v>-0.5</v>
      </c>
      <c r="DZU5080" s="34">
        <v>0</v>
      </c>
      <c r="DZV5080" s="34">
        <v>0.5</v>
      </c>
      <c r="DZW5080" s="34">
        <v>1</v>
      </c>
      <c r="DZX5080" s="34">
        <v>1.5</v>
      </c>
      <c r="DZY5080" s="34">
        <v>2</v>
      </c>
      <c r="DZZ5080" s="34">
        <v>2.5</v>
      </c>
      <c r="EAA5080" s="34">
        <v>3</v>
      </c>
      <c r="EAB5080" s="34">
        <v>3.5</v>
      </c>
      <c r="EAC5080" s="34">
        <v>4</v>
      </c>
      <c r="EAD5080" s="34">
        <v>4.5</v>
      </c>
      <c r="EAE5080" s="34">
        <v>5</v>
      </c>
      <c r="EAG5080" s="913"/>
      <c r="EAH5080" s="31">
        <v>1</v>
      </c>
      <c r="EAI5080" s="34">
        <v>0</v>
      </c>
      <c r="EAJ5080" s="34">
        <v>-1</v>
      </c>
      <c r="EAK5080" s="34">
        <v>-2</v>
      </c>
      <c r="EAL5080" s="34">
        <v>-3</v>
      </c>
      <c r="EAM5080" s="34">
        <v>-4</v>
      </c>
      <c r="EAN5080" s="34">
        <v>-5</v>
      </c>
      <c r="EAO5080" s="908"/>
      <c r="EAP5080" s="909"/>
      <c r="EAQ5080" s="34">
        <v>-5</v>
      </c>
      <c r="EAR5080" s="34">
        <v>-4.5</v>
      </c>
      <c r="EAS5080" s="34">
        <v>-4</v>
      </c>
      <c r="EAT5080" s="34">
        <v>-3.5</v>
      </c>
      <c r="EAU5080" s="34">
        <v>-3</v>
      </c>
      <c r="EAV5080" s="34">
        <v>-2.5</v>
      </c>
      <c r="EAW5080" s="34">
        <v>-2</v>
      </c>
      <c r="EAX5080" s="34">
        <v>-1.5</v>
      </c>
      <c r="EAY5080" s="34">
        <v>-1</v>
      </c>
      <c r="EAZ5080" s="34">
        <v>-0.5</v>
      </c>
      <c r="EBA5080" s="34">
        <v>0</v>
      </c>
      <c r="EBB5080" s="34">
        <v>0.5</v>
      </c>
      <c r="EBC5080" s="34">
        <v>1</v>
      </c>
      <c r="EBD5080" s="34">
        <v>1.5</v>
      </c>
      <c r="EBE5080" s="34">
        <v>2</v>
      </c>
      <c r="EBF5080" s="34">
        <v>2.5</v>
      </c>
      <c r="EBG5080" s="34">
        <v>3</v>
      </c>
      <c r="EBH5080" s="34">
        <v>3.5</v>
      </c>
      <c r="EBI5080" s="34">
        <v>4</v>
      </c>
      <c r="EBJ5080" s="34">
        <v>4.5</v>
      </c>
      <c r="EBK5080" s="34">
        <v>5</v>
      </c>
      <c r="EBM5080" s="913"/>
      <c r="EBN5080" s="31">
        <v>1</v>
      </c>
      <c r="EBO5080" s="34">
        <v>0</v>
      </c>
      <c r="EBP5080" s="34">
        <v>-1</v>
      </c>
      <c r="EBQ5080" s="34">
        <v>-2</v>
      </c>
      <c r="EBR5080" s="34">
        <v>-3</v>
      </c>
      <c r="EBS5080" s="34">
        <v>-4</v>
      </c>
      <c r="EBT5080" s="34">
        <v>-5</v>
      </c>
      <c r="EBU5080" s="908"/>
      <c r="EBV5080" s="909"/>
      <c r="EBW5080" s="34">
        <v>-5</v>
      </c>
      <c r="EBX5080" s="34">
        <v>-4.5</v>
      </c>
      <c r="EBY5080" s="34">
        <v>-4</v>
      </c>
      <c r="EBZ5080" s="34">
        <v>-3.5</v>
      </c>
      <c r="ECA5080" s="34">
        <v>-3</v>
      </c>
      <c r="ECB5080" s="34">
        <v>-2.5</v>
      </c>
      <c r="ECC5080" s="34">
        <v>-2</v>
      </c>
      <c r="ECD5080" s="34">
        <v>-1.5</v>
      </c>
      <c r="ECE5080" s="34">
        <v>-1</v>
      </c>
      <c r="ECF5080" s="34">
        <v>-0.5</v>
      </c>
      <c r="ECG5080" s="34">
        <v>0</v>
      </c>
      <c r="ECH5080" s="34">
        <v>0.5</v>
      </c>
      <c r="ECI5080" s="34">
        <v>1</v>
      </c>
      <c r="ECJ5080" s="34">
        <v>1.5</v>
      </c>
      <c r="ECK5080" s="34">
        <v>2</v>
      </c>
      <c r="ECL5080" s="34">
        <v>2.5</v>
      </c>
      <c r="ECM5080" s="34">
        <v>3</v>
      </c>
      <c r="ECN5080" s="34">
        <v>3.5</v>
      </c>
      <c r="ECO5080" s="34">
        <v>4</v>
      </c>
      <c r="ECP5080" s="34">
        <v>4.5</v>
      </c>
      <c r="ECQ5080" s="34">
        <v>5</v>
      </c>
      <c r="ECS5080" s="913"/>
      <c r="ECT5080" s="31">
        <v>1</v>
      </c>
      <c r="ECU5080" s="34">
        <v>0</v>
      </c>
      <c r="ECV5080" s="34">
        <v>-1</v>
      </c>
      <c r="ECW5080" s="34">
        <v>-2</v>
      </c>
      <c r="ECX5080" s="34">
        <v>-3</v>
      </c>
      <c r="ECY5080" s="34">
        <v>-4</v>
      </c>
      <c r="ECZ5080" s="34">
        <v>-5</v>
      </c>
      <c r="EDA5080" s="908"/>
      <c r="EDB5080" s="909"/>
      <c r="EDC5080" s="34">
        <v>-5</v>
      </c>
      <c r="EDD5080" s="34">
        <v>-4.5</v>
      </c>
      <c r="EDE5080" s="34">
        <v>-4</v>
      </c>
      <c r="EDF5080" s="34">
        <v>-3.5</v>
      </c>
      <c r="EDG5080" s="34">
        <v>-3</v>
      </c>
      <c r="EDH5080" s="34">
        <v>-2.5</v>
      </c>
      <c r="EDI5080" s="34">
        <v>-2</v>
      </c>
      <c r="EDJ5080" s="34">
        <v>-1.5</v>
      </c>
      <c r="EDK5080" s="34">
        <v>-1</v>
      </c>
      <c r="EDL5080" s="34">
        <v>-0.5</v>
      </c>
      <c r="EDM5080" s="34">
        <v>0</v>
      </c>
      <c r="EDN5080" s="34">
        <v>0.5</v>
      </c>
      <c r="EDO5080" s="34">
        <v>1</v>
      </c>
      <c r="EDP5080" s="34">
        <v>1.5</v>
      </c>
      <c r="EDQ5080" s="34">
        <v>2</v>
      </c>
      <c r="EDR5080" s="34">
        <v>2.5</v>
      </c>
      <c r="EDS5080" s="34">
        <v>3</v>
      </c>
      <c r="EDT5080" s="34">
        <v>3.5</v>
      </c>
      <c r="EDU5080" s="34">
        <v>4</v>
      </c>
      <c r="EDV5080" s="34">
        <v>4.5</v>
      </c>
      <c r="EDW5080" s="34">
        <v>5</v>
      </c>
      <c r="EDY5080" s="913"/>
      <c r="EDZ5080" s="31">
        <v>1</v>
      </c>
      <c r="EEA5080" s="34">
        <v>0</v>
      </c>
      <c r="EEB5080" s="34">
        <v>-1</v>
      </c>
      <c r="EEC5080" s="34">
        <v>-2</v>
      </c>
      <c r="EED5080" s="34">
        <v>-3</v>
      </c>
      <c r="EEE5080" s="34">
        <v>-4</v>
      </c>
      <c r="EEF5080" s="34">
        <v>-5</v>
      </c>
      <c r="EEG5080" s="908"/>
      <c r="EEH5080" s="909"/>
      <c r="EEI5080" s="34">
        <v>-5</v>
      </c>
      <c r="EEJ5080" s="34">
        <v>-4.5</v>
      </c>
      <c r="EEK5080" s="34">
        <v>-4</v>
      </c>
      <c r="EEL5080" s="34">
        <v>-3.5</v>
      </c>
      <c r="EEM5080" s="34">
        <v>-3</v>
      </c>
      <c r="EEN5080" s="34">
        <v>-2.5</v>
      </c>
      <c r="EEO5080" s="34">
        <v>-2</v>
      </c>
      <c r="EEP5080" s="34">
        <v>-1.5</v>
      </c>
      <c r="EEQ5080" s="34">
        <v>-1</v>
      </c>
      <c r="EER5080" s="34">
        <v>-0.5</v>
      </c>
      <c r="EES5080" s="34">
        <v>0</v>
      </c>
      <c r="EET5080" s="34">
        <v>0.5</v>
      </c>
      <c r="EEU5080" s="34">
        <v>1</v>
      </c>
      <c r="EEV5080" s="34">
        <v>1.5</v>
      </c>
      <c r="EEW5080" s="34">
        <v>2</v>
      </c>
      <c r="EEX5080" s="34">
        <v>2.5</v>
      </c>
      <c r="EEY5080" s="34">
        <v>3</v>
      </c>
      <c r="EEZ5080" s="34">
        <v>3.5</v>
      </c>
      <c r="EFA5080" s="34">
        <v>4</v>
      </c>
      <c r="EFB5080" s="34">
        <v>4.5</v>
      </c>
      <c r="EFC5080" s="34">
        <v>5</v>
      </c>
      <c r="EFE5080" s="913"/>
      <c r="EFF5080" s="31">
        <v>1</v>
      </c>
      <c r="EFG5080" s="34">
        <v>0</v>
      </c>
      <c r="EFH5080" s="34">
        <v>-1</v>
      </c>
      <c r="EFI5080" s="34">
        <v>-2</v>
      </c>
      <c r="EFJ5080" s="34">
        <v>-3</v>
      </c>
      <c r="EFK5080" s="34">
        <v>-4</v>
      </c>
      <c r="EFL5080" s="34">
        <v>-5</v>
      </c>
      <c r="EFM5080" s="908"/>
      <c r="EFN5080" s="909"/>
      <c r="EFO5080" s="34">
        <v>-5</v>
      </c>
      <c r="EFP5080" s="34">
        <v>-4.5</v>
      </c>
      <c r="EFQ5080" s="34">
        <v>-4</v>
      </c>
      <c r="EFR5080" s="34">
        <v>-3.5</v>
      </c>
      <c r="EFS5080" s="34">
        <v>-3</v>
      </c>
      <c r="EFT5080" s="34">
        <v>-2.5</v>
      </c>
      <c r="EFU5080" s="34">
        <v>-2</v>
      </c>
      <c r="EFV5080" s="34">
        <v>-1.5</v>
      </c>
      <c r="EFW5080" s="34">
        <v>-1</v>
      </c>
      <c r="EFX5080" s="34">
        <v>-0.5</v>
      </c>
      <c r="EFY5080" s="34">
        <v>0</v>
      </c>
      <c r="EFZ5080" s="34">
        <v>0.5</v>
      </c>
      <c r="EGA5080" s="34">
        <v>1</v>
      </c>
      <c r="EGB5080" s="34">
        <v>1.5</v>
      </c>
      <c r="EGC5080" s="34">
        <v>2</v>
      </c>
      <c r="EGD5080" s="34">
        <v>2.5</v>
      </c>
      <c r="EGE5080" s="34">
        <v>3</v>
      </c>
      <c r="EGF5080" s="34">
        <v>3.5</v>
      </c>
      <c r="EGG5080" s="34">
        <v>4</v>
      </c>
      <c r="EGH5080" s="34">
        <v>4.5</v>
      </c>
      <c r="EGI5080" s="34">
        <v>5</v>
      </c>
      <c r="EGK5080" s="913"/>
      <c r="EGL5080" s="31">
        <v>1</v>
      </c>
      <c r="EGM5080" s="34">
        <v>0</v>
      </c>
      <c r="EGN5080" s="34">
        <v>-1</v>
      </c>
      <c r="EGO5080" s="34">
        <v>-2</v>
      </c>
      <c r="EGP5080" s="34">
        <v>-3</v>
      </c>
      <c r="EGQ5080" s="34">
        <v>-4</v>
      </c>
      <c r="EGR5080" s="34">
        <v>-5</v>
      </c>
      <c r="EGS5080" s="908"/>
      <c r="EGT5080" s="909"/>
      <c r="EGU5080" s="34">
        <v>-5</v>
      </c>
      <c r="EGV5080" s="34">
        <v>-4.5</v>
      </c>
      <c r="EGW5080" s="34">
        <v>-4</v>
      </c>
      <c r="EGX5080" s="34">
        <v>-3.5</v>
      </c>
      <c r="EGY5080" s="34">
        <v>-3</v>
      </c>
      <c r="EGZ5080" s="34">
        <v>-2.5</v>
      </c>
      <c r="EHA5080" s="34">
        <v>-2</v>
      </c>
      <c r="EHB5080" s="34">
        <v>-1.5</v>
      </c>
      <c r="EHC5080" s="34">
        <v>-1</v>
      </c>
      <c r="EHD5080" s="34">
        <v>-0.5</v>
      </c>
      <c r="EHE5080" s="34">
        <v>0</v>
      </c>
      <c r="EHF5080" s="34">
        <v>0.5</v>
      </c>
      <c r="EHG5080" s="34">
        <v>1</v>
      </c>
      <c r="EHH5080" s="34">
        <v>1.5</v>
      </c>
      <c r="EHI5080" s="34">
        <v>2</v>
      </c>
      <c r="EHJ5080" s="34">
        <v>2.5</v>
      </c>
      <c r="EHK5080" s="34">
        <v>3</v>
      </c>
      <c r="EHL5080" s="34">
        <v>3.5</v>
      </c>
      <c r="EHM5080" s="34">
        <v>4</v>
      </c>
      <c r="EHN5080" s="34">
        <v>4.5</v>
      </c>
      <c r="EHO5080" s="34">
        <v>5</v>
      </c>
      <c r="EHQ5080" s="913"/>
      <c r="EHR5080" s="31">
        <v>1</v>
      </c>
      <c r="EHS5080" s="34">
        <v>0</v>
      </c>
      <c r="EHT5080" s="34">
        <v>-1</v>
      </c>
      <c r="EHU5080" s="34">
        <v>-2</v>
      </c>
      <c r="EHV5080" s="34">
        <v>-3</v>
      </c>
      <c r="EHW5080" s="34">
        <v>-4</v>
      </c>
      <c r="EHX5080" s="34">
        <v>-5</v>
      </c>
      <c r="EHY5080" s="908"/>
      <c r="EHZ5080" s="909"/>
      <c r="EIA5080" s="34">
        <v>-5</v>
      </c>
      <c r="EIB5080" s="34">
        <v>-4.5</v>
      </c>
      <c r="EIC5080" s="34">
        <v>-4</v>
      </c>
      <c r="EID5080" s="34">
        <v>-3.5</v>
      </c>
      <c r="EIE5080" s="34">
        <v>-3</v>
      </c>
      <c r="EIF5080" s="34">
        <v>-2.5</v>
      </c>
      <c r="EIG5080" s="34">
        <v>-2</v>
      </c>
      <c r="EIH5080" s="34">
        <v>-1.5</v>
      </c>
      <c r="EII5080" s="34">
        <v>-1</v>
      </c>
      <c r="EIJ5080" s="34">
        <v>-0.5</v>
      </c>
      <c r="EIK5080" s="34">
        <v>0</v>
      </c>
      <c r="EIL5080" s="34">
        <v>0.5</v>
      </c>
      <c r="EIM5080" s="34">
        <v>1</v>
      </c>
      <c r="EIN5080" s="34">
        <v>1.5</v>
      </c>
      <c r="EIO5080" s="34">
        <v>2</v>
      </c>
      <c r="EIP5080" s="34">
        <v>2.5</v>
      </c>
      <c r="EIQ5080" s="34">
        <v>3</v>
      </c>
      <c r="EIR5080" s="34">
        <v>3.5</v>
      </c>
      <c r="EIS5080" s="34">
        <v>4</v>
      </c>
      <c r="EIT5080" s="34">
        <v>4.5</v>
      </c>
      <c r="EIU5080" s="34">
        <v>5</v>
      </c>
      <c r="EIW5080" s="913"/>
      <c r="EIX5080" s="31">
        <v>1</v>
      </c>
      <c r="EIY5080" s="34">
        <v>0</v>
      </c>
      <c r="EIZ5080" s="34">
        <v>-1</v>
      </c>
      <c r="EJA5080" s="34">
        <v>-2</v>
      </c>
      <c r="EJB5080" s="34">
        <v>-3</v>
      </c>
      <c r="EJC5080" s="34">
        <v>-4</v>
      </c>
      <c r="EJD5080" s="34">
        <v>-5</v>
      </c>
      <c r="EJE5080" s="908"/>
      <c r="EJF5080" s="909"/>
      <c r="EJG5080" s="34">
        <v>-5</v>
      </c>
      <c r="EJH5080" s="34">
        <v>-4.5</v>
      </c>
      <c r="EJI5080" s="34">
        <v>-4</v>
      </c>
      <c r="EJJ5080" s="34">
        <v>-3.5</v>
      </c>
      <c r="EJK5080" s="34">
        <v>-3</v>
      </c>
      <c r="EJL5080" s="34">
        <v>-2.5</v>
      </c>
      <c r="EJM5080" s="34">
        <v>-2</v>
      </c>
      <c r="EJN5080" s="34">
        <v>-1.5</v>
      </c>
      <c r="EJO5080" s="34">
        <v>-1</v>
      </c>
      <c r="EJP5080" s="34">
        <v>-0.5</v>
      </c>
      <c r="EJQ5080" s="34">
        <v>0</v>
      </c>
      <c r="EJR5080" s="34">
        <v>0.5</v>
      </c>
      <c r="EJS5080" s="34">
        <v>1</v>
      </c>
      <c r="EJT5080" s="34">
        <v>1.5</v>
      </c>
      <c r="EJU5080" s="34">
        <v>2</v>
      </c>
      <c r="EJV5080" s="34">
        <v>2.5</v>
      </c>
      <c r="EJW5080" s="34">
        <v>3</v>
      </c>
      <c r="EJX5080" s="34">
        <v>3.5</v>
      </c>
      <c r="EJY5080" s="34">
        <v>4</v>
      </c>
      <c r="EJZ5080" s="34">
        <v>4.5</v>
      </c>
      <c r="EKA5080" s="34">
        <v>5</v>
      </c>
      <c r="EKC5080" s="913"/>
      <c r="EKD5080" s="31">
        <v>1</v>
      </c>
      <c r="EKE5080" s="34">
        <v>0</v>
      </c>
      <c r="EKF5080" s="34">
        <v>-1</v>
      </c>
      <c r="EKG5080" s="34">
        <v>-2</v>
      </c>
      <c r="EKH5080" s="34">
        <v>-3</v>
      </c>
      <c r="EKI5080" s="34">
        <v>-4</v>
      </c>
      <c r="EKJ5080" s="34">
        <v>-5</v>
      </c>
      <c r="EKK5080" s="908"/>
      <c r="EKL5080" s="909"/>
      <c r="EKM5080" s="34">
        <v>-5</v>
      </c>
      <c r="EKN5080" s="34">
        <v>-4.5</v>
      </c>
      <c r="EKO5080" s="34">
        <v>-4</v>
      </c>
      <c r="EKP5080" s="34">
        <v>-3.5</v>
      </c>
      <c r="EKQ5080" s="34">
        <v>-3</v>
      </c>
      <c r="EKR5080" s="34">
        <v>-2.5</v>
      </c>
      <c r="EKS5080" s="34">
        <v>-2</v>
      </c>
      <c r="EKT5080" s="34">
        <v>-1.5</v>
      </c>
      <c r="EKU5080" s="34">
        <v>-1</v>
      </c>
      <c r="EKV5080" s="34">
        <v>-0.5</v>
      </c>
      <c r="EKW5080" s="34">
        <v>0</v>
      </c>
      <c r="EKX5080" s="34">
        <v>0.5</v>
      </c>
      <c r="EKY5080" s="34">
        <v>1</v>
      </c>
      <c r="EKZ5080" s="34">
        <v>1.5</v>
      </c>
      <c r="ELA5080" s="34">
        <v>2</v>
      </c>
      <c r="ELB5080" s="34">
        <v>2.5</v>
      </c>
      <c r="ELC5080" s="34">
        <v>3</v>
      </c>
      <c r="ELD5080" s="34">
        <v>3.5</v>
      </c>
      <c r="ELE5080" s="34">
        <v>4</v>
      </c>
      <c r="ELF5080" s="34">
        <v>4.5</v>
      </c>
      <c r="ELG5080" s="34">
        <v>5</v>
      </c>
      <c r="ELI5080" s="913"/>
      <c r="ELJ5080" s="31">
        <v>1</v>
      </c>
      <c r="ELK5080" s="34">
        <v>0</v>
      </c>
      <c r="ELL5080" s="34">
        <v>-1</v>
      </c>
      <c r="ELM5080" s="34">
        <v>-2</v>
      </c>
      <c r="ELN5080" s="34">
        <v>-3</v>
      </c>
      <c r="ELO5080" s="34">
        <v>-4</v>
      </c>
      <c r="ELP5080" s="34">
        <v>-5</v>
      </c>
      <c r="ELQ5080" s="908"/>
      <c r="ELR5080" s="909"/>
      <c r="ELS5080" s="34">
        <v>-5</v>
      </c>
      <c r="ELT5080" s="34">
        <v>-4.5</v>
      </c>
      <c r="ELU5080" s="34">
        <v>-4</v>
      </c>
      <c r="ELV5080" s="34">
        <v>-3.5</v>
      </c>
      <c r="ELW5080" s="34">
        <v>-3</v>
      </c>
      <c r="ELX5080" s="34">
        <v>-2.5</v>
      </c>
      <c r="ELY5080" s="34">
        <v>-2</v>
      </c>
      <c r="ELZ5080" s="34">
        <v>-1.5</v>
      </c>
      <c r="EMA5080" s="34">
        <v>-1</v>
      </c>
      <c r="EMB5080" s="34">
        <v>-0.5</v>
      </c>
      <c r="EMC5080" s="34">
        <v>0</v>
      </c>
      <c r="EMD5080" s="34">
        <v>0.5</v>
      </c>
      <c r="EME5080" s="34">
        <v>1</v>
      </c>
      <c r="EMF5080" s="34">
        <v>1.5</v>
      </c>
      <c r="EMG5080" s="34">
        <v>2</v>
      </c>
      <c r="EMH5080" s="34">
        <v>2.5</v>
      </c>
      <c r="EMI5080" s="34">
        <v>3</v>
      </c>
      <c r="EMJ5080" s="34">
        <v>3.5</v>
      </c>
      <c r="EMK5080" s="34">
        <v>4</v>
      </c>
      <c r="EML5080" s="34">
        <v>4.5</v>
      </c>
      <c r="EMM5080" s="34">
        <v>5</v>
      </c>
      <c r="EMO5080" s="913"/>
      <c r="EMP5080" s="31">
        <v>1</v>
      </c>
      <c r="EMQ5080" s="34">
        <v>0</v>
      </c>
      <c r="EMR5080" s="34">
        <v>-1</v>
      </c>
      <c r="EMS5080" s="34">
        <v>-2</v>
      </c>
      <c r="EMT5080" s="34">
        <v>-3</v>
      </c>
      <c r="EMU5080" s="34">
        <v>-4</v>
      </c>
      <c r="EMV5080" s="34">
        <v>-5</v>
      </c>
      <c r="EMW5080" s="908"/>
      <c r="EMX5080" s="909"/>
      <c r="EMY5080" s="34">
        <v>-5</v>
      </c>
      <c r="EMZ5080" s="34">
        <v>-4.5</v>
      </c>
      <c r="ENA5080" s="34">
        <v>-4</v>
      </c>
      <c r="ENB5080" s="34">
        <v>-3.5</v>
      </c>
      <c r="ENC5080" s="34">
        <v>-3</v>
      </c>
      <c r="END5080" s="34">
        <v>-2.5</v>
      </c>
      <c r="ENE5080" s="34">
        <v>-2</v>
      </c>
      <c r="ENF5080" s="34">
        <v>-1.5</v>
      </c>
      <c r="ENG5080" s="34">
        <v>-1</v>
      </c>
      <c r="ENH5080" s="34">
        <v>-0.5</v>
      </c>
      <c r="ENI5080" s="34">
        <v>0</v>
      </c>
      <c r="ENJ5080" s="34">
        <v>0.5</v>
      </c>
      <c r="ENK5080" s="34">
        <v>1</v>
      </c>
      <c r="ENL5080" s="34">
        <v>1.5</v>
      </c>
      <c r="ENM5080" s="34">
        <v>2</v>
      </c>
      <c r="ENN5080" s="34">
        <v>2.5</v>
      </c>
      <c r="ENO5080" s="34">
        <v>3</v>
      </c>
      <c r="ENP5080" s="34">
        <v>3.5</v>
      </c>
      <c r="ENQ5080" s="34">
        <v>4</v>
      </c>
      <c r="ENR5080" s="34">
        <v>4.5</v>
      </c>
      <c r="ENS5080" s="34">
        <v>5</v>
      </c>
      <c r="ENU5080" s="913"/>
      <c r="ENV5080" s="31">
        <v>1</v>
      </c>
      <c r="ENW5080" s="34">
        <v>0</v>
      </c>
      <c r="ENX5080" s="34">
        <v>-1</v>
      </c>
      <c r="ENY5080" s="34">
        <v>-2</v>
      </c>
      <c r="ENZ5080" s="34">
        <v>-3</v>
      </c>
      <c r="EOA5080" s="34">
        <v>-4</v>
      </c>
      <c r="EOB5080" s="34">
        <v>-5</v>
      </c>
      <c r="EOC5080" s="908"/>
      <c r="EOD5080" s="909"/>
      <c r="EOE5080" s="34">
        <v>-5</v>
      </c>
      <c r="EOF5080" s="34">
        <v>-4.5</v>
      </c>
      <c r="EOG5080" s="34">
        <v>-4</v>
      </c>
      <c r="EOH5080" s="34">
        <v>-3.5</v>
      </c>
      <c r="EOI5080" s="34">
        <v>-3</v>
      </c>
      <c r="EOJ5080" s="34">
        <v>-2.5</v>
      </c>
      <c r="EOK5080" s="34">
        <v>-2</v>
      </c>
      <c r="EOL5080" s="34">
        <v>-1.5</v>
      </c>
      <c r="EOM5080" s="34">
        <v>-1</v>
      </c>
      <c r="EON5080" s="34">
        <v>-0.5</v>
      </c>
      <c r="EOO5080" s="34">
        <v>0</v>
      </c>
      <c r="EOP5080" s="34">
        <v>0.5</v>
      </c>
      <c r="EOQ5080" s="34">
        <v>1</v>
      </c>
      <c r="EOR5080" s="34">
        <v>1.5</v>
      </c>
      <c r="EOS5080" s="34">
        <v>2</v>
      </c>
      <c r="EOT5080" s="34">
        <v>2.5</v>
      </c>
      <c r="EOU5080" s="34">
        <v>3</v>
      </c>
      <c r="EOV5080" s="34">
        <v>3.5</v>
      </c>
      <c r="EOW5080" s="34">
        <v>4</v>
      </c>
      <c r="EOX5080" s="34">
        <v>4.5</v>
      </c>
      <c r="EOY5080" s="34">
        <v>5</v>
      </c>
      <c r="EPA5080" s="913"/>
      <c r="EPB5080" s="31">
        <v>1</v>
      </c>
      <c r="EPC5080" s="34">
        <v>0</v>
      </c>
      <c r="EPD5080" s="34">
        <v>-1</v>
      </c>
      <c r="EPE5080" s="34">
        <v>-2</v>
      </c>
      <c r="EPF5080" s="34">
        <v>-3</v>
      </c>
      <c r="EPG5080" s="34">
        <v>-4</v>
      </c>
      <c r="EPH5080" s="34">
        <v>-5</v>
      </c>
      <c r="EPI5080" s="908"/>
      <c r="EPJ5080" s="909"/>
      <c r="EPK5080" s="34">
        <v>-5</v>
      </c>
      <c r="EPL5080" s="34">
        <v>-4.5</v>
      </c>
      <c r="EPM5080" s="34">
        <v>-4</v>
      </c>
      <c r="EPN5080" s="34">
        <v>-3.5</v>
      </c>
      <c r="EPO5080" s="34">
        <v>-3</v>
      </c>
      <c r="EPP5080" s="34">
        <v>-2.5</v>
      </c>
      <c r="EPQ5080" s="34">
        <v>-2</v>
      </c>
      <c r="EPR5080" s="34">
        <v>-1.5</v>
      </c>
      <c r="EPS5080" s="34">
        <v>-1</v>
      </c>
      <c r="EPT5080" s="34">
        <v>-0.5</v>
      </c>
      <c r="EPU5080" s="34">
        <v>0</v>
      </c>
      <c r="EPV5080" s="34">
        <v>0.5</v>
      </c>
      <c r="EPW5080" s="34">
        <v>1</v>
      </c>
      <c r="EPX5080" s="34">
        <v>1.5</v>
      </c>
      <c r="EPY5080" s="34">
        <v>2</v>
      </c>
      <c r="EPZ5080" s="34">
        <v>2.5</v>
      </c>
      <c r="EQA5080" s="34">
        <v>3</v>
      </c>
      <c r="EQB5080" s="34">
        <v>3.5</v>
      </c>
      <c r="EQC5080" s="34">
        <v>4</v>
      </c>
      <c r="EQD5080" s="34">
        <v>4.5</v>
      </c>
      <c r="EQE5080" s="34">
        <v>5</v>
      </c>
      <c r="EQG5080" s="913"/>
      <c r="EQH5080" s="31">
        <v>1</v>
      </c>
      <c r="EQI5080" s="34">
        <v>0</v>
      </c>
      <c r="EQJ5080" s="34">
        <v>-1</v>
      </c>
      <c r="EQK5080" s="34">
        <v>-2</v>
      </c>
      <c r="EQL5080" s="34">
        <v>-3</v>
      </c>
      <c r="EQM5080" s="34">
        <v>-4</v>
      </c>
      <c r="EQN5080" s="34">
        <v>-5</v>
      </c>
      <c r="EQO5080" s="908"/>
      <c r="EQP5080" s="909"/>
      <c r="EQQ5080" s="34">
        <v>-5</v>
      </c>
      <c r="EQR5080" s="34">
        <v>-4.5</v>
      </c>
      <c r="EQS5080" s="34">
        <v>-4</v>
      </c>
      <c r="EQT5080" s="34">
        <v>-3.5</v>
      </c>
      <c r="EQU5080" s="34">
        <v>-3</v>
      </c>
      <c r="EQV5080" s="34">
        <v>-2.5</v>
      </c>
      <c r="EQW5080" s="34">
        <v>-2</v>
      </c>
      <c r="EQX5080" s="34">
        <v>-1.5</v>
      </c>
      <c r="EQY5080" s="34">
        <v>-1</v>
      </c>
      <c r="EQZ5080" s="34">
        <v>-0.5</v>
      </c>
      <c r="ERA5080" s="34">
        <v>0</v>
      </c>
      <c r="ERB5080" s="34">
        <v>0.5</v>
      </c>
      <c r="ERC5080" s="34">
        <v>1</v>
      </c>
      <c r="ERD5080" s="34">
        <v>1.5</v>
      </c>
      <c r="ERE5080" s="34">
        <v>2</v>
      </c>
      <c r="ERF5080" s="34">
        <v>2.5</v>
      </c>
      <c r="ERG5080" s="34">
        <v>3</v>
      </c>
      <c r="ERH5080" s="34">
        <v>3.5</v>
      </c>
      <c r="ERI5080" s="34">
        <v>4</v>
      </c>
      <c r="ERJ5080" s="34">
        <v>4.5</v>
      </c>
      <c r="ERK5080" s="34">
        <v>5</v>
      </c>
      <c r="ERM5080" s="913"/>
      <c r="ERN5080" s="31">
        <v>1</v>
      </c>
      <c r="ERO5080" s="34">
        <v>0</v>
      </c>
      <c r="ERP5080" s="34">
        <v>-1</v>
      </c>
      <c r="ERQ5080" s="34">
        <v>-2</v>
      </c>
      <c r="ERR5080" s="34">
        <v>-3</v>
      </c>
      <c r="ERS5080" s="34">
        <v>-4</v>
      </c>
      <c r="ERT5080" s="34">
        <v>-5</v>
      </c>
      <c r="ERU5080" s="908"/>
      <c r="ERV5080" s="909"/>
      <c r="ERW5080" s="34">
        <v>-5</v>
      </c>
      <c r="ERX5080" s="34">
        <v>-4.5</v>
      </c>
      <c r="ERY5080" s="34">
        <v>-4</v>
      </c>
      <c r="ERZ5080" s="34">
        <v>-3.5</v>
      </c>
      <c r="ESA5080" s="34">
        <v>-3</v>
      </c>
      <c r="ESB5080" s="34">
        <v>-2.5</v>
      </c>
      <c r="ESC5080" s="34">
        <v>-2</v>
      </c>
      <c r="ESD5080" s="34">
        <v>-1.5</v>
      </c>
      <c r="ESE5080" s="34">
        <v>-1</v>
      </c>
      <c r="ESF5080" s="34">
        <v>-0.5</v>
      </c>
      <c r="ESG5080" s="34">
        <v>0</v>
      </c>
      <c r="ESH5080" s="34">
        <v>0.5</v>
      </c>
      <c r="ESI5080" s="34">
        <v>1</v>
      </c>
      <c r="ESJ5080" s="34">
        <v>1.5</v>
      </c>
      <c r="ESK5080" s="34">
        <v>2</v>
      </c>
      <c r="ESL5080" s="34">
        <v>2.5</v>
      </c>
      <c r="ESM5080" s="34">
        <v>3</v>
      </c>
      <c r="ESN5080" s="34">
        <v>3.5</v>
      </c>
      <c r="ESO5080" s="34">
        <v>4</v>
      </c>
      <c r="ESP5080" s="34">
        <v>4.5</v>
      </c>
      <c r="ESQ5080" s="34">
        <v>5</v>
      </c>
      <c r="ESS5080" s="913"/>
      <c r="EST5080" s="31">
        <v>1</v>
      </c>
      <c r="ESU5080" s="34">
        <v>0</v>
      </c>
      <c r="ESV5080" s="34">
        <v>-1</v>
      </c>
      <c r="ESW5080" s="34">
        <v>-2</v>
      </c>
      <c r="ESX5080" s="34">
        <v>-3</v>
      </c>
      <c r="ESY5080" s="34">
        <v>-4</v>
      </c>
      <c r="ESZ5080" s="34">
        <v>-5</v>
      </c>
      <c r="ETA5080" s="908"/>
      <c r="ETB5080" s="909"/>
      <c r="ETC5080" s="34">
        <v>-5</v>
      </c>
      <c r="ETD5080" s="34">
        <v>-4.5</v>
      </c>
      <c r="ETE5080" s="34">
        <v>-4</v>
      </c>
      <c r="ETF5080" s="34">
        <v>-3.5</v>
      </c>
      <c r="ETG5080" s="34">
        <v>-3</v>
      </c>
      <c r="ETH5080" s="34">
        <v>-2.5</v>
      </c>
      <c r="ETI5080" s="34">
        <v>-2</v>
      </c>
      <c r="ETJ5080" s="34">
        <v>-1.5</v>
      </c>
      <c r="ETK5080" s="34">
        <v>-1</v>
      </c>
      <c r="ETL5080" s="34">
        <v>-0.5</v>
      </c>
      <c r="ETM5080" s="34">
        <v>0</v>
      </c>
      <c r="ETN5080" s="34">
        <v>0.5</v>
      </c>
      <c r="ETO5080" s="34">
        <v>1</v>
      </c>
      <c r="ETP5080" s="34">
        <v>1.5</v>
      </c>
      <c r="ETQ5080" s="34">
        <v>2</v>
      </c>
      <c r="ETR5080" s="34">
        <v>2.5</v>
      </c>
      <c r="ETS5080" s="34">
        <v>3</v>
      </c>
      <c r="ETT5080" s="34">
        <v>3.5</v>
      </c>
      <c r="ETU5080" s="34">
        <v>4</v>
      </c>
      <c r="ETV5080" s="34">
        <v>4.5</v>
      </c>
      <c r="ETW5080" s="34">
        <v>5</v>
      </c>
      <c r="ETY5080" s="913"/>
      <c r="ETZ5080" s="31">
        <v>1</v>
      </c>
      <c r="EUA5080" s="34">
        <v>0</v>
      </c>
      <c r="EUB5080" s="34">
        <v>-1</v>
      </c>
      <c r="EUC5080" s="34">
        <v>-2</v>
      </c>
      <c r="EUD5080" s="34">
        <v>-3</v>
      </c>
      <c r="EUE5080" s="34">
        <v>-4</v>
      </c>
      <c r="EUF5080" s="34">
        <v>-5</v>
      </c>
      <c r="EUG5080" s="908"/>
      <c r="EUH5080" s="909"/>
      <c r="EUI5080" s="34">
        <v>-5</v>
      </c>
      <c r="EUJ5080" s="34">
        <v>-4.5</v>
      </c>
      <c r="EUK5080" s="34">
        <v>-4</v>
      </c>
      <c r="EUL5080" s="34">
        <v>-3.5</v>
      </c>
      <c r="EUM5080" s="34">
        <v>-3</v>
      </c>
      <c r="EUN5080" s="34">
        <v>-2.5</v>
      </c>
      <c r="EUO5080" s="34">
        <v>-2</v>
      </c>
      <c r="EUP5080" s="34">
        <v>-1.5</v>
      </c>
      <c r="EUQ5080" s="34">
        <v>-1</v>
      </c>
      <c r="EUR5080" s="34">
        <v>-0.5</v>
      </c>
      <c r="EUS5080" s="34">
        <v>0</v>
      </c>
      <c r="EUT5080" s="34">
        <v>0.5</v>
      </c>
      <c r="EUU5080" s="34">
        <v>1</v>
      </c>
      <c r="EUV5080" s="34">
        <v>1.5</v>
      </c>
      <c r="EUW5080" s="34">
        <v>2</v>
      </c>
      <c r="EUX5080" s="34">
        <v>2.5</v>
      </c>
      <c r="EUY5080" s="34">
        <v>3</v>
      </c>
      <c r="EUZ5080" s="34">
        <v>3.5</v>
      </c>
      <c r="EVA5080" s="34">
        <v>4</v>
      </c>
      <c r="EVB5080" s="34">
        <v>4.5</v>
      </c>
      <c r="EVC5080" s="34">
        <v>5</v>
      </c>
      <c r="EVE5080" s="913"/>
      <c r="EVF5080" s="31">
        <v>1</v>
      </c>
      <c r="EVG5080" s="34">
        <v>0</v>
      </c>
      <c r="EVH5080" s="34">
        <v>-1</v>
      </c>
      <c r="EVI5080" s="34">
        <v>-2</v>
      </c>
      <c r="EVJ5080" s="34">
        <v>-3</v>
      </c>
      <c r="EVK5080" s="34">
        <v>-4</v>
      </c>
      <c r="EVL5080" s="34">
        <v>-5</v>
      </c>
      <c r="EVM5080" s="908"/>
      <c r="EVN5080" s="909"/>
      <c r="EVO5080" s="34">
        <v>-5</v>
      </c>
      <c r="EVP5080" s="34">
        <v>-4.5</v>
      </c>
      <c r="EVQ5080" s="34">
        <v>-4</v>
      </c>
      <c r="EVR5080" s="34">
        <v>-3.5</v>
      </c>
      <c r="EVS5080" s="34">
        <v>-3</v>
      </c>
      <c r="EVT5080" s="34">
        <v>-2.5</v>
      </c>
      <c r="EVU5080" s="34">
        <v>-2</v>
      </c>
      <c r="EVV5080" s="34">
        <v>-1.5</v>
      </c>
      <c r="EVW5080" s="34">
        <v>-1</v>
      </c>
      <c r="EVX5080" s="34">
        <v>-0.5</v>
      </c>
      <c r="EVY5080" s="34">
        <v>0</v>
      </c>
      <c r="EVZ5080" s="34">
        <v>0.5</v>
      </c>
      <c r="EWA5080" s="34">
        <v>1</v>
      </c>
      <c r="EWB5080" s="34">
        <v>1.5</v>
      </c>
      <c r="EWC5080" s="34">
        <v>2</v>
      </c>
      <c r="EWD5080" s="34">
        <v>2.5</v>
      </c>
      <c r="EWE5080" s="34">
        <v>3</v>
      </c>
      <c r="EWF5080" s="34">
        <v>3.5</v>
      </c>
      <c r="EWG5080" s="34">
        <v>4</v>
      </c>
      <c r="EWH5080" s="34">
        <v>4.5</v>
      </c>
      <c r="EWI5080" s="34">
        <v>5</v>
      </c>
      <c r="EWK5080" s="913"/>
      <c r="EWL5080" s="31">
        <v>1</v>
      </c>
      <c r="EWM5080" s="34">
        <v>0</v>
      </c>
      <c r="EWN5080" s="34">
        <v>-1</v>
      </c>
      <c r="EWO5080" s="34">
        <v>-2</v>
      </c>
      <c r="EWP5080" s="34">
        <v>-3</v>
      </c>
      <c r="EWQ5080" s="34">
        <v>-4</v>
      </c>
      <c r="EWR5080" s="34">
        <v>-5</v>
      </c>
      <c r="EWS5080" s="908"/>
      <c r="EWT5080" s="909"/>
      <c r="EWU5080" s="34">
        <v>-5</v>
      </c>
      <c r="EWV5080" s="34">
        <v>-4.5</v>
      </c>
      <c r="EWW5080" s="34">
        <v>-4</v>
      </c>
      <c r="EWX5080" s="34">
        <v>-3.5</v>
      </c>
      <c r="EWY5080" s="34">
        <v>-3</v>
      </c>
      <c r="EWZ5080" s="34">
        <v>-2.5</v>
      </c>
      <c r="EXA5080" s="34">
        <v>-2</v>
      </c>
      <c r="EXB5080" s="34">
        <v>-1.5</v>
      </c>
      <c r="EXC5080" s="34">
        <v>-1</v>
      </c>
      <c r="EXD5080" s="34">
        <v>-0.5</v>
      </c>
      <c r="EXE5080" s="34">
        <v>0</v>
      </c>
      <c r="EXF5080" s="34">
        <v>0.5</v>
      </c>
      <c r="EXG5080" s="34">
        <v>1</v>
      </c>
      <c r="EXH5080" s="34">
        <v>1.5</v>
      </c>
      <c r="EXI5080" s="34">
        <v>2</v>
      </c>
      <c r="EXJ5080" s="34">
        <v>2.5</v>
      </c>
      <c r="EXK5080" s="34">
        <v>3</v>
      </c>
      <c r="EXL5080" s="34">
        <v>3.5</v>
      </c>
      <c r="EXM5080" s="34">
        <v>4</v>
      </c>
      <c r="EXN5080" s="34">
        <v>4.5</v>
      </c>
      <c r="EXO5080" s="34">
        <v>5</v>
      </c>
      <c r="EXQ5080" s="913"/>
      <c r="EXR5080" s="31">
        <v>1</v>
      </c>
      <c r="EXS5080" s="34">
        <v>0</v>
      </c>
      <c r="EXT5080" s="34">
        <v>-1</v>
      </c>
      <c r="EXU5080" s="34">
        <v>-2</v>
      </c>
      <c r="EXV5080" s="34">
        <v>-3</v>
      </c>
      <c r="EXW5080" s="34">
        <v>-4</v>
      </c>
      <c r="EXX5080" s="34">
        <v>-5</v>
      </c>
      <c r="EXY5080" s="908"/>
      <c r="EXZ5080" s="909"/>
      <c r="EYA5080" s="34">
        <v>-5</v>
      </c>
      <c r="EYB5080" s="34">
        <v>-4.5</v>
      </c>
      <c r="EYC5080" s="34">
        <v>-4</v>
      </c>
      <c r="EYD5080" s="34">
        <v>-3.5</v>
      </c>
      <c r="EYE5080" s="34">
        <v>-3</v>
      </c>
      <c r="EYF5080" s="34">
        <v>-2.5</v>
      </c>
      <c r="EYG5080" s="34">
        <v>-2</v>
      </c>
      <c r="EYH5080" s="34">
        <v>-1.5</v>
      </c>
      <c r="EYI5080" s="34">
        <v>-1</v>
      </c>
      <c r="EYJ5080" s="34">
        <v>-0.5</v>
      </c>
      <c r="EYK5080" s="34">
        <v>0</v>
      </c>
      <c r="EYL5080" s="34">
        <v>0.5</v>
      </c>
      <c r="EYM5080" s="34">
        <v>1</v>
      </c>
      <c r="EYN5080" s="34">
        <v>1.5</v>
      </c>
      <c r="EYO5080" s="34">
        <v>2</v>
      </c>
      <c r="EYP5080" s="34">
        <v>2.5</v>
      </c>
      <c r="EYQ5080" s="34">
        <v>3</v>
      </c>
      <c r="EYR5080" s="34">
        <v>3.5</v>
      </c>
      <c r="EYS5080" s="34">
        <v>4</v>
      </c>
      <c r="EYT5080" s="34">
        <v>4.5</v>
      </c>
      <c r="EYU5080" s="34">
        <v>5</v>
      </c>
      <c r="EYW5080" s="913"/>
      <c r="EYX5080" s="31">
        <v>1</v>
      </c>
      <c r="EYY5080" s="34">
        <v>0</v>
      </c>
      <c r="EYZ5080" s="34">
        <v>-1</v>
      </c>
      <c r="EZA5080" s="34">
        <v>-2</v>
      </c>
      <c r="EZB5080" s="34">
        <v>-3</v>
      </c>
      <c r="EZC5080" s="34">
        <v>-4</v>
      </c>
      <c r="EZD5080" s="34">
        <v>-5</v>
      </c>
      <c r="EZE5080" s="908"/>
      <c r="EZF5080" s="909"/>
      <c r="EZG5080" s="34">
        <v>-5</v>
      </c>
      <c r="EZH5080" s="34">
        <v>-4.5</v>
      </c>
      <c r="EZI5080" s="34">
        <v>-4</v>
      </c>
      <c r="EZJ5080" s="34">
        <v>-3.5</v>
      </c>
      <c r="EZK5080" s="34">
        <v>-3</v>
      </c>
      <c r="EZL5080" s="34">
        <v>-2.5</v>
      </c>
      <c r="EZM5080" s="34">
        <v>-2</v>
      </c>
      <c r="EZN5080" s="34">
        <v>-1.5</v>
      </c>
      <c r="EZO5080" s="34">
        <v>-1</v>
      </c>
      <c r="EZP5080" s="34">
        <v>-0.5</v>
      </c>
      <c r="EZQ5080" s="34">
        <v>0</v>
      </c>
      <c r="EZR5080" s="34">
        <v>0.5</v>
      </c>
      <c r="EZS5080" s="34">
        <v>1</v>
      </c>
      <c r="EZT5080" s="34">
        <v>1.5</v>
      </c>
      <c r="EZU5080" s="34">
        <v>2</v>
      </c>
      <c r="EZV5080" s="34">
        <v>2.5</v>
      </c>
      <c r="EZW5080" s="34">
        <v>3</v>
      </c>
      <c r="EZX5080" s="34">
        <v>3.5</v>
      </c>
      <c r="EZY5080" s="34">
        <v>4</v>
      </c>
      <c r="EZZ5080" s="34">
        <v>4.5</v>
      </c>
      <c r="FAA5080" s="34">
        <v>5</v>
      </c>
      <c r="FAC5080" s="913"/>
      <c r="FAD5080" s="31">
        <v>1</v>
      </c>
      <c r="FAE5080" s="34">
        <v>0</v>
      </c>
      <c r="FAF5080" s="34">
        <v>-1</v>
      </c>
      <c r="FAG5080" s="34">
        <v>-2</v>
      </c>
      <c r="FAH5080" s="34">
        <v>-3</v>
      </c>
      <c r="FAI5080" s="34">
        <v>-4</v>
      </c>
      <c r="FAJ5080" s="34">
        <v>-5</v>
      </c>
      <c r="FAK5080" s="908"/>
      <c r="FAL5080" s="909"/>
      <c r="FAM5080" s="34">
        <v>-5</v>
      </c>
      <c r="FAN5080" s="34">
        <v>-4.5</v>
      </c>
      <c r="FAO5080" s="34">
        <v>-4</v>
      </c>
      <c r="FAP5080" s="34">
        <v>-3.5</v>
      </c>
      <c r="FAQ5080" s="34">
        <v>-3</v>
      </c>
      <c r="FAR5080" s="34">
        <v>-2.5</v>
      </c>
      <c r="FAS5080" s="34">
        <v>-2</v>
      </c>
      <c r="FAT5080" s="34">
        <v>-1.5</v>
      </c>
      <c r="FAU5080" s="34">
        <v>-1</v>
      </c>
      <c r="FAV5080" s="34">
        <v>-0.5</v>
      </c>
      <c r="FAW5080" s="34">
        <v>0</v>
      </c>
      <c r="FAX5080" s="34">
        <v>0.5</v>
      </c>
      <c r="FAY5080" s="34">
        <v>1</v>
      </c>
      <c r="FAZ5080" s="34">
        <v>1.5</v>
      </c>
      <c r="FBA5080" s="34">
        <v>2</v>
      </c>
      <c r="FBB5080" s="34">
        <v>2.5</v>
      </c>
      <c r="FBC5080" s="34">
        <v>3</v>
      </c>
      <c r="FBD5080" s="34">
        <v>3.5</v>
      </c>
      <c r="FBE5080" s="34">
        <v>4</v>
      </c>
      <c r="FBF5080" s="34">
        <v>4.5</v>
      </c>
      <c r="FBG5080" s="34">
        <v>5</v>
      </c>
      <c r="FBI5080" s="913"/>
      <c r="FBJ5080" s="31">
        <v>1</v>
      </c>
      <c r="FBK5080" s="34">
        <v>0</v>
      </c>
      <c r="FBL5080" s="34">
        <v>-1</v>
      </c>
      <c r="FBM5080" s="34">
        <v>-2</v>
      </c>
      <c r="FBN5080" s="34">
        <v>-3</v>
      </c>
      <c r="FBO5080" s="34">
        <v>-4</v>
      </c>
      <c r="FBP5080" s="34">
        <v>-5</v>
      </c>
      <c r="FBQ5080" s="908"/>
      <c r="FBR5080" s="909"/>
      <c r="FBS5080" s="34">
        <v>-5</v>
      </c>
      <c r="FBT5080" s="34">
        <v>-4.5</v>
      </c>
      <c r="FBU5080" s="34">
        <v>-4</v>
      </c>
      <c r="FBV5080" s="34">
        <v>-3.5</v>
      </c>
      <c r="FBW5080" s="34">
        <v>-3</v>
      </c>
      <c r="FBX5080" s="34">
        <v>-2.5</v>
      </c>
      <c r="FBY5080" s="34">
        <v>-2</v>
      </c>
      <c r="FBZ5080" s="34">
        <v>-1.5</v>
      </c>
      <c r="FCA5080" s="34">
        <v>-1</v>
      </c>
      <c r="FCB5080" s="34">
        <v>-0.5</v>
      </c>
      <c r="FCC5080" s="34">
        <v>0</v>
      </c>
      <c r="FCD5080" s="34">
        <v>0.5</v>
      </c>
      <c r="FCE5080" s="34">
        <v>1</v>
      </c>
      <c r="FCF5080" s="34">
        <v>1.5</v>
      </c>
      <c r="FCG5080" s="34">
        <v>2</v>
      </c>
      <c r="FCH5080" s="34">
        <v>2.5</v>
      </c>
      <c r="FCI5080" s="34">
        <v>3</v>
      </c>
      <c r="FCJ5080" s="34">
        <v>3.5</v>
      </c>
      <c r="FCK5080" s="34">
        <v>4</v>
      </c>
      <c r="FCL5080" s="34">
        <v>4.5</v>
      </c>
      <c r="FCM5080" s="34">
        <v>5</v>
      </c>
      <c r="FCO5080" s="913"/>
      <c r="FCP5080" s="31">
        <v>1</v>
      </c>
      <c r="FCQ5080" s="34">
        <v>0</v>
      </c>
      <c r="FCR5080" s="34">
        <v>-1</v>
      </c>
      <c r="FCS5080" s="34">
        <v>-2</v>
      </c>
      <c r="FCT5080" s="34">
        <v>-3</v>
      </c>
      <c r="FCU5080" s="34">
        <v>-4</v>
      </c>
      <c r="FCV5080" s="34">
        <v>-5</v>
      </c>
      <c r="FCW5080" s="908"/>
      <c r="FCX5080" s="909"/>
      <c r="FCY5080" s="34">
        <v>-5</v>
      </c>
      <c r="FCZ5080" s="34">
        <v>-4.5</v>
      </c>
      <c r="FDA5080" s="34">
        <v>-4</v>
      </c>
      <c r="FDB5080" s="34">
        <v>-3.5</v>
      </c>
      <c r="FDC5080" s="34">
        <v>-3</v>
      </c>
      <c r="FDD5080" s="34">
        <v>-2.5</v>
      </c>
      <c r="FDE5080" s="34">
        <v>-2</v>
      </c>
      <c r="FDF5080" s="34">
        <v>-1.5</v>
      </c>
      <c r="FDG5080" s="34">
        <v>-1</v>
      </c>
      <c r="FDH5080" s="34">
        <v>-0.5</v>
      </c>
      <c r="FDI5080" s="34">
        <v>0</v>
      </c>
      <c r="FDJ5080" s="34">
        <v>0.5</v>
      </c>
      <c r="FDK5080" s="34">
        <v>1</v>
      </c>
      <c r="FDL5080" s="34">
        <v>1.5</v>
      </c>
      <c r="FDM5080" s="34">
        <v>2</v>
      </c>
      <c r="FDN5080" s="34">
        <v>2.5</v>
      </c>
      <c r="FDO5080" s="34">
        <v>3</v>
      </c>
      <c r="FDP5080" s="34">
        <v>3.5</v>
      </c>
      <c r="FDQ5080" s="34">
        <v>4</v>
      </c>
      <c r="FDR5080" s="34">
        <v>4.5</v>
      </c>
      <c r="FDS5080" s="34">
        <v>5</v>
      </c>
      <c r="FDU5080" s="913"/>
      <c r="FDV5080" s="31">
        <v>1</v>
      </c>
      <c r="FDW5080" s="34">
        <v>0</v>
      </c>
      <c r="FDX5080" s="34">
        <v>-1</v>
      </c>
      <c r="FDY5080" s="34">
        <v>-2</v>
      </c>
      <c r="FDZ5080" s="34">
        <v>-3</v>
      </c>
      <c r="FEA5080" s="34">
        <v>-4</v>
      </c>
      <c r="FEB5080" s="34">
        <v>-5</v>
      </c>
      <c r="FEC5080" s="908"/>
      <c r="FED5080" s="909"/>
      <c r="FEE5080" s="34">
        <v>-5</v>
      </c>
      <c r="FEF5080" s="34">
        <v>-4.5</v>
      </c>
      <c r="FEG5080" s="34">
        <v>-4</v>
      </c>
      <c r="FEH5080" s="34">
        <v>-3.5</v>
      </c>
      <c r="FEI5080" s="34">
        <v>-3</v>
      </c>
      <c r="FEJ5080" s="34">
        <v>-2.5</v>
      </c>
      <c r="FEK5080" s="34">
        <v>-2</v>
      </c>
      <c r="FEL5080" s="34">
        <v>-1.5</v>
      </c>
      <c r="FEM5080" s="34">
        <v>-1</v>
      </c>
      <c r="FEN5080" s="34">
        <v>-0.5</v>
      </c>
      <c r="FEO5080" s="34">
        <v>0</v>
      </c>
      <c r="FEP5080" s="34">
        <v>0.5</v>
      </c>
      <c r="FEQ5080" s="34">
        <v>1</v>
      </c>
      <c r="FER5080" s="34">
        <v>1.5</v>
      </c>
      <c r="FES5080" s="34">
        <v>2</v>
      </c>
      <c r="FET5080" s="34">
        <v>2.5</v>
      </c>
      <c r="FEU5080" s="34">
        <v>3</v>
      </c>
      <c r="FEV5080" s="34">
        <v>3.5</v>
      </c>
      <c r="FEW5080" s="34">
        <v>4</v>
      </c>
      <c r="FEX5080" s="34">
        <v>4.5</v>
      </c>
      <c r="FEY5080" s="34">
        <v>5</v>
      </c>
      <c r="FFA5080" s="913"/>
      <c r="FFB5080" s="31">
        <v>1</v>
      </c>
      <c r="FFC5080" s="34">
        <v>0</v>
      </c>
      <c r="FFD5080" s="34">
        <v>-1</v>
      </c>
      <c r="FFE5080" s="34">
        <v>-2</v>
      </c>
      <c r="FFF5080" s="34">
        <v>-3</v>
      </c>
      <c r="FFG5080" s="34">
        <v>-4</v>
      </c>
      <c r="FFH5080" s="34">
        <v>-5</v>
      </c>
      <c r="FFI5080" s="908"/>
      <c r="FFJ5080" s="909"/>
      <c r="FFK5080" s="34">
        <v>-5</v>
      </c>
      <c r="FFL5080" s="34">
        <v>-4.5</v>
      </c>
      <c r="FFM5080" s="34">
        <v>-4</v>
      </c>
      <c r="FFN5080" s="34">
        <v>-3.5</v>
      </c>
      <c r="FFO5080" s="34">
        <v>-3</v>
      </c>
      <c r="FFP5080" s="34">
        <v>-2.5</v>
      </c>
      <c r="FFQ5080" s="34">
        <v>-2</v>
      </c>
      <c r="FFR5080" s="34">
        <v>-1.5</v>
      </c>
      <c r="FFS5080" s="34">
        <v>-1</v>
      </c>
      <c r="FFT5080" s="34">
        <v>-0.5</v>
      </c>
      <c r="FFU5080" s="34">
        <v>0</v>
      </c>
      <c r="FFV5080" s="34">
        <v>0.5</v>
      </c>
      <c r="FFW5080" s="34">
        <v>1</v>
      </c>
      <c r="FFX5080" s="34">
        <v>1.5</v>
      </c>
      <c r="FFY5080" s="34">
        <v>2</v>
      </c>
      <c r="FFZ5080" s="34">
        <v>2.5</v>
      </c>
      <c r="FGA5080" s="34">
        <v>3</v>
      </c>
      <c r="FGB5080" s="34">
        <v>3.5</v>
      </c>
      <c r="FGC5080" s="34">
        <v>4</v>
      </c>
      <c r="FGD5080" s="34">
        <v>4.5</v>
      </c>
      <c r="FGE5080" s="34">
        <v>5</v>
      </c>
      <c r="FGG5080" s="913"/>
      <c r="FGH5080" s="31">
        <v>1</v>
      </c>
      <c r="FGI5080" s="34">
        <v>0</v>
      </c>
      <c r="FGJ5080" s="34">
        <v>-1</v>
      </c>
      <c r="FGK5080" s="34">
        <v>-2</v>
      </c>
      <c r="FGL5080" s="34">
        <v>-3</v>
      </c>
      <c r="FGM5080" s="34">
        <v>-4</v>
      </c>
      <c r="FGN5080" s="34">
        <v>-5</v>
      </c>
      <c r="FGO5080" s="908"/>
      <c r="FGP5080" s="909"/>
      <c r="FGQ5080" s="34">
        <v>-5</v>
      </c>
      <c r="FGR5080" s="34">
        <v>-4.5</v>
      </c>
      <c r="FGS5080" s="34">
        <v>-4</v>
      </c>
      <c r="FGT5080" s="34">
        <v>-3.5</v>
      </c>
      <c r="FGU5080" s="34">
        <v>-3</v>
      </c>
      <c r="FGV5080" s="34">
        <v>-2.5</v>
      </c>
      <c r="FGW5080" s="34">
        <v>-2</v>
      </c>
      <c r="FGX5080" s="34">
        <v>-1.5</v>
      </c>
      <c r="FGY5080" s="34">
        <v>-1</v>
      </c>
      <c r="FGZ5080" s="34">
        <v>-0.5</v>
      </c>
      <c r="FHA5080" s="34">
        <v>0</v>
      </c>
      <c r="FHB5080" s="34">
        <v>0.5</v>
      </c>
      <c r="FHC5080" s="34">
        <v>1</v>
      </c>
      <c r="FHD5080" s="34">
        <v>1.5</v>
      </c>
      <c r="FHE5080" s="34">
        <v>2</v>
      </c>
      <c r="FHF5080" s="34">
        <v>2.5</v>
      </c>
      <c r="FHG5080" s="34">
        <v>3</v>
      </c>
      <c r="FHH5080" s="34">
        <v>3.5</v>
      </c>
      <c r="FHI5080" s="34">
        <v>4</v>
      </c>
      <c r="FHJ5080" s="34">
        <v>4.5</v>
      </c>
      <c r="FHK5080" s="34">
        <v>5</v>
      </c>
      <c r="FHM5080" s="913"/>
      <c r="FHN5080" s="31">
        <v>1</v>
      </c>
      <c r="FHO5080" s="34">
        <v>0</v>
      </c>
      <c r="FHP5080" s="34">
        <v>-1</v>
      </c>
      <c r="FHQ5080" s="34">
        <v>-2</v>
      </c>
      <c r="FHR5080" s="34">
        <v>-3</v>
      </c>
      <c r="FHS5080" s="34">
        <v>-4</v>
      </c>
      <c r="FHT5080" s="34">
        <v>-5</v>
      </c>
      <c r="FHU5080" s="908"/>
      <c r="FHV5080" s="909"/>
      <c r="FHW5080" s="34">
        <v>-5</v>
      </c>
      <c r="FHX5080" s="34">
        <v>-4.5</v>
      </c>
      <c r="FHY5080" s="34">
        <v>-4</v>
      </c>
      <c r="FHZ5080" s="34">
        <v>-3.5</v>
      </c>
      <c r="FIA5080" s="34">
        <v>-3</v>
      </c>
      <c r="FIB5080" s="34">
        <v>-2.5</v>
      </c>
      <c r="FIC5080" s="34">
        <v>-2</v>
      </c>
      <c r="FID5080" s="34">
        <v>-1.5</v>
      </c>
      <c r="FIE5080" s="34">
        <v>-1</v>
      </c>
      <c r="FIF5080" s="34">
        <v>-0.5</v>
      </c>
      <c r="FIG5080" s="34">
        <v>0</v>
      </c>
      <c r="FIH5080" s="34">
        <v>0.5</v>
      </c>
      <c r="FII5080" s="34">
        <v>1</v>
      </c>
      <c r="FIJ5080" s="34">
        <v>1.5</v>
      </c>
      <c r="FIK5080" s="34">
        <v>2</v>
      </c>
      <c r="FIL5080" s="34">
        <v>2.5</v>
      </c>
      <c r="FIM5080" s="34">
        <v>3</v>
      </c>
      <c r="FIN5080" s="34">
        <v>3.5</v>
      </c>
      <c r="FIO5080" s="34">
        <v>4</v>
      </c>
      <c r="FIP5080" s="34">
        <v>4.5</v>
      </c>
      <c r="FIQ5080" s="34">
        <v>5</v>
      </c>
      <c r="FIS5080" s="913"/>
      <c r="FIT5080" s="31">
        <v>1</v>
      </c>
      <c r="FIU5080" s="34">
        <v>0</v>
      </c>
      <c r="FIV5080" s="34">
        <v>-1</v>
      </c>
      <c r="FIW5080" s="34">
        <v>-2</v>
      </c>
      <c r="FIX5080" s="34">
        <v>-3</v>
      </c>
      <c r="FIY5080" s="34">
        <v>-4</v>
      </c>
      <c r="FIZ5080" s="34">
        <v>-5</v>
      </c>
      <c r="FJA5080" s="908"/>
      <c r="FJB5080" s="909"/>
      <c r="FJC5080" s="34">
        <v>-5</v>
      </c>
      <c r="FJD5080" s="34">
        <v>-4.5</v>
      </c>
      <c r="FJE5080" s="34">
        <v>-4</v>
      </c>
      <c r="FJF5080" s="34">
        <v>-3.5</v>
      </c>
      <c r="FJG5080" s="34">
        <v>-3</v>
      </c>
      <c r="FJH5080" s="34">
        <v>-2.5</v>
      </c>
      <c r="FJI5080" s="34">
        <v>-2</v>
      </c>
      <c r="FJJ5080" s="34">
        <v>-1.5</v>
      </c>
      <c r="FJK5080" s="34">
        <v>-1</v>
      </c>
      <c r="FJL5080" s="34">
        <v>-0.5</v>
      </c>
      <c r="FJM5080" s="34">
        <v>0</v>
      </c>
      <c r="FJN5080" s="34">
        <v>0.5</v>
      </c>
      <c r="FJO5080" s="34">
        <v>1</v>
      </c>
      <c r="FJP5080" s="34">
        <v>1.5</v>
      </c>
      <c r="FJQ5080" s="34">
        <v>2</v>
      </c>
      <c r="FJR5080" s="34">
        <v>2.5</v>
      </c>
      <c r="FJS5080" s="34">
        <v>3</v>
      </c>
      <c r="FJT5080" s="34">
        <v>3.5</v>
      </c>
      <c r="FJU5080" s="34">
        <v>4</v>
      </c>
      <c r="FJV5080" s="34">
        <v>4.5</v>
      </c>
      <c r="FJW5080" s="34">
        <v>5</v>
      </c>
      <c r="FJY5080" s="913"/>
      <c r="FJZ5080" s="31">
        <v>1</v>
      </c>
      <c r="FKA5080" s="34">
        <v>0</v>
      </c>
      <c r="FKB5080" s="34">
        <v>-1</v>
      </c>
      <c r="FKC5080" s="34">
        <v>-2</v>
      </c>
      <c r="FKD5080" s="34">
        <v>-3</v>
      </c>
      <c r="FKE5080" s="34">
        <v>-4</v>
      </c>
      <c r="FKF5080" s="34">
        <v>-5</v>
      </c>
      <c r="FKG5080" s="908"/>
      <c r="FKH5080" s="909"/>
      <c r="FKI5080" s="34">
        <v>-5</v>
      </c>
      <c r="FKJ5080" s="34">
        <v>-4.5</v>
      </c>
      <c r="FKK5080" s="34">
        <v>-4</v>
      </c>
      <c r="FKL5080" s="34">
        <v>-3.5</v>
      </c>
      <c r="FKM5080" s="34">
        <v>-3</v>
      </c>
      <c r="FKN5080" s="34">
        <v>-2.5</v>
      </c>
      <c r="FKO5080" s="34">
        <v>-2</v>
      </c>
      <c r="FKP5080" s="34">
        <v>-1.5</v>
      </c>
      <c r="FKQ5080" s="34">
        <v>-1</v>
      </c>
      <c r="FKR5080" s="34">
        <v>-0.5</v>
      </c>
      <c r="FKS5080" s="34">
        <v>0</v>
      </c>
      <c r="FKT5080" s="34">
        <v>0.5</v>
      </c>
      <c r="FKU5080" s="34">
        <v>1</v>
      </c>
      <c r="FKV5080" s="34">
        <v>1.5</v>
      </c>
      <c r="FKW5080" s="34">
        <v>2</v>
      </c>
      <c r="FKX5080" s="34">
        <v>2.5</v>
      </c>
      <c r="FKY5080" s="34">
        <v>3</v>
      </c>
      <c r="FKZ5080" s="34">
        <v>3.5</v>
      </c>
      <c r="FLA5080" s="34">
        <v>4</v>
      </c>
      <c r="FLB5080" s="34">
        <v>4.5</v>
      </c>
      <c r="FLC5080" s="34">
        <v>5</v>
      </c>
      <c r="FLE5080" s="913"/>
      <c r="FLF5080" s="31">
        <v>1</v>
      </c>
      <c r="FLG5080" s="34">
        <v>0</v>
      </c>
      <c r="FLH5080" s="34">
        <v>-1</v>
      </c>
      <c r="FLI5080" s="34">
        <v>-2</v>
      </c>
      <c r="FLJ5080" s="34">
        <v>-3</v>
      </c>
      <c r="FLK5080" s="34">
        <v>-4</v>
      </c>
      <c r="FLL5080" s="34">
        <v>-5</v>
      </c>
      <c r="FLM5080" s="908"/>
      <c r="FLN5080" s="909"/>
      <c r="FLO5080" s="34">
        <v>-5</v>
      </c>
      <c r="FLP5080" s="34">
        <v>-4.5</v>
      </c>
      <c r="FLQ5080" s="34">
        <v>-4</v>
      </c>
      <c r="FLR5080" s="34">
        <v>-3.5</v>
      </c>
      <c r="FLS5080" s="34">
        <v>-3</v>
      </c>
      <c r="FLT5080" s="34">
        <v>-2.5</v>
      </c>
      <c r="FLU5080" s="34">
        <v>-2</v>
      </c>
      <c r="FLV5080" s="34">
        <v>-1.5</v>
      </c>
      <c r="FLW5080" s="34">
        <v>-1</v>
      </c>
      <c r="FLX5080" s="34">
        <v>-0.5</v>
      </c>
      <c r="FLY5080" s="34">
        <v>0</v>
      </c>
      <c r="FLZ5080" s="34">
        <v>0.5</v>
      </c>
      <c r="FMA5080" s="34">
        <v>1</v>
      </c>
      <c r="FMB5080" s="34">
        <v>1.5</v>
      </c>
      <c r="FMC5080" s="34">
        <v>2</v>
      </c>
      <c r="FMD5080" s="34">
        <v>2.5</v>
      </c>
      <c r="FME5080" s="34">
        <v>3</v>
      </c>
      <c r="FMF5080" s="34">
        <v>3.5</v>
      </c>
      <c r="FMG5080" s="34">
        <v>4</v>
      </c>
      <c r="FMH5080" s="34">
        <v>4.5</v>
      </c>
      <c r="FMI5080" s="34">
        <v>5</v>
      </c>
      <c r="FMK5080" s="913"/>
      <c r="FML5080" s="31">
        <v>1</v>
      </c>
      <c r="FMM5080" s="34">
        <v>0</v>
      </c>
      <c r="FMN5080" s="34">
        <v>-1</v>
      </c>
      <c r="FMO5080" s="34">
        <v>-2</v>
      </c>
      <c r="FMP5080" s="34">
        <v>-3</v>
      </c>
      <c r="FMQ5080" s="34">
        <v>-4</v>
      </c>
      <c r="FMR5080" s="34">
        <v>-5</v>
      </c>
      <c r="FMS5080" s="908"/>
      <c r="FMT5080" s="909"/>
      <c r="FMU5080" s="34">
        <v>-5</v>
      </c>
      <c r="FMV5080" s="34">
        <v>-4.5</v>
      </c>
      <c r="FMW5080" s="34">
        <v>-4</v>
      </c>
      <c r="FMX5080" s="34">
        <v>-3.5</v>
      </c>
      <c r="FMY5080" s="34">
        <v>-3</v>
      </c>
      <c r="FMZ5080" s="34">
        <v>-2.5</v>
      </c>
      <c r="FNA5080" s="34">
        <v>-2</v>
      </c>
      <c r="FNB5080" s="34">
        <v>-1.5</v>
      </c>
      <c r="FNC5080" s="34">
        <v>-1</v>
      </c>
      <c r="FND5080" s="34">
        <v>-0.5</v>
      </c>
      <c r="FNE5080" s="34">
        <v>0</v>
      </c>
      <c r="FNF5080" s="34">
        <v>0.5</v>
      </c>
      <c r="FNG5080" s="34">
        <v>1</v>
      </c>
      <c r="FNH5080" s="34">
        <v>1.5</v>
      </c>
      <c r="FNI5080" s="34">
        <v>2</v>
      </c>
      <c r="FNJ5080" s="34">
        <v>2.5</v>
      </c>
      <c r="FNK5080" s="34">
        <v>3</v>
      </c>
      <c r="FNL5080" s="34">
        <v>3.5</v>
      </c>
      <c r="FNM5080" s="34">
        <v>4</v>
      </c>
      <c r="FNN5080" s="34">
        <v>4.5</v>
      </c>
      <c r="FNO5080" s="34">
        <v>5</v>
      </c>
      <c r="FNQ5080" s="913"/>
      <c r="FNR5080" s="31">
        <v>1</v>
      </c>
      <c r="FNS5080" s="34">
        <v>0</v>
      </c>
      <c r="FNT5080" s="34">
        <v>-1</v>
      </c>
      <c r="FNU5080" s="34">
        <v>-2</v>
      </c>
      <c r="FNV5080" s="34">
        <v>-3</v>
      </c>
      <c r="FNW5080" s="34">
        <v>-4</v>
      </c>
      <c r="FNX5080" s="34">
        <v>-5</v>
      </c>
      <c r="FNY5080" s="908"/>
      <c r="FNZ5080" s="909"/>
      <c r="FOA5080" s="34">
        <v>-5</v>
      </c>
      <c r="FOB5080" s="34">
        <v>-4.5</v>
      </c>
      <c r="FOC5080" s="34">
        <v>-4</v>
      </c>
      <c r="FOD5080" s="34">
        <v>-3.5</v>
      </c>
      <c r="FOE5080" s="34">
        <v>-3</v>
      </c>
      <c r="FOF5080" s="34">
        <v>-2.5</v>
      </c>
      <c r="FOG5080" s="34">
        <v>-2</v>
      </c>
      <c r="FOH5080" s="34">
        <v>-1.5</v>
      </c>
      <c r="FOI5080" s="34">
        <v>-1</v>
      </c>
      <c r="FOJ5080" s="34">
        <v>-0.5</v>
      </c>
      <c r="FOK5080" s="34">
        <v>0</v>
      </c>
      <c r="FOL5080" s="34">
        <v>0.5</v>
      </c>
      <c r="FOM5080" s="34">
        <v>1</v>
      </c>
      <c r="FON5080" s="34">
        <v>1.5</v>
      </c>
      <c r="FOO5080" s="34">
        <v>2</v>
      </c>
      <c r="FOP5080" s="34">
        <v>2.5</v>
      </c>
      <c r="FOQ5080" s="34">
        <v>3</v>
      </c>
      <c r="FOR5080" s="34">
        <v>3.5</v>
      </c>
      <c r="FOS5080" s="34">
        <v>4</v>
      </c>
      <c r="FOT5080" s="34">
        <v>4.5</v>
      </c>
      <c r="FOU5080" s="34">
        <v>5</v>
      </c>
      <c r="FOW5080" s="913"/>
      <c r="FOX5080" s="31">
        <v>1</v>
      </c>
      <c r="FOY5080" s="34">
        <v>0</v>
      </c>
      <c r="FOZ5080" s="34">
        <v>-1</v>
      </c>
      <c r="FPA5080" s="34">
        <v>-2</v>
      </c>
      <c r="FPB5080" s="34">
        <v>-3</v>
      </c>
      <c r="FPC5080" s="34">
        <v>-4</v>
      </c>
      <c r="FPD5080" s="34">
        <v>-5</v>
      </c>
      <c r="FPE5080" s="908"/>
      <c r="FPF5080" s="909"/>
      <c r="FPG5080" s="34">
        <v>-5</v>
      </c>
      <c r="FPH5080" s="34">
        <v>-4.5</v>
      </c>
      <c r="FPI5080" s="34">
        <v>-4</v>
      </c>
      <c r="FPJ5080" s="34">
        <v>-3.5</v>
      </c>
      <c r="FPK5080" s="34">
        <v>-3</v>
      </c>
      <c r="FPL5080" s="34">
        <v>-2.5</v>
      </c>
      <c r="FPM5080" s="34">
        <v>-2</v>
      </c>
      <c r="FPN5080" s="34">
        <v>-1.5</v>
      </c>
      <c r="FPO5080" s="34">
        <v>-1</v>
      </c>
      <c r="FPP5080" s="34">
        <v>-0.5</v>
      </c>
      <c r="FPQ5080" s="34">
        <v>0</v>
      </c>
      <c r="FPR5080" s="34">
        <v>0.5</v>
      </c>
      <c r="FPS5080" s="34">
        <v>1</v>
      </c>
      <c r="FPT5080" s="34">
        <v>1.5</v>
      </c>
      <c r="FPU5080" s="34">
        <v>2</v>
      </c>
      <c r="FPV5080" s="34">
        <v>2.5</v>
      </c>
      <c r="FPW5080" s="34">
        <v>3</v>
      </c>
      <c r="FPX5080" s="34">
        <v>3.5</v>
      </c>
      <c r="FPY5080" s="34">
        <v>4</v>
      </c>
      <c r="FPZ5080" s="34">
        <v>4.5</v>
      </c>
      <c r="FQA5080" s="34">
        <v>5</v>
      </c>
      <c r="FQC5080" s="913"/>
      <c r="FQD5080" s="31">
        <v>1</v>
      </c>
      <c r="FQE5080" s="34">
        <v>0</v>
      </c>
      <c r="FQF5080" s="34">
        <v>-1</v>
      </c>
      <c r="FQG5080" s="34">
        <v>-2</v>
      </c>
      <c r="FQH5080" s="34">
        <v>-3</v>
      </c>
      <c r="FQI5080" s="34">
        <v>-4</v>
      </c>
      <c r="FQJ5080" s="34">
        <v>-5</v>
      </c>
      <c r="FQK5080" s="908"/>
      <c r="FQL5080" s="909"/>
      <c r="FQM5080" s="34">
        <v>-5</v>
      </c>
      <c r="FQN5080" s="34">
        <v>-4.5</v>
      </c>
      <c r="FQO5080" s="34">
        <v>-4</v>
      </c>
      <c r="FQP5080" s="34">
        <v>-3.5</v>
      </c>
      <c r="FQQ5080" s="34">
        <v>-3</v>
      </c>
      <c r="FQR5080" s="34">
        <v>-2.5</v>
      </c>
      <c r="FQS5080" s="34">
        <v>-2</v>
      </c>
      <c r="FQT5080" s="34">
        <v>-1.5</v>
      </c>
      <c r="FQU5080" s="34">
        <v>-1</v>
      </c>
      <c r="FQV5080" s="34">
        <v>-0.5</v>
      </c>
      <c r="FQW5080" s="34">
        <v>0</v>
      </c>
      <c r="FQX5080" s="34">
        <v>0.5</v>
      </c>
      <c r="FQY5080" s="34">
        <v>1</v>
      </c>
      <c r="FQZ5080" s="34">
        <v>1.5</v>
      </c>
      <c r="FRA5080" s="34">
        <v>2</v>
      </c>
      <c r="FRB5080" s="34">
        <v>2.5</v>
      </c>
      <c r="FRC5080" s="34">
        <v>3</v>
      </c>
      <c r="FRD5080" s="34">
        <v>3.5</v>
      </c>
      <c r="FRE5080" s="34">
        <v>4</v>
      </c>
      <c r="FRF5080" s="34">
        <v>4.5</v>
      </c>
      <c r="FRG5080" s="34">
        <v>5</v>
      </c>
      <c r="FRI5080" s="913"/>
      <c r="FRJ5080" s="31">
        <v>1</v>
      </c>
      <c r="FRK5080" s="34">
        <v>0</v>
      </c>
      <c r="FRL5080" s="34">
        <v>-1</v>
      </c>
      <c r="FRM5080" s="34">
        <v>-2</v>
      </c>
      <c r="FRN5080" s="34">
        <v>-3</v>
      </c>
      <c r="FRO5080" s="34">
        <v>-4</v>
      </c>
      <c r="FRP5080" s="34">
        <v>-5</v>
      </c>
      <c r="FRQ5080" s="908"/>
      <c r="FRR5080" s="909"/>
      <c r="FRS5080" s="34">
        <v>-5</v>
      </c>
      <c r="FRT5080" s="34">
        <v>-4.5</v>
      </c>
      <c r="FRU5080" s="34">
        <v>-4</v>
      </c>
      <c r="FRV5080" s="34">
        <v>-3.5</v>
      </c>
      <c r="FRW5080" s="34">
        <v>-3</v>
      </c>
      <c r="FRX5080" s="34">
        <v>-2.5</v>
      </c>
      <c r="FRY5080" s="34">
        <v>-2</v>
      </c>
      <c r="FRZ5080" s="34">
        <v>-1.5</v>
      </c>
      <c r="FSA5080" s="34">
        <v>-1</v>
      </c>
      <c r="FSB5080" s="34">
        <v>-0.5</v>
      </c>
      <c r="FSC5080" s="34">
        <v>0</v>
      </c>
      <c r="FSD5080" s="34">
        <v>0.5</v>
      </c>
      <c r="FSE5080" s="34">
        <v>1</v>
      </c>
      <c r="FSF5080" s="34">
        <v>1.5</v>
      </c>
      <c r="FSG5080" s="34">
        <v>2</v>
      </c>
      <c r="FSH5080" s="34">
        <v>2.5</v>
      </c>
      <c r="FSI5080" s="34">
        <v>3</v>
      </c>
      <c r="FSJ5080" s="34">
        <v>3.5</v>
      </c>
      <c r="FSK5080" s="34">
        <v>4</v>
      </c>
      <c r="FSL5080" s="34">
        <v>4.5</v>
      </c>
      <c r="FSM5080" s="34">
        <v>5</v>
      </c>
      <c r="FSO5080" s="913"/>
      <c r="FSP5080" s="31">
        <v>1</v>
      </c>
      <c r="FSQ5080" s="34">
        <v>0</v>
      </c>
      <c r="FSR5080" s="34">
        <v>-1</v>
      </c>
      <c r="FSS5080" s="34">
        <v>-2</v>
      </c>
      <c r="FST5080" s="34">
        <v>-3</v>
      </c>
      <c r="FSU5080" s="34">
        <v>-4</v>
      </c>
      <c r="FSV5080" s="34">
        <v>-5</v>
      </c>
      <c r="FSW5080" s="908"/>
      <c r="FSX5080" s="909"/>
      <c r="FSY5080" s="34">
        <v>-5</v>
      </c>
      <c r="FSZ5080" s="34">
        <v>-4.5</v>
      </c>
      <c r="FTA5080" s="34">
        <v>-4</v>
      </c>
      <c r="FTB5080" s="34">
        <v>-3.5</v>
      </c>
      <c r="FTC5080" s="34">
        <v>-3</v>
      </c>
      <c r="FTD5080" s="34">
        <v>-2.5</v>
      </c>
      <c r="FTE5080" s="34">
        <v>-2</v>
      </c>
      <c r="FTF5080" s="34">
        <v>-1.5</v>
      </c>
      <c r="FTG5080" s="34">
        <v>-1</v>
      </c>
      <c r="FTH5080" s="34">
        <v>-0.5</v>
      </c>
      <c r="FTI5080" s="34">
        <v>0</v>
      </c>
      <c r="FTJ5080" s="34">
        <v>0.5</v>
      </c>
      <c r="FTK5080" s="34">
        <v>1</v>
      </c>
      <c r="FTL5080" s="34">
        <v>1.5</v>
      </c>
      <c r="FTM5080" s="34">
        <v>2</v>
      </c>
      <c r="FTN5080" s="34">
        <v>2.5</v>
      </c>
      <c r="FTO5080" s="34">
        <v>3</v>
      </c>
      <c r="FTP5080" s="34">
        <v>3.5</v>
      </c>
      <c r="FTQ5080" s="34">
        <v>4</v>
      </c>
      <c r="FTR5080" s="34">
        <v>4.5</v>
      </c>
      <c r="FTS5080" s="34">
        <v>5</v>
      </c>
      <c r="FTU5080" s="913"/>
      <c r="FTV5080" s="31">
        <v>1</v>
      </c>
      <c r="FTW5080" s="34">
        <v>0</v>
      </c>
      <c r="FTX5080" s="34">
        <v>-1</v>
      </c>
      <c r="FTY5080" s="34">
        <v>-2</v>
      </c>
      <c r="FTZ5080" s="34">
        <v>-3</v>
      </c>
      <c r="FUA5080" s="34">
        <v>-4</v>
      </c>
      <c r="FUB5080" s="34">
        <v>-5</v>
      </c>
      <c r="FUC5080" s="908"/>
      <c r="FUD5080" s="909"/>
      <c r="FUE5080" s="34">
        <v>-5</v>
      </c>
      <c r="FUF5080" s="34">
        <v>-4.5</v>
      </c>
      <c r="FUG5080" s="34">
        <v>-4</v>
      </c>
      <c r="FUH5080" s="34">
        <v>-3.5</v>
      </c>
      <c r="FUI5080" s="34">
        <v>-3</v>
      </c>
      <c r="FUJ5080" s="34">
        <v>-2.5</v>
      </c>
      <c r="FUK5080" s="34">
        <v>-2</v>
      </c>
      <c r="FUL5080" s="34">
        <v>-1.5</v>
      </c>
      <c r="FUM5080" s="34">
        <v>-1</v>
      </c>
      <c r="FUN5080" s="34">
        <v>-0.5</v>
      </c>
      <c r="FUO5080" s="34">
        <v>0</v>
      </c>
      <c r="FUP5080" s="34">
        <v>0.5</v>
      </c>
      <c r="FUQ5080" s="34">
        <v>1</v>
      </c>
      <c r="FUR5080" s="34">
        <v>1.5</v>
      </c>
      <c r="FUS5080" s="34">
        <v>2</v>
      </c>
      <c r="FUT5080" s="34">
        <v>2.5</v>
      </c>
      <c r="FUU5080" s="34">
        <v>3</v>
      </c>
      <c r="FUV5080" s="34">
        <v>3.5</v>
      </c>
      <c r="FUW5080" s="34">
        <v>4</v>
      </c>
      <c r="FUX5080" s="34">
        <v>4.5</v>
      </c>
      <c r="FUY5080" s="34">
        <v>5</v>
      </c>
      <c r="FVA5080" s="913"/>
      <c r="FVB5080" s="31">
        <v>1</v>
      </c>
      <c r="FVC5080" s="34">
        <v>0</v>
      </c>
      <c r="FVD5080" s="34">
        <v>-1</v>
      </c>
      <c r="FVE5080" s="34">
        <v>-2</v>
      </c>
      <c r="FVF5080" s="34">
        <v>-3</v>
      </c>
      <c r="FVG5080" s="34">
        <v>-4</v>
      </c>
      <c r="FVH5080" s="34">
        <v>-5</v>
      </c>
      <c r="FVI5080" s="908"/>
      <c r="FVJ5080" s="909"/>
      <c r="FVK5080" s="34">
        <v>-5</v>
      </c>
      <c r="FVL5080" s="34">
        <v>-4.5</v>
      </c>
      <c r="FVM5080" s="34">
        <v>-4</v>
      </c>
      <c r="FVN5080" s="34">
        <v>-3.5</v>
      </c>
      <c r="FVO5080" s="34">
        <v>-3</v>
      </c>
      <c r="FVP5080" s="34">
        <v>-2.5</v>
      </c>
      <c r="FVQ5080" s="34">
        <v>-2</v>
      </c>
      <c r="FVR5080" s="34">
        <v>-1.5</v>
      </c>
      <c r="FVS5080" s="34">
        <v>-1</v>
      </c>
      <c r="FVT5080" s="34">
        <v>-0.5</v>
      </c>
      <c r="FVU5080" s="34">
        <v>0</v>
      </c>
      <c r="FVV5080" s="34">
        <v>0.5</v>
      </c>
      <c r="FVW5080" s="34">
        <v>1</v>
      </c>
      <c r="FVX5080" s="34">
        <v>1.5</v>
      </c>
      <c r="FVY5080" s="34">
        <v>2</v>
      </c>
      <c r="FVZ5080" s="34">
        <v>2.5</v>
      </c>
      <c r="FWA5080" s="34">
        <v>3</v>
      </c>
      <c r="FWB5080" s="34">
        <v>3.5</v>
      </c>
      <c r="FWC5080" s="34">
        <v>4</v>
      </c>
      <c r="FWD5080" s="34">
        <v>4.5</v>
      </c>
      <c r="FWE5080" s="34">
        <v>5</v>
      </c>
      <c r="FWG5080" s="913"/>
      <c r="FWH5080" s="31">
        <v>1</v>
      </c>
      <c r="FWI5080" s="34">
        <v>0</v>
      </c>
      <c r="FWJ5080" s="34">
        <v>-1</v>
      </c>
      <c r="FWK5080" s="34">
        <v>-2</v>
      </c>
      <c r="FWL5080" s="34">
        <v>-3</v>
      </c>
      <c r="FWM5080" s="34">
        <v>-4</v>
      </c>
      <c r="FWN5080" s="34">
        <v>-5</v>
      </c>
      <c r="FWO5080" s="908"/>
      <c r="FWP5080" s="909"/>
      <c r="FWQ5080" s="34">
        <v>-5</v>
      </c>
      <c r="FWR5080" s="34">
        <v>-4.5</v>
      </c>
      <c r="FWS5080" s="34">
        <v>-4</v>
      </c>
      <c r="FWT5080" s="34">
        <v>-3.5</v>
      </c>
      <c r="FWU5080" s="34">
        <v>-3</v>
      </c>
      <c r="FWV5080" s="34">
        <v>-2.5</v>
      </c>
      <c r="FWW5080" s="34">
        <v>-2</v>
      </c>
      <c r="FWX5080" s="34">
        <v>-1.5</v>
      </c>
      <c r="FWY5080" s="34">
        <v>-1</v>
      </c>
      <c r="FWZ5080" s="34">
        <v>-0.5</v>
      </c>
      <c r="FXA5080" s="34">
        <v>0</v>
      </c>
      <c r="FXB5080" s="34">
        <v>0.5</v>
      </c>
      <c r="FXC5080" s="34">
        <v>1</v>
      </c>
      <c r="FXD5080" s="34">
        <v>1.5</v>
      </c>
      <c r="FXE5080" s="34">
        <v>2</v>
      </c>
      <c r="FXF5080" s="34">
        <v>2.5</v>
      </c>
      <c r="FXG5080" s="34">
        <v>3</v>
      </c>
      <c r="FXH5080" s="34">
        <v>3.5</v>
      </c>
      <c r="FXI5080" s="34">
        <v>4</v>
      </c>
      <c r="FXJ5080" s="34">
        <v>4.5</v>
      </c>
      <c r="FXK5080" s="34">
        <v>5</v>
      </c>
      <c r="FXM5080" s="913"/>
      <c r="FXN5080" s="31">
        <v>1</v>
      </c>
      <c r="FXO5080" s="34">
        <v>0</v>
      </c>
      <c r="FXP5080" s="34">
        <v>-1</v>
      </c>
      <c r="FXQ5080" s="34">
        <v>-2</v>
      </c>
      <c r="FXR5080" s="34">
        <v>-3</v>
      </c>
      <c r="FXS5080" s="34">
        <v>-4</v>
      </c>
      <c r="FXT5080" s="34">
        <v>-5</v>
      </c>
      <c r="FXU5080" s="908"/>
      <c r="FXV5080" s="909"/>
      <c r="FXW5080" s="34">
        <v>-5</v>
      </c>
      <c r="FXX5080" s="34">
        <v>-4.5</v>
      </c>
      <c r="FXY5080" s="34">
        <v>-4</v>
      </c>
      <c r="FXZ5080" s="34">
        <v>-3.5</v>
      </c>
      <c r="FYA5080" s="34">
        <v>-3</v>
      </c>
      <c r="FYB5080" s="34">
        <v>-2.5</v>
      </c>
      <c r="FYC5080" s="34">
        <v>-2</v>
      </c>
      <c r="FYD5080" s="34">
        <v>-1.5</v>
      </c>
      <c r="FYE5080" s="34">
        <v>-1</v>
      </c>
      <c r="FYF5080" s="34">
        <v>-0.5</v>
      </c>
      <c r="FYG5080" s="34">
        <v>0</v>
      </c>
      <c r="FYH5080" s="34">
        <v>0.5</v>
      </c>
      <c r="FYI5080" s="34">
        <v>1</v>
      </c>
      <c r="FYJ5080" s="34">
        <v>1.5</v>
      </c>
      <c r="FYK5080" s="34">
        <v>2</v>
      </c>
      <c r="FYL5080" s="34">
        <v>2.5</v>
      </c>
      <c r="FYM5080" s="34">
        <v>3</v>
      </c>
      <c r="FYN5080" s="34">
        <v>3.5</v>
      </c>
      <c r="FYO5080" s="34">
        <v>4</v>
      </c>
      <c r="FYP5080" s="34">
        <v>4.5</v>
      </c>
      <c r="FYQ5080" s="34">
        <v>5</v>
      </c>
      <c r="FYS5080" s="913"/>
      <c r="FYT5080" s="31">
        <v>1</v>
      </c>
      <c r="FYU5080" s="34">
        <v>0</v>
      </c>
      <c r="FYV5080" s="34">
        <v>-1</v>
      </c>
      <c r="FYW5080" s="34">
        <v>-2</v>
      </c>
      <c r="FYX5080" s="34">
        <v>-3</v>
      </c>
      <c r="FYY5080" s="34">
        <v>-4</v>
      </c>
      <c r="FYZ5080" s="34">
        <v>-5</v>
      </c>
      <c r="FZA5080" s="908"/>
      <c r="FZB5080" s="909"/>
      <c r="FZC5080" s="34">
        <v>-5</v>
      </c>
      <c r="FZD5080" s="34">
        <v>-4.5</v>
      </c>
      <c r="FZE5080" s="34">
        <v>-4</v>
      </c>
      <c r="FZF5080" s="34">
        <v>-3.5</v>
      </c>
      <c r="FZG5080" s="34">
        <v>-3</v>
      </c>
      <c r="FZH5080" s="34">
        <v>-2.5</v>
      </c>
      <c r="FZI5080" s="34">
        <v>-2</v>
      </c>
      <c r="FZJ5080" s="34">
        <v>-1.5</v>
      </c>
      <c r="FZK5080" s="34">
        <v>-1</v>
      </c>
      <c r="FZL5080" s="34">
        <v>-0.5</v>
      </c>
      <c r="FZM5080" s="34">
        <v>0</v>
      </c>
      <c r="FZN5080" s="34">
        <v>0.5</v>
      </c>
      <c r="FZO5080" s="34">
        <v>1</v>
      </c>
      <c r="FZP5080" s="34">
        <v>1.5</v>
      </c>
      <c r="FZQ5080" s="34">
        <v>2</v>
      </c>
      <c r="FZR5080" s="34">
        <v>2.5</v>
      </c>
      <c r="FZS5080" s="34">
        <v>3</v>
      </c>
      <c r="FZT5080" s="34">
        <v>3.5</v>
      </c>
      <c r="FZU5080" s="34">
        <v>4</v>
      </c>
      <c r="FZV5080" s="34">
        <v>4.5</v>
      </c>
      <c r="FZW5080" s="34">
        <v>5</v>
      </c>
      <c r="FZY5080" s="913"/>
      <c r="FZZ5080" s="31">
        <v>1</v>
      </c>
      <c r="GAA5080" s="34">
        <v>0</v>
      </c>
      <c r="GAB5080" s="34">
        <v>-1</v>
      </c>
      <c r="GAC5080" s="34">
        <v>-2</v>
      </c>
      <c r="GAD5080" s="34">
        <v>-3</v>
      </c>
      <c r="GAE5080" s="34">
        <v>-4</v>
      </c>
      <c r="GAF5080" s="34">
        <v>-5</v>
      </c>
      <c r="GAG5080" s="908"/>
      <c r="GAH5080" s="909"/>
      <c r="GAI5080" s="34">
        <v>-5</v>
      </c>
      <c r="GAJ5080" s="34">
        <v>-4.5</v>
      </c>
      <c r="GAK5080" s="34">
        <v>-4</v>
      </c>
      <c r="GAL5080" s="34">
        <v>-3.5</v>
      </c>
      <c r="GAM5080" s="34">
        <v>-3</v>
      </c>
      <c r="GAN5080" s="34">
        <v>-2.5</v>
      </c>
      <c r="GAO5080" s="34">
        <v>-2</v>
      </c>
      <c r="GAP5080" s="34">
        <v>-1.5</v>
      </c>
      <c r="GAQ5080" s="34">
        <v>-1</v>
      </c>
      <c r="GAR5080" s="34">
        <v>-0.5</v>
      </c>
      <c r="GAS5080" s="34">
        <v>0</v>
      </c>
      <c r="GAT5080" s="34">
        <v>0.5</v>
      </c>
      <c r="GAU5080" s="34">
        <v>1</v>
      </c>
      <c r="GAV5080" s="34">
        <v>1.5</v>
      </c>
      <c r="GAW5080" s="34">
        <v>2</v>
      </c>
      <c r="GAX5080" s="34">
        <v>2.5</v>
      </c>
      <c r="GAY5080" s="34">
        <v>3</v>
      </c>
      <c r="GAZ5080" s="34">
        <v>3.5</v>
      </c>
      <c r="GBA5080" s="34">
        <v>4</v>
      </c>
      <c r="GBB5080" s="34">
        <v>4.5</v>
      </c>
      <c r="GBC5080" s="34">
        <v>5</v>
      </c>
      <c r="GBE5080" s="913"/>
      <c r="GBF5080" s="31">
        <v>1</v>
      </c>
      <c r="GBG5080" s="34">
        <v>0</v>
      </c>
      <c r="GBH5080" s="34">
        <v>-1</v>
      </c>
      <c r="GBI5080" s="34">
        <v>-2</v>
      </c>
      <c r="GBJ5080" s="34">
        <v>-3</v>
      </c>
      <c r="GBK5080" s="34">
        <v>-4</v>
      </c>
      <c r="GBL5080" s="34">
        <v>-5</v>
      </c>
      <c r="GBM5080" s="908"/>
      <c r="GBN5080" s="909"/>
      <c r="GBO5080" s="34">
        <v>-5</v>
      </c>
      <c r="GBP5080" s="34">
        <v>-4.5</v>
      </c>
      <c r="GBQ5080" s="34">
        <v>-4</v>
      </c>
      <c r="GBR5080" s="34">
        <v>-3.5</v>
      </c>
      <c r="GBS5080" s="34">
        <v>-3</v>
      </c>
      <c r="GBT5080" s="34">
        <v>-2.5</v>
      </c>
      <c r="GBU5080" s="34">
        <v>-2</v>
      </c>
      <c r="GBV5080" s="34">
        <v>-1.5</v>
      </c>
      <c r="GBW5080" s="34">
        <v>-1</v>
      </c>
      <c r="GBX5080" s="34">
        <v>-0.5</v>
      </c>
      <c r="GBY5080" s="34">
        <v>0</v>
      </c>
      <c r="GBZ5080" s="34">
        <v>0.5</v>
      </c>
      <c r="GCA5080" s="34">
        <v>1</v>
      </c>
      <c r="GCB5080" s="34">
        <v>1.5</v>
      </c>
      <c r="GCC5080" s="34">
        <v>2</v>
      </c>
      <c r="GCD5080" s="34">
        <v>2.5</v>
      </c>
      <c r="GCE5080" s="34">
        <v>3</v>
      </c>
      <c r="GCF5080" s="34">
        <v>3.5</v>
      </c>
      <c r="GCG5080" s="34">
        <v>4</v>
      </c>
      <c r="GCH5080" s="34">
        <v>4.5</v>
      </c>
      <c r="GCI5080" s="34">
        <v>5</v>
      </c>
      <c r="GCK5080" s="913"/>
      <c r="GCL5080" s="31">
        <v>1</v>
      </c>
      <c r="GCM5080" s="34">
        <v>0</v>
      </c>
      <c r="GCN5080" s="34">
        <v>-1</v>
      </c>
      <c r="GCO5080" s="34">
        <v>-2</v>
      </c>
      <c r="GCP5080" s="34">
        <v>-3</v>
      </c>
      <c r="GCQ5080" s="34">
        <v>-4</v>
      </c>
      <c r="GCR5080" s="34">
        <v>-5</v>
      </c>
      <c r="GCS5080" s="908"/>
      <c r="GCT5080" s="909"/>
      <c r="GCU5080" s="34">
        <v>-5</v>
      </c>
      <c r="GCV5080" s="34">
        <v>-4.5</v>
      </c>
      <c r="GCW5080" s="34">
        <v>-4</v>
      </c>
      <c r="GCX5080" s="34">
        <v>-3.5</v>
      </c>
      <c r="GCY5080" s="34">
        <v>-3</v>
      </c>
      <c r="GCZ5080" s="34">
        <v>-2.5</v>
      </c>
      <c r="GDA5080" s="34">
        <v>-2</v>
      </c>
      <c r="GDB5080" s="34">
        <v>-1.5</v>
      </c>
      <c r="GDC5080" s="34">
        <v>-1</v>
      </c>
      <c r="GDD5080" s="34">
        <v>-0.5</v>
      </c>
      <c r="GDE5080" s="34">
        <v>0</v>
      </c>
      <c r="GDF5080" s="34">
        <v>0.5</v>
      </c>
      <c r="GDG5080" s="34">
        <v>1</v>
      </c>
      <c r="GDH5080" s="34">
        <v>1.5</v>
      </c>
      <c r="GDI5080" s="34">
        <v>2</v>
      </c>
      <c r="GDJ5080" s="34">
        <v>2.5</v>
      </c>
      <c r="GDK5080" s="34">
        <v>3</v>
      </c>
      <c r="GDL5080" s="34">
        <v>3.5</v>
      </c>
      <c r="GDM5080" s="34">
        <v>4</v>
      </c>
      <c r="GDN5080" s="34">
        <v>4.5</v>
      </c>
      <c r="GDO5080" s="34">
        <v>5</v>
      </c>
      <c r="GDQ5080" s="913"/>
      <c r="GDR5080" s="31">
        <v>1</v>
      </c>
      <c r="GDS5080" s="34">
        <v>0</v>
      </c>
      <c r="GDT5080" s="34">
        <v>-1</v>
      </c>
      <c r="GDU5080" s="34">
        <v>-2</v>
      </c>
      <c r="GDV5080" s="34">
        <v>-3</v>
      </c>
      <c r="GDW5080" s="34">
        <v>-4</v>
      </c>
      <c r="GDX5080" s="34">
        <v>-5</v>
      </c>
      <c r="GDY5080" s="908"/>
      <c r="GDZ5080" s="909"/>
      <c r="GEA5080" s="34">
        <v>-5</v>
      </c>
      <c r="GEB5080" s="34">
        <v>-4.5</v>
      </c>
      <c r="GEC5080" s="34">
        <v>-4</v>
      </c>
      <c r="GED5080" s="34">
        <v>-3.5</v>
      </c>
      <c r="GEE5080" s="34">
        <v>-3</v>
      </c>
      <c r="GEF5080" s="34">
        <v>-2.5</v>
      </c>
      <c r="GEG5080" s="34">
        <v>-2</v>
      </c>
      <c r="GEH5080" s="34">
        <v>-1.5</v>
      </c>
      <c r="GEI5080" s="34">
        <v>-1</v>
      </c>
      <c r="GEJ5080" s="34">
        <v>-0.5</v>
      </c>
      <c r="GEK5080" s="34">
        <v>0</v>
      </c>
      <c r="GEL5080" s="34">
        <v>0.5</v>
      </c>
      <c r="GEM5080" s="34">
        <v>1</v>
      </c>
      <c r="GEN5080" s="34">
        <v>1.5</v>
      </c>
      <c r="GEO5080" s="34">
        <v>2</v>
      </c>
      <c r="GEP5080" s="34">
        <v>2.5</v>
      </c>
      <c r="GEQ5080" s="34">
        <v>3</v>
      </c>
      <c r="GER5080" s="34">
        <v>3.5</v>
      </c>
      <c r="GES5080" s="34">
        <v>4</v>
      </c>
      <c r="GET5080" s="34">
        <v>4.5</v>
      </c>
      <c r="GEU5080" s="34">
        <v>5</v>
      </c>
      <c r="GEW5080" s="913"/>
      <c r="GEX5080" s="31">
        <v>1</v>
      </c>
      <c r="GEY5080" s="34">
        <v>0</v>
      </c>
      <c r="GEZ5080" s="34">
        <v>-1</v>
      </c>
      <c r="GFA5080" s="34">
        <v>-2</v>
      </c>
      <c r="GFB5080" s="34">
        <v>-3</v>
      </c>
      <c r="GFC5080" s="34">
        <v>-4</v>
      </c>
      <c r="GFD5080" s="34">
        <v>-5</v>
      </c>
      <c r="GFE5080" s="908"/>
      <c r="GFF5080" s="909"/>
      <c r="GFG5080" s="34">
        <v>-5</v>
      </c>
      <c r="GFH5080" s="34">
        <v>-4.5</v>
      </c>
      <c r="GFI5080" s="34">
        <v>-4</v>
      </c>
      <c r="GFJ5080" s="34">
        <v>-3.5</v>
      </c>
      <c r="GFK5080" s="34">
        <v>-3</v>
      </c>
      <c r="GFL5080" s="34">
        <v>-2.5</v>
      </c>
      <c r="GFM5080" s="34">
        <v>-2</v>
      </c>
      <c r="GFN5080" s="34">
        <v>-1.5</v>
      </c>
      <c r="GFO5080" s="34">
        <v>-1</v>
      </c>
      <c r="GFP5080" s="34">
        <v>-0.5</v>
      </c>
      <c r="GFQ5080" s="34">
        <v>0</v>
      </c>
      <c r="GFR5080" s="34">
        <v>0.5</v>
      </c>
      <c r="GFS5080" s="34">
        <v>1</v>
      </c>
      <c r="GFT5080" s="34">
        <v>1.5</v>
      </c>
      <c r="GFU5080" s="34">
        <v>2</v>
      </c>
      <c r="GFV5080" s="34">
        <v>2.5</v>
      </c>
      <c r="GFW5080" s="34">
        <v>3</v>
      </c>
      <c r="GFX5080" s="34">
        <v>3.5</v>
      </c>
      <c r="GFY5080" s="34">
        <v>4</v>
      </c>
      <c r="GFZ5080" s="34">
        <v>4.5</v>
      </c>
      <c r="GGA5080" s="34">
        <v>5</v>
      </c>
      <c r="GGC5080" s="913"/>
      <c r="GGD5080" s="31">
        <v>1</v>
      </c>
      <c r="GGE5080" s="34">
        <v>0</v>
      </c>
      <c r="GGF5080" s="34">
        <v>-1</v>
      </c>
      <c r="GGG5080" s="34">
        <v>-2</v>
      </c>
      <c r="GGH5080" s="34">
        <v>-3</v>
      </c>
      <c r="GGI5080" s="34">
        <v>-4</v>
      </c>
      <c r="GGJ5080" s="34">
        <v>-5</v>
      </c>
      <c r="GGK5080" s="908"/>
      <c r="GGL5080" s="909"/>
      <c r="GGM5080" s="34">
        <v>-5</v>
      </c>
      <c r="GGN5080" s="34">
        <v>-4.5</v>
      </c>
      <c r="GGO5080" s="34">
        <v>-4</v>
      </c>
      <c r="GGP5080" s="34">
        <v>-3.5</v>
      </c>
      <c r="GGQ5080" s="34">
        <v>-3</v>
      </c>
      <c r="GGR5080" s="34">
        <v>-2.5</v>
      </c>
      <c r="GGS5080" s="34">
        <v>-2</v>
      </c>
      <c r="GGT5080" s="34">
        <v>-1.5</v>
      </c>
      <c r="GGU5080" s="34">
        <v>-1</v>
      </c>
      <c r="GGV5080" s="34">
        <v>-0.5</v>
      </c>
      <c r="GGW5080" s="34">
        <v>0</v>
      </c>
      <c r="GGX5080" s="34">
        <v>0.5</v>
      </c>
      <c r="GGY5080" s="34">
        <v>1</v>
      </c>
      <c r="GGZ5080" s="34">
        <v>1.5</v>
      </c>
      <c r="GHA5080" s="34">
        <v>2</v>
      </c>
      <c r="GHB5080" s="34">
        <v>2.5</v>
      </c>
      <c r="GHC5080" s="34">
        <v>3</v>
      </c>
      <c r="GHD5080" s="34">
        <v>3.5</v>
      </c>
      <c r="GHE5080" s="34">
        <v>4</v>
      </c>
      <c r="GHF5080" s="34">
        <v>4.5</v>
      </c>
      <c r="GHG5080" s="34">
        <v>5</v>
      </c>
      <c r="GHI5080" s="913"/>
      <c r="GHJ5080" s="31">
        <v>1</v>
      </c>
      <c r="GHK5080" s="34">
        <v>0</v>
      </c>
      <c r="GHL5080" s="34">
        <v>-1</v>
      </c>
      <c r="GHM5080" s="34">
        <v>-2</v>
      </c>
      <c r="GHN5080" s="34">
        <v>-3</v>
      </c>
      <c r="GHO5080" s="34">
        <v>-4</v>
      </c>
      <c r="GHP5080" s="34">
        <v>-5</v>
      </c>
      <c r="GHQ5080" s="908"/>
      <c r="GHR5080" s="909"/>
      <c r="GHS5080" s="34">
        <v>-5</v>
      </c>
      <c r="GHT5080" s="34">
        <v>-4.5</v>
      </c>
      <c r="GHU5080" s="34">
        <v>-4</v>
      </c>
      <c r="GHV5080" s="34">
        <v>-3.5</v>
      </c>
      <c r="GHW5080" s="34">
        <v>-3</v>
      </c>
      <c r="GHX5080" s="34">
        <v>-2.5</v>
      </c>
      <c r="GHY5080" s="34">
        <v>-2</v>
      </c>
      <c r="GHZ5080" s="34">
        <v>-1.5</v>
      </c>
      <c r="GIA5080" s="34">
        <v>-1</v>
      </c>
      <c r="GIB5080" s="34">
        <v>-0.5</v>
      </c>
      <c r="GIC5080" s="34">
        <v>0</v>
      </c>
      <c r="GID5080" s="34">
        <v>0.5</v>
      </c>
      <c r="GIE5080" s="34">
        <v>1</v>
      </c>
      <c r="GIF5080" s="34">
        <v>1.5</v>
      </c>
      <c r="GIG5080" s="34">
        <v>2</v>
      </c>
      <c r="GIH5080" s="34">
        <v>2.5</v>
      </c>
      <c r="GII5080" s="34">
        <v>3</v>
      </c>
      <c r="GIJ5080" s="34">
        <v>3.5</v>
      </c>
      <c r="GIK5080" s="34">
        <v>4</v>
      </c>
      <c r="GIL5080" s="34">
        <v>4.5</v>
      </c>
      <c r="GIM5080" s="34">
        <v>5</v>
      </c>
      <c r="GIO5080" s="913"/>
      <c r="GIP5080" s="31">
        <v>1</v>
      </c>
      <c r="GIQ5080" s="34">
        <v>0</v>
      </c>
      <c r="GIR5080" s="34">
        <v>-1</v>
      </c>
      <c r="GIS5080" s="34">
        <v>-2</v>
      </c>
      <c r="GIT5080" s="34">
        <v>-3</v>
      </c>
      <c r="GIU5080" s="34">
        <v>-4</v>
      </c>
      <c r="GIV5080" s="34">
        <v>-5</v>
      </c>
      <c r="GIW5080" s="908"/>
      <c r="GIX5080" s="909"/>
      <c r="GIY5080" s="34">
        <v>-5</v>
      </c>
      <c r="GIZ5080" s="34">
        <v>-4.5</v>
      </c>
      <c r="GJA5080" s="34">
        <v>-4</v>
      </c>
      <c r="GJB5080" s="34">
        <v>-3.5</v>
      </c>
      <c r="GJC5080" s="34">
        <v>-3</v>
      </c>
      <c r="GJD5080" s="34">
        <v>-2.5</v>
      </c>
      <c r="GJE5080" s="34">
        <v>-2</v>
      </c>
      <c r="GJF5080" s="34">
        <v>-1.5</v>
      </c>
      <c r="GJG5080" s="34">
        <v>-1</v>
      </c>
      <c r="GJH5080" s="34">
        <v>-0.5</v>
      </c>
      <c r="GJI5080" s="34">
        <v>0</v>
      </c>
      <c r="GJJ5080" s="34">
        <v>0.5</v>
      </c>
      <c r="GJK5080" s="34">
        <v>1</v>
      </c>
      <c r="GJL5080" s="34">
        <v>1.5</v>
      </c>
      <c r="GJM5080" s="34">
        <v>2</v>
      </c>
      <c r="GJN5080" s="34">
        <v>2.5</v>
      </c>
      <c r="GJO5080" s="34">
        <v>3</v>
      </c>
      <c r="GJP5080" s="34">
        <v>3.5</v>
      </c>
      <c r="GJQ5080" s="34">
        <v>4</v>
      </c>
      <c r="GJR5080" s="34">
        <v>4.5</v>
      </c>
      <c r="GJS5080" s="34">
        <v>5</v>
      </c>
      <c r="GJU5080" s="913"/>
      <c r="GJV5080" s="31">
        <v>1</v>
      </c>
      <c r="GJW5080" s="34">
        <v>0</v>
      </c>
      <c r="GJX5080" s="34">
        <v>-1</v>
      </c>
      <c r="GJY5080" s="34">
        <v>-2</v>
      </c>
      <c r="GJZ5080" s="34">
        <v>-3</v>
      </c>
      <c r="GKA5080" s="34">
        <v>-4</v>
      </c>
      <c r="GKB5080" s="34">
        <v>-5</v>
      </c>
      <c r="GKC5080" s="908"/>
      <c r="GKD5080" s="909"/>
      <c r="GKE5080" s="34">
        <v>-5</v>
      </c>
      <c r="GKF5080" s="34">
        <v>-4.5</v>
      </c>
      <c r="GKG5080" s="34">
        <v>-4</v>
      </c>
      <c r="GKH5080" s="34">
        <v>-3.5</v>
      </c>
      <c r="GKI5080" s="34">
        <v>-3</v>
      </c>
      <c r="GKJ5080" s="34">
        <v>-2.5</v>
      </c>
      <c r="GKK5080" s="34">
        <v>-2</v>
      </c>
      <c r="GKL5080" s="34">
        <v>-1.5</v>
      </c>
      <c r="GKM5080" s="34">
        <v>-1</v>
      </c>
      <c r="GKN5080" s="34">
        <v>-0.5</v>
      </c>
      <c r="GKO5080" s="34">
        <v>0</v>
      </c>
      <c r="GKP5080" s="34">
        <v>0.5</v>
      </c>
      <c r="GKQ5080" s="34">
        <v>1</v>
      </c>
      <c r="GKR5080" s="34">
        <v>1.5</v>
      </c>
      <c r="GKS5080" s="34">
        <v>2</v>
      </c>
      <c r="GKT5080" s="34">
        <v>2.5</v>
      </c>
      <c r="GKU5080" s="34">
        <v>3</v>
      </c>
      <c r="GKV5080" s="34">
        <v>3.5</v>
      </c>
      <c r="GKW5080" s="34">
        <v>4</v>
      </c>
      <c r="GKX5080" s="34">
        <v>4.5</v>
      </c>
      <c r="GKY5080" s="34">
        <v>5</v>
      </c>
      <c r="GLA5080" s="913"/>
      <c r="GLB5080" s="31">
        <v>1</v>
      </c>
      <c r="GLC5080" s="34">
        <v>0</v>
      </c>
      <c r="GLD5080" s="34">
        <v>-1</v>
      </c>
      <c r="GLE5080" s="34">
        <v>-2</v>
      </c>
      <c r="GLF5080" s="34">
        <v>-3</v>
      </c>
      <c r="GLG5080" s="34">
        <v>-4</v>
      </c>
      <c r="GLH5080" s="34">
        <v>-5</v>
      </c>
      <c r="GLI5080" s="908"/>
      <c r="GLJ5080" s="909"/>
      <c r="GLK5080" s="34">
        <v>-5</v>
      </c>
      <c r="GLL5080" s="34">
        <v>-4.5</v>
      </c>
      <c r="GLM5080" s="34">
        <v>-4</v>
      </c>
      <c r="GLN5080" s="34">
        <v>-3.5</v>
      </c>
      <c r="GLO5080" s="34">
        <v>-3</v>
      </c>
      <c r="GLP5080" s="34">
        <v>-2.5</v>
      </c>
      <c r="GLQ5080" s="34">
        <v>-2</v>
      </c>
      <c r="GLR5080" s="34">
        <v>-1.5</v>
      </c>
      <c r="GLS5080" s="34">
        <v>-1</v>
      </c>
      <c r="GLT5080" s="34">
        <v>-0.5</v>
      </c>
      <c r="GLU5080" s="34">
        <v>0</v>
      </c>
      <c r="GLV5080" s="34">
        <v>0.5</v>
      </c>
      <c r="GLW5080" s="34">
        <v>1</v>
      </c>
      <c r="GLX5080" s="34">
        <v>1.5</v>
      </c>
      <c r="GLY5080" s="34">
        <v>2</v>
      </c>
      <c r="GLZ5080" s="34">
        <v>2.5</v>
      </c>
      <c r="GMA5080" s="34">
        <v>3</v>
      </c>
      <c r="GMB5080" s="34">
        <v>3.5</v>
      </c>
      <c r="GMC5080" s="34">
        <v>4</v>
      </c>
      <c r="GMD5080" s="34">
        <v>4.5</v>
      </c>
      <c r="GME5080" s="34">
        <v>5</v>
      </c>
      <c r="GMG5080" s="913"/>
      <c r="GMH5080" s="31">
        <v>1</v>
      </c>
      <c r="GMI5080" s="34">
        <v>0</v>
      </c>
      <c r="GMJ5080" s="34">
        <v>-1</v>
      </c>
      <c r="GMK5080" s="34">
        <v>-2</v>
      </c>
      <c r="GML5080" s="34">
        <v>-3</v>
      </c>
      <c r="GMM5080" s="34">
        <v>-4</v>
      </c>
      <c r="GMN5080" s="34">
        <v>-5</v>
      </c>
      <c r="GMO5080" s="908"/>
      <c r="GMP5080" s="909"/>
      <c r="GMQ5080" s="34">
        <v>-5</v>
      </c>
      <c r="GMR5080" s="34">
        <v>-4.5</v>
      </c>
      <c r="GMS5080" s="34">
        <v>-4</v>
      </c>
      <c r="GMT5080" s="34">
        <v>-3.5</v>
      </c>
      <c r="GMU5080" s="34">
        <v>-3</v>
      </c>
      <c r="GMV5080" s="34">
        <v>-2.5</v>
      </c>
      <c r="GMW5080" s="34">
        <v>-2</v>
      </c>
      <c r="GMX5080" s="34">
        <v>-1.5</v>
      </c>
      <c r="GMY5080" s="34">
        <v>-1</v>
      </c>
      <c r="GMZ5080" s="34">
        <v>-0.5</v>
      </c>
      <c r="GNA5080" s="34">
        <v>0</v>
      </c>
      <c r="GNB5080" s="34">
        <v>0.5</v>
      </c>
      <c r="GNC5080" s="34">
        <v>1</v>
      </c>
      <c r="GND5080" s="34">
        <v>1.5</v>
      </c>
      <c r="GNE5080" s="34">
        <v>2</v>
      </c>
      <c r="GNF5080" s="34">
        <v>2.5</v>
      </c>
      <c r="GNG5080" s="34">
        <v>3</v>
      </c>
      <c r="GNH5080" s="34">
        <v>3.5</v>
      </c>
      <c r="GNI5080" s="34">
        <v>4</v>
      </c>
      <c r="GNJ5080" s="34">
        <v>4.5</v>
      </c>
      <c r="GNK5080" s="34">
        <v>5</v>
      </c>
      <c r="GNM5080" s="913"/>
      <c r="GNN5080" s="31">
        <v>1</v>
      </c>
      <c r="GNO5080" s="34">
        <v>0</v>
      </c>
      <c r="GNP5080" s="34">
        <v>-1</v>
      </c>
      <c r="GNQ5080" s="34">
        <v>-2</v>
      </c>
      <c r="GNR5080" s="34">
        <v>-3</v>
      </c>
      <c r="GNS5080" s="34">
        <v>-4</v>
      </c>
      <c r="GNT5080" s="34">
        <v>-5</v>
      </c>
      <c r="GNU5080" s="908"/>
      <c r="GNV5080" s="909"/>
      <c r="GNW5080" s="34">
        <v>-5</v>
      </c>
      <c r="GNX5080" s="34">
        <v>-4.5</v>
      </c>
      <c r="GNY5080" s="34">
        <v>-4</v>
      </c>
      <c r="GNZ5080" s="34">
        <v>-3.5</v>
      </c>
      <c r="GOA5080" s="34">
        <v>-3</v>
      </c>
      <c r="GOB5080" s="34">
        <v>-2.5</v>
      </c>
      <c r="GOC5080" s="34">
        <v>-2</v>
      </c>
      <c r="GOD5080" s="34">
        <v>-1.5</v>
      </c>
      <c r="GOE5080" s="34">
        <v>-1</v>
      </c>
      <c r="GOF5080" s="34">
        <v>-0.5</v>
      </c>
      <c r="GOG5080" s="34">
        <v>0</v>
      </c>
      <c r="GOH5080" s="34">
        <v>0.5</v>
      </c>
      <c r="GOI5080" s="34">
        <v>1</v>
      </c>
      <c r="GOJ5080" s="34">
        <v>1.5</v>
      </c>
      <c r="GOK5080" s="34">
        <v>2</v>
      </c>
      <c r="GOL5080" s="34">
        <v>2.5</v>
      </c>
      <c r="GOM5080" s="34">
        <v>3</v>
      </c>
      <c r="GON5080" s="34">
        <v>3.5</v>
      </c>
      <c r="GOO5080" s="34">
        <v>4</v>
      </c>
      <c r="GOP5080" s="34">
        <v>4.5</v>
      </c>
      <c r="GOQ5080" s="34">
        <v>5</v>
      </c>
      <c r="GOS5080" s="913"/>
      <c r="GOT5080" s="31">
        <v>1</v>
      </c>
      <c r="GOU5080" s="34">
        <v>0</v>
      </c>
      <c r="GOV5080" s="34">
        <v>-1</v>
      </c>
      <c r="GOW5080" s="34">
        <v>-2</v>
      </c>
      <c r="GOX5080" s="34">
        <v>-3</v>
      </c>
      <c r="GOY5080" s="34">
        <v>-4</v>
      </c>
      <c r="GOZ5080" s="34">
        <v>-5</v>
      </c>
      <c r="GPA5080" s="908"/>
      <c r="GPB5080" s="909"/>
      <c r="GPC5080" s="34">
        <v>-5</v>
      </c>
      <c r="GPD5080" s="34">
        <v>-4.5</v>
      </c>
      <c r="GPE5080" s="34">
        <v>-4</v>
      </c>
      <c r="GPF5080" s="34">
        <v>-3.5</v>
      </c>
      <c r="GPG5080" s="34">
        <v>-3</v>
      </c>
      <c r="GPH5080" s="34">
        <v>-2.5</v>
      </c>
      <c r="GPI5080" s="34">
        <v>-2</v>
      </c>
      <c r="GPJ5080" s="34">
        <v>-1.5</v>
      </c>
      <c r="GPK5080" s="34">
        <v>-1</v>
      </c>
      <c r="GPL5080" s="34">
        <v>-0.5</v>
      </c>
      <c r="GPM5080" s="34">
        <v>0</v>
      </c>
      <c r="GPN5080" s="34">
        <v>0.5</v>
      </c>
      <c r="GPO5080" s="34">
        <v>1</v>
      </c>
      <c r="GPP5080" s="34">
        <v>1.5</v>
      </c>
      <c r="GPQ5080" s="34">
        <v>2</v>
      </c>
      <c r="GPR5080" s="34">
        <v>2.5</v>
      </c>
      <c r="GPS5080" s="34">
        <v>3</v>
      </c>
      <c r="GPT5080" s="34">
        <v>3.5</v>
      </c>
      <c r="GPU5080" s="34">
        <v>4</v>
      </c>
      <c r="GPV5080" s="34">
        <v>4.5</v>
      </c>
      <c r="GPW5080" s="34">
        <v>5</v>
      </c>
      <c r="GPY5080" s="913"/>
      <c r="GPZ5080" s="31">
        <v>1</v>
      </c>
      <c r="GQA5080" s="34">
        <v>0</v>
      </c>
      <c r="GQB5080" s="34">
        <v>-1</v>
      </c>
      <c r="GQC5080" s="34">
        <v>-2</v>
      </c>
      <c r="GQD5080" s="34">
        <v>-3</v>
      </c>
      <c r="GQE5080" s="34">
        <v>-4</v>
      </c>
      <c r="GQF5080" s="34">
        <v>-5</v>
      </c>
      <c r="GQG5080" s="908"/>
      <c r="GQH5080" s="909"/>
      <c r="GQI5080" s="34">
        <v>-5</v>
      </c>
      <c r="GQJ5080" s="34">
        <v>-4.5</v>
      </c>
      <c r="GQK5080" s="34">
        <v>-4</v>
      </c>
      <c r="GQL5080" s="34">
        <v>-3.5</v>
      </c>
      <c r="GQM5080" s="34">
        <v>-3</v>
      </c>
      <c r="GQN5080" s="34">
        <v>-2.5</v>
      </c>
      <c r="GQO5080" s="34">
        <v>-2</v>
      </c>
      <c r="GQP5080" s="34">
        <v>-1.5</v>
      </c>
      <c r="GQQ5080" s="34">
        <v>-1</v>
      </c>
      <c r="GQR5080" s="34">
        <v>-0.5</v>
      </c>
      <c r="GQS5080" s="34">
        <v>0</v>
      </c>
      <c r="GQT5080" s="34">
        <v>0.5</v>
      </c>
      <c r="GQU5080" s="34">
        <v>1</v>
      </c>
      <c r="GQV5080" s="34">
        <v>1.5</v>
      </c>
      <c r="GQW5080" s="34">
        <v>2</v>
      </c>
      <c r="GQX5080" s="34">
        <v>2.5</v>
      </c>
      <c r="GQY5080" s="34">
        <v>3</v>
      </c>
      <c r="GQZ5080" s="34">
        <v>3.5</v>
      </c>
      <c r="GRA5080" s="34">
        <v>4</v>
      </c>
      <c r="GRB5080" s="34">
        <v>4.5</v>
      </c>
      <c r="GRC5080" s="34">
        <v>5</v>
      </c>
      <c r="GRE5080" s="913"/>
      <c r="GRF5080" s="31">
        <v>1</v>
      </c>
      <c r="GRG5080" s="34">
        <v>0</v>
      </c>
      <c r="GRH5080" s="34">
        <v>-1</v>
      </c>
      <c r="GRI5080" s="34">
        <v>-2</v>
      </c>
      <c r="GRJ5080" s="34">
        <v>-3</v>
      </c>
      <c r="GRK5080" s="34">
        <v>-4</v>
      </c>
      <c r="GRL5080" s="34">
        <v>-5</v>
      </c>
      <c r="GRM5080" s="908"/>
      <c r="GRN5080" s="909"/>
      <c r="GRO5080" s="34">
        <v>-5</v>
      </c>
      <c r="GRP5080" s="34">
        <v>-4.5</v>
      </c>
      <c r="GRQ5080" s="34">
        <v>-4</v>
      </c>
      <c r="GRR5080" s="34">
        <v>-3.5</v>
      </c>
      <c r="GRS5080" s="34">
        <v>-3</v>
      </c>
      <c r="GRT5080" s="34">
        <v>-2.5</v>
      </c>
      <c r="GRU5080" s="34">
        <v>-2</v>
      </c>
      <c r="GRV5080" s="34">
        <v>-1.5</v>
      </c>
      <c r="GRW5080" s="34">
        <v>-1</v>
      </c>
      <c r="GRX5080" s="34">
        <v>-0.5</v>
      </c>
      <c r="GRY5080" s="34">
        <v>0</v>
      </c>
      <c r="GRZ5080" s="34">
        <v>0.5</v>
      </c>
      <c r="GSA5080" s="34">
        <v>1</v>
      </c>
      <c r="GSB5080" s="34">
        <v>1.5</v>
      </c>
      <c r="GSC5080" s="34">
        <v>2</v>
      </c>
      <c r="GSD5080" s="34">
        <v>2.5</v>
      </c>
      <c r="GSE5080" s="34">
        <v>3</v>
      </c>
      <c r="GSF5080" s="34">
        <v>3.5</v>
      </c>
      <c r="GSG5080" s="34">
        <v>4</v>
      </c>
      <c r="GSH5080" s="34">
        <v>4.5</v>
      </c>
      <c r="GSI5080" s="34">
        <v>5</v>
      </c>
      <c r="GSK5080" s="913"/>
      <c r="GSL5080" s="31">
        <v>1</v>
      </c>
      <c r="GSM5080" s="34">
        <v>0</v>
      </c>
      <c r="GSN5080" s="34">
        <v>-1</v>
      </c>
      <c r="GSO5080" s="34">
        <v>-2</v>
      </c>
      <c r="GSP5080" s="34">
        <v>-3</v>
      </c>
      <c r="GSQ5080" s="34">
        <v>-4</v>
      </c>
      <c r="GSR5080" s="34">
        <v>-5</v>
      </c>
      <c r="GSS5080" s="908"/>
      <c r="GST5080" s="909"/>
      <c r="GSU5080" s="34">
        <v>-5</v>
      </c>
      <c r="GSV5080" s="34">
        <v>-4.5</v>
      </c>
      <c r="GSW5080" s="34">
        <v>-4</v>
      </c>
      <c r="GSX5080" s="34">
        <v>-3.5</v>
      </c>
      <c r="GSY5080" s="34">
        <v>-3</v>
      </c>
      <c r="GSZ5080" s="34">
        <v>-2.5</v>
      </c>
      <c r="GTA5080" s="34">
        <v>-2</v>
      </c>
      <c r="GTB5080" s="34">
        <v>-1.5</v>
      </c>
      <c r="GTC5080" s="34">
        <v>-1</v>
      </c>
      <c r="GTD5080" s="34">
        <v>-0.5</v>
      </c>
      <c r="GTE5080" s="34">
        <v>0</v>
      </c>
      <c r="GTF5080" s="34">
        <v>0.5</v>
      </c>
      <c r="GTG5080" s="34">
        <v>1</v>
      </c>
      <c r="GTH5080" s="34">
        <v>1.5</v>
      </c>
      <c r="GTI5080" s="34">
        <v>2</v>
      </c>
      <c r="GTJ5080" s="34">
        <v>2.5</v>
      </c>
      <c r="GTK5080" s="34">
        <v>3</v>
      </c>
      <c r="GTL5080" s="34">
        <v>3.5</v>
      </c>
      <c r="GTM5080" s="34">
        <v>4</v>
      </c>
      <c r="GTN5080" s="34">
        <v>4.5</v>
      </c>
      <c r="GTO5080" s="34">
        <v>5</v>
      </c>
      <c r="GTQ5080" s="913"/>
      <c r="GTR5080" s="31">
        <v>1</v>
      </c>
      <c r="GTS5080" s="34">
        <v>0</v>
      </c>
      <c r="GTT5080" s="34">
        <v>-1</v>
      </c>
      <c r="GTU5080" s="34">
        <v>-2</v>
      </c>
      <c r="GTV5080" s="34">
        <v>-3</v>
      </c>
      <c r="GTW5080" s="34">
        <v>-4</v>
      </c>
      <c r="GTX5080" s="34">
        <v>-5</v>
      </c>
      <c r="GTY5080" s="908"/>
      <c r="GTZ5080" s="909"/>
      <c r="GUA5080" s="34">
        <v>-5</v>
      </c>
      <c r="GUB5080" s="34">
        <v>-4.5</v>
      </c>
      <c r="GUC5080" s="34">
        <v>-4</v>
      </c>
      <c r="GUD5080" s="34">
        <v>-3.5</v>
      </c>
      <c r="GUE5080" s="34">
        <v>-3</v>
      </c>
      <c r="GUF5080" s="34">
        <v>-2.5</v>
      </c>
      <c r="GUG5080" s="34">
        <v>-2</v>
      </c>
      <c r="GUH5080" s="34">
        <v>-1.5</v>
      </c>
      <c r="GUI5080" s="34">
        <v>-1</v>
      </c>
      <c r="GUJ5080" s="34">
        <v>-0.5</v>
      </c>
      <c r="GUK5080" s="34">
        <v>0</v>
      </c>
      <c r="GUL5080" s="34">
        <v>0.5</v>
      </c>
      <c r="GUM5080" s="34">
        <v>1</v>
      </c>
      <c r="GUN5080" s="34">
        <v>1.5</v>
      </c>
      <c r="GUO5080" s="34">
        <v>2</v>
      </c>
      <c r="GUP5080" s="34">
        <v>2.5</v>
      </c>
      <c r="GUQ5080" s="34">
        <v>3</v>
      </c>
      <c r="GUR5080" s="34">
        <v>3.5</v>
      </c>
      <c r="GUS5080" s="34">
        <v>4</v>
      </c>
      <c r="GUT5080" s="34">
        <v>4.5</v>
      </c>
      <c r="GUU5080" s="34">
        <v>5</v>
      </c>
      <c r="GUW5080" s="913"/>
      <c r="GUX5080" s="31">
        <v>1</v>
      </c>
      <c r="GUY5080" s="34">
        <v>0</v>
      </c>
      <c r="GUZ5080" s="34">
        <v>-1</v>
      </c>
      <c r="GVA5080" s="34">
        <v>-2</v>
      </c>
      <c r="GVB5080" s="34">
        <v>-3</v>
      </c>
      <c r="GVC5080" s="34">
        <v>-4</v>
      </c>
      <c r="GVD5080" s="34">
        <v>-5</v>
      </c>
      <c r="GVE5080" s="908"/>
      <c r="GVF5080" s="909"/>
      <c r="GVG5080" s="34">
        <v>-5</v>
      </c>
      <c r="GVH5080" s="34">
        <v>-4.5</v>
      </c>
      <c r="GVI5080" s="34">
        <v>-4</v>
      </c>
      <c r="GVJ5080" s="34">
        <v>-3.5</v>
      </c>
      <c r="GVK5080" s="34">
        <v>-3</v>
      </c>
      <c r="GVL5080" s="34">
        <v>-2.5</v>
      </c>
      <c r="GVM5080" s="34">
        <v>-2</v>
      </c>
      <c r="GVN5080" s="34">
        <v>-1.5</v>
      </c>
      <c r="GVO5080" s="34">
        <v>-1</v>
      </c>
      <c r="GVP5080" s="34">
        <v>-0.5</v>
      </c>
      <c r="GVQ5080" s="34">
        <v>0</v>
      </c>
      <c r="GVR5080" s="34">
        <v>0.5</v>
      </c>
      <c r="GVS5080" s="34">
        <v>1</v>
      </c>
      <c r="GVT5080" s="34">
        <v>1.5</v>
      </c>
      <c r="GVU5080" s="34">
        <v>2</v>
      </c>
      <c r="GVV5080" s="34">
        <v>2.5</v>
      </c>
      <c r="GVW5080" s="34">
        <v>3</v>
      </c>
      <c r="GVX5080" s="34">
        <v>3.5</v>
      </c>
      <c r="GVY5080" s="34">
        <v>4</v>
      </c>
      <c r="GVZ5080" s="34">
        <v>4.5</v>
      </c>
      <c r="GWA5080" s="34">
        <v>5</v>
      </c>
      <c r="GWC5080" s="913"/>
      <c r="GWD5080" s="31">
        <v>1</v>
      </c>
      <c r="GWE5080" s="34">
        <v>0</v>
      </c>
      <c r="GWF5080" s="34">
        <v>-1</v>
      </c>
      <c r="GWG5080" s="34">
        <v>-2</v>
      </c>
      <c r="GWH5080" s="34">
        <v>-3</v>
      </c>
      <c r="GWI5080" s="34">
        <v>-4</v>
      </c>
      <c r="GWJ5080" s="34">
        <v>-5</v>
      </c>
      <c r="GWK5080" s="908"/>
      <c r="GWL5080" s="909"/>
      <c r="GWM5080" s="34">
        <v>-5</v>
      </c>
      <c r="GWN5080" s="34">
        <v>-4.5</v>
      </c>
      <c r="GWO5080" s="34">
        <v>-4</v>
      </c>
      <c r="GWP5080" s="34">
        <v>-3.5</v>
      </c>
      <c r="GWQ5080" s="34">
        <v>-3</v>
      </c>
      <c r="GWR5080" s="34">
        <v>-2.5</v>
      </c>
      <c r="GWS5080" s="34">
        <v>-2</v>
      </c>
      <c r="GWT5080" s="34">
        <v>-1.5</v>
      </c>
      <c r="GWU5080" s="34">
        <v>-1</v>
      </c>
      <c r="GWV5080" s="34">
        <v>-0.5</v>
      </c>
      <c r="GWW5080" s="34">
        <v>0</v>
      </c>
      <c r="GWX5080" s="34">
        <v>0.5</v>
      </c>
      <c r="GWY5080" s="34">
        <v>1</v>
      </c>
      <c r="GWZ5080" s="34">
        <v>1.5</v>
      </c>
      <c r="GXA5080" s="34">
        <v>2</v>
      </c>
      <c r="GXB5080" s="34">
        <v>2.5</v>
      </c>
      <c r="GXC5080" s="34">
        <v>3</v>
      </c>
      <c r="GXD5080" s="34">
        <v>3.5</v>
      </c>
      <c r="GXE5080" s="34">
        <v>4</v>
      </c>
      <c r="GXF5080" s="34">
        <v>4.5</v>
      </c>
      <c r="GXG5080" s="34">
        <v>5</v>
      </c>
      <c r="GXI5080" s="913"/>
      <c r="GXJ5080" s="31">
        <v>1</v>
      </c>
      <c r="GXK5080" s="34">
        <v>0</v>
      </c>
      <c r="GXL5080" s="34">
        <v>-1</v>
      </c>
      <c r="GXM5080" s="34">
        <v>-2</v>
      </c>
      <c r="GXN5080" s="34">
        <v>-3</v>
      </c>
      <c r="GXO5080" s="34">
        <v>-4</v>
      </c>
      <c r="GXP5080" s="34">
        <v>-5</v>
      </c>
      <c r="GXQ5080" s="908"/>
      <c r="GXR5080" s="909"/>
      <c r="GXS5080" s="34">
        <v>-5</v>
      </c>
      <c r="GXT5080" s="34">
        <v>-4.5</v>
      </c>
      <c r="GXU5080" s="34">
        <v>-4</v>
      </c>
      <c r="GXV5080" s="34">
        <v>-3.5</v>
      </c>
      <c r="GXW5080" s="34">
        <v>-3</v>
      </c>
      <c r="GXX5080" s="34">
        <v>-2.5</v>
      </c>
      <c r="GXY5080" s="34">
        <v>-2</v>
      </c>
      <c r="GXZ5080" s="34">
        <v>-1.5</v>
      </c>
      <c r="GYA5080" s="34">
        <v>-1</v>
      </c>
      <c r="GYB5080" s="34">
        <v>-0.5</v>
      </c>
      <c r="GYC5080" s="34">
        <v>0</v>
      </c>
      <c r="GYD5080" s="34">
        <v>0.5</v>
      </c>
      <c r="GYE5080" s="34">
        <v>1</v>
      </c>
      <c r="GYF5080" s="34">
        <v>1.5</v>
      </c>
      <c r="GYG5080" s="34">
        <v>2</v>
      </c>
      <c r="GYH5080" s="34">
        <v>2.5</v>
      </c>
      <c r="GYI5080" s="34">
        <v>3</v>
      </c>
      <c r="GYJ5080" s="34">
        <v>3.5</v>
      </c>
      <c r="GYK5080" s="34">
        <v>4</v>
      </c>
      <c r="GYL5080" s="34">
        <v>4.5</v>
      </c>
      <c r="GYM5080" s="34">
        <v>5</v>
      </c>
      <c r="GYO5080" s="913"/>
      <c r="GYP5080" s="31">
        <v>1</v>
      </c>
      <c r="GYQ5080" s="34">
        <v>0</v>
      </c>
      <c r="GYR5080" s="34">
        <v>-1</v>
      </c>
      <c r="GYS5080" s="34">
        <v>-2</v>
      </c>
      <c r="GYT5080" s="34">
        <v>-3</v>
      </c>
      <c r="GYU5080" s="34">
        <v>-4</v>
      </c>
      <c r="GYV5080" s="34">
        <v>-5</v>
      </c>
      <c r="GYW5080" s="908"/>
      <c r="GYX5080" s="909"/>
      <c r="GYY5080" s="34">
        <v>-5</v>
      </c>
      <c r="GYZ5080" s="34">
        <v>-4.5</v>
      </c>
      <c r="GZA5080" s="34">
        <v>-4</v>
      </c>
      <c r="GZB5080" s="34">
        <v>-3.5</v>
      </c>
      <c r="GZC5080" s="34">
        <v>-3</v>
      </c>
      <c r="GZD5080" s="34">
        <v>-2.5</v>
      </c>
      <c r="GZE5080" s="34">
        <v>-2</v>
      </c>
      <c r="GZF5080" s="34">
        <v>-1.5</v>
      </c>
      <c r="GZG5080" s="34">
        <v>-1</v>
      </c>
      <c r="GZH5080" s="34">
        <v>-0.5</v>
      </c>
      <c r="GZI5080" s="34">
        <v>0</v>
      </c>
      <c r="GZJ5080" s="34">
        <v>0.5</v>
      </c>
      <c r="GZK5080" s="34">
        <v>1</v>
      </c>
      <c r="GZL5080" s="34">
        <v>1.5</v>
      </c>
      <c r="GZM5080" s="34">
        <v>2</v>
      </c>
      <c r="GZN5080" s="34">
        <v>2.5</v>
      </c>
      <c r="GZO5080" s="34">
        <v>3</v>
      </c>
      <c r="GZP5080" s="34">
        <v>3.5</v>
      </c>
      <c r="GZQ5080" s="34">
        <v>4</v>
      </c>
      <c r="GZR5080" s="34">
        <v>4.5</v>
      </c>
      <c r="GZS5080" s="34">
        <v>5</v>
      </c>
      <c r="GZU5080" s="913"/>
      <c r="GZV5080" s="31">
        <v>1</v>
      </c>
      <c r="GZW5080" s="34">
        <v>0</v>
      </c>
      <c r="GZX5080" s="34">
        <v>-1</v>
      </c>
      <c r="GZY5080" s="34">
        <v>-2</v>
      </c>
      <c r="GZZ5080" s="34">
        <v>-3</v>
      </c>
      <c r="HAA5080" s="34">
        <v>-4</v>
      </c>
      <c r="HAB5080" s="34">
        <v>-5</v>
      </c>
      <c r="HAC5080" s="908"/>
      <c r="HAD5080" s="909"/>
      <c r="HAE5080" s="34">
        <v>-5</v>
      </c>
      <c r="HAF5080" s="34">
        <v>-4.5</v>
      </c>
      <c r="HAG5080" s="34">
        <v>-4</v>
      </c>
      <c r="HAH5080" s="34">
        <v>-3.5</v>
      </c>
      <c r="HAI5080" s="34">
        <v>-3</v>
      </c>
      <c r="HAJ5080" s="34">
        <v>-2.5</v>
      </c>
      <c r="HAK5080" s="34">
        <v>-2</v>
      </c>
      <c r="HAL5080" s="34">
        <v>-1.5</v>
      </c>
      <c r="HAM5080" s="34">
        <v>-1</v>
      </c>
      <c r="HAN5080" s="34">
        <v>-0.5</v>
      </c>
      <c r="HAO5080" s="34">
        <v>0</v>
      </c>
      <c r="HAP5080" s="34">
        <v>0.5</v>
      </c>
      <c r="HAQ5080" s="34">
        <v>1</v>
      </c>
      <c r="HAR5080" s="34">
        <v>1.5</v>
      </c>
      <c r="HAS5080" s="34">
        <v>2</v>
      </c>
      <c r="HAT5080" s="34">
        <v>2.5</v>
      </c>
      <c r="HAU5080" s="34">
        <v>3</v>
      </c>
      <c r="HAV5080" s="34">
        <v>3.5</v>
      </c>
      <c r="HAW5080" s="34">
        <v>4</v>
      </c>
      <c r="HAX5080" s="34">
        <v>4.5</v>
      </c>
      <c r="HAY5080" s="34">
        <v>5</v>
      </c>
      <c r="HBA5080" s="913"/>
      <c r="HBB5080" s="31">
        <v>1</v>
      </c>
      <c r="HBC5080" s="34">
        <v>0</v>
      </c>
      <c r="HBD5080" s="34">
        <v>-1</v>
      </c>
      <c r="HBE5080" s="34">
        <v>-2</v>
      </c>
      <c r="HBF5080" s="34">
        <v>-3</v>
      </c>
      <c r="HBG5080" s="34">
        <v>-4</v>
      </c>
      <c r="HBH5080" s="34">
        <v>-5</v>
      </c>
      <c r="HBI5080" s="908"/>
      <c r="HBJ5080" s="909"/>
      <c r="HBK5080" s="34">
        <v>-5</v>
      </c>
      <c r="HBL5080" s="34">
        <v>-4.5</v>
      </c>
      <c r="HBM5080" s="34">
        <v>-4</v>
      </c>
      <c r="HBN5080" s="34">
        <v>-3.5</v>
      </c>
      <c r="HBO5080" s="34">
        <v>-3</v>
      </c>
      <c r="HBP5080" s="34">
        <v>-2.5</v>
      </c>
      <c r="HBQ5080" s="34">
        <v>-2</v>
      </c>
      <c r="HBR5080" s="34">
        <v>-1.5</v>
      </c>
      <c r="HBS5080" s="34">
        <v>-1</v>
      </c>
      <c r="HBT5080" s="34">
        <v>-0.5</v>
      </c>
      <c r="HBU5080" s="34">
        <v>0</v>
      </c>
      <c r="HBV5080" s="34">
        <v>0.5</v>
      </c>
      <c r="HBW5080" s="34">
        <v>1</v>
      </c>
      <c r="HBX5080" s="34">
        <v>1.5</v>
      </c>
      <c r="HBY5080" s="34">
        <v>2</v>
      </c>
      <c r="HBZ5080" s="34">
        <v>2.5</v>
      </c>
      <c r="HCA5080" s="34">
        <v>3</v>
      </c>
      <c r="HCB5080" s="34">
        <v>3.5</v>
      </c>
      <c r="HCC5080" s="34">
        <v>4</v>
      </c>
      <c r="HCD5080" s="34">
        <v>4.5</v>
      </c>
      <c r="HCE5080" s="34">
        <v>5</v>
      </c>
      <c r="HCG5080" s="913"/>
      <c r="HCH5080" s="31">
        <v>1</v>
      </c>
      <c r="HCI5080" s="34">
        <v>0</v>
      </c>
      <c r="HCJ5080" s="34">
        <v>-1</v>
      </c>
      <c r="HCK5080" s="34">
        <v>-2</v>
      </c>
      <c r="HCL5080" s="34">
        <v>-3</v>
      </c>
      <c r="HCM5080" s="34">
        <v>-4</v>
      </c>
      <c r="HCN5080" s="34">
        <v>-5</v>
      </c>
      <c r="HCO5080" s="908"/>
      <c r="HCP5080" s="909"/>
      <c r="HCQ5080" s="34">
        <v>-5</v>
      </c>
      <c r="HCR5080" s="34">
        <v>-4.5</v>
      </c>
      <c r="HCS5080" s="34">
        <v>-4</v>
      </c>
      <c r="HCT5080" s="34">
        <v>-3.5</v>
      </c>
      <c r="HCU5080" s="34">
        <v>-3</v>
      </c>
      <c r="HCV5080" s="34">
        <v>-2.5</v>
      </c>
      <c r="HCW5080" s="34">
        <v>-2</v>
      </c>
      <c r="HCX5080" s="34">
        <v>-1.5</v>
      </c>
      <c r="HCY5080" s="34">
        <v>-1</v>
      </c>
      <c r="HCZ5080" s="34">
        <v>-0.5</v>
      </c>
      <c r="HDA5080" s="34">
        <v>0</v>
      </c>
      <c r="HDB5080" s="34">
        <v>0.5</v>
      </c>
      <c r="HDC5080" s="34">
        <v>1</v>
      </c>
      <c r="HDD5080" s="34">
        <v>1.5</v>
      </c>
      <c r="HDE5080" s="34">
        <v>2</v>
      </c>
      <c r="HDF5080" s="34">
        <v>2.5</v>
      </c>
      <c r="HDG5080" s="34">
        <v>3</v>
      </c>
      <c r="HDH5080" s="34">
        <v>3.5</v>
      </c>
      <c r="HDI5080" s="34">
        <v>4</v>
      </c>
      <c r="HDJ5080" s="34">
        <v>4.5</v>
      </c>
      <c r="HDK5080" s="34">
        <v>5</v>
      </c>
      <c r="HDM5080" s="913"/>
      <c r="HDN5080" s="31">
        <v>1</v>
      </c>
      <c r="HDO5080" s="34">
        <v>0</v>
      </c>
      <c r="HDP5080" s="34">
        <v>-1</v>
      </c>
      <c r="HDQ5080" s="34">
        <v>-2</v>
      </c>
      <c r="HDR5080" s="34">
        <v>-3</v>
      </c>
      <c r="HDS5080" s="34">
        <v>-4</v>
      </c>
      <c r="HDT5080" s="34">
        <v>-5</v>
      </c>
      <c r="HDU5080" s="908"/>
      <c r="HDV5080" s="909"/>
      <c r="HDW5080" s="34">
        <v>-5</v>
      </c>
      <c r="HDX5080" s="34">
        <v>-4.5</v>
      </c>
      <c r="HDY5080" s="34">
        <v>-4</v>
      </c>
      <c r="HDZ5080" s="34">
        <v>-3.5</v>
      </c>
      <c r="HEA5080" s="34">
        <v>-3</v>
      </c>
      <c r="HEB5080" s="34">
        <v>-2.5</v>
      </c>
      <c r="HEC5080" s="34">
        <v>-2</v>
      </c>
      <c r="HED5080" s="34">
        <v>-1.5</v>
      </c>
      <c r="HEE5080" s="34">
        <v>-1</v>
      </c>
      <c r="HEF5080" s="34">
        <v>-0.5</v>
      </c>
      <c r="HEG5080" s="34">
        <v>0</v>
      </c>
      <c r="HEH5080" s="34">
        <v>0.5</v>
      </c>
      <c r="HEI5080" s="34">
        <v>1</v>
      </c>
      <c r="HEJ5080" s="34">
        <v>1.5</v>
      </c>
      <c r="HEK5080" s="34">
        <v>2</v>
      </c>
      <c r="HEL5080" s="34">
        <v>2.5</v>
      </c>
      <c r="HEM5080" s="34">
        <v>3</v>
      </c>
      <c r="HEN5080" s="34">
        <v>3.5</v>
      </c>
      <c r="HEO5080" s="34">
        <v>4</v>
      </c>
      <c r="HEP5080" s="34">
        <v>4.5</v>
      </c>
      <c r="HEQ5080" s="34">
        <v>5</v>
      </c>
      <c r="HES5080" s="913"/>
      <c r="HET5080" s="31">
        <v>1</v>
      </c>
      <c r="HEU5080" s="34">
        <v>0</v>
      </c>
      <c r="HEV5080" s="34">
        <v>-1</v>
      </c>
      <c r="HEW5080" s="34">
        <v>-2</v>
      </c>
      <c r="HEX5080" s="34">
        <v>-3</v>
      </c>
      <c r="HEY5080" s="34">
        <v>-4</v>
      </c>
      <c r="HEZ5080" s="34">
        <v>-5</v>
      </c>
      <c r="HFA5080" s="908"/>
      <c r="HFB5080" s="909"/>
      <c r="HFC5080" s="34">
        <v>-5</v>
      </c>
      <c r="HFD5080" s="34">
        <v>-4.5</v>
      </c>
      <c r="HFE5080" s="34">
        <v>-4</v>
      </c>
      <c r="HFF5080" s="34">
        <v>-3.5</v>
      </c>
      <c r="HFG5080" s="34">
        <v>-3</v>
      </c>
      <c r="HFH5080" s="34">
        <v>-2.5</v>
      </c>
      <c r="HFI5080" s="34">
        <v>-2</v>
      </c>
      <c r="HFJ5080" s="34">
        <v>-1.5</v>
      </c>
      <c r="HFK5080" s="34">
        <v>-1</v>
      </c>
      <c r="HFL5080" s="34">
        <v>-0.5</v>
      </c>
      <c r="HFM5080" s="34">
        <v>0</v>
      </c>
      <c r="HFN5080" s="34">
        <v>0.5</v>
      </c>
      <c r="HFO5080" s="34">
        <v>1</v>
      </c>
      <c r="HFP5080" s="34">
        <v>1.5</v>
      </c>
      <c r="HFQ5080" s="34">
        <v>2</v>
      </c>
      <c r="HFR5080" s="34">
        <v>2.5</v>
      </c>
      <c r="HFS5080" s="34">
        <v>3</v>
      </c>
      <c r="HFT5080" s="34">
        <v>3.5</v>
      </c>
      <c r="HFU5080" s="34">
        <v>4</v>
      </c>
      <c r="HFV5080" s="34">
        <v>4.5</v>
      </c>
      <c r="HFW5080" s="34">
        <v>5</v>
      </c>
      <c r="HFY5080" s="913"/>
      <c r="HFZ5080" s="31">
        <v>1</v>
      </c>
      <c r="HGA5080" s="34">
        <v>0</v>
      </c>
      <c r="HGB5080" s="34">
        <v>-1</v>
      </c>
      <c r="HGC5080" s="34">
        <v>-2</v>
      </c>
      <c r="HGD5080" s="34">
        <v>-3</v>
      </c>
      <c r="HGE5080" s="34">
        <v>-4</v>
      </c>
      <c r="HGF5080" s="34">
        <v>-5</v>
      </c>
      <c r="HGG5080" s="908"/>
      <c r="HGH5080" s="909"/>
      <c r="HGI5080" s="34">
        <v>-5</v>
      </c>
      <c r="HGJ5080" s="34">
        <v>-4.5</v>
      </c>
      <c r="HGK5080" s="34">
        <v>-4</v>
      </c>
      <c r="HGL5080" s="34">
        <v>-3.5</v>
      </c>
      <c r="HGM5080" s="34">
        <v>-3</v>
      </c>
      <c r="HGN5080" s="34">
        <v>-2.5</v>
      </c>
      <c r="HGO5080" s="34">
        <v>-2</v>
      </c>
      <c r="HGP5080" s="34">
        <v>-1.5</v>
      </c>
      <c r="HGQ5080" s="34">
        <v>-1</v>
      </c>
      <c r="HGR5080" s="34">
        <v>-0.5</v>
      </c>
      <c r="HGS5080" s="34">
        <v>0</v>
      </c>
      <c r="HGT5080" s="34">
        <v>0.5</v>
      </c>
      <c r="HGU5080" s="34">
        <v>1</v>
      </c>
      <c r="HGV5080" s="34">
        <v>1.5</v>
      </c>
      <c r="HGW5080" s="34">
        <v>2</v>
      </c>
      <c r="HGX5080" s="34">
        <v>2.5</v>
      </c>
      <c r="HGY5080" s="34">
        <v>3</v>
      </c>
      <c r="HGZ5080" s="34">
        <v>3.5</v>
      </c>
      <c r="HHA5080" s="34">
        <v>4</v>
      </c>
      <c r="HHB5080" s="34">
        <v>4.5</v>
      </c>
      <c r="HHC5080" s="34">
        <v>5</v>
      </c>
      <c r="HHE5080" s="913"/>
      <c r="HHF5080" s="31">
        <v>1</v>
      </c>
      <c r="HHG5080" s="34">
        <v>0</v>
      </c>
      <c r="HHH5080" s="34">
        <v>-1</v>
      </c>
      <c r="HHI5080" s="34">
        <v>-2</v>
      </c>
      <c r="HHJ5080" s="34">
        <v>-3</v>
      </c>
      <c r="HHK5080" s="34">
        <v>-4</v>
      </c>
      <c r="HHL5080" s="34">
        <v>-5</v>
      </c>
      <c r="HHM5080" s="908"/>
      <c r="HHN5080" s="909"/>
      <c r="HHO5080" s="34">
        <v>-5</v>
      </c>
      <c r="HHP5080" s="34">
        <v>-4.5</v>
      </c>
      <c r="HHQ5080" s="34">
        <v>-4</v>
      </c>
      <c r="HHR5080" s="34">
        <v>-3.5</v>
      </c>
      <c r="HHS5080" s="34">
        <v>-3</v>
      </c>
      <c r="HHT5080" s="34">
        <v>-2.5</v>
      </c>
      <c r="HHU5080" s="34">
        <v>-2</v>
      </c>
      <c r="HHV5080" s="34">
        <v>-1.5</v>
      </c>
      <c r="HHW5080" s="34">
        <v>-1</v>
      </c>
      <c r="HHX5080" s="34">
        <v>-0.5</v>
      </c>
      <c r="HHY5080" s="34">
        <v>0</v>
      </c>
      <c r="HHZ5080" s="34">
        <v>0.5</v>
      </c>
      <c r="HIA5080" s="34">
        <v>1</v>
      </c>
      <c r="HIB5080" s="34">
        <v>1.5</v>
      </c>
      <c r="HIC5080" s="34">
        <v>2</v>
      </c>
      <c r="HID5080" s="34">
        <v>2.5</v>
      </c>
      <c r="HIE5080" s="34">
        <v>3</v>
      </c>
      <c r="HIF5080" s="34">
        <v>3.5</v>
      </c>
      <c r="HIG5080" s="34">
        <v>4</v>
      </c>
      <c r="HIH5080" s="34">
        <v>4.5</v>
      </c>
      <c r="HII5080" s="34">
        <v>5</v>
      </c>
      <c r="HIK5080" s="913"/>
      <c r="HIL5080" s="31">
        <v>1</v>
      </c>
      <c r="HIM5080" s="34">
        <v>0</v>
      </c>
      <c r="HIN5080" s="34">
        <v>-1</v>
      </c>
      <c r="HIO5080" s="34">
        <v>-2</v>
      </c>
      <c r="HIP5080" s="34">
        <v>-3</v>
      </c>
      <c r="HIQ5080" s="34">
        <v>-4</v>
      </c>
      <c r="HIR5080" s="34">
        <v>-5</v>
      </c>
      <c r="HIS5080" s="908"/>
      <c r="HIT5080" s="909"/>
      <c r="HIU5080" s="34">
        <v>-5</v>
      </c>
      <c r="HIV5080" s="34">
        <v>-4.5</v>
      </c>
      <c r="HIW5080" s="34">
        <v>-4</v>
      </c>
      <c r="HIX5080" s="34">
        <v>-3.5</v>
      </c>
      <c r="HIY5080" s="34">
        <v>-3</v>
      </c>
      <c r="HIZ5080" s="34">
        <v>-2.5</v>
      </c>
      <c r="HJA5080" s="34">
        <v>-2</v>
      </c>
      <c r="HJB5080" s="34">
        <v>-1.5</v>
      </c>
      <c r="HJC5080" s="34">
        <v>-1</v>
      </c>
      <c r="HJD5080" s="34">
        <v>-0.5</v>
      </c>
      <c r="HJE5080" s="34">
        <v>0</v>
      </c>
      <c r="HJF5080" s="34">
        <v>0.5</v>
      </c>
      <c r="HJG5080" s="34">
        <v>1</v>
      </c>
      <c r="HJH5080" s="34">
        <v>1.5</v>
      </c>
      <c r="HJI5080" s="34">
        <v>2</v>
      </c>
      <c r="HJJ5080" s="34">
        <v>2.5</v>
      </c>
      <c r="HJK5080" s="34">
        <v>3</v>
      </c>
      <c r="HJL5080" s="34">
        <v>3.5</v>
      </c>
      <c r="HJM5080" s="34">
        <v>4</v>
      </c>
      <c r="HJN5080" s="34">
        <v>4.5</v>
      </c>
      <c r="HJO5080" s="34">
        <v>5</v>
      </c>
      <c r="HJQ5080" s="913"/>
      <c r="HJR5080" s="31">
        <v>1</v>
      </c>
      <c r="HJS5080" s="34">
        <v>0</v>
      </c>
      <c r="HJT5080" s="34">
        <v>-1</v>
      </c>
      <c r="HJU5080" s="34">
        <v>-2</v>
      </c>
      <c r="HJV5080" s="34">
        <v>-3</v>
      </c>
      <c r="HJW5080" s="34">
        <v>-4</v>
      </c>
      <c r="HJX5080" s="34">
        <v>-5</v>
      </c>
      <c r="HJY5080" s="908"/>
      <c r="HJZ5080" s="909"/>
      <c r="HKA5080" s="34">
        <v>-5</v>
      </c>
      <c r="HKB5080" s="34">
        <v>-4.5</v>
      </c>
      <c r="HKC5080" s="34">
        <v>-4</v>
      </c>
      <c r="HKD5080" s="34">
        <v>-3.5</v>
      </c>
      <c r="HKE5080" s="34">
        <v>-3</v>
      </c>
      <c r="HKF5080" s="34">
        <v>-2.5</v>
      </c>
      <c r="HKG5080" s="34">
        <v>-2</v>
      </c>
      <c r="HKH5080" s="34">
        <v>-1.5</v>
      </c>
      <c r="HKI5080" s="34">
        <v>-1</v>
      </c>
      <c r="HKJ5080" s="34">
        <v>-0.5</v>
      </c>
      <c r="HKK5080" s="34">
        <v>0</v>
      </c>
      <c r="HKL5080" s="34">
        <v>0.5</v>
      </c>
      <c r="HKM5080" s="34">
        <v>1</v>
      </c>
      <c r="HKN5080" s="34">
        <v>1.5</v>
      </c>
      <c r="HKO5080" s="34">
        <v>2</v>
      </c>
      <c r="HKP5080" s="34">
        <v>2.5</v>
      </c>
      <c r="HKQ5080" s="34">
        <v>3</v>
      </c>
      <c r="HKR5080" s="34">
        <v>3.5</v>
      </c>
      <c r="HKS5080" s="34">
        <v>4</v>
      </c>
      <c r="HKT5080" s="34">
        <v>4.5</v>
      </c>
      <c r="HKU5080" s="34">
        <v>5</v>
      </c>
      <c r="HKW5080" s="913"/>
      <c r="HKX5080" s="31">
        <v>1</v>
      </c>
      <c r="HKY5080" s="34">
        <v>0</v>
      </c>
      <c r="HKZ5080" s="34">
        <v>-1</v>
      </c>
      <c r="HLA5080" s="34">
        <v>-2</v>
      </c>
      <c r="HLB5080" s="34">
        <v>-3</v>
      </c>
      <c r="HLC5080" s="34">
        <v>-4</v>
      </c>
      <c r="HLD5080" s="34">
        <v>-5</v>
      </c>
      <c r="HLE5080" s="908"/>
      <c r="HLF5080" s="909"/>
      <c r="HLG5080" s="34">
        <v>-5</v>
      </c>
      <c r="HLH5080" s="34">
        <v>-4.5</v>
      </c>
      <c r="HLI5080" s="34">
        <v>-4</v>
      </c>
      <c r="HLJ5080" s="34">
        <v>-3.5</v>
      </c>
      <c r="HLK5080" s="34">
        <v>-3</v>
      </c>
      <c r="HLL5080" s="34">
        <v>-2.5</v>
      </c>
      <c r="HLM5080" s="34">
        <v>-2</v>
      </c>
      <c r="HLN5080" s="34">
        <v>-1.5</v>
      </c>
      <c r="HLO5080" s="34">
        <v>-1</v>
      </c>
      <c r="HLP5080" s="34">
        <v>-0.5</v>
      </c>
      <c r="HLQ5080" s="34">
        <v>0</v>
      </c>
      <c r="HLR5080" s="34">
        <v>0.5</v>
      </c>
      <c r="HLS5080" s="34">
        <v>1</v>
      </c>
      <c r="HLT5080" s="34">
        <v>1.5</v>
      </c>
      <c r="HLU5080" s="34">
        <v>2</v>
      </c>
      <c r="HLV5080" s="34">
        <v>2.5</v>
      </c>
      <c r="HLW5080" s="34">
        <v>3</v>
      </c>
      <c r="HLX5080" s="34">
        <v>3.5</v>
      </c>
      <c r="HLY5080" s="34">
        <v>4</v>
      </c>
      <c r="HLZ5080" s="34">
        <v>4.5</v>
      </c>
      <c r="HMA5080" s="34">
        <v>5</v>
      </c>
      <c r="HMC5080" s="913"/>
      <c r="HMD5080" s="31">
        <v>1</v>
      </c>
      <c r="HME5080" s="34">
        <v>0</v>
      </c>
      <c r="HMF5080" s="34">
        <v>-1</v>
      </c>
      <c r="HMG5080" s="34">
        <v>-2</v>
      </c>
      <c r="HMH5080" s="34">
        <v>-3</v>
      </c>
      <c r="HMI5080" s="34">
        <v>-4</v>
      </c>
      <c r="HMJ5080" s="34">
        <v>-5</v>
      </c>
      <c r="HMK5080" s="908"/>
      <c r="HML5080" s="909"/>
      <c r="HMM5080" s="34">
        <v>-5</v>
      </c>
      <c r="HMN5080" s="34">
        <v>-4.5</v>
      </c>
      <c r="HMO5080" s="34">
        <v>-4</v>
      </c>
      <c r="HMP5080" s="34">
        <v>-3.5</v>
      </c>
      <c r="HMQ5080" s="34">
        <v>-3</v>
      </c>
      <c r="HMR5080" s="34">
        <v>-2.5</v>
      </c>
      <c r="HMS5080" s="34">
        <v>-2</v>
      </c>
      <c r="HMT5080" s="34">
        <v>-1.5</v>
      </c>
      <c r="HMU5080" s="34">
        <v>-1</v>
      </c>
      <c r="HMV5080" s="34">
        <v>-0.5</v>
      </c>
      <c r="HMW5080" s="34">
        <v>0</v>
      </c>
      <c r="HMX5080" s="34">
        <v>0.5</v>
      </c>
      <c r="HMY5080" s="34">
        <v>1</v>
      </c>
      <c r="HMZ5080" s="34">
        <v>1.5</v>
      </c>
      <c r="HNA5080" s="34">
        <v>2</v>
      </c>
      <c r="HNB5080" s="34">
        <v>2.5</v>
      </c>
      <c r="HNC5080" s="34">
        <v>3</v>
      </c>
      <c r="HND5080" s="34">
        <v>3.5</v>
      </c>
      <c r="HNE5080" s="34">
        <v>4</v>
      </c>
      <c r="HNF5080" s="34">
        <v>4.5</v>
      </c>
      <c r="HNG5080" s="34">
        <v>5</v>
      </c>
      <c r="HNI5080" s="913"/>
      <c r="HNJ5080" s="31">
        <v>1</v>
      </c>
      <c r="HNK5080" s="34">
        <v>0</v>
      </c>
      <c r="HNL5080" s="34">
        <v>-1</v>
      </c>
      <c r="HNM5080" s="34">
        <v>-2</v>
      </c>
      <c r="HNN5080" s="34">
        <v>-3</v>
      </c>
      <c r="HNO5080" s="34">
        <v>-4</v>
      </c>
      <c r="HNP5080" s="34">
        <v>-5</v>
      </c>
      <c r="HNQ5080" s="908"/>
      <c r="HNR5080" s="909"/>
      <c r="HNS5080" s="34">
        <v>-5</v>
      </c>
      <c r="HNT5080" s="34">
        <v>-4.5</v>
      </c>
      <c r="HNU5080" s="34">
        <v>-4</v>
      </c>
      <c r="HNV5080" s="34">
        <v>-3.5</v>
      </c>
      <c r="HNW5080" s="34">
        <v>-3</v>
      </c>
      <c r="HNX5080" s="34">
        <v>-2.5</v>
      </c>
      <c r="HNY5080" s="34">
        <v>-2</v>
      </c>
      <c r="HNZ5080" s="34">
        <v>-1.5</v>
      </c>
      <c r="HOA5080" s="34">
        <v>-1</v>
      </c>
      <c r="HOB5080" s="34">
        <v>-0.5</v>
      </c>
      <c r="HOC5080" s="34">
        <v>0</v>
      </c>
      <c r="HOD5080" s="34">
        <v>0.5</v>
      </c>
      <c r="HOE5080" s="34">
        <v>1</v>
      </c>
      <c r="HOF5080" s="34">
        <v>1.5</v>
      </c>
      <c r="HOG5080" s="34">
        <v>2</v>
      </c>
      <c r="HOH5080" s="34">
        <v>2.5</v>
      </c>
      <c r="HOI5080" s="34">
        <v>3</v>
      </c>
      <c r="HOJ5080" s="34">
        <v>3.5</v>
      </c>
      <c r="HOK5080" s="34">
        <v>4</v>
      </c>
      <c r="HOL5080" s="34">
        <v>4.5</v>
      </c>
      <c r="HOM5080" s="34">
        <v>5</v>
      </c>
      <c r="HOO5080" s="913"/>
      <c r="HOP5080" s="31">
        <v>1</v>
      </c>
      <c r="HOQ5080" s="34">
        <v>0</v>
      </c>
      <c r="HOR5080" s="34">
        <v>-1</v>
      </c>
      <c r="HOS5080" s="34">
        <v>-2</v>
      </c>
      <c r="HOT5080" s="34">
        <v>-3</v>
      </c>
      <c r="HOU5080" s="34">
        <v>-4</v>
      </c>
      <c r="HOV5080" s="34">
        <v>-5</v>
      </c>
      <c r="HOW5080" s="908"/>
      <c r="HOX5080" s="909"/>
      <c r="HOY5080" s="34">
        <v>-5</v>
      </c>
      <c r="HOZ5080" s="34">
        <v>-4.5</v>
      </c>
      <c r="HPA5080" s="34">
        <v>-4</v>
      </c>
      <c r="HPB5080" s="34">
        <v>-3.5</v>
      </c>
      <c r="HPC5080" s="34">
        <v>-3</v>
      </c>
      <c r="HPD5080" s="34">
        <v>-2.5</v>
      </c>
      <c r="HPE5080" s="34">
        <v>-2</v>
      </c>
      <c r="HPF5080" s="34">
        <v>-1.5</v>
      </c>
      <c r="HPG5080" s="34">
        <v>-1</v>
      </c>
      <c r="HPH5080" s="34">
        <v>-0.5</v>
      </c>
      <c r="HPI5080" s="34">
        <v>0</v>
      </c>
      <c r="HPJ5080" s="34">
        <v>0.5</v>
      </c>
      <c r="HPK5080" s="34">
        <v>1</v>
      </c>
      <c r="HPL5080" s="34">
        <v>1.5</v>
      </c>
      <c r="HPM5080" s="34">
        <v>2</v>
      </c>
      <c r="HPN5080" s="34">
        <v>2.5</v>
      </c>
      <c r="HPO5080" s="34">
        <v>3</v>
      </c>
      <c r="HPP5080" s="34">
        <v>3.5</v>
      </c>
      <c r="HPQ5080" s="34">
        <v>4</v>
      </c>
      <c r="HPR5080" s="34">
        <v>4.5</v>
      </c>
      <c r="HPS5080" s="34">
        <v>5</v>
      </c>
      <c r="HPU5080" s="913"/>
      <c r="HPV5080" s="31">
        <v>1</v>
      </c>
      <c r="HPW5080" s="34">
        <v>0</v>
      </c>
      <c r="HPX5080" s="34">
        <v>-1</v>
      </c>
      <c r="HPY5080" s="34">
        <v>-2</v>
      </c>
      <c r="HPZ5080" s="34">
        <v>-3</v>
      </c>
      <c r="HQA5080" s="34">
        <v>-4</v>
      </c>
      <c r="HQB5080" s="34">
        <v>-5</v>
      </c>
      <c r="HQC5080" s="908"/>
      <c r="HQD5080" s="909"/>
      <c r="HQE5080" s="34">
        <v>-5</v>
      </c>
      <c r="HQF5080" s="34">
        <v>-4.5</v>
      </c>
      <c r="HQG5080" s="34">
        <v>-4</v>
      </c>
      <c r="HQH5080" s="34">
        <v>-3.5</v>
      </c>
      <c r="HQI5080" s="34">
        <v>-3</v>
      </c>
      <c r="HQJ5080" s="34">
        <v>-2.5</v>
      </c>
      <c r="HQK5080" s="34">
        <v>-2</v>
      </c>
      <c r="HQL5080" s="34">
        <v>-1.5</v>
      </c>
      <c r="HQM5080" s="34">
        <v>-1</v>
      </c>
      <c r="HQN5080" s="34">
        <v>-0.5</v>
      </c>
      <c r="HQO5080" s="34">
        <v>0</v>
      </c>
      <c r="HQP5080" s="34">
        <v>0.5</v>
      </c>
      <c r="HQQ5080" s="34">
        <v>1</v>
      </c>
      <c r="HQR5080" s="34">
        <v>1.5</v>
      </c>
      <c r="HQS5080" s="34">
        <v>2</v>
      </c>
      <c r="HQT5080" s="34">
        <v>2.5</v>
      </c>
      <c r="HQU5080" s="34">
        <v>3</v>
      </c>
      <c r="HQV5080" s="34">
        <v>3.5</v>
      </c>
      <c r="HQW5080" s="34">
        <v>4</v>
      </c>
      <c r="HQX5080" s="34">
        <v>4.5</v>
      </c>
      <c r="HQY5080" s="34">
        <v>5</v>
      </c>
      <c r="HRA5080" s="913"/>
      <c r="HRB5080" s="31">
        <v>1</v>
      </c>
      <c r="HRC5080" s="34">
        <v>0</v>
      </c>
      <c r="HRD5080" s="34">
        <v>-1</v>
      </c>
      <c r="HRE5080" s="34">
        <v>-2</v>
      </c>
      <c r="HRF5080" s="34">
        <v>-3</v>
      </c>
      <c r="HRG5080" s="34">
        <v>-4</v>
      </c>
      <c r="HRH5080" s="34">
        <v>-5</v>
      </c>
      <c r="HRI5080" s="908"/>
      <c r="HRJ5080" s="909"/>
      <c r="HRK5080" s="34">
        <v>-5</v>
      </c>
      <c r="HRL5080" s="34">
        <v>-4.5</v>
      </c>
      <c r="HRM5080" s="34">
        <v>-4</v>
      </c>
      <c r="HRN5080" s="34">
        <v>-3.5</v>
      </c>
      <c r="HRO5080" s="34">
        <v>-3</v>
      </c>
      <c r="HRP5080" s="34">
        <v>-2.5</v>
      </c>
      <c r="HRQ5080" s="34">
        <v>-2</v>
      </c>
      <c r="HRR5080" s="34">
        <v>-1.5</v>
      </c>
      <c r="HRS5080" s="34">
        <v>-1</v>
      </c>
      <c r="HRT5080" s="34">
        <v>-0.5</v>
      </c>
      <c r="HRU5080" s="34">
        <v>0</v>
      </c>
      <c r="HRV5080" s="34">
        <v>0.5</v>
      </c>
      <c r="HRW5080" s="34">
        <v>1</v>
      </c>
      <c r="HRX5080" s="34">
        <v>1.5</v>
      </c>
      <c r="HRY5080" s="34">
        <v>2</v>
      </c>
      <c r="HRZ5080" s="34">
        <v>2.5</v>
      </c>
      <c r="HSA5080" s="34">
        <v>3</v>
      </c>
      <c r="HSB5080" s="34">
        <v>3.5</v>
      </c>
      <c r="HSC5080" s="34">
        <v>4</v>
      </c>
      <c r="HSD5080" s="34">
        <v>4.5</v>
      </c>
      <c r="HSE5080" s="34">
        <v>5</v>
      </c>
      <c r="HSG5080" s="913"/>
      <c r="HSH5080" s="31">
        <v>1</v>
      </c>
      <c r="HSI5080" s="34">
        <v>0</v>
      </c>
      <c r="HSJ5080" s="34">
        <v>-1</v>
      </c>
      <c r="HSK5080" s="34">
        <v>-2</v>
      </c>
      <c r="HSL5080" s="34">
        <v>-3</v>
      </c>
      <c r="HSM5080" s="34">
        <v>-4</v>
      </c>
      <c r="HSN5080" s="34">
        <v>-5</v>
      </c>
      <c r="HSO5080" s="908"/>
      <c r="HSP5080" s="909"/>
      <c r="HSQ5080" s="34">
        <v>-5</v>
      </c>
      <c r="HSR5080" s="34">
        <v>-4.5</v>
      </c>
      <c r="HSS5080" s="34">
        <v>-4</v>
      </c>
      <c r="HST5080" s="34">
        <v>-3.5</v>
      </c>
      <c r="HSU5080" s="34">
        <v>-3</v>
      </c>
      <c r="HSV5080" s="34">
        <v>-2.5</v>
      </c>
      <c r="HSW5080" s="34">
        <v>-2</v>
      </c>
      <c r="HSX5080" s="34">
        <v>-1.5</v>
      </c>
      <c r="HSY5080" s="34">
        <v>-1</v>
      </c>
      <c r="HSZ5080" s="34">
        <v>-0.5</v>
      </c>
      <c r="HTA5080" s="34">
        <v>0</v>
      </c>
      <c r="HTB5080" s="34">
        <v>0.5</v>
      </c>
      <c r="HTC5080" s="34">
        <v>1</v>
      </c>
      <c r="HTD5080" s="34">
        <v>1.5</v>
      </c>
      <c r="HTE5080" s="34">
        <v>2</v>
      </c>
      <c r="HTF5080" s="34">
        <v>2.5</v>
      </c>
      <c r="HTG5080" s="34">
        <v>3</v>
      </c>
      <c r="HTH5080" s="34">
        <v>3.5</v>
      </c>
      <c r="HTI5080" s="34">
        <v>4</v>
      </c>
      <c r="HTJ5080" s="34">
        <v>4.5</v>
      </c>
      <c r="HTK5080" s="34">
        <v>5</v>
      </c>
      <c r="HTM5080" s="913"/>
      <c r="HTN5080" s="31">
        <v>1</v>
      </c>
      <c r="HTO5080" s="34">
        <v>0</v>
      </c>
      <c r="HTP5080" s="34">
        <v>-1</v>
      </c>
      <c r="HTQ5080" s="34">
        <v>-2</v>
      </c>
      <c r="HTR5080" s="34">
        <v>-3</v>
      </c>
      <c r="HTS5080" s="34">
        <v>-4</v>
      </c>
      <c r="HTT5080" s="34">
        <v>-5</v>
      </c>
      <c r="HTU5080" s="908"/>
      <c r="HTV5080" s="909"/>
      <c r="HTW5080" s="34">
        <v>-5</v>
      </c>
      <c r="HTX5080" s="34">
        <v>-4.5</v>
      </c>
      <c r="HTY5080" s="34">
        <v>-4</v>
      </c>
      <c r="HTZ5080" s="34">
        <v>-3.5</v>
      </c>
      <c r="HUA5080" s="34">
        <v>-3</v>
      </c>
      <c r="HUB5080" s="34">
        <v>-2.5</v>
      </c>
      <c r="HUC5080" s="34">
        <v>-2</v>
      </c>
      <c r="HUD5080" s="34">
        <v>-1.5</v>
      </c>
      <c r="HUE5080" s="34">
        <v>-1</v>
      </c>
      <c r="HUF5080" s="34">
        <v>-0.5</v>
      </c>
      <c r="HUG5080" s="34">
        <v>0</v>
      </c>
      <c r="HUH5080" s="34">
        <v>0.5</v>
      </c>
      <c r="HUI5080" s="34">
        <v>1</v>
      </c>
      <c r="HUJ5080" s="34">
        <v>1.5</v>
      </c>
      <c r="HUK5080" s="34">
        <v>2</v>
      </c>
      <c r="HUL5080" s="34">
        <v>2.5</v>
      </c>
      <c r="HUM5080" s="34">
        <v>3</v>
      </c>
      <c r="HUN5080" s="34">
        <v>3.5</v>
      </c>
      <c r="HUO5080" s="34">
        <v>4</v>
      </c>
      <c r="HUP5080" s="34">
        <v>4.5</v>
      </c>
      <c r="HUQ5080" s="34">
        <v>5</v>
      </c>
      <c r="HUS5080" s="913"/>
      <c r="HUT5080" s="31">
        <v>1</v>
      </c>
      <c r="HUU5080" s="34">
        <v>0</v>
      </c>
      <c r="HUV5080" s="34">
        <v>-1</v>
      </c>
      <c r="HUW5080" s="34">
        <v>-2</v>
      </c>
      <c r="HUX5080" s="34">
        <v>-3</v>
      </c>
      <c r="HUY5080" s="34">
        <v>-4</v>
      </c>
      <c r="HUZ5080" s="34">
        <v>-5</v>
      </c>
      <c r="HVA5080" s="908"/>
      <c r="HVB5080" s="909"/>
      <c r="HVC5080" s="34">
        <v>-5</v>
      </c>
      <c r="HVD5080" s="34">
        <v>-4.5</v>
      </c>
      <c r="HVE5080" s="34">
        <v>-4</v>
      </c>
      <c r="HVF5080" s="34">
        <v>-3.5</v>
      </c>
      <c r="HVG5080" s="34">
        <v>-3</v>
      </c>
      <c r="HVH5080" s="34">
        <v>-2.5</v>
      </c>
      <c r="HVI5080" s="34">
        <v>-2</v>
      </c>
      <c r="HVJ5080" s="34">
        <v>-1.5</v>
      </c>
      <c r="HVK5080" s="34">
        <v>-1</v>
      </c>
      <c r="HVL5080" s="34">
        <v>-0.5</v>
      </c>
      <c r="HVM5080" s="34">
        <v>0</v>
      </c>
      <c r="HVN5080" s="34">
        <v>0.5</v>
      </c>
      <c r="HVO5080" s="34">
        <v>1</v>
      </c>
      <c r="HVP5080" s="34">
        <v>1.5</v>
      </c>
      <c r="HVQ5080" s="34">
        <v>2</v>
      </c>
      <c r="HVR5080" s="34">
        <v>2.5</v>
      </c>
      <c r="HVS5080" s="34">
        <v>3</v>
      </c>
      <c r="HVT5080" s="34">
        <v>3.5</v>
      </c>
      <c r="HVU5080" s="34">
        <v>4</v>
      </c>
      <c r="HVV5080" s="34">
        <v>4.5</v>
      </c>
      <c r="HVW5080" s="34">
        <v>5</v>
      </c>
      <c r="HVY5080" s="913"/>
      <c r="HVZ5080" s="31">
        <v>1</v>
      </c>
      <c r="HWA5080" s="34">
        <v>0</v>
      </c>
      <c r="HWB5080" s="34">
        <v>-1</v>
      </c>
      <c r="HWC5080" s="34">
        <v>-2</v>
      </c>
      <c r="HWD5080" s="34">
        <v>-3</v>
      </c>
      <c r="HWE5080" s="34">
        <v>-4</v>
      </c>
      <c r="HWF5080" s="34">
        <v>-5</v>
      </c>
      <c r="HWG5080" s="908"/>
      <c r="HWH5080" s="909"/>
      <c r="HWI5080" s="34">
        <v>-5</v>
      </c>
      <c r="HWJ5080" s="34">
        <v>-4.5</v>
      </c>
      <c r="HWK5080" s="34">
        <v>-4</v>
      </c>
      <c r="HWL5080" s="34">
        <v>-3.5</v>
      </c>
      <c r="HWM5080" s="34">
        <v>-3</v>
      </c>
      <c r="HWN5080" s="34">
        <v>-2.5</v>
      </c>
      <c r="HWO5080" s="34">
        <v>-2</v>
      </c>
      <c r="HWP5080" s="34">
        <v>-1.5</v>
      </c>
      <c r="HWQ5080" s="34">
        <v>-1</v>
      </c>
      <c r="HWR5080" s="34">
        <v>-0.5</v>
      </c>
      <c r="HWS5080" s="34">
        <v>0</v>
      </c>
      <c r="HWT5080" s="34">
        <v>0.5</v>
      </c>
      <c r="HWU5080" s="34">
        <v>1</v>
      </c>
      <c r="HWV5080" s="34">
        <v>1.5</v>
      </c>
      <c r="HWW5080" s="34">
        <v>2</v>
      </c>
      <c r="HWX5080" s="34">
        <v>2.5</v>
      </c>
      <c r="HWY5080" s="34">
        <v>3</v>
      </c>
      <c r="HWZ5080" s="34">
        <v>3.5</v>
      </c>
      <c r="HXA5080" s="34">
        <v>4</v>
      </c>
      <c r="HXB5080" s="34">
        <v>4.5</v>
      </c>
      <c r="HXC5080" s="34">
        <v>5</v>
      </c>
      <c r="HXE5080" s="913"/>
      <c r="HXF5080" s="31">
        <v>1</v>
      </c>
      <c r="HXG5080" s="34">
        <v>0</v>
      </c>
      <c r="HXH5080" s="34">
        <v>-1</v>
      </c>
      <c r="HXI5080" s="34">
        <v>-2</v>
      </c>
      <c r="HXJ5080" s="34">
        <v>-3</v>
      </c>
      <c r="HXK5080" s="34">
        <v>-4</v>
      </c>
      <c r="HXL5080" s="34">
        <v>-5</v>
      </c>
      <c r="HXM5080" s="908"/>
      <c r="HXN5080" s="909"/>
      <c r="HXO5080" s="34">
        <v>-5</v>
      </c>
      <c r="HXP5080" s="34">
        <v>-4.5</v>
      </c>
      <c r="HXQ5080" s="34">
        <v>-4</v>
      </c>
      <c r="HXR5080" s="34">
        <v>-3.5</v>
      </c>
      <c r="HXS5080" s="34">
        <v>-3</v>
      </c>
      <c r="HXT5080" s="34">
        <v>-2.5</v>
      </c>
      <c r="HXU5080" s="34">
        <v>-2</v>
      </c>
      <c r="HXV5080" s="34">
        <v>-1.5</v>
      </c>
      <c r="HXW5080" s="34">
        <v>-1</v>
      </c>
      <c r="HXX5080" s="34">
        <v>-0.5</v>
      </c>
      <c r="HXY5080" s="34">
        <v>0</v>
      </c>
      <c r="HXZ5080" s="34">
        <v>0.5</v>
      </c>
      <c r="HYA5080" s="34">
        <v>1</v>
      </c>
      <c r="HYB5080" s="34">
        <v>1.5</v>
      </c>
      <c r="HYC5080" s="34">
        <v>2</v>
      </c>
      <c r="HYD5080" s="34">
        <v>2.5</v>
      </c>
      <c r="HYE5080" s="34">
        <v>3</v>
      </c>
      <c r="HYF5080" s="34">
        <v>3.5</v>
      </c>
      <c r="HYG5080" s="34">
        <v>4</v>
      </c>
      <c r="HYH5080" s="34">
        <v>4.5</v>
      </c>
      <c r="HYI5080" s="34">
        <v>5</v>
      </c>
      <c r="HYK5080" s="913"/>
      <c r="HYL5080" s="31">
        <v>1</v>
      </c>
      <c r="HYM5080" s="34">
        <v>0</v>
      </c>
      <c r="HYN5080" s="34">
        <v>-1</v>
      </c>
      <c r="HYO5080" s="34">
        <v>-2</v>
      </c>
      <c r="HYP5080" s="34">
        <v>-3</v>
      </c>
      <c r="HYQ5080" s="34">
        <v>-4</v>
      </c>
      <c r="HYR5080" s="34">
        <v>-5</v>
      </c>
      <c r="HYS5080" s="908"/>
      <c r="HYT5080" s="909"/>
      <c r="HYU5080" s="34">
        <v>-5</v>
      </c>
      <c r="HYV5080" s="34">
        <v>-4.5</v>
      </c>
      <c r="HYW5080" s="34">
        <v>-4</v>
      </c>
      <c r="HYX5080" s="34">
        <v>-3.5</v>
      </c>
      <c r="HYY5080" s="34">
        <v>-3</v>
      </c>
      <c r="HYZ5080" s="34">
        <v>-2.5</v>
      </c>
      <c r="HZA5080" s="34">
        <v>-2</v>
      </c>
      <c r="HZB5080" s="34">
        <v>-1.5</v>
      </c>
      <c r="HZC5080" s="34">
        <v>-1</v>
      </c>
      <c r="HZD5080" s="34">
        <v>-0.5</v>
      </c>
      <c r="HZE5080" s="34">
        <v>0</v>
      </c>
      <c r="HZF5080" s="34">
        <v>0.5</v>
      </c>
      <c r="HZG5080" s="34">
        <v>1</v>
      </c>
      <c r="HZH5080" s="34">
        <v>1.5</v>
      </c>
      <c r="HZI5080" s="34">
        <v>2</v>
      </c>
      <c r="HZJ5080" s="34">
        <v>2.5</v>
      </c>
      <c r="HZK5080" s="34">
        <v>3</v>
      </c>
      <c r="HZL5080" s="34">
        <v>3.5</v>
      </c>
      <c r="HZM5080" s="34">
        <v>4</v>
      </c>
      <c r="HZN5080" s="34">
        <v>4.5</v>
      </c>
      <c r="HZO5080" s="34">
        <v>5</v>
      </c>
      <c r="HZQ5080" s="913"/>
      <c r="HZR5080" s="31">
        <v>1</v>
      </c>
      <c r="HZS5080" s="34">
        <v>0</v>
      </c>
      <c r="HZT5080" s="34">
        <v>-1</v>
      </c>
      <c r="HZU5080" s="34">
        <v>-2</v>
      </c>
      <c r="HZV5080" s="34">
        <v>-3</v>
      </c>
      <c r="HZW5080" s="34">
        <v>-4</v>
      </c>
      <c r="HZX5080" s="34">
        <v>-5</v>
      </c>
      <c r="HZY5080" s="908"/>
      <c r="HZZ5080" s="909"/>
      <c r="IAA5080" s="34">
        <v>-5</v>
      </c>
      <c r="IAB5080" s="34">
        <v>-4.5</v>
      </c>
      <c r="IAC5080" s="34">
        <v>-4</v>
      </c>
      <c r="IAD5080" s="34">
        <v>-3.5</v>
      </c>
      <c r="IAE5080" s="34">
        <v>-3</v>
      </c>
      <c r="IAF5080" s="34">
        <v>-2.5</v>
      </c>
      <c r="IAG5080" s="34">
        <v>-2</v>
      </c>
      <c r="IAH5080" s="34">
        <v>-1.5</v>
      </c>
      <c r="IAI5080" s="34">
        <v>-1</v>
      </c>
      <c r="IAJ5080" s="34">
        <v>-0.5</v>
      </c>
      <c r="IAK5080" s="34">
        <v>0</v>
      </c>
      <c r="IAL5080" s="34">
        <v>0.5</v>
      </c>
      <c r="IAM5080" s="34">
        <v>1</v>
      </c>
      <c r="IAN5080" s="34">
        <v>1.5</v>
      </c>
      <c r="IAO5080" s="34">
        <v>2</v>
      </c>
      <c r="IAP5080" s="34">
        <v>2.5</v>
      </c>
      <c r="IAQ5080" s="34">
        <v>3</v>
      </c>
      <c r="IAR5080" s="34">
        <v>3.5</v>
      </c>
      <c r="IAS5080" s="34">
        <v>4</v>
      </c>
      <c r="IAT5080" s="34">
        <v>4.5</v>
      </c>
      <c r="IAU5080" s="34">
        <v>5</v>
      </c>
      <c r="IAW5080" s="913"/>
      <c r="IAX5080" s="31">
        <v>1</v>
      </c>
      <c r="IAY5080" s="34">
        <v>0</v>
      </c>
      <c r="IAZ5080" s="34">
        <v>-1</v>
      </c>
      <c r="IBA5080" s="34">
        <v>-2</v>
      </c>
      <c r="IBB5080" s="34">
        <v>-3</v>
      </c>
      <c r="IBC5080" s="34">
        <v>-4</v>
      </c>
      <c r="IBD5080" s="34">
        <v>-5</v>
      </c>
      <c r="IBE5080" s="908"/>
      <c r="IBF5080" s="909"/>
      <c r="IBG5080" s="34">
        <v>-5</v>
      </c>
      <c r="IBH5080" s="34">
        <v>-4.5</v>
      </c>
      <c r="IBI5080" s="34">
        <v>-4</v>
      </c>
      <c r="IBJ5080" s="34">
        <v>-3.5</v>
      </c>
      <c r="IBK5080" s="34">
        <v>-3</v>
      </c>
      <c r="IBL5080" s="34">
        <v>-2.5</v>
      </c>
      <c r="IBM5080" s="34">
        <v>-2</v>
      </c>
      <c r="IBN5080" s="34">
        <v>-1.5</v>
      </c>
      <c r="IBO5080" s="34">
        <v>-1</v>
      </c>
      <c r="IBP5080" s="34">
        <v>-0.5</v>
      </c>
      <c r="IBQ5080" s="34">
        <v>0</v>
      </c>
      <c r="IBR5080" s="34">
        <v>0.5</v>
      </c>
      <c r="IBS5080" s="34">
        <v>1</v>
      </c>
      <c r="IBT5080" s="34">
        <v>1.5</v>
      </c>
      <c r="IBU5080" s="34">
        <v>2</v>
      </c>
      <c r="IBV5080" s="34">
        <v>2.5</v>
      </c>
      <c r="IBW5080" s="34">
        <v>3</v>
      </c>
      <c r="IBX5080" s="34">
        <v>3.5</v>
      </c>
      <c r="IBY5080" s="34">
        <v>4</v>
      </c>
      <c r="IBZ5080" s="34">
        <v>4.5</v>
      </c>
      <c r="ICA5080" s="34">
        <v>5</v>
      </c>
      <c r="ICC5080" s="913"/>
      <c r="ICD5080" s="31">
        <v>1</v>
      </c>
      <c r="ICE5080" s="34">
        <v>0</v>
      </c>
      <c r="ICF5080" s="34">
        <v>-1</v>
      </c>
      <c r="ICG5080" s="34">
        <v>-2</v>
      </c>
      <c r="ICH5080" s="34">
        <v>-3</v>
      </c>
      <c r="ICI5080" s="34">
        <v>-4</v>
      </c>
      <c r="ICJ5080" s="34">
        <v>-5</v>
      </c>
      <c r="ICK5080" s="908"/>
      <c r="ICL5080" s="909"/>
      <c r="ICM5080" s="34">
        <v>-5</v>
      </c>
      <c r="ICN5080" s="34">
        <v>-4.5</v>
      </c>
      <c r="ICO5080" s="34">
        <v>-4</v>
      </c>
      <c r="ICP5080" s="34">
        <v>-3.5</v>
      </c>
      <c r="ICQ5080" s="34">
        <v>-3</v>
      </c>
      <c r="ICR5080" s="34">
        <v>-2.5</v>
      </c>
      <c r="ICS5080" s="34">
        <v>-2</v>
      </c>
      <c r="ICT5080" s="34">
        <v>-1.5</v>
      </c>
      <c r="ICU5080" s="34">
        <v>-1</v>
      </c>
      <c r="ICV5080" s="34">
        <v>-0.5</v>
      </c>
      <c r="ICW5080" s="34">
        <v>0</v>
      </c>
      <c r="ICX5080" s="34">
        <v>0.5</v>
      </c>
      <c r="ICY5080" s="34">
        <v>1</v>
      </c>
      <c r="ICZ5080" s="34">
        <v>1.5</v>
      </c>
      <c r="IDA5080" s="34">
        <v>2</v>
      </c>
      <c r="IDB5080" s="34">
        <v>2.5</v>
      </c>
      <c r="IDC5080" s="34">
        <v>3</v>
      </c>
      <c r="IDD5080" s="34">
        <v>3.5</v>
      </c>
      <c r="IDE5080" s="34">
        <v>4</v>
      </c>
      <c r="IDF5080" s="34">
        <v>4.5</v>
      </c>
      <c r="IDG5080" s="34">
        <v>5</v>
      </c>
      <c r="IDI5080" s="913"/>
      <c r="IDJ5080" s="31">
        <v>1</v>
      </c>
      <c r="IDK5080" s="34">
        <v>0</v>
      </c>
      <c r="IDL5080" s="34">
        <v>-1</v>
      </c>
      <c r="IDM5080" s="34">
        <v>-2</v>
      </c>
      <c r="IDN5080" s="34">
        <v>-3</v>
      </c>
      <c r="IDO5080" s="34">
        <v>-4</v>
      </c>
      <c r="IDP5080" s="34">
        <v>-5</v>
      </c>
      <c r="IDQ5080" s="908"/>
      <c r="IDR5080" s="909"/>
      <c r="IDS5080" s="34">
        <v>-5</v>
      </c>
      <c r="IDT5080" s="34">
        <v>-4.5</v>
      </c>
      <c r="IDU5080" s="34">
        <v>-4</v>
      </c>
      <c r="IDV5080" s="34">
        <v>-3.5</v>
      </c>
      <c r="IDW5080" s="34">
        <v>-3</v>
      </c>
      <c r="IDX5080" s="34">
        <v>-2.5</v>
      </c>
      <c r="IDY5080" s="34">
        <v>-2</v>
      </c>
      <c r="IDZ5080" s="34">
        <v>-1.5</v>
      </c>
      <c r="IEA5080" s="34">
        <v>-1</v>
      </c>
      <c r="IEB5080" s="34">
        <v>-0.5</v>
      </c>
      <c r="IEC5080" s="34">
        <v>0</v>
      </c>
      <c r="IED5080" s="34">
        <v>0.5</v>
      </c>
      <c r="IEE5080" s="34">
        <v>1</v>
      </c>
      <c r="IEF5080" s="34">
        <v>1.5</v>
      </c>
      <c r="IEG5080" s="34">
        <v>2</v>
      </c>
      <c r="IEH5080" s="34">
        <v>2.5</v>
      </c>
      <c r="IEI5080" s="34">
        <v>3</v>
      </c>
      <c r="IEJ5080" s="34">
        <v>3.5</v>
      </c>
      <c r="IEK5080" s="34">
        <v>4</v>
      </c>
      <c r="IEL5080" s="34">
        <v>4.5</v>
      </c>
      <c r="IEM5080" s="34">
        <v>5</v>
      </c>
      <c r="IEO5080" s="913"/>
      <c r="IEP5080" s="31">
        <v>1</v>
      </c>
      <c r="IEQ5080" s="34">
        <v>0</v>
      </c>
      <c r="IER5080" s="34">
        <v>-1</v>
      </c>
      <c r="IES5080" s="34">
        <v>-2</v>
      </c>
      <c r="IET5080" s="34">
        <v>-3</v>
      </c>
      <c r="IEU5080" s="34">
        <v>-4</v>
      </c>
      <c r="IEV5080" s="34">
        <v>-5</v>
      </c>
      <c r="IEW5080" s="908"/>
      <c r="IEX5080" s="909"/>
      <c r="IEY5080" s="34">
        <v>-5</v>
      </c>
      <c r="IEZ5080" s="34">
        <v>-4.5</v>
      </c>
      <c r="IFA5080" s="34">
        <v>-4</v>
      </c>
      <c r="IFB5080" s="34">
        <v>-3.5</v>
      </c>
      <c r="IFC5080" s="34">
        <v>-3</v>
      </c>
      <c r="IFD5080" s="34">
        <v>-2.5</v>
      </c>
      <c r="IFE5080" s="34">
        <v>-2</v>
      </c>
      <c r="IFF5080" s="34">
        <v>-1.5</v>
      </c>
      <c r="IFG5080" s="34">
        <v>-1</v>
      </c>
      <c r="IFH5080" s="34">
        <v>-0.5</v>
      </c>
      <c r="IFI5080" s="34">
        <v>0</v>
      </c>
      <c r="IFJ5080" s="34">
        <v>0.5</v>
      </c>
      <c r="IFK5080" s="34">
        <v>1</v>
      </c>
      <c r="IFL5080" s="34">
        <v>1.5</v>
      </c>
      <c r="IFM5080" s="34">
        <v>2</v>
      </c>
      <c r="IFN5080" s="34">
        <v>2.5</v>
      </c>
      <c r="IFO5080" s="34">
        <v>3</v>
      </c>
      <c r="IFP5080" s="34">
        <v>3.5</v>
      </c>
      <c r="IFQ5080" s="34">
        <v>4</v>
      </c>
      <c r="IFR5080" s="34">
        <v>4.5</v>
      </c>
      <c r="IFS5080" s="34">
        <v>5</v>
      </c>
      <c r="IFU5080" s="913"/>
      <c r="IFV5080" s="31">
        <v>1</v>
      </c>
      <c r="IFW5080" s="34">
        <v>0</v>
      </c>
      <c r="IFX5080" s="34">
        <v>-1</v>
      </c>
      <c r="IFY5080" s="34">
        <v>-2</v>
      </c>
      <c r="IFZ5080" s="34">
        <v>-3</v>
      </c>
      <c r="IGA5080" s="34">
        <v>-4</v>
      </c>
      <c r="IGB5080" s="34">
        <v>-5</v>
      </c>
      <c r="IGC5080" s="908"/>
      <c r="IGD5080" s="909"/>
      <c r="IGE5080" s="34">
        <v>-5</v>
      </c>
      <c r="IGF5080" s="34">
        <v>-4.5</v>
      </c>
      <c r="IGG5080" s="34">
        <v>-4</v>
      </c>
      <c r="IGH5080" s="34">
        <v>-3.5</v>
      </c>
      <c r="IGI5080" s="34">
        <v>-3</v>
      </c>
      <c r="IGJ5080" s="34">
        <v>-2.5</v>
      </c>
      <c r="IGK5080" s="34">
        <v>-2</v>
      </c>
      <c r="IGL5080" s="34">
        <v>-1.5</v>
      </c>
      <c r="IGM5080" s="34">
        <v>-1</v>
      </c>
      <c r="IGN5080" s="34">
        <v>-0.5</v>
      </c>
      <c r="IGO5080" s="34">
        <v>0</v>
      </c>
      <c r="IGP5080" s="34">
        <v>0.5</v>
      </c>
      <c r="IGQ5080" s="34">
        <v>1</v>
      </c>
      <c r="IGR5080" s="34">
        <v>1.5</v>
      </c>
      <c r="IGS5080" s="34">
        <v>2</v>
      </c>
      <c r="IGT5080" s="34">
        <v>2.5</v>
      </c>
      <c r="IGU5080" s="34">
        <v>3</v>
      </c>
      <c r="IGV5080" s="34">
        <v>3.5</v>
      </c>
      <c r="IGW5080" s="34">
        <v>4</v>
      </c>
      <c r="IGX5080" s="34">
        <v>4.5</v>
      </c>
      <c r="IGY5080" s="34">
        <v>5</v>
      </c>
      <c r="IHA5080" s="913"/>
      <c r="IHB5080" s="31">
        <v>1</v>
      </c>
      <c r="IHC5080" s="34">
        <v>0</v>
      </c>
      <c r="IHD5080" s="34">
        <v>-1</v>
      </c>
      <c r="IHE5080" s="34">
        <v>-2</v>
      </c>
      <c r="IHF5080" s="34">
        <v>-3</v>
      </c>
      <c r="IHG5080" s="34">
        <v>-4</v>
      </c>
      <c r="IHH5080" s="34">
        <v>-5</v>
      </c>
      <c r="IHI5080" s="908"/>
      <c r="IHJ5080" s="909"/>
      <c r="IHK5080" s="34">
        <v>-5</v>
      </c>
      <c r="IHL5080" s="34">
        <v>-4.5</v>
      </c>
      <c r="IHM5080" s="34">
        <v>-4</v>
      </c>
      <c r="IHN5080" s="34">
        <v>-3.5</v>
      </c>
      <c r="IHO5080" s="34">
        <v>-3</v>
      </c>
      <c r="IHP5080" s="34">
        <v>-2.5</v>
      </c>
      <c r="IHQ5080" s="34">
        <v>-2</v>
      </c>
      <c r="IHR5080" s="34">
        <v>-1.5</v>
      </c>
      <c r="IHS5080" s="34">
        <v>-1</v>
      </c>
      <c r="IHT5080" s="34">
        <v>-0.5</v>
      </c>
      <c r="IHU5080" s="34">
        <v>0</v>
      </c>
      <c r="IHV5080" s="34">
        <v>0.5</v>
      </c>
      <c r="IHW5080" s="34">
        <v>1</v>
      </c>
      <c r="IHX5080" s="34">
        <v>1.5</v>
      </c>
      <c r="IHY5080" s="34">
        <v>2</v>
      </c>
      <c r="IHZ5080" s="34">
        <v>2.5</v>
      </c>
      <c r="IIA5080" s="34">
        <v>3</v>
      </c>
      <c r="IIB5080" s="34">
        <v>3.5</v>
      </c>
      <c r="IIC5080" s="34">
        <v>4</v>
      </c>
      <c r="IID5080" s="34">
        <v>4.5</v>
      </c>
      <c r="IIE5080" s="34">
        <v>5</v>
      </c>
      <c r="IIG5080" s="913"/>
      <c r="IIH5080" s="31">
        <v>1</v>
      </c>
      <c r="III5080" s="34">
        <v>0</v>
      </c>
      <c r="IIJ5080" s="34">
        <v>-1</v>
      </c>
      <c r="IIK5080" s="34">
        <v>-2</v>
      </c>
      <c r="IIL5080" s="34">
        <v>-3</v>
      </c>
      <c r="IIM5080" s="34">
        <v>-4</v>
      </c>
      <c r="IIN5080" s="34">
        <v>-5</v>
      </c>
      <c r="IIO5080" s="908"/>
      <c r="IIP5080" s="909"/>
      <c r="IIQ5080" s="34">
        <v>-5</v>
      </c>
      <c r="IIR5080" s="34">
        <v>-4.5</v>
      </c>
      <c r="IIS5080" s="34">
        <v>-4</v>
      </c>
      <c r="IIT5080" s="34">
        <v>-3.5</v>
      </c>
      <c r="IIU5080" s="34">
        <v>-3</v>
      </c>
      <c r="IIV5080" s="34">
        <v>-2.5</v>
      </c>
      <c r="IIW5080" s="34">
        <v>-2</v>
      </c>
      <c r="IIX5080" s="34">
        <v>-1.5</v>
      </c>
      <c r="IIY5080" s="34">
        <v>-1</v>
      </c>
      <c r="IIZ5080" s="34">
        <v>-0.5</v>
      </c>
      <c r="IJA5080" s="34">
        <v>0</v>
      </c>
      <c r="IJB5080" s="34">
        <v>0.5</v>
      </c>
      <c r="IJC5080" s="34">
        <v>1</v>
      </c>
      <c r="IJD5080" s="34">
        <v>1.5</v>
      </c>
      <c r="IJE5080" s="34">
        <v>2</v>
      </c>
      <c r="IJF5080" s="34">
        <v>2.5</v>
      </c>
      <c r="IJG5080" s="34">
        <v>3</v>
      </c>
      <c r="IJH5080" s="34">
        <v>3.5</v>
      </c>
      <c r="IJI5080" s="34">
        <v>4</v>
      </c>
      <c r="IJJ5080" s="34">
        <v>4.5</v>
      </c>
      <c r="IJK5080" s="34">
        <v>5</v>
      </c>
      <c r="IJM5080" s="913"/>
      <c r="IJN5080" s="31">
        <v>1</v>
      </c>
      <c r="IJO5080" s="34">
        <v>0</v>
      </c>
      <c r="IJP5080" s="34">
        <v>-1</v>
      </c>
      <c r="IJQ5080" s="34">
        <v>-2</v>
      </c>
      <c r="IJR5080" s="34">
        <v>-3</v>
      </c>
      <c r="IJS5080" s="34">
        <v>-4</v>
      </c>
      <c r="IJT5080" s="34">
        <v>-5</v>
      </c>
      <c r="IJU5080" s="908"/>
      <c r="IJV5080" s="909"/>
      <c r="IJW5080" s="34">
        <v>-5</v>
      </c>
      <c r="IJX5080" s="34">
        <v>-4.5</v>
      </c>
      <c r="IJY5080" s="34">
        <v>-4</v>
      </c>
      <c r="IJZ5080" s="34">
        <v>-3.5</v>
      </c>
      <c r="IKA5080" s="34">
        <v>-3</v>
      </c>
      <c r="IKB5080" s="34">
        <v>-2.5</v>
      </c>
      <c r="IKC5080" s="34">
        <v>-2</v>
      </c>
      <c r="IKD5080" s="34">
        <v>-1.5</v>
      </c>
      <c r="IKE5080" s="34">
        <v>-1</v>
      </c>
      <c r="IKF5080" s="34">
        <v>-0.5</v>
      </c>
      <c r="IKG5080" s="34">
        <v>0</v>
      </c>
      <c r="IKH5080" s="34">
        <v>0.5</v>
      </c>
      <c r="IKI5080" s="34">
        <v>1</v>
      </c>
      <c r="IKJ5080" s="34">
        <v>1.5</v>
      </c>
      <c r="IKK5080" s="34">
        <v>2</v>
      </c>
      <c r="IKL5080" s="34">
        <v>2.5</v>
      </c>
      <c r="IKM5080" s="34">
        <v>3</v>
      </c>
      <c r="IKN5080" s="34">
        <v>3.5</v>
      </c>
      <c r="IKO5080" s="34">
        <v>4</v>
      </c>
      <c r="IKP5080" s="34">
        <v>4.5</v>
      </c>
      <c r="IKQ5080" s="34">
        <v>5</v>
      </c>
      <c r="IKS5080" s="913"/>
      <c r="IKT5080" s="31">
        <v>1</v>
      </c>
      <c r="IKU5080" s="34">
        <v>0</v>
      </c>
      <c r="IKV5080" s="34">
        <v>-1</v>
      </c>
      <c r="IKW5080" s="34">
        <v>-2</v>
      </c>
      <c r="IKX5080" s="34">
        <v>-3</v>
      </c>
      <c r="IKY5080" s="34">
        <v>-4</v>
      </c>
      <c r="IKZ5080" s="34">
        <v>-5</v>
      </c>
      <c r="ILA5080" s="908"/>
      <c r="ILB5080" s="909"/>
      <c r="ILC5080" s="34">
        <v>-5</v>
      </c>
      <c r="ILD5080" s="34">
        <v>-4.5</v>
      </c>
      <c r="ILE5080" s="34">
        <v>-4</v>
      </c>
      <c r="ILF5080" s="34">
        <v>-3.5</v>
      </c>
      <c r="ILG5080" s="34">
        <v>-3</v>
      </c>
      <c r="ILH5080" s="34">
        <v>-2.5</v>
      </c>
      <c r="ILI5080" s="34">
        <v>-2</v>
      </c>
      <c r="ILJ5080" s="34">
        <v>-1.5</v>
      </c>
      <c r="ILK5080" s="34">
        <v>-1</v>
      </c>
      <c r="ILL5080" s="34">
        <v>-0.5</v>
      </c>
      <c r="ILM5080" s="34">
        <v>0</v>
      </c>
      <c r="ILN5080" s="34">
        <v>0.5</v>
      </c>
      <c r="ILO5080" s="34">
        <v>1</v>
      </c>
      <c r="ILP5080" s="34">
        <v>1.5</v>
      </c>
      <c r="ILQ5080" s="34">
        <v>2</v>
      </c>
      <c r="ILR5080" s="34">
        <v>2.5</v>
      </c>
      <c r="ILS5080" s="34">
        <v>3</v>
      </c>
      <c r="ILT5080" s="34">
        <v>3.5</v>
      </c>
      <c r="ILU5080" s="34">
        <v>4</v>
      </c>
      <c r="ILV5080" s="34">
        <v>4.5</v>
      </c>
      <c r="ILW5080" s="34">
        <v>5</v>
      </c>
      <c r="ILY5080" s="913"/>
      <c r="ILZ5080" s="31">
        <v>1</v>
      </c>
      <c r="IMA5080" s="34">
        <v>0</v>
      </c>
      <c r="IMB5080" s="34">
        <v>-1</v>
      </c>
      <c r="IMC5080" s="34">
        <v>-2</v>
      </c>
      <c r="IMD5080" s="34">
        <v>-3</v>
      </c>
      <c r="IME5080" s="34">
        <v>-4</v>
      </c>
      <c r="IMF5080" s="34">
        <v>-5</v>
      </c>
      <c r="IMG5080" s="908"/>
      <c r="IMH5080" s="909"/>
      <c r="IMI5080" s="34">
        <v>-5</v>
      </c>
      <c r="IMJ5080" s="34">
        <v>-4.5</v>
      </c>
      <c r="IMK5080" s="34">
        <v>-4</v>
      </c>
      <c r="IML5080" s="34">
        <v>-3.5</v>
      </c>
      <c r="IMM5080" s="34">
        <v>-3</v>
      </c>
      <c r="IMN5080" s="34">
        <v>-2.5</v>
      </c>
      <c r="IMO5080" s="34">
        <v>-2</v>
      </c>
      <c r="IMP5080" s="34">
        <v>-1.5</v>
      </c>
      <c r="IMQ5080" s="34">
        <v>-1</v>
      </c>
      <c r="IMR5080" s="34">
        <v>-0.5</v>
      </c>
      <c r="IMS5080" s="34">
        <v>0</v>
      </c>
      <c r="IMT5080" s="34">
        <v>0.5</v>
      </c>
      <c r="IMU5080" s="34">
        <v>1</v>
      </c>
      <c r="IMV5080" s="34">
        <v>1.5</v>
      </c>
      <c r="IMW5080" s="34">
        <v>2</v>
      </c>
      <c r="IMX5080" s="34">
        <v>2.5</v>
      </c>
      <c r="IMY5080" s="34">
        <v>3</v>
      </c>
      <c r="IMZ5080" s="34">
        <v>3.5</v>
      </c>
      <c r="INA5080" s="34">
        <v>4</v>
      </c>
      <c r="INB5080" s="34">
        <v>4.5</v>
      </c>
      <c r="INC5080" s="34">
        <v>5</v>
      </c>
      <c r="INE5080" s="913"/>
      <c r="INF5080" s="31">
        <v>1</v>
      </c>
      <c r="ING5080" s="34">
        <v>0</v>
      </c>
      <c r="INH5080" s="34">
        <v>-1</v>
      </c>
      <c r="INI5080" s="34">
        <v>-2</v>
      </c>
      <c r="INJ5080" s="34">
        <v>-3</v>
      </c>
      <c r="INK5080" s="34">
        <v>-4</v>
      </c>
      <c r="INL5080" s="34">
        <v>-5</v>
      </c>
      <c r="INM5080" s="908"/>
      <c r="INN5080" s="909"/>
      <c r="INO5080" s="34">
        <v>-5</v>
      </c>
      <c r="INP5080" s="34">
        <v>-4.5</v>
      </c>
      <c r="INQ5080" s="34">
        <v>-4</v>
      </c>
      <c r="INR5080" s="34">
        <v>-3.5</v>
      </c>
      <c r="INS5080" s="34">
        <v>-3</v>
      </c>
      <c r="INT5080" s="34">
        <v>-2.5</v>
      </c>
      <c r="INU5080" s="34">
        <v>-2</v>
      </c>
      <c r="INV5080" s="34">
        <v>-1.5</v>
      </c>
      <c r="INW5080" s="34">
        <v>-1</v>
      </c>
      <c r="INX5080" s="34">
        <v>-0.5</v>
      </c>
      <c r="INY5080" s="34">
        <v>0</v>
      </c>
      <c r="INZ5080" s="34">
        <v>0.5</v>
      </c>
      <c r="IOA5080" s="34">
        <v>1</v>
      </c>
      <c r="IOB5080" s="34">
        <v>1.5</v>
      </c>
      <c r="IOC5080" s="34">
        <v>2</v>
      </c>
      <c r="IOD5080" s="34">
        <v>2.5</v>
      </c>
      <c r="IOE5080" s="34">
        <v>3</v>
      </c>
      <c r="IOF5080" s="34">
        <v>3.5</v>
      </c>
      <c r="IOG5080" s="34">
        <v>4</v>
      </c>
      <c r="IOH5080" s="34">
        <v>4.5</v>
      </c>
      <c r="IOI5080" s="34">
        <v>5</v>
      </c>
      <c r="IOK5080" s="913"/>
      <c r="IOL5080" s="31">
        <v>1</v>
      </c>
      <c r="IOM5080" s="34">
        <v>0</v>
      </c>
      <c r="ION5080" s="34">
        <v>-1</v>
      </c>
      <c r="IOO5080" s="34">
        <v>-2</v>
      </c>
      <c r="IOP5080" s="34">
        <v>-3</v>
      </c>
      <c r="IOQ5080" s="34">
        <v>-4</v>
      </c>
      <c r="IOR5080" s="34">
        <v>-5</v>
      </c>
      <c r="IOS5080" s="908"/>
      <c r="IOT5080" s="909"/>
      <c r="IOU5080" s="34">
        <v>-5</v>
      </c>
      <c r="IOV5080" s="34">
        <v>-4.5</v>
      </c>
      <c r="IOW5080" s="34">
        <v>-4</v>
      </c>
      <c r="IOX5080" s="34">
        <v>-3.5</v>
      </c>
      <c r="IOY5080" s="34">
        <v>-3</v>
      </c>
      <c r="IOZ5080" s="34">
        <v>-2.5</v>
      </c>
      <c r="IPA5080" s="34">
        <v>-2</v>
      </c>
      <c r="IPB5080" s="34">
        <v>-1.5</v>
      </c>
      <c r="IPC5080" s="34">
        <v>-1</v>
      </c>
      <c r="IPD5080" s="34">
        <v>-0.5</v>
      </c>
      <c r="IPE5080" s="34">
        <v>0</v>
      </c>
      <c r="IPF5080" s="34">
        <v>0.5</v>
      </c>
      <c r="IPG5080" s="34">
        <v>1</v>
      </c>
      <c r="IPH5080" s="34">
        <v>1.5</v>
      </c>
      <c r="IPI5080" s="34">
        <v>2</v>
      </c>
      <c r="IPJ5080" s="34">
        <v>2.5</v>
      </c>
      <c r="IPK5080" s="34">
        <v>3</v>
      </c>
      <c r="IPL5080" s="34">
        <v>3.5</v>
      </c>
      <c r="IPM5080" s="34">
        <v>4</v>
      </c>
      <c r="IPN5080" s="34">
        <v>4.5</v>
      </c>
      <c r="IPO5080" s="34">
        <v>5</v>
      </c>
      <c r="IPQ5080" s="913"/>
      <c r="IPR5080" s="31">
        <v>1</v>
      </c>
      <c r="IPS5080" s="34">
        <v>0</v>
      </c>
      <c r="IPT5080" s="34">
        <v>-1</v>
      </c>
      <c r="IPU5080" s="34">
        <v>-2</v>
      </c>
      <c r="IPV5080" s="34">
        <v>-3</v>
      </c>
      <c r="IPW5080" s="34">
        <v>-4</v>
      </c>
      <c r="IPX5080" s="34">
        <v>-5</v>
      </c>
      <c r="IPY5080" s="908"/>
      <c r="IPZ5080" s="909"/>
      <c r="IQA5080" s="34">
        <v>-5</v>
      </c>
      <c r="IQB5080" s="34">
        <v>-4.5</v>
      </c>
      <c r="IQC5080" s="34">
        <v>-4</v>
      </c>
      <c r="IQD5080" s="34">
        <v>-3.5</v>
      </c>
      <c r="IQE5080" s="34">
        <v>-3</v>
      </c>
      <c r="IQF5080" s="34">
        <v>-2.5</v>
      </c>
      <c r="IQG5080" s="34">
        <v>-2</v>
      </c>
      <c r="IQH5080" s="34">
        <v>-1.5</v>
      </c>
      <c r="IQI5080" s="34">
        <v>-1</v>
      </c>
      <c r="IQJ5080" s="34">
        <v>-0.5</v>
      </c>
      <c r="IQK5080" s="34">
        <v>0</v>
      </c>
      <c r="IQL5080" s="34">
        <v>0.5</v>
      </c>
      <c r="IQM5080" s="34">
        <v>1</v>
      </c>
      <c r="IQN5080" s="34">
        <v>1.5</v>
      </c>
      <c r="IQO5080" s="34">
        <v>2</v>
      </c>
      <c r="IQP5080" s="34">
        <v>2.5</v>
      </c>
      <c r="IQQ5080" s="34">
        <v>3</v>
      </c>
      <c r="IQR5080" s="34">
        <v>3.5</v>
      </c>
      <c r="IQS5080" s="34">
        <v>4</v>
      </c>
      <c r="IQT5080" s="34">
        <v>4.5</v>
      </c>
      <c r="IQU5080" s="34">
        <v>5</v>
      </c>
      <c r="IQW5080" s="913"/>
      <c r="IQX5080" s="31">
        <v>1</v>
      </c>
      <c r="IQY5080" s="34">
        <v>0</v>
      </c>
      <c r="IQZ5080" s="34">
        <v>-1</v>
      </c>
      <c r="IRA5080" s="34">
        <v>-2</v>
      </c>
      <c r="IRB5080" s="34">
        <v>-3</v>
      </c>
      <c r="IRC5080" s="34">
        <v>-4</v>
      </c>
      <c r="IRD5080" s="34">
        <v>-5</v>
      </c>
      <c r="IRE5080" s="908"/>
      <c r="IRF5080" s="909"/>
      <c r="IRG5080" s="34">
        <v>-5</v>
      </c>
      <c r="IRH5080" s="34">
        <v>-4.5</v>
      </c>
      <c r="IRI5080" s="34">
        <v>-4</v>
      </c>
      <c r="IRJ5080" s="34">
        <v>-3.5</v>
      </c>
      <c r="IRK5080" s="34">
        <v>-3</v>
      </c>
      <c r="IRL5080" s="34">
        <v>-2.5</v>
      </c>
      <c r="IRM5080" s="34">
        <v>-2</v>
      </c>
      <c r="IRN5080" s="34">
        <v>-1.5</v>
      </c>
      <c r="IRO5080" s="34">
        <v>-1</v>
      </c>
      <c r="IRP5080" s="34">
        <v>-0.5</v>
      </c>
      <c r="IRQ5080" s="34">
        <v>0</v>
      </c>
      <c r="IRR5080" s="34">
        <v>0.5</v>
      </c>
      <c r="IRS5080" s="34">
        <v>1</v>
      </c>
      <c r="IRT5080" s="34">
        <v>1.5</v>
      </c>
      <c r="IRU5080" s="34">
        <v>2</v>
      </c>
      <c r="IRV5080" s="34">
        <v>2.5</v>
      </c>
      <c r="IRW5080" s="34">
        <v>3</v>
      </c>
      <c r="IRX5080" s="34">
        <v>3.5</v>
      </c>
      <c r="IRY5080" s="34">
        <v>4</v>
      </c>
      <c r="IRZ5080" s="34">
        <v>4.5</v>
      </c>
      <c r="ISA5080" s="34">
        <v>5</v>
      </c>
      <c r="ISC5080" s="913"/>
      <c r="ISD5080" s="31">
        <v>1</v>
      </c>
      <c r="ISE5080" s="34">
        <v>0</v>
      </c>
      <c r="ISF5080" s="34">
        <v>-1</v>
      </c>
      <c r="ISG5080" s="34">
        <v>-2</v>
      </c>
      <c r="ISH5080" s="34">
        <v>-3</v>
      </c>
      <c r="ISI5080" s="34">
        <v>-4</v>
      </c>
      <c r="ISJ5080" s="34">
        <v>-5</v>
      </c>
      <c r="ISK5080" s="908"/>
      <c r="ISL5080" s="909"/>
      <c r="ISM5080" s="34">
        <v>-5</v>
      </c>
      <c r="ISN5080" s="34">
        <v>-4.5</v>
      </c>
      <c r="ISO5080" s="34">
        <v>-4</v>
      </c>
      <c r="ISP5080" s="34">
        <v>-3.5</v>
      </c>
      <c r="ISQ5080" s="34">
        <v>-3</v>
      </c>
      <c r="ISR5080" s="34">
        <v>-2.5</v>
      </c>
      <c r="ISS5080" s="34">
        <v>-2</v>
      </c>
      <c r="IST5080" s="34">
        <v>-1.5</v>
      </c>
      <c r="ISU5080" s="34">
        <v>-1</v>
      </c>
      <c r="ISV5080" s="34">
        <v>-0.5</v>
      </c>
      <c r="ISW5080" s="34">
        <v>0</v>
      </c>
      <c r="ISX5080" s="34">
        <v>0.5</v>
      </c>
      <c r="ISY5080" s="34">
        <v>1</v>
      </c>
      <c r="ISZ5080" s="34">
        <v>1.5</v>
      </c>
      <c r="ITA5080" s="34">
        <v>2</v>
      </c>
      <c r="ITB5080" s="34">
        <v>2.5</v>
      </c>
      <c r="ITC5080" s="34">
        <v>3</v>
      </c>
      <c r="ITD5080" s="34">
        <v>3.5</v>
      </c>
      <c r="ITE5080" s="34">
        <v>4</v>
      </c>
      <c r="ITF5080" s="34">
        <v>4.5</v>
      </c>
      <c r="ITG5080" s="34">
        <v>5</v>
      </c>
      <c r="ITI5080" s="913"/>
      <c r="ITJ5080" s="31">
        <v>1</v>
      </c>
      <c r="ITK5080" s="34">
        <v>0</v>
      </c>
      <c r="ITL5080" s="34">
        <v>-1</v>
      </c>
      <c r="ITM5080" s="34">
        <v>-2</v>
      </c>
      <c r="ITN5080" s="34">
        <v>-3</v>
      </c>
      <c r="ITO5080" s="34">
        <v>-4</v>
      </c>
      <c r="ITP5080" s="34">
        <v>-5</v>
      </c>
      <c r="ITQ5080" s="908"/>
      <c r="ITR5080" s="909"/>
      <c r="ITS5080" s="34">
        <v>-5</v>
      </c>
      <c r="ITT5080" s="34">
        <v>-4.5</v>
      </c>
      <c r="ITU5080" s="34">
        <v>-4</v>
      </c>
      <c r="ITV5080" s="34">
        <v>-3.5</v>
      </c>
      <c r="ITW5080" s="34">
        <v>-3</v>
      </c>
      <c r="ITX5080" s="34">
        <v>-2.5</v>
      </c>
      <c r="ITY5080" s="34">
        <v>-2</v>
      </c>
      <c r="ITZ5080" s="34">
        <v>-1.5</v>
      </c>
      <c r="IUA5080" s="34">
        <v>-1</v>
      </c>
      <c r="IUB5080" s="34">
        <v>-0.5</v>
      </c>
      <c r="IUC5080" s="34">
        <v>0</v>
      </c>
      <c r="IUD5080" s="34">
        <v>0.5</v>
      </c>
      <c r="IUE5080" s="34">
        <v>1</v>
      </c>
      <c r="IUF5080" s="34">
        <v>1.5</v>
      </c>
      <c r="IUG5080" s="34">
        <v>2</v>
      </c>
      <c r="IUH5080" s="34">
        <v>2.5</v>
      </c>
      <c r="IUI5080" s="34">
        <v>3</v>
      </c>
      <c r="IUJ5080" s="34">
        <v>3.5</v>
      </c>
      <c r="IUK5080" s="34">
        <v>4</v>
      </c>
      <c r="IUL5080" s="34">
        <v>4.5</v>
      </c>
      <c r="IUM5080" s="34">
        <v>5</v>
      </c>
      <c r="IUO5080" s="913"/>
      <c r="IUP5080" s="31">
        <v>1</v>
      </c>
      <c r="IUQ5080" s="34">
        <v>0</v>
      </c>
      <c r="IUR5080" s="34">
        <v>-1</v>
      </c>
      <c r="IUS5080" s="34">
        <v>-2</v>
      </c>
      <c r="IUT5080" s="34">
        <v>-3</v>
      </c>
      <c r="IUU5080" s="34">
        <v>-4</v>
      </c>
      <c r="IUV5080" s="34">
        <v>-5</v>
      </c>
      <c r="IUW5080" s="908"/>
      <c r="IUX5080" s="909"/>
      <c r="IUY5080" s="34">
        <v>-5</v>
      </c>
      <c r="IUZ5080" s="34">
        <v>-4.5</v>
      </c>
      <c r="IVA5080" s="34">
        <v>-4</v>
      </c>
      <c r="IVB5080" s="34">
        <v>-3.5</v>
      </c>
      <c r="IVC5080" s="34">
        <v>-3</v>
      </c>
      <c r="IVD5080" s="34">
        <v>-2.5</v>
      </c>
      <c r="IVE5080" s="34">
        <v>-2</v>
      </c>
      <c r="IVF5080" s="34">
        <v>-1.5</v>
      </c>
      <c r="IVG5080" s="34">
        <v>-1</v>
      </c>
      <c r="IVH5080" s="34">
        <v>-0.5</v>
      </c>
      <c r="IVI5080" s="34">
        <v>0</v>
      </c>
      <c r="IVJ5080" s="34">
        <v>0.5</v>
      </c>
      <c r="IVK5080" s="34">
        <v>1</v>
      </c>
      <c r="IVL5080" s="34">
        <v>1.5</v>
      </c>
      <c r="IVM5080" s="34">
        <v>2</v>
      </c>
      <c r="IVN5080" s="34">
        <v>2.5</v>
      </c>
      <c r="IVO5080" s="34">
        <v>3</v>
      </c>
      <c r="IVP5080" s="34">
        <v>3.5</v>
      </c>
      <c r="IVQ5080" s="34">
        <v>4</v>
      </c>
      <c r="IVR5080" s="34">
        <v>4.5</v>
      </c>
      <c r="IVS5080" s="34">
        <v>5</v>
      </c>
      <c r="IVU5080" s="913"/>
      <c r="IVV5080" s="31">
        <v>1</v>
      </c>
      <c r="IVW5080" s="34">
        <v>0</v>
      </c>
      <c r="IVX5080" s="34">
        <v>-1</v>
      </c>
      <c r="IVY5080" s="34">
        <v>-2</v>
      </c>
      <c r="IVZ5080" s="34">
        <v>-3</v>
      </c>
      <c r="IWA5080" s="34">
        <v>-4</v>
      </c>
      <c r="IWB5080" s="34">
        <v>-5</v>
      </c>
      <c r="IWC5080" s="908"/>
      <c r="IWD5080" s="909"/>
      <c r="IWE5080" s="34">
        <v>-5</v>
      </c>
      <c r="IWF5080" s="34">
        <v>-4.5</v>
      </c>
      <c r="IWG5080" s="34">
        <v>-4</v>
      </c>
      <c r="IWH5080" s="34">
        <v>-3.5</v>
      </c>
      <c r="IWI5080" s="34">
        <v>-3</v>
      </c>
      <c r="IWJ5080" s="34">
        <v>-2.5</v>
      </c>
      <c r="IWK5080" s="34">
        <v>-2</v>
      </c>
      <c r="IWL5080" s="34">
        <v>-1.5</v>
      </c>
      <c r="IWM5080" s="34">
        <v>-1</v>
      </c>
      <c r="IWN5080" s="34">
        <v>-0.5</v>
      </c>
      <c r="IWO5080" s="34">
        <v>0</v>
      </c>
      <c r="IWP5080" s="34">
        <v>0.5</v>
      </c>
      <c r="IWQ5080" s="34">
        <v>1</v>
      </c>
      <c r="IWR5080" s="34">
        <v>1.5</v>
      </c>
      <c r="IWS5080" s="34">
        <v>2</v>
      </c>
      <c r="IWT5080" s="34">
        <v>2.5</v>
      </c>
      <c r="IWU5080" s="34">
        <v>3</v>
      </c>
      <c r="IWV5080" s="34">
        <v>3.5</v>
      </c>
      <c r="IWW5080" s="34">
        <v>4</v>
      </c>
      <c r="IWX5080" s="34">
        <v>4.5</v>
      </c>
      <c r="IWY5080" s="34">
        <v>5</v>
      </c>
      <c r="IXA5080" s="913"/>
      <c r="IXB5080" s="31">
        <v>1</v>
      </c>
      <c r="IXC5080" s="34">
        <v>0</v>
      </c>
      <c r="IXD5080" s="34">
        <v>-1</v>
      </c>
      <c r="IXE5080" s="34">
        <v>-2</v>
      </c>
      <c r="IXF5080" s="34">
        <v>-3</v>
      </c>
      <c r="IXG5080" s="34">
        <v>-4</v>
      </c>
      <c r="IXH5080" s="34">
        <v>-5</v>
      </c>
      <c r="IXI5080" s="908"/>
      <c r="IXJ5080" s="909"/>
      <c r="IXK5080" s="34">
        <v>-5</v>
      </c>
      <c r="IXL5080" s="34">
        <v>-4.5</v>
      </c>
      <c r="IXM5080" s="34">
        <v>-4</v>
      </c>
      <c r="IXN5080" s="34">
        <v>-3.5</v>
      </c>
      <c r="IXO5080" s="34">
        <v>-3</v>
      </c>
      <c r="IXP5080" s="34">
        <v>-2.5</v>
      </c>
      <c r="IXQ5080" s="34">
        <v>-2</v>
      </c>
      <c r="IXR5080" s="34">
        <v>-1.5</v>
      </c>
      <c r="IXS5080" s="34">
        <v>-1</v>
      </c>
      <c r="IXT5080" s="34">
        <v>-0.5</v>
      </c>
      <c r="IXU5080" s="34">
        <v>0</v>
      </c>
      <c r="IXV5080" s="34">
        <v>0.5</v>
      </c>
      <c r="IXW5080" s="34">
        <v>1</v>
      </c>
      <c r="IXX5080" s="34">
        <v>1.5</v>
      </c>
      <c r="IXY5080" s="34">
        <v>2</v>
      </c>
      <c r="IXZ5080" s="34">
        <v>2.5</v>
      </c>
      <c r="IYA5080" s="34">
        <v>3</v>
      </c>
      <c r="IYB5080" s="34">
        <v>3.5</v>
      </c>
      <c r="IYC5080" s="34">
        <v>4</v>
      </c>
      <c r="IYD5080" s="34">
        <v>4.5</v>
      </c>
      <c r="IYE5080" s="34">
        <v>5</v>
      </c>
      <c r="IYG5080" s="913"/>
      <c r="IYH5080" s="31">
        <v>1</v>
      </c>
      <c r="IYI5080" s="34">
        <v>0</v>
      </c>
      <c r="IYJ5080" s="34">
        <v>-1</v>
      </c>
      <c r="IYK5080" s="34">
        <v>-2</v>
      </c>
      <c r="IYL5080" s="34">
        <v>-3</v>
      </c>
      <c r="IYM5080" s="34">
        <v>-4</v>
      </c>
      <c r="IYN5080" s="34">
        <v>-5</v>
      </c>
      <c r="IYO5080" s="908"/>
      <c r="IYP5080" s="909"/>
      <c r="IYQ5080" s="34">
        <v>-5</v>
      </c>
      <c r="IYR5080" s="34">
        <v>-4.5</v>
      </c>
      <c r="IYS5080" s="34">
        <v>-4</v>
      </c>
      <c r="IYT5080" s="34">
        <v>-3.5</v>
      </c>
      <c r="IYU5080" s="34">
        <v>-3</v>
      </c>
      <c r="IYV5080" s="34">
        <v>-2.5</v>
      </c>
      <c r="IYW5080" s="34">
        <v>-2</v>
      </c>
      <c r="IYX5080" s="34">
        <v>-1.5</v>
      </c>
      <c r="IYY5080" s="34">
        <v>-1</v>
      </c>
      <c r="IYZ5080" s="34">
        <v>-0.5</v>
      </c>
      <c r="IZA5080" s="34">
        <v>0</v>
      </c>
      <c r="IZB5080" s="34">
        <v>0.5</v>
      </c>
      <c r="IZC5080" s="34">
        <v>1</v>
      </c>
      <c r="IZD5080" s="34">
        <v>1.5</v>
      </c>
      <c r="IZE5080" s="34">
        <v>2</v>
      </c>
      <c r="IZF5080" s="34">
        <v>2.5</v>
      </c>
      <c r="IZG5080" s="34">
        <v>3</v>
      </c>
      <c r="IZH5080" s="34">
        <v>3.5</v>
      </c>
      <c r="IZI5080" s="34">
        <v>4</v>
      </c>
      <c r="IZJ5080" s="34">
        <v>4.5</v>
      </c>
      <c r="IZK5080" s="34">
        <v>5</v>
      </c>
      <c r="IZM5080" s="913"/>
      <c r="IZN5080" s="31">
        <v>1</v>
      </c>
      <c r="IZO5080" s="34">
        <v>0</v>
      </c>
      <c r="IZP5080" s="34">
        <v>-1</v>
      </c>
      <c r="IZQ5080" s="34">
        <v>-2</v>
      </c>
      <c r="IZR5080" s="34">
        <v>-3</v>
      </c>
      <c r="IZS5080" s="34">
        <v>-4</v>
      </c>
      <c r="IZT5080" s="34">
        <v>-5</v>
      </c>
      <c r="IZU5080" s="908"/>
      <c r="IZV5080" s="909"/>
      <c r="IZW5080" s="34">
        <v>-5</v>
      </c>
      <c r="IZX5080" s="34">
        <v>-4.5</v>
      </c>
      <c r="IZY5080" s="34">
        <v>-4</v>
      </c>
      <c r="IZZ5080" s="34">
        <v>-3.5</v>
      </c>
      <c r="JAA5080" s="34">
        <v>-3</v>
      </c>
      <c r="JAB5080" s="34">
        <v>-2.5</v>
      </c>
      <c r="JAC5080" s="34">
        <v>-2</v>
      </c>
      <c r="JAD5080" s="34">
        <v>-1.5</v>
      </c>
      <c r="JAE5080" s="34">
        <v>-1</v>
      </c>
      <c r="JAF5080" s="34">
        <v>-0.5</v>
      </c>
      <c r="JAG5080" s="34">
        <v>0</v>
      </c>
      <c r="JAH5080" s="34">
        <v>0.5</v>
      </c>
      <c r="JAI5080" s="34">
        <v>1</v>
      </c>
      <c r="JAJ5080" s="34">
        <v>1.5</v>
      </c>
      <c r="JAK5080" s="34">
        <v>2</v>
      </c>
      <c r="JAL5080" s="34">
        <v>2.5</v>
      </c>
      <c r="JAM5080" s="34">
        <v>3</v>
      </c>
      <c r="JAN5080" s="34">
        <v>3.5</v>
      </c>
      <c r="JAO5080" s="34">
        <v>4</v>
      </c>
      <c r="JAP5080" s="34">
        <v>4.5</v>
      </c>
      <c r="JAQ5080" s="34">
        <v>5</v>
      </c>
      <c r="JAS5080" s="913"/>
      <c r="JAT5080" s="31">
        <v>1</v>
      </c>
      <c r="JAU5080" s="34">
        <v>0</v>
      </c>
      <c r="JAV5080" s="34">
        <v>-1</v>
      </c>
      <c r="JAW5080" s="34">
        <v>-2</v>
      </c>
      <c r="JAX5080" s="34">
        <v>-3</v>
      </c>
      <c r="JAY5080" s="34">
        <v>-4</v>
      </c>
      <c r="JAZ5080" s="34">
        <v>-5</v>
      </c>
      <c r="JBA5080" s="908"/>
      <c r="JBB5080" s="909"/>
      <c r="JBC5080" s="34">
        <v>-5</v>
      </c>
      <c r="JBD5080" s="34">
        <v>-4.5</v>
      </c>
      <c r="JBE5080" s="34">
        <v>-4</v>
      </c>
      <c r="JBF5080" s="34">
        <v>-3.5</v>
      </c>
      <c r="JBG5080" s="34">
        <v>-3</v>
      </c>
      <c r="JBH5080" s="34">
        <v>-2.5</v>
      </c>
      <c r="JBI5080" s="34">
        <v>-2</v>
      </c>
      <c r="JBJ5080" s="34">
        <v>-1.5</v>
      </c>
      <c r="JBK5080" s="34">
        <v>-1</v>
      </c>
      <c r="JBL5080" s="34">
        <v>-0.5</v>
      </c>
      <c r="JBM5080" s="34">
        <v>0</v>
      </c>
      <c r="JBN5080" s="34">
        <v>0.5</v>
      </c>
      <c r="JBO5080" s="34">
        <v>1</v>
      </c>
      <c r="JBP5080" s="34">
        <v>1.5</v>
      </c>
      <c r="JBQ5080" s="34">
        <v>2</v>
      </c>
      <c r="JBR5080" s="34">
        <v>2.5</v>
      </c>
      <c r="JBS5080" s="34">
        <v>3</v>
      </c>
      <c r="JBT5080" s="34">
        <v>3.5</v>
      </c>
      <c r="JBU5080" s="34">
        <v>4</v>
      </c>
      <c r="JBV5080" s="34">
        <v>4.5</v>
      </c>
      <c r="JBW5080" s="34">
        <v>5</v>
      </c>
      <c r="JBY5080" s="913"/>
      <c r="JBZ5080" s="31">
        <v>1</v>
      </c>
      <c r="JCA5080" s="34">
        <v>0</v>
      </c>
      <c r="JCB5080" s="34">
        <v>-1</v>
      </c>
      <c r="JCC5080" s="34">
        <v>-2</v>
      </c>
      <c r="JCD5080" s="34">
        <v>-3</v>
      </c>
      <c r="JCE5080" s="34">
        <v>-4</v>
      </c>
      <c r="JCF5080" s="34">
        <v>-5</v>
      </c>
      <c r="JCG5080" s="908"/>
      <c r="JCH5080" s="909"/>
      <c r="JCI5080" s="34">
        <v>-5</v>
      </c>
      <c r="JCJ5080" s="34">
        <v>-4.5</v>
      </c>
      <c r="JCK5080" s="34">
        <v>-4</v>
      </c>
      <c r="JCL5080" s="34">
        <v>-3.5</v>
      </c>
      <c r="JCM5080" s="34">
        <v>-3</v>
      </c>
      <c r="JCN5080" s="34">
        <v>-2.5</v>
      </c>
      <c r="JCO5080" s="34">
        <v>-2</v>
      </c>
      <c r="JCP5080" s="34">
        <v>-1.5</v>
      </c>
      <c r="JCQ5080" s="34">
        <v>-1</v>
      </c>
      <c r="JCR5080" s="34">
        <v>-0.5</v>
      </c>
      <c r="JCS5080" s="34">
        <v>0</v>
      </c>
      <c r="JCT5080" s="34">
        <v>0.5</v>
      </c>
      <c r="JCU5080" s="34">
        <v>1</v>
      </c>
      <c r="JCV5080" s="34">
        <v>1.5</v>
      </c>
      <c r="JCW5080" s="34">
        <v>2</v>
      </c>
      <c r="JCX5080" s="34">
        <v>2.5</v>
      </c>
      <c r="JCY5080" s="34">
        <v>3</v>
      </c>
      <c r="JCZ5080" s="34">
        <v>3.5</v>
      </c>
      <c r="JDA5080" s="34">
        <v>4</v>
      </c>
      <c r="JDB5080" s="34">
        <v>4.5</v>
      </c>
      <c r="JDC5080" s="34">
        <v>5</v>
      </c>
      <c r="JDE5080" s="913"/>
      <c r="JDF5080" s="31">
        <v>1</v>
      </c>
      <c r="JDG5080" s="34">
        <v>0</v>
      </c>
      <c r="JDH5080" s="34">
        <v>-1</v>
      </c>
      <c r="JDI5080" s="34">
        <v>-2</v>
      </c>
      <c r="JDJ5080" s="34">
        <v>-3</v>
      </c>
      <c r="JDK5080" s="34">
        <v>-4</v>
      </c>
      <c r="JDL5080" s="34">
        <v>-5</v>
      </c>
      <c r="JDM5080" s="908"/>
      <c r="JDN5080" s="909"/>
      <c r="JDO5080" s="34">
        <v>-5</v>
      </c>
      <c r="JDP5080" s="34">
        <v>-4.5</v>
      </c>
      <c r="JDQ5080" s="34">
        <v>-4</v>
      </c>
      <c r="JDR5080" s="34">
        <v>-3.5</v>
      </c>
      <c r="JDS5080" s="34">
        <v>-3</v>
      </c>
      <c r="JDT5080" s="34">
        <v>-2.5</v>
      </c>
      <c r="JDU5080" s="34">
        <v>-2</v>
      </c>
      <c r="JDV5080" s="34">
        <v>-1.5</v>
      </c>
      <c r="JDW5080" s="34">
        <v>-1</v>
      </c>
      <c r="JDX5080" s="34">
        <v>-0.5</v>
      </c>
      <c r="JDY5080" s="34">
        <v>0</v>
      </c>
      <c r="JDZ5080" s="34">
        <v>0.5</v>
      </c>
      <c r="JEA5080" s="34">
        <v>1</v>
      </c>
      <c r="JEB5080" s="34">
        <v>1.5</v>
      </c>
      <c r="JEC5080" s="34">
        <v>2</v>
      </c>
      <c r="JED5080" s="34">
        <v>2.5</v>
      </c>
      <c r="JEE5080" s="34">
        <v>3</v>
      </c>
      <c r="JEF5080" s="34">
        <v>3.5</v>
      </c>
      <c r="JEG5080" s="34">
        <v>4</v>
      </c>
      <c r="JEH5080" s="34">
        <v>4.5</v>
      </c>
      <c r="JEI5080" s="34">
        <v>5</v>
      </c>
      <c r="JEK5080" s="913"/>
      <c r="JEL5080" s="31">
        <v>1</v>
      </c>
      <c r="JEM5080" s="34">
        <v>0</v>
      </c>
      <c r="JEN5080" s="34">
        <v>-1</v>
      </c>
      <c r="JEO5080" s="34">
        <v>-2</v>
      </c>
      <c r="JEP5080" s="34">
        <v>-3</v>
      </c>
      <c r="JEQ5080" s="34">
        <v>-4</v>
      </c>
      <c r="JER5080" s="34">
        <v>-5</v>
      </c>
      <c r="JES5080" s="908"/>
      <c r="JET5080" s="909"/>
      <c r="JEU5080" s="34">
        <v>-5</v>
      </c>
      <c r="JEV5080" s="34">
        <v>-4.5</v>
      </c>
      <c r="JEW5080" s="34">
        <v>-4</v>
      </c>
      <c r="JEX5080" s="34">
        <v>-3.5</v>
      </c>
      <c r="JEY5080" s="34">
        <v>-3</v>
      </c>
      <c r="JEZ5080" s="34">
        <v>-2.5</v>
      </c>
      <c r="JFA5080" s="34">
        <v>-2</v>
      </c>
      <c r="JFB5080" s="34">
        <v>-1.5</v>
      </c>
      <c r="JFC5080" s="34">
        <v>-1</v>
      </c>
      <c r="JFD5080" s="34">
        <v>-0.5</v>
      </c>
      <c r="JFE5080" s="34">
        <v>0</v>
      </c>
      <c r="JFF5080" s="34">
        <v>0.5</v>
      </c>
      <c r="JFG5080" s="34">
        <v>1</v>
      </c>
      <c r="JFH5080" s="34">
        <v>1.5</v>
      </c>
      <c r="JFI5080" s="34">
        <v>2</v>
      </c>
      <c r="JFJ5080" s="34">
        <v>2.5</v>
      </c>
      <c r="JFK5080" s="34">
        <v>3</v>
      </c>
      <c r="JFL5080" s="34">
        <v>3.5</v>
      </c>
      <c r="JFM5080" s="34">
        <v>4</v>
      </c>
      <c r="JFN5080" s="34">
        <v>4.5</v>
      </c>
      <c r="JFO5080" s="34">
        <v>5</v>
      </c>
      <c r="JFQ5080" s="913"/>
      <c r="JFR5080" s="31">
        <v>1</v>
      </c>
      <c r="JFS5080" s="34">
        <v>0</v>
      </c>
      <c r="JFT5080" s="34">
        <v>-1</v>
      </c>
      <c r="JFU5080" s="34">
        <v>-2</v>
      </c>
      <c r="JFV5080" s="34">
        <v>-3</v>
      </c>
      <c r="JFW5080" s="34">
        <v>-4</v>
      </c>
      <c r="JFX5080" s="34">
        <v>-5</v>
      </c>
      <c r="JFY5080" s="908"/>
      <c r="JFZ5080" s="909"/>
      <c r="JGA5080" s="34">
        <v>-5</v>
      </c>
      <c r="JGB5080" s="34">
        <v>-4.5</v>
      </c>
      <c r="JGC5080" s="34">
        <v>-4</v>
      </c>
      <c r="JGD5080" s="34">
        <v>-3.5</v>
      </c>
      <c r="JGE5080" s="34">
        <v>-3</v>
      </c>
      <c r="JGF5080" s="34">
        <v>-2.5</v>
      </c>
      <c r="JGG5080" s="34">
        <v>-2</v>
      </c>
      <c r="JGH5080" s="34">
        <v>-1.5</v>
      </c>
      <c r="JGI5080" s="34">
        <v>-1</v>
      </c>
      <c r="JGJ5080" s="34">
        <v>-0.5</v>
      </c>
      <c r="JGK5080" s="34">
        <v>0</v>
      </c>
      <c r="JGL5080" s="34">
        <v>0.5</v>
      </c>
      <c r="JGM5080" s="34">
        <v>1</v>
      </c>
      <c r="JGN5080" s="34">
        <v>1.5</v>
      </c>
      <c r="JGO5080" s="34">
        <v>2</v>
      </c>
      <c r="JGP5080" s="34">
        <v>2.5</v>
      </c>
      <c r="JGQ5080" s="34">
        <v>3</v>
      </c>
      <c r="JGR5080" s="34">
        <v>3.5</v>
      </c>
      <c r="JGS5080" s="34">
        <v>4</v>
      </c>
      <c r="JGT5080" s="34">
        <v>4.5</v>
      </c>
      <c r="JGU5080" s="34">
        <v>5</v>
      </c>
      <c r="JGW5080" s="913"/>
      <c r="JGX5080" s="31">
        <v>1</v>
      </c>
      <c r="JGY5080" s="34">
        <v>0</v>
      </c>
      <c r="JGZ5080" s="34">
        <v>-1</v>
      </c>
      <c r="JHA5080" s="34">
        <v>-2</v>
      </c>
      <c r="JHB5080" s="34">
        <v>-3</v>
      </c>
      <c r="JHC5080" s="34">
        <v>-4</v>
      </c>
      <c r="JHD5080" s="34">
        <v>-5</v>
      </c>
      <c r="JHE5080" s="908"/>
      <c r="JHF5080" s="909"/>
      <c r="JHG5080" s="34">
        <v>-5</v>
      </c>
      <c r="JHH5080" s="34">
        <v>-4.5</v>
      </c>
      <c r="JHI5080" s="34">
        <v>-4</v>
      </c>
      <c r="JHJ5080" s="34">
        <v>-3.5</v>
      </c>
      <c r="JHK5080" s="34">
        <v>-3</v>
      </c>
      <c r="JHL5080" s="34">
        <v>-2.5</v>
      </c>
      <c r="JHM5080" s="34">
        <v>-2</v>
      </c>
      <c r="JHN5080" s="34">
        <v>-1.5</v>
      </c>
      <c r="JHO5080" s="34">
        <v>-1</v>
      </c>
      <c r="JHP5080" s="34">
        <v>-0.5</v>
      </c>
      <c r="JHQ5080" s="34">
        <v>0</v>
      </c>
      <c r="JHR5080" s="34">
        <v>0.5</v>
      </c>
      <c r="JHS5080" s="34">
        <v>1</v>
      </c>
      <c r="JHT5080" s="34">
        <v>1.5</v>
      </c>
      <c r="JHU5080" s="34">
        <v>2</v>
      </c>
      <c r="JHV5080" s="34">
        <v>2.5</v>
      </c>
      <c r="JHW5080" s="34">
        <v>3</v>
      </c>
      <c r="JHX5080" s="34">
        <v>3.5</v>
      </c>
      <c r="JHY5080" s="34">
        <v>4</v>
      </c>
      <c r="JHZ5080" s="34">
        <v>4.5</v>
      </c>
      <c r="JIA5080" s="34">
        <v>5</v>
      </c>
      <c r="JIC5080" s="913"/>
      <c r="JID5080" s="31">
        <v>1</v>
      </c>
      <c r="JIE5080" s="34">
        <v>0</v>
      </c>
      <c r="JIF5080" s="34">
        <v>-1</v>
      </c>
      <c r="JIG5080" s="34">
        <v>-2</v>
      </c>
      <c r="JIH5080" s="34">
        <v>-3</v>
      </c>
      <c r="JII5080" s="34">
        <v>-4</v>
      </c>
      <c r="JIJ5080" s="34">
        <v>-5</v>
      </c>
      <c r="JIK5080" s="908"/>
      <c r="JIL5080" s="909"/>
      <c r="JIM5080" s="34">
        <v>-5</v>
      </c>
      <c r="JIN5080" s="34">
        <v>-4.5</v>
      </c>
      <c r="JIO5080" s="34">
        <v>-4</v>
      </c>
      <c r="JIP5080" s="34">
        <v>-3.5</v>
      </c>
      <c r="JIQ5080" s="34">
        <v>-3</v>
      </c>
      <c r="JIR5080" s="34">
        <v>-2.5</v>
      </c>
      <c r="JIS5080" s="34">
        <v>-2</v>
      </c>
      <c r="JIT5080" s="34">
        <v>-1.5</v>
      </c>
      <c r="JIU5080" s="34">
        <v>-1</v>
      </c>
      <c r="JIV5080" s="34">
        <v>-0.5</v>
      </c>
      <c r="JIW5080" s="34">
        <v>0</v>
      </c>
      <c r="JIX5080" s="34">
        <v>0.5</v>
      </c>
      <c r="JIY5080" s="34">
        <v>1</v>
      </c>
      <c r="JIZ5080" s="34">
        <v>1.5</v>
      </c>
      <c r="JJA5080" s="34">
        <v>2</v>
      </c>
      <c r="JJB5080" s="34">
        <v>2.5</v>
      </c>
      <c r="JJC5080" s="34">
        <v>3</v>
      </c>
      <c r="JJD5080" s="34">
        <v>3.5</v>
      </c>
      <c r="JJE5080" s="34">
        <v>4</v>
      </c>
      <c r="JJF5080" s="34">
        <v>4.5</v>
      </c>
      <c r="JJG5080" s="34">
        <v>5</v>
      </c>
      <c r="JJI5080" s="913"/>
      <c r="JJJ5080" s="31">
        <v>1</v>
      </c>
      <c r="JJK5080" s="34">
        <v>0</v>
      </c>
      <c r="JJL5080" s="34">
        <v>-1</v>
      </c>
      <c r="JJM5080" s="34">
        <v>-2</v>
      </c>
      <c r="JJN5080" s="34">
        <v>-3</v>
      </c>
      <c r="JJO5080" s="34">
        <v>-4</v>
      </c>
      <c r="JJP5080" s="34">
        <v>-5</v>
      </c>
      <c r="JJQ5080" s="908"/>
      <c r="JJR5080" s="909"/>
      <c r="JJS5080" s="34">
        <v>-5</v>
      </c>
      <c r="JJT5080" s="34">
        <v>-4.5</v>
      </c>
      <c r="JJU5080" s="34">
        <v>-4</v>
      </c>
      <c r="JJV5080" s="34">
        <v>-3.5</v>
      </c>
      <c r="JJW5080" s="34">
        <v>-3</v>
      </c>
      <c r="JJX5080" s="34">
        <v>-2.5</v>
      </c>
      <c r="JJY5080" s="34">
        <v>-2</v>
      </c>
      <c r="JJZ5080" s="34">
        <v>-1.5</v>
      </c>
      <c r="JKA5080" s="34">
        <v>-1</v>
      </c>
      <c r="JKB5080" s="34">
        <v>-0.5</v>
      </c>
      <c r="JKC5080" s="34">
        <v>0</v>
      </c>
      <c r="JKD5080" s="34">
        <v>0.5</v>
      </c>
      <c r="JKE5080" s="34">
        <v>1</v>
      </c>
      <c r="JKF5080" s="34">
        <v>1.5</v>
      </c>
      <c r="JKG5080" s="34">
        <v>2</v>
      </c>
      <c r="JKH5080" s="34">
        <v>2.5</v>
      </c>
      <c r="JKI5080" s="34">
        <v>3</v>
      </c>
      <c r="JKJ5080" s="34">
        <v>3.5</v>
      </c>
      <c r="JKK5080" s="34">
        <v>4</v>
      </c>
      <c r="JKL5080" s="34">
        <v>4.5</v>
      </c>
      <c r="JKM5080" s="34">
        <v>5</v>
      </c>
      <c r="JKO5080" s="913"/>
      <c r="JKP5080" s="31">
        <v>1</v>
      </c>
      <c r="JKQ5080" s="34">
        <v>0</v>
      </c>
      <c r="JKR5080" s="34">
        <v>-1</v>
      </c>
      <c r="JKS5080" s="34">
        <v>-2</v>
      </c>
      <c r="JKT5080" s="34">
        <v>-3</v>
      </c>
      <c r="JKU5080" s="34">
        <v>-4</v>
      </c>
      <c r="JKV5080" s="34">
        <v>-5</v>
      </c>
      <c r="JKW5080" s="908"/>
      <c r="JKX5080" s="909"/>
      <c r="JKY5080" s="34">
        <v>-5</v>
      </c>
      <c r="JKZ5080" s="34">
        <v>-4.5</v>
      </c>
      <c r="JLA5080" s="34">
        <v>-4</v>
      </c>
      <c r="JLB5080" s="34">
        <v>-3.5</v>
      </c>
      <c r="JLC5080" s="34">
        <v>-3</v>
      </c>
      <c r="JLD5080" s="34">
        <v>-2.5</v>
      </c>
      <c r="JLE5080" s="34">
        <v>-2</v>
      </c>
      <c r="JLF5080" s="34">
        <v>-1.5</v>
      </c>
      <c r="JLG5080" s="34">
        <v>-1</v>
      </c>
      <c r="JLH5080" s="34">
        <v>-0.5</v>
      </c>
      <c r="JLI5080" s="34">
        <v>0</v>
      </c>
      <c r="JLJ5080" s="34">
        <v>0.5</v>
      </c>
      <c r="JLK5080" s="34">
        <v>1</v>
      </c>
      <c r="JLL5080" s="34">
        <v>1.5</v>
      </c>
      <c r="JLM5080" s="34">
        <v>2</v>
      </c>
      <c r="JLN5080" s="34">
        <v>2.5</v>
      </c>
      <c r="JLO5080" s="34">
        <v>3</v>
      </c>
      <c r="JLP5080" s="34">
        <v>3.5</v>
      </c>
      <c r="JLQ5080" s="34">
        <v>4</v>
      </c>
      <c r="JLR5080" s="34">
        <v>4.5</v>
      </c>
      <c r="JLS5080" s="34">
        <v>5</v>
      </c>
      <c r="JLU5080" s="913"/>
      <c r="JLV5080" s="31">
        <v>1</v>
      </c>
      <c r="JLW5080" s="34">
        <v>0</v>
      </c>
      <c r="JLX5080" s="34">
        <v>-1</v>
      </c>
      <c r="JLY5080" s="34">
        <v>-2</v>
      </c>
      <c r="JLZ5080" s="34">
        <v>-3</v>
      </c>
      <c r="JMA5080" s="34">
        <v>-4</v>
      </c>
      <c r="JMB5080" s="34">
        <v>-5</v>
      </c>
      <c r="JMC5080" s="908"/>
      <c r="JMD5080" s="909"/>
      <c r="JME5080" s="34">
        <v>-5</v>
      </c>
      <c r="JMF5080" s="34">
        <v>-4.5</v>
      </c>
      <c r="JMG5080" s="34">
        <v>-4</v>
      </c>
      <c r="JMH5080" s="34">
        <v>-3.5</v>
      </c>
      <c r="JMI5080" s="34">
        <v>-3</v>
      </c>
      <c r="JMJ5080" s="34">
        <v>-2.5</v>
      </c>
      <c r="JMK5080" s="34">
        <v>-2</v>
      </c>
      <c r="JML5080" s="34">
        <v>-1.5</v>
      </c>
      <c r="JMM5080" s="34">
        <v>-1</v>
      </c>
      <c r="JMN5080" s="34">
        <v>-0.5</v>
      </c>
      <c r="JMO5080" s="34">
        <v>0</v>
      </c>
      <c r="JMP5080" s="34">
        <v>0.5</v>
      </c>
      <c r="JMQ5080" s="34">
        <v>1</v>
      </c>
      <c r="JMR5080" s="34">
        <v>1.5</v>
      </c>
      <c r="JMS5080" s="34">
        <v>2</v>
      </c>
      <c r="JMT5080" s="34">
        <v>2.5</v>
      </c>
      <c r="JMU5080" s="34">
        <v>3</v>
      </c>
      <c r="JMV5080" s="34">
        <v>3.5</v>
      </c>
      <c r="JMW5080" s="34">
        <v>4</v>
      </c>
      <c r="JMX5080" s="34">
        <v>4.5</v>
      </c>
      <c r="JMY5080" s="34">
        <v>5</v>
      </c>
      <c r="JNA5080" s="913"/>
      <c r="JNB5080" s="31">
        <v>1</v>
      </c>
      <c r="JNC5080" s="34">
        <v>0</v>
      </c>
      <c r="JND5080" s="34">
        <v>-1</v>
      </c>
      <c r="JNE5080" s="34">
        <v>-2</v>
      </c>
      <c r="JNF5080" s="34">
        <v>-3</v>
      </c>
      <c r="JNG5080" s="34">
        <v>-4</v>
      </c>
      <c r="JNH5080" s="34">
        <v>-5</v>
      </c>
      <c r="JNI5080" s="908"/>
      <c r="JNJ5080" s="909"/>
      <c r="JNK5080" s="34">
        <v>-5</v>
      </c>
      <c r="JNL5080" s="34">
        <v>-4.5</v>
      </c>
      <c r="JNM5080" s="34">
        <v>-4</v>
      </c>
      <c r="JNN5080" s="34">
        <v>-3.5</v>
      </c>
      <c r="JNO5080" s="34">
        <v>-3</v>
      </c>
      <c r="JNP5080" s="34">
        <v>-2.5</v>
      </c>
      <c r="JNQ5080" s="34">
        <v>-2</v>
      </c>
      <c r="JNR5080" s="34">
        <v>-1.5</v>
      </c>
      <c r="JNS5080" s="34">
        <v>-1</v>
      </c>
      <c r="JNT5080" s="34">
        <v>-0.5</v>
      </c>
      <c r="JNU5080" s="34">
        <v>0</v>
      </c>
      <c r="JNV5080" s="34">
        <v>0.5</v>
      </c>
      <c r="JNW5080" s="34">
        <v>1</v>
      </c>
      <c r="JNX5080" s="34">
        <v>1.5</v>
      </c>
      <c r="JNY5080" s="34">
        <v>2</v>
      </c>
      <c r="JNZ5080" s="34">
        <v>2.5</v>
      </c>
      <c r="JOA5080" s="34">
        <v>3</v>
      </c>
      <c r="JOB5080" s="34">
        <v>3.5</v>
      </c>
      <c r="JOC5080" s="34">
        <v>4</v>
      </c>
      <c r="JOD5080" s="34">
        <v>4.5</v>
      </c>
      <c r="JOE5080" s="34">
        <v>5</v>
      </c>
      <c r="JOG5080" s="913"/>
      <c r="JOH5080" s="31">
        <v>1</v>
      </c>
      <c r="JOI5080" s="34">
        <v>0</v>
      </c>
      <c r="JOJ5080" s="34">
        <v>-1</v>
      </c>
      <c r="JOK5080" s="34">
        <v>-2</v>
      </c>
      <c r="JOL5080" s="34">
        <v>-3</v>
      </c>
      <c r="JOM5080" s="34">
        <v>-4</v>
      </c>
      <c r="JON5080" s="34">
        <v>-5</v>
      </c>
      <c r="JOO5080" s="908"/>
      <c r="JOP5080" s="909"/>
      <c r="JOQ5080" s="34">
        <v>-5</v>
      </c>
      <c r="JOR5080" s="34">
        <v>-4.5</v>
      </c>
      <c r="JOS5080" s="34">
        <v>-4</v>
      </c>
      <c r="JOT5080" s="34">
        <v>-3.5</v>
      </c>
      <c r="JOU5080" s="34">
        <v>-3</v>
      </c>
      <c r="JOV5080" s="34">
        <v>-2.5</v>
      </c>
      <c r="JOW5080" s="34">
        <v>-2</v>
      </c>
      <c r="JOX5080" s="34">
        <v>-1.5</v>
      </c>
      <c r="JOY5080" s="34">
        <v>-1</v>
      </c>
      <c r="JOZ5080" s="34">
        <v>-0.5</v>
      </c>
      <c r="JPA5080" s="34">
        <v>0</v>
      </c>
      <c r="JPB5080" s="34">
        <v>0.5</v>
      </c>
      <c r="JPC5080" s="34">
        <v>1</v>
      </c>
      <c r="JPD5080" s="34">
        <v>1.5</v>
      </c>
      <c r="JPE5080" s="34">
        <v>2</v>
      </c>
      <c r="JPF5080" s="34">
        <v>2.5</v>
      </c>
      <c r="JPG5080" s="34">
        <v>3</v>
      </c>
      <c r="JPH5080" s="34">
        <v>3.5</v>
      </c>
      <c r="JPI5080" s="34">
        <v>4</v>
      </c>
      <c r="JPJ5080" s="34">
        <v>4.5</v>
      </c>
      <c r="JPK5080" s="34">
        <v>5</v>
      </c>
      <c r="JPM5080" s="913"/>
      <c r="JPN5080" s="31">
        <v>1</v>
      </c>
      <c r="JPO5080" s="34">
        <v>0</v>
      </c>
      <c r="JPP5080" s="34">
        <v>-1</v>
      </c>
      <c r="JPQ5080" s="34">
        <v>-2</v>
      </c>
      <c r="JPR5080" s="34">
        <v>-3</v>
      </c>
      <c r="JPS5080" s="34">
        <v>-4</v>
      </c>
      <c r="JPT5080" s="34">
        <v>-5</v>
      </c>
      <c r="JPU5080" s="908"/>
      <c r="JPV5080" s="909"/>
      <c r="JPW5080" s="34">
        <v>-5</v>
      </c>
      <c r="JPX5080" s="34">
        <v>-4.5</v>
      </c>
      <c r="JPY5080" s="34">
        <v>-4</v>
      </c>
      <c r="JPZ5080" s="34">
        <v>-3.5</v>
      </c>
      <c r="JQA5080" s="34">
        <v>-3</v>
      </c>
      <c r="JQB5080" s="34">
        <v>-2.5</v>
      </c>
      <c r="JQC5080" s="34">
        <v>-2</v>
      </c>
      <c r="JQD5080" s="34">
        <v>-1.5</v>
      </c>
      <c r="JQE5080" s="34">
        <v>-1</v>
      </c>
      <c r="JQF5080" s="34">
        <v>-0.5</v>
      </c>
      <c r="JQG5080" s="34">
        <v>0</v>
      </c>
      <c r="JQH5080" s="34">
        <v>0.5</v>
      </c>
      <c r="JQI5080" s="34">
        <v>1</v>
      </c>
      <c r="JQJ5080" s="34">
        <v>1.5</v>
      </c>
      <c r="JQK5080" s="34">
        <v>2</v>
      </c>
      <c r="JQL5080" s="34">
        <v>2.5</v>
      </c>
      <c r="JQM5080" s="34">
        <v>3</v>
      </c>
      <c r="JQN5080" s="34">
        <v>3.5</v>
      </c>
      <c r="JQO5080" s="34">
        <v>4</v>
      </c>
      <c r="JQP5080" s="34">
        <v>4.5</v>
      </c>
      <c r="JQQ5080" s="34">
        <v>5</v>
      </c>
      <c r="JQS5080" s="913"/>
      <c r="JQT5080" s="31">
        <v>1</v>
      </c>
      <c r="JQU5080" s="34">
        <v>0</v>
      </c>
      <c r="JQV5080" s="34">
        <v>-1</v>
      </c>
      <c r="JQW5080" s="34">
        <v>-2</v>
      </c>
      <c r="JQX5080" s="34">
        <v>-3</v>
      </c>
      <c r="JQY5080" s="34">
        <v>-4</v>
      </c>
      <c r="JQZ5080" s="34">
        <v>-5</v>
      </c>
      <c r="JRA5080" s="908"/>
      <c r="JRB5080" s="909"/>
      <c r="JRC5080" s="34">
        <v>-5</v>
      </c>
      <c r="JRD5080" s="34">
        <v>-4.5</v>
      </c>
      <c r="JRE5080" s="34">
        <v>-4</v>
      </c>
      <c r="JRF5080" s="34">
        <v>-3.5</v>
      </c>
      <c r="JRG5080" s="34">
        <v>-3</v>
      </c>
      <c r="JRH5080" s="34">
        <v>-2.5</v>
      </c>
      <c r="JRI5080" s="34">
        <v>-2</v>
      </c>
      <c r="JRJ5080" s="34">
        <v>-1.5</v>
      </c>
      <c r="JRK5080" s="34">
        <v>-1</v>
      </c>
      <c r="JRL5080" s="34">
        <v>-0.5</v>
      </c>
      <c r="JRM5080" s="34">
        <v>0</v>
      </c>
      <c r="JRN5080" s="34">
        <v>0.5</v>
      </c>
      <c r="JRO5080" s="34">
        <v>1</v>
      </c>
      <c r="JRP5080" s="34">
        <v>1.5</v>
      </c>
      <c r="JRQ5080" s="34">
        <v>2</v>
      </c>
      <c r="JRR5080" s="34">
        <v>2.5</v>
      </c>
      <c r="JRS5080" s="34">
        <v>3</v>
      </c>
      <c r="JRT5080" s="34">
        <v>3.5</v>
      </c>
      <c r="JRU5080" s="34">
        <v>4</v>
      </c>
      <c r="JRV5080" s="34">
        <v>4.5</v>
      </c>
      <c r="JRW5080" s="34">
        <v>5</v>
      </c>
      <c r="JRY5080" s="913"/>
      <c r="JRZ5080" s="31">
        <v>1</v>
      </c>
      <c r="JSA5080" s="34">
        <v>0</v>
      </c>
      <c r="JSB5080" s="34">
        <v>-1</v>
      </c>
      <c r="JSC5080" s="34">
        <v>-2</v>
      </c>
      <c r="JSD5080" s="34">
        <v>-3</v>
      </c>
      <c r="JSE5080" s="34">
        <v>-4</v>
      </c>
      <c r="JSF5080" s="34">
        <v>-5</v>
      </c>
      <c r="JSG5080" s="908"/>
      <c r="JSH5080" s="909"/>
      <c r="JSI5080" s="34">
        <v>-5</v>
      </c>
      <c r="JSJ5080" s="34">
        <v>-4.5</v>
      </c>
      <c r="JSK5080" s="34">
        <v>-4</v>
      </c>
      <c r="JSL5080" s="34">
        <v>-3.5</v>
      </c>
      <c r="JSM5080" s="34">
        <v>-3</v>
      </c>
      <c r="JSN5080" s="34">
        <v>-2.5</v>
      </c>
      <c r="JSO5080" s="34">
        <v>-2</v>
      </c>
      <c r="JSP5080" s="34">
        <v>-1.5</v>
      </c>
      <c r="JSQ5080" s="34">
        <v>-1</v>
      </c>
      <c r="JSR5080" s="34">
        <v>-0.5</v>
      </c>
      <c r="JSS5080" s="34">
        <v>0</v>
      </c>
      <c r="JST5080" s="34">
        <v>0.5</v>
      </c>
      <c r="JSU5080" s="34">
        <v>1</v>
      </c>
      <c r="JSV5080" s="34">
        <v>1.5</v>
      </c>
      <c r="JSW5080" s="34">
        <v>2</v>
      </c>
      <c r="JSX5080" s="34">
        <v>2.5</v>
      </c>
      <c r="JSY5080" s="34">
        <v>3</v>
      </c>
      <c r="JSZ5080" s="34">
        <v>3.5</v>
      </c>
      <c r="JTA5080" s="34">
        <v>4</v>
      </c>
      <c r="JTB5080" s="34">
        <v>4.5</v>
      </c>
      <c r="JTC5080" s="34">
        <v>5</v>
      </c>
      <c r="JTE5080" s="913"/>
      <c r="JTF5080" s="31">
        <v>1</v>
      </c>
      <c r="JTG5080" s="34">
        <v>0</v>
      </c>
      <c r="JTH5080" s="34">
        <v>-1</v>
      </c>
      <c r="JTI5080" s="34">
        <v>-2</v>
      </c>
      <c r="JTJ5080" s="34">
        <v>-3</v>
      </c>
      <c r="JTK5080" s="34">
        <v>-4</v>
      </c>
      <c r="JTL5080" s="34">
        <v>-5</v>
      </c>
      <c r="JTM5080" s="908"/>
      <c r="JTN5080" s="909"/>
      <c r="JTO5080" s="34">
        <v>-5</v>
      </c>
      <c r="JTP5080" s="34">
        <v>-4.5</v>
      </c>
      <c r="JTQ5080" s="34">
        <v>-4</v>
      </c>
      <c r="JTR5080" s="34">
        <v>-3.5</v>
      </c>
      <c r="JTS5080" s="34">
        <v>-3</v>
      </c>
      <c r="JTT5080" s="34">
        <v>-2.5</v>
      </c>
      <c r="JTU5080" s="34">
        <v>-2</v>
      </c>
      <c r="JTV5080" s="34">
        <v>-1.5</v>
      </c>
      <c r="JTW5080" s="34">
        <v>-1</v>
      </c>
      <c r="JTX5080" s="34">
        <v>-0.5</v>
      </c>
      <c r="JTY5080" s="34">
        <v>0</v>
      </c>
      <c r="JTZ5080" s="34">
        <v>0.5</v>
      </c>
      <c r="JUA5080" s="34">
        <v>1</v>
      </c>
      <c r="JUB5080" s="34">
        <v>1.5</v>
      </c>
      <c r="JUC5080" s="34">
        <v>2</v>
      </c>
      <c r="JUD5080" s="34">
        <v>2.5</v>
      </c>
      <c r="JUE5080" s="34">
        <v>3</v>
      </c>
      <c r="JUF5080" s="34">
        <v>3.5</v>
      </c>
      <c r="JUG5080" s="34">
        <v>4</v>
      </c>
      <c r="JUH5080" s="34">
        <v>4.5</v>
      </c>
      <c r="JUI5080" s="34">
        <v>5</v>
      </c>
      <c r="JUK5080" s="913"/>
      <c r="JUL5080" s="31">
        <v>1</v>
      </c>
      <c r="JUM5080" s="34">
        <v>0</v>
      </c>
      <c r="JUN5080" s="34">
        <v>-1</v>
      </c>
      <c r="JUO5080" s="34">
        <v>-2</v>
      </c>
      <c r="JUP5080" s="34">
        <v>-3</v>
      </c>
      <c r="JUQ5080" s="34">
        <v>-4</v>
      </c>
      <c r="JUR5080" s="34">
        <v>-5</v>
      </c>
      <c r="JUS5080" s="908"/>
      <c r="JUT5080" s="909"/>
      <c r="JUU5080" s="34">
        <v>-5</v>
      </c>
      <c r="JUV5080" s="34">
        <v>-4.5</v>
      </c>
      <c r="JUW5080" s="34">
        <v>-4</v>
      </c>
      <c r="JUX5080" s="34">
        <v>-3.5</v>
      </c>
      <c r="JUY5080" s="34">
        <v>-3</v>
      </c>
      <c r="JUZ5080" s="34">
        <v>-2.5</v>
      </c>
      <c r="JVA5080" s="34">
        <v>-2</v>
      </c>
      <c r="JVB5080" s="34">
        <v>-1.5</v>
      </c>
      <c r="JVC5080" s="34">
        <v>-1</v>
      </c>
      <c r="JVD5080" s="34">
        <v>-0.5</v>
      </c>
      <c r="JVE5080" s="34">
        <v>0</v>
      </c>
      <c r="JVF5080" s="34">
        <v>0.5</v>
      </c>
      <c r="JVG5080" s="34">
        <v>1</v>
      </c>
      <c r="JVH5080" s="34">
        <v>1.5</v>
      </c>
      <c r="JVI5080" s="34">
        <v>2</v>
      </c>
      <c r="JVJ5080" s="34">
        <v>2.5</v>
      </c>
      <c r="JVK5080" s="34">
        <v>3</v>
      </c>
      <c r="JVL5080" s="34">
        <v>3.5</v>
      </c>
      <c r="JVM5080" s="34">
        <v>4</v>
      </c>
      <c r="JVN5080" s="34">
        <v>4.5</v>
      </c>
      <c r="JVO5080" s="34">
        <v>5</v>
      </c>
      <c r="JVQ5080" s="913"/>
      <c r="JVR5080" s="31">
        <v>1</v>
      </c>
      <c r="JVS5080" s="34">
        <v>0</v>
      </c>
      <c r="JVT5080" s="34">
        <v>-1</v>
      </c>
      <c r="JVU5080" s="34">
        <v>-2</v>
      </c>
      <c r="JVV5080" s="34">
        <v>-3</v>
      </c>
      <c r="JVW5080" s="34">
        <v>-4</v>
      </c>
      <c r="JVX5080" s="34">
        <v>-5</v>
      </c>
      <c r="JVY5080" s="908"/>
      <c r="JVZ5080" s="909"/>
      <c r="JWA5080" s="34">
        <v>-5</v>
      </c>
      <c r="JWB5080" s="34">
        <v>-4.5</v>
      </c>
      <c r="JWC5080" s="34">
        <v>-4</v>
      </c>
      <c r="JWD5080" s="34">
        <v>-3.5</v>
      </c>
      <c r="JWE5080" s="34">
        <v>-3</v>
      </c>
      <c r="JWF5080" s="34">
        <v>-2.5</v>
      </c>
      <c r="JWG5080" s="34">
        <v>-2</v>
      </c>
      <c r="JWH5080" s="34">
        <v>-1.5</v>
      </c>
      <c r="JWI5080" s="34">
        <v>-1</v>
      </c>
      <c r="JWJ5080" s="34">
        <v>-0.5</v>
      </c>
      <c r="JWK5080" s="34">
        <v>0</v>
      </c>
      <c r="JWL5080" s="34">
        <v>0.5</v>
      </c>
      <c r="JWM5080" s="34">
        <v>1</v>
      </c>
      <c r="JWN5080" s="34">
        <v>1.5</v>
      </c>
      <c r="JWO5080" s="34">
        <v>2</v>
      </c>
      <c r="JWP5080" s="34">
        <v>2.5</v>
      </c>
      <c r="JWQ5080" s="34">
        <v>3</v>
      </c>
      <c r="JWR5080" s="34">
        <v>3.5</v>
      </c>
      <c r="JWS5080" s="34">
        <v>4</v>
      </c>
      <c r="JWT5080" s="34">
        <v>4.5</v>
      </c>
      <c r="JWU5080" s="34">
        <v>5</v>
      </c>
      <c r="JWW5080" s="913"/>
      <c r="JWX5080" s="31">
        <v>1</v>
      </c>
      <c r="JWY5080" s="34">
        <v>0</v>
      </c>
      <c r="JWZ5080" s="34">
        <v>-1</v>
      </c>
      <c r="JXA5080" s="34">
        <v>-2</v>
      </c>
      <c r="JXB5080" s="34">
        <v>-3</v>
      </c>
      <c r="JXC5080" s="34">
        <v>-4</v>
      </c>
      <c r="JXD5080" s="34">
        <v>-5</v>
      </c>
      <c r="JXE5080" s="908"/>
      <c r="JXF5080" s="909"/>
      <c r="JXG5080" s="34">
        <v>-5</v>
      </c>
      <c r="JXH5080" s="34">
        <v>-4.5</v>
      </c>
      <c r="JXI5080" s="34">
        <v>-4</v>
      </c>
      <c r="JXJ5080" s="34">
        <v>-3.5</v>
      </c>
      <c r="JXK5080" s="34">
        <v>-3</v>
      </c>
      <c r="JXL5080" s="34">
        <v>-2.5</v>
      </c>
      <c r="JXM5080" s="34">
        <v>-2</v>
      </c>
      <c r="JXN5080" s="34">
        <v>-1.5</v>
      </c>
      <c r="JXO5080" s="34">
        <v>-1</v>
      </c>
      <c r="JXP5080" s="34">
        <v>-0.5</v>
      </c>
      <c r="JXQ5080" s="34">
        <v>0</v>
      </c>
      <c r="JXR5080" s="34">
        <v>0.5</v>
      </c>
      <c r="JXS5080" s="34">
        <v>1</v>
      </c>
      <c r="JXT5080" s="34">
        <v>1.5</v>
      </c>
      <c r="JXU5080" s="34">
        <v>2</v>
      </c>
      <c r="JXV5080" s="34">
        <v>2.5</v>
      </c>
      <c r="JXW5080" s="34">
        <v>3</v>
      </c>
      <c r="JXX5080" s="34">
        <v>3.5</v>
      </c>
      <c r="JXY5080" s="34">
        <v>4</v>
      </c>
      <c r="JXZ5080" s="34">
        <v>4.5</v>
      </c>
      <c r="JYA5080" s="34">
        <v>5</v>
      </c>
      <c r="JYC5080" s="913"/>
      <c r="JYD5080" s="31">
        <v>1</v>
      </c>
      <c r="JYE5080" s="34">
        <v>0</v>
      </c>
      <c r="JYF5080" s="34">
        <v>-1</v>
      </c>
      <c r="JYG5080" s="34">
        <v>-2</v>
      </c>
      <c r="JYH5080" s="34">
        <v>-3</v>
      </c>
      <c r="JYI5080" s="34">
        <v>-4</v>
      </c>
      <c r="JYJ5080" s="34">
        <v>-5</v>
      </c>
      <c r="JYK5080" s="908"/>
      <c r="JYL5080" s="909"/>
      <c r="JYM5080" s="34">
        <v>-5</v>
      </c>
      <c r="JYN5080" s="34">
        <v>-4.5</v>
      </c>
      <c r="JYO5080" s="34">
        <v>-4</v>
      </c>
      <c r="JYP5080" s="34">
        <v>-3.5</v>
      </c>
      <c r="JYQ5080" s="34">
        <v>-3</v>
      </c>
      <c r="JYR5080" s="34">
        <v>-2.5</v>
      </c>
      <c r="JYS5080" s="34">
        <v>-2</v>
      </c>
      <c r="JYT5080" s="34">
        <v>-1.5</v>
      </c>
      <c r="JYU5080" s="34">
        <v>-1</v>
      </c>
      <c r="JYV5080" s="34">
        <v>-0.5</v>
      </c>
      <c r="JYW5080" s="34">
        <v>0</v>
      </c>
      <c r="JYX5080" s="34">
        <v>0.5</v>
      </c>
      <c r="JYY5080" s="34">
        <v>1</v>
      </c>
      <c r="JYZ5080" s="34">
        <v>1.5</v>
      </c>
      <c r="JZA5080" s="34">
        <v>2</v>
      </c>
      <c r="JZB5080" s="34">
        <v>2.5</v>
      </c>
      <c r="JZC5080" s="34">
        <v>3</v>
      </c>
      <c r="JZD5080" s="34">
        <v>3.5</v>
      </c>
      <c r="JZE5080" s="34">
        <v>4</v>
      </c>
      <c r="JZF5080" s="34">
        <v>4.5</v>
      </c>
      <c r="JZG5080" s="34">
        <v>5</v>
      </c>
      <c r="JZI5080" s="913"/>
      <c r="JZJ5080" s="31">
        <v>1</v>
      </c>
      <c r="JZK5080" s="34">
        <v>0</v>
      </c>
      <c r="JZL5080" s="34">
        <v>-1</v>
      </c>
      <c r="JZM5080" s="34">
        <v>-2</v>
      </c>
      <c r="JZN5080" s="34">
        <v>-3</v>
      </c>
      <c r="JZO5080" s="34">
        <v>-4</v>
      </c>
      <c r="JZP5080" s="34">
        <v>-5</v>
      </c>
      <c r="JZQ5080" s="908"/>
      <c r="JZR5080" s="909"/>
      <c r="JZS5080" s="34">
        <v>-5</v>
      </c>
      <c r="JZT5080" s="34">
        <v>-4.5</v>
      </c>
      <c r="JZU5080" s="34">
        <v>-4</v>
      </c>
      <c r="JZV5080" s="34">
        <v>-3.5</v>
      </c>
      <c r="JZW5080" s="34">
        <v>-3</v>
      </c>
      <c r="JZX5080" s="34">
        <v>-2.5</v>
      </c>
      <c r="JZY5080" s="34">
        <v>-2</v>
      </c>
      <c r="JZZ5080" s="34">
        <v>-1.5</v>
      </c>
      <c r="KAA5080" s="34">
        <v>-1</v>
      </c>
      <c r="KAB5080" s="34">
        <v>-0.5</v>
      </c>
      <c r="KAC5080" s="34">
        <v>0</v>
      </c>
      <c r="KAD5080" s="34">
        <v>0.5</v>
      </c>
      <c r="KAE5080" s="34">
        <v>1</v>
      </c>
      <c r="KAF5080" s="34">
        <v>1.5</v>
      </c>
      <c r="KAG5080" s="34">
        <v>2</v>
      </c>
      <c r="KAH5080" s="34">
        <v>2.5</v>
      </c>
      <c r="KAI5080" s="34">
        <v>3</v>
      </c>
      <c r="KAJ5080" s="34">
        <v>3.5</v>
      </c>
      <c r="KAK5080" s="34">
        <v>4</v>
      </c>
      <c r="KAL5080" s="34">
        <v>4.5</v>
      </c>
      <c r="KAM5080" s="34">
        <v>5</v>
      </c>
      <c r="KAO5080" s="913"/>
      <c r="KAP5080" s="31">
        <v>1</v>
      </c>
      <c r="KAQ5080" s="34">
        <v>0</v>
      </c>
      <c r="KAR5080" s="34">
        <v>-1</v>
      </c>
      <c r="KAS5080" s="34">
        <v>-2</v>
      </c>
      <c r="KAT5080" s="34">
        <v>-3</v>
      </c>
      <c r="KAU5080" s="34">
        <v>-4</v>
      </c>
      <c r="KAV5080" s="34">
        <v>-5</v>
      </c>
      <c r="KAW5080" s="908"/>
      <c r="KAX5080" s="909"/>
      <c r="KAY5080" s="34">
        <v>-5</v>
      </c>
      <c r="KAZ5080" s="34">
        <v>-4.5</v>
      </c>
      <c r="KBA5080" s="34">
        <v>-4</v>
      </c>
      <c r="KBB5080" s="34">
        <v>-3.5</v>
      </c>
      <c r="KBC5080" s="34">
        <v>-3</v>
      </c>
      <c r="KBD5080" s="34">
        <v>-2.5</v>
      </c>
      <c r="KBE5080" s="34">
        <v>-2</v>
      </c>
      <c r="KBF5080" s="34">
        <v>-1.5</v>
      </c>
      <c r="KBG5080" s="34">
        <v>-1</v>
      </c>
      <c r="KBH5080" s="34">
        <v>-0.5</v>
      </c>
      <c r="KBI5080" s="34">
        <v>0</v>
      </c>
      <c r="KBJ5080" s="34">
        <v>0.5</v>
      </c>
      <c r="KBK5080" s="34">
        <v>1</v>
      </c>
      <c r="KBL5080" s="34">
        <v>1.5</v>
      </c>
      <c r="KBM5080" s="34">
        <v>2</v>
      </c>
      <c r="KBN5080" s="34">
        <v>2.5</v>
      </c>
      <c r="KBO5080" s="34">
        <v>3</v>
      </c>
      <c r="KBP5080" s="34">
        <v>3.5</v>
      </c>
      <c r="KBQ5080" s="34">
        <v>4</v>
      </c>
      <c r="KBR5080" s="34">
        <v>4.5</v>
      </c>
      <c r="KBS5080" s="34">
        <v>5</v>
      </c>
      <c r="KBU5080" s="913"/>
      <c r="KBV5080" s="31">
        <v>1</v>
      </c>
      <c r="KBW5080" s="34">
        <v>0</v>
      </c>
      <c r="KBX5080" s="34">
        <v>-1</v>
      </c>
      <c r="KBY5080" s="34">
        <v>-2</v>
      </c>
      <c r="KBZ5080" s="34">
        <v>-3</v>
      </c>
      <c r="KCA5080" s="34">
        <v>-4</v>
      </c>
      <c r="KCB5080" s="34">
        <v>-5</v>
      </c>
      <c r="KCC5080" s="908"/>
      <c r="KCD5080" s="909"/>
      <c r="KCE5080" s="34">
        <v>-5</v>
      </c>
      <c r="KCF5080" s="34">
        <v>-4.5</v>
      </c>
      <c r="KCG5080" s="34">
        <v>-4</v>
      </c>
      <c r="KCH5080" s="34">
        <v>-3.5</v>
      </c>
      <c r="KCI5080" s="34">
        <v>-3</v>
      </c>
      <c r="KCJ5080" s="34">
        <v>-2.5</v>
      </c>
      <c r="KCK5080" s="34">
        <v>-2</v>
      </c>
      <c r="KCL5080" s="34">
        <v>-1.5</v>
      </c>
      <c r="KCM5080" s="34">
        <v>-1</v>
      </c>
      <c r="KCN5080" s="34">
        <v>-0.5</v>
      </c>
      <c r="KCO5080" s="34">
        <v>0</v>
      </c>
      <c r="KCP5080" s="34">
        <v>0.5</v>
      </c>
      <c r="KCQ5080" s="34">
        <v>1</v>
      </c>
      <c r="KCR5080" s="34">
        <v>1.5</v>
      </c>
      <c r="KCS5080" s="34">
        <v>2</v>
      </c>
      <c r="KCT5080" s="34">
        <v>2.5</v>
      </c>
      <c r="KCU5080" s="34">
        <v>3</v>
      </c>
      <c r="KCV5080" s="34">
        <v>3.5</v>
      </c>
      <c r="KCW5080" s="34">
        <v>4</v>
      </c>
      <c r="KCX5080" s="34">
        <v>4.5</v>
      </c>
      <c r="KCY5080" s="34">
        <v>5</v>
      </c>
      <c r="KDA5080" s="913"/>
      <c r="KDB5080" s="31">
        <v>1</v>
      </c>
      <c r="KDC5080" s="34">
        <v>0</v>
      </c>
      <c r="KDD5080" s="34">
        <v>-1</v>
      </c>
      <c r="KDE5080" s="34">
        <v>-2</v>
      </c>
      <c r="KDF5080" s="34">
        <v>-3</v>
      </c>
      <c r="KDG5080" s="34">
        <v>-4</v>
      </c>
      <c r="KDH5080" s="34">
        <v>-5</v>
      </c>
      <c r="KDI5080" s="908"/>
      <c r="KDJ5080" s="909"/>
      <c r="KDK5080" s="34">
        <v>-5</v>
      </c>
      <c r="KDL5080" s="34">
        <v>-4.5</v>
      </c>
      <c r="KDM5080" s="34">
        <v>-4</v>
      </c>
      <c r="KDN5080" s="34">
        <v>-3.5</v>
      </c>
      <c r="KDO5080" s="34">
        <v>-3</v>
      </c>
      <c r="KDP5080" s="34">
        <v>-2.5</v>
      </c>
      <c r="KDQ5080" s="34">
        <v>-2</v>
      </c>
      <c r="KDR5080" s="34">
        <v>-1.5</v>
      </c>
      <c r="KDS5080" s="34">
        <v>-1</v>
      </c>
      <c r="KDT5080" s="34">
        <v>-0.5</v>
      </c>
      <c r="KDU5080" s="34">
        <v>0</v>
      </c>
      <c r="KDV5080" s="34">
        <v>0.5</v>
      </c>
      <c r="KDW5080" s="34">
        <v>1</v>
      </c>
      <c r="KDX5080" s="34">
        <v>1.5</v>
      </c>
      <c r="KDY5080" s="34">
        <v>2</v>
      </c>
      <c r="KDZ5080" s="34">
        <v>2.5</v>
      </c>
      <c r="KEA5080" s="34">
        <v>3</v>
      </c>
      <c r="KEB5080" s="34">
        <v>3.5</v>
      </c>
      <c r="KEC5080" s="34">
        <v>4</v>
      </c>
      <c r="KED5080" s="34">
        <v>4.5</v>
      </c>
      <c r="KEE5080" s="34">
        <v>5</v>
      </c>
      <c r="KEG5080" s="913"/>
      <c r="KEH5080" s="31">
        <v>1</v>
      </c>
      <c r="KEI5080" s="34">
        <v>0</v>
      </c>
      <c r="KEJ5080" s="34">
        <v>-1</v>
      </c>
      <c r="KEK5080" s="34">
        <v>-2</v>
      </c>
      <c r="KEL5080" s="34">
        <v>-3</v>
      </c>
      <c r="KEM5080" s="34">
        <v>-4</v>
      </c>
      <c r="KEN5080" s="34">
        <v>-5</v>
      </c>
      <c r="KEO5080" s="908"/>
      <c r="KEP5080" s="909"/>
      <c r="KEQ5080" s="34">
        <v>-5</v>
      </c>
      <c r="KER5080" s="34">
        <v>-4.5</v>
      </c>
      <c r="KES5080" s="34">
        <v>-4</v>
      </c>
      <c r="KET5080" s="34">
        <v>-3.5</v>
      </c>
      <c r="KEU5080" s="34">
        <v>-3</v>
      </c>
      <c r="KEV5080" s="34">
        <v>-2.5</v>
      </c>
      <c r="KEW5080" s="34">
        <v>-2</v>
      </c>
      <c r="KEX5080" s="34">
        <v>-1.5</v>
      </c>
      <c r="KEY5080" s="34">
        <v>-1</v>
      </c>
      <c r="KEZ5080" s="34">
        <v>-0.5</v>
      </c>
      <c r="KFA5080" s="34">
        <v>0</v>
      </c>
      <c r="KFB5080" s="34">
        <v>0.5</v>
      </c>
      <c r="KFC5080" s="34">
        <v>1</v>
      </c>
      <c r="KFD5080" s="34">
        <v>1.5</v>
      </c>
      <c r="KFE5080" s="34">
        <v>2</v>
      </c>
      <c r="KFF5080" s="34">
        <v>2.5</v>
      </c>
      <c r="KFG5080" s="34">
        <v>3</v>
      </c>
      <c r="KFH5080" s="34">
        <v>3.5</v>
      </c>
      <c r="KFI5080" s="34">
        <v>4</v>
      </c>
      <c r="KFJ5080" s="34">
        <v>4.5</v>
      </c>
      <c r="KFK5080" s="34">
        <v>5</v>
      </c>
      <c r="KFM5080" s="913"/>
      <c r="KFN5080" s="31">
        <v>1</v>
      </c>
      <c r="KFO5080" s="34">
        <v>0</v>
      </c>
      <c r="KFP5080" s="34">
        <v>-1</v>
      </c>
      <c r="KFQ5080" s="34">
        <v>-2</v>
      </c>
      <c r="KFR5080" s="34">
        <v>-3</v>
      </c>
      <c r="KFS5080" s="34">
        <v>-4</v>
      </c>
      <c r="KFT5080" s="34">
        <v>-5</v>
      </c>
      <c r="KFU5080" s="908"/>
      <c r="KFV5080" s="909"/>
      <c r="KFW5080" s="34">
        <v>-5</v>
      </c>
      <c r="KFX5080" s="34">
        <v>-4.5</v>
      </c>
      <c r="KFY5080" s="34">
        <v>-4</v>
      </c>
      <c r="KFZ5080" s="34">
        <v>-3.5</v>
      </c>
      <c r="KGA5080" s="34">
        <v>-3</v>
      </c>
      <c r="KGB5080" s="34">
        <v>-2.5</v>
      </c>
      <c r="KGC5080" s="34">
        <v>-2</v>
      </c>
      <c r="KGD5080" s="34">
        <v>-1.5</v>
      </c>
      <c r="KGE5080" s="34">
        <v>-1</v>
      </c>
      <c r="KGF5080" s="34">
        <v>-0.5</v>
      </c>
      <c r="KGG5080" s="34">
        <v>0</v>
      </c>
      <c r="KGH5080" s="34">
        <v>0.5</v>
      </c>
      <c r="KGI5080" s="34">
        <v>1</v>
      </c>
      <c r="KGJ5080" s="34">
        <v>1.5</v>
      </c>
      <c r="KGK5080" s="34">
        <v>2</v>
      </c>
      <c r="KGL5080" s="34">
        <v>2.5</v>
      </c>
      <c r="KGM5080" s="34">
        <v>3</v>
      </c>
      <c r="KGN5080" s="34">
        <v>3.5</v>
      </c>
      <c r="KGO5080" s="34">
        <v>4</v>
      </c>
      <c r="KGP5080" s="34">
        <v>4.5</v>
      </c>
      <c r="KGQ5080" s="34">
        <v>5</v>
      </c>
      <c r="KGS5080" s="913"/>
      <c r="KGT5080" s="31">
        <v>1</v>
      </c>
      <c r="KGU5080" s="34">
        <v>0</v>
      </c>
      <c r="KGV5080" s="34">
        <v>-1</v>
      </c>
      <c r="KGW5080" s="34">
        <v>-2</v>
      </c>
      <c r="KGX5080" s="34">
        <v>-3</v>
      </c>
      <c r="KGY5080" s="34">
        <v>-4</v>
      </c>
      <c r="KGZ5080" s="34">
        <v>-5</v>
      </c>
      <c r="KHA5080" s="908"/>
      <c r="KHB5080" s="909"/>
      <c r="KHC5080" s="34">
        <v>-5</v>
      </c>
      <c r="KHD5080" s="34">
        <v>-4.5</v>
      </c>
      <c r="KHE5080" s="34">
        <v>-4</v>
      </c>
      <c r="KHF5080" s="34">
        <v>-3.5</v>
      </c>
      <c r="KHG5080" s="34">
        <v>-3</v>
      </c>
      <c r="KHH5080" s="34">
        <v>-2.5</v>
      </c>
      <c r="KHI5080" s="34">
        <v>-2</v>
      </c>
      <c r="KHJ5080" s="34">
        <v>-1.5</v>
      </c>
      <c r="KHK5080" s="34">
        <v>-1</v>
      </c>
      <c r="KHL5080" s="34">
        <v>-0.5</v>
      </c>
      <c r="KHM5080" s="34">
        <v>0</v>
      </c>
      <c r="KHN5080" s="34">
        <v>0.5</v>
      </c>
      <c r="KHO5080" s="34">
        <v>1</v>
      </c>
      <c r="KHP5080" s="34">
        <v>1.5</v>
      </c>
      <c r="KHQ5080" s="34">
        <v>2</v>
      </c>
      <c r="KHR5080" s="34">
        <v>2.5</v>
      </c>
      <c r="KHS5080" s="34">
        <v>3</v>
      </c>
      <c r="KHT5080" s="34">
        <v>3.5</v>
      </c>
      <c r="KHU5080" s="34">
        <v>4</v>
      </c>
      <c r="KHV5080" s="34">
        <v>4.5</v>
      </c>
      <c r="KHW5080" s="34">
        <v>5</v>
      </c>
      <c r="KHY5080" s="913"/>
      <c r="KHZ5080" s="31">
        <v>1</v>
      </c>
      <c r="KIA5080" s="34">
        <v>0</v>
      </c>
      <c r="KIB5080" s="34">
        <v>-1</v>
      </c>
      <c r="KIC5080" s="34">
        <v>-2</v>
      </c>
      <c r="KID5080" s="34">
        <v>-3</v>
      </c>
      <c r="KIE5080" s="34">
        <v>-4</v>
      </c>
      <c r="KIF5080" s="34">
        <v>-5</v>
      </c>
      <c r="KIG5080" s="908"/>
      <c r="KIH5080" s="909"/>
      <c r="KII5080" s="34">
        <v>-5</v>
      </c>
      <c r="KIJ5080" s="34">
        <v>-4.5</v>
      </c>
      <c r="KIK5080" s="34">
        <v>-4</v>
      </c>
      <c r="KIL5080" s="34">
        <v>-3.5</v>
      </c>
      <c r="KIM5080" s="34">
        <v>-3</v>
      </c>
      <c r="KIN5080" s="34">
        <v>-2.5</v>
      </c>
      <c r="KIO5080" s="34">
        <v>-2</v>
      </c>
      <c r="KIP5080" s="34">
        <v>-1.5</v>
      </c>
      <c r="KIQ5080" s="34">
        <v>-1</v>
      </c>
      <c r="KIR5080" s="34">
        <v>-0.5</v>
      </c>
      <c r="KIS5080" s="34">
        <v>0</v>
      </c>
      <c r="KIT5080" s="34">
        <v>0.5</v>
      </c>
      <c r="KIU5080" s="34">
        <v>1</v>
      </c>
      <c r="KIV5080" s="34">
        <v>1.5</v>
      </c>
      <c r="KIW5080" s="34">
        <v>2</v>
      </c>
      <c r="KIX5080" s="34">
        <v>2.5</v>
      </c>
      <c r="KIY5080" s="34">
        <v>3</v>
      </c>
      <c r="KIZ5080" s="34">
        <v>3.5</v>
      </c>
      <c r="KJA5080" s="34">
        <v>4</v>
      </c>
      <c r="KJB5080" s="34">
        <v>4.5</v>
      </c>
      <c r="KJC5080" s="34">
        <v>5</v>
      </c>
      <c r="KJE5080" s="913"/>
      <c r="KJF5080" s="31">
        <v>1</v>
      </c>
      <c r="KJG5080" s="34">
        <v>0</v>
      </c>
      <c r="KJH5080" s="34">
        <v>-1</v>
      </c>
      <c r="KJI5080" s="34">
        <v>-2</v>
      </c>
      <c r="KJJ5080" s="34">
        <v>-3</v>
      </c>
      <c r="KJK5080" s="34">
        <v>-4</v>
      </c>
      <c r="KJL5080" s="34">
        <v>-5</v>
      </c>
      <c r="KJM5080" s="908"/>
      <c r="KJN5080" s="909"/>
      <c r="KJO5080" s="34">
        <v>-5</v>
      </c>
      <c r="KJP5080" s="34">
        <v>-4.5</v>
      </c>
      <c r="KJQ5080" s="34">
        <v>-4</v>
      </c>
      <c r="KJR5080" s="34">
        <v>-3.5</v>
      </c>
      <c r="KJS5080" s="34">
        <v>-3</v>
      </c>
      <c r="KJT5080" s="34">
        <v>-2.5</v>
      </c>
      <c r="KJU5080" s="34">
        <v>-2</v>
      </c>
      <c r="KJV5080" s="34">
        <v>-1.5</v>
      </c>
      <c r="KJW5080" s="34">
        <v>-1</v>
      </c>
      <c r="KJX5080" s="34">
        <v>-0.5</v>
      </c>
      <c r="KJY5080" s="34">
        <v>0</v>
      </c>
      <c r="KJZ5080" s="34">
        <v>0.5</v>
      </c>
      <c r="KKA5080" s="34">
        <v>1</v>
      </c>
      <c r="KKB5080" s="34">
        <v>1.5</v>
      </c>
      <c r="KKC5080" s="34">
        <v>2</v>
      </c>
      <c r="KKD5080" s="34">
        <v>2.5</v>
      </c>
      <c r="KKE5080" s="34">
        <v>3</v>
      </c>
      <c r="KKF5080" s="34">
        <v>3.5</v>
      </c>
      <c r="KKG5080" s="34">
        <v>4</v>
      </c>
      <c r="KKH5080" s="34">
        <v>4.5</v>
      </c>
      <c r="KKI5080" s="34">
        <v>5</v>
      </c>
      <c r="KKK5080" s="913"/>
      <c r="KKL5080" s="31">
        <v>1</v>
      </c>
      <c r="KKM5080" s="34">
        <v>0</v>
      </c>
      <c r="KKN5080" s="34">
        <v>-1</v>
      </c>
      <c r="KKO5080" s="34">
        <v>-2</v>
      </c>
      <c r="KKP5080" s="34">
        <v>-3</v>
      </c>
      <c r="KKQ5080" s="34">
        <v>-4</v>
      </c>
      <c r="KKR5080" s="34">
        <v>-5</v>
      </c>
      <c r="KKS5080" s="908"/>
      <c r="KKT5080" s="909"/>
      <c r="KKU5080" s="34">
        <v>-5</v>
      </c>
      <c r="KKV5080" s="34">
        <v>-4.5</v>
      </c>
      <c r="KKW5080" s="34">
        <v>-4</v>
      </c>
      <c r="KKX5080" s="34">
        <v>-3.5</v>
      </c>
      <c r="KKY5080" s="34">
        <v>-3</v>
      </c>
      <c r="KKZ5080" s="34">
        <v>-2.5</v>
      </c>
      <c r="KLA5080" s="34">
        <v>-2</v>
      </c>
      <c r="KLB5080" s="34">
        <v>-1.5</v>
      </c>
      <c r="KLC5080" s="34">
        <v>-1</v>
      </c>
      <c r="KLD5080" s="34">
        <v>-0.5</v>
      </c>
      <c r="KLE5080" s="34">
        <v>0</v>
      </c>
      <c r="KLF5080" s="34">
        <v>0.5</v>
      </c>
      <c r="KLG5080" s="34">
        <v>1</v>
      </c>
      <c r="KLH5080" s="34">
        <v>1.5</v>
      </c>
      <c r="KLI5080" s="34">
        <v>2</v>
      </c>
      <c r="KLJ5080" s="34">
        <v>2.5</v>
      </c>
      <c r="KLK5080" s="34">
        <v>3</v>
      </c>
      <c r="KLL5080" s="34">
        <v>3.5</v>
      </c>
      <c r="KLM5080" s="34">
        <v>4</v>
      </c>
      <c r="KLN5080" s="34">
        <v>4.5</v>
      </c>
      <c r="KLO5080" s="34">
        <v>5</v>
      </c>
      <c r="KLQ5080" s="913"/>
      <c r="KLR5080" s="31">
        <v>1</v>
      </c>
      <c r="KLS5080" s="34">
        <v>0</v>
      </c>
      <c r="KLT5080" s="34">
        <v>-1</v>
      </c>
      <c r="KLU5080" s="34">
        <v>-2</v>
      </c>
      <c r="KLV5080" s="34">
        <v>-3</v>
      </c>
      <c r="KLW5080" s="34">
        <v>-4</v>
      </c>
      <c r="KLX5080" s="34">
        <v>-5</v>
      </c>
      <c r="KLY5080" s="908"/>
      <c r="KLZ5080" s="909"/>
      <c r="KMA5080" s="34">
        <v>-5</v>
      </c>
      <c r="KMB5080" s="34">
        <v>-4.5</v>
      </c>
      <c r="KMC5080" s="34">
        <v>-4</v>
      </c>
      <c r="KMD5080" s="34">
        <v>-3.5</v>
      </c>
      <c r="KME5080" s="34">
        <v>-3</v>
      </c>
      <c r="KMF5080" s="34">
        <v>-2.5</v>
      </c>
      <c r="KMG5080" s="34">
        <v>-2</v>
      </c>
      <c r="KMH5080" s="34">
        <v>-1.5</v>
      </c>
      <c r="KMI5080" s="34">
        <v>-1</v>
      </c>
      <c r="KMJ5080" s="34">
        <v>-0.5</v>
      </c>
      <c r="KMK5080" s="34">
        <v>0</v>
      </c>
      <c r="KML5080" s="34">
        <v>0.5</v>
      </c>
      <c r="KMM5080" s="34">
        <v>1</v>
      </c>
      <c r="KMN5080" s="34">
        <v>1.5</v>
      </c>
      <c r="KMO5080" s="34">
        <v>2</v>
      </c>
      <c r="KMP5080" s="34">
        <v>2.5</v>
      </c>
      <c r="KMQ5080" s="34">
        <v>3</v>
      </c>
      <c r="KMR5080" s="34">
        <v>3.5</v>
      </c>
      <c r="KMS5080" s="34">
        <v>4</v>
      </c>
      <c r="KMT5080" s="34">
        <v>4.5</v>
      </c>
      <c r="KMU5080" s="34">
        <v>5</v>
      </c>
      <c r="KMW5080" s="913"/>
      <c r="KMX5080" s="31">
        <v>1</v>
      </c>
      <c r="KMY5080" s="34">
        <v>0</v>
      </c>
      <c r="KMZ5080" s="34">
        <v>-1</v>
      </c>
      <c r="KNA5080" s="34">
        <v>-2</v>
      </c>
      <c r="KNB5080" s="34">
        <v>-3</v>
      </c>
      <c r="KNC5080" s="34">
        <v>-4</v>
      </c>
      <c r="KND5080" s="34">
        <v>-5</v>
      </c>
      <c r="KNE5080" s="908"/>
      <c r="KNF5080" s="909"/>
      <c r="KNG5080" s="34">
        <v>-5</v>
      </c>
      <c r="KNH5080" s="34">
        <v>-4.5</v>
      </c>
      <c r="KNI5080" s="34">
        <v>-4</v>
      </c>
      <c r="KNJ5080" s="34">
        <v>-3.5</v>
      </c>
      <c r="KNK5080" s="34">
        <v>-3</v>
      </c>
      <c r="KNL5080" s="34">
        <v>-2.5</v>
      </c>
      <c r="KNM5080" s="34">
        <v>-2</v>
      </c>
      <c r="KNN5080" s="34">
        <v>-1.5</v>
      </c>
      <c r="KNO5080" s="34">
        <v>-1</v>
      </c>
      <c r="KNP5080" s="34">
        <v>-0.5</v>
      </c>
      <c r="KNQ5080" s="34">
        <v>0</v>
      </c>
      <c r="KNR5080" s="34">
        <v>0.5</v>
      </c>
      <c r="KNS5080" s="34">
        <v>1</v>
      </c>
      <c r="KNT5080" s="34">
        <v>1.5</v>
      </c>
      <c r="KNU5080" s="34">
        <v>2</v>
      </c>
      <c r="KNV5080" s="34">
        <v>2.5</v>
      </c>
      <c r="KNW5080" s="34">
        <v>3</v>
      </c>
      <c r="KNX5080" s="34">
        <v>3.5</v>
      </c>
      <c r="KNY5080" s="34">
        <v>4</v>
      </c>
      <c r="KNZ5080" s="34">
        <v>4.5</v>
      </c>
      <c r="KOA5080" s="34">
        <v>5</v>
      </c>
      <c r="KOC5080" s="913"/>
      <c r="KOD5080" s="31">
        <v>1</v>
      </c>
      <c r="KOE5080" s="34">
        <v>0</v>
      </c>
      <c r="KOF5080" s="34">
        <v>-1</v>
      </c>
      <c r="KOG5080" s="34">
        <v>-2</v>
      </c>
      <c r="KOH5080" s="34">
        <v>-3</v>
      </c>
      <c r="KOI5080" s="34">
        <v>-4</v>
      </c>
      <c r="KOJ5080" s="34">
        <v>-5</v>
      </c>
      <c r="KOK5080" s="908"/>
      <c r="KOL5080" s="909"/>
      <c r="KOM5080" s="34">
        <v>-5</v>
      </c>
      <c r="KON5080" s="34">
        <v>-4.5</v>
      </c>
      <c r="KOO5080" s="34">
        <v>-4</v>
      </c>
      <c r="KOP5080" s="34">
        <v>-3.5</v>
      </c>
      <c r="KOQ5080" s="34">
        <v>-3</v>
      </c>
      <c r="KOR5080" s="34">
        <v>-2.5</v>
      </c>
      <c r="KOS5080" s="34">
        <v>-2</v>
      </c>
      <c r="KOT5080" s="34">
        <v>-1.5</v>
      </c>
      <c r="KOU5080" s="34">
        <v>-1</v>
      </c>
      <c r="KOV5080" s="34">
        <v>-0.5</v>
      </c>
      <c r="KOW5080" s="34">
        <v>0</v>
      </c>
      <c r="KOX5080" s="34">
        <v>0.5</v>
      </c>
      <c r="KOY5080" s="34">
        <v>1</v>
      </c>
      <c r="KOZ5080" s="34">
        <v>1.5</v>
      </c>
      <c r="KPA5080" s="34">
        <v>2</v>
      </c>
      <c r="KPB5080" s="34">
        <v>2.5</v>
      </c>
      <c r="KPC5080" s="34">
        <v>3</v>
      </c>
      <c r="KPD5080" s="34">
        <v>3.5</v>
      </c>
      <c r="KPE5080" s="34">
        <v>4</v>
      </c>
      <c r="KPF5080" s="34">
        <v>4.5</v>
      </c>
      <c r="KPG5080" s="34">
        <v>5</v>
      </c>
      <c r="KPI5080" s="913"/>
      <c r="KPJ5080" s="31">
        <v>1</v>
      </c>
      <c r="KPK5080" s="34">
        <v>0</v>
      </c>
      <c r="KPL5080" s="34">
        <v>-1</v>
      </c>
      <c r="KPM5080" s="34">
        <v>-2</v>
      </c>
      <c r="KPN5080" s="34">
        <v>-3</v>
      </c>
      <c r="KPO5080" s="34">
        <v>-4</v>
      </c>
      <c r="KPP5080" s="34">
        <v>-5</v>
      </c>
      <c r="KPQ5080" s="908"/>
      <c r="KPR5080" s="909"/>
      <c r="KPS5080" s="34">
        <v>-5</v>
      </c>
      <c r="KPT5080" s="34">
        <v>-4.5</v>
      </c>
      <c r="KPU5080" s="34">
        <v>-4</v>
      </c>
      <c r="KPV5080" s="34">
        <v>-3.5</v>
      </c>
      <c r="KPW5080" s="34">
        <v>-3</v>
      </c>
      <c r="KPX5080" s="34">
        <v>-2.5</v>
      </c>
      <c r="KPY5080" s="34">
        <v>-2</v>
      </c>
      <c r="KPZ5080" s="34">
        <v>-1.5</v>
      </c>
      <c r="KQA5080" s="34">
        <v>-1</v>
      </c>
      <c r="KQB5080" s="34">
        <v>-0.5</v>
      </c>
      <c r="KQC5080" s="34">
        <v>0</v>
      </c>
      <c r="KQD5080" s="34">
        <v>0.5</v>
      </c>
      <c r="KQE5080" s="34">
        <v>1</v>
      </c>
      <c r="KQF5080" s="34">
        <v>1.5</v>
      </c>
      <c r="KQG5080" s="34">
        <v>2</v>
      </c>
      <c r="KQH5080" s="34">
        <v>2.5</v>
      </c>
      <c r="KQI5080" s="34">
        <v>3</v>
      </c>
      <c r="KQJ5080" s="34">
        <v>3.5</v>
      </c>
      <c r="KQK5080" s="34">
        <v>4</v>
      </c>
      <c r="KQL5080" s="34">
        <v>4.5</v>
      </c>
      <c r="KQM5080" s="34">
        <v>5</v>
      </c>
      <c r="KQO5080" s="913"/>
      <c r="KQP5080" s="31">
        <v>1</v>
      </c>
      <c r="KQQ5080" s="34">
        <v>0</v>
      </c>
      <c r="KQR5080" s="34">
        <v>-1</v>
      </c>
      <c r="KQS5080" s="34">
        <v>-2</v>
      </c>
      <c r="KQT5080" s="34">
        <v>-3</v>
      </c>
      <c r="KQU5080" s="34">
        <v>-4</v>
      </c>
      <c r="KQV5080" s="34">
        <v>-5</v>
      </c>
      <c r="KQW5080" s="908"/>
      <c r="KQX5080" s="909"/>
      <c r="KQY5080" s="34">
        <v>-5</v>
      </c>
      <c r="KQZ5080" s="34">
        <v>-4.5</v>
      </c>
      <c r="KRA5080" s="34">
        <v>-4</v>
      </c>
      <c r="KRB5080" s="34">
        <v>-3.5</v>
      </c>
      <c r="KRC5080" s="34">
        <v>-3</v>
      </c>
      <c r="KRD5080" s="34">
        <v>-2.5</v>
      </c>
      <c r="KRE5080" s="34">
        <v>-2</v>
      </c>
      <c r="KRF5080" s="34">
        <v>-1.5</v>
      </c>
      <c r="KRG5080" s="34">
        <v>-1</v>
      </c>
      <c r="KRH5080" s="34">
        <v>-0.5</v>
      </c>
      <c r="KRI5080" s="34">
        <v>0</v>
      </c>
      <c r="KRJ5080" s="34">
        <v>0.5</v>
      </c>
      <c r="KRK5080" s="34">
        <v>1</v>
      </c>
      <c r="KRL5080" s="34">
        <v>1.5</v>
      </c>
      <c r="KRM5080" s="34">
        <v>2</v>
      </c>
      <c r="KRN5080" s="34">
        <v>2.5</v>
      </c>
      <c r="KRO5080" s="34">
        <v>3</v>
      </c>
      <c r="KRP5080" s="34">
        <v>3.5</v>
      </c>
      <c r="KRQ5080" s="34">
        <v>4</v>
      </c>
      <c r="KRR5080" s="34">
        <v>4.5</v>
      </c>
      <c r="KRS5080" s="34">
        <v>5</v>
      </c>
      <c r="KRU5080" s="913"/>
      <c r="KRV5080" s="31">
        <v>1</v>
      </c>
      <c r="KRW5080" s="34">
        <v>0</v>
      </c>
      <c r="KRX5080" s="34">
        <v>-1</v>
      </c>
      <c r="KRY5080" s="34">
        <v>-2</v>
      </c>
      <c r="KRZ5080" s="34">
        <v>-3</v>
      </c>
      <c r="KSA5080" s="34">
        <v>-4</v>
      </c>
      <c r="KSB5080" s="34">
        <v>-5</v>
      </c>
      <c r="KSC5080" s="908"/>
      <c r="KSD5080" s="909"/>
      <c r="KSE5080" s="34">
        <v>-5</v>
      </c>
      <c r="KSF5080" s="34">
        <v>-4.5</v>
      </c>
      <c r="KSG5080" s="34">
        <v>-4</v>
      </c>
      <c r="KSH5080" s="34">
        <v>-3.5</v>
      </c>
      <c r="KSI5080" s="34">
        <v>-3</v>
      </c>
      <c r="KSJ5080" s="34">
        <v>-2.5</v>
      </c>
      <c r="KSK5080" s="34">
        <v>-2</v>
      </c>
      <c r="KSL5080" s="34">
        <v>-1.5</v>
      </c>
      <c r="KSM5080" s="34">
        <v>-1</v>
      </c>
      <c r="KSN5080" s="34">
        <v>-0.5</v>
      </c>
      <c r="KSO5080" s="34">
        <v>0</v>
      </c>
      <c r="KSP5080" s="34">
        <v>0.5</v>
      </c>
      <c r="KSQ5080" s="34">
        <v>1</v>
      </c>
      <c r="KSR5080" s="34">
        <v>1.5</v>
      </c>
      <c r="KSS5080" s="34">
        <v>2</v>
      </c>
      <c r="KST5080" s="34">
        <v>2.5</v>
      </c>
      <c r="KSU5080" s="34">
        <v>3</v>
      </c>
      <c r="KSV5080" s="34">
        <v>3.5</v>
      </c>
      <c r="KSW5080" s="34">
        <v>4</v>
      </c>
      <c r="KSX5080" s="34">
        <v>4.5</v>
      </c>
      <c r="KSY5080" s="34">
        <v>5</v>
      </c>
      <c r="KTA5080" s="913"/>
      <c r="KTB5080" s="31">
        <v>1</v>
      </c>
      <c r="KTC5080" s="34">
        <v>0</v>
      </c>
      <c r="KTD5080" s="34">
        <v>-1</v>
      </c>
      <c r="KTE5080" s="34">
        <v>-2</v>
      </c>
      <c r="KTF5080" s="34">
        <v>-3</v>
      </c>
      <c r="KTG5080" s="34">
        <v>-4</v>
      </c>
      <c r="KTH5080" s="34">
        <v>-5</v>
      </c>
      <c r="KTI5080" s="908"/>
      <c r="KTJ5080" s="909"/>
      <c r="KTK5080" s="34">
        <v>-5</v>
      </c>
      <c r="KTL5080" s="34">
        <v>-4.5</v>
      </c>
      <c r="KTM5080" s="34">
        <v>-4</v>
      </c>
      <c r="KTN5080" s="34">
        <v>-3.5</v>
      </c>
      <c r="KTO5080" s="34">
        <v>-3</v>
      </c>
      <c r="KTP5080" s="34">
        <v>-2.5</v>
      </c>
      <c r="KTQ5080" s="34">
        <v>-2</v>
      </c>
      <c r="KTR5080" s="34">
        <v>-1.5</v>
      </c>
      <c r="KTS5080" s="34">
        <v>-1</v>
      </c>
      <c r="KTT5080" s="34">
        <v>-0.5</v>
      </c>
      <c r="KTU5080" s="34">
        <v>0</v>
      </c>
      <c r="KTV5080" s="34">
        <v>0.5</v>
      </c>
      <c r="KTW5080" s="34">
        <v>1</v>
      </c>
      <c r="KTX5080" s="34">
        <v>1.5</v>
      </c>
      <c r="KTY5080" s="34">
        <v>2</v>
      </c>
      <c r="KTZ5080" s="34">
        <v>2.5</v>
      </c>
      <c r="KUA5080" s="34">
        <v>3</v>
      </c>
      <c r="KUB5080" s="34">
        <v>3.5</v>
      </c>
      <c r="KUC5080" s="34">
        <v>4</v>
      </c>
      <c r="KUD5080" s="34">
        <v>4.5</v>
      </c>
      <c r="KUE5080" s="34">
        <v>5</v>
      </c>
      <c r="KUG5080" s="913"/>
      <c r="KUH5080" s="31">
        <v>1</v>
      </c>
      <c r="KUI5080" s="34">
        <v>0</v>
      </c>
      <c r="KUJ5080" s="34">
        <v>-1</v>
      </c>
      <c r="KUK5080" s="34">
        <v>-2</v>
      </c>
      <c r="KUL5080" s="34">
        <v>-3</v>
      </c>
      <c r="KUM5080" s="34">
        <v>-4</v>
      </c>
      <c r="KUN5080" s="34">
        <v>-5</v>
      </c>
      <c r="KUO5080" s="908"/>
      <c r="KUP5080" s="909"/>
      <c r="KUQ5080" s="34">
        <v>-5</v>
      </c>
      <c r="KUR5080" s="34">
        <v>-4.5</v>
      </c>
      <c r="KUS5080" s="34">
        <v>-4</v>
      </c>
      <c r="KUT5080" s="34">
        <v>-3.5</v>
      </c>
      <c r="KUU5080" s="34">
        <v>-3</v>
      </c>
      <c r="KUV5080" s="34">
        <v>-2.5</v>
      </c>
      <c r="KUW5080" s="34">
        <v>-2</v>
      </c>
      <c r="KUX5080" s="34">
        <v>-1.5</v>
      </c>
      <c r="KUY5080" s="34">
        <v>-1</v>
      </c>
      <c r="KUZ5080" s="34">
        <v>-0.5</v>
      </c>
      <c r="KVA5080" s="34">
        <v>0</v>
      </c>
      <c r="KVB5080" s="34">
        <v>0.5</v>
      </c>
      <c r="KVC5080" s="34">
        <v>1</v>
      </c>
      <c r="KVD5080" s="34">
        <v>1.5</v>
      </c>
      <c r="KVE5080" s="34">
        <v>2</v>
      </c>
      <c r="KVF5080" s="34">
        <v>2.5</v>
      </c>
      <c r="KVG5080" s="34">
        <v>3</v>
      </c>
      <c r="KVH5080" s="34">
        <v>3.5</v>
      </c>
      <c r="KVI5080" s="34">
        <v>4</v>
      </c>
      <c r="KVJ5080" s="34">
        <v>4.5</v>
      </c>
      <c r="KVK5080" s="34">
        <v>5</v>
      </c>
      <c r="KVM5080" s="913"/>
      <c r="KVN5080" s="31">
        <v>1</v>
      </c>
      <c r="KVO5080" s="34">
        <v>0</v>
      </c>
      <c r="KVP5080" s="34">
        <v>-1</v>
      </c>
      <c r="KVQ5080" s="34">
        <v>-2</v>
      </c>
      <c r="KVR5080" s="34">
        <v>-3</v>
      </c>
      <c r="KVS5080" s="34">
        <v>-4</v>
      </c>
      <c r="KVT5080" s="34">
        <v>-5</v>
      </c>
      <c r="KVU5080" s="908"/>
      <c r="KVV5080" s="909"/>
      <c r="KVW5080" s="34">
        <v>-5</v>
      </c>
      <c r="KVX5080" s="34">
        <v>-4.5</v>
      </c>
      <c r="KVY5080" s="34">
        <v>-4</v>
      </c>
      <c r="KVZ5080" s="34">
        <v>-3.5</v>
      </c>
      <c r="KWA5080" s="34">
        <v>-3</v>
      </c>
      <c r="KWB5080" s="34">
        <v>-2.5</v>
      </c>
      <c r="KWC5080" s="34">
        <v>-2</v>
      </c>
      <c r="KWD5080" s="34">
        <v>-1.5</v>
      </c>
      <c r="KWE5080" s="34">
        <v>-1</v>
      </c>
      <c r="KWF5080" s="34">
        <v>-0.5</v>
      </c>
      <c r="KWG5080" s="34">
        <v>0</v>
      </c>
      <c r="KWH5080" s="34">
        <v>0.5</v>
      </c>
      <c r="KWI5080" s="34">
        <v>1</v>
      </c>
      <c r="KWJ5080" s="34">
        <v>1.5</v>
      </c>
      <c r="KWK5080" s="34">
        <v>2</v>
      </c>
      <c r="KWL5080" s="34">
        <v>2.5</v>
      </c>
      <c r="KWM5080" s="34">
        <v>3</v>
      </c>
      <c r="KWN5080" s="34">
        <v>3.5</v>
      </c>
      <c r="KWO5080" s="34">
        <v>4</v>
      </c>
      <c r="KWP5080" s="34">
        <v>4.5</v>
      </c>
      <c r="KWQ5080" s="34">
        <v>5</v>
      </c>
      <c r="KWS5080" s="913"/>
      <c r="KWT5080" s="31">
        <v>1</v>
      </c>
      <c r="KWU5080" s="34">
        <v>0</v>
      </c>
      <c r="KWV5080" s="34">
        <v>-1</v>
      </c>
      <c r="KWW5080" s="34">
        <v>-2</v>
      </c>
      <c r="KWX5080" s="34">
        <v>-3</v>
      </c>
      <c r="KWY5080" s="34">
        <v>-4</v>
      </c>
      <c r="KWZ5080" s="34">
        <v>-5</v>
      </c>
      <c r="KXA5080" s="908"/>
      <c r="KXB5080" s="909"/>
      <c r="KXC5080" s="34">
        <v>-5</v>
      </c>
      <c r="KXD5080" s="34">
        <v>-4.5</v>
      </c>
      <c r="KXE5080" s="34">
        <v>-4</v>
      </c>
      <c r="KXF5080" s="34">
        <v>-3.5</v>
      </c>
      <c r="KXG5080" s="34">
        <v>-3</v>
      </c>
      <c r="KXH5080" s="34">
        <v>-2.5</v>
      </c>
      <c r="KXI5080" s="34">
        <v>-2</v>
      </c>
      <c r="KXJ5080" s="34">
        <v>-1.5</v>
      </c>
      <c r="KXK5080" s="34">
        <v>-1</v>
      </c>
      <c r="KXL5080" s="34">
        <v>-0.5</v>
      </c>
      <c r="KXM5080" s="34">
        <v>0</v>
      </c>
      <c r="KXN5080" s="34">
        <v>0.5</v>
      </c>
      <c r="KXO5080" s="34">
        <v>1</v>
      </c>
      <c r="KXP5080" s="34">
        <v>1.5</v>
      </c>
      <c r="KXQ5080" s="34">
        <v>2</v>
      </c>
      <c r="KXR5080" s="34">
        <v>2.5</v>
      </c>
      <c r="KXS5080" s="34">
        <v>3</v>
      </c>
      <c r="KXT5080" s="34">
        <v>3.5</v>
      </c>
      <c r="KXU5080" s="34">
        <v>4</v>
      </c>
      <c r="KXV5080" s="34">
        <v>4.5</v>
      </c>
      <c r="KXW5080" s="34">
        <v>5</v>
      </c>
      <c r="KXY5080" s="913"/>
      <c r="KXZ5080" s="31">
        <v>1</v>
      </c>
      <c r="KYA5080" s="34">
        <v>0</v>
      </c>
      <c r="KYB5080" s="34">
        <v>-1</v>
      </c>
      <c r="KYC5080" s="34">
        <v>-2</v>
      </c>
      <c r="KYD5080" s="34">
        <v>-3</v>
      </c>
      <c r="KYE5080" s="34">
        <v>-4</v>
      </c>
      <c r="KYF5080" s="34">
        <v>-5</v>
      </c>
      <c r="KYG5080" s="908"/>
      <c r="KYH5080" s="909"/>
      <c r="KYI5080" s="34">
        <v>-5</v>
      </c>
      <c r="KYJ5080" s="34">
        <v>-4.5</v>
      </c>
      <c r="KYK5080" s="34">
        <v>-4</v>
      </c>
      <c r="KYL5080" s="34">
        <v>-3.5</v>
      </c>
      <c r="KYM5080" s="34">
        <v>-3</v>
      </c>
      <c r="KYN5080" s="34">
        <v>-2.5</v>
      </c>
      <c r="KYO5080" s="34">
        <v>-2</v>
      </c>
      <c r="KYP5080" s="34">
        <v>-1.5</v>
      </c>
      <c r="KYQ5080" s="34">
        <v>-1</v>
      </c>
      <c r="KYR5080" s="34">
        <v>-0.5</v>
      </c>
      <c r="KYS5080" s="34">
        <v>0</v>
      </c>
      <c r="KYT5080" s="34">
        <v>0.5</v>
      </c>
      <c r="KYU5080" s="34">
        <v>1</v>
      </c>
      <c r="KYV5080" s="34">
        <v>1.5</v>
      </c>
      <c r="KYW5080" s="34">
        <v>2</v>
      </c>
      <c r="KYX5080" s="34">
        <v>2.5</v>
      </c>
      <c r="KYY5080" s="34">
        <v>3</v>
      </c>
      <c r="KYZ5080" s="34">
        <v>3.5</v>
      </c>
      <c r="KZA5080" s="34">
        <v>4</v>
      </c>
      <c r="KZB5080" s="34">
        <v>4.5</v>
      </c>
      <c r="KZC5080" s="34">
        <v>5</v>
      </c>
      <c r="KZE5080" s="913"/>
      <c r="KZF5080" s="31">
        <v>1</v>
      </c>
      <c r="KZG5080" s="34">
        <v>0</v>
      </c>
      <c r="KZH5080" s="34">
        <v>-1</v>
      </c>
      <c r="KZI5080" s="34">
        <v>-2</v>
      </c>
      <c r="KZJ5080" s="34">
        <v>-3</v>
      </c>
      <c r="KZK5080" s="34">
        <v>-4</v>
      </c>
      <c r="KZL5080" s="34">
        <v>-5</v>
      </c>
      <c r="KZM5080" s="908"/>
      <c r="KZN5080" s="909"/>
      <c r="KZO5080" s="34">
        <v>-5</v>
      </c>
      <c r="KZP5080" s="34">
        <v>-4.5</v>
      </c>
      <c r="KZQ5080" s="34">
        <v>-4</v>
      </c>
      <c r="KZR5080" s="34">
        <v>-3.5</v>
      </c>
      <c r="KZS5080" s="34">
        <v>-3</v>
      </c>
      <c r="KZT5080" s="34">
        <v>-2.5</v>
      </c>
      <c r="KZU5080" s="34">
        <v>-2</v>
      </c>
      <c r="KZV5080" s="34">
        <v>-1.5</v>
      </c>
      <c r="KZW5080" s="34">
        <v>-1</v>
      </c>
      <c r="KZX5080" s="34">
        <v>-0.5</v>
      </c>
      <c r="KZY5080" s="34">
        <v>0</v>
      </c>
      <c r="KZZ5080" s="34">
        <v>0.5</v>
      </c>
      <c r="LAA5080" s="34">
        <v>1</v>
      </c>
      <c r="LAB5080" s="34">
        <v>1.5</v>
      </c>
      <c r="LAC5080" s="34">
        <v>2</v>
      </c>
      <c r="LAD5080" s="34">
        <v>2.5</v>
      </c>
      <c r="LAE5080" s="34">
        <v>3</v>
      </c>
      <c r="LAF5080" s="34">
        <v>3.5</v>
      </c>
      <c r="LAG5080" s="34">
        <v>4</v>
      </c>
      <c r="LAH5080" s="34">
        <v>4.5</v>
      </c>
      <c r="LAI5080" s="34">
        <v>5</v>
      </c>
      <c r="LAK5080" s="913"/>
      <c r="LAL5080" s="31">
        <v>1</v>
      </c>
      <c r="LAM5080" s="34">
        <v>0</v>
      </c>
      <c r="LAN5080" s="34">
        <v>-1</v>
      </c>
      <c r="LAO5080" s="34">
        <v>-2</v>
      </c>
      <c r="LAP5080" s="34">
        <v>-3</v>
      </c>
      <c r="LAQ5080" s="34">
        <v>-4</v>
      </c>
      <c r="LAR5080" s="34">
        <v>-5</v>
      </c>
      <c r="LAS5080" s="908"/>
      <c r="LAT5080" s="909"/>
      <c r="LAU5080" s="34">
        <v>-5</v>
      </c>
      <c r="LAV5080" s="34">
        <v>-4.5</v>
      </c>
      <c r="LAW5080" s="34">
        <v>-4</v>
      </c>
      <c r="LAX5080" s="34">
        <v>-3.5</v>
      </c>
      <c r="LAY5080" s="34">
        <v>-3</v>
      </c>
      <c r="LAZ5080" s="34">
        <v>-2.5</v>
      </c>
      <c r="LBA5080" s="34">
        <v>-2</v>
      </c>
      <c r="LBB5080" s="34">
        <v>-1.5</v>
      </c>
      <c r="LBC5080" s="34">
        <v>-1</v>
      </c>
      <c r="LBD5080" s="34">
        <v>-0.5</v>
      </c>
      <c r="LBE5080" s="34">
        <v>0</v>
      </c>
      <c r="LBF5080" s="34">
        <v>0.5</v>
      </c>
      <c r="LBG5080" s="34">
        <v>1</v>
      </c>
      <c r="LBH5080" s="34">
        <v>1.5</v>
      </c>
      <c r="LBI5080" s="34">
        <v>2</v>
      </c>
      <c r="LBJ5080" s="34">
        <v>2.5</v>
      </c>
      <c r="LBK5080" s="34">
        <v>3</v>
      </c>
      <c r="LBL5080" s="34">
        <v>3.5</v>
      </c>
      <c r="LBM5080" s="34">
        <v>4</v>
      </c>
      <c r="LBN5080" s="34">
        <v>4.5</v>
      </c>
      <c r="LBO5080" s="34">
        <v>5</v>
      </c>
      <c r="LBQ5080" s="913"/>
      <c r="LBR5080" s="31">
        <v>1</v>
      </c>
      <c r="LBS5080" s="34">
        <v>0</v>
      </c>
      <c r="LBT5080" s="34">
        <v>-1</v>
      </c>
      <c r="LBU5080" s="34">
        <v>-2</v>
      </c>
      <c r="LBV5080" s="34">
        <v>-3</v>
      </c>
      <c r="LBW5080" s="34">
        <v>-4</v>
      </c>
      <c r="LBX5080" s="34">
        <v>-5</v>
      </c>
      <c r="LBY5080" s="908"/>
      <c r="LBZ5080" s="909"/>
      <c r="LCA5080" s="34">
        <v>-5</v>
      </c>
      <c r="LCB5080" s="34">
        <v>-4.5</v>
      </c>
      <c r="LCC5080" s="34">
        <v>-4</v>
      </c>
      <c r="LCD5080" s="34">
        <v>-3.5</v>
      </c>
      <c r="LCE5080" s="34">
        <v>-3</v>
      </c>
      <c r="LCF5080" s="34">
        <v>-2.5</v>
      </c>
      <c r="LCG5080" s="34">
        <v>-2</v>
      </c>
      <c r="LCH5080" s="34">
        <v>-1.5</v>
      </c>
      <c r="LCI5080" s="34">
        <v>-1</v>
      </c>
      <c r="LCJ5080" s="34">
        <v>-0.5</v>
      </c>
      <c r="LCK5080" s="34">
        <v>0</v>
      </c>
      <c r="LCL5080" s="34">
        <v>0.5</v>
      </c>
      <c r="LCM5080" s="34">
        <v>1</v>
      </c>
      <c r="LCN5080" s="34">
        <v>1.5</v>
      </c>
      <c r="LCO5080" s="34">
        <v>2</v>
      </c>
      <c r="LCP5080" s="34">
        <v>2.5</v>
      </c>
      <c r="LCQ5080" s="34">
        <v>3</v>
      </c>
      <c r="LCR5080" s="34">
        <v>3.5</v>
      </c>
      <c r="LCS5080" s="34">
        <v>4</v>
      </c>
      <c r="LCT5080" s="34">
        <v>4.5</v>
      </c>
      <c r="LCU5080" s="34">
        <v>5</v>
      </c>
      <c r="LCW5080" s="913"/>
      <c r="LCX5080" s="31">
        <v>1</v>
      </c>
      <c r="LCY5080" s="34">
        <v>0</v>
      </c>
      <c r="LCZ5080" s="34">
        <v>-1</v>
      </c>
      <c r="LDA5080" s="34">
        <v>-2</v>
      </c>
      <c r="LDB5080" s="34">
        <v>-3</v>
      </c>
      <c r="LDC5080" s="34">
        <v>-4</v>
      </c>
      <c r="LDD5080" s="34">
        <v>-5</v>
      </c>
      <c r="LDE5080" s="908"/>
      <c r="LDF5080" s="909"/>
      <c r="LDG5080" s="34">
        <v>-5</v>
      </c>
      <c r="LDH5080" s="34">
        <v>-4.5</v>
      </c>
      <c r="LDI5080" s="34">
        <v>-4</v>
      </c>
      <c r="LDJ5080" s="34">
        <v>-3.5</v>
      </c>
      <c r="LDK5080" s="34">
        <v>-3</v>
      </c>
      <c r="LDL5080" s="34">
        <v>-2.5</v>
      </c>
      <c r="LDM5080" s="34">
        <v>-2</v>
      </c>
      <c r="LDN5080" s="34">
        <v>-1.5</v>
      </c>
      <c r="LDO5080" s="34">
        <v>-1</v>
      </c>
      <c r="LDP5080" s="34">
        <v>-0.5</v>
      </c>
      <c r="LDQ5080" s="34">
        <v>0</v>
      </c>
      <c r="LDR5080" s="34">
        <v>0.5</v>
      </c>
      <c r="LDS5080" s="34">
        <v>1</v>
      </c>
      <c r="LDT5080" s="34">
        <v>1.5</v>
      </c>
      <c r="LDU5080" s="34">
        <v>2</v>
      </c>
      <c r="LDV5080" s="34">
        <v>2.5</v>
      </c>
      <c r="LDW5080" s="34">
        <v>3</v>
      </c>
      <c r="LDX5080" s="34">
        <v>3.5</v>
      </c>
      <c r="LDY5080" s="34">
        <v>4</v>
      </c>
      <c r="LDZ5080" s="34">
        <v>4.5</v>
      </c>
      <c r="LEA5080" s="34">
        <v>5</v>
      </c>
      <c r="LEC5080" s="913"/>
      <c r="LED5080" s="31">
        <v>1</v>
      </c>
      <c r="LEE5080" s="34">
        <v>0</v>
      </c>
      <c r="LEF5080" s="34">
        <v>-1</v>
      </c>
      <c r="LEG5080" s="34">
        <v>-2</v>
      </c>
      <c r="LEH5080" s="34">
        <v>-3</v>
      </c>
      <c r="LEI5080" s="34">
        <v>-4</v>
      </c>
      <c r="LEJ5080" s="34">
        <v>-5</v>
      </c>
      <c r="LEK5080" s="908"/>
      <c r="LEL5080" s="909"/>
      <c r="LEM5080" s="34">
        <v>-5</v>
      </c>
      <c r="LEN5080" s="34">
        <v>-4.5</v>
      </c>
      <c r="LEO5080" s="34">
        <v>-4</v>
      </c>
      <c r="LEP5080" s="34">
        <v>-3.5</v>
      </c>
      <c r="LEQ5080" s="34">
        <v>-3</v>
      </c>
      <c r="LER5080" s="34">
        <v>-2.5</v>
      </c>
      <c r="LES5080" s="34">
        <v>-2</v>
      </c>
      <c r="LET5080" s="34">
        <v>-1.5</v>
      </c>
      <c r="LEU5080" s="34">
        <v>-1</v>
      </c>
      <c r="LEV5080" s="34">
        <v>-0.5</v>
      </c>
      <c r="LEW5080" s="34">
        <v>0</v>
      </c>
      <c r="LEX5080" s="34">
        <v>0.5</v>
      </c>
      <c r="LEY5080" s="34">
        <v>1</v>
      </c>
      <c r="LEZ5080" s="34">
        <v>1.5</v>
      </c>
      <c r="LFA5080" s="34">
        <v>2</v>
      </c>
      <c r="LFB5080" s="34">
        <v>2.5</v>
      </c>
      <c r="LFC5080" s="34">
        <v>3</v>
      </c>
      <c r="LFD5080" s="34">
        <v>3.5</v>
      </c>
      <c r="LFE5080" s="34">
        <v>4</v>
      </c>
      <c r="LFF5080" s="34">
        <v>4.5</v>
      </c>
      <c r="LFG5080" s="34">
        <v>5</v>
      </c>
      <c r="LFI5080" s="913"/>
      <c r="LFJ5080" s="31">
        <v>1</v>
      </c>
      <c r="LFK5080" s="34">
        <v>0</v>
      </c>
      <c r="LFL5080" s="34">
        <v>-1</v>
      </c>
      <c r="LFM5080" s="34">
        <v>-2</v>
      </c>
      <c r="LFN5080" s="34">
        <v>-3</v>
      </c>
      <c r="LFO5080" s="34">
        <v>-4</v>
      </c>
      <c r="LFP5080" s="34">
        <v>-5</v>
      </c>
      <c r="LFQ5080" s="908"/>
      <c r="LFR5080" s="909"/>
      <c r="LFS5080" s="34">
        <v>-5</v>
      </c>
      <c r="LFT5080" s="34">
        <v>-4.5</v>
      </c>
      <c r="LFU5080" s="34">
        <v>-4</v>
      </c>
      <c r="LFV5080" s="34">
        <v>-3.5</v>
      </c>
      <c r="LFW5080" s="34">
        <v>-3</v>
      </c>
      <c r="LFX5080" s="34">
        <v>-2.5</v>
      </c>
      <c r="LFY5080" s="34">
        <v>-2</v>
      </c>
      <c r="LFZ5080" s="34">
        <v>-1.5</v>
      </c>
      <c r="LGA5080" s="34">
        <v>-1</v>
      </c>
      <c r="LGB5080" s="34">
        <v>-0.5</v>
      </c>
      <c r="LGC5080" s="34">
        <v>0</v>
      </c>
      <c r="LGD5080" s="34">
        <v>0.5</v>
      </c>
      <c r="LGE5080" s="34">
        <v>1</v>
      </c>
      <c r="LGF5080" s="34">
        <v>1.5</v>
      </c>
      <c r="LGG5080" s="34">
        <v>2</v>
      </c>
      <c r="LGH5080" s="34">
        <v>2.5</v>
      </c>
      <c r="LGI5080" s="34">
        <v>3</v>
      </c>
      <c r="LGJ5080" s="34">
        <v>3.5</v>
      </c>
      <c r="LGK5080" s="34">
        <v>4</v>
      </c>
      <c r="LGL5080" s="34">
        <v>4.5</v>
      </c>
      <c r="LGM5080" s="34">
        <v>5</v>
      </c>
      <c r="LGO5080" s="913"/>
      <c r="LGP5080" s="31">
        <v>1</v>
      </c>
      <c r="LGQ5080" s="34">
        <v>0</v>
      </c>
      <c r="LGR5080" s="34">
        <v>-1</v>
      </c>
      <c r="LGS5080" s="34">
        <v>-2</v>
      </c>
      <c r="LGT5080" s="34">
        <v>-3</v>
      </c>
      <c r="LGU5080" s="34">
        <v>-4</v>
      </c>
      <c r="LGV5080" s="34">
        <v>-5</v>
      </c>
      <c r="LGW5080" s="908"/>
      <c r="LGX5080" s="909"/>
      <c r="LGY5080" s="34">
        <v>-5</v>
      </c>
      <c r="LGZ5080" s="34">
        <v>-4.5</v>
      </c>
      <c r="LHA5080" s="34">
        <v>-4</v>
      </c>
      <c r="LHB5080" s="34">
        <v>-3.5</v>
      </c>
      <c r="LHC5080" s="34">
        <v>-3</v>
      </c>
      <c r="LHD5080" s="34">
        <v>-2.5</v>
      </c>
      <c r="LHE5080" s="34">
        <v>-2</v>
      </c>
      <c r="LHF5080" s="34">
        <v>-1.5</v>
      </c>
      <c r="LHG5080" s="34">
        <v>-1</v>
      </c>
      <c r="LHH5080" s="34">
        <v>-0.5</v>
      </c>
      <c r="LHI5080" s="34">
        <v>0</v>
      </c>
      <c r="LHJ5080" s="34">
        <v>0.5</v>
      </c>
      <c r="LHK5080" s="34">
        <v>1</v>
      </c>
      <c r="LHL5080" s="34">
        <v>1.5</v>
      </c>
      <c r="LHM5080" s="34">
        <v>2</v>
      </c>
      <c r="LHN5080" s="34">
        <v>2.5</v>
      </c>
      <c r="LHO5080" s="34">
        <v>3</v>
      </c>
      <c r="LHP5080" s="34">
        <v>3.5</v>
      </c>
      <c r="LHQ5080" s="34">
        <v>4</v>
      </c>
      <c r="LHR5080" s="34">
        <v>4.5</v>
      </c>
      <c r="LHS5080" s="34">
        <v>5</v>
      </c>
      <c r="LHU5080" s="913"/>
      <c r="LHV5080" s="31">
        <v>1</v>
      </c>
      <c r="LHW5080" s="34">
        <v>0</v>
      </c>
      <c r="LHX5080" s="34">
        <v>-1</v>
      </c>
      <c r="LHY5080" s="34">
        <v>-2</v>
      </c>
      <c r="LHZ5080" s="34">
        <v>-3</v>
      </c>
      <c r="LIA5080" s="34">
        <v>-4</v>
      </c>
      <c r="LIB5080" s="34">
        <v>-5</v>
      </c>
      <c r="LIC5080" s="908"/>
      <c r="LID5080" s="909"/>
      <c r="LIE5080" s="34">
        <v>-5</v>
      </c>
      <c r="LIF5080" s="34">
        <v>-4.5</v>
      </c>
      <c r="LIG5080" s="34">
        <v>-4</v>
      </c>
      <c r="LIH5080" s="34">
        <v>-3.5</v>
      </c>
      <c r="LII5080" s="34">
        <v>-3</v>
      </c>
      <c r="LIJ5080" s="34">
        <v>-2.5</v>
      </c>
      <c r="LIK5080" s="34">
        <v>-2</v>
      </c>
      <c r="LIL5080" s="34">
        <v>-1.5</v>
      </c>
      <c r="LIM5080" s="34">
        <v>-1</v>
      </c>
      <c r="LIN5080" s="34">
        <v>-0.5</v>
      </c>
      <c r="LIO5080" s="34">
        <v>0</v>
      </c>
      <c r="LIP5080" s="34">
        <v>0.5</v>
      </c>
      <c r="LIQ5080" s="34">
        <v>1</v>
      </c>
      <c r="LIR5080" s="34">
        <v>1.5</v>
      </c>
      <c r="LIS5080" s="34">
        <v>2</v>
      </c>
      <c r="LIT5080" s="34">
        <v>2.5</v>
      </c>
      <c r="LIU5080" s="34">
        <v>3</v>
      </c>
      <c r="LIV5080" s="34">
        <v>3.5</v>
      </c>
      <c r="LIW5080" s="34">
        <v>4</v>
      </c>
      <c r="LIX5080" s="34">
        <v>4.5</v>
      </c>
      <c r="LIY5080" s="34">
        <v>5</v>
      </c>
      <c r="LJA5080" s="913"/>
      <c r="LJB5080" s="31">
        <v>1</v>
      </c>
      <c r="LJC5080" s="34">
        <v>0</v>
      </c>
      <c r="LJD5080" s="34">
        <v>-1</v>
      </c>
      <c r="LJE5080" s="34">
        <v>-2</v>
      </c>
      <c r="LJF5080" s="34">
        <v>-3</v>
      </c>
      <c r="LJG5080" s="34">
        <v>-4</v>
      </c>
      <c r="LJH5080" s="34">
        <v>-5</v>
      </c>
      <c r="LJI5080" s="908"/>
      <c r="LJJ5080" s="909"/>
      <c r="LJK5080" s="34">
        <v>-5</v>
      </c>
      <c r="LJL5080" s="34">
        <v>-4.5</v>
      </c>
      <c r="LJM5080" s="34">
        <v>-4</v>
      </c>
      <c r="LJN5080" s="34">
        <v>-3.5</v>
      </c>
      <c r="LJO5080" s="34">
        <v>-3</v>
      </c>
      <c r="LJP5080" s="34">
        <v>-2.5</v>
      </c>
      <c r="LJQ5080" s="34">
        <v>-2</v>
      </c>
      <c r="LJR5080" s="34">
        <v>-1.5</v>
      </c>
      <c r="LJS5080" s="34">
        <v>-1</v>
      </c>
      <c r="LJT5080" s="34">
        <v>-0.5</v>
      </c>
      <c r="LJU5080" s="34">
        <v>0</v>
      </c>
      <c r="LJV5080" s="34">
        <v>0.5</v>
      </c>
      <c r="LJW5080" s="34">
        <v>1</v>
      </c>
      <c r="LJX5080" s="34">
        <v>1.5</v>
      </c>
      <c r="LJY5080" s="34">
        <v>2</v>
      </c>
      <c r="LJZ5080" s="34">
        <v>2.5</v>
      </c>
      <c r="LKA5080" s="34">
        <v>3</v>
      </c>
      <c r="LKB5080" s="34">
        <v>3.5</v>
      </c>
      <c r="LKC5080" s="34">
        <v>4</v>
      </c>
      <c r="LKD5080" s="34">
        <v>4.5</v>
      </c>
      <c r="LKE5080" s="34">
        <v>5</v>
      </c>
      <c r="LKG5080" s="913"/>
      <c r="LKH5080" s="31">
        <v>1</v>
      </c>
      <c r="LKI5080" s="34">
        <v>0</v>
      </c>
      <c r="LKJ5080" s="34">
        <v>-1</v>
      </c>
      <c r="LKK5080" s="34">
        <v>-2</v>
      </c>
      <c r="LKL5080" s="34">
        <v>-3</v>
      </c>
      <c r="LKM5080" s="34">
        <v>-4</v>
      </c>
      <c r="LKN5080" s="34">
        <v>-5</v>
      </c>
      <c r="LKO5080" s="908"/>
      <c r="LKP5080" s="909"/>
      <c r="LKQ5080" s="34">
        <v>-5</v>
      </c>
      <c r="LKR5080" s="34">
        <v>-4.5</v>
      </c>
      <c r="LKS5080" s="34">
        <v>-4</v>
      </c>
      <c r="LKT5080" s="34">
        <v>-3.5</v>
      </c>
      <c r="LKU5080" s="34">
        <v>-3</v>
      </c>
      <c r="LKV5080" s="34">
        <v>-2.5</v>
      </c>
      <c r="LKW5080" s="34">
        <v>-2</v>
      </c>
      <c r="LKX5080" s="34">
        <v>-1.5</v>
      </c>
      <c r="LKY5080" s="34">
        <v>-1</v>
      </c>
      <c r="LKZ5080" s="34">
        <v>-0.5</v>
      </c>
      <c r="LLA5080" s="34">
        <v>0</v>
      </c>
      <c r="LLB5080" s="34">
        <v>0.5</v>
      </c>
      <c r="LLC5080" s="34">
        <v>1</v>
      </c>
      <c r="LLD5080" s="34">
        <v>1.5</v>
      </c>
      <c r="LLE5080" s="34">
        <v>2</v>
      </c>
      <c r="LLF5080" s="34">
        <v>2.5</v>
      </c>
      <c r="LLG5080" s="34">
        <v>3</v>
      </c>
      <c r="LLH5080" s="34">
        <v>3.5</v>
      </c>
      <c r="LLI5080" s="34">
        <v>4</v>
      </c>
      <c r="LLJ5080" s="34">
        <v>4.5</v>
      </c>
      <c r="LLK5080" s="34">
        <v>5</v>
      </c>
      <c r="LLM5080" s="913"/>
      <c r="LLN5080" s="31">
        <v>1</v>
      </c>
      <c r="LLO5080" s="34">
        <v>0</v>
      </c>
      <c r="LLP5080" s="34">
        <v>-1</v>
      </c>
      <c r="LLQ5080" s="34">
        <v>-2</v>
      </c>
      <c r="LLR5080" s="34">
        <v>-3</v>
      </c>
      <c r="LLS5080" s="34">
        <v>-4</v>
      </c>
      <c r="LLT5080" s="34">
        <v>-5</v>
      </c>
      <c r="LLU5080" s="908"/>
      <c r="LLV5080" s="909"/>
      <c r="LLW5080" s="34">
        <v>-5</v>
      </c>
      <c r="LLX5080" s="34">
        <v>-4.5</v>
      </c>
      <c r="LLY5080" s="34">
        <v>-4</v>
      </c>
      <c r="LLZ5080" s="34">
        <v>-3.5</v>
      </c>
      <c r="LMA5080" s="34">
        <v>-3</v>
      </c>
      <c r="LMB5080" s="34">
        <v>-2.5</v>
      </c>
      <c r="LMC5080" s="34">
        <v>-2</v>
      </c>
      <c r="LMD5080" s="34">
        <v>-1.5</v>
      </c>
      <c r="LME5080" s="34">
        <v>-1</v>
      </c>
      <c r="LMF5080" s="34">
        <v>-0.5</v>
      </c>
      <c r="LMG5080" s="34">
        <v>0</v>
      </c>
      <c r="LMH5080" s="34">
        <v>0.5</v>
      </c>
      <c r="LMI5080" s="34">
        <v>1</v>
      </c>
      <c r="LMJ5080" s="34">
        <v>1.5</v>
      </c>
      <c r="LMK5080" s="34">
        <v>2</v>
      </c>
      <c r="LML5080" s="34">
        <v>2.5</v>
      </c>
      <c r="LMM5080" s="34">
        <v>3</v>
      </c>
      <c r="LMN5080" s="34">
        <v>3.5</v>
      </c>
      <c r="LMO5080" s="34">
        <v>4</v>
      </c>
      <c r="LMP5080" s="34">
        <v>4.5</v>
      </c>
      <c r="LMQ5080" s="34">
        <v>5</v>
      </c>
      <c r="LMS5080" s="913"/>
      <c r="LMT5080" s="31">
        <v>1</v>
      </c>
      <c r="LMU5080" s="34">
        <v>0</v>
      </c>
      <c r="LMV5080" s="34">
        <v>-1</v>
      </c>
      <c r="LMW5080" s="34">
        <v>-2</v>
      </c>
      <c r="LMX5080" s="34">
        <v>-3</v>
      </c>
      <c r="LMY5080" s="34">
        <v>-4</v>
      </c>
      <c r="LMZ5080" s="34">
        <v>-5</v>
      </c>
      <c r="LNA5080" s="908"/>
      <c r="LNB5080" s="909"/>
      <c r="LNC5080" s="34">
        <v>-5</v>
      </c>
      <c r="LND5080" s="34">
        <v>-4.5</v>
      </c>
      <c r="LNE5080" s="34">
        <v>-4</v>
      </c>
      <c r="LNF5080" s="34">
        <v>-3.5</v>
      </c>
      <c r="LNG5080" s="34">
        <v>-3</v>
      </c>
      <c r="LNH5080" s="34">
        <v>-2.5</v>
      </c>
      <c r="LNI5080" s="34">
        <v>-2</v>
      </c>
      <c r="LNJ5080" s="34">
        <v>-1.5</v>
      </c>
      <c r="LNK5080" s="34">
        <v>-1</v>
      </c>
      <c r="LNL5080" s="34">
        <v>-0.5</v>
      </c>
      <c r="LNM5080" s="34">
        <v>0</v>
      </c>
      <c r="LNN5080" s="34">
        <v>0.5</v>
      </c>
      <c r="LNO5080" s="34">
        <v>1</v>
      </c>
      <c r="LNP5080" s="34">
        <v>1.5</v>
      </c>
      <c r="LNQ5080" s="34">
        <v>2</v>
      </c>
      <c r="LNR5080" s="34">
        <v>2.5</v>
      </c>
      <c r="LNS5080" s="34">
        <v>3</v>
      </c>
      <c r="LNT5080" s="34">
        <v>3.5</v>
      </c>
      <c r="LNU5080" s="34">
        <v>4</v>
      </c>
      <c r="LNV5080" s="34">
        <v>4.5</v>
      </c>
      <c r="LNW5080" s="34">
        <v>5</v>
      </c>
      <c r="LNY5080" s="913"/>
      <c r="LNZ5080" s="31">
        <v>1</v>
      </c>
      <c r="LOA5080" s="34">
        <v>0</v>
      </c>
      <c r="LOB5080" s="34">
        <v>-1</v>
      </c>
      <c r="LOC5080" s="34">
        <v>-2</v>
      </c>
      <c r="LOD5080" s="34">
        <v>-3</v>
      </c>
      <c r="LOE5080" s="34">
        <v>-4</v>
      </c>
      <c r="LOF5080" s="34">
        <v>-5</v>
      </c>
      <c r="LOG5080" s="908"/>
      <c r="LOH5080" s="909"/>
      <c r="LOI5080" s="34">
        <v>-5</v>
      </c>
      <c r="LOJ5080" s="34">
        <v>-4.5</v>
      </c>
      <c r="LOK5080" s="34">
        <v>-4</v>
      </c>
      <c r="LOL5080" s="34">
        <v>-3.5</v>
      </c>
      <c r="LOM5080" s="34">
        <v>-3</v>
      </c>
      <c r="LON5080" s="34">
        <v>-2.5</v>
      </c>
      <c r="LOO5080" s="34">
        <v>-2</v>
      </c>
      <c r="LOP5080" s="34">
        <v>-1.5</v>
      </c>
      <c r="LOQ5080" s="34">
        <v>-1</v>
      </c>
      <c r="LOR5080" s="34">
        <v>-0.5</v>
      </c>
      <c r="LOS5080" s="34">
        <v>0</v>
      </c>
      <c r="LOT5080" s="34">
        <v>0.5</v>
      </c>
      <c r="LOU5080" s="34">
        <v>1</v>
      </c>
      <c r="LOV5080" s="34">
        <v>1.5</v>
      </c>
      <c r="LOW5080" s="34">
        <v>2</v>
      </c>
      <c r="LOX5080" s="34">
        <v>2.5</v>
      </c>
      <c r="LOY5080" s="34">
        <v>3</v>
      </c>
      <c r="LOZ5080" s="34">
        <v>3.5</v>
      </c>
      <c r="LPA5080" s="34">
        <v>4</v>
      </c>
      <c r="LPB5080" s="34">
        <v>4.5</v>
      </c>
      <c r="LPC5080" s="34">
        <v>5</v>
      </c>
      <c r="LPE5080" s="913"/>
      <c r="LPF5080" s="31">
        <v>1</v>
      </c>
      <c r="LPG5080" s="34">
        <v>0</v>
      </c>
      <c r="LPH5080" s="34">
        <v>-1</v>
      </c>
      <c r="LPI5080" s="34">
        <v>-2</v>
      </c>
      <c r="LPJ5080" s="34">
        <v>-3</v>
      </c>
      <c r="LPK5080" s="34">
        <v>-4</v>
      </c>
      <c r="LPL5080" s="34">
        <v>-5</v>
      </c>
      <c r="LPM5080" s="908"/>
      <c r="LPN5080" s="909"/>
      <c r="LPO5080" s="34">
        <v>-5</v>
      </c>
      <c r="LPP5080" s="34">
        <v>-4.5</v>
      </c>
      <c r="LPQ5080" s="34">
        <v>-4</v>
      </c>
      <c r="LPR5080" s="34">
        <v>-3.5</v>
      </c>
      <c r="LPS5080" s="34">
        <v>-3</v>
      </c>
      <c r="LPT5080" s="34">
        <v>-2.5</v>
      </c>
      <c r="LPU5080" s="34">
        <v>-2</v>
      </c>
      <c r="LPV5080" s="34">
        <v>-1.5</v>
      </c>
      <c r="LPW5080" s="34">
        <v>-1</v>
      </c>
      <c r="LPX5080" s="34">
        <v>-0.5</v>
      </c>
      <c r="LPY5080" s="34">
        <v>0</v>
      </c>
      <c r="LPZ5080" s="34">
        <v>0.5</v>
      </c>
      <c r="LQA5080" s="34">
        <v>1</v>
      </c>
      <c r="LQB5080" s="34">
        <v>1.5</v>
      </c>
      <c r="LQC5080" s="34">
        <v>2</v>
      </c>
      <c r="LQD5080" s="34">
        <v>2.5</v>
      </c>
      <c r="LQE5080" s="34">
        <v>3</v>
      </c>
      <c r="LQF5080" s="34">
        <v>3.5</v>
      </c>
      <c r="LQG5080" s="34">
        <v>4</v>
      </c>
      <c r="LQH5080" s="34">
        <v>4.5</v>
      </c>
      <c r="LQI5080" s="34">
        <v>5</v>
      </c>
      <c r="LQK5080" s="913"/>
      <c r="LQL5080" s="31">
        <v>1</v>
      </c>
      <c r="LQM5080" s="34">
        <v>0</v>
      </c>
      <c r="LQN5080" s="34">
        <v>-1</v>
      </c>
      <c r="LQO5080" s="34">
        <v>-2</v>
      </c>
      <c r="LQP5080" s="34">
        <v>-3</v>
      </c>
      <c r="LQQ5080" s="34">
        <v>-4</v>
      </c>
      <c r="LQR5080" s="34">
        <v>-5</v>
      </c>
      <c r="LQS5080" s="908"/>
      <c r="LQT5080" s="909"/>
      <c r="LQU5080" s="34">
        <v>-5</v>
      </c>
      <c r="LQV5080" s="34">
        <v>-4.5</v>
      </c>
      <c r="LQW5080" s="34">
        <v>-4</v>
      </c>
      <c r="LQX5080" s="34">
        <v>-3.5</v>
      </c>
      <c r="LQY5080" s="34">
        <v>-3</v>
      </c>
      <c r="LQZ5080" s="34">
        <v>-2.5</v>
      </c>
      <c r="LRA5080" s="34">
        <v>-2</v>
      </c>
      <c r="LRB5080" s="34">
        <v>-1.5</v>
      </c>
      <c r="LRC5080" s="34">
        <v>-1</v>
      </c>
      <c r="LRD5080" s="34">
        <v>-0.5</v>
      </c>
      <c r="LRE5080" s="34">
        <v>0</v>
      </c>
      <c r="LRF5080" s="34">
        <v>0.5</v>
      </c>
      <c r="LRG5080" s="34">
        <v>1</v>
      </c>
      <c r="LRH5080" s="34">
        <v>1.5</v>
      </c>
      <c r="LRI5080" s="34">
        <v>2</v>
      </c>
      <c r="LRJ5080" s="34">
        <v>2.5</v>
      </c>
      <c r="LRK5080" s="34">
        <v>3</v>
      </c>
      <c r="LRL5080" s="34">
        <v>3.5</v>
      </c>
      <c r="LRM5080" s="34">
        <v>4</v>
      </c>
      <c r="LRN5080" s="34">
        <v>4.5</v>
      </c>
      <c r="LRO5080" s="34">
        <v>5</v>
      </c>
      <c r="LRQ5080" s="913"/>
      <c r="LRR5080" s="31">
        <v>1</v>
      </c>
      <c r="LRS5080" s="34">
        <v>0</v>
      </c>
      <c r="LRT5080" s="34">
        <v>-1</v>
      </c>
      <c r="LRU5080" s="34">
        <v>-2</v>
      </c>
      <c r="LRV5080" s="34">
        <v>-3</v>
      </c>
      <c r="LRW5080" s="34">
        <v>-4</v>
      </c>
      <c r="LRX5080" s="34">
        <v>-5</v>
      </c>
      <c r="LRY5080" s="908"/>
      <c r="LRZ5080" s="909"/>
      <c r="LSA5080" s="34">
        <v>-5</v>
      </c>
      <c r="LSB5080" s="34">
        <v>-4.5</v>
      </c>
      <c r="LSC5080" s="34">
        <v>-4</v>
      </c>
      <c r="LSD5080" s="34">
        <v>-3.5</v>
      </c>
      <c r="LSE5080" s="34">
        <v>-3</v>
      </c>
      <c r="LSF5080" s="34">
        <v>-2.5</v>
      </c>
      <c r="LSG5080" s="34">
        <v>-2</v>
      </c>
      <c r="LSH5080" s="34">
        <v>-1.5</v>
      </c>
      <c r="LSI5080" s="34">
        <v>-1</v>
      </c>
      <c r="LSJ5080" s="34">
        <v>-0.5</v>
      </c>
      <c r="LSK5080" s="34">
        <v>0</v>
      </c>
      <c r="LSL5080" s="34">
        <v>0.5</v>
      </c>
      <c r="LSM5080" s="34">
        <v>1</v>
      </c>
      <c r="LSN5080" s="34">
        <v>1.5</v>
      </c>
      <c r="LSO5080" s="34">
        <v>2</v>
      </c>
      <c r="LSP5080" s="34">
        <v>2.5</v>
      </c>
      <c r="LSQ5080" s="34">
        <v>3</v>
      </c>
      <c r="LSR5080" s="34">
        <v>3.5</v>
      </c>
      <c r="LSS5080" s="34">
        <v>4</v>
      </c>
      <c r="LST5080" s="34">
        <v>4.5</v>
      </c>
      <c r="LSU5080" s="34">
        <v>5</v>
      </c>
      <c r="LSW5080" s="913"/>
      <c r="LSX5080" s="31">
        <v>1</v>
      </c>
      <c r="LSY5080" s="34">
        <v>0</v>
      </c>
      <c r="LSZ5080" s="34">
        <v>-1</v>
      </c>
      <c r="LTA5080" s="34">
        <v>-2</v>
      </c>
      <c r="LTB5080" s="34">
        <v>-3</v>
      </c>
      <c r="LTC5080" s="34">
        <v>-4</v>
      </c>
      <c r="LTD5080" s="34">
        <v>-5</v>
      </c>
      <c r="LTE5080" s="908"/>
      <c r="LTF5080" s="909"/>
      <c r="LTG5080" s="34">
        <v>-5</v>
      </c>
      <c r="LTH5080" s="34">
        <v>-4.5</v>
      </c>
      <c r="LTI5080" s="34">
        <v>-4</v>
      </c>
      <c r="LTJ5080" s="34">
        <v>-3.5</v>
      </c>
      <c r="LTK5080" s="34">
        <v>-3</v>
      </c>
      <c r="LTL5080" s="34">
        <v>-2.5</v>
      </c>
      <c r="LTM5080" s="34">
        <v>-2</v>
      </c>
      <c r="LTN5080" s="34">
        <v>-1.5</v>
      </c>
      <c r="LTO5080" s="34">
        <v>-1</v>
      </c>
      <c r="LTP5080" s="34">
        <v>-0.5</v>
      </c>
      <c r="LTQ5080" s="34">
        <v>0</v>
      </c>
      <c r="LTR5080" s="34">
        <v>0.5</v>
      </c>
      <c r="LTS5080" s="34">
        <v>1</v>
      </c>
      <c r="LTT5080" s="34">
        <v>1.5</v>
      </c>
      <c r="LTU5080" s="34">
        <v>2</v>
      </c>
      <c r="LTV5080" s="34">
        <v>2.5</v>
      </c>
      <c r="LTW5080" s="34">
        <v>3</v>
      </c>
      <c r="LTX5080" s="34">
        <v>3.5</v>
      </c>
      <c r="LTY5080" s="34">
        <v>4</v>
      </c>
      <c r="LTZ5080" s="34">
        <v>4.5</v>
      </c>
      <c r="LUA5080" s="34">
        <v>5</v>
      </c>
      <c r="LUC5080" s="913"/>
      <c r="LUD5080" s="31">
        <v>1</v>
      </c>
      <c r="LUE5080" s="34">
        <v>0</v>
      </c>
      <c r="LUF5080" s="34">
        <v>-1</v>
      </c>
      <c r="LUG5080" s="34">
        <v>-2</v>
      </c>
      <c r="LUH5080" s="34">
        <v>-3</v>
      </c>
      <c r="LUI5080" s="34">
        <v>-4</v>
      </c>
      <c r="LUJ5080" s="34">
        <v>-5</v>
      </c>
      <c r="LUK5080" s="908"/>
      <c r="LUL5080" s="909"/>
      <c r="LUM5080" s="34">
        <v>-5</v>
      </c>
      <c r="LUN5080" s="34">
        <v>-4.5</v>
      </c>
      <c r="LUO5080" s="34">
        <v>-4</v>
      </c>
      <c r="LUP5080" s="34">
        <v>-3.5</v>
      </c>
      <c r="LUQ5080" s="34">
        <v>-3</v>
      </c>
      <c r="LUR5080" s="34">
        <v>-2.5</v>
      </c>
      <c r="LUS5080" s="34">
        <v>-2</v>
      </c>
      <c r="LUT5080" s="34">
        <v>-1.5</v>
      </c>
      <c r="LUU5080" s="34">
        <v>-1</v>
      </c>
      <c r="LUV5080" s="34">
        <v>-0.5</v>
      </c>
      <c r="LUW5080" s="34">
        <v>0</v>
      </c>
      <c r="LUX5080" s="34">
        <v>0.5</v>
      </c>
      <c r="LUY5080" s="34">
        <v>1</v>
      </c>
      <c r="LUZ5080" s="34">
        <v>1.5</v>
      </c>
      <c r="LVA5080" s="34">
        <v>2</v>
      </c>
      <c r="LVB5080" s="34">
        <v>2.5</v>
      </c>
      <c r="LVC5080" s="34">
        <v>3</v>
      </c>
      <c r="LVD5080" s="34">
        <v>3.5</v>
      </c>
      <c r="LVE5080" s="34">
        <v>4</v>
      </c>
      <c r="LVF5080" s="34">
        <v>4.5</v>
      </c>
      <c r="LVG5080" s="34">
        <v>5</v>
      </c>
      <c r="LVI5080" s="913"/>
      <c r="LVJ5080" s="31">
        <v>1</v>
      </c>
      <c r="LVK5080" s="34">
        <v>0</v>
      </c>
      <c r="LVL5080" s="34">
        <v>-1</v>
      </c>
      <c r="LVM5080" s="34">
        <v>-2</v>
      </c>
      <c r="LVN5080" s="34">
        <v>-3</v>
      </c>
      <c r="LVO5080" s="34">
        <v>-4</v>
      </c>
      <c r="LVP5080" s="34">
        <v>-5</v>
      </c>
      <c r="LVQ5080" s="908"/>
      <c r="LVR5080" s="909"/>
      <c r="LVS5080" s="34">
        <v>-5</v>
      </c>
      <c r="LVT5080" s="34">
        <v>-4.5</v>
      </c>
      <c r="LVU5080" s="34">
        <v>-4</v>
      </c>
      <c r="LVV5080" s="34">
        <v>-3.5</v>
      </c>
      <c r="LVW5080" s="34">
        <v>-3</v>
      </c>
      <c r="LVX5080" s="34">
        <v>-2.5</v>
      </c>
      <c r="LVY5080" s="34">
        <v>-2</v>
      </c>
      <c r="LVZ5080" s="34">
        <v>-1.5</v>
      </c>
      <c r="LWA5080" s="34">
        <v>-1</v>
      </c>
      <c r="LWB5080" s="34">
        <v>-0.5</v>
      </c>
      <c r="LWC5080" s="34">
        <v>0</v>
      </c>
      <c r="LWD5080" s="34">
        <v>0.5</v>
      </c>
      <c r="LWE5080" s="34">
        <v>1</v>
      </c>
      <c r="LWF5080" s="34">
        <v>1.5</v>
      </c>
      <c r="LWG5080" s="34">
        <v>2</v>
      </c>
      <c r="LWH5080" s="34">
        <v>2.5</v>
      </c>
      <c r="LWI5080" s="34">
        <v>3</v>
      </c>
      <c r="LWJ5080" s="34">
        <v>3.5</v>
      </c>
      <c r="LWK5080" s="34">
        <v>4</v>
      </c>
      <c r="LWL5080" s="34">
        <v>4.5</v>
      </c>
      <c r="LWM5080" s="34">
        <v>5</v>
      </c>
      <c r="LWO5080" s="913"/>
      <c r="LWP5080" s="31">
        <v>1</v>
      </c>
      <c r="LWQ5080" s="34">
        <v>0</v>
      </c>
      <c r="LWR5080" s="34">
        <v>-1</v>
      </c>
      <c r="LWS5080" s="34">
        <v>-2</v>
      </c>
      <c r="LWT5080" s="34">
        <v>-3</v>
      </c>
      <c r="LWU5080" s="34">
        <v>-4</v>
      </c>
      <c r="LWV5080" s="34">
        <v>-5</v>
      </c>
      <c r="LWW5080" s="908"/>
      <c r="LWX5080" s="909"/>
      <c r="LWY5080" s="34">
        <v>-5</v>
      </c>
      <c r="LWZ5080" s="34">
        <v>-4.5</v>
      </c>
      <c r="LXA5080" s="34">
        <v>-4</v>
      </c>
      <c r="LXB5080" s="34">
        <v>-3.5</v>
      </c>
      <c r="LXC5080" s="34">
        <v>-3</v>
      </c>
      <c r="LXD5080" s="34">
        <v>-2.5</v>
      </c>
      <c r="LXE5080" s="34">
        <v>-2</v>
      </c>
      <c r="LXF5080" s="34">
        <v>-1.5</v>
      </c>
      <c r="LXG5080" s="34">
        <v>-1</v>
      </c>
      <c r="LXH5080" s="34">
        <v>-0.5</v>
      </c>
      <c r="LXI5080" s="34">
        <v>0</v>
      </c>
      <c r="LXJ5080" s="34">
        <v>0.5</v>
      </c>
      <c r="LXK5080" s="34">
        <v>1</v>
      </c>
      <c r="LXL5080" s="34">
        <v>1.5</v>
      </c>
      <c r="LXM5080" s="34">
        <v>2</v>
      </c>
      <c r="LXN5080" s="34">
        <v>2.5</v>
      </c>
      <c r="LXO5080" s="34">
        <v>3</v>
      </c>
      <c r="LXP5080" s="34">
        <v>3.5</v>
      </c>
      <c r="LXQ5080" s="34">
        <v>4</v>
      </c>
      <c r="LXR5080" s="34">
        <v>4.5</v>
      </c>
      <c r="LXS5080" s="34">
        <v>5</v>
      </c>
      <c r="LXU5080" s="913"/>
      <c r="LXV5080" s="31">
        <v>1</v>
      </c>
      <c r="LXW5080" s="34">
        <v>0</v>
      </c>
      <c r="LXX5080" s="34">
        <v>-1</v>
      </c>
      <c r="LXY5080" s="34">
        <v>-2</v>
      </c>
      <c r="LXZ5080" s="34">
        <v>-3</v>
      </c>
      <c r="LYA5080" s="34">
        <v>-4</v>
      </c>
      <c r="LYB5080" s="34">
        <v>-5</v>
      </c>
      <c r="LYC5080" s="908"/>
      <c r="LYD5080" s="909"/>
      <c r="LYE5080" s="34">
        <v>-5</v>
      </c>
      <c r="LYF5080" s="34">
        <v>-4.5</v>
      </c>
      <c r="LYG5080" s="34">
        <v>-4</v>
      </c>
      <c r="LYH5080" s="34">
        <v>-3.5</v>
      </c>
      <c r="LYI5080" s="34">
        <v>-3</v>
      </c>
      <c r="LYJ5080" s="34">
        <v>-2.5</v>
      </c>
      <c r="LYK5080" s="34">
        <v>-2</v>
      </c>
      <c r="LYL5080" s="34">
        <v>-1.5</v>
      </c>
      <c r="LYM5080" s="34">
        <v>-1</v>
      </c>
      <c r="LYN5080" s="34">
        <v>-0.5</v>
      </c>
      <c r="LYO5080" s="34">
        <v>0</v>
      </c>
      <c r="LYP5080" s="34">
        <v>0.5</v>
      </c>
      <c r="LYQ5080" s="34">
        <v>1</v>
      </c>
      <c r="LYR5080" s="34">
        <v>1.5</v>
      </c>
      <c r="LYS5080" s="34">
        <v>2</v>
      </c>
      <c r="LYT5080" s="34">
        <v>2.5</v>
      </c>
      <c r="LYU5080" s="34">
        <v>3</v>
      </c>
      <c r="LYV5080" s="34">
        <v>3.5</v>
      </c>
      <c r="LYW5080" s="34">
        <v>4</v>
      </c>
      <c r="LYX5080" s="34">
        <v>4.5</v>
      </c>
      <c r="LYY5080" s="34">
        <v>5</v>
      </c>
      <c r="LZA5080" s="913"/>
      <c r="LZB5080" s="31">
        <v>1</v>
      </c>
      <c r="LZC5080" s="34">
        <v>0</v>
      </c>
      <c r="LZD5080" s="34">
        <v>-1</v>
      </c>
      <c r="LZE5080" s="34">
        <v>-2</v>
      </c>
      <c r="LZF5080" s="34">
        <v>-3</v>
      </c>
      <c r="LZG5080" s="34">
        <v>-4</v>
      </c>
      <c r="LZH5080" s="34">
        <v>-5</v>
      </c>
      <c r="LZI5080" s="908"/>
      <c r="LZJ5080" s="909"/>
      <c r="LZK5080" s="34">
        <v>-5</v>
      </c>
      <c r="LZL5080" s="34">
        <v>-4.5</v>
      </c>
      <c r="LZM5080" s="34">
        <v>-4</v>
      </c>
      <c r="LZN5080" s="34">
        <v>-3.5</v>
      </c>
      <c r="LZO5080" s="34">
        <v>-3</v>
      </c>
      <c r="LZP5080" s="34">
        <v>-2.5</v>
      </c>
      <c r="LZQ5080" s="34">
        <v>-2</v>
      </c>
      <c r="LZR5080" s="34">
        <v>-1.5</v>
      </c>
      <c r="LZS5080" s="34">
        <v>-1</v>
      </c>
      <c r="LZT5080" s="34">
        <v>-0.5</v>
      </c>
      <c r="LZU5080" s="34">
        <v>0</v>
      </c>
      <c r="LZV5080" s="34">
        <v>0.5</v>
      </c>
      <c r="LZW5080" s="34">
        <v>1</v>
      </c>
      <c r="LZX5080" s="34">
        <v>1.5</v>
      </c>
      <c r="LZY5080" s="34">
        <v>2</v>
      </c>
      <c r="LZZ5080" s="34">
        <v>2.5</v>
      </c>
      <c r="MAA5080" s="34">
        <v>3</v>
      </c>
      <c r="MAB5080" s="34">
        <v>3.5</v>
      </c>
      <c r="MAC5080" s="34">
        <v>4</v>
      </c>
      <c r="MAD5080" s="34">
        <v>4.5</v>
      </c>
      <c r="MAE5080" s="34">
        <v>5</v>
      </c>
      <c r="MAG5080" s="913"/>
      <c r="MAH5080" s="31">
        <v>1</v>
      </c>
      <c r="MAI5080" s="34">
        <v>0</v>
      </c>
      <c r="MAJ5080" s="34">
        <v>-1</v>
      </c>
      <c r="MAK5080" s="34">
        <v>-2</v>
      </c>
      <c r="MAL5080" s="34">
        <v>-3</v>
      </c>
      <c r="MAM5080" s="34">
        <v>-4</v>
      </c>
      <c r="MAN5080" s="34">
        <v>-5</v>
      </c>
      <c r="MAO5080" s="908"/>
      <c r="MAP5080" s="909"/>
      <c r="MAQ5080" s="34">
        <v>-5</v>
      </c>
      <c r="MAR5080" s="34">
        <v>-4.5</v>
      </c>
      <c r="MAS5080" s="34">
        <v>-4</v>
      </c>
      <c r="MAT5080" s="34">
        <v>-3.5</v>
      </c>
      <c r="MAU5080" s="34">
        <v>-3</v>
      </c>
      <c r="MAV5080" s="34">
        <v>-2.5</v>
      </c>
      <c r="MAW5080" s="34">
        <v>-2</v>
      </c>
      <c r="MAX5080" s="34">
        <v>-1.5</v>
      </c>
      <c r="MAY5080" s="34">
        <v>-1</v>
      </c>
      <c r="MAZ5080" s="34">
        <v>-0.5</v>
      </c>
      <c r="MBA5080" s="34">
        <v>0</v>
      </c>
      <c r="MBB5080" s="34">
        <v>0.5</v>
      </c>
      <c r="MBC5080" s="34">
        <v>1</v>
      </c>
      <c r="MBD5080" s="34">
        <v>1.5</v>
      </c>
      <c r="MBE5080" s="34">
        <v>2</v>
      </c>
      <c r="MBF5080" s="34">
        <v>2.5</v>
      </c>
      <c r="MBG5080" s="34">
        <v>3</v>
      </c>
      <c r="MBH5080" s="34">
        <v>3.5</v>
      </c>
      <c r="MBI5080" s="34">
        <v>4</v>
      </c>
      <c r="MBJ5080" s="34">
        <v>4.5</v>
      </c>
      <c r="MBK5080" s="34">
        <v>5</v>
      </c>
      <c r="MBM5080" s="913"/>
      <c r="MBN5080" s="31">
        <v>1</v>
      </c>
      <c r="MBO5080" s="34">
        <v>0</v>
      </c>
      <c r="MBP5080" s="34">
        <v>-1</v>
      </c>
      <c r="MBQ5080" s="34">
        <v>-2</v>
      </c>
      <c r="MBR5080" s="34">
        <v>-3</v>
      </c>
      <c r="MBS5080" s="34">
        <v>-4</v>
      </c>
      <c r="MBT5080" s="34">
        <v>-5</v>
      </c>
      <c r="MBU5080" s="908"/>
      <c r="MBV5080" s="909"/>
      <c r="MBW5080" s="34">
        <v>-5</v>
      </c>
      <c r="MBX5080" s="34">
        <v>-4.5</v>
      </c>
      <c r="MBY5080" s="34">
        <v>-4</v>
      </c>
      <c r="MBZ5080" s="34">
        <v>-3.5</v>
      </c>
      <c r="MCA5080" s="34">
        <v>-3</v>
      </c>
      <c r="MCB5080" s="34">
        <v>-2.5</v>
      </c>
      <c r="MCC5080" s="34">
        <v>-2</v>
      </c>
      <c r="MCD5080" s="34">
        <v>-1.5</v>
      </c>
      <c r="MCE5080" s="34">
        <v>-1</v>
      </c>
      <c r="MCF5080" s="34">
        <v>-0.5</v>
      </c>
      <c r="MCG5080" s="34">
        <v>0</v>
      </c>
      <c r="MCH5080" s="34">
        <v>0.5</v>
      </c>
      <c r="MCI5080" s="34">
        <v>1</v>
      </c>
      <c r="MCJ5080" s="34">
        <v>1.5</v>
      </c>
      <c r="MCK5080" s="34">
        <v>2</v>
      </c>
      <c r="MCL5080" s="34">
        <v>2.5</v>
      </c>
      <c r="MCM5080" s="34">
        <v>3</v>
      </c>
      <c r="MCN5080" s="34">
        <v>3.5</v>
      </c>
      <c r="MCO5080" s="34">
        <v>4</v>
      </c>
      <c r="MCP5080" s="34">
        <v>4.5</v>
      </c>
      <c r="MCQ5080" s="34">
        <v>5</v>
      </c>
      <c r="MCS5080" s="913"/>
      <c r="MCT5080" s="31">
        <v>1</v>
      </c>
      <c r="MCU5080" s="34">
        <v>0</v>
      </c>
      <c r="MCV5080" s="34">
        <v>-1</v>
      </c>
      <c r="MCW5080" s="34">
        <v>-2</v>
      </c>
      <c r="MCX5080" s="34">
        <v>-3</v>
      </c>
      <c r="MCY5080" s="34">
        <v>-4</v>
      </c>
      <c r="MCZ5080" s="34">
        <v>-5</v>
      </c>
      <c r="MDA5080" s="908"/>
      <c r="MDB5080" s="909"/>
      <c r="MDC5080" s="34">
        <v>-5</v>
      </c>
      <c r="MDD5080" s="34">
        <v>-4.5</v>
      </c>
      <c r="MDE5080" s="34">
        <v>-4</v>
      </c>
      <c r="MDF5080" s="34">
        <v>-3.5</v>
      </c>
      <c r="MDG5080" s="34">
        <v>-3</v>
      </c>
      <c r="MDH5080" s="34">
        <v>-2.5</v>
      </c>
      <c r="MDI5080" s="34">
        <v>-2</v>
      </c>
      <c r="MDJ5080" s="34">
        <v>-1.5</v>
      </c>
      <c r="MDK5080" s="34">
        <v>-1</v>
      </c>
      <c r="MDL5080" s="34">
        <v>-0.5</v>
      </c>
      <c r="MDM5080" s="34">
        <v>0</v>
      </c>
      <c r="MDN5080" s="34">
        <v>0.5</v>
      </c>
      <c r="MDO5080" s="34">
        <v>1</v>
      </c>
      <c r="MDP5080" s="34">
        <v>1.5</v>
      </c>
      <c r="MDQ5080" s="34">
        <v>2</v>
      </c>
      <c r="MDR5080" s="34">
        <v>2.5</v>
      </c>
      <c r="MDS5080" s="34">
        <v>3</v>
      </c>
      <c r="MDT5080" s="34">
        <v>3.5</v>
      </c>
      <c r="MDU5080" s="34">
        <v>4</v>
      </c>
      <c r="MDV5080" s="34">
        <v>4.5</v>
      </c>
      <c r="MDW5080" s="34">
        <v>5</v>
      </c>
      <c r="MDY5080" s="913"/>
      <c r="MDZ5080" s="31">
        <v>1</v>
      </c>
      <c r="MEA5080" s="34">
        <v>0</v>
      </c>
      <c r="MEB5080" s="34">
        <v>-1</v>
      </c>
      <c r="MEC5080" s="34">
        <v>-2</v>
      </c>
      <c r="MED5080" s="34">
        <v>-3</v>
      </c>
      <c r="MEE5080" s="34">
        <v>-4</v>
      </c>
      <c r="MEF5080" s="34">
        <v>-5</v>
      </c>
      <c r="MEG5080" s="908"/>
      <c r="MEH5080" s="909"/>
      <c r="MEI5080" s="34">
        <v>-5</v>
      </c>
      <c r="MEJ5080" s="34">
        <v>-4.5</v>
      </c>
      <c r="MEK5080" s="34">
        <v>-4</v>
      </c>
      <c r="MEL5080" s="34">
        <v>-3.5</v>
      </c>
      <c r="MEM5080" s="34">
        <v>-3</v>
      </c>
      <c r="MEN5080" s="34">
        <v>-2.5</v>
      </c>
      <c r="MEO5080" s="34">
        <v>-2</v>
      </c>
      <c r="MEP5080" s="34">
        <v>-1.5</v>
      </c>
      <c r="MEQ5080" s="34">
        <v>-1</v>
      </c>
      <c r="MER5080" s="34">
        <v>-0.5</v>
      </c>
      <c r="MES5080" s="34">
        <v>0</v>
      </c>
      <c r="MET5080" s="34">
        <v>0.5</v>
      </c>
      <c r="MEU5080" s="34">
        <v>1</v>
      </c>
      <c r="MEV5080" s="34">
        <v>1.5</v>
      </c>
      <c r="MEW5080" s="34">
        <v>2</v>
      </c>
      <c r="MEX5080" s="34">
        <v>2.5</v>
      </c>
      <c r="MEY5080" s="34">
        <v>3</v>
      </c>
      <c r="MEZ5080" s="34">
        <v>3.5</v>
      </c>
      <c r="MFA5080" s="34">
        <v>4</v>
      </c>
      <c r="MFB5080" s="34">
        <v>4.5</v>
      </c>
      <c r="MFC5080" s="34">
        <v>5</v>
      </c>
      <c r="MFE5080" s="913"/>
      <c r="MFF5080" s="31">
        <v>1</v>
      </c>
      <c r="MFG5080" s="34">
        <v>0</v>
      </c>
      <c r="MFH5080" s="34">
        <v>-1</v>
      </c>
      <c r="MFI5080" s="34">
        <v>-2</v>
      </c>
      <c r="MFJ5080" s="34">
        <v>-3</v>
      </c>
      <c r="MFK5080" s="34">
        <v>-4</v>
      </c>
      <c r="MFL5080" s="34">
        <v>-5</v>
      </c>
      <c r="MFM5080" s="908"/>
      <c r="MFN5080" s="909"/>
      <c r="MFO5080" s="34">
        <v>-5</v>
      </c>
      <c r="MFP5080" s="34">
        <v>-4.5</v>
      </c>
      <c r="MFQ5080" s="34">
        <v>-4</v>
      </c>
      <c r="MFR5080" s="34">
        <v>-3.5</v>
      </c>
      <c r="MFS5080" s="34">
        <v>-3</v>
      </c>
      <c r="MFT5080" s="34">
        <v>-2.5</v>
      </c>
      <c r="MFU5080" s="34">
        <v>-2</v>
      </c>
      <c r="MFV5080" s="34">
        <v>-1.5</v>
      </c>
      <c r="MFW5080" s="34">
        <v>-1</v>
      </c>
      <c r="MFX5080" s="34">
        <v>-0.5</v>
      </c>
      <c r="MFY5080" s="34">
        <v>0</v>
      </c>
      <c r="MFZ5080" s="34">
        <v>0.5</v>
      </c>
      <c r="MGA5080" s="34">
        <v>1</v>
      </c>
      <c r="MGB5080" s="34">
        <v>1.5</v>
      </c>
      <c r="MGC5080" s="34">
        <v>2</v>
      </c>
      <c r="MGD5080" s="34">
        <v>2.5</v>
      </c>
      <c r="MGE5080" s="34">
        <v>3</v>
      </c>
      <c r="MGF5080" s="34">
        <v>3.5</v>
      </c>
      <c r="MGG5080" s="34">
        <v>4</v>
      </c>
      <c r="MGH5080" s="34">
        <v>4.5</v>
      </c>
      <c r="MGI5080" s="34">
        <v>5</v>
      </c>
      <c r="MGK5080" s="913"/>
      <c r="MGL5080" s="31">
        <v>1</v>
      </c>
      <c r="MGM5080" s="34">
        <v>0</v>
      </c>
      <c r="MGN5080" s="34">
        <v>-1</v>
      </c>
      <c r="MGO5080" s="34">
        <v>-2</v>
      </c>
      <c r="MGP5080" s="34">
        <v>-3</v>
      </c>
      <c r="MGQ5080" s="34">
        <v>-4</v>
      </c>
      <c r="MGR5080" s="34">
        <v>-5</v>
      </c>
      <c r="MGS5080" s="908"/>
      <c r="MGT5080" s="909"/>
      <c r="MGU5080" s="34">
        <v>-5</v>
      </c>
      <c r="MGV5080" s="34">
        <v>-4.5</v>
      </c>
      <c r="MGW5080" s="34">
        <v>-4</v>
      </c>
      <c r="MGX5080" s="34">
        <v>-3.5</v>
      </c>
      <c r="MGY5080" s="34">
        <v>-3</v>
      </c>
      <c r="MGZ5080" s="34">
        <v>-2.5</v>
      </c>
      <c r="MHA5080" s="34">
        <v>-2</v>
      </c>
      <c r="MHB5080" s="34">
        <v>-1.5</v>
      </c>
      <c r="MHC5080" s="34">
        <v>-1</v>
      </c>
      <c r="MHD5080" s="34">
        <v>-0.5</v>
      </c>
      <c r="MHE5080" s="34">
        <v>0</v>
      </c>
      <c r="MHF5080" s="34">
        <v>0.5</v>
      </c>
      <c r="MHG5080" s="34">
        <v>1</v>
      </c>
      <c r="MHH5080" s="34">
        <v>1.5</v>
      </c>
      <c r="MHI5080" s="34">
        <v>2</v>
      </c>
      <c r="MHJ5080" s="34">
        <v>2.5</v>
      </c>
      <c r="MHK5080" s="34">
        <v>3</v>
      </c>
      <c r="MHL5080" s="34">
        <v>3.5</v>
      </c>
      <c r="MHM5080" s="34">
        <v>4</v>
      </c>
      <c r="MHN5080" s="34">
        <v>4.5</v>
      </c>
      <c r="MHO5080" s="34">
        <v>5</v>
      </c>
      <c r="MHQ5080" s="913"/>
      <c r="MHR5080" s="31">
        <v>1</v>
      </c>
      <c r="MHS5080" s="34">
        <v>0</v>
      </c>
      <c r="MHT5080" s="34">
        <v>-1</v>
      </c>
      <c r="MHU5080" s="34">
        <v>-2</v>
      </c>
      <c r="MHV5080" s="34">
        <v>-3</v>
      </c>
      <c r="MHW5080" s="34">
        <v>-4</v>
      </c>
      <c r="MHX5080" s="34">
        <v>-5</v>
      </c>
      <c r="MHY5080" s="908"/>
      <c r="MHZ5080" s="909"/>
      <c r="MIA5080" s="34">
        <v>-5</v>
      </c>
      <c r="MIB5080" s="34">
        <v>-4.5</v>
      </c>
      <c r="MIC5080" s="34">
        <v>-4</v>
      </c>
      <c r="MID5080" s="34">
        <v>-3.5</v>
      </c>
      <c r="MIE5080" s="34">
        <v>-3</v>
      </c>
      <c r="MIF5080" s="34">
        <v>-2.5</v>
      </c>
      <c r="MIG5080" s="34">
        <v>-2</v>
      </c>
      <c r="MIH5080" s="34">
        <v>-1.5</v>
      </c>
      <c r="MII5080" s="34">
        <v>-1</v>
      </c>
      <c r="MIJ5080" s="34">
        <v>-0.5</v>
      </c>
      <c r="MIK5080" s="34">
        <v>0</v>
      </c>
      <c r="MIL5080" s="34">
        <v>0.5</v>
      </c>
      <c r="MIM5080" s="34">
        <v>1</v>
      </c>
      <c r="MIN5080" s="34">
        <v>1.5</v>
      </c>
      <c r="MIO5080" s="34">
        <v>2</v>
      </c>
      <c r="MIP5080" s="34">
        <v>2.5</v>
      </c>
      <c r="MIQ5080" s="34">
        <v>3</v>
      </c>
      <c r="MIR5080" s="34">
        <v>3.5</v>
      </c>
      <c r="MIS5080" s="34">
        <v>4</v>
      </c>
      <c r="MIT5080" s="34">
        <v>4.5</v>
      </c>
      <c r="MIU5080" s="34">
        <v>5</v>
      </c>
      <c r="MIW5080" s="913"/>
      <c r="MIX5080" s="31">
        <v>1</v>
      </c>
      <c r="MIY5080" s="34">
        <v>0</v>
      </c>
      <c r="MIZ5080" s="34">
        <v>-1</v>
      </c>
      <c r="MJA5080" s="34">
        <v>-2</v>
      </c>
      <c r="MJB5080" s="34">
        <v>-3</v>
      </c>
      <c r="MJC5080" s="34">
        <v>-4</v>
      </c>
      <c r="MJD5080" s="34">
        <v>-5</v>
      </c>
      <c r="MJE5080" s="908"/>
      <c r="MJF5080" s="909"/>
      <c r="MJG5080" s="34">
        <v>-5</v>
      </c>
      <c r="MJH5080" s="34">
        <v>-4.5</v>
      </c>
      <c r="MJI5080" s="34">
        <v>-4</v>
      </c>
      <c r="MJJ5080" s="34">
        <v>-3.5</v>
      </c>
      <c r="MJK5080" s="34">
        <v>-3</v>
      </c>
      <c r="MJL5080" s="34">
        <v>-2.5</v>
      </c>
      <c r="MJM5080" s="34">
        <v>-2</v>
      </c>
      <c r="MJN5080" s="34">
        <v>-1.5</v>
      </c>
      <c r="MJO5080" s="34">
        <v>-1</v>
      </c>
      <c r="MJP5080" s="34">
        <v>-0.5</v>
      </c>
      <c r="MJQ5080" s="34">
        <v>0</v>
      </c>
      <c r="MJR5080" s="34">
        <v>0.5</v>
      </c>
      <c r="MJS5080" s="34">
        <v>1</v>
      </c>
      <c r="MJT5080" s="34">
        <v>1.5</v>
      </c>
      <c r="MJU5080" s="34">
        <v>2</v>
      </c>
      <c r="MJV5080" s="34">
        <v>2.5</v>
      </c>
      <c r="MJW5080" s="34">
        <v>3</v>
      </c>
      <c r="MJX5080" s="34">
        <v>3.5</v>
      </c>
      <c r="MJY5080" s="34">
        <v>4</v>
      </c>
      <c r="MJZ5080" s="34">
        <v>4.5</v>
      </c>
      <c r="MKA5080" s="34">
        <v>5</v>
      </c>
      <c r="MKC5080" s="913"/>
      <c r="MKD5080" s="31">
        <v>1</v>
      </c>
      <c r="MKE5080" s="34">
        <v>0</v>
      </c>
      <c r="MKF5080" s="34">
        <v>-1</v>
      </c>
      <c r="MKG5080" s="34">
        <v>-2</v>
      </c>
      <c r="MKH5080" s="34">
        <v>-3</v>
      </c>
      <c r="MKI5080" s="34">
        <v>-4</v>
      </c>
      <c r="MKJ5080" s="34">
        <v>-5</v>
      </c>
      <c r="MKK5080" s="908"/>
      <c r="MKL5080" s="909"/>
      <c r="MKM5080" s="34">
        <v>-5</v>
      </c>
      <c r="MKN5080" s="34">
        <v>-4.5</v>
      </c>
      <c r="MKO5080" s="34">
        <v>-4</v>
      </c>
      <c r="MKP5080" s="34">
        <v>-3.5</v>
      </c>
      <c r="MKQ5080" s="34">
        <v>-3</v>
      </c>
      <c r="MKR5080" s="34">
        <v>-2.5</v>
      </c>
      <c r="MKS5080" s="34">
        <v>-2</v>
      </c>
      <c r="MKT5080" s="34">
        <v>-1.5</v>
      </c>
      <c r="MKU5080" s="34">
        <v>-1</v>
      </c>
      <c r="MKV5080" s="34">
        <v>-0.5</v>
      </c>
      <c r="MKW5080" s="34">
        <v>0</v>
      </c>
      <c r="MKX5080" s="34">
        <v>0.5</v>
      </c>
      <c r="MKY5080" s="34">
        <v>1</v>
      </c>
      <c r="MKZ5080" s="34">
        <v>1.5</v>
      </c>
      <c r="MLA5080" s="34">
        <v>2</v>
      </c>
      <c r="MLB5080" s="34">
        <v>2.5</v>
      </c>
      <c r="MLC5080" s="34">
        <v>3</v>
      </c>
      <c r="MLD5080" s="34">
        <v>3.5</v>
      </c>
      <c r="MLE5080" s="34">
        <v>4</v>
      </c>
      <c r="MLF5080" s="34">
        <v>4.5</v>
      </c>
      <c r="MLG5080" s="34">
        <v>5</v>
      </c>
      <c r="MLI5080" s="913"/>
      <c r="MLJ5080" s="31">
        <v>1</v>
      </c>
      <c r="MLK5080" s="34">
        <v>0</v>
      </c>
      <c r="MLL5080" s="34">
        <v>-1</v>
      </c>
      <c r="MLM5080" s="34">
        <v>-2</v>
      </c>
      <c r="MLN5080" s="34">
        <v>-3</v>
      </c>
      <c r="MLO5080" s="34">
        <v>-4</v>
      </c>
      <c r="MLP5080" s="34">
        <v>-5</v>
      </c>
      <c r="MLQ5080" s="908"/>
      <c r="MLR5080" s="909"/>
      <c r="MLS5080" s="34">
        <v>-5</v>
      </c>
      <c r="MLT5080" s="34">
        <v>-4.5</v>
      </c>
      <c r="MLU5080" s="34">
        <v>-4</v>
      </c>
      <c r="MLV5080" s="34">
        <v>-3.5</v>
      </c>
      <c r="MLW5080" s="34">
        <v>-3</v>
      </c>
      <c r="MLX5080" s="34">
        <v>-2.5</v>
      </c>
      <c r="MLY5080" s="34">
        <v>-2</v>
      </c>
      <c r="MLZ5080" s="34">
        <v>-1.5</v>
      </c>
      <c r="MMA5080" s="34">
        <v>-1</v>
      </c>
      <c r="MMB5080" s="34">
        <v>-0.5</v>
      </c>
      <c r="MMC5080" s="34">
        <v>0</v>
      </c>
      <c r="MMD5080" s="34">
        <v>0.5</v>
      </c>
      <c r="MME5080" s="34">
        <v>1</v>
      </c>
      <c r="MMF5080" s="34">
        <v>1.5</v>
      </c>
      <c r="MMG5080" s="34">
        <v>2</v>
      </c>
      <c r="MMH5080" s="34">
        <v>2.5</v>
      </c>
      <c r="MMI5080" s="34">
        <v>3</v>
      </c>
      <c r="MMJ5080" s="34">
        <v>3.5</v>
      </c>
      <c r="MMK5080" s="34">
        <v>4</v>
      </c>
      <c r="MML5080" s="34">
        <v>4.5</v>
      </c>
      <c r="MMM5080" s="34">
        <v>5</v>
      </c>
      <c r="MMO5080" s="913"/>
      <c r="MMP5080" s="31">
        <v>1</v>
      </c>
      <c r="MMQ5080" s="34">
        <v>0</v>
      </c>
      <c r="MMR5080" s="34">
        <v>-1</v>
      </c>
      <c r="MMS5080" s="34">
        <v>-2</v>
      </c>
      <c r="MMT5080" s="34">
        <v>-3</v>
      </c>
      <c r="MMU5080" s="34">
        <v>-4</v>
      </c>
      <c r="MMV5080" s="34">
        <v>-5</v>
      </c>
      <c r="MMW5080" s="908"/>
      <c r="MMX5080" s="909"/>
      <c r="MMY5080" s="34">
        <v>-5</v>
      </c>
      <c r="MMZ5080" s="34">
        <v>-4.5</v>
      </c>
      <c r="MNA5080" s="34">
        <v>-4</v>
      </c>
      <c r="MNB5080" s="34">
        <v>-3.5</v>
      </c>
      <c r="MNC5080" s="34">
        <v>-3</v>
      </c>
      <c r="MND5080" s="34">
        <v>-2.5</v>
      </c>
      <c r="MNE5080" s="34">
        <v>-2</v>
      </c>
      <c r="MNF5080" s="34">
        <v>-1.5</v>
      </c>
      <c r="MNG5080" s="34">
        <v>-1</v>
      </c>
      <c r="MNH5080" s="34">
        <v>-0.5</v>
      </c>
      <c r="MNI5080" s="34">
        <v>0</v>
      </c>
      <c r="MNJ5080" s="34">
        <v>0.5</v>
      </c>
      <c r="MNK5080" s="34">
        <v>1</v>
      </c>
      <c r="MNL5080" s="34">
        <v>1.5</v>
      </c>
      <c r="MNM5080" s="34">
        <v>2</v>
      </c>
      <c r="MNN5080" s="34">
        <v>2.5</v>
      </c>
      <c r="MNO5080" s="34">
        <v>3</v>
      </c>
      <c r="MNP5080" s="34">
        <v>3.5</v>
      </c>
      <c r="MNQ5080" s="34">
        <v>4</v>
      </c>
      <c r="MNR5080" s="34">
        <v>4.5</v>
      </c>
      <c r="MNS5080" s="34">
        <v>5</v>
      </c>
      <c r="MNU5080" s="913"/>
      <c r="MNV5080" s="31">
        <v>1</v>
      </c>
      <c r="MNW5080" s="34">
        <v>0</v>
      </c>
      <c r="MNX5080" s="34">
        <v>-1</v>
      </c>
      <c r="MNY5080" s="34">
        <v>-2</v>
      </c>
      <c r="MNZ5080" s="34">
        <v>-3</v>
      </c>
      <c r="MOA5080" s="34">
        <v>-4</v>
      </c>
      <c r="MOB5080" s="34">
        <v>-5</v>
      </c>
      <c r="MOC5080" s="908"/>
      <c r="MOD5080" s="909"/>
      <c r="MOE5080" s="34">
        <v>-5</v>
      </c>
      <c r="MOF5080" s="34">
        <v>-4.5</v>
      </c>
      <c r="MOG5080" s="34">
        <v>-4</v>
      </c>
      <c r="MOH5080" s="34">
        <v>-3.5</v>
      </c>
      <c r="MOI5080" s="34">
        <v>-3</v>
      </c>
      <c r="MOJ5080" s="34">
        <v>-2.5</v>
      </c>
      <c r="MOK5080" s="34">
        <v>-2</v>
      </c>
      <c r="MOL5080" s="34">
        <v>-1.5</v>
      </c>
      <c r="MOM5080" s="34">
        <v>-1</v>
      </c>
      <c r="MON5080" s="34">
        <v>-0.5</v>
      </c>
      <c r="MOO5080" s="34">
        <v>0</v>
      </c>
      <c r="MOP5080" s="34">
        <v>0.5</v>
      </c>
      <c r="MOQ5080" s="34">
        <v>1</v>
      </c>
      <c r="MOR5080" s="34">
        <v>1.5</v>
      </c>
      <c r="MOS5080" s="34">
        <v>2</v>
      </c>
      <c r="MOT5080" s="34">
        <v>2.5</v>
      </c>
      <c r="MOU5080" s="34">
        <v>3</v>
      </c>
      <c r="MOV5080" s="34">
        <v>3.5</v>
      </c>
      <c r="MOW5080" s="34">
        <v>4</v>
      </c>
      <c r="MOX5080" s="34">
        <v>4.5</v>
      </c>
      <c r="MOY5080" s="34">
        <v>5</v>
      </c>
      <c r="MPA5080" s="913"/>
      <c r="MPB5080" s="31">
        <v>1</v>
      </c>
      <c r="MPC5080" s="34">
        <v>0</v>
      </c>
      <c r="MPD5080" s="34">
        <v>-1</v>
      </c>
      <c r="MPE5080" s="34">
        <v>-2</v>
      </c>
      <c r="MPF5080" s="34">
        <v>-3</v>
      </c>
      <c r="MPG5080" s="34">
        <v>-4</v>
      </c>
      <c r="MPH5080" s="34">
        <v>-5</v>
      </c>
      <c r="MPI5080" s="908"/>
      <c r="MPJ5080" s="909"/>
      <c r="MPK5080" s="34">
        <v>-5</v>
      </c>
      <c r="MPL5080" s="34">
        <v>-4.5</v>
      </c>
      <c r="MPM5080" s="34">
        <v>-4</v>
      </c>
      <c r="MPN5080" s="34">
        <v>-3.5</v>
      </c>
      <c r="MPO5080" s="34">
        <v>-3</v>
      </c>
      <c r="MPP5080" s="34">
        <v>-2.5</v>
      </c>
      <c r="MPQ5080" s="34">
        <v>-2</v>
      </c>
      <c r="MPR5080" s="34">
        <v>-1.5</v>
      </c>
      <c r="MPS5080" s="34">
        <v>-1</v>
      </c>
      <c r="MPT5080" s="34">
        <v>-0.5</v>
      </c>
      <c r="MPU5080" s="34">
        <v>0</v>
      </c>
      <c r="MPV5080" s="34">
        <v>0.5</v>
      </c>
      <c r="MPW5080" s="34">
        <v>1</v>
      </c>
      <c r="MPX5080" s="34">
        <v>1.5</v>
      </c>
      <c r="MPY5080" s="34">
        <v>2</v>
      </c>
      <c r="MPZ5080" s="34">
        <v>2.5</v>
      </c>
      <c r="MQA5080" s="34">
        <v>3</v>
      </c>
      <c r="MQB5080" s="34">
        <v>3.5</v>
      </c>
      <c r="MQC5080" s="34">
        <v>4</v>
      </c>
      <c r="MQD5080" s="34">
        <v>4.5</v>
      </c>
      <c r="MQE5080" s="34">
        <v>5</v>
      </c>
      <c r="MQG5080" s="913"/>
      <c r="MQH5080" s="31">
        <v>1</v>
      </c>
      <c r="MQI5080" s="34">
        <v>0</v>
      </c>
      <c r="MQJ5080" s="34">
        <v>-1</v>
      </c>
      <c r="MQK5080" s="34">
        <v>-2</v>
      </c>
      <c r="MQL5080" s="34">
        <v>-3</v>
      </c>
      <c r="MQM5080" s="34">
        <v>-4</v>
      </c>
      <c r="MQN5080" s="34">
        <v>-5</v>
      </c>
      <c r="MQO5080" s="908"/>
      <c r="MQP5080" s="909"/>
      <c r="MQQ5080" s="34">
        <v>-5</v>
      </c>
      <c r="MQR5080" s="34">
        <v>-4.5</v>
      </c>
      <c r="MQS5080" s="34">
        <v>-4</v>
      </c>
      <c r="MQT5080" s="34">
        <v>-3.5</v>
      </c>
      <c r="MQU5080" s="34">
        <v>-3</v>
      </c>
      <c r="MQV5080" s="34">
        <v>-2.5</v>
      </c>
      <c r="MQW5080" s="34">
        <v>-2</v>
      </c>
      <c r="MQX5080" s="34">
        <v>-1.5</v>
      </c>
      <c r="MQY5080" s="34">
        <v>-1</v>
      </c>
      <c r="MQZ5080" s="34">
        <v>-0.5</v>
      </c>
      <c r="MRA5080" s="34">
        <v>0</v>
      </c>
      <c r="MRB5080" s="34">
        <v>0.5</v>
      </c>
      <c r="MRC5080" s="34">
        <v>1</v>
      </c>
      <c r="MRD5080" s="34">
        <v>1.5</v>
      </c>
      <c r="MRE5080" s="34">
        <v>2</v>
      </c>
      <c r="MRF5080" s="34">
        <v>2.5</v>
      </c>
      <c r="MRG5080" s="34">
        <v>3</v>
      </c>
      <c r="MRH5080" s="34">
        <v>3.5</v>
      </c>
      <c r="MRI5080" s="34">
        <v>4</v>
      </c>
      <c r="MRJ5080" s="34">
        <v>4.5</v>
      </c>
      <c r="MRK5080" s="34">
        <v>5</v>
      </c>
      <c r="MRM5080" s="913"/>
      <c r="MRN5080" s="31">
        <v>1</v>
      </c>
      <c r="MRO5080" s="34">
        <v>0</v>
      </c>
      <c r="MRP5080" s="34">
        <v>-1</v>
      </c>
      <c r="MRQ5080" s="34">
        <v>-2</v>
      </c>
      <c r="MRR5080" s="34">
        <v>-3</v>
      </c>
      <c r="MRS5080" s="34">
        <v>-4</v>
      </c>
      <c r="MRT5080" s="34">
        <v>-5</v>
      </c>
      <c r="MRU5080" s="908"/>
      <c r="MRV5080" s="909"/>
      <c r="MRW5080" s="34">
        <v>-5</v>
      </c>
      <c r="MRX5080" s="34">
        <v>-4.5</v>
      </c>
      <c r="MRY5080" s="34">
        <v>-4</v>
      </c>
      <c r="MRZ5080" s="34">
        <v>-3.5</v>
      </c>
      <c r="MSA5080" s="34">
        <v>-3</v>
      </c>
      <c r="MSB5080" s="34">
        <v>-2.5</v>
      </c>
      <c r="MSC5080" s="34">
        <v>-2</v>
      </c>
      <c r="MSD5080" s="34">
        <v>-1.5</v>
      </c>
      <c r="MSE5080" s="34">
        <v>-1</v>
      </c>
      <c r="MSF5080" s="34">
        <v>-0.5</v>
      </c>
      <c r="MSG5080" s="34">
        <v>0</v>
      </c>
      <c r="MSH5080" s="34">
        <v>0.5</v>
      </c>
      <c r="MSI5080" s="34">
        <v>1</v>
      </c>
      <c r="MSJ5080" s="34">
        <v>1.5</v>
      </c>
      <c r="MSK5080" s="34">
        <v>2</v>
      </c>
      <c r="MSL5080" s="34">
        <v>2.5</v>
      </c>
      <c r="MSM5080" s="34">
        <v>3</v>
      </c>
      <c r="MSN5080" s="34">
        <v>3.5</v>
      </c>
      <c r="MSO5080" s="34">
        <v>4</v>
      </c>
      <c r="MSP5080" s="34">
        <v>4.5</v>
      </c>
      <c r="MSQ5080" s="34">
        <v>5</v>
      </c>
      <c r="MSS5080" s="913"/>
      <c r="MST5080" s="31">
        <v>1</v>
      </c>
      <c r="MSU5080" s="34">
        <v>0</v>
      </c>
      <c r="MSV5080" s="34">
        <v>-1</v>
      </c>
      <c r="MSW5080" s="34">
        <v>-2</v>
      </c>
      <c r="MSX5080" s="34">
        <v>-3</v>
      </c>
      <c r="MSY5080" s="34">
        <v>-4</v>
      </c>
      <c r="MSZ5080" s="34">
        <v>-5</v>
      </c>
      <c r="MTA5080" s="908"/>
      <c r="MTB5080" s="909"/>
      <c r="MTC5080" s="34">
        <v>-5</v>
      </c>
      <c r="MTD5080" s="34">
        <v>-4.5</v>
      </c>
      <c r="MTE5080" s="34">
        <v>-4</v>
      </c>
      <c r="MTF5080" s="34">
        <v>-3.5</v>
      </c>
      <c r="MTG5080" s="34">
        <v>-3</v>
      </c>
      <c r="MTH5080" s="34">
        <v>-2.5</v>
      </c>
      <c r="MTI5080" s="34">
        <v>-2</v>
      </c>
      <c r="MTJ5080" s="34">
        <v>-1.5</v>
      </c>
      <c r="MTK5080" s="34">
        <v>-1</v>
      </c>
      <c r="MTL5080" s="34">
        <v>-0.5</v>
      </c>
      <c r="MTM5080" s="34">
        <v>0</v>
      </c>
      <c r="MTN5080" s="34">
        <v>0.5</v>
      </c>
      <c r="MTO5080" s="34">
        <v>1</v>
      </c>
      <c r="MTP5080" s="34">
        <v>1.5</v>
      </c>
      <c r="MTQ5080" s="34">
        <v>2</v>
      </c>
      <c r="MTR5080" s="34">
        <v>2.5</v>
      </c>
      <c r="MTS5080" s="34">
        <v>3</v>
      </c>
      <c r="MTT5080" s="34">
        <v>3.5</v>
      </c>
      <c r="MTU5080" s="34">
        <v>4</v>
      </c>
      <c r="MTV5080" s="34">
        <v>4.5</v>
      </c>
      <c r="MTW5080" s="34">
        <v>5</v>
      </c>
      <c r="MTY5080" s="913"/>
      <c r="MTZ5080" s="31">
        <v>1</v>
      </c>
      <c r="MUA5080" s="34">
        <v>0</v>
      </c>
      <c r="MUB5080" s="34">
        <v>-1</v>
      </c>
      <c r="MUC5080" s="34">
        <v>-2</v>
      </c>
      <c r="MUD5080" s="34">
        <v>-3</v>
      </c>
      <c r="MUE5080" s="34">
        <v>-4</v>
      </c>
      <c r="MUF5080" s="34">
        <v>-5</v>
      </c>
      <c r="MUG5080" s="908"/>
      <c r="MUH5080" s="909"/>
      <c r="MUI5080" s="34">
        <v>-5</v>
      </c>
      <c r="MUJ5080" s="34">
        <v>-4.5</v>
      </c>
      <c r="MUK5080" s="34">
        <v>-4</v>
      </c>
      <c r="MUL5080" s="34">
        <v>-3.5</v>
      </c>
      <c r="MUM5080" s="34">
        <v>-3</v>
      </c>
      <c r="MUN5080" s="34">
        <v>-2.5</v>
      </c>
      <c r="MUO5080" s="34">
        <v>-2</v>
      </c>
      <c r="MUP5080" s="34">
        <v>-1.5</v>
      </c>
      <c r="MUQ5080" s="34">
        <v>-1</v>
      </c>
      <c r="MUR5080" s="34">
        <v>-0.5</v>
      </c>
      <c r="MUS5080" s="34">
        <v>0</v>
      </c>
      <c r="MUT5080" s="34">
        <v>0.5</v>
      </c>
      <c r="MUU5080" s="34">
        <v>1</v>
      </c>
      <c r="MUV5080" s="34">
        <v>1.5</v>
      </c>
      <c r="MUW5080" s="34">
        <v>2</v>
      </c>
      <c r="MUX5080" s="34">
        <v>2.5</v>
      </c>
      <c r="MUY5080" s="34">
        <v>3</v>
      </c>
      <c r="MUZ5080" s="34">
        <v>3.5</v>
      </c>
      <c r="MVA5080" s="34">
        <v>4</v>
      </c>
      <c r="MVB5080" s="34">
        <v>4.5</v>
      </c>
      <c r="MVC5080" s="34">
        <v>5</v>
      </c>
      <c r="MVE5080" s="913"/>
      <c r="MVF5080" s="31">
        <v>1</v>
      </c>
      <c r="MVG5080" s="34">
        <v>0</v>
      </c>
      <c r="MVH5080" s="34">
        <v>-1</v>
      </c>
      <c r="MVI5080" s="34">
        <v>-2</v>
      </c>
      <c r="MVJ5080" s="34">
        <v>-3</v>
      </c>
      <c r="MVK5080" s="34">
        <v>-4</v>
      </c>
      <c r="MVL5080" s="34">
        <v>-5</v>
      </c>
      <c r="MVM5080" s="908"/>
      <c r="MVN5080" s="909"/>
      <c r="MVO5080" s="34">
        <v>-5</v>
      </c>
      <c r="MVP5080" s="34">
        <v>-4.5</v>
      </c>
      <c r="MVQ5080" s="34">
        <v>-4</v>
      </c>
      <c r="MVR5080" s="34">
        <v>-3.5</v>
      </c>
      <c r="MVS5080" s="34">
        <v>-3</v>
      </c>
      <c r="MVT5080" s="34">
        <v>-2.5</v>
      </c>
      <c r="MVU5080" s="34">
        <v>-2</v>
      </c>
      <c r="MVV5080" s="34">
        <v>-1.5</v>
      </c>
      <c r="MVW5080" s="34">
        <v>-1</v>
      </c>
      <c r="MVX5080" s="34">
        <v>-0.5</v>
      </c>
      <c r="MVY5080" s="34">
        <v>0</v>
      </c>
      <c r="MVZ5080" s="34">
        <v>0.5</v>
      </c>
      <c r="MWA5080" s="34">
        <v>1</v>
      </c>
      <c r="MWB5080" s="34">
        <v>1.5</v>
      </c>
      <c r="MWC5080" s="34">
        <v>2</v>
      </c>
      <c r="MWD5080" s="34">
        <v>2.5</v>
      </c>
      <c r="MWE5080" s="34">
        <v>3</v>
      </c>
      <c r="MWF5080" s="34">
        <v>3.5</v>
      </c>
      <c r="MWG5080" s="34">
        <v>4</v>
      </c>
      <c r="MWH5080" s="34">
        <v>4.5</v>
      </c>
      <c r="MWI5080" s="34">
        <v>5</v>
      </c>
      <c r="MWK5080" s="913"/>
      <c r="MWL5080" s="31">
        <v>1</v>
      </c>
      <c r="MWM5080" s="34">
        <v>0</v>
      </c>
      <c r="MWN5080" s="34">
        <v>-1</v>
      </c>
      <c r="MWO5080" s="34">
        <v>-2</v>
      </c>
      <c r="MWP5080" s="34">
        <v>-3</v>
      </c>
      <c r="MWQ5080" s="34">
        <v>-4</v>
      </c>
      <c r="MWR5080" s="34">
        <v>-5</v>
      </c>
      <c r="MWS5080" s="908"/>
      <c r="MWT5080" s="909"/>
      <c r="MWU5080" s="34">
        <v>-5</v>
      </c>
      <c r="MWV5080" s="34">
        <v>-4.5</v>
      </c>
      <c r="MWW5080" s="34">
        <v>-4</v>
      </c>
      <c r="MWX5080" s="34">
        <v>-3.5</v>
      </c>
      <c r="MWY5080" s="34">
        <v>-3</v>
      </c>
      <c r="MWZ5080" s="34">
        <v>-2.5</v>
      </c>
      <c r="MXA5080" s="34">
        <v>-2</v>
      </c>
      <c r="MXB5080" s="34">
        <v>-1.5</v>
      </c>
      <c r="MXC5080" s="34">
        <v>-1</v>
      </c>
      <c r="MXD5080" s="34">
        <v>-0.5</v>
      </c>
      <c r="MXE5080" s="34">
        <v>0</v>
      </c>
      <c r="MXF5080" s="34">
        <v>0.5</v>
      </c>
      <c r="MXG5080" s="34">
        <v>1</v>
      </c>
      <c r="MXH5080" s="34">
        <v>1.5</v>
      </c>
      <c r="MXI5080" s="34">
        <v>2</v>
      </c>
      <c r="MXJ5080" s="34">
        <v>2.5</v>
      </c>
      <c r="MXK5080" s="34">
        <v>3</v>
      </c>
      <c r="MXL5080" s="34">
        <v>3.5</v>
      </c>
      <c r="MXM5080" s="34">
        <v>4</v>
      </c>
      <c r="MXN5080" s="34">
        <v>4.5</v>
      </c>
      <c r="MXO5080" s="34">
        <v>5</v>
      </c>
      <c r="MXQ5080" s="913"/>
      <c r="MXR5080" s="31">
        <v>1</v>
      </c>
      <c r="MXS5080" s="34">
        <v>0</v>
      </c>
      <c r="MXT5080" s="34">
        <v>-1</v>
      </c>
      <c r="MXU5080" s="34">
        <v>-2</v>
      </c>
      <c r="MXV5080" s="34">
        <v>-3</v>
      </c>
      <c r="MXW5080" s="34">
        <v>-4</v>
      </c>
      <c r="MXX5080" s="34">
        <v>-5</v>
      </c>
      <c r="MXY5080" s="908"/>
      <c r="MXZ5080" s="909"/>
      <c r="MYA5080" s="34">
        <v>-5</v>
      </c>
      <c r="MYB5080" s="34">
        <v>-4.5</v>
      </c>
      <c r="MYC5080" s="34">
        <v>-4</v>
      </c>
      <c r="MYD5080" s="34">
        <v>-3.5</v>
      </c>
      <c r="MYE5080" s="34">
        <v>-3</v>
      </c>
      <c r="MYF5080" s="34">
        <v>-2.5</v>
      </c>
      <c r="MYG5080" s="34">
        <v>-2</v>
      </c>
      <c r="MYH5080" s="34">
        <v>-1.5</v>
      </c>
      <c r="MYI5080" s="34">
        <v>-1</v>
      </c>
      <c r="MYJ5080" s="34">
        <v>-0.5</v>
      </c>
      <c r="MYK5080" s="34">
        <v>0</v>
      </c>
      <c r="MYL5080" s="34">
        <v>0.5</v>
      </c>
      <c r="MYM5080" s="34">
        <v>1</v>
      </c>
      <c r="MYN5080" s="34">
        <v>1.5</v>
      </c>
      <c r="MYO5080" s="34">
        <v>2</v>
      </c>
      <c r="MYP5080" s="34">
        <v>2.5</v>
      </c>
      <c r="MYQ5080" s="34">
        <v>3</v>
      </c>
      <c r="MYR5080" s="34">
        <v>3.5</v>
      </c>
      <c r="MYS5080" s="34">
        <v>4</v>
      </c>
      <c r="MYT5080" s="34">
        <v>4.5</v>
      </c>
      <c r="MYU5080" s="34">
        <v>5</v>
      </c>
      <c r="MYW5080" s="913"/>
      <c r="MYX5080" s="31">
        <v>1</v>
      </c>
      <c r="MYY5080" s="34">
        <v>0</v>
      </c>
      <c r="MYZ5080" s="34">
        <v>-1</v>
      </c>
      <c r="MZA5080" s="34">
        <v>-2</v>
      </c>
      <c r="MZB5080" s="34">
        <v>-3</v>
      </c>
      <c r="MZC5080" s="34">
        <v>-4</v>
      </c>
      <c r="MZD5080" s="34">
        <v>-5</v>
      </c>
      <c r="MZE5080" s="908"/>
      <c r="MZF5080" s="909"/>
      <c r="MZG5080" s="34">
        <v>-5</v>
      </c>
      <c r="MZH5080" s="34">
        <v>-4.5</v>
      </c>
      <c r="MZI5080" s="34">
        <v>-4</v>
      </c>
      <c r="MZJ5080" s="34">
        <v>-3.5</v>
      </c>
      <c r="MZK5080" s="34">
        <v>-3</v>
      </c>
      <c r="MZL5080" s="34">
        <v>-2.5</v>
      </c>
      <c r="MZM5080" s="34">
        <v>-2</v>
      </c>
      <c r="MZN5080" s="34">
        <v>-1.5</v>
      </c>
      <c r="MZO5080" s="34">
        <v>-1</v>
      </c>
      <c r="MZP5080" s="34">
        <v>-0.5</v>
      </c>
      <c r="MZQ5080" s="34">
        <v>0</v>
      </c>
      <c r="MZR5080" s="34">
        <v>0.5</v>
      </c>
      <c r="MZS5080" s="34">
        <v>1</v>
      </c>
      <c r="MZT5080" s="34">
        <v>1.5</v>
      </c>
      <c r="MZU5080" s="34">
        <v>2</v>
      </c>
      <c r="MZV5080" s="34">
        <v>2.5</v>
      </c>
      <c r="MZW5080" s="34">
        <v>3</v>
      </c>
      <c r="MZX5080" s="34">
        <v>3.5</v>
      </c>
      <c r="MZY5080" s="34">
        <v>4</v>
      </c>
      <c r="MZZ5080" s="34">
        <v>4.5</v>
      </c>
      <c r="NAA5080" s="34">
        <v>5</v>
      </c>
      <c r="NAC5080" s="913"/>
      <c r="NAD5080" s="31">
        <v>1</v>
      </c>
      <c r="NAE5080" s="34">
        <v>0</v>
      </c>
      <c r="NAF5080" s="34">
        <v>-1</v>
      </c>
      <c r="NAG5080" s="34">
        <v>-2</v>
      </c>
      <c r="NAH5080" s="34">
        <v>-3</v>
      </c>
      <c r="NAI5080" s="34">
        <v>-4</v>
      </c>
      <c r="NAJ5080" s="34">
        <v>-5</v>
      </c>
      <c r="NAK5080" s="908"/>
      <c r="NAL5080" s="909"/>
      <c r="NAM5080" s="34">
        <v>-5</v>
      </c>
      <c r="NAN5080" s="34">
        <v>-4.5</v>
      </c>
      <c r="NAO5080" s="34">
        <v>-4</v>
      </c>
      <c r="NAP5080" s="34">
        <v>-3.5</v>
      </c>
      <c r="NAQ5080" s="34">
        <v>-3</v>
      </c>
      <c r="NAR5080" s="34">
        <v>-2.5</v>
      </c>
      <c r="NAS5080" s="34">
        <v>-2</v>
      </c>
      <c r="NAT5080" s="34">
        <v>-1.5</v>
      </c>
      <c r="NAU5080" s="34">
        <v>-1</v>
      </c>
      <c r="NAV5080" s="34">
        <v>-0.5</v>
      </c>
      <c r="NAW5080" s="34">
        <v>0</v>
      </c>
      <c r="NAX5080" s="34">
        <v>0.5</v>
      </c>
      <c r="NAY5080" s="34">
        <v>1</v>
      </c>
      <c r="NAZ5080" s="34">
        <v>1.5</v>
      </c>
      <c r="NBA5080" s="34">
        <v>2</v>
      </c>
      <c r="NBB5080" s="34">
        <v>2.5</v>
      </c>
      <c r="NBC5080" s="34">
        <v>3</v>
      </c>
      <c r="NBD5080" s="34">
        <v>3.5</v>
      </c>
      <c r="NBE5080" s="34">
        <v>4</v>
      </c>
      <c r="NBF5080" s="34">
        <v>4.5</v>
      </c>
      <c r="NBG5080" s="34">
        <v>5</v>
      </c>
      <c r="NBI5080" s="913"/>
      <c r="NBJ5080" s="31">
        <v>1</v>
      </c>
      <c r="NBK5080" s="34">
        <v>0</v>
      </c>
      <c r="NBL5080" s="34">
        <v>-1</v>
      </c>
      <c r="NBM5080" s="34">
        <v>-2</v>
      </c>
      <c r="NBN5080" s="34">
        <v>-3</v>
      </c>
      <c r="NBO5080" s="34">
        <v>-4</v>
      </c>
      <c r="NBP5080" s="34">
        <v>-5</v>
      </c>
      <c r="NBQ5080" s="908"/>
      <c r="NBR5080" s="909"/>
      <c r="NBS5080" s="34">
        <v>-5</v>
      </c>
      <c r="NBT5080" s="34">
        <v>-4.5</v>
      </c>
      <c r="NBU5080" s="34">
        <v>-4</v>
      </c>
      <c r="NBV5080" s="34">
        <v>-3.5</v>
      </c>
      <c r="NBW5080" s="34">
        <v>-3</v>
      </c>
      <c r="NBX5080" s="34">
        <v>-2.5</v>
      </c>
      <c r="NBY5080" s="34">
        <v>-2</v>
      </c>
      <c r="NBZ5080" s="34">
        <v>-1.5</v>
      </c>
      <c r="NCA5080" s="34">
        <v>-1</v>
      </c>
      <c r="NCB5080" s="34">
        <v>-0.5</v>
      </c>
      <c r="NCC5080" s="34">
        <v>0</v>
      </c>
      <c r="NCD5080" s="34">
        <v>0.5</v>
      </c>
      <c r="NCE5080" s="34">
        <v>1</v>
      </c>
      <c r="NCF5080" s="34">
        <v>1.5</v>
      </c>
      <c r="NCG5080" s="34">
        <v>2</v>
      </c>
      <c r="NCH5080" s="34">
        <v>2.5</v>
      </c>
      <c r="NCI5080" s="34">
        <v>3</v>
      </c>
      <c r="NCJ5080" s="34">
        <v>3.5</v>
      </c>
      <c r="NCK5080" s="34">
        <v>4</v>
      </c>
      <c r="NCL5080" s="34">
        <v>4.5</v>
      </c>
      <c r="NCM5080" s="34">
        <v>5</v>
      </c>
      <c r="NCO5080" s="913"/>
      <c r="NCP5080" s="31">
        <v>1</v>
      </c>
      <c r="NCQ5080" s="34">
        <v>0</v>
      </c>
      <c r="NCR5080" s="34">
        <v>-1</v>
      </c>
      <c r="NCS5080" s="34">
        <v>-2</v>
      </c>
      <c r="NCT5080" s="34">
        <v>-3</v>
      </c>
      <c r="NCU5080" s="34">
        <v>-4</v>
      </c>
      <c r="NCV5080" s="34">
        <v>-5</v>
      </c>
      <c r="NCW5080" s="908"/>
      <c r="NCX5080" s="909"/>
      <c r="NCY5080" s="34">
        <v>-5</v>
      </c>
      <c r="NCZ5080" s="34">
        <v>-4.5</v>
      </c>
      <c r="NDA5080" s="34">
        <v>-4</v>
      </c>
      <c r="NDB5080" s="34">
        <v>-3.5</v>
      </c>
      <c r="NDC5080" s="34">
        <v>-3</v>
      </c>
      <c r="NDD5080" s="34">
        <v>-2.5</v>
      </c>
      <c r="NDE5080" s="34">
        <v>-2</v>
      </c>
      <c r="NDF5080" s="34">
        <v>-1.5</v>
      </c>
      <c r="NDG5080" s="34">
        <v>-1</v>
      </c>
      <c r="NDH5080" s="34">
        <v>-0.5</v>
      </c>
      <c r="NDI5080" s="34">
        <v>0</v>
      </c>
      <c r="NDJ5080" s="34">
        <v>0.5</v>
      </c>
      <c r="NDK5080" s="34">
        <v>1</v>
      </c>
      <c r="NDL5080" s="34">
        <v>1.5</v>
      </c>
      <c r="NDM5080" s="34">
        <v>2</v>
      </c>
      <c r="NDN5080" s="34">
        <v>2.5</v>
      </c>
      <c r="NDO5080" s="34">
        <v>3</v>
      </c>
      <c r="NDP5080" s="34">
        <v>3.5</v>
      </c>
      <c r="NDQ5080" s="34">
        <v>4</v>
      </c>
      <c r="NDR5080" s="34">
        <v>4.5</v>
      </c>
      <c r="NDS5080" s="34">
        <v>5</v>
      </c>
      <c r="NDU5080" s="913"/>
      <c r="NDV5080" s="31">
        <v>1</v>
      </c>
      <c r="NDW5080" s="34">
        <v>0</v>
      </c>
      <c r="NDX5080" s="34">
        <v>-1</v>
      </c>
      <c r="NDY5080" s="34">
        <v>-2</v>
      </c>
      <c r="NDZ5080" s="34">
        <v>-3</v>
      </c>
      <c r="NEA5080" s="34">
        <v>-4</v>
      </c>
      <c r="NEB5080" s="34">
        <v>-5</v>
      </c>
      <c r="NEC5080" s="908"/>
      <c r="NED5080" s="909"/>
      <c r="NEE5080" s="34">
        <v>-5</v>
      </c>
      <c r="NEF5080" s="34">
        <v>-4.5</v>
      </c>
      <c r="NEG5080" s="34">
        <v>-4</v>
      </c>
      <c r="NEH5080" s="34">
        <v>-3.5</v>
      </c>
      <c r="NEI5080" s="34">
        <v>-3</v>
      </c>
      <c r="NEJ5080" s="34">
        <v>-2.5</v>
      </c>
      <c r="NEK5080" s="34">
        <v>-2</v>
      </c>
      <c r="NEL5080" s="34">
        <v>-1.5</v>
      </c>
      <c r="NEM5080" s="34">
        <v>-1</v>
      </c>
      <c r="NEN5080" s="34">
        <v>-0.5</v>
      </c>
      <c r="NEO5080" s="34">
        <v>0</v>
      </c>
      <c r="NEP5080" s="34">
        <v>0.5</v>
      </c>
      <c r="NEQ5080" s="34">
        <v>1</v>
      </c>
      <c r="NER5080" s="34">
        <v>1.5</v>
      </c>
      <c r="NES5080" s="34">
        <v>2</v>
      </c>
      <c r="NET5080" s="34">
        <v>2.5</v>
      </c>
      <c r="NEU5080" s="34">
        <v>3</v>
      </c>
      <c r="NEV5080" s="34">
        <v>3.5</v>
      </c>
      <c r="NEW5080" s="34">
        <v>4</v>
      </c>
      <c r="NEX5080" s="34">
        <v>4.5</v>
      </c>
      <c r="NEY5080" s="34">
        <v>5</v>
      </c>
      <c r="NFA5080" s="913"/>
      <c r="NFB5080" s="31">
        <v>1</v>
      </c>
      <c r="NFC5080" s="34">
        <v>0</v>
      </c>
      <c r="NFD5080" s="34">
        <v>-1</v>
      </c>
      <c r="NFE5080" s="34">
        <v>-2</v>
      </c>
      <c r="NFF5080" s="34">
        <v>-3</v>
      </c>
      <c r="NFG5080" s="34">
        <v>-4</v>
      </c>
      <c r="NFH5080" s="34">
        <v>-5</v>
      </c>
      <c r="NFI5080" s="908"/>
      <c r="NFJ5080" s="909"/>
      <c r="NFK5080" s="34">
        <v>-5</v>
      </c>
      <c r="NFL5080" s="34">
        <v>-4.5</v>
      </c>
      <c r="NFM5080" s="34">
        <v>-4</v>
      </c>
      <c r="NFN5080" s="34">
        <v>-3.5</v>
      </c>
      <c r="NFO5080" s="34">
        <v>-3</v>
      </c>
      <c r="NFP5080" s="34">
        <v>-2.5</v>
      </c>
      <c r="NFQ5080" s="34">
        <v>-2</v>
      </c>
      <c r="NFR5080" s="34">
        <v>-1.5</v>
      </c>
      <c r="NFS5080" s="34">
        <v>-1</v>
      </c>
      <c r="NFT5080" s="34">
        <v>-0.5</v>
      </c>
      <c r="NFU5080" s="34">
        <v>0</v>
      </c>
      <c r="NFV5080" s="34">
        <v>0.5</v>
      </c>
      <c r="NFW5080" s="34">
        <v>1</v>
      </c>
      <c r="NFX5080" s="34">
        <v>1.5</v>
      </c>
      <c r="NFY5080" s="34">
        <v>2</v>
      </c>
      <c r="NFZ5080" s="34">
        <v>2.5</v>
      </c>
      <c r="NGA5080" s="34">
        <v>3</v>
      </c>
      <c r="NGB5080" s="34">
        <v>3.5</v>
      </c>
      <c r="NGC5080" s="34">
        <v>4</v>
      </c>
      <c r="NGD5080" s="34">
        <v>4.5</v>
      </c>
      <c r="NGE5080" s="34">
        <v>5</v>
      </c>
      <c r="NGG5080" s="913"/>
      <c r="NGH5080" s="31">
        <v>1</v>
      </c>
      <c r="NGI5080" s="34">
        <v>0</v>
      </c>
      <c r="NGJ5080" s="34">
        <v>-1</v>
      </c>
      <c r="NGK5080" s="34">
        <v>-2</v>
      </c>
      <c r="NGL5080" s="34">
        <v>-3</v>
      </c>
      <c r="NGM5080" s="34">
        <v>-4</v>
      </c>
      <c r="NGN5080" s="34">
        <v>-5</v>
      </c>
      <c r="NGO5080" s="908"/>
      <c r="NGP5080" s="909"/>
      <c r="NGQ5080" s="34">
        <v>-5</v>
      </c>
      <c r="NGR5080" s="34">
        <v>-4.5</v>
      </c>
      <c r="NGS5080" s="34">
        <v>-4</v>
      </c>
      <c r="NGT5080" s="34">
        <v>-3.5</v>
      </c>
      <c r="NGU5080" s="34">
        <v>-3</v>
      </c>
      <c r="NGV5080" s="34">
        <v>-2.5</v>
      </c>
      <c r="NGW5080" s="34">
        <v>-2</v>
      </c>
      <c r="NGX5080" s="34">
        <v>-1.5</v>
      </c>
      <c r="NGY5080" s="34">
        <v>-1</v>
      </c>
      <c r="NGZ5080" s="34">
        <v>-0.5</v>
      </c>
      <c r="NHA5080" s="34">
        <v>0</v>
      </c>
      <c r="NHB5080" s="34">
        <v>0.5</v>
      </c>
      <c r="NHC5080" s="34">
        <v>1</v>
      </c>
      <c r="NHD5080" s="34">
        <v>1.5</v>
      </c>
      <c r="NHE5080" s="34">
        <v>2</v>
      </c>
      <c r="NHF5080" s="34">
        <v>2.5</v>
      </c>
      <c r="NHG5080" s="34">
        <v>3</v>
      </c>
      <c r="NHH5080" s="34">
        <v>3.5</v>
      </c>
      <c r="NHI5080" s="34">
        <v>4</v>
      </c>
      <c r="NHJ5080" s="34">
        <v>4.5</v>
      </c>
      <c r="NHK5080" s="34">
        <v>5</v>
      </c>
      <c r="NHM5080" s="913"/>
      <c r="NHN5080" s="31">
        <v>1</v>
      </c>
      <c r="NHO5080" s="34">
        <v>0</v>
      </c>
      <c r="NHP5080" s="34">
        <v>-1</v>
      </c>
      <c r="NHQ5080" s="34">
        <v>-2</v>
      </c>
      <c r="NHR5080" s="34">
        <v>-3</v>
      </c>
      <c r="NHS5080" s="34">
        <v>-4</v>
      </c>
      <c r="NHT5080" s="34">
        <v>-5</v>
      </c>
      <c r="NHU5080" s="908"/>
      <c r="NHV5080" s="909"/>
      <c r="NHW5080" s="34">
        <v>-5</v>
      </c>
      <c r="NHX5080" s="34">
        <v>-4.5</v>
      </c>
      <c r="NHY5080" s="34">
        <v>-4</v>
      </c>
      <c r="NHZ5080" s="34">
        <v>-3.5</v>
      </c>
      <c r="NIA5080" s="34">
        <v>-3</v>
      </c>
      <c r="NIB5080" s="34">
        <v>-2.5</v>
      </c>
      <c r="NIC5080" s="34">
        <v>-2</v>
      </c>
      <c r="NID5080" s="34">
        <v>-1.5</v>
      </c>
      <c r="NIE5080" s="34">
        <v>-1</v>
      </c>
      <c r="NIF5080" s="34">
        <v>-0.5</v>
      </c>
      <c r="NIG5080" s="34">
        <v>0</v>
      </c>
      <c r="NIH5080" s="34">
        <v>0.5</v>
      </c>
      <c r="NII5080" s="34">
        <v>1</v>
      </c>
      <c r="NIJ5080" s="34">
        <v>1.5</v>
      </c>
      <c r="NIK5080" s="34">
        <v>2</v>
      </c>
      <c r="NIL5080" s="34">
        <v>2.5</v>
      </c>
      <c r="NIM5080" s="34">
        <v>3</v>
      </c>
      <c r="NIN5080" s="34">
        <v>3.5</v>
      </c>
      <c r="NIO5080" s="34">
        <v>4</v>
      </c>
      <c r="NIP5080" s="34">
        <v>4.5</v>
      </c>
      <c r="NIQ5080" s="34">
        <v>5</v>
      </c>
      <c r="NIS5080" s="913"/>
      <c r="NIT5080" s="31">
        <v>1</v>
      </c>
      <c r="NIU5080" s="34">
        <v>0</v>
      </c>
      <c r="NIV5080" s="34">
        <v>-1</v>
      </c>
      <c r="NIW5080" s="34">
        <v>-2</v>
      </c>
      <c r="NIX5080" s="34">
        <v>-3</v>
      </c>
      <c r="NIY5080" s="34">
        <v>-4</v>
      </c>
      <c r="NIZ5080" s="34">
        <v>-5</v>
      </c>
      <c r="NJA5080" s="908"/>
      <c r="NJB5080" s="909"/>
      <c r="NJC5080" s="34">
        <v>-5</v>
      </c>
      <c r="NJD5080" s="34">
        <v>-4.5</v>
      </c>
      <c r="NJE5080" s="34">
        <v>-4</v>
      </c>
      <c r="NJF5080" s="34">
        <v>-3.5</v>
      </c>
      <c r="NJG5080" s="34">
        <v>-3</v>
      </c>
      <c r="NJH5080" s="34">
        <v>-2.5</v>
      </c>
      <c r="NJI5080" s="34">
        <v>-2</v>
      </c>
      <c r="NJJ5080" s="34">
        <v>-1.5</v>
      </c>
      <c r="NJK5080" s="34">
        <v>-1</v>
      </c>
      <c r="NJL5080" s="34">
        <v>-0.5</v>
      </c>
      <c r="NJM5080" s="34">
        <v>0</v>
      </c>
      <c r="NJN5080" s="34">
        <v>0.5</v>
      </c>
      <c r="NJO5080" s="34">
        <v>1</v>
      </c>
      <c r="NJP5080" s="34">
        <v>1.5</v>
      </c>
      <c r="NJQ5080" s="34">
        <v>2</v>
      </c>
      <c r="NJR5080" s="34">
        <v>2.5</v>
      </c>
      <c r="NJS5080" s="34">
        <v>3</v>
      </c>
      <c r="NJT5080" s="34">
        <v>3.5</v>
      </c>
      <c r="NJU5080" s="34">
        <v>4</v>
      </c>
      <c r="NJV5080" s="34">
        <v>4.5</v>
      </c>
      <c r="NJW5080" s="34">
        <v>5</v>
      </c>
      <c r="NJY5080" s="913"/>
      <c r="NJZ5080" s="31">
        <v>1</v>
      </c>
      <c r="NKA5080" s="34">
        <v>0</v>
      </c>
      <c r="NKB5080" s="34">
        <v>-1</v>
      </c>
      <c r="NKC5080" s="34">
        <v>-2</v>
      </c>
      <c r="NKD5080" s="34">
        <v>-3</v>
      </c>
      <c r="NKE5080" s="34">
        <v>-4</v>
      </c>
      <c r="NKF5080" s="34">
        <v>-5</v>
      </c>
      <c r="NKG5080" s="908"/>
      <c r="NKH5080" s="909"/>
      <c r="NKI5080" s="34">
        <v>-5</v>
      </c>
      <c r="NKJ5080" s="34">
        <v>-4.5</v>
      </c>
      <c r="NKK5080" s="34">
        <v>-4</v>
      </c>
      <c r="NKL5080" s="34">
        <v>-3.5</v>
      </c>
      <c r="NKM5080" s="34">
        <v>-3</v>
      </c>
      <c r="NKN5080" s="34">
        <v>-2.5</v>
      </c>
      <c r="NKO5080" s="34">
        <v>-2</v>
      </c>
      <c r="NKP5080" s="34">
        <v>-1.5</v>
      </c>
      <c r="NKQ5080" s="34">
        <v>-1</v>
      </c>
      <c r="NKR5080" s="34">
        <v>-0.5</v>
      </c>
      <c r="NKS5080" s="34">
        <v>0</v>
      </c>
      <c r="NKT5080" s="34">
        <v>0.5</v>
      </c>
      <c r="NKU5080" s="34">
        <v>1</v>
      </c>
      <c r="NKV5080" s="34">
        <v>1.5</v>
      </c>
      <c r="NKW5080" s="34">
        <v>2</v>
      </c>
      <c r="NKX5080" s="34">
        <v>2.5</v>
      </c>
      <c r="NKY5080" s="34">
        <v>3</v>
      </c>
      <c r="NKZ5080" s="34">
        <v>3.5</v>
      </c>
      <c r="NLA5080" s="34">
        <v>4</v>
      </c>
      <c r="NLB5080" s="34">
        <v>4.5</v>
      </c>
      <c r="NLC5080" s="34">
        <v>5</v>
      </c>
      <c r="NLE5080" s="913"/>
      <c r="NLF5080" s="31">
        <v>1</v>
      </c>
      <c r="NLG5080" s="34">
        <v>0</v>
      </c>
      <c r="NLH5080" s="34">
        <v>-1</v>
      </c>
      <c r="NLI5080" s="34">
        <v>-2</v>
      </c>
      <c r="NLJ5080" s="34">
        <v>-3</v>
      </c>
      <c r="NLK5080" s="34">
        <v>-4</v>
      </c>
      <c r="NLL5080" s="34">
        <v>-5</v>
      </c>
      <c r="NLM5080" s="908"/>
      <c r="NLN5080" s="909"/>
      <c r="NLO5080" s="34">
        <v>-5</v>
      </c>
      <c r="NLP5080" s="34">
        <v>-4.5</v>
      </c>
      <c r="NLQ5080" s="34">
        <v>-4</v>
      </c>
      <c r="NLR5080" s="34">
        <v>-3.5</v>
      </c>
      <c r="NLS5080" s="34">
        <v>-3</v>
      </c>
      <c r="NLT5080" s="34">
        <v>-2.5</v>
      </c>
      <c r="NLU5080" s="34">
        <v>-2</v>
      </c>
      <c r="NLV5080" s="34">
        <v>-1.5</v>
      </c>
      <c r="NLW5080" s="34">
        <v>-1</v>
      </c>
      <c r="NLX5080" s="34">
        <v>-0.5</v>
      </c>
      <c r="NLY5080" s="34">
        <v>0</v>
      </c>
      <c r="NLZ5080" s="34">
        <v>0.5</v>
      </c>
      <c r="NMA5080" s="34">
        <v>1</v>
      </c>
      <c r="NMB5080" s="34">
        <v>1.5</v>
      </c>
      <c r="NMC5080" s="34">
        <v>2</v>
      </c>
      <c r="NMD5080" s="34">
        <v>2.5</v>
      </c>
      <c r="NME5080" s="34">
        <v>3</v>
      </c>
      <c r="NMF5080" s="34">
        <v>3.5</v>
      </c>
      <c r="NMG5080" s="34">
        <v>4</v>
      </c>
      <c r="NMH5080" s="34">
        <v>4.5</v>
      </c>
      <c r="NMI5080" s="34">
        <v>5</v>
      </c>
      <c r="NMK5080" s="913"/>
      <c r="NML5080" s="31">
        <v>1</v>
      </c>
      <c r="NMM5080" s="34">
        <v>0</v>
      </c>
      <c r="NMN5080" s="34">
        <v>-1</v>
      </c>
      <c r="NMO5080" s="34">
        <v>-2</v>
      </c>
      <c r="NMP5080" s="34">
        <v>-3</v>
      </c>
      <c r="NMQ5080" s="34">
        <v>-4</v>
      </c>
      <c r="NMR5080" s="34">
        <v>-5</v>
      </c>
      <c r="NMS5080" s="908"/>
      <c r="NMT5080" s="909"/>
      <c r="NMU5080" s="34">
        <v>-5</v>
      </c>
      <c r="NMV5080" s="34">
        <v>-4.5</v>
      </c>
      <c r="NMW5080" s="34">
        <v>-4</v>
      </c>
      <c r="NMX5080" s="34">
        <v>-3.5</v>
      </c>
      <c r="NMY5080" s="34">
        <v>-3</v>
      </c>
      <c r="NMZ5080" s="34">
        <v>-2.5</v>
      </c>
      <c r="NNA5080" s="34">
        <v>-2</v>
      </c>
      <c r="NNB5080" s="34">
        <v>-1.5</v>
      </c>
      <c r="NNC5080" s="34">
        <v>-1</v>
      </c>
      <c r="NND5080" s="34">
        <v>-0.5</v>
      </c>
      <c r="NNE5080" s="34">
        <v>0</v>
      </c>
      <c r="NNF5080" s="34">
        <v>0.5</v>
      </c>
      <c r="NNG5080" s="34">
        <v>1</v>
      </c>
      <c r="NNH5080" s="34">
        <v>1.5</v>
      </c>
      <c r="NNI5080" s="34">
        <v>2</v>
      </c>
      <c r="NNJ5080" s="34">
        <v>2.5</v>
      </c>
      <c r="NNK5080" s="34">
        <v>3</v>
      </c>
      <c r="NNL5080" s="34">
        <v>3.5</v>
      </c>
      <c r="NNM5080" s="34">
        <v>4</v>
      </c>
      <c r="NNN5080" s="34">
        <v>4.5</v>
      </c>
      <c r="NNO5080" s="34">
        <v>5</v>
      </c>
      <c r="NNQ5080" s="913"/>
      <c r="NNR5080" s="31">
        <v>1</v>
      </c>
      <c r="NNS5080" s="34">
        <v>0</v>
      </c>
      <c r="NNT5080" s="34">
        <v>-1</v>
      </c>
      <c r="NNU5080" s="34">
        <v>-2</v>
      </c>
      <c r="NNV5080" s="34">
        <v>-3</v>
      </c>
      <c r="NNW5080" s="34">
        <v>-4</v>
      </c>
      <c r="NNX5080" s="34">
        <v>-5</v>
      </c>
      <c r="NNY5080" s="908"/>
      <c r="NNZ5080" s="909"/>
      <c r="NOA5080" s="34">
        <v>-5</v>
      </c>
      <c r="NOB5080" s="34">
        <v>-4.5</v>
      </c>
      <c r="NOC5080" s="34">
        <v>-4</v>
      </c>
      <c r="NOD5080" s="34">
        <v>-3.5</v>
      </c>
      <c r="NOE5080" s="34">
        <v>-3</v>
      </c>
      <c r="NOF5080" s="34">
        <v>-2.5</v>
      </c>
      <c r="NOG5080" s="34">
        <v>-2</v>
      </c>
      <c r="NOH5080" s="34">
        <v>-1.5</v>
      </c>
      <c r="NOI5080" s="34">
        <v>-1</v>
      </c>
      <c r="NOJ5080" s="34">
        <v>-0.5</v>
      </c>
      <c r="NOK5080" s="34">
        <v>0</v>
      </c>
      <c r="NOL5080" s="34">
        <v>0.5</v>
      </c>
      <c r="NOM5080" s="34">
        <v>1</v>
      </c>
      <c r="NON5080" s="34">
        <v>1.5</v>
      </c>
      <c r="NOO5080" s="34">
        <v>2</v>
      </c>
      <c r="NOP5080" s="34">
        <v>2.5</v>
      </c>
      <c r="NOQ5080" s="34">
        <v>3</v>
      </c>
      <c r="NOR5080" s="34">
        <v>3.5</v>
      </c>
      <c r="NOS5080" s="34">
        <v>4</v>
      </c>
      <c r="NOT5080" s="34">
        <v>4.5</v>
      </c>
      <c r="NOU5080" s="34">
        <v>5</v>
      </c>
      <c r="NOW5080" s="913"/>
      <c r="NOX5080" s="31">
        <v>1</v>
      </c>
      <c r="NOY5080" s="34">
        <v>0</v>
      </c>
      <c r="NOZ5080" s="34">
        <v>-1</v>
      </c>
      <c r="NPA5080" s="34">
        <v>-2</v>
      </c>
      <c r="NPB5080" s="34">
        <v>-3</v>
      </c>
      <c r="NPC5080" s="34">
        <v>-4</v>
      </c>
      <c r="NPD5080" s="34">
        <v>-5</v>
      </c>
      <c r="NPE5080" s="908"/>
      <c r="NPF5080" s="909"/>
      <c r="NPG5080" s="34">
        <v>-5</v>
      </c>
      <c r="NPH5080" s="34">
        <v>-4.5</v>
      </c>
      <c r="NPI5080" s="34">
        <v>-4</v>
      </c>
      <c r="NPJ5080" s="34">
        <v>-3.5</v>
      </c>
      <c r="NPK5080" s="34">
        <v>-3</v>
      </c>
      <c r="NPL5080" s="34">
        <v>-2.5</v>
      </c>
      <c r="NPM5080" s="34">
        <v>-2</v>
      </c>
      <c r="NPN5080" s="34">
        <v>-1.5</v>
      </c>
      <c r="NPO5080" s="34">
        <v>-1</v>
      </c>
      <c r="NPP5080" s="34">
        <v>-0.5</v>
      </c>
      <c r="NPQ5080" s="34">
        <v>0</v>
      </c>
      <c r="NPR5080" s="34">
        <v>0.5</v>
      </c>
      <c r="NPS5080" s="34">
        <v>1</v>
      </c>
      <c r="NPT5080" s="34">
        <v>1.5</v>
      </c>
      <c r="NPU5080" s="34">
        <v>2</v>
      </c>
      <c r="NPV5080" s="34">
        <v>2.5</v>
      </c>
      <c r="NPW5080" s="34">
        <v>3</v>
      </c>
      <c r="NPX5080" s="34">
        <v>3.5</v>
      </c>
      <c r="NPY5080" s="34">
        <v>4</v>
      </c>
      <c r="NPZ5080" s="34">
        <v>4.5</v>
      </c>
      <c r="NQA5080" s="34">
        <v>5</v>
      </c>
      <c r="NQC5080" s="913"/>
      <c r="NQD5080" s="31">
        <v>1</v>
      </c>
      <c r="NQE5080" s="34">
        <v>0</v>
      </c>
      <c r="NQF5080" s="34">
        <v>-1</v>
      </c>
      <c r="NQG5080" s="34">
        <v>-2</v>
      </c>
      <c r="NQH5080" s="34">
        <v>-3</v>
      </c>
      <c r="NQI5080" s="34">
        <v>-4</v>
      </c>
      <c r="NQJ5080" s="34">
        <v>-5</v>
      </c>
      <c r="NQK5080" s="908"/>
      <c r="NQL5080" s="909"/>
      <c r="NQM5080" s="34">
        <v>-5</v>
      </c>
      <c r="NQN5080" s="34">
        <v>-4.5</v>
      </c>
      <c r="NQO5080" s="34">
        <v>-4</v>
      </c>
      <c r="NQP5080" s="34">
        <v>-3.5</v>
      </c>
      <c r="NQQ5080" s="34">
        <v>-3</v>
      </c>
      <c r="NQR5080" s="34">
        <v>-2.5</v>
      </c>
      <c r="NQS5080" s="34">
        <v>-2</v>
      </c>
      <c r="NQT5080" s="34">
        <v>-1.5</v>
      </c>
      <c r="NQU5080" s="34">
        <v>-1</v>
      </c>
      <c r="NQV5080" s="34">
        <v>-0.5</v>
      </c>
      <c r="NQW5080" s="34">
        <v>0</v>
      </c>
      <c r="NQX5080" s="34">
        <v>0.5</v>
      </c>
      <c r="NQY5080" s="34">
        <v>1</v>
      </c>
      <c r="NQZ5080" s="34">
        <v>1.5</v>
      </c>
      <c r="NRA5080" s="34">
        <v>2</v>
      </c>
      <c r="NRB5080" s="34">
        <v>2.5</v>
      </c>
      <c r="NRC5080" s="34">
        <v>3</v>
      </c>
      <c r="NRD5080" s="34">
        <v>3.5</v>
      </c>
      <c r="NRE5080" s="34">
        <v>4</v>
      </c>
      <c r="NRF5080" s="34">
        <v>4.5</v>
      </c>
      <c r="NRG5080" s="34">
        <v>5</v>
      </c>
      <c r="NRI5080" s="913"/>
      <c r="NRJ5080" s="31">
        <v>1</v>
      </c>
      <c r="NRK5080" s="34">
        <v>0</v>
      </c>
      <c r="NRL5080" s="34">
        <v>-1</v>
      </c>
      <c r="NRM5080" s="34">
        <v>-2</v>
      </c>
      <c r="NRN5080" s="34">
        <v>-3</v>
      </c>
      <c r="NRO5080" s="34">
        <v>-4</v>
      </c>
      <c r="NRP5080" s="34">
        <v>-5</v>
      </c>
      <c r="NRQ5080" s="908"/>
      <c r="NRR5080" s="909"/>
      <c r="NRS5080" s="34">
        <v>-5</v>
      </c>
      <c r="NRT5080" s="34">
        <v>-4.5</v>
      </c>
      <c r="NRU5080" s="34">
        <v>-4</v>
      </c>
      <c r="NRV5080" s="34">
        <v>-3.5</v>
      </c>
      <c r="NRW5080" s="34">
        <v>-3</v>
      </c>
      <c r="NRX5080" s="34">
        <v>-2.5</v>
      </c>
      <c r="NRY5080" s="34">
        <v>-2</v>
      </c>
      <c r="NRZ5080" s="34">
        <v>-1.5</v>
      </c>
      <c r="NSA5080" s="34">
        <v>-1</v>
      </c>
      <c r="NSB5080" s="34">
        <v>-0.5</v>
      </c>
      <c r="NSC5080" s="34">
        <v>0</v>
      </c>
      <c r="NSD5080" s="34">
        <v>0.5</v>
      </c>
      <c r="NSE5080" s="34">
        <v>1</v>
      </c>
      <c r="NSF5080" s="34">
        <v>1.5</v>
      </c>
      <c r="NSG5080" s="34">
        <v>2</v>
      </c>
      <c r="NSH5080" s="34">
        <v>2.5</v>
      </c>
      <c r="NSI5080" s="34">
        <v>3</v>
      </c>
      <c r="NSJ5080" s="34">
        <v>3.5</v>
      </c>
      <c r="NSK5080" s="34">
        <v>4</v>
      </c>
      <c r="NSL5080" s="34">
        <v>4.5</v>
      </c>
      <c r="NSM5080" s="34">
        <v>5</v>
      </c>
      <c r="NSO5080" s="913"/>
      <c r="NSP5080" s="31">
        <v>1</v>
      </c>
      <c r="NSQ5080" s="34">
        <v>0</v>
      </c>
      <c r="NSR5080" s="34">
        <v>-1</v>
      </c>
      <c r="NSS5080" s="34">
        <v>-2</v>
      </c>
      <c r="NST5080" s="34">
        <v>-3</v>
      </c>
      <c r="NSU5080" s="34">
        <v>-4</v>
      </c>
      <c r="NSV5080" s="34">
        <v>-5</v>
      </c>
      <c r="NSW5080" s="908"/>
      <c r="NSX5080" s="909"/>
      <c r="NSY5080" s="34">
        <v>-5</v>
      </c>
      <c r="NSZ5080" s="34">
        <v>-4.5</v>
      </c>
      <c r="NTA5080" s="34">
        <v>-4</v>
      </c>
      <c r="NTB5080" s="34">
        <v>-3.5</v>
      </c>
      <c r="NTC5080" s="34">
        <v>-3</v>
      </c>
      <c r="NTD5080" s="34">
        <v>-2.5</v>
      </c>
      <c r="NTE5080" s="34">
        <v>-2</v>
      </c>
      <c r="NTF5080" s="34">
        <v>-1.5</v>
      </c>
      <c r="NTG5080" s="34">
        <v>-1</v>
      </c>
      <c r="NTH5080" s="34">
        <v>-0.5</v>
      </c>
      <c r="NTI5080" s="34">
        <v>0</v>
      </c>
      <c r="NTJ5080" s="34">
        <v>0.5</v>
      </c>
      <c r="NTK5080" s="34">
        <v>1</v>
      </c>
      <c r="NTL5080" s="34">
        <v>1.5</v>
      </c>
      <c r="NTM5080" s="34">
        <v>2</v>
      </c>
      <c r="NTN5080" s="34">
        <v>2.5</v>
      </c>
      <c r="NTO5080" s="34">
        <v>3</v>
      </c>
      <c r="NTP5080" s="34">
        <v>3.5</v>
      </c>
      <c r="NTQ5080" s="34">
        <v>4</v>
      </c>
      <c r="NTR5080" s="34">
        <v>4.5</v>
      </c>
      <c r="NTS5080" s="34">
        <v>5</v>
      </c>
      <c r="NTU5080" s="913"/>
      <c r="NTV5080" s="31">
        <v>1</v>
      </c>
      <c r="NTW5080" s="34">
        <v>0</v>
      </c>
      <c r="NTX5080" s="34">
        <v>-1</v>
      </c>
      <c r="NTY5080" s="34">
        <v>-2</v>
      </c>
      <c r="NTZ5080" s="34">
        <v>-3</v>
      </c>
      <c r="NUA5080" s="34">
        <v>-4</v>
      </c>
      <c r="NUB5080" s="34">
        <v>-5</v>
      </c>
      <c r="NUC5080" s="908"/>
      <c r="NUD5080" s="909"/>
      <c r="NUE5080" s="34">
        <v>-5</v>
      </c>
      <c r="NUF5080" s="34">
        <v>-4.5</v>
      </c>
      <c r="NUG5080" s="34">
        <v>-4</v>
      </c>
      <c r="NUH5080" s="34">
        <v>-3.5</v>
      </c>
      <c r="NUI5080" s="34">
        <v>-3</v>
      </c>
      <c r="NUJ5080" s="34">
        <v>-2.5</v>
      </c>
      <c r="NUK5080" s="34">
        <v>-2</v>
      </c>
      <c r="NUL5080" s="34">
        <v>-1.5</v>
      </c>
      <c r="NUM5080" s="34">
        <v>-1</v>
      </c>
      <c r="NUN5080" s="34">
        <v>-0.5</v>
      </c>
      <c r="NUO5080" s="34">
        <v>0</v>
      </c>
      <c r="NUP5080" s="34">
        <v>0.5</v>
      </c>
      <c r="NUQ5080" s="34">
        <v>1</v>
      </c>
      <c r="NUR5080" s="34">
        <v>1.5</v>
      </c>
      <c r="NUS5080" s="34">
        <v>2</v>
      </c>
      <c r="NUT5080" s="34">
        <v>2.5</v>
      </c>
      <c r="NUU5080" s="34">
        <v>3</v>
      </c>
      <c r="NUV5080" s="34">
        <v>3.5</v>
      </c>
      <c r="NUW5080" s="34">
        <v>4</v>
      </c>
      <c r="NUX5080" s="34">
        <v>4.5</v>
      </c>
      <c r="NUY5080" s="34">
        <v>5</v>
      </c>
      <c r="NVA5080" s="913"/>
      <c r="NVB5080" s="31">
        <v>1</v>
      </c>
      <c r="NVC5080" s="34">
        <v>0</v>
      </c>
      <c r="NVD5080" s="34">
        <v>-1</v>
      </c>
      <c r="NVE5080" s="34">
        <v>-2</v>
      </c>
      <c r="NVF5080" s="34">
        <v>-3</v>
      </c>
      <c r="NVG5080" s="34">
        <v>-4</v>
      </c>
      <c r="NVH5080" s="34">
        <v>-5</v>
      </c>
      <c r="NVI5080" s="908"/>
      <c r="NVJ5080" s="909"/>
      <c r="NVK5080" s="34">
        <v>-5</v>
      </c>
      <c r="NVL5080" s="34">
        <v>-4.5</v>
      </c>
      <c r="NVM5080" s="34">
        <v>-4</v>
      </c>
      <c r="NVN5080" s="34">
        <v>-3.5</v>
      </c>
      <c r="NVO5080" s="34">
        <v>-3</v>
      </c>
      <c r="NVP5080" s="34">
        <v>-2.5</v>
      </c>
      <c r="NVQ5080" s="34">
        <v>-2</v>
      </c>
      <c r="NVR5080" s="34">
        <v>-1.5</v>
      </c>
      <c r="NVS5080" s="34">
        <v>-1</v>
      </c>
      <c r="NVT5080" s="34">
        <v>-0.5</v>
      </c>
      <c r="NVU5080" s="34">
        <v>0</v>
      </c>
      <c r="NVV5080" s="34">
        <v>0.5</v>
      </c>
      <c r="NVW5080" s="34">
        <v>1</v>
      </c>
      <c r="NVX5080" s="34">
        <v>1.5</v>
      </c>
      <c r="NVY5080" s="34">
        <v>2</v>
      </c>
      <c r="NVZ5080" s="34">
        <v>2.5</v>
      </c>
      <c r="NWA5080" s="34">
        <v>3</v>
      </c>
      <c r="NWB5080" s="34">
        <v>3.5</v>
      </c>
      <c r="NWC5080" s="34">
        <v>4</v>
      </c>
      <c r="NWD5080" s="34">
        <v>4.5</v>
      </c>
      <c r="NWE5080" s="34">
        <v>5</v>
      </c>
      <c r="NWG5080" s="913"/>
      <c r="NWH5080" s="31">
        <v>1</v>
      </c>
      <c r="NWI5080" s="34">
        <v>0</v>
      </c>
      <c r="NWJ5080" s="34">
        <v>-1</v>
      </c>
      <c r="NWK5080" s="34">
        <v>-2</v>
      </c>
      <c r="NWL5080" s="34">
        <v>-3</v>
      </c>
      <c r="NWM5080" s="34">
        <v>-4</v>
      </c>
      <c r="NWN5080" s="34">
        <v>-5</v>
      </c>
      <c r="NWO5080" s="908"/>
      <c r="NWP5080" s="909"/>
      <c r="NWQ5080" s="34">
        <v>-5</v>
      </c>
      <c r="NWR5080" s="34">
        <v>-4.5</v>
      </c>
      <c r="NWS5080" s="34">
        <v>-4</v>
      </c>
      <c r="NWT5080" s="34">
        <v>-3.5</v>
      </c>
      <c r="NWU5080" s="34">
        <v>-3</v>
      </c>
      <c r="NWV5080" s="34">
        <v>-2.5</v>
      </c>
      <c r="NWW5080" s="34">
        <v>-2</v>
      </c>
      <c r="NWX5080" s="34">
        <v>-1.5</v>
      </c>
      <c r="NWY5080" s="34">
        <v>-1</v>
      </c>
      <c r="NWZ5080" s="34">
        <v>-0.5</v>
      </c>
      <c r="NXA5080" s="34">
        <v>0</v>
      </c>
      <c r="NXB5080" s="34">
        <v>0.5</v>
      </c>
      <c r="NXC5080" s="34">
        <v>1</v>
      </c>
      <c r="NXD5080" s="34">
        <v>1.5</v>
      </c>
      <c r="NXE5080" s="34">
        <v>2</v>
      </c>
      <c r="NXF5080" s="34">
        <v>2.5</v>
      </c>
      <c r="NXG5080" s="34">
        <v>3</v>
      </c>
      <c r="NXH5080" s="34">
        <v>3.5</v>
      </c>
      <c r="NXI5080" s="34">
        <v>4</v>
      </c>
      <c r="NXJ5080" s="34">
        <v>4.5</v>
      </c>
      <c r="NXK5080" s="34">
        <v>5</v>
      </c>
      <c r="NXM5080" s="913"/>
      <c r="NXN5080" s="31">
        <v>1</v>
      </c>
      <c r="NXO5080" s="34">
        <v>0</v>
      </c>
      <c r="NXP5080" s="34">
        <v>-1</v>
      </c>
      <c r="NXQ5080" s="34">
        <v>-2</v>
      </c>
      <c r="NXR5080" s="34">
        <v>-3</v>
      </c>
      <c r="NXS5080" s="34">
        <v>-4</v>
      </c>
      <c r="NXT5080" s="34">
        <v>-5</v>
      </c>
      <c r="NXU5080" s="908"/>
      <c r="NXV5080" s="909"/>
      <c r="NXW5080" s="34">
        <v>-5</v>
      </c>
      <c r="NXX5080" s="34">
        <v>-4.5</v>
      </c>
      <c r="NXY5080" s="34">
        <v>-4</v>
      </c>
      <c r="NXZ5080" s="34">
        <v>-3.5</v>
      </c>
      <c r="NYA5080" s="34">
        <v>-3</v>
      </c>
      <c r="NYB5080" s="34">
        <v>-2.5</v>
      </c>
      <c r="NYC5080" s="34">
        <v>-2</v>
      </c>
      <c r="NYD5080" s="34">
        <v>-1.5</v>
      </c>
      <c r="NYE5080" s="34">
        <v>-1</v>
      </c>
      <c r="NYF5080" s="34">
        <v>-0.5</v>
      </c>
      <c r="NYG5080" s="34">
        <v>0</v>
      </c>
      <c r="NYH5080" s="34">
        <v>0.5</v>
      </c>
      <c r="NYI5080" s="34">
        <v>1</v>
      </c>
      <c r="NYJ5080" s="34">
        <v>1.5</v>
      </c>
      <c r="NYK5080" s="34">
        <v>2</v>
      </c>
      <c r="NYL5080" s="34">
        <v>2.5</v>
      </c>
      <c r="NYM5080" s="34">
        <v>3</v>
      </c>
      <c r="NYN5080" s="34">
        <v>3.5</v>
      </c>
      <c r="NYO5080" s="34">
        <v>4</v>
      </c>
      <c r="NYP5080" s="34">
        <v>4.5</v>
      </c>
      <c r="NYQ5080" s="34">
        <v>5</v>
      </c>
      <c r="NYS5080" s="913"/>
      <c r="NYT5080" s="31">
        <v>1</v>
      </c>
      <c r="NYU5080" s="34">
        <v>0</v>
      </c>
      <c r="NYV5080" s="34">
        <v>-1</v>
      </c>
      <c r="NYW5080" s="34">
        <v>-2</v>
      </c>
      <c r="NYX5080" s="34">
        <v>-3</v>
      </c>
      <c r="NYY5080" s="34">
        <v>-4</v>
      </c>
      <c r="NYZ5080" s="34">
        <v>-5</v>
      </c>
      <c r="NZA5080" s="908"/>
      <c r="NZB5080" s="909"/>
      <c r="NZC5080" s="34">
        <v>-5</v>
      </c>
      <c r="NZD5080" s="34">
        <v>-4.5</v>
      </c>
      <c r="NZE5080" s="34">
        <v>-4</v>
      </c>
      <c r="NZF5080" s="34">
        <v>-3.5</v>
      </c>
      <c r="NZG5080" s="34">
        <v>-3</v>
      </c>
      <c r="NZH5080" s="34">
        <v>-2.5</v>
      </c>
      <c r="NZI5080" s="34">
        <v>-2</v>
      </c>
      <c r="NZJ5080" s="34">
        <v>-1.5</v>
      </c>
      <c r="NZK5080" s="34">
        <v>-1</v>
      </c>
      <c r="NZL5080" s="34">
        <v>-0.5</v>
      </c>
      <c r="NZM5080" s="34">
        <v>0</v>
      </c>
      <c r="NZN5080" s="34">
        <v>0.5</v>
      </c>
      <c r="NZO5080" s="34">
        <v>1</v>
      </c>
      <c r="NZP5080" s="34">
        <v>1.5</v>
      </c>
      <c r="NZQ5080" s="34">
        <v>2</v>
      </c>
      <c r="NZR5080" s="34">
        <v>2.5</v>
      </c>
      <c r="NZS5080" s="34">
        <v>3</v>
      </c>
      <c r="NZT5080" s="34">
        <v>3.5</v>
      </c>
      <c r="NZU5080" s="34">
        <v>4</v>
      </c>
      <c r="NZV5080" s="34">
        <v>4.5</v>
      </c>
      <c r="NZW5080" s="34">
        <v>5</v>
      </c>
      <c r="NZY5080" s="913"/>
      <c r="NZZ5080" s="31">
        <v>1</v>
      </c>
      <c r="OAA5080" s="34">
        <v>0</v>
      </c>
      <c r="OAB5080" s="34">
        <v>-1</v>
      </c>
      <c r="OAC5080" s="34">
        <v>-2</v>
      </c>
      <c r="OAD5080" s="34">
        <v>-3</v>
      </c>
      <c r="OAE5080" s="34">
        <v>-4</v>
      </c>
      <c r="OAF5080" s="34">
        <v>-5</v>
      </c>
      <c r="OAG5080" s="908"/>
      <c r="OAH5080" s="909"/>
      <c r="OAI5080" s="34">
        <v>-5</v>
      </c>
      <c r="OAJ5080" s="34">
        <v>-4.5</v>
      </c>
      <c r="OAK5080" s="34">
        <v>-4</v>
      </c>
      <c r="OAL5080" s="34">
        <v>-3.5</v>
      </c>
      <c r="OAM5080" s="34">
        <v>-3</v>
      </c>
      <c r="OAN5080" s="34">
        <v>-2.5</v>
      </c>
      <c r="OAO5080" s="34">
        <v>-2</v>
      </c>
      <c r="OAP5080" s="34">
        <v>-1.5</v>
      </c>
      <c r="OAQ5080" s="34">
        <v>-1</v>
      </c>
      <c r="OAR5080" s="34">
        <v>-0.5</v>
      </c>
      <c r="OAS5080" s="34">
        <v>0</v>
      </c>
      <c r="OAT5080" s="34">
        <v>0.5</v>
      </c>
      <c r="OAU5080" s="34">
        <v>1</v>
      </c>
      <c r="OAV5080" s="34">
        <v>1.5</v>
      </c>
      <c r="OAW5080" s="34">
        <v>2</v>
      </c>
      <c r="OAX5080" s="34">
        <v>2.5</v>
      </c>
      <c r="OAY5080" s="34">
        <v>3</v>
      </c>
      <c r="OAZ5080" s="34">
        <v>3.5</v>
      </c>
      <c r="OBA5080" s="34">
        <v>4</v>
      </c>
      <c r="OBB5080" s="34">
        <v>4.5</v>
      </c>
      <c r="OBC5080" s="34">
        <v>5</v>
      </c>
      <c r="OBE5080" s="913"/>
      <c r="OBF5080" s="31">
        <v>1</v>
      </c>
      <c r="OBG5080" s="34">
        <v>0</v>
      </c>
      <c r="OBH5080" s="34">
        <v>-1</v>
      </c>
      <c r="OBI5080" s="34">
        <v>-2</v>
      </c>
      <c r="OBJ5080" s="34">
        <v>-3</v>
      </c>
      <c r="OBK5080" s="34">
        <v>-4</v>
      </c>
      <c r="OBL5080" s="34">
        <v>-5</v>
      </c>
      <c r="OBM5080" s="908"/>
      <c r="OBN5080" s="909"/>
      <c r="OBO5080" s="34">
        <v>-5</v>
      </c>
      <c r="OBP5080" s="34">
        <v>-4.5</v>
      </c>
      <c r="OBQ5080" s="34">
        <v>-4</v>
      </c>
      <c r="OBR5080" s="34">
        <v>-3.5</v>
      </c>
      <c r="OBS5080" s="34">
        <v>-3</v>
      </c>
      <c r="OBT5080" s="34">
        <v>-2.5</v>
      </c>
      <c r="OBU5080" s="34">
        <v>-2</v>
      </c>
      <c r="OBV5080" s="34">
        <v>-1.5</v>
      </c>
      <c r="OBW5080" s="34">
        <v>-1</v>
      </c>
      <c r="OBX5080" s="34">
        <v>-0.5</v>
      </c>
      <c r="OBY5080" s="34">
        <v>0</v>
      </c>
      <c r="OBZ5080" s="34">
        <v>0.5</v>
      </c>
      <c r="OCA5080" s="34">
        <v>1</v>
      </c>
      <c r="OCB5080" s="34">
        <v>1.5</v>
      </c>
      <c r="OCC5080" s="34">
        <v>2</v>
      </c>
      <c r="OCD5080" s="34">
        <v>2.5</v>
      </c>
      <c r="OCE5080" s="34">
        <v>3</v>
      </c>
      <c r="OCF5080" s="34">
        <v>3.5</v>
      </c>
      <c r="OCG5080" s="34">
        <v>4</v>
      </c>
      <c r="OCH5080" s="34">
        <v>4.5</v>
      </c>
      <c r="OCI5080" s="34">
        <v>5</v>
      </c>
      <c r="OCK5080" s="913"/>
      <c r="OCL5080" s="31">
        <v>1</v>
      </c>
      <c r="OCM5080" s="34">
        <v>0</v>
      </c>
      <c r="OCN5080" s="34">
        <v>-1</v>
      </c>
      <c r="OCO5080" s="34">
        <v>-2</v>
      </c>
      <c r="OCP5080" s="34">
        <v>-3</v>
      </c>
      <c r="OCQ5080" s="34">
        <v>-4</v>
      </c>
      <c r="OCR5080" s="34">
        <v>-5</v>
      </c>
      <c r="OCS5080" s="908"/>
      <c r="OCT5080" s="909"/>
      <c r="OCU5080" s="34">
        <v>-5</v>
      </c>
      <c r="OCV5080" s="34">
        <v>-4.5</v>
      </c>
      <c r="OCW5080" s="34">
        <v>-4</v>
      </c>
      <c r="OCX5080" s="34">
        <v>-3.5</v>
      </c>
      <c r="OCY5080" s="34">
        <v>-3</v>
      </c>
      <c r="OCZ5080" s="34">
        <v>-2.5</v>
      </c>
      <c r="ODA5080" s="34">
        <v>-2</v>
      </c>
      <c r="ODB5080" s="34">
        <v>-1.5</v>
      </c>
      <c r="ODC5080" s="34">
        <v>-1</v>
      </c>
      <c r="ODD5080" s="34">
        <v>-0.5</v>
      </c>
      <c r="ODE5080" s="34">
        <v>0</v>
      </c>
      <c r="ODF5080" s="34">
        <v>0.5</v>
      </c>
      <c r="ODG5080" s="34">
        <v>1</v>
      </c>
      <c r="ODH5080" s="34">
        <v>1.5</v>
      </c>
      <c r="ODI5080" s="34">
        <v>2</v>
      </c>
      <c r="ODJ5080" s="34">
        <v>2.5</v>
      </c>
      <c r="ODK5080" s="34">
        <v>3</v>
      </c>
      <c r="ODL5080" s="34">
        <v>3.5</v>
      </c>
      <c r="ODM5080" s="34">
        <v>4</v>
      </c>
      <c r="ODN5080" s="34">
        <v>4.5</v>
      </c>
      <c r="ODO5080" s="34">
        <v>5</v>
      </c>
      <c r="ODQ5080" s="913"/>
      <c r="ODR5080" s="31">
        <v>1</v>
      </c>
      <c r="ODS5080" s="34">
        <v>0</v>
      </c>
      <c r="ODT5080" s="34">
        <v>-1</v>
      </c>
      <c r="ODU5080" s="34">
        <v>-2</v>
      </c>
      <c r="ODV5080" s="34">
        <v>-3</v>
      </c>
      <c r="ODW5080" s="34">
        <v>-4</v>
      </c>
      <c r="ODX5080" s="34">
        <v>-5</v>
      </c>
      <c r="ODY5080" s="908"/>
      <c r="ODZ5080" s="909"/>
      <c r="OEA5080" s="34">
        <v>-5</v>
      </c>
      <c r="OEB5080" s="34">
        <v>-4.5</v>
      </c>
      <c r="OEC5080" s="34">
        <v>-4</v>
      </c>
      <c r="OED5080" s="34">
        <v>-3.5</v>
      </c>
      <c r="OEE5080" s="34">
        <v>-3</v>
      </c>
      <c r="OEF5080" s="34">
        <v>-2.5</v>
      </c>
      <c r="OEG5080" s="34">
        <v>-2</v>
      </c>
      <c r="OEH5080" s="34">
        <v>-1.5</v>
      </c>
      <c r="OEI5080" s="34">
        <v>-1</v>
      </c>
      <c r="OEJ5080" s="34">
        <v>-0.5</v>
      </c>
      <c r="OEK5080" s="34">
        <v>0</v>
      </c>
      <c r="OEL5080" s="34">
        <v>0.5</v>
      </c>
      <c r="OEM5080" s="34">
        <v>1</v>
      </c>
      <c r="OEN5080" s="34">
        <v>1.5</v>
      </c>
      <c r="OEO5080" s="34">
        <v>2</v>
      </c>
      <c r="OEP5080" s="34">
        <v>2.5</v>
      </c>
      <c r="OEQ5080" s="34">
        <v>3</v>
      </c>
      <c r="OER5080" s="34">
        <v>3.5</v>
      </c>
      <c r="OES5080" s="34">
        <v>4</v>
      </c>
      <c r="OET5080" s="34">
        <v>4.5</v>
      </c>
      <c r="OEU5080" s="34">
        <v>5</v>
      </c>
      <c r="OEW5080" s="913"/>
      <c r="OEX5080" s="31">
        <v>1</v>
      </c>
      <c r="OEY5080" s="34">
        <v>0</v>
      </c>
      <c r="OEZ5080" s="34">
        <v>-1</v>
      </c>
      <c r="OFA5080" s="34">
        <v>-2</v>
      </c>
      <c r="OFB5080" s="34">
        <v>-3</v>
      </c>
      <c r="OFC5080" s="34">
        <v>-4</v>
      </c>
      <c r="OFD5080" s="34">
        <v>-5</v>
      </c>
      <c r="OFE5080" s="908"/>
      <c r="OFF5080" s="909"/>
      <c r="OFG5080" s="34">
        <v>-5</v>
      </c>
      <c r="OFH5080" s="34">
        <v>-4.5</v>
      </c>
      <c r="OFI5080" s="34">
        <v>-4</v>
      </c>
      <c r="OFJ5080" s="34">
        <v>-3.5</v>
      </c>
      <c r="OFK5080" s="34">
        <v>-3</v>
      </c>
      <c r="OFL5080" s="34">
        <v>-2.5</v>
      </c>
      <c r="OFM5080" s="34">
        <v>-2</v>
      </c>
      <c r="OFN5080" s="34">
        <v>-1.5</v>
      </c>
      <c r="OFO5080" s="34">
        <v>-1</v>
      </c>
      <c r="OFP5080" s="34">
        <v>-0.5</v>
      </c>
      <c r="OFQ5080" s="34">
        <v>0</v>
      </c>
      <c r="OFR5080" s="34">
        <v>0.5</v>
      </c>
      <c r="OFS5080" s="34">
        <v>1</v>
      </c>
      <c r="OFT5080" s="34">
        <v>1.5</v>
      </c>
      <c r="OFU5080" s="34">
        <v>2</v>
      </c>
      <c r="OFV5080" s="34">
        <v>2.5</v>
      </c>
      <c r="OFW5080" s="34">
        <v>3</v>
      </c>
      <c r="OFX5080" s="34">
        <v>3.5</v>
      </c>
      <c r="OFY5080" s="34">
        <v>4</v>
      </c>
      <c r="OFZ5080" s="34">
        <v>4.5</v>
      </c>
      <c r="OGA5080" s="34">
        <v>5</v>
      </c>
      <c r="OGC5080" s="913"/>
      <c r="OGD5080" s="31">
        <v>1</v>
      </c>
      <c r="OGE5080" s="34">
        <v>0</v>
      </c>
      <c r="OGF5080" s="34">
        <v>-1</v>
      </c>
      <c r="OGG5080" s="34">
        <v>-2</v>
      </c>
      <c r="OGH5080" s="34">
        <v>-3</v>
      </c>
      <c r="OGI5080" s="34">
        <v>-4</v>
      </c>
      <c r="OGJ5080" s="34">
        <v>-5</v>
      </c>
      <c r="OGK5080" s="908"/>
      <c r="OGL5080" s="909"/>
      <c r="OGM5080" s="34">
        <v>-5</v>
      </c>
      <c r="OGN5080" s="34">
        <v>-4.5</v>
      </c>
      <c r="OGO5080" s="34">
        <v>-4</v>
      </c>
      <c r="OGP5080" s="34">
        <v>-3.5</v>
      </c>
      <c r="OGQ5080" s="34">
        <v>-3</v>
      </c>
      <c r="OGR5080" s="34">
        <v>-2.5</v>
      </c>
      <c r="OGS5080" s="34">
        <v>-2</v>
      </c>
      <c r="OGT5080" s="34">
        <v>-1.5</v>
      </c>
      <c r="OGU5080" s="34">
        <v>-1</v>
      </c>
      <c r="OGV5080" s="34">
        <v>-0.5</v>
      </c>
      <c r="OGW5080" s="34">
        <v>0</v>
      </c>
      <c r="OGX5080" s="34">
        <v>0.5</v>
      </c>
      <c r="OGY5080" s="34">
        <v>1</v>
      </c>
      <c r="OGZ5080" s="34">
        <v>1.5</v>
      </c>
      <c r="OHA5080" s="34">
        <v>2</v>
      </c>
      <c r="OHB5080" s="34">
        <v>2.5</v>
      </c>
      <c r="OHC5080" s="34">
        <v>3</v>
      </c>
      <c r="OHD5080" s="34">
        <v>3.5</v>
      </c>
      <c r="OHE5080" s="34">
        <v>4</v>
      </c>
      <c r="OHF5080" s="34">
        <v>4.5</v>
      </c>
      <c r="OHG5080" s="34">
        <v>5</v>
      </c>
      <c r="OHI5080" s="913"/>
      <c r="OHJ5080" s="31">
        <v>1</v>
      </c>
      <c r="OHK5080" s="34">
        <v>0</v>
      </c>
      <c r="OHL5080" s="34">
        <v>-1</v>
      </c>
      <c r="OHM5080" s="34">
        <v>-2</v>
      </c>
      <c r="OHN5080" s="34">
        <v>-3</v>
      </c>
      <c r="OHO5080" s="34">
        <v>-4</v>
      </c>
      <c r="OHP5080" s="34">
        <v>-5</v>
      </c>
      <c r="OHQ5080" s="908"/>
      <c r="OHR5080" s="909"/>
      <c r="OHS5080" s="34">
        <v>-5</v>
      </c>
      <c r="OHT5080" s="34">
        <v>-4.5</v>
      </c>
      <c r="OHU5080" s="34">
        <v>-4</v>
      </c>
      <c r="OHV5080" s="34">
        <v>-3.5</v>
      </c>
      <c r="OHW5080" s="34">
        <v>-3</v>
      </c>
      <c r="OHX5080" s="34">
        <v>-2.5</v>
      </c>
      <c r="OHY5080" s="34">
        <v>-2</v>
      </c>
      <c r="OHZ5080" s="34">
        <v>-1.5</v>
      </c>
      <c r="OIA5080" s="34">
        <v>-1</v>
      </c>
      <c r="OIB5080" s="34">
        <v>-0.5</v>
      </c>
      <c r="OIC5080" s="34">
        <v>0</v>
      </c>
      <c r="OID5080" s="34">
        <v>0.5</v>
      </c>
      <c r="OIE5080" s="34">
        <v>1</v>
      </c>
      <c r="OIF5080" s="34">
        <v>1.5</v>
      </c>
      <c r="OIG5080" s="34">
        <v>2</v>
      </c>
      <c r="OIH5080" s="34">
        <v>2.5</v>
      </c>
      <c r="OII5080" s="34">
        <v>3</v>
      </c>
      <c r="OIJ5080" s="34">
        <v>3.5</v>
      </c>
      <c r="OIK5080" s="34">
        <v>4</v>
      </c>
      <c r="OIL5080" s="34">
        <v>4.5</v>
      </c>
      <c r="OIM5080" s="34">
        <v>5</v>
      </c>
      <c r="OIO5080" s="913"/>
      <c r="OIP5080" s="31">
        <v>1</v>
      </c>
      <c r="OIQ5080" s="34">
        <v>0</v>
      </c>
      <c r="OIR5080" s="34">
        <v>-1</v>
      </c>
      <c r="OIS5080" s="34">
        <v>-2</v>
      </c>
      <c r="OIT5080" s="34">
        <v>-3</v>
      </c>
      <c r="OIU5080" s="34">
        <v>-4</v>
      </c>
      <c r="OIV5080" s="34">
        <v>-5</v>
      </c>
      <c r="OIW5080" s="908"/>
      <c r="OIX5080" s="909"/>
      <c r="OIY5080" s="34">
        <v>-5</v>
      </c>
      <c r="OIZ5080" s="34">
        <v>-4.5</v>
      </c>
      <c r="OJA5080" s="34">
        <v>-4</v>
      </c>
      <c r="OJB5080" s="34">
        <v>-3.5</v>
      </c>
      <c r="OJC5080" s="34">
        <v>-3</v>
      </c>
      <c r="OJD5080" s="34">
        <v>-2.5</v>
      </c>
      <c r="OJE5080" s="34">
        <v>-2</v>
      </c>
      <c r="OJF5080" s="34">
        <v>-1.5</v>
      </c>
      <c r="OJG5080" s="34">
        <v>-1</v>
      </c>
      <c r="OJH5080" s="34">
        <v>-0.5</v>
      </c>
      <c r="OJI5080" s="34">
        <v>0</v>
      </c>
      <c r="OJJ5080" s="34">
        <v>0.5</v>
      </c>
      <c r="OJK5080" s="34">
        <v>1</v>
      </c>
      <c r="OJL5080" s="34">
        <v>1.5</v>
      </c>
      <c r="OJM5080" s="34">
        <v>2</v>
      </c>
      <c r="OJN5080" s="34">
        <v>2.5</v>
      </c>
      <c r="OJO5080" s="34">
        <v>3</v>
      </c>
      <c r="OJP5080" s="34">
        <v>3.5</v>
      </c>
      <c r="OJQ5080" s="34">
        <v>4</v>
      </c>
      <c r="OJR5080" s="34">
        <v>4.5</v>
      </c>
      <c r="OJS5080" s="34">
        <v>5</v>
      </c>
      <c r="OJU5080" s="913"/>
      <c r="OJV5080" s="31">
        <v>1</v>
      </c>
      <c r="OJW5080" s="34">
        <v>0</v>
      </c>
      <c r="OJX5080" s="34">
        <v>-1</v>
      </c>
      <c r="OJY5080" s="34">
        <v>-2</v>
      </c>
      <c r="OJZ5080" s="34">
        <v>-3</v>
      </c>
      <c r="OKA5080" s="34">
        <v>-4</v>
      </c>
      <c r="OKB5080" s="34">
        <v>-5</v>
      </c>
      <c r="OKC5080" s="908"/>
      <c r="OKD5080" s="909"/>
      <c r="OKE5080" s="34">
        <v>-5</v>
      </c>
      <c r="OKF5080" s="34">
        <v>-4.5</v>
      </c>
      <c r="OKG5080" s="34">
        <v>-4</v>
      </c>
      <c r="OKH5080" s="34">
        <v>-3.5</v>
      </c>
      <c r="OKI5080" s="34">
        <v>-3</v>
      </c>
      <c r="OKJ5080" s="34">
        <v>-2.5</v>
      </c>
      <c r="OKK5080" s="34">
        <v>-2</v>
      </c>
      <c r="OKL5080" s="34">
        <v>-1.5</v>
      </c>
      <c r="OKM5080" s="34">
        <v>-1</v>
      </c>
      <c r="OKN5080" s="34">
        <v>-0.5</v>
      </c>
      <c r="OKO5080" s="34">
        <v>0</v>
      </c>
      <c r="OKP5080" s="34">
        <v>0.5</v>
      </c>
      <c r="OKQ5080" s="34">
        <v>1</v>
      </c>
      <c r="OKR5080" s="34">
        <v>1.5</v>
      </c>
      <c r="OKS5080" s="34">
        <v>2</v>
      </c>
      <c r="OKT5080" s="34">
        <v>2.5</v>
      </c>
      <c r="OKU5080" s="34">
        <v>3</v>
      </c>
      <c r="OKV5080" s="34">
        <v>3.5</v>
      </c>
      <c r="OKW5080" s="34">
        <v>4</v>
      </c>
      <c r="OKX5080" s="34">
        <v>4.5</v>
      </c>
      <c r="OKY5080" s="34">
        <v>5</v>
      </c>
      <c r="OLA5080" s="913"/>
      <c r="OLB5080" s="31">
        <v>1</v>
      </c>
      <c r="OLC5080" s="34">
        <v>0</v>
      </c>
      <c r="OLD5080" s="34">
        <v>-1</v>
      </c>
      <c r="OLE5080" s="34">
        <v>-2</v>
      </c>
      <c r="OLF5080" s="34">
        <v>-3</v>
      </c>
      <c r="OLG5080" s="34">
        <v>-4</v>
      </c>
      <c r="OLH5080" s="34">
        <v>-5</v>
      </c>
      <c r="OLI5080" s="908"/>
      <c r="OLJ5080" s="909"/>
      <c r="OLK5080" s="34">
        <v>-5</v>
      </c>
      <c r="OLL5080" s="34">
        <v>-4.5</v>
      </c>
      <c r="OLM5080" s="34">
        <v>-4</v>
      </c>
      <c r="OLN5080" s="34">
        <v>-3.5</v>
      </c>
      <c r="OLO5080" s="34">
        <v>-3</v>
      </c>
      <c r="OLP5080" s="34">
        <v>-2.5</v>
      </c>
      <c r="OLQ5080" s="34">
        <v>-2</v>
      </c>
      <c r="OLR5080" s="34">
        <v>-1.5</v>
      </c>
      <c r="OLS5080" s="34">
        <v>-1</v>
      </c>
      <c r="OLT5080" s="34">
        <v>-0.5</v>
      </c>
      <c r="OLU5080" s="34">
        <v>0</v>
      </c>
      <c r="OLV5080" s="34">
        <v>0.5</v>
      </c>
      <c r="OLW5080" s="34">
        <v>1</v>
      </c>
      <c r="OLX5080" s="34">
        <v>1.5</v>
      </c>
      <c r="OLY5080" s="34">
        <v>2</v>
      </c>
      <c r="OLZ5080" s="34">
        <v>2.5</v>
      </c>
      <c r="OMA5080" s="34">
        <v>3</v>
      </c>
      <c r="OMB5080" s="34">
        <v>3.5</v>
      </c>
      <c r="OMC5080" s="34">
        <v>4</v>
      </c>
      <c r="OMD5080" s="34">
        <v>4.5</v>
      </c>
      <c r="OME5080" s="34">
        <v>5</v>
      </c>
      <c r="OMG5080" s="913"/>
      <c r="OMH5080" s="31">
        <v>1</v>
      </c>
      <c r="OMI5080" s="34">
        <v>0</v>
      </c>
      <c r="OMJ5080" s="34">
        <v>-1</v>
      </c>
      <c r="OMK5080" s="34">
        <v>-2</v>
      </c>
      <c r="OML5080" s="34">
        <v>-3</v>
      </c>
      <c r="OMM5080" s="34">
        <v>-4</v>
      </c>
      <c r="OMN5080" s="34">
        <v>-5</v>
      </c>
      <c r="OMO5080" s="908"/>
      <c r="OMP5080" s="909"/>
      <c r="OMQ5080" s="34">
        <v>-5</v>
      </c>
      <c r="OMR5080" s="34">
        <v>-4.5</v>
      </c>
      <c r="OMS5080" s="34">
        <v>-4</v>
      </c>
      <c r="OMT5080" s="34">
        <v>-3.5</v>
      </c>
      <c r="OMU5080" s="34">
        <v>-3</v>
      </c>
      <c r="OMV5080" s="34">
        <v>-2.5</v>
      </c>
      <c r="OMW5080" s="34">
        <v>-2</v>
      </c>
      <c r="OMX5080" s="34">
        <v>-1.5</v>
      </c>
      <c r="OMY5080" s="34">
        <v>-1</v>
      </c>
      <c r="OMZ5080" s="34">
        <v>-0.5</v>
      </c>
      <c r="ONA5080" s="34">
        <v>0</v>
      </c>
      <c r="ONB5080" s="34">
        <v>0.5</v>
      </c>
      <c r="ONC5080" s="34">
        <v>1</v>
      </c>
      <c r="OND5080" s="34">
        <v>1.5</v>
      </c>
      <c r="ONE5080" s="34">
        <v>2</v>
      </c>
      <c r="ONF5080" s="34">
        <v>2.5</v>
      </c>
      <c r="ONG5080" s="34">
        <v>3</v>
      </c>
      <c r="ONH5080" s="34">
        <v>3.5</v>
      </c>
      <c r="ONI5080" s="34">
        <v>4</v>
      </c>
      <c r="ONJ5080" s="34">
        <v>4.5</v>
      </c>
      <c r="ONK5080" s="34">
        <v>5</v>
      </c>
      <c r="ONM5080" s="913"/>
      <c r="ONN5080" s="31">
        <v>1</v>
      </c>
      <c r="ONO5080" s="34">
        <v>0</v>
      </c>
      <c r="ONP5080" s="34">
        <v>-1</v>
      </c>
      <c r="ONQ5080" s="34">
        <v>-2</v>
      </c>
      <c r="ONR5080" s="34">
        <v>-3</v>
      </c>
      <c r="ONS5080" s="34">
        <v>-4</v>
      </c>
      <c r="ONT5080" s="34">
        <v>-5</v>
      </c>
      <c r="ONU5080" s="908"/>
      <c r="ONV5080" s="909"/>
      <c r="ONW5080" s="34">
        <v>-5</v>
      </c>
      <c r="ONX5080" s="34">
        <v>-4.5</v>
      </c>
      <c r="ONY5080" s="34">
        <v>-4</v>
      </c>
      <c r="ONZ5080" s="34">
        <v>-3.5</v>
      </c>
      <c r="OOA5080" s="34">
        <v>-3</v>
      </c>
      <c r="OOB5080" s="34">
        <v>-2.5</v>
      </c>
      <c r="OOC5080" s="34">
        <v>-2</v>
      </c>
      <c r="OOD5080" s="34">
        <v>-1.5</v>
      </c>
      <c r="OOE5080" s="34">
        <v>-1</v>
      </c>
      <c r="OOF5080" s="34">
        <v>-0.5</v>
      </c>
      <c r="OOG5080" s="34">
        <v>0</v>
      </c>
      <c r="OOH5080" s="34">
        <v>0.5</v>
      </c>
      <c r="OOI5080" s="34">
        <v>1</v>
      </c>
      <c r="OOJ5080" s="34">
        <v>1.5</v>
      </c>
      <c r="OOK5080" s="34">
        <v>2</v>
      </c>
      <c r="OOL5080" s="34">
        <v>2.5</v>
      </c>
      <c r="OOM5080" s="34">
        <v>3</v>
      </c>
      <c r="OON5080" s="34">
        <v>3.5</v>
      </c>
      <c r="OOO5080" s="34">
        <v>4</v>
      </c>
      <c r="OOP5080" s="34">
        <v>4.5</v>
      </c>
      <c r="OOQ5080" s="34">
        <v>5</v>
      </c>
      <c r="OOS5080" s="913"/>
      <c r="OOT5080" s="31">
        <v>1</v>
      </c>
      <c r="OOU5080" s="34">
        <v>0</v>
      </c>
      <c r="OOV5080" s="34">
        <v>-1</v>
      </c>
      <c r="OOW5080" s="34">
        <v>-2</v>
      </c>
      <c r="OOX5080" s="34">
        <v>-3</v>
      </c>
      <c r="OOY5080" s="34">
        <v>-4</v>
      </c>
      <c r="OOZ5080" s="34">
        <v>-5</v>
      </c>
      <c r="OPA5080" s="908"/>
      <c r="OPB5080" s="909"/>
      <c r="OPC5080" s="34">
        <v>-5</v>
      </c>
      <c r="OPD5080" s="34">
        <v>-4.5</v>
      </c>
      <c r="OPE5080" s="34">
        <v>-4</v>
      </c>
      <c r="OPF5080" s="34">
        <v>-3.5</v>
      </c>
      <c r="OPG5080" s="34">
        <v>-3</v>
      </c>
      <c r="OPH5080" s="34">
        <v>-2.5</v>
      </c>
      <c r="OPI5080" s="34">
        <v>-2</v>
      </c>
      <c r="OPJ5080" s="34">
        <v>-1.5</v>
      </c>
      <c r="OPK5080" s="34">
        <v>-1</v>
      </c>
      <c r="OPL5080" s="34">
        <v>-0.5</v>
      </c>
      <c r="OPM5080" s="34">
        <v>0</v>
      </c>
      <c r="OPN5080" s="34">
        <v>0.5</v>
      </c>
      <c r="OPO5080" s="34">
        <v>1</v>
      </c>
      <c r="OPP5080" s="34">
        <v>1.5</v>
      </c>
      <c r="OPQ5080" s="34">
        <v>2</v>
      </c>
      <c r="OPR5080" s="34">
        <v>2.5</v>
      </c>
      <c r="OPS5080" s="34">
        <v>3</v>
      </c>
      <c r="OPT5080" s="34">
        <v>3.5</v>
      </c>
      <c r="OPU5080" s="34">
        <v>4</v>
      </c>
      <c r="OPV5080" s="34">
        <v>4.5</v>
      </c>
      <c r="OPW5080" s="34">
        <v>5</v>
      </c>
      <c r="OPY5080" s="913"/>
      <c r="OPZ5080" s="31">
        <v>1</v>
      </c>
      <c r="OQA5080" s="34">
        <v>0</v>
      </c>
      <c r="OQB5080" s="34">
        <v>-1</v>
      </c>
      <c r="OQC5080" s="34">
        <v>-2</v>
      </c>
      <c r="OQD5080" s="34">
        <v>-3</v>
      </c>
      <c r="OQE5080" s="34">
        <v>-4</v>
      </c>
      <c r="OQF5080" s="34">
        <v>-5</v>
      </c>
      <c r="OQG5080" s="908"/>
      <c r="OQH5080" s="909"/>
      <c r="OQI5080" s="34">
        <v>-5</v>
      </c>
      <c r="OQJ5080" s="34">
        <v>-4.5</v>
      </c>
      <c r="OQK5080" s="34">
        <v>-4</v>
      </c>
      <c r="OQL5080" s="34">
        <v>-3.5</v>
      </c>
      <c r="OQM5080" s="34">
        <v>-3</v>
      </c>
      <c r="OQN5080" s="34">
        <v>-2.5</v>
      </c>
      <c r="OQO5080" s="34">
        <v>-2</v>
      </c>
      <c r="OQP5080" s="34">
        <v>-1.5</v>
      </c>
      <c r="OQQ5080" s="34">
        <v>-1</v>
      </c>
      <c r="OQR5080" s="34">
        <v>-0.5</v>
      </c>
      <c r="OQS5080" s="34">
        <v>0</v>
      </c>
      <c r="OQT5080" s="34">
        <v>0.5</v>
      </c>
      <c r="OQU5080" s="34">
        <v>1</v>
      </c>
      <c r="OQV5080" s="34">
        <v>1.5</v>
      </c>
      <c r="OQW5080" s="34">
        <v>2</v>
      </c>
      <c r="OQX5080" s="34">
        <v>2.5</v>
      </c>
      <c r="OQY5080" s="34">
        <v>3</v>
      </c>
      <c r="OQZ5080" s="34">
        <v>3.5</v>
      </c>
      <c r="ORA5080" s="34">
        <v>4</v>
      </c>
      <c r="ORB5080" s="34">
        <v>4.5</v>
      </c>
      <c r="ORC5080" s="34">
        <v>5</v>
      </c>
      <c r="ORE5080" s="913"/>
      <c r="ORF5080" s="31">
        <v>1</v>
      </c>
      <c r="ORG5080" s="34">
        <v>0</v>
      </c>
      <c r="ORH5080" s="34">
        <v>-1</v>
      </c>
      <c r="ORI5080" s="34">
        <v>-2</v>
      </c>
      <c r="ORJ5080" s="34">
        <v>-3</v>
      </c>
      <c r="ORK5080" s="34">
        <v>-4</v>
      </c>
      <c r="ORL5080" s="34">
        <v>-5</v>
      </c>
      <c r="ORM5080" s="908"/>
      <c r="ORN5080" s="909"/>
      <c r="ORO5080" s="34">
        <v>-5</v>
      </c>
      <c r="ORP5080" s="34">
        <v>-4.5</v>
      </c>
      <c r="ORQ5080" s="34">
        <v>-4</v>
      </c>
      <c r="ORR5080" s="34">
        <v>-3.5</v>
      </c>
      <c r="ORS5080" s="34">
        <v>-3</v>
      </c>
      <c r="ORT5080" s="34">
        <v>-2.5</v>
      </c>
      <c r="ORU5080" s="34">
        <v>-2</v>
      </c>
      <c r="ORV5080" s="34">
        <v>-1.5</v>
      </c>
      <c r="ORW5080" s="34">
        <v>-1</v>
      </c>
      <c r="ORX5080" s="34">
        <v>-0.5</v>
      </c>
      <c r="ORY5080" s="34">
        <v>0</v>
      </c>
      <c r="ORZ5080" s="34">
        <v>0.5</v>
      </c>
      <c r="OSA5080" s="34">
        <v>1</v>
      </c>
      <c r="OSB5080" s="34">
        <v>1.5</v>
      </c>
      <c r="OSC5080" s="34">
        <v>2</v>
      </c>
      <c r="OSD5080" s="34">
        <v>2.5</v>
      </c>
      <c r="OSE5080" s="34">
        <v>3</v>
      </c>
      <c r="OSF5080" s="34">
        <v>3.5</v>
      </c>
      <c r="OSG5080" s="34">
        <v>4</v>
      </c>
      <c r="OSH5080" s="34">
        <v>4.5</v>
      </c>
      <c r="OSI5080" s="34">
        <v>5</v>
      </c>
      <c r="OSK5080" s="913"/>
      <c r="OSL5080" s="31">
        <v>1</v>
      </c>
      <c r="OSM5080" s="34">
        <v>0</v>
      </c>
      <c r="OSN5080" s="34">
        <v>-1</v>
      </c>
      <c r="OSO5080" s="34">
        <v>-2</v>
      </c>
      <c r="OSP5080" s="34">
        <v>-3</v>
      </c>
      <c r="OSQ5080" s="34">
        <v>-4</v>
      </c>
      <c r="OSR5080" s="34">
        <v>-5</v>
      </c>
      <c r="OSS5080" s="908"/>
      <c r="OST5080" s="909"/>
      <c r="OSU5080" s="34">
        <v>-5</v>
      </c>
      <c r="OSV5080" s="34">
        <v>-4.5</v>
      </c>
      <c r="OSW5080" s="34">
        <v>-4</v>
      </c>
      <c r="OSX5080" s="34">
        <v>-3.5</v>
      </c>
      <c r="OSY5080" s="34">
        <v>-3</v>
      </c>
      <c r="OSZ5080" s="34">
        <v>-2.5</v>
      </c>
      <c r="OTA5080" s="34">
        <v>-2</v>
      </c>
      <c r="OTB5080" s="34">
        <v>-1.5</v>
      </c>
      <c r="OTC5080" s="34">
        <v>-1</v>
      </c>
      <c r="OTD5080" s="34">
        <v>-0.5</v>
      </c>
      <c r="OTE5080" s="34">
        <v>0</v>
      </c>
      <c r="OTF5080" s="34">
        <v>0.5</v>
      </c>
      <c r="OTG5080" s="34">
        <v>1</v>
      </c>
      <c r="OTH5080" s="34">
        <v>1.5</v>
      </c>
      <c r="OTI5080" s="34">
        <v>2</v>
      </c>
      <c r="OTJ5080" s="34">
        <v>2.5</v>
      </c>
      <c r="OTK5080" s="34">
        <v>3</v>
      </c>
      <c r="OTL5080" s="34">
        <v>3.5</v>
      </c>
      <c r="OTM5080" s="34">
        <v>4</v>
      </c>
      <c r="OTN5080" s="34">
        <v>4.5</v>
      </c>
      <c r="OTO5080" s="34">
        <v>5</v>
      </c>
      <c r="OTQ5080" s="913"/>
      <c r="OTR5080" s="31">
        <v>1</v>
      </c>
      <c r="OTS5080" s="34">
        <v>0</v>
      </c>
      <c r="OTT5080" s="34">
        <v>-1</v>
      </c>
      <c r="OTU5080" s="34">
        <v>-2</v>
      </c>
      <c r="OTV5080" s="34">
        <v>-3</v>
      </c>
      <c r="OTW5080" s="34">
        <v>-4</v>
      </c>
      <c r="OTX5080" s="34">
        <v>-5</v>
      </c>
      <c r="OTY5080" s="908"/>
      <c r="OTZ5080" s="909"/>
      <c r="OUA5080" s="34">
        <v>-5</v>
      </c>
      <c r="OUB5080" s="34">
        <v>-4.5</v>
      </c>
      <c r="OUC5080" s="34">
        <v>-4</v>
      </c>
      <c r="OUD5080" s="34">
        <v>-3.5</v>
      </c>
      <c r="OUE5080" s="34">
        <v>-3</v>
      </c>
      <c r="OUF5080" s="34">
        <v>-2.5</v>
      </c>
      <c r="OUG5080" s="34">
        <v>-2</v>
      </c>
      <c r="OUH5080" s="34">
        <v>-1.5</v>
      </c>
      <c r="OUI5080" s="34">
        <v>-1</v>
      </c>
      <c r="OUJ5080" s="34">
        <v>-0.5</v>
      </c>
      <c r="OUK5080" s="34">
        <v>0</v>
      </c>
      <c r="OUL5080" s="34">
        <v>0.5</v>
      </c>
      <c r="OUM5080" s="34">
        <v>1</v>
      </c>
      <c r="OUN5080" s="34">
        <v>1.5</v>
      </c>
      <c r="OUO5080" s="34">
        <v>2</v>
      </c>
      <c r="OUP5080" s="34">
        <v>2.5</v>
      </c>
      <c r="OUQ5080" s="34">
        <v>3</v>
      </c>
      <c r="OUR5080" s="34">
        <v>3.5</v>
      </c>
      <c r="OUS5080" s="34">
        <v>4</v>
      </c>
      <c r="OUT5080" s="34">
        <v>4.5</v>
      </c>
      <c r="OUU5080" s="34">
        <v>5</v>
      </c>
      <c r="OUW5080" s="913"/>
      <c r="OUX5080" s="31">
        <v>1</v>
      </c>
      <c r="OUY5080" s="34">
        <v>0</v>
      </c>
      <c r="OUZ5080" s="34">
        <v>-1</v>
      </c>
      <c r="OVA5080" s="34">
        <v>-2</v>
      </c>
      <c r="OVB5080" s="34">
        <v>-3</v>
      </c>
      <c r="OVC5080" s="34">
        <v>-4</v>
      </c>
      <c r="OVD5080" s="34">
        <v>-5</v>
      </c>
      <c r="OVE5080" s="908"/>
      <c r="OVF5080" s="909"/>
      <c r="OVG5080" s="34">
        <v>-5</v>
      </c>
      <c r="OVH5080" s="34">
        <v>-4.5</v>
      </c>
      <c r="OVI5080" s="34">
        <v>-4</v>
      </c>
      <c r="OVJ5080" s="34">
        <v>-3.5</v>
      </c>
      <c r="OVK5080" s="34">
        <v>-3</v>
      </c>
      <c r="OVL5080" s="34">
        <v>-2.5</v>
      </c>
      <c r="OVM5080" s="34">
        <v>-2</v>
      </c>
      <c r="OVN5080" s="34">
        <v>-1.5</v>
      </c>
      <c r="OVO5080" s="34">
        <v>-1</v>
      </c>
      <c r="OVP5080" s="34">
        <v>-0.5</v>
      </c>
      <c r="OVQ5080" s="34">
        <v>0</v>
      </c>
      <c r="OVR5080" s="34">
        <v>0.5</v>
      </c>
      <c r="OVS5080" s="34">
        <v>1</v>
      </c>
      <c r="OVT5080" s="34">
        <v>1.5</v>
      </c>
      <c r="OVU5080" s="34">
        <v>2</v>
      </c>
      <c r="OVV5080" s="34">
        <v>2.5</v>
      </c>
      <c r="OVW5080" s="34">
        <v>3</v>
      </c>
      <c r="OVX5080" s="34">
        <v>3.5</v>
      </c>
      <c r="OVY5080" s="34">
        <v>4</v>
      </c>
      <c r="OVZ5080" s="34">
        <v>4.5</v>
      </c>
      <c r="OWA5080" s="34">
        <v>5</v>
      </c>
      <c r="OWC5080" s="913"/>
      <c r="OWD5080" s="31">
        <v>1</v>
      </c>
      <c r="OWE5080" s="34">
        <v>0</v>
      </c>
      <c r="OWF5080" s="34">
        <v>-1</v>
      </c>
      <c r="OWG5080" s="34">
        <v>-2</v>
      </c>
      <c r="OWH5080" s="34">
        <v>-3</v>
      </c>
      <c r="OWI5080" s="34">
        <v>-4</v>
      </c>
      <c r="OWJ5080" s="34">
        <v>-5</v>
      </c>
      <c r="OWK5080" s="908"/>
      <c r="OWL5080" s="909"/>
      <c r="OWM5080" s="34">
        <v>-5</v>
      </c>
      <c r="OWN5080" s="34">
        <v>-4.5</v>
      </c>
      <c r="OWO5080" s="34">
        <v>-4</v>
      </c>
      <c r="OWP5080" s="34">
        <v>-3.5</v>
      </c>
      <c r="OWQ5080" s="34">
        <v>-3</v>
      </c>
      <c r="OWR5080" s="34">
        <v>-2.5</v>
      </c>
      <c r="OWS5080" s="34">
        <v>-2</v>
      </c>
      <c r="OWT5080" s="34">
        <v>-1.5</v>
      </c>
      <c r="OWU5080" s="34">
        <v>-1</v>
      </c>
      <c r="OWV5080" s="34">
        <v>-0.5</v>
      </c>
      <c r="OWW5080" s="34">
        <v>0</v>
      </c>
      <c r="OWX5080" s="34">
        <v>0.5</v>
      </c>
      <c r="OWY5080" s="34">
        <v>1</v>
      </c>
      <c r="OWZ5080" s="34">
        <v>1.5</v>
      </c>
      <c r="OXA5080" s="34">
        <v>2</v>
      </c>
      <c r="OXB5080" s="34">
        <v>2.5</v>
      </c>
      <c r="OXC5080" s="34">
        <v>3</v>
      </c>
      <c r="OXD5080" s="34">
        <v>3.5</v>
      </c>
      <c r="OXE5080" s="34">
        <v>4</v>
      </c>
      <c r="OXF5080" s="34">
        <v>4.5</v>
      </c>
      <c r="OXG5080" s="34">
        <v>5</v>
      </c>
      <c r="OXI5080" s="913"/>
      <c r="OXJ5080" s="31">
        <v>1</v>
      </c>
      <c r="OXK5080" s="34">
        <v>0</v>
      </c>
      <c r="OXL5080" s="34">
        <v>-1</v>
      </c>
      <c r="OXM5080" s="34">
        <v>-2</v>
      </c>
      <c r="OXN5080" s="34">
        <v>-3</v>
      </c>
      <c r="OXO5080" s="34">
        <v>-4</v>
      </c>
      <c r="OXP5080" s="34">
        <v>-5</v>
      </c>
      <c r="OXQ5080" s="908"/>
      <c r="OXR5080" s="909"/>
      <c r="OXS5080" s="34">
        <v>-5</v>
      </c>
      <c r="OXT5080" s="34">
        <v>-4.5</v>
      </c>
      <c r="OXU5080" s="34">
        <v>-4</v>
      </c>
      <c r="OXV5080" s="34">
        <v>-3.5</v>
      </c>
      <c r="OXW5080" s="34">
        <v>-3</v>
      </c>
      <c r="OXX5080" s="34">
        <v>-2.5</v>
      </c>
      <c r="OXY5080" s="34">
        <v>-2</v>
      </c>
      <c r="OXZ5080" s="34">
        <v>-1.5</v>
      </c>
      <c r="OYA5080" s="34">
        <v>-1</v>
      </c>
      <c r="OYB5080" s="34">
        <v>-0.5</v>
      </c>
      <c r="OYC5080" s="34">
        <v>0</v>
      </c>
      <c r="OYD5080" s="34">
        <v>0.5</v>
      </c>
      <c r="OYE5080" s="34">
        <v>1</v>
      </c>
      <c r="OYF5080" s="34">
        <v>1.5</v>
      </c>
      <c r="OYG5080" s="34">
        <v>2</v>
      </c>
      <c r="OYH5080" s="34">
        <v>2.5</v>
      </c>
      <c r="OYI5080" s="34">
        <v>3</v>
      </c>
      <c r="OYJ5080" s="34">
        <v>3.5</v>
      </c>
      <c r="OYK5080" s="34">
        <v>4</v>
      </c>
      <c r="OYL5080" s="34">
        <v>4.5</v>
      </c>
      <c r="OYM5080" s="34">
        <v>5</v>
      </c>
      <c r="OYO5080" s="913"/>
      <c r="OYP5080" s="31">
        <v>1</v>
      </c>
      <c r="OYQ5080" s="34">
        <v>0</v>
      </c>
      <c r="OYR5080" s="34">
        <v>-1</v>
      </c>
      <c r="OYS5080" s="34">
        <v>-2</v>
      </c>
      <c r="OYT5080" s="34">
        <v>-3</v>
      </c>
      <c r="OYU5080" s="34">
        <v>-4</v>
      </c>
      <c r="OYV5080" s="34">
        <v>-5</v>
      </c>
      <c r="OYW5080" s="908"/>
      <c r="OYX5080" s="909"/>
      <c r="OYY5080" s="34">
        <v>-5</v>
      </c>
      <c r="OYZ5080" s="34">
        <v>-4.5</v>
      </c>
      <c r="OZA5080" s="34">
        <v>-4</v>
      </c>
      <c r="OZB5080" s="34">
        <v>-3.5</v>
      </c>
      <c r="OZC5080" s="34">
        <v>-3</v>
      </c>
      <c r="OZD5080" s="34">
        <v>-2.5</v>
      </c>
      <c r="OZE5080" s="34">
        <v>-2</v>
      </c>
      <c r="OZF5080" s="34">
        <v>-1.5</v>
      </c>
      <c r="OZG5080" s="34">
        <v>-1</v>
      </c>
      <c r="OZH5080" s="34">
        <v>-0.5</v>
      </c>
      <c r="OZI5080" s="34">
        <v>0</v>
      </c>
      <c r="OZJ5080" s="34">
        <v>0.5</v>
      </c>
      <c r="OZK5080" s="34">
        <v>1</v>
      </c>
      <c r="OZL5080" s="34">
        <v>1.5</v>
      </c>
      <c r="OZM5080" s="34">
        <v>2</v>
      </c>
      <c r="OZN5080" s="34">
        <v>2.5</v>
      </c>
      <c r="OZO5080" s="34">
        <v>3</v>
      </c>
      <c r="OZP5080" s="34">
        <v>3.5</v>
      </c>
      <c r="OZQ5080" s="34">
        <v>4</v>
      </c>
      <c r="OZR5080" s="34">
        <v>4.5</v>
      </c>
      <c r="OZS5080" s="34">
        <v>5</v>
      </c>
      <c r="OZU5080" s="913"/>
      <c r="OZV5080" s="31">
        <v>1</v>
      </c>
      <c r="OZW5080" s="34">
        <v>0</v>
      </c>
      <c r="OZX5080" s="34">
        <v>-1</v>
      </c>
      <c r="OZY5080" s="34">
        <v>-2</v>
      </c>
      <c r="OZZ5080" s="34">
        <v>-3</v>
      </c>
      <c r="PAA5080" s="34">
        <v>-4</v>
      </c>
      <c r="PAB5080" s="34">
        <v>-5</v>
      </c>
      <c r="PAC5080" s="908"/>
      <c r="PAD5080" s="909"/>
      <c r="PAE5080" s="34">
        <v>-5</v>
      </c>
      <c r="PAF5080" s="34">
        <v>-4.5</v>
      </c>
      <c r="PAG5080" s="34">
        <v>-4</v>
      </c>
      <c r="PAH5080" s="34">
        <v>-3.5</v>
      </c>
      <c r="PAI5080" s="34">
        <v>-3</v>
      </c>
      <c r="PAJ5080" s="34">
        <v>-2.5</v>
      </c>
      <c r="PAK5080" s="34">
        <v>-2</v>
      </c>
      <c r="PAL5080" s="34">
        <v>-1.5</v>
      </c>
      <c r="PAM5080" s="34">
        <v>-1</v>
      </c>
      <c r="PAN5080" s="34">
        <v>-0.5</v>
      </c>
      <c r="PAO5080" s="34">
        <v>0</v>
      </c>
      <c r="PAP5080" s="34">
        <v>0.5</v>
      </c>
      <c r="PAQ5080" s="34">
        <v>1</v>
      </c>
      <c r="PAR5080" s="34">
        <v>1.5</v>
      </c>
      <c r="PAS5080" s="34">
        <v>2</v>
      </c>
      <c r="PAT5080" s="34">
        <v>2.5</v>
      </c>
      <c r="PAU5080" s="34">
        <v>3</v>
      </c>
      <c r="PAV5080" s="34">
        <v>3.5</v>
      </c>
      <c r="PAW5080" s="34">
        <v>4</v>
      </c>
      <c r="PAX5080" s="34">
        <v>4.5</v>
      </c>
      <c r="PAY5080" s="34">
        <v>5</v>
      </c>
      <c r="PBA5080" s="913"/>
      <c r="PBB5080" s="31">
        <v>1</v>
      </c>
      <c r="PBC5080" s="34">
        <v>0</v>
      </c>
      <c r="PBD5080" s="34">
        <v>-1</v>
      </c>
      <c r="PBE5080" s="34">
        <v>-2</v>
      </c>
      <c r="PBF5080" s="34">
        <v>-3</v>
      </c>
      <c r="PBG5080" s="34">
        <v>-4</v>
      </c>
      <c r="PBH5080" s="34">
        <v>-5</v>
      </c>
      <c r="PBI5080" s="908"/>
      <c r="PBJ5080" s="909"/>
      <c r="PBK5080" s="34">
        <v>-5</v>
      </c>
      <c r="PBL5080" s="34">
        <v>-4.5</v>
      </c>
      <c r="PBM5080" s="34">
        <v>-4</v>
      </c>
      <c r="PBN5080" s="34">
        <v>-3.5</v>
      </c>
      <c r="PBO5080" s="34">
        <v>-3</v>
      </c>
      <c r="PBP5080" s="34">
        <v>-2.5</v>
      </c>
      <c r="PBQ5080" s="34">
        <v>-2</v>
      </c>
      <c r="PBR5080" s="34">
        <v>-1.5</v>
      </c>
      <c r="PBS5080" s="34">
        <v>-1</v>
      </c>
      <c r="PBT5080" s="34">
        <v>-0.5</v>
      </c>
      <c r="PBU5080" s="34">
        <v>0</v>
      </c>
      <c r="PBV5080" s="34">
        <v>0.5</v>
      </c>
      <c r="PBW5080" s="34">
        <v>1</v>
      </c>
      <c r="PBX5080" s="34">
        <v>1.5</v>
      </c>
      <c r="PBY5080" s="34">
        <v>2</v>
      </c>
      <c r="PBZ5080" s="34">
        <v>2.5</v>
      </c>
      <c r="PCA5080" s="34">
        <v>3</v>
      </c>
      <c r="PCB5080" s="34">
        <v>3.5</v>
      </c>
      <c r="PCC5080" s="34">
        <v>4</v>
      </c>
      <c r="PCD5080" s="34">
        <v>4.5</v>
      </c>
      <c r="PCE5080" s="34">
        <v>5</v>
      </c>
      <c r="PCG5080" s="913"/>
      <c r="PCH5080" s="31">
        <v>1</v>
      </c>
      <c r="PCI5080" s="34">
        <v>0</v>
      </c>
      <c r="PCJ5080" s="34">
        <v>-1</v>
      </c>
      <c r="PCK5080" s="34">
        <v>-2</v>
      </c>
      <c r="PCL5080" s="34">
        <v>-3</v>
      </c>
      <c r="PCM5080" s="34">
        <v>-4</v>
      </c>
      <c r="PCN5080" s="34">
        <v>-5</v>
      </c>
      <c r="PCO5080" s="908"/>
      <c r="PCP5080" s="909"/>
      <c r="PCQ5080" s="34">
        <v>-5</v>
      </c>
      <c r="PCR5080" s="34">
        <v>-4.5</v>
      </c>
      <c r="PCS5080" s="34">
        <v>-4</v>
      </c>
      <c r="PCT5080" s="34">
        <v>-3.5</v>
      </c>
      <c r="PCU5080" s="34">
        <v>-3</v>
      </c>
      <c r="PCV5080" s="34">
        <v>-2.5</v>
      </c>
      <c r="PCW5080" s="34">
        <v>-2</v>
      </c>
      <c r="PCX5080" s="34">
        <v>-1.5</v>
      </c>
      <c r="PCY5080" s="34">
        <v>-1</v>
      </c>
      <c r="PCZ5080" s="34">
        <v>-0.5</v>
      </c>
      <c r="PDA5080" s="34">
        <v>0</v>
      </c>
      <c r="PDB5080" s="34">
        <v>0.5</v>
      </c>
      <c r="PDC5080" s="34">
        <v>1</v>
      </c>
      <c r="PDD5080" s="34">
        <v>1.5</v>
      </c>
      <c r="PDE5080" s="34">
        <v>2</v>
      </c>
      <c r="PDF5080" s="34">
        <v>2.5</v>
      </c>
      <c r="PDG5080" s="34">
        <v>3</v>
      </c>
      <c r="PDH5080" s="34">
        <v>3.5</v>
      </c>
      <c r="PDI5080" s="34">
        <v>4</v>
      </c>
      <c r="PDJ5080" s="34">
        <v>4.5</v>
      </c>
      <c r="PDK5080" s="34">
        <v>5</v>
      </c>
      <c r="PDM5080" s="913"/>
      <c r="PDN5080" s="31">
        <v>1</v>
      </c>
      <c r="PDO5080" s="34">
        <v>0</v>
      </c>
      <c r="PDP5080" s="34">
        <v>-1</v>
      </c>
      <c r="PDQ5080" s="34">
        <v>-2</v>
      </c>
      <c r="PDR5080" s="34">
        <v>-3</v>
      </c>
      <c r="PDS5080" s="34">
        <v>-4</v>
      </c>
      <c r="PDT5080" s="34">
        <v>-5</v>
      </c>
      <c r="PDU5080" s="908"/>
      <c r="PDV5080" s="909"/>
      <c r="PDW5080" s="34">
        <v>-5</v>
      </c>
      <c r="PDX5080" s="34">
        <v>-4.5</v>
      </c>
      <c r="PDY5080" s="34">
        <v>-4</v>
      </c>
      <c r="PDZ5080" s="34">
        <v>-3.5</v>
      </c>
      <c r="PEA5080" s="34">
        <v>-3</v>
      </c>
      <c r="PEB5080" s="34">
        <v>-2.5</v>
      </c>
      <c r="PEC5080" s="34">
        <v>-2</v>
      </c>
      <c r="PED5080" s="34">
        <v>-1.5</v>
      </c>
      <c r="PEE5080" s="34">
        <v>-1</v>
      </c>
      <c r="PEF5080" s="34">
        <v>-0.5</v>
      </c>
      <c r="PEG5080" s="34">
        <v>0</v>
      </c>
      <c r="PEH5080" s="34">
        <v>0.5</v>
      </c>
      <c r="PEI5080" s="34">
        <v>1</v>
      </c>
      <c r="PEJ5080" s="34">
        <v>1.5</v>
      </c>
      <c r="PEK5080" s="34">
        <v>2</v>
      </c>
      <c r="PEL5080" s="34">
        <v>2.5</v>
      </c>
      <c r="PEM5080" s="34">
        <v>3</v>
      </c>
      <c r="PEN5080" s="34">
        <v>3.5</v>
      </c>
      <c r="PEO5080" s="34">
        <v>4</v>
      </c>
      <c r="PEP5080" s="34">
        <v>4.5</v>
      </c>
      <c r="PEQ5080" s="34">
        <v>5</v>
      </c>
      <c r="PES5080" s="913"/>
      <c r="PET5080" s="31">
        <v>1</v>
      </c>
      <c r="PEU5080" s="34">
        <v>0</v>
      </c>
      <c r="PEV5080" s="34">
        <v>-1</v>
      </c>
      <c r="PEW5080" s="34">
        <v>-2</v>
      </c>
      <c r="PEX5080" s="34">
        <v>-3</v>
      </c>
      <c r="PEY5080" s="34">
        <v>-4</v>
      </c>
      <c r="PEZ5080" s="34">
        <v>-5</v>
      </c>
      <c r="PFA5080" s="908"/>
      <c r="PFB5080" s="909"/>
      <c r="PFC5080" s="34">
        <v>-5</v>
      </c>
      <c r="PFD5080" s="34">
        <v>-4.5</v>
      </c>
      <c r="PFE5080" s="34">
        <v>-4</v>
      </c>
      <c r="PFF5080" s="34">
        <v>-3.5</v>
      </c>
      <c r="PFG5080" s="34">
        <v>-3</v>
      </c>
      <c r="PFH5080" s="34">
        <v>-2.5</v>
      </c>
      <c r="PFI5080" s="34">
        <v>-2</v>
      </c>
      <c r="PFJ5080" s="34">
        <v>-1.5</v>
      </c>
      <c r="PFK5080" s="34">
        <v>-1</v>
      </c>
      <c r="PFL5080" s="34">
        <v>-0.5</v>
      </c>
      <c r="PFM5080" s="34">
        <v>0</v>
      </c>
      <c r="PFN5080" s="34">
        <v>0.5</v>
      </c>
      <c r="PFO5080" s="34">
        <v>1</v>
      </c>
      <c r="PFP5080" s="34">
        <v>1.5</v>
      </c>
      <c r="PFQ5080" s="34">
        <v>2</v>
      </c>
      <c r="PFR5080" s="34">
        <v>2.5</v>
      </c>
      <c r="PFS5080" s="34">
        <v>3</v>
      </c>
      <c r="PFT5080" s="34">
        <v>3.5</v>
      </c>
      <c r="PFU5080" s="34">
        <v>4</v>
      </c>
      <c r="PFV5080" s="34">
        <v>4.5</v>
      </c>
      <c r="PFW5080" s="34">
        <v>5</v>
      </c>
      <c r="PFY5080" s="913"/>
      <c r="PFZ5080" s="31">
        <v>1</v>
      </c>
      <c r="PGA5080" s="34">
        <v>0</v>
      </c>
      <c r="PGB5080" s="34">
        <v>-1</v>
      </c>
      <c r="PGC5080" s="34">
        <v>-2</v>
      </c>
      <c r="PGD5080" s="34">
        <v>-3</v>
      </c>
      <c r="PGE5080" s="34">
        <v>-4</v>
      </c>
      <c r="PGF5080" s="34">
        <v>-5</v>
      </c>
      <c r="PGG5080" s="908"/>
      <c r="PGH5080" s="909"/>
      <c r="PGI5080" s="34">
        <v>-5</v>
      </c>
      <c r="PGJ5080" s="34">
        <v>-4.5</v>
      </c>
      <c r="PGK5080" s="34">
        <v>-4</v>
      </c>
      <c r="PGL5080" s="34">
        <v>-3.5</v>
      </c>
      <c r="PGM5080" s="34">
        <v>-3</v>
      </c>
      <c r="PGN5080" s="34">
        <v>-2.5</v>
      </c>
      <c r="PGO5080" s="34">
        <v>-2</v>
      </c>
      <c r="PGP5080" s="34">
        <v>-1.5</v>
      </c>
      <c r="PGQ5080" s="34">
        <v>-1</v>
      </c>
      <c r="PGR5080" s="34">
        <v>-0.5</v>
      </c>
      <c r="PGS5080" s="34">
        <v>0</v>
      </c>
      <c r="PGT5080" s="34">
        <v>0.5</v>
      </c>
      <c r="PGU5080" s="34">
        <v>1</v>
      </c>
      <c r="PGV5080" s="34">
        <v>1.5</v>
      </c>
      <c r="PGW5080" s="34">
        <v>2</v>
      </c>
      <c r="PGX5080" s="34">
        <v>2.5</v>
      </c>
      <c r="PGY5080" s="34">
        <v>3</v>
      </c>
      <c r="PGZ5080" s="34">
        <v>3.5</v>
      </c>
      <c r="PHA5080" s="34">
        <v>4</v>
      </c>
      <c r="PHB5080" s="34">
        <v>4.5</v>
      </c>
      <c r="PHC5080" s="34">
        <v>5</v>
      </c>
      <c r="PHE5080" s="913"/>
      <c r="PHF5080" s="31">
        <v>1</v>
      </c>
      <c r="PHG5080" s="34">
        <v>0</v>
      </c>
      <c r="PHH5080" s="34">
        <v>-1</v>
      </c>
      <c r="PHI5080" s="34">
        <v>-2</v>
      </c>
      <c r="PHJ5080" s="34">
        <v>-3</v>
      </c>
      <c r="PHK5080" s="34">
        <v>-4</v>
      </c>
      <c r="PHL5080" s="34">
        <v>-5</v>
      </c>
      <c r="PHM5080" s="908"/>
      <c r="PHN5080" s="909"/>
      <c r="PHO5080" s="34">
        <v>-5</v>
      </c>
      <c r="PHP5080" s="34">
        <v>-4.5</v>
      </c>
      <c r="PHQ5080" s="34">
        <v>-4</v>
      </c>
      <c r="PHR5080" s="34">
        <v>-3.5</v>
      </c>
      <c r="PHS5080" s="34">
        <v>-3</v>
      </c>
      <c r="PHT5080" s="34">
        <v>-2.5</v>
      </c>
      <c r="PHU5080" s="34">
        <v>-2</v>
      </c>
      <c r="PHV5080" s="34">
        <v>-1.5</v>
      </c>
      <c r="PHW5080" s="34">
        <v>-1</v>
      </c>
      <c r="PHX5080" s="34">
        <v>-0.5</v>
      </c>
      <c r="PHY5080" s="34">
        <v>0</v>
      </c>
      <c r="PHZ5080" s="34">
        <v>0.5</v>
      </c>
      <c r="PIA5080" s="34">
        <v>1</v>
      </c>
      <c r="PIB5080" s="34">
        <v>1.5</v>
      </c>
      <c r="PIC5080" s="34">
        <v>2</v>
      </c>
      <c r="PID5080" s="34">
        <v>2.5</v>
      </c>
      <c r="PIE5080" s="34">
        <v>3</v>
      </c>
      <c r="PIF5080" s="34">
        <v>3.5</v>
      </c>
      <c r="PIG5080" s="34">
        <v>4</v>
      </c>
      <c r="PIH5080" s="34">
        <v>4.5</v>
      </c>
      <c r="PII5080" s="34">
        <v>5</v>
      </c>
      <c r="PIK5080" s="913"/>
      <c r="PIL5080" s="31">
        <v>1</v>
      </c>
      <c r="PIM5080" s="34">
        <v>0</v>
      </c>
      <c r="PIN5080" s="34">
        <v>-1</v>
      </c>
      <c r="PIO5080" s="34">
        <v>-2</v>
      </c>
      <c r="PIP5080" s="34">
        <v>-3</v>
      </c>
      <c r="PIQ5080" s="34">
        <v>-4</v>
      </c>
      <c r="PIR5080" s="34">
        <v>-5</v>
      </c>
      <c r="PIS5080" s="908"/>
      <c r="PIT5080" s="909"/>
      <c r="PIU5080" s="34">
        <v>-5</v>
      </c>
      <c r="PIV5080" s="34">
        <v>-4.5</v>
      </c>
      <c r="PIW5080" s="34">
        <v>-4</v>
      </c>
      <c r="PIX5080" s="34">
        <v>-3.5</v>
      </c>
      <c r="PIY5080" s="34">
        <v>-3</v>
      </c>
      <c r="PIZ5080" s="34">
        <v>-2.5</v>
      </c>
      <c r="PJA5080" s="34">
        <v>-2</v>
      </c>
      <c r="PJB5080" s="34">
        <v>-1.5</v>
      </c>
      <c r="PJC5080" s="34">
        <v>-1</v>
      </c>
      <c r="PJD5080" s="34">
        <v>-0.5</v>
      </c>
      <c r="PJE5080" s="34">
        <v>0</v>
      </c>
      <c r="PJF5080" s="34">
        <v>0.5</v>
      </c>
      <c r="PJG5080" s="34">
        <v>1</v>
      </c>
      <c r="PJH5080" s="34">
        <v>1.5</v>
      </c>
      <c r="PJI5080" s="34">
        <v>2</v>
      </c>
      <c r="PJJ5080" s="34">
        <v>2.5</v>
      </c>
      <c r="PJK5080" s="34">
        <v>3</v>
      </c>
      <c r="PJL5080" s="34">
        <v>3.5</v>
      </c>
      <c r="PJM5080" s="34">
        <v>4</v>
      </c>
      <c r="PJN5080" s="34">
        <v>4.5</v>
      </c>
      <c r="PJO5080" s="34">
        <v>5</v>
      </c>
      <c r="PJQ5080" s="913"/>
      <c r="PJR5080" s="31">
        <v>1</v>
      </c>
      <c r="PJS5080" s="34">
        <v>0</v>
      </c>
      <c r="PJT5080" s="34">
        <v>-1</v>
      </c>
      <c r="PJU5080" s="34">
        <v>-2</v>
      </c>
      <c r="PJV5080" s="34">
        <v>-3</v>
      </c>
      <c r="PJW5080" s="34">
        <v>-4</v>
      </c>
      <c r="PJX5080" s="34">
        <v>-5</v>
      </c>
      <c r="PJY5080" s="908"/>
      <c r="PJZ5080" s="909"/>
      <c r="PKA5080" s="34">
        <v>-5</v>
      </c>
      <c r="PKB5080" s="34">
        <v>-4.5</v>
      </c>
      <c r="PKC5080" s="34">
        <v>-4</v>
      </c>
      <c r="PKD5080" s="34">
        <v>-3.5</v>
      </c>
      <c r="PKE5080" s="34">
        <v>-3</v>
      </c>
      <c r="PKF5080" s="34">
        <v>-2.5</v>
      </c>
      <c r="PKG5080" s="34">
        <v>-2</v>
      </c>
      <c r="PKH5080" s="34">
        <v>-1.5</v>
      </c>
      <c r="PKI5080" s="34">
        <v>-1</v>
      </c>
      <c r="PKJ5080" s="34">
        <v>-0.5</v>
      </c>
      <c r="PKK5080" s="34">
        <v>0</v>
      </c>
      <c r="PKL5080" s="34">
        <v>0.5</v>
      </c>
      <c r="PKM5080" s="34">
        <v>1</v>
      </c>
      <c r="PKN5080" s="34">
        <v>1.5</v>
      </c>
      <c r="PKO5080" s="34">
        <v>2</v>
      </c>
      <c r="PKP5080" s="34">
        <v>2.5</v>
      </c>
      <c r="PKQ5080" s="34">
        <v>3</v>
      </c>
      <c r="PKR5080" s="34">
        <v>3.5</v>
      </c>
      <c r="PKS5080" s="34">
        <v>4</v>
      </c>
      <c r="PKT5080" s="34">
        <v>4.5</v>
      </c>
      <c r="PKU5080" s="34">
        <v>5</v>
      </c>
      <c r="PKW5080" s="913"/>
      <c r="PKX5080" s="31">
        <v>1</v>
      </c>
      <c r="PKY5080" s="34">
        <v>0</v>
      </c>
      <c r="PKZ5080" s="34">
        <v>-1</v>
      </c>
      <c r="PLA5080" s="34">
        <v>-2</v>
      </c>
      <c r="PLB5080" s="34">
        <v>-3</v>
      </c>
      <c r="PLC5080" s="34">
        <v>-4</v>
      </c>
      <c r="PLD5080" s="34">
        <v>-5</v>
      </c>
      <c r="PLE5080" s="908"/>
      <c r="PLF5080" s="909"/>
      <c r="PLG5080" s="34">
        <v>-5</v>
      </c>
      <c r="PLH5080" s="34">
        <v>-4.5</v>
      </c>
      <c r="PLI5080" s="34">
        <v>-4</v>
      </c>
      <c r="PLJ5080" s="34">
        <v>-3.5</v>
      </c>
      <c r="PLK5080" s="34">
        <v>-3</v>
      </c>
      <c r="PLL5080" s="34">
        <v>-2.5</v>
      </c>
      <c r="PLM5080" s="34">
        <v>-2</v>
      </c>
      <c r="PLN5080" s="34">
        <v>-1.5</v>
      </c>
      <c r="PLO5080" s="34">
        <v>-1</v>
      </c>
      <c r="PLP5080" s="34">
        <v>-0.5</v>
      </c>
      <c r="PLQ5080" s="34">
        <v>0</v>
      </c>
      <c r="PLR5080" s="34">
        <v>0.5</v>
      </c>
      <c r="PLS5080" s="34">
        <v>1</v>
      </c>
      <c r="PLT5080" s="34">
        <v>1.5</v>
      </c>
      <c r="PLU5080" s="34">
        <v>2</v>
      </c>
      <c r="PLV5080" s="34">
        <v>2.5</v>
      </c>
      <c r="PLW5080" s="34">
        <v>3</v>
      </c>
      <c r="PLX5080" s="34">
        <v>3.5</v>
      </c>
      <c r="PLY5080" s="34">
        <v>4</v>
      </c>
      <c r="PLZ5080" s="34">
        <v>4.5</v>
      </c>
      <c r="PMA5080" s="34">
        <v>5</v>
      </c>
      <c r="PMC5080" s="913"/>
      <c r="PMD5080" s="31">
        <v>1</v>
      </c>
      <c r="PME5080" s="34">
        <v>0</v>
      </c>
      <c r="PMF5080" s="34">
        <v>-1</v>
      </c>
      <c r="PMG5080" s="34">
        <v>-2</v>
      </c>
      <c r="PMH5080" s="34">
        <v>-3</v>
      </c>
      <c r="PMI5080" s="34">
        <v>-4</v>
      </c>
      <c r="PMJ5080" s="34">
        <v>-5</v>
      </c>
      <c r="PMK5080" s="908"/>
      <c r="PML5080" s="909"/>
      <c r="PMM5080" s="34">
        <v>-5</v>
      </c>
      <c r="PMN5080" s="34">
        <v>-4.5</v>
      </c>
      <c r="PMO5080" s="34">
        <v>-4</v>
      </c>
      <c r="PMP5080" s="34">
        <v>-3.5</v>
      </c>
      <c r="PMQ5080" s="34">
        <v>-3</v>
      </c>
      <c r="PMR5080" s="34">
        <v>-2.5</v>
      </c>
      <c r="PMS5080" s="34">
        <v>-2</v>
      </c>
      <c r="PMT5080" s="34">
        <v>-1.5</v>
      </c>
      <c r="PMU5080" s="34">
        <v>-1</v>
      </c>
      <c r="PMV5080" s="34">
        <v>-0.5</v>
      </c>
      <c r="PMW5080" s="34">
        <v>0</v>
      </c>
      <c r="PMX5080" s="34">
        <v>0.5</v>
      </c>
      <c r="PMY5080" s="34">
        <v>1</v>
      </c>
      <c r="PMZ5080" s="34">
        <v>1.5</v>
      </c>
      <c r="PNA5080" s="34">
        <v>2</v>
      </c>
      <c r="PNB5080" s="34">
        <v>2.5</v>
      </c>
      <c r="PNC5080" s="34">
        <v>3</v>
      </c>
      <c r="PND5080" s="34">
        <v>3.5</v>
      </c>
      <c r="PNE5080" s="34">
        <v>4</v>
      </c>
      <c r="PNF5080" s="34">
        <v>4.5</v>
      </c>
      <c r="PNG5080" s="34">
        <v>5</v>
      </c>
      <c r="PNI5080" s="913"/>
      <c r="PNJ5080" s="31">
        <v>1</v>
      </c>
      <c r="PNK5080" s="34">
        <v>0</v>
      </c>
      <c r="PNL5080" s="34">
        <v>-1</v>
      </c>
      <c r="PNM5080" s="34">
        <v>-2</v>
      </c>
      <c r="PNN5080" s="34">
        <v>-3</v>
      </c>
      <c r="PNO5080" s="34">
        <v>-4</v>
      </c>
      <c r="PNP5080" s="34">
        <v>-5</v>
      </c>
      <c r="PNQ5080" s="908"/>
      <c r="PNR5080" s="909"/>
      <c r="PNS5080" s="34">
        <v>-5</v>
      </c>
      <c r="PNT5080" s="34">
        <v>-4.5</v>
      </c>
      <c r="PNU5080" s="34">
        <v>-4</v>
      </c>
      <c r="PNV5080" s="34">
        <v>-3.5</v>
      </c>
      <c r="PNW5080" s="34">
        <v>-3</v>
      </c>
      <c r="PNX5080" s="34">
        <v>-2.5</v>
      </c>
      <c r="PNY5080" s="34">
        <v>-2</v>
      </c>
      <c r="PNZ5080" s="34">
        <v>-1.5</v>
      </c>
      <c r="POA5080" s="34">
        <v>-1</v>
      </c>
      <c r="POB5080" s="34">
        <v>-0.5</v>
      </c>
      <c r="POC5080" s="34">
        <v>0</v>
      </c>
      <c r="POD5080" s="34">
        <v>0.5</v>
      </c>
      <c r="POE5080" s="34">
        <v>1</v>
      </c>
      <c r="POF5080" s="34">
        <v>1.5</v>
      </c>
      <c r="POG5080" s="34">
        <v>2</v>
      </c>
      <c r="POH5080" s="34">
        <v>2.5</v>
      </c>
      <c r="POI5080" s="34">
        <v>3</v>
      </c>
      <c r="POJ5080" s="34">
        <v>3.5</v>
      </c>
      <c r="POK5080" s="34">
        <v>4</v>
      </c>
      <c r="POL5080" s="34">
        <v>4.5</v>
      </c>
      <c r="POM5080" s="34">
        <v>5</v>
      </c>
      <c r="POO5080" s="913"/>
      <c r="POP5080" s="31">
        <v>1</v>
      </c>
      <c r="POQ5080" s="34">
        <v>0</v>
      </c>
      <c r="POR5080" s="34">
        <v>-1</v>
      </c>
      <c r="POS5080" s="34">
        <v>-2</v>
      </c>
      <c r="POT5080" s="34">
        <v>-3</v>
      </c>
      <c r="POU5080" s="34">
        <v>-4</v>
      </c>
      <c r="POV5080" s="34">
        <v>-5</v>
      </c>
      <c r="POW5080" s="908"/>
      <c r="POX5080" s="909"/>
      <c r="POY5080" s="34">
        <v>-5</v>
      </c>
      <c r="POZ5080" s="34">
        <v>-4.5</v>
      </c>
      <c r="PPA5080" s="34">
        <v>-4</v>
      </c>
      <c r="PPB5080" s="34">
        <v>-3.5</v>
      </c>
      <c r="PPC5080" s="34">
        <v>-3</v>
      </c>
      <c r="PPD5080" s="34">
        <v>-2.5</v>
      </c>
      <c r="PPE5080" s="34">
        <v>-2</v>
      </c>
      <c r="PPF5080" s="34">
        <v>-1.5</v>
      </c>
      <c r="PPG5080" s="34">
        <v>-1</v>
      </c>
      <c r="PPH5080" s="34">
        <v>-0.5</v>
      </c>
      <c r="PPI5080" s="34">
        <v>0</v>
      </c>
      <c r="PPJ5080" s="34">
        <v>0.5</v>
      </c>
      <c r="PPK5080" s="34">
        <v>1</v>
      </c>
      <c r="PPL5080" s="34">
        <v>1.5</v>
      </c>
      <c r="PPM5080" s="34">
        <v>2</v>
      </c>
      <c r="PPN5080" s="34">
        <v>2.5</v>
      </c>
      <c r="PPO5080" s="34">
        <v>3</v>
      </c>
      <c r="PPP5080" s="34">
        <v>3.5</v>
      </c>
      <c r="PPQ5080" s="34">
        <v>4</v>
      </c>
      <c r="PPR5080" s="34">
        <v>4.5</v>
      </c>
      <c r="PPS5080" s="34">
        <v>5</v>
      </c>
      <c r="PPU5080" s="913"/>
      <c r="PPV5080" s="31">
        <v>1</v>
      </c>
      <c r="PPW5080" s="34">
        <v>0</v>
      </c>
      <c r="PPX5080" s="34">
        <v>-1</v>
      </c>
      <c r="PPY5080" s="34">
        <v>-2</v>
      </c>
      <c r="PPZ5080" s="34">
        <v>-3</v>
      </c>
      <c r="PQA5080" s="34">
        <v>-4</v>
      </c>
      <c r="PQB5080" s="34">
        <v>-5</v>
      </c>
      <c r="PQC5080" s="908"/>
      <c r="PQD5080" s="909"/>
      <c r="PQE5080" s="34">
        <v>-5</v>
      </c>
      <c r="PQF5080" s="34">
        <v>-4.5</v>
      </c>
      <c r="PQG5080" s="34">
        <v>-4</v>
      </c>
      <c r="PQH5080" s="34">
        <v>-3.5</v>
      </c>
      <c r="PQI5080" s="34">
        <v>-3</v>
      </c>
      <c r="PQJ5080" s="34">
        <v>-2.5</v>
      </c>
      <c r="PQK5080" s="34">
        <v>-2</v>
      </c>
      <c r="PQL5080" s="34">
        <v>-1.5</v>
      </c>
      <c r="PQM5080" s="34">
        <v>-1</v>
      </c>
      <c r="PQN5080" s="34">
        <v>-0.5</v>
      </c>
      <c r="PQO5080" s="34">
        <v>0</v>
      </c>
      <c r="PQP5080" s="34">
        <v>0.5</v>
      </c>
      <c r="PQQ5080" s="34">
        <v>1</v>
      </c>
      <c r="PQR5080" s="34">
        <v>1.5</v>
      </c>
      <c r="PQS5080" s="34">
        <v>2</v>
      </c>
      <c r="PQT5080" s="34">
        <v>2.5</v>
      </c>
      <c r="PQU5080" s="34">
        <v>3</v>
      </c>
      <c r="PQV5080" s="34">
        <v>3.5</v>
      </c>
      <c r="PQW5080" s="34">
        <v>4</v>
      </c>
      <c r="PQX5080" s="34">
        <v>4.5</v>
      </c>
      <c r="PQY5080" s="34">
        <v>5</v>
      </c>
      <c r="PRA5080" s="913"/>
      <c r="PRB5080" s="31">
        <v>1</v>
      </c>
      <c r="PRC5080" s="34">
        <v>0</v>
      </c>
      <c r="PRD5080" s="34">
        <v>-1</v>
      </c>
      <c r="PRE5080" s="34">
        <v>-2</v>
      </c>
      <c r="PRF5080" s="34">
        <v>-3</v>
      </c>
      <c r="PRG5080" s="34">
        <v>-4</v>
      </c>
      <c r="PRH5080" s="34">
        <v>-5</v>
      </c>
      <c r="PRI5080" s="908"/>
      <c r="PRJ5080" s="909"/>
      <c r="PRK5080" s="34">
        <v>-5</v>
      </c>
      <c r="PRL5080" s="34">
        <v>-4.5</v>
      </c>
      <c r="PRM5080" s="34">
        <v>-4</v>
      </c>
      <c r="PRN5080" s="34">
        <v>-3.5</v>
      </c>
      <c r="PRO5080" s="34">
        <v>-3</v>
      </c>
      <c r="PRP5080" s="34">
        <v>-2.5</v>
      </c>
      <c r="PRQ5080" s="34">
        <v>-2</v>
      </c>
      <c r="PRR5080" s="34">
        <v>-1.5</v>
      </c>
      <c r="PRS5080" s="34">
        <v>-1</v>
      </c>
      <c r="PRT5080" s="34">
        <v>-0.5</v>
      </c>
      <c r="PRU5080" s="34">
        <v>0</v>
      </c>
      <c r="PRV5080" s="34">
        <v>0.5</v>
      </c>
      <c r="PRW5080" s="34">
        <v>1</v>
      </c>
      <c r="PRX5080" s="34">
        <v>1.5</v>
      </c>
      <c r="PRY5080" s="34">
        <v>2</v>
      </c>
      <c r="PRZ5080" s="34">
        <v>2.5</v>
      </c>
      <c r="PSA5080" s="34">
        <v>3</v>
      </c>
      <c r="PSB5080" s="34">
        <v>3.5</v>
      </c>
      <c r="PSC5080" s="34">
        <v>4</v>
      </c>
      <c r="PSD5080" s="34">
        <v>4.5</v>
      </c>
      <c r="PSE5080" s="34">
        <v>5</v>
      </c>
      <c r="PSG5080" s="913"/>
      <c r="PSH5080" s="31">
        <v>1</v>
      </c>
      <c r="PSI5080" s="34">
        <v>0</v>
      </c>
      <c r="PSJ5080" s="34">
        <v>-1</v>
      </c>
      <c r="PSK5080" s="34">
        <v>-2</v>
      </c>
      <c r="PSL5080" s="34">
        <v>-3</v>
      </c>
      <c r="PSM5080" s="34">
        <v>-4</v>
      </c>
      <c r="PSN5080" s="34">
        <v>-5</v>
      </c>
      <c r="PSO5080" s="908"/>
      <c r="PSP5080" s="909"/>
      <c r="PSQ5080" s="34">
        <v>-5</v>
      </c>
      <c r="PSR5080" s="34">
        <v>-4.5</v>
      </c>
      <c r="PSS5080" s="34">
        <v>-4</v>
      </c>
      <c r="PST5080" s="34">
        <v>-3.5</v>
      </c>
      <c r="PSU5080" s="34">
        <v>-3</v>
      </c>
      <c r="PSV5080" s="34">
        <v>-2.5</v>
      </c>
      <c r="PSW5080" s="34">
        <v>-2</v>
      </c>
      <c r="PSX5080" s="34">
        <v>-1.5</v>
      </c>
      <c r="PSY5080" s="34">
        <v>-1</v>
      </c>
      <c r="PSZ5080" s="34">
        <v>-0.5</v>
      </c>
      <c r="PTA5080" s="34">
        <v>0</v>
      </c>
      <c r="PTB5080" s="34">
        <v>0.5</v>
      </c>
      <c r="PTC5080" s="34">
        <v>1</v>
      </c>
      <c r="PTD5080" s="34">
        <v>1.5</v>
      </c>
      <c r="PTE5080" s="34">
        <v>2</v>
      </c>
      <c r="PTF5080" s="34">
        <v>2.5</v>
      </c>
      <c r="PTG5080" s="34">
        <v>3</v>
      </c>
      <c r="PTH5080" s="34">
        <v>3.5</v>
      </c>
      <c r="PTI5080" s="34">
        <v>4</v>
      </c>
      <c r="PTJ5080" s="34">
        <v>4.5</v>
      </c>
      <c r="PTK5080" s="34">
        <v>5</v>
      </c>
      <c r="PTM5080" s="913"/>
      <c r="PTN5080" s="31">
        <v>1</v>
      </c>
      <c r="PTO5080" s="34">
        <v>0</v>
      </c>
      <c r="PTP5080" s="34">
        <v>-1</v>
      </c>
      <c r="PTQ5080" s="34">
        <v>-2</v>
      </c>
      <c r="PTR5080" s="34">
        <v>-3</v>
      </c>
      <c r="PTS5080" s="34">
        <v>-4</v>
      </c>
      <c r="PTT5080" s="34">
        <v>-5</v>
      </c>
      <c r="PTU5080" s="908"/>
      <c r="PTV5080" s="909"/>
      <c r="PTW5080" s="34">
        <v>-5</v>
      </c>
      <c r="PTX5080" s="34">
        <v>-4.5</v>
      </c>
      <c r="PTY5080" s="34">
        <v>-4</v>
      </c>
      <c r="PTZ5080" s="34">
        <v>-3.5</v>
      </c>
      <c r="PUA5080" s="34">
        <v>-3</v>
      </c>
      <c r="PUB5080" s="34">
        <v>-2.5</v>
      </c>
      <c r="PUC5080" s="34">
        <v>-2</v>
      </c>
      <c r="PUD5080" s="34">
        <v>-1.5</v>
      </c>
      <c r="PUE5080" s="34">
        <v>-1</v>
      </c>
      <c r="PUF5080" s="34">
        <v>-0.5</v>
      </c>
      <c r="PUG5080" s="34">
        <v>0</v>
      </c>
      <c r="PUH5080" s="34">
        <v>0.5</v>
      </c>
      <c r="PUI5080" s="34">
        <v>1</v>
      </c>
      <c r="PUJ5080" s="34">
        <v>1.5</v>
      </c>
      <c r="PUK5080" s="34">
        <v>2</v>
      </c>
      <c r="PUL5080" s="34">
        <v>2.5</v>
      </c>
      <c r="PUM5080" s="34">
        <v>3</v>
      </c>
      <c r="PUN5080" s="34">
        <v>3.5</v>
      </c>
      <c r="PUO5080" s="34">
        <v>4</v>
      </c>
      <c r="PUP5080" s="34">
        <v>4.5</v>
      </c>
      <c r="PUQ5080" s="34">
        <v>5</v>
      </c>
      <c r="PUS5080" s="913"/>
      <c r="PUT5080" s="31">
        <v>1</v>
      </c>
      <c r="PUU5080" s="34">
        <v>0</v>
      </c>
      <c r="PUV5080" s="34">
        <v>-1</v>
      </c>
      <c r="PUW5080" s="34">
        <v>-2</v>
      </c>
      <c r="PUX5080" s="34">
        <v>-3</v>
      </c>
      <c r="PUY5080" s="34">
        <v>-4</v>
      </c>
      <c r="PUZ5080" s="34">
        <v>-5</v>
      </c>
      <c r="PVA5080" s="908"/>
      <c r="PVB5080" s="909"/>
      <c r="PVC5080" s="34">
        <v>-5</v>
      </c>
      <c r="PVD5080" s="34">
        <v>-4.5</v>
      </c>
      <c r="PVE5080" s="34">
        <v>-4</v>
      </c>
      <c r="PVF5080" s="34">
        <v>-3.5</v>
      </c>
      <c r="PVG5080" s="34">
        <v>-3</v>
      </c>
      <c r="PVH5080" s="34">
        <v>-2.5</v>
      </c>
      <c r="PVI5080" s="34">
        <v>-2</v>
      </c>
      <c r="PVJ5080" s="34">
        <v>-1.5</v>
      </c>
      <c r="PVK5080" s="34">
        <v>-1</v>
      </c>
      <c r="PVL5080" s="34">
        <v>-0.5</v>
      </c>
      <c r="PVM5080" s="34">
        <v>0</v>
      </c>
      <c r="PVN5080" s="34">
        <v>0.5</v>
      </c>
      <c r="PVO5080" s="34">
        <v>1</v>
      </c>
      <c r="PVP5080" s="34">
        <v>1.5</v>
      </c>
      <c r="PVQ5080" s="34">
        <v>2</v>
      </c>
      <c r="PVR5080" s="34">
        <v>2.5</v>
      </c>
      <c r="PVS5080" s="34">
        <v>3</v>
      </c>
      <c r="PVT5080" s="34">
        <v>3.5</v>
      </c>
      <c r="PVU5080" s="34">
        <v>4</v>
      </c>
      <c r="PVV5080" s="34">
        <v>4.5</v>
      </c>
      <c r="PVW5080" s="34">
        <v>5</v>
      </c>
      <c r="PVY5080" s="913"/>
      <c r="PVZ5080" s="31">
        <v>1</v>
      </c>
      <c r="PWA5080" s="34">
        <v>0</v>
      </c>
      <c r="PWB5080" s="34">
        <v>-1</v>
      </c>
      <c r="PWC5080" s="34">
        <v>-2</v>
      </c>
      <c r="PWD5080" s="34">
        <v>-3</v>
      </c>
      <c r="PWE5080" s="34">
        <v>-4</v>
      </c>
      <c r="PWF5080" s="34">
        <v>-5</v>
      </c>
      <c r="PWG5080" s="908"/>
      <c r="PWH5080" s="909"/>
      <c r="PWI5080" s="34">
        <v>-5</v>
      </c>
      <c r="PWJ5080" s="34">
        <v>-4.5</v>
      </c>
      <c r="PWK5080" s="34">
        <v>-4</v>
      </c>
      <c r="PWL5080" s="34">
        <v>-3.5</v>
      </c>
      <c r="PWM5080" s="34">
        <v>-3</v>
      </c>
      <c r="PWN5080" s="34">
        <v>-2.5</v>
      </c>
      <c r="PWO5080" s="34">
        <v>-2</v>
      </c>
      <c r="PWP5080" s="34">
        <v>-1.5</v>
      </c>
      <c r="PWQ5080" s="34">
        <v>-1</v>
      </c>
      <c r="PWR5080" s="34">
        <v>-0.5</v>
      </c>
      <c r="PWS5080" s="34">
        <v>0</v>
      </c>
      <c r="PWT5080" s="34">
        <v>0.5</v>
      </c>
      <c r="PWU5080" s="34">
        <v>1</v>
      </c>
      <c r="PWV5080" s="34">
        <v>1.5</v>
      </c>
      <c r="PWW5080" s="34">
        <v>2</v>
      </c>
      <c r="PWX5080" s="34">
        <v>2.5</v>
      </c>
      <c r="PWY5080" s="34">
        <v>3</v>
      </c>
      <c r="PWZ5080" s="34">
        <v>3.5</v>
      </c>
      <c r="PXA5080" s="34">
        <v>4</v>
      </c>
      <c r="PXB5080" s="34">
        <v>4.5</v>
      </c>
      <c r="PXC5080" s="34">
        <v>5</v>
      </c>
      <c r="PXE5080" s="913"/>
      <c r="PXF5080" s="31">
        <v>1</v>
      </c>
      <c r="PXG5080" s="34">
        <v>0</v>
      </c>
      <c r="PXH5080" s="34">
        <v>-1</v>
      </c>
      <c r="PXI5080" s="34">
        <v>-2</v>
      </c>
      <c r="PXJ5080" s="34">
        <v>-3</v>
      </c>
      <c r="PXK5080" s="34">
        <v>-4</v>
      </c>
      <c r="PXL5080" s="34">
        <v>-5</v>
      </c>
      <c r="PXM5080" s="908"/>
      <c r="PXN5080" s="909"/>
      <c r="PXO5080" s="34">
        <v>-5</v>
      </c>
      <c r="PXP5080" s="34">
        <v>-4.5</v>
      </c>
      <c r="PXQ5080" s="34">
        <v>-4</v>
      </c>
      <c r="PXR5080" s="34">
        <v>-3.5</v>
      </c>
      <c r="PXS5080" s="34">
        <v>-3</v>
      </c>
      <c r="PXT5080" s="34">
        <v>-2.5</v>
      </c>
      <c r="PXU5080" s="34">
        <v>-2</v>
      </c>
      <c r="PXV5080" s="34">
        <v>-1.5</v>
      </c>
      <c r="PXW5080" s="34">
        <v>-1</v>
      </c>
      <c r="PXX5080" s="34">
        <v>-0.5</v>
      </c>
      <c r="PXY5080" s="34">
        <v>0</v>
      </c>
      <c r="PXZ5080" s="34">
        <v>0.5</v>
      </c>
      <c r="PYA5080" s="34">
        <v>1</v>
      </c>
      <c r="PYB5080" s="34">
        <v>1.5</v>
      </c>
      <c r="PYC5080" s="34">
        <v>2</v>
      </c>
      <c r="PYD5080" s="34">
        <v>2.5</v>
      </c>
      <c r="PYE5080" s="34">
        <v>3</v>
      </c>
      <c r="PYF5080" s="34">
        <v>3.5</v>
      </c>
      <c r="PYG5080" s="34">
        <v>4</v>
      </c>
      <c r="PYH5080" s="34">
        <v>4.5</v>
      </c>
      <c r="PYI5080" s="34">
        <v>5</v>
      </c>
      <c r="PYK5080" s="913"/>
      <c r="PYL5080" s="31">
        <v>1</v>
      </c>
      <c r="PYM5080" s="34">
        <v>0</v>
      </c>
      <c r="PYN5080" s="34">
        <v>-1</v>
      </c>
      <c r="PYO5080" s="34">
        <v>-2</v>
      </c>
      <c r="PYP5080" s="34">
        <v>-3</v>
      </c>
      <c r="PYQ5080" s="34">
        <v>-4</v>
      </c>
      <c r="PYR5080" s="34">
        <v>-5</v>
      </c>
      <c r="PYS5080" s="908"/>
      <c r="PYT5080" s="909"/>
      <c r="PYU5080" s="34">
        <v>-5</v>
      </c>
      <c r="PYV5080" s="34">
        <v>-4.5</v>
      </c>
      <c r="PYW5080" s="34">
        <v>-4</v>
      </c>
      <c r="PYX5080" s="34">
        <v>-3.5</v>
      </c>
      <c r="PYY5080" s="34">
        <v>-3</v>
      </c>
      <c r="PYZ5080" s="34">
        <v>-2.5</v>
      </c>
      <c r="PZA5080" s="34">
        <v>-2</v>
      </c>
      <c r="PZB5080" s="34">
        <v>-1.5</v>
      </c>
      <c r="PZC5080" s="34">
        <v>-1</v>
      </c>
      <c r="PZD5080" s="34">
        <v>-0.5</v>
      </c>
      <c r="PZE5080" s="34">
        <v>0</v>
      </c>
      <c r="PZF5080" s="34">
        <v>0.5</v>
      </c>
      <c r="PZG5080" s="34">
        <v>1</v>
      </c>
      <c r="PZH5080" s="34">
        <v>1.5</v>
      </c>
      <c r="PZI5080" s="34">
        <v>2</v>
      </c>
      <c r="PZJ5080" s="34">
        <v>2.5</v>
      </c>
      <c r="PZK5080" s="34">
        <v>3</v>
      </c>
      <c r="PZL5080" s="34">
        <v>3.5</v>
      </c>
      <c r="PZM5080" s="34">
        <v>4</v>
      </c>
      <c r="PZN5080" s="34">
        <v>4.5</v>
      </c>
      <c r="PZO5080" s="34">
        <v>5</v>
      </c>
      <c r="PZQ5080" s="913"/>
      <c r="PZR5080" s="31">
        <v>1</v>
      </c>
      <c r="PZS5080" s="34">
        <v>0</v>
      </c>
      <c r="PZT5080" s="34">
        <v>-1</v>
      </c>
      <c r="PZU5080" s="34">
        <v>-2</v>
      </c>
      <c r="PZV5080" s="34">
        <v>-3</v>
      </c>
      <c r="PZW5080" s="34">
        <v>-4</v>
      </c>
      <c r="PZX5080" s="34">
        <v>-5</v>
      </c>
      <c r="PZY5080" s="908"/>
      <c r="PZZ5080" s="909"/>
      <c r="QAA5080" s="34">
        <v>-5</v>
      </c>
      <c r="QAB5080" s="34">
        <v>-4.5</v>
      </c>
      <c r="QAC5080" s="34">
        <v>-4</v>
      </c>
      <c r="QAD5080" s="34">
        <v>-3.5</v>
      </c>
      <c r="QAE5080" s="34">
        <v>-3</v>
      </c>
      <c r="QAF5080" s="34">
        <v>-2.5</v>
      </c>
      <c r="QAG5080" s="34">
        <v>-2</v>
      </c>
      <c r="QAH5080" s="34">
        <v>-1.5</v>
      </c>
      <c r="QAI5080" s="34">
        <v>-1</v>
      </c>
      <c r="QAJ5080" s="34">
        <v>-0.5</v>
      </c>
      <c r="QAK5080" s="34">
        <v>0</v>
      </c>
      <c r="QAL5080" s="34">
        <v>0.5</v>
      </c>
      <c r="QAM5080" s="34">
        <v>1</v>
      </c>
      <c r="QAN5080" s="34">
        <v>1.5</v>
      </c>
      <c r="QAO5080" s="34">
        <v>2</v>
      </c>
      <c r="QAP5080" s="34">
        <v>2.5</v>
      </c>
      <c r="QAQ5080" s="34">
        <v>3</v>
      </c>
      <c r="QAR5080" s="34">
        <v>3.5</v>
      </c>
      <c r="QAS5080" s="34">
        <v>4</v>
      </c>
      <c r="QAT5080" s="34">
        <v>4.5</v>
      </c>
      <c r="QAU5080" s="34">
        <v>5</v>
      </c>
      <c r="QAW5080" s="913"/>
      <c r="QAX5080" s="31">
        <v>1</v>
      </c>
      <c r="QAY5080" s="34">
        <v>0</v>
      </c>
      <c r="QAZ5080" s="34">
        <v>-1</v>
      </c>
      <c r="QBA5080" s="34">
        <v>-2</v>
      </c>
      <c r="QBB5080" s="34">
        <v>-3</v>
      </c>
      <c r="QBC5080" s="34">
        <v>-4</v>
      </c>
      <c r="QBD5080" s="34">
        <v>-5</v>
      </c>
      <c r="QBE5080" s="908"/>
      <c r="QBF5080" s="909"/>
      <c r="QBG5080" s="34">
        <v>-5</v>
      </c>
      <c r="QBH5080" s="34">
        <v>-4.5</v>
      </c>
      <c r="QBI5080" s="34">
        <v>-4</v>
      </c>
      <c r="QBJ5080" s="34">
        <v>-3.5</v>
      </c>
      <c r="QBK5080" s="34">
        <v>-3</v>
      </c>
      <c r="QBL5080" s="34">
        <v>-2.5</v>
      </c>
      <c r="QBM5080" s="34">
        <v>-2</v>
      </c>
      <c r="QBN5080" s="34">
        <v>-1.5</v>
      </c>
      <c r="QBO5080" s="34">
        <v>-1</v>
      </c>
      <c r="QBP5080" s="34">
        <v>-0.5</v>
      </c>
      <c r="QBQ5080" s="34">
        <v>0</v>
      </c>
      <c r="QBR5080" s="34">
        <v>0.5</v>
      </c>
      <c r="QBS5080" s="34">
        <v>1</v>
      </c>
      <c r="QBT5080" s="34">
        <v>1.5</v>
      </c>
      <c r="QBU5080" s="34">
        <v>2</v>
      </c>
      <c r="QBV5080" s="34">
        <v>2.5</v>
      </c>
      <c r="QBW5080" s="34">
        <v>3</v>
      </c>
      <c r="QBX5080" s="34">
        <v>3.5</v>
      </c>
      <c r="QBY5080" s="34">
        <v>4</v>
      </c>
      <c r="QBZ5080" s="34">
        <v>4.5</v>
      </c>
      <c r="QCA5080" s="34">
        <v>5</v>
      </c>
      <c r="QCC5080" s="913"/>
      <c r="QCD5080" s="31">
        <v>1</v>
      </c>
      <c r="QCE5080" s="34">
        <v>0</v>
      </c>
      <c r="QCF5080" s="34">
        <v>-1</v>
      </c>
      <c r="QCG5080" s="34">
        <v>-2</v>
      </c>
      <c r="QCH5080" s="34">
        <v>-3</v>
      </c>
      <c r="QCI5080" s="34">
        <v>-4</v>
      </c>
      <c r="QCJ5080" s="34">
        <v>-5</v>
      </c>
      <c r="QCK5080" s="908"/>
      <c r="QCL5080" s="909"/>
      <c r="QCM5080" s="34">
        <v>-5</v>
      </c>
      <c r="QCN5080" s="34">
        <v>-4.5</v>
      </c>
      <c r="QCO5080" s="34">
        <v>-4</v>
      </c>
      <c r="QCP5080" s="34">
        <v>-3.5</v>
      </c>
      <c r="QCQ5080" s="34">
        <v>-3</v>
      </c>
      <c r="QCR5080" s="34">
        <v>-2.5</v>
      </c>
      <c r="QCS5080" s="34">
        <v>-2</v>
      </c>
      <c r="QCT5080" s="34">
        <v>-1.5</v>
      </c>
      <c r="QCU5080" s="34">
        <v>-1</v>
      </c>
      <c r="QCV5080" s="34">
        <v>-0.5</v>
      </c>
      <c r="QCW5080" s="34">
        <v>0</v>
      </c>
      <c r="QCX5080" s="34">
        <v>0.5</v>
      </c>
      <c r="QCY5080" s="34">
        <v>1</v>
      </c>
      <c r="QCZ5080" s="34">
        <v>1.5</v>
      </c>
      <c r="QDA5080" s="34">
        <v>2</v>
      </c>
      <c r="QDB5080" s="34">
        <v>2.5</v>
      </c>
      <c r="QDC5080" s="34">
        <v>3</v>
      </c>
      <c r="QDD5080" s="34">
        <v>3.5</v>
      </c>
      <c r="QDE5080" s="34">
        <v>4</v>
      </c>
      <c r="QDF5080" s="34">
        <v>4.5</v>
      </c>
      <c r="QDG5080" s="34">
        <v>5</v>
      </c>
      <c r="QDI5080" s="913"/>
      <c r="QDJ5080" s="31">
        <v>1</v>
      </c>
      <c r="QDK5080" s="34">
        <v>0</v>
      </c>
      <c r="QDL5080" s="34">
        <v>-1</v>
      </c>
      <c r="QDM5080" s="34">
        <v>-2</v>
      </c>
      <c r="QDN5080" s="34">
        <v>-3</v>
      </c>
      <c r="QDO5080" s="34">
        <v>-4</v>
      </c>
      <c r="QDP5080" s="34">
        <v>-5</v>
      </c>
      <c r="QDQ5080" s="908"/>
      <c r="QDR5080" s="909"/>
      <c r="QDS5080" s="34">
        <v>-5</v>
      </c>
      <c r="QDT5080" s="34">
        <v>-4.5</v>
      </c>
      <c r="QDU5080" s="34">
        <v>-4</v>
      </c>
      <c r="QDV5080" s="34">
        <v>-3.5</v>
      </c>
      <c r="QDW5080" s="34">
        <v>-3</v>
      </c>
      <c r="QDX5080" s="34">
        <v>-2.5</v>
      </c>
      <c r="QDY5080" s="34">
        <v>-2</v>
      </c>
      <c r="QDZ5080" s="34">
        <v>-1.5</v>
      </c>
      <c r="QEA5080" s="34">
        <v>-1</v>
      </c>
      <c r="QEB5080" s="34">
        <v>-0.5</v>
      </c>
      <c r="QEC5080" s="34">
        <v>0</v>
      </c>
      <c r="QED5080" s="34">
        <v>0.5</v>
      </c>
      <c r="QEE5080" s="34">
        <v>1</v>
      </c>
      <c r="QEF5080" s="34">
        <v>1.5</v>
      </c>
      <c r="QEG5080" s="34">
        <v>2</v>
      </c>
      <c r="QEH5080" s="34">
        <v>2.5</v>
      </c>
      <c r="QEI5080" s="34">
        <v>3</v>
      </c>
      <c r="QEJ5080" s="34">
        <v>3.5</v>
      </c>
      <c r="QEK5080" s="34">
        <v>4</v>
      </c>
      <c r="QEL5080" s="34">
        <v>4.5</v>
      </c>
      <c r="QEM5080" s="34">
        <v>5</v>
      </c>
      <c r="QEO5080" s="913"/>
      <c r="QEP5080" s="31">
        <v>1</v>
      </c>
      <c r="QEQ5080" s="34">
        <v>0</v>
      </c>
      <c r="QER5080" s="34">
        <v>-1</v>
      </c>
      <c r="QES5080" s="34">
        <v>-2</v>
      </c>
      <c r="QET5080" s="34">
        <v>-3</v>
      </c>
      <c r="QEU5080" s="34">
        <v>-4</v>
      </c>
      <c r="QEV5080" s="34">
        <v>-5</v>
      </c>
      <c r="QEW5080" s="908"/>
      <c r="QEX5080" s="909"/>
      <c r="QEY5080" s="34">
        <v>-5</v>
      </c>
      <c r="QEZ5080" s="34">
        <v>-4.5</v>
      </c>
      <c r="QFA5080" s="34">
        <v>-4</v>
      </c>
      <c r="QFB5080" s="34">
        <v>-3.5</v>
      </c>
      <c r="QFC5080" s="34">
        <v>-3</v>
      </c>
      <c r="QFD5080" s="34">
        <v>-2.5</v>
      </c>
      <c r="QFE5080" s="34">
        <v>-2</v>
      </c>
      <c r="QFF5080" s="34">
        <v>-1.5</v>
      </c>
      <c r="QFG5080" s="34">
        <v>-1</v>
      </c>
      <c r="QFH5080" s="34">
        <v>-0.5</v>
      </c>
      <c r="QFI5080" s="34">
        <v>0</v>
      </c>
      <c r="QFJ5080" s="34">
        <v>0.5</v>
      </c>
      <c r="QFK5080" s="34">
        <v>1</v>
      </c>
      <c r="QFL5080" s="34">
        <v>1.5</v>
      </c>
      <c r="QFM5080" s="34">
        <v>2</v>
      </c>
      <c r="QFN5080" s="34">
        <v>2.5</v>
      </c>
      <c r="QFO5080" s="34">
        <v>3</v>
      </c>
      <c r="QFP5080" s="34">
        <v>3.5</v>
      </c>
      <c r="QFQ5080" s="34">
        <v>4</v>
      </c>
      <c r="QFR5080" s="34">
        <v>4.5</v>
      </c>
      <c r="QFS5080" s="34">
        <v>5</v>
      </c>
      <c r="QFU5080" s="913"/>
      <c r="QFV5080" s="31">
        <v>1</v>
      </c>
      <c r="QFW5080" s="34">
        <v>0</v>
      </c>
      <c r="QFX5080" s="34">
        <v>-1</v>
      </c>
      <c r="QFY5080" s="34">
        <v>-2</v>
      </c>
      <c r="QFZ5080" s="34">
        <v>-3</v>
      </c>
      <c r="QGA5080" s="34">
        <v>-4</v>
      </c>
      <c r="QGB5080" s="34">
        <v>-5</v>
      </c>
      <c r="QGC5080" s="908"/>
      <c r="QGD5080" s="909"/>
      <c r="QGE5080" s="34">
        <v>-5</v>
      </c>
      <c r="QGF5080" s="34">
        <v>-4.5</v>
      </c>
      <c r="QGG5080" s="34">
        <v>-4</v>
      </c>
      <c r="QGH5080" s="34">
        <v>-3.5</v>
      </c>
      <c r="QGI5080" s="34">
        <v>-3</v>
      </c>
      <c r="QGJ5080" s="34">
        <v>-2.5</v>
      </c>
      <c r="QGK5080" s="34">
        <v>-2</v>
      </c>
      <c r="QGL5080" s="34">
        <v>-1.5</v>
      </c>
      <c r="QGM5080" s="34">
        <v>-1</v>
      </c>
      <c r="QGN5080" s="34">
        <v>-0.5</v>
      </c>
      <c r="QGO5080" s="34">
        <v>0</v>
      </c>
      <c r="QGP5080" s="34">
        <v>0.5</v>
      </c>
      <c r="QGQ5080" s="34">
        <v>1</v>
      </c>
      <c r="QGR5080" s="34">
        <v>1.5</v>
      </c>
      <c r="QGS5080" s="34">
        <v>2</v>
      </c>
      <c r="QGT5080" s="34">
        <v>2.5</v>
      </c>
      <c r="QGU5080" s="34">
        <v>3</v>
      </c>
      <c r="QGV5080" s="34">
        <v>3.5</v>
      </c>
      <c r="QGW5080" s="34">
        <v>4</v>
      </c>
      <c r="QGX5080" s="34">
        <v>4.5</v>
      </c>
      <c r="QGY5080" s="34">
        <v>5</v>
      </c>
      <c r="QHA5080" s="913"/>
      <c r="QHB5080" s="31">
        <v>1</v>
      </c>
      <c r="QHC5080" s="34">
        <v>0</v>
      </c>
      <c r="QHD5080" s="34">
        <v>-1</v>
      </c>
      <c r="QHE5080" s="34">
        <v>-2</v>
      </c>
      <c r="QHF5080" s="34">
        <v>-3</v>
      </c>
      <c r="QHG5080" s="34">
        <v>-4</v>
      </c>
      <c r="QHH5080" s="34">
        <v>-5</v>
      </c>
      <c r="QHI5080" s="908"/>
      <c r="QHJ5080" s="909"/>
      <c r="QHK5080" s="34">
        <v>-5</v>
      </c>
      <c r="QHL5080" s="34">
        <v>-4.5</v>
      </c>
      <c r="QHM5080" s="34">
        <v>-4</v>
      </c>
      <c r="QHN5080" s="34">
        <v>-3.5</v>
      </c>
      <c r="QHO5080" s="34">
        <v>-3</v>
      </c>
      <c r="QHP5080" s="34">
        <v>-2.5</v>
      </c>
      <c r="QHQ5080" s="34">
        <v>-2</v>
      </c>
      <c r="QHR5080" s="34">
        <v>-1.5</v>
      </c>
      <c r="QHS5080" s="34">
        <v>-1</v>
      </c>
      <c r="QHT5080" s="34">
        <v>-0.5</v>
      </c>
      <c r="QHU5080" s="34">
        <v>0</v>
      </c>
      <c r="QHV5080" s="34">
        <v>0.5</v>
      </c>
      <c r="QHW5080" s="34">
        <v>1</v>
      </c>
      <c r="QHX5080" s="34">
        <v>1.5</v>
      </c>
      <c r="QHY5080" s="34">
        <v>2</v>
      </c>
      <c r="QHZ5080" s="34">
        <v>2.5</v>
      </c>
      <c r="QIA5080" s="34">
        <v>3</v>
      </c>
      <c r="QIB5080" s="34">
        <v>3.5</v>
      </c>
      <c r="QIC5080" s="34">
        <v>4</v>
      </c>
      <c r="QID5080" s="34">
        <v>4.5</v>
      </c>
      <c r="QIE5080" s="34">
        <v>5</v>
      </c>
      <c r="QIG5080" s="913"/>
      <c r="QIH5080" s="31">
        <v>1</v>
      </c>
      <c r="QII5080" s="34">
        <v>0</v>
      </c>
      <c r="QIJ5080" s="34">
        <v>-1</v>
      </c>
      <c r="QIK5080" s="34">
        <v>-2</v>
      </c>
      <c r="QIL5080" s="34">
        <v>-3</v>
      </c>
      <c r="QIM5080" s="34">
        <v>-4</v>
      </c>
      <c r="QIN5080" s="34">
        <v>-5</v>
      </c>
      <c r="QIO5080" s="908"/>
      <c r="QIP5080" s="909"/>
      <c r="QIQ5080" s="34">
        <v>-5</v>
      </c>
      <c r="QIR5080" s="34">
        <v>-4.5</v>
      </c>
      <c r="QIS5080" s="34">
        <v>-4</v>
      </c>
      <c r="QIT5080" s="34">
        <v>-3.5</v>
      </c>
      <c r="QIU5080" s="34">
        <v>-3</v>
      </c>
      <c r="QIV5080" s="34">
        <v>-2.5</v>
      </c>
      <c r="QIW5080" s="34">
        <v>-2</v>
      </c>
      <c r="QIX5080" s="34">
        <v>-1.5</v>
      </c>
      <c r="QIY5080" s="34">
        <v>-1</v>
      </c>
      <c r="QIZ5080" s="34">
        <v>-0.5</v>
      </c>
      <c r="QJA5080" s="34">
        <v>0</v>
      </c>
      <c r="QJB5080" s="34">
        <v>0.5</v>
      </c>
      <c r="QJC5080" s="34">
        <v>1</v>
      </c>
      <c r="QJD5080" s="34">
        <v>1.5</v>
      </c>
      <c r="QJE5080" s="34">
        <v>2</v>
      </c>
      <c r="QJF5080" s="34">
        <v>2.5</v>
      </c>
      <c r="QJG5080" s="34">
        <v>3</v>
      </c>
      <c r="QJH5080" s="34">
        <v>3.5</v>
      </c>
      <c r="QJI5080" s="34">
        <v>4</v>
      </c>
      <c r="QJJ5080" s="34">
        <v>4.5</v>
      </c>
      <c r="QJK5080" s="34">
        <v>5</v>
      </c>
      <c r="QJM5080" s="913"/>
      <c r="QJN5080" s="31">
        <v>1</v>
      </c>
      <c r="QJO5080" s="34">
        <v>0</v>
      </c>
      <c r="QJP5080" s="34">
        <v>-1</v>
      </c>
      <c r="QJQ5080" s="34">
        <v>-2</v>
      </c>
      <c r="QJR5080" s="34">
        <v>-3</v>
      </c>
      <c r="QJS5080" s="34">
        <v>-4</v>
      </c>
      <c r="QJT5080" s="34">
        <v>-5</v>
      </c>
      <c r="QJU5080" s="908"/>
      <c r="QJV5080" s="909"/>
      <c r="QJW5080" s="34">
        <v>-5</v>
      </c>
      <c r="QJX5080" s="34">
        <v>-4.5</v>
      </c>
      <c r="QJY5080" s="34">
        <v>-4</v>
      </c>
      <c r="QJZ5080" s="34">
        <v>-3.5</v>
      </c>
      <c r="QKA5080" s="34">
        <v>-3</v>
      </c>
      <c r="QKB5080" s="34">
        <v>-2.5</v>
      </c>
      <c r="QKC5080" s="34">
        <v>-2</v>
      </c>
      <c r="QKD5080" s="34">
        <v>-1.5</v>
      </c>
      <c r="QKE5080" s="34">
        <v>-1</v>
      </c>
      <c r="QKF5080" s="34">
        <v>-0.5</v>
      </c>
      <c r="QKG5080" s="34">
        <v>0</v>
      </c>
      <c r="QKH5080" s="34">
        <v>0.5</v>
      </c>
      <c r="QKI5080" s="34">
        <v>1</v>
      </c>
      <c r="QKJ5080" s="34">
        <v>1.5</v>
      </c>
      <c r="QKK5080" s="34">
        <v>2</v>
      </c>
      <c r="QKL5080" s="34">
        <v>2.5</v>
      </c>
      <c r="QKM5080" s="34">
        <v>3</v>
      </c>
      <c r="QKN5080" s="34">
        <v>3.5</v>
      </c>
      <c r="QKO5080" s="34">
        <v>4</v>
      </c>
      <c r="QKP5080" s="34">
        <v>4.5</v>
      </c>
      <c r="QKQ5080" s="34">
        <v>5</v>
      </c>
      <c r="QKS5080" s="913"/>
      <c r="QKT5080" s="31">
        <v>1</v>
      </c>
      <c r="QKU5080" s="34">
        <v>0</v>
      </c>
      <c r="QKV5080" s="34">
        <v>-1</v>
      </c>
      <c r="QKW5080" s="34">
        <v>-2</v>
      </c>
      <c r="QKX5080" s="34">
        <v>-3</v>
      </c>
      <c r="QKY5080" s="34">
        <v>-4</v>
      </c>
      <c r="QKZ5080" s="34">
        <v>-5</v>
      </c>
      <c r="QLA5080" s="908"/>
      <c r="QLB5080" s="909"/>
      <c r="QLC5080" s="34">
        <v>-5</v>
      </c>
      <c r="QLD5080" s="34">
        <v>-4.5</v>
      </c>
      <c r="QLE5080" s="34">
        <v>-4</v>
      </c>
      <c r="QLF5080" s="34">
        <v>-3.5</v>
      </c>
      <c r="QLG5080" s="34">
        <v>-3</v>
      </c>
      <c r="QLH5080" s="34">
        <v>-2.5</v>
      </c>
      <c r="QLI5080" s="34">
        <v>-2</v>
      </c>
      <c r="QLJ5080" s="34">
        <v>-1.5</v>
      </c>
      <c r="QLK5080" s="34">
        <v>-1</v>
      </c>
      <c r="QLL5080" s="34">
        <v>-0.5</v>
      </c>
      <c r="QLM5080" s="34">
        <v>0</v>
      </c>
      <c r="QLN5080" s="34">
        <v>0.5</v>
      </c>
      <c r="QLO5080" s="34">
        <v>1</v>
      </c>
      <c r="QLP5080" s="34">
        <v>1.5</v>
      </c>
      <c r="QLQ5080" s="34">
        <v>2</v>
      </c>
      <c r="QLR5080" s="34">
        <v>2.5</v>
      </c>
      <c r="QLS5080" s="34">
        <v>3</v>
      </c>
      <c r="QLT5080" s="34">
        <v>3.5</v>
      </c>
      <c r="QLU5080" s="34">
        <v>4</v>
      </c>
      <c r="QLV5080" s="34">
        <v>4.5</v>
      </c>
      <c r="QLW5080" s="34">
        <v>5</v>
      </c>
      <c r="QLY5080" s="913"/>
      <c r="QLZ5080" s="31">
        <v>1</v>
      </c>
      <c r="QMA5080" s="34">
        <v>0</v>
      </c>
      <c r="QMB5080" s="34">
        <v>-1</v>
      </c>
      <c r="QMC5080" s="34">
        <v>-2</v>
      </c>
      <c r="QMD5080" s="34">
        <v>-3</v>
      </c>
      <c r="QME5080" s="34">
        <v>-4</v>
      </c>
      <c r="QMF5080" s="34">
        <v>-5</v>
      </c>
      <c r="QMG5080" s="908"/>
      <c r="QMH5080" s="909"/>
      <c r="QMI5080" s="34">
        <v>-5</v>
      </c>
      <c r="QMJ5080" s="34">
        <v>-4.5</v>
      </c>
      <c r="QMK5080" s="34">
        <v>-4</v>
      </c>
      <c r="QML5080" s="34">
        <v>-3.5</v>
      </c>
      <c r="QMM5080" s="34">
        <v>-3</v>
      </c>
      <c r="QMN5080" s="34">
        <v>-2.5</v>
      </c>
      <c r="QMO5080" s="34">
        <v>-2</v>
      </c>
      <c r="QMP5080" s="34">
        <v>-1.5</v>
      </c>
      <c r="QMQ5080" s="34">
        <v>-1</v>
      </c>
      <c r="QMR5080" s="34">
        <v>-0.5</v>
      </c>
      <c r="QMS5080" s="34">
        <v>0</v>
      </c>
      <c r="QMT5080" s="34">
        <v>0.5</v>
      </c>
      <c r="QMU5080" s="34">
        <v>1</v>
      </c>
      <c r="QMV5080" s="34">
        <v>1.5</v>
      </c>
      <c r="QMW5080" s="34">
        <v>2</v>
      </c>
      <c r="QMX5080" s="34">
        <v>2.5</v>
      </c>
      <c r="QMY5080" s="34">
        <v>3</v>
      </c>
      <c r="QMZ5080" s="34">
        <v>3.5</v>
      </c>
      <c r="QNA5080" s="34">
        <v>4</v>
      </c>
      <c r="QNB5080" s="34">
        <v>4.5</v>
      </c>
      <c r="QNC5080" s="34">
        <v>5</v>
      </c>
      <c r="QNE5080" s="913"/>
      <c r="QNF5080" s="31">
        <v>1</v>
      </c>
      <c r="QNG5080" s="34">
        <v>0</v>
      </c>
      <c r="QNH5080" s="34">
        <v>-1</v>
      </c>
      <c r="QNI5080" s="34">
        <v>-2</v>
      </c>
      <c r="QNJ5080" s="34">
        <v>-3</v>
      </c>
      <c r="QNK5080" s="34">
        <v>-4</v>
      </c>
      <c r="QNL5080" s="34">
        <v>-5</v>
      </c>
      <c r="QNM5080" s="908"/>
      <c r="QNN5080" s="909"/>
      <c r="QNO5080" s="34">
        <v>-5</v>
      </c>
      <c r="QNP5080" s="34">
        <v>-4.5</v>
      </c>
      <c r="QNQ5080" s="34">
        <v>-4</v>
      </c>
      <c r="QNR5080" s="34">
        <v>-3.5</v>
      </c>
      <c r="QNS5080" s="34">
        <v>-3</v>
      </c>
      <c r="QNT5080" s="34">
        <v>-2.5</v>
      </c>
      <c r="QNU5080" s="34">
        <v>-2</v>
      </c>
      <c r="QNV5080" s="34">
        <v>-1.5</v>
      </c>
      <c r="QNW5080" s="34">
        <v>-1</v>
      </c>
      <c r="QNX5080" s="34">
        <v>-0.5</v>
      </c>
      <c r="QNY5080" s="34">
        <v>0</v>
      </c>
      <c r="QNZ5080" s="34">
        <v>0.5</v>
      </c>
      <c r="QOA5080" s="34">
        <v>1</v>
      </c>
      <c r="QOB5080" s="34">
        <v>1.5</v>
      </c>
      <c r="QOC5080" s="34">
        <v>2</v>
      </c>
      <c r="QOD5080" s="34">
        <v>2.5</v>
      </c>
      <c r="QOE5080" s="34">
        <v>3</v>
      </c>
      <c r="QOF5080" s="34">
        <v>3.5</v>
      </c>
      <c r="QOG5080" s="34">
        <v>4</v>
      </c>
      <c r="QOH5080" s="34">
        <v>4.5</v>
      </c>
      <c r="QOI5080" s="34">
        <v>5</v>
      </c>
      <c r="QOK5080" s="913"/>
      <c r="QOL5080" s="31">
        <v>1</v>
      </c>
      <c r="QOM5080" s="34">
        <v>0</v>
      </c>
      <c r="QON5080" s="34">
        <v>-1</v>
      </c>
      <c r="QOO5080" s="34">
        <v>-2</v>
      </c>
      <c r="QOP5080" s="34">
        <v>-3</v>
      </c>
      <c r="QOQ5080" s="34">
        <v>-4</v>
      </c>
      <c r="QOR5080" s="34">
        <v>-5</v>
      </c>
      <c r="QOS5080" s="908"/>
      <c r="QOT5080" s="909"/>
      <c r="QOU5080" s="34">
        <v>-5</v>
      </c>
      <c r="QOV5080" s="34">
        <v>-4.5</v>
      </c>
      <c r="QOW5080" s="34">
        <v>-4</v>
      </c>
      <c r="QOX5080" s="34">
        <v>-3.5</v>
      </c>
      <c r="QOY5080" s="34">
        <v>-3</v>
      </c>
      <c r="QOZ5080" s="34">
        <v>-2.5</v>
      </c>
      <c r="QPA5080" s="34">
        <v>-2</v>
      </c>
      <c r="QPB5080" s="34">
        <v>-1.5</v>
      </c>
      <c r="QPC5080" s="34">
        <v>-1</v>
      </c>
      <c r="QPD5080" s="34">
        <v>-0.5</v>
      </c>
      <c r="QPE5080" s="34">
        <v>0</v>
      </c>
      <c r="QPF5080" s="34">
        <v>0.5</v>
      </c>
      <c r="QPG5080" s="34">
        <v>1</v>
      </c>
      <c r="QPH5080" s="34">
        <v>1.5</v>
      </c>
      <c r="QPI5080" s="34">
        <v>2</v>
      </c>
      <c r="QPJ5080" s="34">
        <v>2.5</v>
      </c>
      <c r="QPK5080" s="34">
        <v>3</v>
      </c>
      <c r="QPL5080" s="34">
        <v>3.5</v>
      </c>
      <c r="QPM5080" s="34">
        <v>4</v>
      </c>
      <c r="QPN5080" s="34">
        <v>4.5</v>
      </c>
      <c r="QPO5080" s="34">
        <v>5</v>
      </c>
      <c r="QPQ5080" s="913"/>
      <c r="QPR5080" s="31">
        <v>1</v>
      </c>
      <c r="QPS5080" s="34">
        <v>0</v>
      </c>
      <c r="QPT5080" s="34">
        <v>-1</v>
      </c>
      <c r="QPU5080" s="34">
        <v>-2</v>
      </c>
      <c r="QPV5080" s="34">
        <v>-3</v>
      </c>
      <c r="QPW5080" s="34">
        <v>-4</v>
      </c>
      <c r="QPX5080" s="34">
        <v>-5</v>
      </c>
      <c r="QPY5080" s="908"/>
      <c r="QPZ5080" s="909"/>
      <c r="QQA5080" s="34">
        <v>-5</v>
      </c>
      <c r="QQB5080" s="34">
        <v>-4.5</v>
      </c>
      <c r="QQC5080" s="34">
        <v>-4</v>
      </c>
      <c r="QQD5080" s="34">
        <v>-3.5</v>
      </c>
      <c r="QQE5080" s="34">
        <v>-3</v>
      </c>
      <c r="QQF5080" s="34">
        <v>-2.5</v>
      </c>
      <c r="QQG5080" s="34">
        <v>-2</v>
      </c>
      <c r="QQH5080" s="34">
        <v>-1.5</v>
      </c>
      <c r="QQI5080" s="34">
        <v>-1</v>
      </c>
      <c r="QQJ5080" s="34">
        <v>-0.5</v>
      </c>
      <c r="QQK5080" s="34">
        <v>0</v>
      </c>
      <c r="QQL5080" s="34">
        <v>0.5</v>
      </c>
      <c r="QQM5080" s="34">
        <v>1</v>
      </c>
      <c r="QQN5080" s="34">
        <v>1.5</v>
      </c>
      <c r="QQO5080" s="34">
        <v>2</v>
      </c>
      <c r="QQP5080" s="34">
        <v>2.5</v>
      </c>
      <c r="QQQ5080" s="34">
        <v>3</v>
      </c>
      <c r="QQR5080" s="34">
        <v>3.5</v>
      </c>
      <c r="QQS5080" s="34">
        <v>4</v>
      </c>
      <c r="QQT5080" s="34">
        <v>4.5</v>
      </c>
      <c r="QQU5080" s="34">
        <v>5</v>
      </c>
      <c r="QQW5080" s="913"/>
      <c r="QQX5080" s="31">
        <v>1</v>
      </c>
      <c r="QQY5080" s="34">
        <v>0</v>
      </c>
      <c r="QQZ5080" s="34">
        <v>-1</v>
      </c>
      <c r="QRA5080" s="34">
        <v>-2</v>
      </c>
      <c r="QRB5080" s="34">
        <v>-3</v>
      </c>
      <c r="QRC5080" s="34">
        <v>-4</v>
      </c>
      <c r="QRD5080" s="34">
        <v>-5</v>
      </c>
      <c r="QRE5080" s="908"/>
      <c r="QRF5080" s="909"/>
      <c r="QRG5080" s="34">
        <v>-5</v>
      </c>
      <c r="QRH5080" s="34">
        <v>-4.5</v>
      </c>
      <c r="QRI5080" s="34">
        <v>-4</v>
      </c>
      <c r="QRJ5080" s="34">
        <v>-3.5</v>
      </c>
      <c r="QRK5080" s="34">
        <v>-3</v>
      </c>
      <c r="QRL5080" s="34">
        <v>-2.5</v>
      </c>
      <c r="QRM5080" s="34">
        <v>-2</v>
      </c>
      <c r="QRN5080" s="34">
        <v>-1.5</v>
      </c>
      <c r="QRO5080" s="34">
        <v>-1</v>
      </c>
      <c r="QRP5080" s="34">
        <v>-0.5</v>
      </c>
      <c r="QRQ5080" s="34">
        <v>0</v>
      </c>
      <c r="QRR5080" s="34">
        <v>0.5</v>
      </c>
      <c r="QRS5080" s="34">
        <v>1</v>
      </c>
      <c r="QRT5080" s="34">
        <v>1.5</v>
      </c>
      <c r="QRU5080" s="34">
        <v>2</v>
      </c>
      <c r="QRV5080" s="34">
        <v>2.5</v>
      </c>
      <c r="QRW5080" s="34">
        <v>3</v>
      </c>
      <c r="QRX5080" s="34">
        <v>3.5</v>
      </c>
      <c r="QRY5080" s="34">
        <v>4</v>
      </c>
      <c r="QRZ5080" s="34">
        <v>4.5</v>
      </c>
      <c r="QSA5080" s="34">
        <v>5</v>
      </c>
      <c r="QSC5080" s="913"/>
      <c r="QSD5080" s="31">
        <v>1</v>
      </c>
      <c r="QSE5080" s="34">
        <v>0</v>
      </c>
      <c r="QSF5080" s="34">
        <v>-1</v>
      </c>
      <c r="QSG5080" s="34">
        <v>-2</v>
      </c>
      <c r="QSH5080" s="34">
        <v>-3</v>
      </c>
      <c r="QSI5080" s="34">
        <v>-4</v>
      </c>
      <c r="QSJ5080" s="34">
        <v>-5</v>
      </c>
      <c r="QSK5080" s="908"/>
      <c r="QSL5080" s="909"/>
      <c r="QSM5080" s="34">
        <v>-5</v>
      </c>
      <c r="QSN5080" s="34">
        <v>-4.5</v>
      </c>
      <c r="QSO5080" s="34">
        <v>-4</v>
      </c>
      <c r="QSP5080" s="34">
        <v>-3.5</v>
      </c>
      <c r="QSQ5080" s="34">
        <v>-3</v>
      </c>
      <c r="QSR5080" s="34">
        <v>-2.5</v>
      </c>
      <c r="QSS5080" s="34">
        <v>-2</v>
      </c>
      <c r="QST5080" s="34">
        <v>-1.5</v>
      </c>
      <c r="QSU5080" s="34">
        <v>-1</v>
      </c>
      <c r="QSV5080" s="34">
        <v>-0.5</v>
      </c>
      <c r="QSW5080" s="34">
        <v>0</v>
      </c>
      <c r="QSX5080" s="34">
        <v>0.5</v>
      </c>
      <c r="QSY5080" s="34">
        <v>1</v>
      </c>
      <c r="QSZ5080" s="34">
        <v>1.5</v>
      </c>
      <c r="QTA5080" s="34">
        <v>2</v>
      </c>
      <c r="QTB5080" s="34">
        <v>2.5</v>
      </c>
      <c r="QTC5080" s="34">
        <v>3</v>
      </c>
      <c r="QTD5080" s="34">
        <v>3.5</v>
      </c>
      <c r="QTE5080" s="34">
        <v>4</v>
      </c>
      <c r="QTF5080" s="34">
        <v>4.5</v>
      </c>
      <c r="QTG5080" s="34">
        <v>5</v>
      </c>
      <c r="QTI5080" s="913"/>
      <c r="QTJ5080" s="31">
        <v>1</v>
      </c>
      <c r="QTK5080" s="34">
        <v>0</v>
      </c>
      <c r="QTL5080" s="34">
        <v>-1</v>
      </c>
      <c r="QTM5080" s="34">
        <v>-2</v>
      </c>
      <c r="QTN5080" s="34">
        <v>-3</v>
      </c>
      <c r="QTO5080" s="34">
        <v>-4</v>
      </c>
      <c r="QTP5080" s="34">
        <v>-5</v>
      </c>
      <c r="QTQ5080" s="908"/>
      <c r="QTR5080" s="909"/>
      <c r="QTS5080" s="34">
        <v>-5</v>
      </c>
      <c r="QTT5080" s="34">
        <v>-4.5</v>
      </c>
      <c r="QTU5080" s="34">
        <v>-4</v>
      </c>
      <c r="QTV5080" s="34">
        <v>-3.5</v>
      </c>
      <c r="QTW5080" s="34">
        <v>-3</v>
      </c>
      <c r="QTX5080" s="34">
        <v>-2.5</v>
      </c>
      <c r="QTY5080" s="34">
        <v>-2</v>
      </c>
      <c r="QTZ5080" s="34">
        <v>-1.5</v>
      </c>
      <c r="QUA5080" s="34">
        <v>-1</v>
      </c>
      <c r="QUB5080" s="34">
        <v>-0.5</v>
      </c>
      <c r="QUC5080" s="34">
        <v>0</v>
      </c>
      <c r="QUD5080" s="34">
        <v>0.5</v>
      </c>
      <c r="QUE5080" s="34">
        <v>1</v>
      </c>
      <c r="QUF5080" s="34">
        <v>1.5</v>
      </c>
      <c r="QUG5080" s="34">
        <v>2</v>
      </c>
      <c r="QUH5080" s="34">
        <v>2.5</v>
      </c>
      <c r="QUI5080" s="34">
        <v>3</v>
      </c>
      <c r="QUJ5080" s="34">
        <v>3.5</v>
      </c>
      <c r="QUK5080" s="34">
        <v>4</v>
      </c>
      <c r="QUL5080" s="34">
        <v>4.5</v>
      </c>
      <c r="QUM5080" s="34">
        <v>5</v>
      </c>
      <c r="QUO5080" s="913"/>
      <c r="QUP5080" s="31">
        <v>1</v>
      </c>
      <c r="QUQ5080" s="34">
        <v>0</v>
      </c>
      <c r="QUR5080" s="34">
        <v>-1</v>
      </c>
      <c r="QUS5080" s="34">
        <v>-2</v>
      </c>
      <c r="QUT5080" s="34">
        <v>-3</v>
      </c>
      <c r="QUU5080" s="34">
        <v>-4</v>
      </c>
      <c r="QUV5080" s="34">
        <v>-5</v>
      </c>
      <c r="QUW5080" s="908"/>
      <c r="QUX5080" s="909"/>
      <c r="QUY5080" s="34">
        <v>-5</v>
      </c>
      <c r="QUZ5080" s="34">
        <v>-4.5</v>
      </c>
      <c r="QVA5080" s="34">
        <v>-4</v>
      </c>
      <c r="QVB5080" s="34">
        <v>-3.5</v>
      </c>
      <c r="QVC5080" s="34">
        <v>-3</v>
      </c>
      <c r="QVD5080" s="34">
        <v>-2.5</v>
      </c>
      <c r="QVE5080" s="34">
        <v>-2</v>
      </c>
      <c r="QVF5080" s="34">
        <v>-1.5</v>
      </c>
      <c r="QVG5080" s="34">
        <v>-1</v>
      </c>
      <c r="QVH5080" s="34">
        <v>-0.5</v>
      </c>
      <c r="QVI5080" s="34">
        <v>0</v>
      </c>
      <c r="QVJ5080" s="34">
        <v>0.5</v>
      </c>
      <c r="QVK5080" s="34">
        <v>1</v>
      </c>
      <c r="QVL5080" s="34">
        <v>1.5</v>
      </c>
      <c r="QVM5080" s="34">
        <v>2</v>
      </c>
      <c r="QVN5080" s="34">
        <v>2.5</v>
      </c>
      <c r="QVO5080" s="34">
        <v>3</v>
      </c>
      <c r="QVP5080" s="34">
        <v>3.5</v>
      </c>
      <c r="QVQ5080" s="34">
        <v>4</v>
      </c>
      <c r="QVR5080" s="34">
        <v>4.5</v>
      </c>
      <c r="QVS5080" s="34">
        <v>5</v>
      </c>
      <c r="QVU5080" s="913"/>
      <c r="QVV5080" s="31">
        <v>1</v>
      </c>
      <c r="QVW5080" s="34">
        <v>0</v>
      </c>
      <c r="QVX5080" s="34">
        <v>-1</v>
      </c>
      <c r="QVY5080" s="34">
        <v>-2</v>
      </c>
      <c r="QVZ5080" s="34">
        <v>-3</v>
      </c>
      <c r="QWA5080" s="34">
        <v>-4</v>
      </c>
      <c r="QWB5080" s="34">
        <v>-5</v>
      </c>
      <c r="QWC5080" s="908"/>
      <c r="QWD5080" s="909"/>
      <c r="QWE5080" s="34">
        <v>-5</v>
      </c>
      <c r="QWF5080" s="34">
        <v>-4.5</v>
      </c>
      <c r="QWG5080" s="34">
        <v>-4</v>
      </c>
      <c r="QWH5080" s="34">
        <v>-3.5</v>
      </c>
      <c r="QWI5080" s="34">
        <v>-3</v>
      </c>
      <c r="QWJ5080" s="34">
        <v>-2.5</v>
      </c>
      <c r="QWK5080" s="34">
        <v>-2</v>
      </c>
      <c r="QWL5080" s="34">
        <v>-1.5</v>
      </c>
      <c r="QWM5080" s="34">
        <v>-1</v>
      </c>
      <c r="QWN5080" s="34">
        <v>-0.5</v>
      </c>
      <c r="QWO5080" s="34">
        <v>0</v>
      </c>
      <c r="QWP5080" s="34">
        <v>0.5</v>
      </c>
      <c r="QWQ5080" s="34">
        <v>1</v>
      </c>
      <c r="QWR5080" s="34">
        <v>1.5</v>
      </c>
      <c r="QWS5080" s="34">
        <v>2</v>
      </c>
      <c r="QWT5080" s="34">
        <v>2.5</v>
      </c>
      <c r="QWU5080" s="34">
        <v>3</v>
      </c>
      <c r="QWV5080" s="34">
        <v>3.5</v>
      </c>
      <c r="QWW5080" s="34">
        <v>4</v>
      </c>
      <c r="QWX5080" s="34">
        <v>4.5</v>
      </c>
      <c r="QWY5080" s="34">
        <v>5</v>
      </c>
      <c r="QXA5080" s="913"/>
      <c r="QXB5080" s="31">
        <v>1</v>
      </c>
      <c r="QXC5080" s="34">
        <v>0</v>
      </c>
      <c r="QXD5080" s="34">
        <v>-1</v>
      </c>
      <c r="QXE5080" s="34">
        <v>-2</v>
      </c>
      <c r="QXF5080" s="34">
        <v>-3</v>
      </c>
      <c r="QXG5080" s="34">
        <v>-4</v>
      </c>
      <c r="QXH5080" s="34">
        <v>-5</v>
      </c>
      <c r="QXI5080" s="908"/>
      <c r="QXJ5080" s="909"/>
      <c r="QXK5080" s="34">
        <v>-5</v>
      </c>
      <c r="QXL5080" s="34">
        <v>-4.5</v>
      </c>
      <c r="QXM5080" s="34">
        <v>-4</v>
      </c>
      <c r="QXN5080" s="34">
        <v>-3.5</v>
      </c>
      <c r="QXO5080" s="34">
        <v>-3</v>
      </c>
      <c r="QXP5080" s="34">
        <v>-2.5</v>
      </c>
      <c r="QXQ5080" s="34">
        <v>-2</v>
      </c>
      <c r="QXR5080" s="34">
        <v>-1.5</v>
      </c>
      <c r="QXS5080" s="34">
        <v>-1</v>
      </c>
      <c r="QXT5080" s="34">
        <v>-0.5</v>
      </c>
      <c r="QXU5080" s="34">
        <v>0</v>
      </c>
      <c r="QXV5080" s="34">
        <v>0.5</v>
      </c>
      <c r="QXW5080" s="34">
        <v>1</v>
      </c>
      <c r="QXX5080" s="34">
        <v>1.5</v>
      </c>
      <c r="QXY5080" s="34">
        <v>2</v>
      </c>
      <c r="QXZ5080" s="34">
        <v>2.5</v>
      </c>
      <c r="QYA5080" s="34">
        <v>3</v>
      </c>
      <c r="QYB5080" s="34">
        <v>3.5</v>
      </c>
      <c r="QYC5080" s="34">
        <v>4</v>
      </c>
      <c r="QYD5080" s="34">
        <v>4.5</v>
      </c>
      <c r="QYE5080" s="34">
        <v>5</v>
      </c>
      <c r="QYG5080" s="913"/>
      <c r="QYH5080" s="31">
        <v>1</v>
      </c>
      <c r="QYI5080" s="34">
        <v>0</v>
      </c>
      <c r="QYJ5080" s="34">
        <v>-1</v>
      </c>
      <c r="QYK5080" s="34">
        <v>-2</v>
      </c>
      <c r="QYL5080" s="34">
        <v>-3</v>
      </c>
      <c r="QYM5080" s="34">
        <v>-4</v>
      </c>
      <c r="QYN5080" s="34">
        <v>-5</v>
      </c>
      <c r="QYO5080" s="908"/>
      <c r="QYP5080" s="909"/>
      <c r="QYQ5080" s="34">
        <v>-5</v>
      </c>
      <c r="QYR5080" s="34">
        <v>-4.5</v>
      </c>
      <c r="QYS5080" s="34">
        <v>-4</v>
      </c>
      <c r="QYT5080" s="34">
        <v>-3.5</v>
      </c>
      <c r="QYU5080" s="34">
        <v>-3</v>
      </c>
      <c r="QYV5080" s="34">
        <v>-2.5</v>
      </c>
      <c r="QYW5080" s="34">
        <v>-2</v>
      </c>
      <c r="QYX5080" s="34">
        <v>-1.5</v>
      </c>
      <c r="QYY5080" s="34">
        <v>-1</v>
      </c>
      <c r="QYZ5080" s="34">
        <v>-0.5</v>
      </c>
      <c r="QZA5080" s="34">
        <v>0</v>
      </c>
      <c r="QZB5080" s="34">
        <v>0.5</v>
      </c>
      <c r="QZC5080" s="34">
        <v>1</v>
      </c>
      <c r="QZD5080" s="34">
        <v>1.5</v>
      </c>
      <c r="QZE5080" s="34">
        <v>2</v>
      </c>
      <c r="QZF5080" s="34">
        <v>2.5</v>
      </c>
      <c r="QZG5080" s="34">
        <v>3</v>
      </c>
      <c r="QZH5080" s="34">
        <v>3.5</v>
      </c>
      <c r="QZI5080" s="34">
        <v>4</v>
      </c>
      <c r="QZJ5080" s="34">
        <v>4.5</v>
      </c>
      <c r="QZK5080" s="34">
        <v>5</v>
      </c>
      <c r="QZM5080" s="913"/>
      <c r="QZN5080" s="31">
        <v>1</v>
      </c>
      <c r="QZO5080" s="34">
        <v>0</v>
      </c>
      <c r="QZP5080" s="34">
        <v>-1</v>
      </c>
      <c r="QZQ5080" s="34">
        <v>-2</v>
      </c>
      <c r="QZR5080" s="34">
        <v>-3</v>
      </c>
      <c r="QZS5080" s="34">
        <v>-4</v>
      </c>
      <c r="QZT5080" s="34">
        <v>-5</v>
      </c>
      <c r="QZU5080" s="908"/>
      <c r="QZV5080" s="909"/>
      <c r="QZW5080" s="34">
        <v>-5</v>
      </c>
      <c r="QZX5080" s="34">
        <v>-4.5</v>
      </c>
      <c r="QZY5080" s="34">
        <v>-4</v>
      </c>
      <c r="QZZ5080" s="34">
        <v>-3.5</v>
      </c>
      <c r="RAA5080" s="34">
        <v>-3</v>
      </c>
      <c r="RAB5080" s="34">
        <v>-2.5</v>
      </c>
      <c r="RAC5080" s="34">
        <v>-2</v>
      </c>
      <c r="RAD5080" s="34">
        <v>-1.5</v>
      </c>
      <c r="RAE5080" s="34">
        <v>-1</v>
      </c>
      <c r="RAF5080" s="34">
        <v>-0.5</v>
      </c>
      <c r="RAG5080" s="34">
        <v>0</v>
      </c>
      <c r="RAH5080" s="34">
        <v>0.5</v>
      </c>
      <c r="RAI5080" s="34">
        <v>1</v>
      </c>
      <c r="RAJ5080" s="34">
        <v>1.5</v>
      </c>
      <c r="RAK5080" s="34">
        <v>2</v>
      </c>
      <c r="RAL5080" s="34">
        <v>2.5</v>
      </c>
      <c r="RAM5080" s="34">
        <v>3</v>
      </c>
      <c r="RAN5080" s="34">
        <v>3.5</v>
      </c>
      <c r="RAO5080" s="34">
        <v>4</v>
      </c>
      <c r="RAP5080" s="34">
        <v>4.5</v>
      </c>
      <c r="RAQ5080" s="34">
        <v>5</v>
      </c>
      <c r="RAS5080" s="913"/>
      <c r="RAT5080" s="31">
        <v>1</v>
      </c>
      <c r="RAU5080" s="34">
        <v>0</v>
      </c>
      <c r="RAV5080" s="34">
        <v>-1</v>
      </c>
      <c r="RAW5080" s="34">
        <v>-2</v>
      </c>
      <c r="RAX5080" s="34">
        <v>-3</v>
      </c>
      <c r="RAY5080" s="34">
        <v>-4</v>
      </c>
      <c r="RAZ5080" s="34">
        <v>-5</v>
      </c>
      <c r="RBA5080" s="908"/>
      <c r="RBB5080" s="909"/>
      <c r="RBC5080" s="34">
        <v>-5</v>
      </c>
      <c r="RBD5080" s="34">
        <v>-4.5</v>
      </c>
      <c r="RBE5080" s="34">
        <v>-4</v>
      </c>
      <c r="RBF5080" s="34">
        <v>-3.5</v>
      </c>
      <c r="RBG5080" s="34">
        <v>-3</v>
      </c>
      <c r="RBH5080" s="34">
        <v>-2.5</v>
      </c>
      <c r="RBI5080" s="34">
        <v>-2</v>
      </c>
      <c r="RBJ5080" s="34">
        <v>-1.5</v>
      </c>
      <c r="RBK5080" s="34">
        <v>-1</v>
      </c>
      <c r="RBL5080" s="34">
        <v>-0.5</v>
      </c>
      <c r="RBM5080" s="34">
        <v>0</v>
      </c>
      <c r="RBN5080" s="34">
        <v>0.5</v>
      </c>
      <c r="RBO5080" s="34">
        <v>1</v>
      </c>
      <c r="RBP5080" s="34">
        <v>1.5</v>
      </c>
      <c r="RBQ5080" s="34">
        <v>2</v>
      </c>
      <c r="RBR5080" s="34">
        <v>2.5</v>
      </c>
      <c r="RBS5080" s="34">
        <v>3</v>
      </c>
      <c r="RBT5080" s="34">
        <v>3.5</v>
      </c>
      <c r="RBU5080" s="34">
        <v>4</v>
      </c>
      <c r="RBV5080" s="34">
        <v>4.5</v>
      </c>
      <c r="RBW5080" s="34">
        <v>5</v>
      </c>
      <c r="RBY5080" s="913"/>
      <c r="RBZ5080" s="31">
        <v>1</v>
      </c>
      <c r="RCA5080" s="34">
        <v>0</v>
      </c>
      <c r="RCB5080" s="34">
        <v>-1</v>
      </c>
      <c r="RCC5080" s="34">
        <v>-2</v>
      </c>
      <c r="RCD5080" s="34">
        <v>-3</v>
      </c>
      <c r="RCE5080" s="34">
        <v>-4</v>
      </c>
      <c r="RCF5080" s="34">
        <v>-5</v>
      </c>
      <c r="RCG5080" s="908"/>
      <c r="RCH5080" s="909"/>
      <c r="RCI5080" s="34">
        <v>-5</v>
      </c>
      <c r="RCJ5080" s="34">
        <v>-4.5</v>
      </c>
      <c r="RCK5080" s="34">
        <v>-4</v>
      </c>
      <c r="RCL5080" s="34">
        <v>-3.5</v>
      </c>
      <c r="RCM5080" s="34">
        <v>-3</v>
      </c>
      <c r="RCN5080" s="34">
        <v>-2.5</v>
      </c>
      <c r="RCO5080" s="34">
        <v>-2</v>
      </c>
      <c r="RCP5080" s="34">
        <v>-1.5</v>
      </c>
      <c r="RCQ5080" s="34">
        <v>-1</v>
      </c>
      <c r="RCR5080" s="34">
        <v>-0.5</v>
      </c>
      <c r="RCS5080" s="34">
        <v>0</v>
      </c>
      <c r="RCT5080" s="34">
        <v>0.5</v>
      </c>
      <c r="RCU5080" s="34">
        <v>1</v>
      </c>
      <c r="RCV5080" s="34">
        <v>1.5</v>
      </c>
      <c r="RCW5080" s="34">
        <v>2</v>
      </c>
      <c r="RCX5080" s="34">
        <v>2.5</v>
      </c>
      <c r="RCY5080" s="34">
        <v>3</v>
      </c>
      <c r="RCZ5080" s="34">
        <v>3.5</v>
      </c>
      <c r="RDA5080" s="34">
        <v>4</v>
      </c>
      <c r="RDB5080" s="34">
        <v>4.5</v>
      </c>
      <c r="RDC5080" s="34">
        <v>5</v>
      </c>
      <c r="RDE5080" s="913"/>
      <c r="RDF5080" s="31">
        <v>1</v>
      </c>
      <c r="RDG5080" s="34">
        <v>0</v>
      </c>
      <c r="RDH5080" s="34">
        <v>-1</v>
      </c>
      <c r="RDI5080" s="34">
        <v>-2</v>
      </c>
      <c r="RDJ5080" s="34">
        <v>-3</v>
      </c>
      <c r="RDK5080" s="34">
        <v>-4</v>
      </c>
      <c r="RDL5080" s="34">
        <v>-5</v>
      </c>
      <c r="RDM5080" s="908"/>
      <c r="RDN5080" s="909"/>
      <c r="RDO5080" s="34">
        <v>-5</v>
      </c>
      <c r="RDP5080" s="34">
        <v>-4.5</v>
      </c>
      <c r="RDQ5080" s="34">
        <v>-4</v>
      </c>
      <c r="RDR5080" s="34">
        <v>-3.5</v>
      </c>
      <c r="RDS5080" s="34">
        <v>-3</v>
      </c>
      <c r="RDT5080" s="34">
        <v>-2.5</v>
      </c>
      <c r="RDU5080" s="34">
        <v>-2</v>
      </c>
      <c r="RDV5080" s="34">
        <v>-1.5</v>
      </c>
      <c r="RDW5080" s="34">
        <v>-1</v>
      </c>
      <c r="RDX5080" s="34">
        <v>-0.5</v>
      </c>
      <c r="RDY5080" s="34">
        <v>0</v>
      </c>
      <c r="RDZ5080" s="34">
        <v>0.5</v>
      </c>
      <c r="REA5080" s="34">
        <v>1</v>
      </c>
      <c r="REB5080" s="34">
        <v>1.5</v>
      </c>
      <c r="REC5080" s="34">
        <v>2</v>
      </c>
      <c r="RED5080" s="34">
        <v>2.5</v>
      </c>
      <c r="REE5080" s="34">
        <v>3</v>
      </c>
      <c r="REF5080" s="34">
        <v>3.5</v>
      </c>
      <c r="REG5080" s="34">
        <v>4</v>
      </c>
      <c r="REH5080" s="34">
        <v>4.5</v>
      </c>
      <c r="REI5080" s="34">
        <v>5</v>
      </c>
      <c r="REK5080" s="913"/>
      <c r="REL5080" s="31">
        <v>1</v>
      </c>
      <c r="REM5080" s="34">
        <v>0</v>
      </c>
      <c r="REN5080" s="34">
        <v>-1</v>
      </c>
      <c r="REO5080" s="34">
        <v>-2</v>
      </c>
      <c r="REP5080" s="34">
        <v>-3</v>
      </c>
      <c r="REQ5080" s="34">
        <v>-4</v>
      </c>
      <c r="RER5080" s="34">
        <v>-5</v>
      </c>
      <c r="RES5080" s="908"/>
      <c r="RET5080" s="909"/>
      <c r="REU5080" s="34">
        <v>-5</v>
      </c>
      <c r="REV5080" s="34">
        <v>-4.5</v>
      </c>
      <c r="REW5080" s="34">
        <v>-4</v>
      </c>
      <c r="REX5080" s="34">
        <v>-3.5</v>
      </c>
      <c r="REY5080" s="34">
        <v>-3</v>
      </c>
      <c r="REZ5080" s="34">
        <v>-2.5</v>
      </c>
      <c r="RFA5080" s="34">
        <v>-2</v>
      </c>
      <c r="RFB5080" s="34">
        <v>-1.5</v>
      </c>
      <c r="RFC5080" s="34">
        <v>-1</v>
      </c>
      <c r="RFD5080" s="34">
        <v>-0.5</v>
      </c>
      <c r="RFE5080" s="34">
        <v>0</v>
      </c>
      <c r="RFF5080" s="34">
        <v>0.5</v>
      </c>
      <c r="RFG5080" s="34">
        <v>1</v>
      </c>
      <c r="RFH5080" s="34">
        <v>1.5</v>
      </c>
      <c r="RFI5080" s="34">
        <v>2</v>
      </c>
      <c r="RFJ5080" s="34">
        <v>2.5</v>
      </c>
      <c r="RFK5080" s="34">
        <v>3</v>
      </c>
      <c r="RFL5080" s="34">
        <v>3.5</v>
      </c>
      <c r="RFM5080" s="34">
        <v>4</v>
      </c>
      <c r="RFN5080" s="34">
        <v>4.5</v>
      </c>
      <c r="RFO5080" s="34">
        <v>5</v>
      </c>
      <c r="RFQ5080" s="913"/>
      <c r="RFR5080" s="31">
        <v>1</v>
      </c>
      <c r="RFS5080" s="34">
        <v>0</v>
      </c>
      <c r="RFT5080" s="34">
        <v>-1</v>
      </c>
      <c r="RFU5080" s="34">
        <v>-2</v>
      </c>
      <c r="RFV5080" s="34">
        <v>-3</v>
      </c>
      <c r="RFW5080" s="34">
        <v>-4</v>
      </c>
      <c r="RFX5080" s="34">
        <v>-5</v>
      </c>
      <c r="RFY5080" s="908"/>
      <c r="RFZ5080" s="909"/>
      <c r="RGA5080" s="34">
        <v>-5</v>
      </c>
      <c r="RGB5080" s="34">
        <v>-4.5</v>
      </c>
      <c r="RGC5080" s="34">
        <v>-4</v>
      </c>
      <c r="RGD5080" s="34">
        <v>-3.5</v>
      </c>
      <c r="RGE5080" s="34">
        <v>-3</v>
      </c>
      <c r="RGF5080" s="34">
        <v>-2.5</v>
      </c>
      <c r="RGG5080" s="34">
        <v>-2</v>
      </c>
      <c r="RGH5080" s="34">
        <v>-1.5</v>
      </c>
      <c r="RGI5080" s="34">
        <v>-1</v>
      </c>
      <c r="RGJ5080" s="34">
        <v>-0.5</v>
      </c>
      <c r="RGK5080" s="34">
        <v>0</v>
      </c>
      <c r="RGL5080" s="34">
        <v>0.5</v>
      </c>
      <c r="RGM5080" s="34">
        <v>1</v>
      </c>
      <c r="RGN5080" s="34">
        <v>1.5</v>
      </c>
      <c r="RGO5080" s="34">
        <v>2</v>
      </c>
      <c r="RGP5080" s="34">
        <v>2.5</v>
      </c>
      <c r="RGQ5080" s="34">
        <v>3</v>
      </c>
      <c r="RGR5080" s="34">
        <v>3.5</v>
      </c>
      <c r="RGS5080" s="34">
        <v>4</v>
      </c>
      <c r="RGT5080" s="34">
        <v>4.5</v>
      </c>
      <c r="RGU5080" s="34">
        <v>5</v>
      </c>
      <c r="RGW5080" s="913"/>
      <c r="RGX5080" s="31">
        <v>1</v>
      </c>
      <c r="RGY5080" s="34">
        <v>0</v>
      </c>
      <c r="RGZ5080" s="34">
        <v>-1</v>
      </c>
      <c r="RHA5080" s="34">
        <v>-2</v>
      </c>
      <c r="RHB5080" s="34">
        <v>-3</v>
      </c>
      <c r="RHC5080" s="34">
        <v>-4</v>
      </c>
      <c r="RHD5080" s="34">
        <v>-5</v>
      </c>
      <c r="RHE5080" s="908"/>
      <c r="RHF5080" s="909"/>
      <c r="RHG5080" s="34">
        <v>-5</v>
      </c>
      <c r="RHH5080" s="34">
        <v>-4.5</v>
      </c>
      <c r="RHI5080" s="34">
        <v>-4</v>
      </c>
      <c r="RHJ5080" s="34">
        <v>-3.5</v>
      </c>
      <c r="RHK5080" s="34">
        <v>-3</v>
      </c>
      <c r="RHL5080" s="34">
        <v>-2.5</v>
      </c>
      <c r="RHM5080" s="34">
        <v>-2</v>
      </c>
      <c r="RHN5080" s="34">
        <v>-1.5</v>
      </c>
      <c r="RHO5080" s="34">
        <v>-1</v>
      </c>
      <c r="RHP5080" s="34">
        <v>-0.5</v>
      </c>
      <c r="RHQ5080" s="34">
        <v>0</v>
      </c>
      <c r="RHR5080" s="34">
        <v>0.5</v>
      </c>
      <c r="RHS5080" s="34">
        <v>1</v>
      </c>
      <c r="RHT5080" s="34">
        <v>1.5</v>
      </c>
      <c r="RHU5080" s="34">
        <v>2</v>
      </c>
      <c r="RHV5080" s="34">
        <v>2.5</v>
      </c>
      <c r="RHW5080" s="34">
        <v>3</v>
      </c>
      <c r="RHX5080" s="34">
        <v>3.5</v>
      </c>
      <c r="RHY5080" s="34">
        <v>4</v>
      </c>
      <c r="RHZ5080" s="34">
        <v>4.5</v>
      </c>
      <c r="RIA5080" s="34">
        <v>5</v>
      </c>
      <c r="RIC5080" s="913"/>
      <c r="RID5080" s="31">
        <v>1</v>
      </c>
      <c r="RIE5080" s="34">
        <v>0</v>
      </c>
      <c r="RIF5080" s="34">
        <v>-1</v>
      </c>
      <c r="RIG5080" s="34">
        <v>-2</v>
      </c>
      <c r="RIH5080" s="34">
        <v>-3</v>
      </c>
      <c r="RII5080" s="34">
        <v>-4</v>
      </c>
      <c r="RIJ5080" s="34">
        <v>-5</v>
      </c>
      <c r="RIK5080" s="908"/>
      <c r="RIL5080" s="909"/>
      <c r="RIM5080" s="34">
        <v>-5</v>
      </c>
      <c r="RIN5080" s="34">
        <v>-4.5</v>
      </c>
      <c r="RIO5080" s="34">
        <v>-4</v>
      </c>
      <c r="RIP5080" s="34">
        <v>-3.5</v>
      </c>
      <c r="RIQ5080" s="34">
        <v>-3</v>
      </c>
      <c r="RIR5080" s="34">
        <v>-2.5</v>
      </c>
      <c r="RIS5080" s="34">
        <v>-2</v>
      </c>
      <c r="RIT5080" s="34">
        <v>-1.5</v>
      </c>
      <c r="RIU5080" s="34">
        <v>-1</v>
      </c>
      <c r="RIV5080" s="34">
        <v>-0.5</v>
      </c>
      <c r="RIW5080" s="34">
        <v>0</v>
      </c>
      <c r="RIX5080" s="34">
        <v>0.5</v>
      </c>
      <c r="RIY5080" s="34">
        <v>1</v>
      </c>
      <c r="RIZ5080" s="34">
        <v>1.5</v>
      </c>
      <c r="RJA5080" s="34">
        <v>2</v>
      </c>
      <c r="RJB5080" s="34">
        <v>2.5</v>
      </c>
      <c r="RJC5080" s="34">
        <v>3</v>
      </c>
      <c r="RJD5080" s="34">
        <v>3.5</v>
      </c>
      <c r="RJE5080" s="34">
        <v>4</v>
      </c>
      <c r="RJF5080" s="34">
        <v>4.5</v>
      </c>
      <c r="RJG5080" s="34">
        <v>5</v>
      </c>
      <c r="RJI5080" s="913"/>
      <c r="RJJ5080" s="31">
        <v>1</v>
      </c>
      <c r="RJK5080" s="34">
        <v>0</v>
      </c>
      <c r="RJL5080" s="34">
        <v>-1</v>
      </c>
      <c r="RJM5080" s="34">
        <v>-2</v>
      </c>
      <c r="RJN5080" s="34">
        <v>-3</v>
      </c>
      <c r="RJO5080" s="34">
        <v>-4</v>
      </c>
      <c r="RJP5080" s="34">
        <v>-5</v>
      </c>
      <c r="RJQ5080" s="908"/>
      <c r="RJR5080" s="909"/>
      <c r="RJS5080" s="34">
        <v>-5</v>
      </c>
      <c r="RJT5080" s="34">
        <v>-4.5</v>
      </c>
      <c r="RJU5080" s="34">
        <v>-4</v>
      </c>
      <c r="RJV5080" s="34">
        <v>-3.5</v>
      </c>
      <c r="RJW5080" s="34">
        <v>-3</v>
      </c>
      <c r="RJX5080" s="34">
        <v>-2.5</v>
      </c>
      <c r="RJY5080" s="34">
        <v>-2</v>
      </c>
      <c r="RJZ5080" s="34">
        <v>-1.5</v>
      </c>
      <c r="RKA5080" s="34">
        <v>-1</v>
      </c>
      <c r="RKB5080" s="34">
        <v>-0.5</v>
      </c>
      <c r="RKC5080" s="34">
        <v>0</v>
      </c>
      <c r="RKD5080" s="34">
        <v>0.5</v>
      </c>
      <c r="RKE5080" s="34">
        <v>1</v>
      </c>
      <c r="RKF5080" s="34">
        <v>1.5</v>
      </c>
      <c r="RKG5080" s="34">
        <v>2</v>
      </c>
      <c r="RKH5080" s="34">
        <v>2.5</v>
      </c>
      <c r="RKI5080" s="34">
        <v>3</v>
      </c>
      <c r="RKJ5080" s="34">
        <v>3.5</v>
      </c>
      <c r="RKK5080" s="34">
        <v>4</v>
      </c>
      <c r="RKL5080" s="34">
        <v>4.5</v>
      </c>
      <c r="RKM5080" s="34">
        <v>5</v>
      </c>
      <c r="RKO5080" s="913"/>
      <c r="RKP5080" s="31">
        <v>1</v>
      </c>
      <c r="RKQ5080" s="34">
        <v>0</v>
      </c>
      <c r="RKR5080" s="34">
        <v>-1</v>
      </c>
      <c r="RKS5080" s="34">
        <v>-2</v>
      </c>
      <c r="RKT5080" s="34">
        <v>-3</v>
      </c>
      <c r="RKU5080" s="34">
        <v>-4</v>
      </c>
      <c r="RKV5080" s="34">
        <v>-5</v>
      </c>
      <c r="RKW5080" s="908"/>
      <c r="RKX5080" s="909"/>
      <c r="RKY5080" s="34">
        <v>-5</v>
      </c>
      <c r="RKZ5080" s="34">
        <v>-4.5</v>
      </c>
      <c r="RLA5080" s="34">
        <v>-4</v>
      </c>
      <c r="RLB5080" s="34">
        <v>-3.5</v>
      </c>
      <c r="RLC5080" s="34">
        <v>-3</v>
      </c>
      <c r="RLD5080" s="34">
        <v>-2.5</v>
      </c>
      <c r="RLE5080" s="34">
        <v>-2</v>
      </c>
      <c r="RLF5080" s="34">
        <v>-1.5</v>
      </c>
      <c r="RLG5080" s="34">
        <v>-1</v>
      </c>
      <c r="RLH5080" s="34">
        <v>-0.5</v>
      </c>
      <c r="RLI5080" s="34">
        <v>0</v>
      </c>
      <c r="RLJ5080" s="34">
        <v>0.5</v>
      </c>
      <c r="RLK5080" s="34">
        <v>1</v>
      </c>
      <c r="RLL5080" s="34">
        <v>1.5</v>
      </c>
      <c r="RLM5080" s="34">
        <v>2</v>
      </c>
      <c r="RLN5080" s="34">
        <v>2.5</v>
      </c>
      <c r="RLO5080" s="34">
        <v>3</v>
      </c>
      <c r="RLP5080" s="34">
        <v>3.5</v>
      </c>
      <c r="RLQ5080" s="34">
        <v>4</v>
      </c>
      <c r="RLR5080" s="34">
        <v>4.5</v>
      </c>
      <c r="RLS5080" s="34">
        <v>5</v>
      </c>
      <c r="RLU5080" s="913"/>
      <c r="RLV5080" s="31">
        <v>1</v>
      </c>
      <c r="RLW5080" s="34">
        <v>0</v>
      </c>
      <c r="RLX5080" s="34">
        <v>-1</v>
      </c>
      <c r="RLY5080" s="34">
        <v>-2</v>
      </c>
      <c r="RLZ5080" s="34">
        <v>-3</v>
      </c>
      <c r="RMA5080" s="34">
        <v>-4</v>
      </c>
      <c r="RMB5080" s="34">
        <v>-5</v>
      </c>
      <c r="RMC5080" s="908"/>
      <c r="RMD5080" s="909"/>
      <c r="RME5080" s="34">
        <v>-5</v>
      </c>
      <c r="RMF5080" s="34">
        <v>-4.5</v>
      </c>
      <c r="RMG5080" s="34">
        <v>-4</v>
      </c>
      <c r="RMH5080" s="34">
        <v>-3.5</v>
      </c>
      <c r="RMI5080" s="34">
        <v>-3</v>
      </c>
      <c r="RMJ5080" s="34">
        <v>-2.5</v>
      </c>
      <c r="RMK5080" s="34">
        <v>-2</v>
      </c>
      <c r="RML5080" s="34">
        <v>-1.5</v>
      </c>
      <c r="RMM5080" s="34">
        <v>-1</v>
      </c>
      <c r="RMN5080" s="34">
        <v>-0.5</v>
      </c>
      <c r="RMO5080" s="34">
        <v>0</v>
      </c>
      <c r="RMP5080" s="34">
        <v>0.5</v>
      </c>
      <c r="RMQ5080" s="34">
        <v>1</v>
      </c>
      <c r="RMR5080" s="34">
        <v>1.5</v>
      </c>
      <c r="RMS5080" s="34">
        <v>2</v>
      </c>
      <c r="RMT5080" s="34">
        <v>2.5</v>
      </c>
      <c r="RMU5080" s="34">
        <v>3</v>
      </c>
      <c r="RMV5080" s="34">
        <v>3.5</v>
      </c>
      <c r="RMW5080" s="34">
        <v>4</v>
      </c>
      <c r="RMX5080" s="34">
        <v>4.5</v>
      </c>
      <c r="RMY5080" s="34">
        <v>5</v>
      </c>
      <c r="RNA5080" s="913"/>
      <c r="RNB5080" s="31">
        <v>1</v>
      </c>
      <c r="RNC5080" s="34">
        <v>0</v>
      </c>
      <c r="RND5080" s="34">
        <v>-1</v>
      </c>
      <c r="RNE5080" s="34">
        <v>-2</v>
      </c>
      <c r="RNF5080" s="34">
        <v>-3</v>
      </c>
      <c r="RNG5080" s="34">
        <v>-4</v>
      </c>
      <c r="RNH5080" s="34">
        <v>-5</v>
      </c>
      <c r="RNI5080" s="908"/>
      <c r="RNJ5080" s="909"/>
      <c r="RNK5080" s="34">
        <v>-5</v>
      </c>
      <c r="RNL5080" s="34">
        <v>-4.5</v>
      </c>
      <c r="RNM5080" s="34">
        <v>-4</v>
      </c>
      <c r="RNN5080" s="34">
        <v>-3.5</v>
      </c>
      <c r="RNO5080" s="34">
        <v>-3</v>
      </c>
      <c r="RNP5080" s="34">
        <v>-2.5</v>
      </c>
      <c r="RNQ5080" s="34">
        <v>-2</v>
      </c>
      <c r="RNR5080" s="34">
        <v>-1.5</v>
      </c>
      <c r="RNS5080" s="34">
        <v>-1</v>
      </c>
      <c r="RNT5080" s="34">
        <v>-0.5</v>
      </c>
      <c r="RNU5080" s="34">
        <v>0</v>
      </c>
      <c r="RNV5080" s="34">
        <v>0.5</v>
      </c>
      <c r="RNW5080" s="34">
        <v>1</v>
      </c>
      <c r="RNX5080" s="34">
        <v>1.5</v>
      </c>
      <c r="RNY5080" s="34">
        <v>2</v>
      </c>
      <c r="RNZ5080" s="34">
        <v>2.5</v>
      </c>
      <c r="ROA5080" s="34">
        <v>3</v>
      </c>
      <c r="ROB5080" s="34">
        <v>3.5</v>
      </c>
      <c r="ROC5080" s="34">
        <v>4</v>
      </c>
      <c r="ROD5080" s="34">
        <v>4.5</v>
      </c>
      <c r="ROE5080" s="34">
        <v>5</v>
      </c>
      <c r="ROG5080" s="913"/>
      <c r="ROH5080" s="31">
        <v>1</v>
      </c>
      <c r="ROI5080" s="34">
        <v>0</v>
      </c>
      <c r="ROJ5080" s="34">
        <v>-1</v>
      </c>
      <c r="ROK5080" s="34">
        <v>-2</v>
      </c>
      <c r="ROL5080" s="34">
        <v>-3</v>
      </c>
      <c r="ROM5080" s="34">
        <v>-4</v>
      </c>
      <c r="RON5080" s="34">
        <v>-5</v>
      </c>
      <c r="ROO5080" s="908"/>
      <c r="ROP5080" s="909"/>
      <c r="ROQ5080" s="34">
        <v>-5</v>
      </c>
      <c r="ROR5080" s="34">
        <v>-4.5</v>
      </c>
      <c r="ROS5080" s="34">
        <v>-4</v>
      </c>
      <c r="ROT5080" s="34">
        <v>-3.5</v>
      </c>
      <c r="ROU5080" s="34">
        <v>-3</v>
      </c>
      <c r="ROV5080" s="34">
        <v>-2.5</v>
      </c>
      <c r="ROW5080" s="34">
        <v>-2</v>
      </c>
      <c r="ROX5080" s="34">
        <v>-1.5</v>
      </c>
      <c r="ROY5080" s="34">
        <v>-1</v>
      </c>
      <c r="ROZ5080" s="34">
        <v>-0.5</v>
      </c>
      <c r="RPA5080" s="34">
        <v>0</v>
      </c>
      <c r="RPB5080" s="34">
        <v>0.5</v>
      </c>
      <c r="RPC5080" s="34">
        <v>1</v>
      </c>
      <c r="RPD5080" s="34">
        <v>1.5</v>
      </c>
      <c r="RPE5080" s="34">
        <v>2</v>
      </c>
      <c r="RPF5080" s="34">
        <v>2.5</v>
      </c>
      <c r="RPG5080" s="34">
        <v>3</v>
      </c>
      <c r="RPH5080" s="34">
        <v>3.5</v>
      </c>
      <c r="RPI5080" s="34">
        <v>4</v>
      </c>
      <c r="RPJ5080" s="34">
        <v>4.5</v>
      </c>
      <c r="RPK5080" s="34">
        <v>5</v>
      </c>
      <c r="RPM5080" s="913"/>
      <c r="RPN5080" s="31">
        <v>1</v>
      </c>
      <c r="RPO5080" s="34">
        <v>0</v>
      </c>
      <c r="RPP5080" s="34">
        <v>-1</v>
      </c>
      <c r="RPQ5080" s="34">
        <v>-2</v>
      </c>
      <c r="RPR5080" s="34">
        <v>-3</v>
      </c>
      <c r="RPS5080" s="34">
        <v>-4</v>
      </c>
      <c r="RPT5080" s="34">
        <v>-5</v>
      </c>
      <c r="RPU5080" s="908"/>
      <c r="RPV5080" s="909"/>
      <c r="RPW5080" s="34">
        <v>-5</v>
      </c>
      <c r="RPX5080" s="34">
        <v>-4.5</v>
      </c>
      <c r="RPY5080" s="34">
        <v>-4</v>
      </c>
      <c r="RPZ5080" s="34">
        <v>-3.5</v>
      </c>
      <c r="RQA5080" s="34">
        <v>-3</v>
      </c>
      <c r="RQB5080" s="34">
        <v>-2.5</v>
      </c>
      <c r="RQC5080" s="34">
        <v>-2</v>
      </c>
      <c r="RQD5080" s="34">
        <v>-1.5</v>
      </c>
      <c r="RQE5080" s="34">
        <v>-1</v>
      </c>
      <c r="RQF5080" s="34">
        <v>-0.5</v>
      </c>
      <c r="RQG5080" s="34">
        <v>0</v>
      </c>
      <c r="RQH5080" s="34">
        <v>0.5</v>
      </c>
      <c r="RQI5080" s="34">
        <v>1</v>
      </c>
      <c r="RQJ5080" s="34">
        <v>1.5</v>
      </c>
      <c r="RQK5080" s="34">
        <v>2</v>
      </c>
      <c r="RQL5080" s="34">
        <v>2.5</v>
      </c>
      <c r="RQM5080" s="34">
        <v>3</v>
      </c>
      <c r="RQN5080" s="34">
        <v>3.5</v>
      </c>
      <c r="RQO5080" s="34">
        <v>4</v>
      </c>
      <c r="RQP5080" s="34">
        <v>4.5</v>
      </c>
      <c r="RQQ5080" s="34">
        <v>5</v>
      </c>
      <c r="RQS5080" s="913"/>
      <c r="RQT5080" s="31">
        <v>1</v>
      </c>
      <c r="RQU5080" s="34">
        <v>0</v>
      </c>
      <c r="RQV5080" s="34">
        <v>-1</v>
      </c>
      <c r="RQW5080" s="34">
        <v>-2</v>
      </c>
      <c r="RQX5080" s="34">
        <v>-3</v>
      </c>
      <c r="RQY5080" s="34">
        <v>-4</v>
      </c>
      <c r="RQZ5080" s="34">
        <v>-5</v>
      </c>
      <c r="RRA5080" s="908"/>
      <c r="RRB5080" s="909"/>
      <c r="RRC5080" s="34">
        <v>-5</v>
      </c>
      <c r="RRD5080" s="34">
        <v>-4.5</v>
      </c>
      <c r="RRE5080" s="34">
        <v>-4</v>
      </c>
      <c r="RRF5080" s="34">
        <v>-3.5</v>
      </c>
      <c r="RRG5080" s="34">
        <v>-3</v>
      </c>
      <c r="RRH5080" s="34">
        <v>-2.5</v>
      </c>
      <c r="RRI5080" s="34">
        <v>-2</v>
      </c>
      <c r="RRJ5080" s="34">
        <v>-1.5</v>
      </c>
      <c r="RRK5080" s="34">
        <v>-1</v>
      </c>
      <c r="RRL5080" s="34">
        <v>-0.5</v>
      </c>
      <c r="RRM5080" s="34">
        <v>0</v>
      </c>
      <c r="RRN5080" s="34">
        <v>0.5</v>
      </c>
      <c r="RRO5080" s="34">
        <v>1</v>
      </c>
      <c r="RRP5080" s="34">
        <v>1.5</v>
      </c>
      <c r="RRQ5080" s="34">
        <v>2</v>
      </c>
      <c r="RRR5080" s="34">
        <v>2.5</v>
      </c>
      <c r="RRS5080" s="34">
        <v>3</v>
      </c>
      <c r="RRT5080" s="34">
        <v>3.5</v>
      </c>
      <c r="RRU5080" s="34">
        <v>4</v>
      </c>
      <c r="RRV5080" s="34">
        <v>4.5</v>
      </c>
      <c r="RRW5080" s="34">
        <v>5</v>
      </c>
      <c r="RRY5080" s="913"/>
      <c r="RRZ5080" s="31">
        <v>1</v>
      </c>
      <c r="RSA5080" s="34">
        <v>0</v>
      </c>
      <c r="RSB5080" s="34">
        <v>-1</v>
      </c>
      <c r="RSC5080" s="34">
        <v>-2</v>
      </c>
      <c r="RSD5080" s="34">
        <v>-3</v>
      </c>
      <c r="RSE5080" s="34">
        <v>-4</v>
      </c>
      <c r="RSF5080" s="34">
        <v>-5</v>
      </c>
      <c r="RSG5080" s="908"/>
      <c r="RSH5080" s="909"/>
      <c r="RSI5080" s="34">
        <v>-5</v>
      </c>
      <c r="RSJ5080" s="34">
        <v>-4.5</v>
      </c>
      <c r="RSK5080" s="34">
        <v>-4</v>
      </c>
      <c r="RSL5080" s="34">
        <v>-3.5</v>
      </c>
      <c r="RSM5080" s="34">
        <v>-3</v>
      </c>
      <c r="RSN5080" s="34">
        <v>-2.5</v>
      </c>
      <c r="RSO5080" s="34">
        <v>-2</v>
      </c>
      <c r="RSP5080" s="34">
        <v>-1.5</v>
      </c>
      <c r="RSQ5080" s="34">
        <v>-1</v>
      </c>
      <c r="RSR5080" s="34">
        <v>-0.5</v>
      </c>
      <c r="RSS5080" s="34">
        <v>0</v>
      </c>
      <c r="RST5080" s="34">
        <v>0.5</v>
      </c>
      <c r="RSU5080" s="34">
        <v>1</v>
      </c>
      <c r="RSV5080" s="34">
        <v>1.5</v>
      </c>
      <c r="RSW5080" s="34">
        <v>2</v>
      </c>
      <c r="RSX5080" s="34">
        <v>2.5</v>
      </c>
      <c r="RSY5080" s="34">
        <v>3</v>
      </c>
      <c r="RSZ5080" s="34">
        <v>3.5</v>
      </c>
      <c r="RTA5080" s="34">
        <v>4</v>
      </c>
      <c r="RTB5080" s="34">
        <v>4.5</v>
      </c>
      <c r="RTC5080" s="34">
        <v>5</v>
      </c>
      <c r="RTE5080" s="913"/>
      <c r="RTF5080" s="31">
        <v>1</v>
      </c>
      <c r="RTG5080" s="34">
        <v>0</v>
      </c>
      <c r="RTH5080" s="34">
        <v>-1</v>
      </c>
      <c r="RTI5080" s="34">
        <v>-2</v>
      </c>
      <c r="RTJ5080" s="34">
        <v>-3</v>
      </c>
      <c r="RTK5080" s="34">
        <v>-4</v>
      </c>
      <c r="RTL5080" s="34">
        <v>-5</v>
      </c>
      <c r="RTM5080" s="908"/>
      <c r="RTN5080" s="909"/>
      <c r="RTO5080" s="34">
        <v>-5</v>
      </c>
      <c r="RTP5080" s="34">
        <v>-4.5</v>
      </c>
      <c r="RTQ5080" s="34">
        <v>-4</v>
      </c>
      <c r="RTR5080" s="34">
        <v>-3.5</v>
      </c>
      <c r="RTS5080" s="34">
        <v>-3</v>
      </c>
      <c r="RTT5080" s="34">
        <v>-2.5</v>
      </c>
      <c r="RTU5080" s="34">
        <v>-2</v>
      </c>
      <c r="RTV5080" s="34">
        <v>-1.5</v>
      </c>
      <c r="RTW5080" s="34">
        <v>-1</v>
      </c>
      <c r="RTX5080" s="34">
        <v>-0.5</v>
      </c>
      <c r="RTY5080" s="34">
        <v>0</v>
      </c>
      <c r="RTZ5080" s="34">
        <v>0.5</v>
      </c>
      <c r="RUA5080" s="34">
        <v>1</v>
      </c>
      <c r="RUB5080" s="34">
        <v>1.5</v>
      </c>
      <c r="RUC5080" s="34">
        <v>2</v>
      </c>
      <c r="RUD5080" s="34">
        <v>2.5</v>
      </c>
      <c r="RUE5080" s="34">
        <v>3</v>
      </c>
      <c r="RUF5080" s="34">
        <v>3.5</v>
      </c>
      <c r="RUG5080" s="34">
        <v>4</v>
      </c>
      <c r="RUH5080" s="34">
        <v>4.5</v>
      </c>
      <c r="RUI5080" s="34">
        <v>5</v>
      </c>
      <c r="RUK5080" s="913"/>
      <c r="RUL5080" s="31">
        <v>1</v>
      </c>
      <c r="RUM5080" s="34">
        <v>0</v>
      </c>
      <c r="RUN5080" s="34">
        <v>-1</v>
      </c>
      <c r="RUO5080" s="34">
        <v>-2</v>
      </c>
      <c r="RUP5080" s="34">
        <v>-3</v>
      </c>
      <c r="RUQ5080" s="34">
        <v>-4</v>
      </c>
      <c r="RUR5080" s="34">
        <v>-5</v>
      </c>
      <c r="RUS5080" s="908"/>
      <c r="RUT5080" s="909"/>
      <c r="RUU5080" s="34">
        <v>-5</v>
      </c>
      <c r="RUV5080" s="34">
        <v>-4.5</v>
      </c>
      <c r="RUW5080" s="34">
        <v>-4</v>
      </c>
      <c r="RUX5080" s="34">
        <v>-3.5</v>
      </c>
      <c r="RUY5080" s="34">
        <v>-3</v>
      </c>
      <c r="RUZ5080" s="34">
        <v>-2.5</v>
      </c>
      <c r="RVA5080" s="34">
        <v>-2</v>
      </c>
      <c r="RVB5080" s="34">
        <v>-1.5</v>
      </c>
      <c r="RVC5080" s="34">
        <v>-1</v>
      </c>
      <c r="RVD5080" s="34">
        <v>-0.5</v>
      </c>
      <c r="RVE5080" s="34">
        <v>0</v>
      </c>
      <c r="RVF5080" s="34">
        <v>0.5</v>
      </c>
      <c r="RVG5080" s="34">
        <v>1</v>
      </c>
      <c r="RVH5080" s="34">
        <v>1.5</v>
      </c>
      <c r="RVI5080" s="34">
        <v>2</v>
      </c>
      <c r="RVJ5080" s="34">
        <v>2.5</v>
      </c>
      <c r="RVK5080" s="34">
        <v>3</v>
      </c>
      <c r="RVL5080" s="34">
        <v>3.5</v>
      </c>
      <c r="RVM5080" s="34">
        <v>4</v>
      </c>
      <c r="RVN5080" s="34">
        <v>4.5</v>
      </c>
      <c r="RVO5080" s="34">
        <v>5</v>
      </c>
      <c r="RVQ5080" s="913"/>
      <c r="RVR5080" s="31">
        <v>1</v>
      </c>
      <c r="RVS5080" s="34">
        <v>0</v>
      </c>
      <c r="RVT5080" s="34">
        <v>-1</v>
      </c>
      <c r="RVU5080" s="34">
        <v>-2</v>
      </c>
      <c r="RVV5080" s="34">
        <v>-3</v>
      </c>
      <c r="RVW5080" s="34">
        <v>-4</v>
      </c>
      <c r="RVX5080" s="34">
        <v>-5</v>
      </c>
      <c r="RVY5080" s="908"/>
      <c r="RVZ5080" s="909"/>
      <c r="RWA5080" s="34">
        <v>-5</v>
      </c>
      <c r="RWB5080" s="34">
        <v>-4.5</v>
      </c>
      <c r="RWC5080" s="34">
        <v>-4</v>
      </c>
      <c r="RWD5080" s="34">
        <v>-3.5</v>
      </c>
      <c r="RWE5080" s="34">
        <v>-3</v>
      </c>
      <c r="RWF5080" s="34">
        <v>-2.5</v>
      </c>
      <c r="RWG5080" s="34">
        <v>-2</v>
      </c>
      <c r="RWH5080" s="34">
        <v>-1.5</v>
      </c>
      <c r="RWI5080" s="34">
        <v>-1</v>
      </c>
      <c r="RWJ5080" s="34">
        <v>-0.5</v>
      </c>
      <c r="RWK5080" s="34">
        <v>0</v>
      </c>
      <c r="RWL5080" s="34">
        <v>0.5</v>
      </c>
      <c r="RWM5080" s="34">
        <v>1</v>
      </c>
      <c r="RWN5080" s="34">
        <v>1.5</v>
      </c>
      <c r="RWO5080" s="34">
        <v>2</v>
      </c>
      <c r="RWP5080" s="34">
        <v>2.5</v>
      </c>
      <c r="RWQ5080" s="34">
        <v>3</v>
      </c>
      <c r="RWR5080" s="34">
        <v>3.5</v>
      </c>
      <c r="RWS5080" s="34">
        <v>4</v>
      </c>
      <c r="RWT5080" s="34">
        <v>4.5</v>
      </c>
      <c r="RWU5080" s="34">
        <v>5</v>
      </c>
      <c r="RWW5080" s="913"/>
      <c r="RWX5080" s="31">
        <v>1</v>
      </c>
      <c r="RWY5080" s="34">
        <v>0</v>
      </c>
      <c r="RWZ5080" s="34">
        <v>-1</v>
      </c>
      <c r="RXA5080" s="34">
        <v>-2</v>
      </c>
      <c r="RXB5080" s="34">
        <v>-3</v>
      </c>
      <c r="RXC5080" s="34">
        <v>-4</v>
      </c>
      <c r="RXD5080" s="34">
        <v>-5</v>
      </c>
      <c r="RXE5080" s="908"/>
      <c r="RXF5080" s="909"/>
      <c r="RXG5080" s="34">
        <v>-5</v>
      </c>
      <c r="RXH5080" s="34">
        <v>-4.5</v>
      </c>
      <c r="RXI5080" s="34">
        <v>-4</v>
      </c>
      <c r="RXJ5080" s="34">
        <v>-3.5</v>
      </c>
      <c r="RXK5080" s="34">
        <v>-3</v>
      </c>
      <c r="RXL5080" s="34">
        <v>-2.5</v>
      </c>
      <c r="RXM5080" s="34">
        <v>-2</v>
      </c>
      <c r="RXN5080" s="34">
        <v>-1.5</v>
      </c>
      <c r="RXO5080" s="34">
        <v>-1</v>
      </c>
      <c r="RXP5080" s="34">
        <v>-0.5</v>
      </c>
      <c r="RXQ5080" s="34">
        <v>0</v>
      </c>
      <c r="RXR5080" s="34">
        <v>0.5</v>
      </c>
      <c r="RXS5080" s="34">
        <v>1</v>
      </c>
      <c r="RXT5080" s="34">
        <v>1.5</v>
      </c>
      <c r="RXU5080" s="34">
        <v>2</v>
      </c>
      <c r="RXV5080" s="34">
        <v>2.5</v>
      </c>
      <c r="RXW5080" s="34">
        <v>3</v>
      </c>
      <c r="RXX5080" s="34">
        <v>3.5</v>
      </c>
      <c r="RXY5080" s="34">
        <v>4</v>
      </c>
      <c r="RXZ5080" s="34">
        <v>4.5</v>
      </c>
      <c r="RYA5080" s="34">
        <v>5</v>
      </c>
      <c r="RYC5080" s="913"/>
      <c r="RYD5080" s="31">
        <v>1</v>
      </c>
      <c r="RYE5080" s="34">
        <v>0</v>
      </c>
      <c r="RYF5080" s="34">
        <v>-1</v>
      </c>
      <c r="RYG5080" s="34">
        <v>-2</v>
      </c>
      <c r="RYH5080" s="34">
        <v>-3</v>
      </c>
      <c r="RYI5080" s="34">
        <v>-4</v>
      </c>
      <c r="RYJ5080" s="34">
        <v>-5</v>
      </c>
      <c r="RYK5080" s="908"/>
      <c r="RYL5080" s="909"/>
      <c r="RYM5080" s="34">
        <v>-5</v>
      </c>
      <c r="RYN5080" s="34">
        <v>-4.5</v>
      </c>
      <c r="RYO5080" s="34">
        <v>-4</v>
      </c>
      <c r="RYP5080" s="34">
        <v>-3.5</v>
      </c>
      <c r="RYQ5080" s="34">
        <v>-3</v>
      </c>
      <c r="RYR5080" s="34">
        <v>-2.5</v>
      </c>
      <c r="RYS5080" s="34">
        <v>-2</v>
      </c>
      <c r="RYT5080" s="34">
        <v>-1.5</v>
      </c>
      <c r="RYU5080" s="34">
        <v>-1</v>
      </c>
      <c r="RYV5080" s="34">
        <v>-0.5</v>
      </c>
      <c r="RYW5080" s="34">
        <v>0</v>
      </c>
      <c r="RYX5080" s="34">
        <v>0.5</v>
      </c>
      <c r="RYY5080" s="34">
        <v>1</v>
      </c>
      <c r="RYZ5080" s="34">
        <v>1.5</v>
      </c>
      <c r="RZA5080" s="34">
        <v>2</v>
      </c>
      <c r="RZB5080" s="34">
        <v>2.5</v>
      </c>
      <c r="RZC5080" s="34">
        <v>3</v>
      </c>
      <c r="RZD5080" s="34">
        <v>3.5</v>
      </c>
      <c r="RZE5080" s="34">
        <v>4</v>
      </c>
      <c r="RZF5080" s="34">
        <v>4.5</v>
      </c>
      <c r="RZG5080" s="34">
        <v>5</v>
      </c>
      <c r="RZI5080" s="913"/>
      <c r="RZJ5080" s="31">
        <v>1</v>
      </c>
      <c r="RZK5080" s="34">
        <v>0</v>
      </c>
      <c r="RZL5080" s="34">
        <v>-1</v>
      </c>
      <c r="RZM5080" s="34">
        <v>-2</v>
      </c>
      <c r="RZN5080" s="34">
        <v>-3</v>
      </c>
      <c r="RZO5080" s="34">
        <v>-4</v>
      </c>
      <c r="RZP5080" s="34">
        <v>-5</v>
      </c>
      <c r="RZQ5080" s="908"/>
      <c r="RZR5080" s="909"/>
      <c r="RZS5080" s="34">
        <v>-5</v>
      </c>
      <c r="RZT5080" s="34">
        <v>-4.5</v>
      </c>
      <c r="RZU5080" s="34">
        <v>-4</v>
      </c>
      <c r="RZV5080" s="34">
        <v>-3.5</v>
      </c>
      <c r="RZW5080" s="34">
        <v>-3</v>
      </c>
      <c r="RZX5080" s="34">
        <v>-2.5</v>
      </c>
      <c r="RZY5080" s="34">
        <v>-2</v>
      </c>
      <c r="RZZ5080" s="34">
        <v>-1.5</v>
      </c>
      <c r="SAA5080" s="34">
        <v>-1</v>
      </c>
      <c r="SAB5080" s="34">
        <v>-0.5</v>
      </c>
      <c r="SAC5080" s="34">
        <v>0</v>
      </c>
      <c r="SAD5080" s="34">
        <v>0.5</v>
      </c>
      <c r="SAE5080" s="34">
        <v>1</v>
      </c>
      <c r="SAF5080" s="34">
        <v>1.5</v>
      </c>
      <c r="SAG5080" s="34">
        <v>2</v>
      </c>
      <c r="SAH5080" s="34">
        <v>2.5</v>
      </c>
      <c r="SAI5080" s="34">
        <v>3</v>
      </c>
      <c r="SAJ5080" s="34">
        <v>3.5</v>
      </c>
      <c r="SAK5080" s="34">
        <v>4</v>
      </c>
      <c r="SAL5080" s="34">
        <v>4.5</v>
      </c>
      <c r="SAM5080" s="34">
        <v>5</v>
      </c>
      <c r="SAO5080" s="913"/>
      <c r="SAP5080" s="31">
        <v>1</v>
      </c>
      <c r="SAQ5080" s="34">
        <v>0</v>
      </c>
      <c r="SAR5080" s="34">
        <v>-1</v>
      </c>
      <c r="SAS5080" s="34">
        <v>-2</v>
      </c>
      <c r="SAT5080" s="34">
        <v>-3</v>
      </c>
      <c r="SAU5080" s="34">
        <v>-4</v>
      </c>
      <c r="SAV5080" s="34">
        <v>-5</v>
      </c>
      <c r="SAW5080" s="908"/>
      <c r="SAX5080" s="909"/>
      <c r="SAY5080" s="34">
        <v>-5</v>
      </c>
      <c r="SAZ5080" s="34">
        <v>-4.5</v>
      </c>
      <c r="SBA5080" s="34">
        <v>-4</v>
      </c>
      <c r="SBB5080" s="34">
        <v>-3.5</v>
      </c>
      <c r="SBC5080" s="34">
        <v>-3</v>
      </c>
      <c r="SBD5080" s="34">
        <v>-2.5</v>
      </c>
      <c r="SBE5080" s="34">
        <v>-2</v>
      </c>
      <c r="SBF5080" s="34">
        <v>-1.5</v>
      </c>
      <c r="SBG5080" s="34">
        <v>-1</v>
      </c>
      <c r="SBH5080" s="34">
        <v>-0.5</v>
      </c>
      <c r="SBI5080" s="34">
        <v>0</v>
      </c>
      <c r="SBJ5080" s="34">
        <v>0.5</v>
      </c>
      <c r="SBK5080" s="34">
        <v>1</v>
      </c>
      <c r="SBL5080" s="34">
        <v>1.5</v>
      </c>
      <c r="SBM5080" s="34">
        <v>2</v>
      </c>
      <c r="SBN5080" s="34">
        <v>2.5</v>
      </c>
      <c r="SBO5080" s="34">
        <v>3</v>
      </c>
      <c r="SBP5080" s="34">
        <v>3.5</v>
      </c>
      <c r="SBQ5080" s="34">
        <v>4</v>
      </c>
      <c r="SBR5080" s="34">
        <v>4.5</v>
      </c>
      <c r="SBS5080" s="34">
        <v>5</v>
      </c>
      <c r="SBU5080" s="913"/>
      <c r="SBV5080" s="31">
        <v>1</v>
      </c>
      <c r="SBW5080" s="34">
        <v>0</v>
      </c>
      <c r="SBX5080" s="34">
        <v>-1</v>
      </c>
      <c r="SBY5080" s="34">
        <v>-2</v>
      </c>
      <c r="SBZ5080" s="34">
        <v>-3</v>
      </c>
      <c r="SCA5080" s="34">
        <v>-4</v>
      </c>
      <c r="SCB5080" s="34">
        <v>-5</v>
      </c>
      <c r="SCC5080" s="908"/>
      <c r="SCD5080" s="909"/>
      <c r="SCE5080" s="34">
        <v>-5</v>
      </c>
      <c r="SCF5080" s="34">
        <v>-4.5</v>
      </c>
      <c r="SCG5080" s="34">
        <v>-4</v>
      </c>
      <c r="SCH5080" s="34">
        <v>-3.5</v>
      </c>
      <c r="SCI5080" s="34">
        <v>-3</v>
      </c>
      <c r="SCJ5080" s="34">
        <v>-2.5</v>
      </c>
      <c r="SCK5080" s="34">
        <v>-2</v>
      </c>
      <c r="SCL5080" s="34">
        <v>-1.5</v>
      </c>
      <c r="SCM5080" s="34">
        <v>-1</v>
      </c>
      <c r="SCN5080" s="34">
        <v>-0.5</v>
      </c>
      <c r="SCO5080" s="34">
        <v>0</v>
      </c>
      <c r="SCP5080" s="34">
        <v>0.5</v>
      </c>
      <c r="SCQ5080" s="34">
        <v>1</v>
      </c>
      <c r="SCR5080" s="34">
        <v>1.5</v>
      </c>
      <c r="SCS5080" s="34">
        <v>2</v>
      </c>
      <c r="SCT5080" s="34">
        <v>2.5</v>
      </c>
      <c r="SCU5080" s="34">
        <v>3</v>
      </c>
      <c r="SCV5080" s="34">
        <v>3.5</v>
      </c>
      <c r="SCW5080" s="34">
        <v>4</v>
      </c>
      <c r="SCX5080" s="34">
        <v>4.5</v>
      </c>
      <c r="SCY5080" s="34">
        <v>5</v>
      </c>
      <c r="SDA5080" s="913"/>
      <c r="SDB5080" s="31">
        <v>1</v>
      </c>
      <c r="SDC5080" s="34">
        <v>0</v>
      </c>
      <c r="SDD5080" s="34">
        <v>-1</v>
      </c>
      <c r="SDE5080" s="34">
        <v>-2</v>
      </c>
      <c r="SDF5080" s="34">
        <v>-3</v>
      </c>
      <c r="SDG5080" s="34">
        <v>-4</v>
      </c>
      <c r="SDH5080" s="34">
        <v>-5</v>
      </c>
      <c r="SDI5080" s="908"/>
      <c r="SDJ5080" s="909"/>
      <c r="SDK5080" s="34">
        <v>-5</v>
      </c>
      <c r="SDL5080" s="34">
        <v>-4.5</v>
      </c>
      <c r="SDM5080" s="34">
        <v>-4</v>
      </c>
      <c r="SDN5080" s="34">
        <v>-3.5</v>
      </c>
      <c r="SDO5080" s="34">
        <v>-3</v>
      </c>
      <c r="SDP5080" s="34">
        <v>-2.5</v>
      </c>
      <c r="SDQ5080" s="34">
        <v>-2</v>
      </c>
      <c r="SDR5080" s="34">
        <v>-1.5</v>
      </c>
      <c r="SDS5080" s="34">
        <v>-1</v>
      </c>
      <c r="SDT5080" s="34">
        <v>-0.5</v>
      </c>
      <c r="SDU5080" s="34">
        <v>0</v>
      </c>
      <c r="SDV5080" s="34">
        <v>0.5</v>
      </c>
      <c r="SDW5080" s="34">
        <v>1</v>
      </c>
      <c r="SDX5080" s="34">
        <v>1.5</v>
      </c>
      <c r="SDY5080" s="34">
        <v>2</v>
      </c>
      <c r="SDZ5080" s="34">
        <v>2.5</v>
      </c>
      <c r="SEA5080" s="34">
        <v>3</v>
      </c>
      <c r="SEB5080" s="34">
        <v>3.5</v>
      </c>
      <c r="SEC5080" s="34">
        <v>4</v>
      </c>
      <c r="SED5080" s="34">
        <v>4.5</v>
      </c>
      <c r="SEE5080" s="34">
        <v>5</v>
      </c>
      <c r="SEG5080" s="913"/>
      <c r="SEH5080" s="31">
        <v>1</v>
      </c>
      <c r="SEI5080" s="34">
        <v>0</v>
      </c>
      <c r="SEJ5080" s="34">
        <v>-1</v>
      </c>
      <c r="SEK5080" s="34">
        <v>-2</v>
      </c>
      <c r="SEL5080" s="34">
        <v>-3</v>
      </c>
      <c r="SEM5080" s="34">
        <v>-4</v>
      </c>
      <c r="SEN5080" s="34">
        <v>-5</v>
      </c>
      <c r="SEO5080" s="908"/>
      <c r="SEP5080" s="909"/>
      <c r="SEQ5080" s="34">
        <v>-5</v>
      </c>
      <c r="SER5080" s="34">
        <v>-4.5</v>
      </c>
      <c r="SES5080" s="34">
        <v>-4</v>
      </c>
      <c r="SET5080" s="34">
        <v>-3.5</v>
      </c>
      <c r="SEU5080" s="34">
        <v>-3</v>
      </c>
      <c r="SEV5080" s="34">
        <v>-2.5</v>
      </c>
      <c r="SEW5080" s="34">
        <v>-2</v>
      </c>
      <c r="SEX5080" s="34">
        <v>-1.5</v>
      </c>
      <c r="SEY5080" s="34">
        <v>-1</v>
      </c>
      <c r="SEZ5080" s="34">
        <v>-0.5</v>
      </c>
      <c r="SFA5080" s="34">
        <v>0</v>
      </c>
      <c r="SFB5080" s="34">
        <v>0.5</v>
      </c>
      <c r="SFC5080" s="34">
        <v>1</v>
      </c>
      <c r="SFD5080" s="34">
        <v>1.5</v>
      </c>
      <c r="SFE5080" s="34">
        <v>2</v>
      </c>
      <c r="SFF5080" s="34">
        <v>2.5</v>
      </c>
      <c r="SFG5080" s="34">
        <v>3</v>
      </c>
      <c r="SFH5080" s="34">
        <v>3.5</v>
      </c>
      <c r="SFI5080" s="34">
        <v>4</v>
      </c>
      <c r="SFJ5080" s="34">
        <v>4.5</v>
      </c>
      <c r="SFK5080" s="34">
        <v>5</v>
      </c>
      <c r="SFM5080" s="913"/>
      <c r="SFN5080" s="31">
        <v>1</v>
      </c>
      <c r="SFO5080" s="34">
        <v>0</v>
      </c>
      <c r="SFP5080" s="34">
        <v>-1</v>
      </c>
      <c r="SFQ5080" s="34">
        <v>-2</v>
      </c>
      <c r="SFR5080" s="34">
        <v>-3</v>
      </c>
      <c r="SFS5080" s="34">
        <v>-4</v>
      </c>
      <c r="SFT5080" s="34">
        <v>-5</v>
      </c>
      <c r="SFU5080" s="908"/>
      <c r="SFV5080" s="909"/>
      <c r="SFW5080" s="34">
        <v>-5</v>
      </c>
      <c r="SFX5080" s="34">
        <v>-4.5</v>
      </c>
      <c r="SFY5080" s="34">
        <v>-4</v>
      </c>
      <c r="SFZ5080" s="34">
        <v>-3.5</v>
      </c>
      <c r="SGA5080" s="34">
        <v>-3</v>
      </c>
      <c r="SGB5080" s="34">
        <v>-2.5</v>
      </c>
      <c r="SGC5080" s="34">
        <v>-2</v>
      </c>
      <c r="SGD5080" s="34">
        <v>-1.5</v>
      </c>
      <c r="SGE5080" s="34">
        <v>-1</v>
      </c>
      <c r="SGF5080" s="34">
        <v>-0.5</v>
      </c>
      <c r="SGG5080" s="34">
        <v>0</v>
      </c>
      <c r="SGH5080" s="34">
        <v>0.5</v>
      </c>
      <c r="SGI5080" s="34">
        <v>1</v>
      </c>
      <c r="SGJ5080" s="34">
        <v>1.5</v>
      </c>
      <c r="SGK5080" s="34">
        <v>2</v>
      </c>
      <c r="SGL5080" s="34">
        <v>2.5</v>
      </c>
      <c r="SGM5080" s="34">
        <v>3</v>
      </c>
      <c r="SGN5080" s="34">
        <v>3.5</v>
      </c>
      <c r="SGO5080" s="34">
        <v>4</v>
      </c>
      <c r="SGP5080" s="34">
        <v>4.5</v>
      </c>
      <c r="SGQ5080" s="34">
        <v>5</v>
      </c>
      <c r="SGS5080" s="913"/>
      <c r="SGT5080" s="31">
        <v>1</v>
      </c>
      <c r="SGU5080" s="34">
        <v>0</v>
      </c>
      <c r="SGV5080" s="34">
        <v>-1</v>
      </c>
      <c r="SGW5080" s="34">
        <v>-2</v>
      </c>
      <c r="SGX5080" s="34">
        <v>-3</v>
      </c>
      <c r="SGY5080" s="34">
        <v>-4</v>
      </c>
      <c r="SGZ5080" s="34">
        <v>-5</v>
      </c>
      <c r="SHA5080" s="908"/>
      <c r="SHB5080" s="909"/>
      <c r="SHC5080" s="34">
        <v>-5</v>
      </c>
      <c r="SHD5080" s="34">
        <v>-4.5</v>
      </c>
      <c r="SHE5080" s="34">
        <v>-4</v>
      </c>
      <c r="SHF5080" s="34">
        <v>-3.5</v>
      </c>
      <c r="SHG5080" s="34">
        <v>-3</v>
      </c>
      <c r="SHH5080" s="34">
        <v>-2.5</v>
      </c>
      <c r="SHI5080" s="34">
        <v>-2</v>
      </c>
      <c r="SHJ5080" s="34">
        <v>-1.5</v>
      </c>
      <c r="SHK5080" s="34">
        <v>-1</v>
      </c>
      <c r="SHL5080" s="34">
        <v>-0.5</v>
      </c>
      <c r="SHM5080" s="34">
        <v>0</v>
      </c>
      <c r="SHN5080" s="34">
        <v>0.5</v>
      </c>
      <c r="SHO5080" s="34">
        <v>1</v>
      </c>
      <c r="SHP5080" s="34">
        <v>1.5</v>
      </c>
      <c r="SHQ5080" s="34">
        <v>2</v>
      </c>
      <c r="SHR5080" s="34">
        <v>2.5</v>
      </c>
      <c r="SHS5080" s="34">
        <v>3</v>
      </c>
      <c r="SHT5080" s="34">
        <v>3.5</v>
      </c>
      <c r="SHU5080" s="34">
        <v>4</v>
      </c>
      <c r="SHV5080" s="34">
        <v>4.5</v>
      </c>
      <c r="SHW5080" s="34">
        <v>5</v>
      </c>
      <c r="SHY5080" s="913"/>
      <c r="SHZ5080" s="31">
        <v>1</v>
      </c>
      <c r="SIA5080" s="34">
        <v>0</v>
      </c>
      <c r="SIB5080" s="34">
        <v>-1</v>
      </c>
      <c r="SIC5080" s="34">
        <v>-2</v>
      </c>
      <c r="SID5080" s="34">
        <v>-3</v>
      </c>
      <c r="SIE5080" s="34">
        <v>-4</v>
      </c>
      <c r="SIF5080" s="34">
        <v>-5</v>
      </c>
      <c r="SIG5080" s="908"/>
      <c r="SIH5080" s="909"/>
      <c r="SII5080" s="34">
        <v>-5</v>
      </c>
      <c r="SIJ5080" s="34">
        <v>-4.5</v>
      </c>
      <c r="SIK5080" s="34">
        <v>-4</v>
      </c>
      <c r="SIL5080" s="34">
        <v>-3.5</v>
      </c>
      <c r="SIM5080" s="34">
        <v>-3</v>
      </c>
      <c r="SIN5080" s="34">
        <v>-2.5</v>
      </c>
      <c r="SIO5080" s="34">
        <v>-2</v>
      </c>
      <c r="SIP5080" s="34">
        <v>-1.5</v>
      </c>
      <c r="SIQ5080" s="34">
        <v>-1</v>
      </c>
      <c r="SIR5080" s="34">
        <v>-0.5</v>
      </c>
      <c r="SIS5080" s="34">
        <v>0</v>
      </c>
      <c r="SIT5080" s="34">
        <v>0.5</v>
      </c>
      <c r="SIU5080" s="34">
        <v>1</v>
      </c>
      <c r="SIV5080" s="34">
        <v>1.5</v>
      </c>
      <c r="SIW5080" s="34">
        <v>2</v>
      </c>
      <c r="SIX5080" s="34">
        <v>2.5</v>
      </c>
      <c r="SIY5080" s="34">
        <v>3</v>
      </c>
      <c r="SIZ5080" s="34">
        <v>3.5</v>
      </c>
      <c r="SJA5080" s="34">
        <v>4</v>
      </c>
      <c r="SJB5080" s="34">
        <v>4.5</v>
      </c>
      <c r="SJC5080" s="34">
        <v>5</v>
      </c>
      <c r="SJE5080" s="913"/>
      <c r="SJF5080" s="31">
        <v>1</v>
      </c>
      <c r="SJG5080" s="34">
        <v>0</v>
      </c>
      <c r="SJH5080" s="34">
        <v>-1</v>
      </c>
      <c r="SJI5080" s="34">
        <v>-2</v>
      </c>
      <c r="SJJ5080" s="34">
        <v>-3</v>
      </c>
      <c r="SJK5080" s="34">
        <v>-4</v>
      </c>
      <c r="SJL5080" s="34">
        <v>-5</v>
      </c>
      <c r="SJM5080" s="908"/>
      <c r="SJN5080" s="909"/>
      <c r="SJO5080" s="34">
        <v>-5</v>
      </c>
      <c r="SJP5080" s="34">
        <v>-4.5</v>
      </c>
      <c r="SJQ5080" s="34">
        <v>-4</v>
      </c>
      <c r="SJR5080" s="34">
        <v>-3.5</v>
      </c>
      <c r="SJS5080" s="34">
        <v>-3</v>
      </c>
      <c r="SJT5080" s="34">
        <v>-2.5</v>
      </c>
      <c r="SJU5080" s="34">
        <v>-2</v>
      </c>
      <c r="SJV5080" s="34">
        <v>-1.5</v>
      </c>
      <c r="SJW5080" s="34">
        <v>-1</v>
      </c>
      <c r="SJX5080" s="34">
        <v>-0.5</v>
      </c>
      <c r="SJY5080" s="34">
        <v>0</v>
      </c>
      <c r="SJZ5080" s="34">
        <v>0.5</v>
      </c>
      <c r="SKA5080" s="34">
        <v>1</v>
      </c>
      <c r="SKB5080" s="34">
        <v>1.5</v>
      </c>
      <c r="SKC5080" s="34">
        <v>2</v>
      </c>
      <c r="SKD5080" s="34">
        <v>2.5</v>
      </c>
      <c r="SKE5080" s="34">
        <v>3</v>
      </c>
      <c r="SKF5080" s="34">
        <v>3.5</v>
      </c>
      <c r="SKG5080" s="34">
        <v>4</v>
      </c>
      <c r="SKH5080" s="34">
        <v>4.5</v>
      </c>
      <c r="SKI5080" s="34">
        <v>5</v>
      </c>
      <c r="SKK5080" s="913"/>
      <c r="SKL5080" s="31">
        <v>1</v>
      </c>
      <c r="SKM5080" s="34">
        <v>0</v>
      </c>
      <c r="SKN5080" s="34">
        <v>-1</v>
      </c>
      <c r="SKO5080" s="34">
        <v>-2</v>
      </c>
      <c r="SKP5080" s="34">
        <v>-3</v>
      </c>
      <c r="SKQ5080" s="34">
        <v>-4</v>
      </c>
      <c r="SKR5080" s="34">
        <v>-5</v>
      </c>
      <c r="SKS5080" s="908"/>
      <c r="SKT5080" s="909"/>
      <c r="SKU5080" s="34">
        <v>-5</v>
      </c>
      <c r="SKV5080" s="34">
        <v>-4.5</v>
      </c>
      <c r="SKW5080" s="34">
        <v>-4</v>
      </c>
      <c r="SKX5080" s="34">
        <v>-3.5</v>
      </c>
      <c r="SKY5080" s="34">
        <v>-3</v>
      </c>
      <c r="SKZ5080" s="34">
        <v>-2.5</v>
      </c>
      <c r="SLA5080" s="34">
        <v>-2</v>
      </c>
      <c r="SLB5080" s="34">
        <v>-1.5</v>
      </c>
      <c r="SLC5080" s="34">
        <v>-1</v>
      </c>
      <c r="SLD5080" s="34">
        <v>-0.5</v>
      </c>
      <c r="SLE5080" s="34">
        <v>0</v>
      </c>
      <c r="SLF5080" s="34">
        <v>0.5</v>
      </c>
      <c r="SLG5080" s="34">
        <v>1</v>
      </c>
      <c r="SLH5080" s="34">
        <v>1.5</v>
      </c>
      <c r="SLI5080" s="34">
        <v>2</v>
      </c>
      <c r="SLJ5080" s="34">
        <v>2.5</v>
      </c>
      <c r="SLK5080" s="34">
        <v>3</v>
      </c>
      <c r="SLL5080" s="34">
        <v>3.5</v>
      </c>
      <c r="SLM5080" s="34">
        <v>4</v>
      </c>
      <c r="SLN5080" s="34">
        <v>4.5</v>
      </c>
      <c r="SLO5080" s="34">
        <v>5</v>
      </c>
      <c r="SLQ5080" s="913"/>
      <c r="SLR5080" s="31">
        <v>1</v>
      </c>
      <c r="SLS5080" s="34">
        <v>0</v>
      </c>
      <c r="SLT5080" s="34">
        <v>-1</v>
      </c>
      <c r="SLU5080" s="34">
        <v>-2</v>
      </c>
      <c r="SLV5080" s="34">
        <v>-3</v>
      </c>
      <c r="SLW5080" s="34">
        <v>-4</v>
      </c>
      <c r="SLX5080" s="34">
        <v>-5</v>
      </c>
      <c r="SLY5080" s="908"/>
      <c r="SLZ5080" s="909"/>
      <c r="SMA5080" s="34">
        <v>-5</v>
      </c>
      <c r="SMB5080" s="34">
        <v>-4.5</v>
      </c>
      <c r="SMC5080" s="34">
        <v>-4</v>
      </c>
      <c r="SMD5080" s="34">
        <v>-3.5</v>
      </c>
      <c r="SME5080" s="34">
        <v>-3</v>
      </c>
      <c r="SMF5080" s="34">
        <v>-2.5</v>
      </c>
      <c r="SMG5080" s="34">
        <v>-2</v>
      </c>
      <c r="SMH5080" s="34">
        <v>-1.5</v>
      </c>
      <c r="SMI5080" s="34">
        <v>-1</v>
      </c>
      <c r="SMJ5080" s="34">
        <v>-0.5</v>
      </c>
      <c r="SMK5080" s="34">
        <v>0</v>
      </c>
      <c r="SML5080" s="34">
        <v>0.5</v>
      </c>
      <c r="SMM5080" s="34">
        <v>1</v>
      </c>
      <c r="SMN5080" s="34">
        <v>1.5</v>
      </c>
      <c r="SMO5080" s="34">
        <v>2</v>
      </c>
      <c r="SMP5080" s="34">
        <v>2.5</v>
      </c>
      <c r="SMQ5080" s="34">
        <v>3</v>
      </c>
      <c r="SMR5080" s="34">
        <v>3.5</v>
      </c>
      <c r="SMS5080" s="34">
        <v>4</v>
      </c>
      <c r="SMT5080" s="34">
        <v>4.5</v>
      </c>
      <c r="SMU5080" s="34">
        <v>5</v>
      </c>
      <c r="SMW5080" s="913"/>
      <c r="SMX5080" s="31">
        <v>1</v>
      </c>
      <c r="SMY5080" s="34">
        <v>0</v>
      </c>
      <c r="SMZ5080" s="34">
        <v>-1</v>
      </c>
      <c r="SNA5080" s="34">
        <v>-2</v>
      </c>
      <c r="SNB5080" s="34">
        <v>-3</v>
      </c>
      <c r="SNC5080" s="34">
        <v>-4</v>
      </c>
      <c r="SND5080" s="34">
        <v>-5</v>
      </c>
      <c r="SNE5080" s="908"/>
      <c r="SNF5080" s="909"/>
      <c r="SNG5080" s="34">
        <v>-5</v>
      </c>
      <c r="SNH5080" s="34">
        <v>-4.5</v>
      </c>
      <c r="SNI5080" s="34">
        <v>-4</v>
      </c>
      <c r="SNJ5080" s="34">
        <v>-3.5</v>
      </c>
      <c r="SNK5080" s="34">
        <v>-3</v>
      </c>
      <c r="SNL5080" s="34">
        <v>-2.5</v>
      </c>
      <c r="SNM5080" s="34">
        <v>-2</v>
      </c>
      <c r="SNN5080" s="34">
        <v>-1.5</v>
      </c>
      <c r="SNO5080" s="34">
        <v>-1</v>
      </c>
      <c r="SNP5080" s="34">
        <v>-0.5</v>
      </c>
      <c r="SNQ5080" s="34">
        <v>0</v>
      </c>
      <c r="SNR5080" s="34">
        <v>0.5</v>
      </c>
      <c r="SNS5080" s="34">
        <v>1</v>
      </c>
      <c r="SNT5080" s="34">
        <v>1.5</v>
      </c>
      <c r="SNU5080" s="34">
        <v>2</v>
      </c>
      <c r="SNV5080" s="34">
        <v>2.5</v>
      </c>
      <c r="SNW5080" s="34">
        <v>3</v>
      </c>
      <c r="SNX5080" s="34">
        <v>3.5</v>
      </c>
      <c r="SNY5080" s="34">
        <v>4</v>
      </c>
      <c r="SNZ5080" s="34">
        <v>4.5</v>
      </c>
      <c r="SOA5080" s="34">
        <v>5</v>
      </c>
      <c r="SOC5080" s="913"/>
      <c r="SOD5080" s="31">
        <v>1</v>
      </c>
      <c r="SOE5080" s="34">
        <v>0</v>
      </c>
      <c r="SOF5080" s="34">
        <v>-1</v>
      </c>
      <c r="SOG5080" s="34">
        <v>-2</v>
      </c>
      <c r="SOH5080" s="34">
        <v>-3</v>
      </c>
      <c r="SOI5080" s="34">
        <v>-4</v>
      </c>
      <c r="SOJ5080" s="34">
        <v>-5</v>
      </c>
      <c r="SOK5080" s="908"/>
      <c r="SOL5080" s="909"/>
      <c r="SOM5080" s="34">
        <v>-5</v>
      </c>
      <c r="SON5080" s="34">
        <v>-4.5</v>
      </c>
      <c r="SOO5080" s="34">
        <v>-4</v>
      </c>
      <c r="SOP5080" s="34">
        <v>-3.5</v>
      </c>
      <c r="SOQ5080" s="34">
        <v>-3</v>
      </c>
      <c r="SOR5080" s="34">
        <v>-2.5</v>
      </c>
      <c r="SOS5080" s="34">
        <v>-2</v>
      </c>
      <c r="SOT5080" s="34">
        <v>-1.5</v>
      </c>
      <c r="SOU5080" s="34">
        <v>-1</v>
      </c>
      <c r="SOV5080" s="34">
        <v>-0.5</v>
      </c>
      <c r="SOW5080" s="34">
        <v>0</v>
      </c>
      <c r="SOX5080" s="34">
        <v>0.5</v>
      </c>
      <c r="SOY5080" s="34">
        <v>1</v>
      </c>
      <c r="SOZ5080" s="34">
        <v>1.5</v>
      </c>
      <c r="SPA5080" s="34">
        <v>2</v>
      </c>
      <c r="SPB5080" s="34">
        <v>2.5</v>
      </c>
      <c r="SPC5080" s="34">
        <v>3</v>
      </c>
      <c r="SPD5080" s="34">
        <v>3.5</v>
      </c>
      <c r="SPE5080" s="34">
        <v>4</v>
      </c>
      <c r="SPF5080" s="34">
        <v>4.5</v>
      </c>
      <c r="SPG5080" s="34">
        <v>5</v>
      </c>
      <c r="SPI5080" s="913"/>
      <c r="SPJ5080" s="31">
        <v>1</v>
      </c>
      <c r="SPK5080" s="34">
        <v>0</v>
      </c>
      <c r="SPL5080" s="34">
        <v>-1</v>
      </c>
      <c r="SPM5080" s="34">
        <v>-2</v>
      </c>
      <c r="SPN5080" s="34">
        <v>-3</v>
      </c>
      <c r="SPO5080" s="34">
        <v>-4</v>
      </c>
      <c r="SPP5080" s="34">
        <v>-5</v>
      </c>
      <c r="SPQ5080" s="908"/>
      <c r="SPR5080" s="909"/>
      <c r="SPS5080" s="34">
        <v>-5</v>
      </c>
      <c r="SPT5080" s="34">
        <v>-4.5</v>
      </c>
      <c r="SPU5080" s="34">
        <v>-4</v>
      </c>
      <c r="SPV5080" s="34">
        <v>-3.5</v>
      </c>
      <c r="SPW5080" s="34">
        <v>-3</v>
      </c>
      <c r="SPX5080" s="34">
        <v>-2.5</v>
      </c>
      <c r="SPY5080" s="34">
        <v>-2</v>
      </c>
      <c r="SPZ5080" s="34">
        <v>-1.5</v>
      </c>
      <c r="SQA5080" s="34">
        <v>-1</v>
      </c>
      <c r="SQB5080" s="34">
        <v>-0.5</v>
      </c>
      <c r="SQC5080" s="34">
        <v>0</v>
      </c>
      <c r="SQD5080" s="34">
        <v>0.5</v>
      </c>
      <c r="SQE5080" s="34">
        <v>1</v>
      </c>
      <c r="SQF5080" s="34">
        <v>1.5</v>
      </c>
      <c r="SQG5080" s="34">
        <v>2</v>
      </c>
      <c r="SQH5080" s="34">
        <v>2.5</v>
      </c>
      <c r="SQI5080" s="34">
        <v>3</v>
      </c>
      <c r="SQJ5080" s="34">
        <v>3.5</v>
      </c>
      <c r="SQK5080" s="34">
        <v>4</v>
      </c>
      <c r="SQL5080" s="34">
        <v>4.5</v>
      </c>
      <c r="SQM5080" s="34">
        <v>5</v>
      </c>
      <c r="SQO5080" s="913"/>
      <c r="SQP5080" s="31">
        <v>1</v>
      </c>
      <c r="SQQ5080" s="34">
        <v>0</v>
      </c>
      <c r="SQR5080" s="34">
        <v>-1</v>
      </c>
      <c r="SQS5080" s="34">
        <v>-2</v>
      </c>
      <c r="SQT5080" s="34">
        <v>-3</v>
      </c>
      <c r="SQU5080" s="34">
        <v>-4</v>
      </c>
      <c r="SQV5080" s="34">
        <v>-5</v>
      </c>
      <c r="SQW5080" s="908"/>
      <c r="SQX5080" s="909"/>
      <c r="SQY5080" s="34">
        <v>-5</v>
      </c>
      <c r="SQZ5080" s="34">
        <v>-4.5</v>
      </c>
      <c r="SRA5080" s="34">
        <v>-4</v>
      </c>
      <c r="SRB5080" s="34">
        <v>-3.5</v>
      </c>
      <c r="SRC5080" s="34">
        <v>-3</v>
      </c>
      <c r="SRD5080" s="34">
        <v>-2.5</v>
      </c>
      <c r="SRE5080" s="34">
        <v>-2</v>
      </c>
      <c r="SRF5080" s="34">
        <v>-1.5</v>
      </c>
      <c r="SRG5080" s="34">
        <v>-1</v>
      </c>
      <c r="SRH5080" s="34">
        <v>-0.5</v>
      </c>
      <c r="SRI5080" s="34">
        <v>0</v>
      </c>
      <c r="SRJ5080" s="34">
        <v>0.5</v>
      </c>
      <c r="SRK5080" s="34">
        <v>1</v>
      </c>
      <c r="SRL5080" s="34">
        <v>1.5</v>
      </c>
      <c r="SRM5080" s="34">
        <v>2</v>
      </c>
      <c r="SRN5080" s="34">
        <v>2.5</v>
      </c>
      <c r="SRO5080" s="34">
        <v>3</v>
      </c>
      <c r="SRP5080" s="34">
        <v>3.5</v>
      </c>
      <c r="SRQ5080" s="34">
        <v>4</v>
      </c>
      <c r="SRR5080" s="34">
        <v>4.5</v>
      </c>
      <c r="SRS5080" s="34">
        <v>5</v>
      </c>
      <c r="SRU5080" s="913"/>
      <c r="SRV5080" s="31">
        <v>1</v>
      </c>
      <c r="SRW5080" s="34">
        <v>0</v>
      </c>
      <c r="SRX5080" s="34">
        <v>-1</v>
      </c>
      <c r="SRY5080" s="34">
        <v>-2</v>
      </c>
      <c r="SRZ5080" s="34">
        <v>-3</v>
      </c>
      <c r="SSA5080" s="34">
        <v>-4</v>
      </c>
      <c r="SSB5080" s="34">
        <v>-5</v>
      </c>
      <c r="SSC5080" s="908"/>
      <c r="SSD5080" s="909"/>
      <c r="SSE5080" s="34">
        <v>-5</v>
      </c>
      <c r="SSF5080" s="34">
        <v>-4.5</v>
      </c>
      <c r="SSG5080" s="34">
        <v>-4</v>
      </c>
      <c r="SSH5080" s="34">
        <v>-3.5</v>
      </c>
      <c r="SSI5080" s="34">
        <v>-3</v>
      </c>
      <c r="SSJ5080" s="34">
        <v>-2.5</v>
      </c>
      <c r="SSK5080" s="34">
        <v>-2</v>
      </c>
      <c r="SSL5080" s="34">
        <v>-1.5</v>
      </c>
      <c r="SSM5080" s="34">
        <v>-1</v>
      </c>
      <c r="SSN5080" s="34">
        <v>-0.5</v>
      </c>
      <c r="SSO5080" s="34">
        <v>0</v>
      </c>
      <c r="SSP5080" s="34">
        <v>0.5</v>
      </c>
      <c r="SSQ5080" s="34">
        <v>1</v>
      </c>
      <c r="SSR5080" s="34">
        <v>1.5</v>
      </c>
      <c r="SSS5080" s="34">
        <v>2</v>
      </c>
      <c r="SST5080" s="34">
        <v>2.5</v>
      </c>
      <c r="SSU5080" s="34">
        <v>3</v>
      </c>
      <c r="SSV5080" s="34">
        <v>3.5</v>
      </c>
      <c r="SSW5080" s="34">
        <v>4</v>
      </c>
      <c r="SSX5080" s="34">
        <v>4.5</v>
      </c>
      <c r="SSY5080" s="34">
        <v>5</v>
      </c>
      <c r="STA5080" s="913"/>
      <c r="STB5080" s="31">
        <v>1</v>
      </c>
      <c r="STC5080" s="34">
        <v>0</v>
      </c>
      <c r="STD5080" s="34">
        <v>-1</v>
      </c>
      <c r="STE5080" s="34">
        <v>-2</v>
      </c>
      <c r="STF5080" s="34">
        <v>-3</v>
      </c>
      <c r="STG5080" s="34">
        <v>-4</v>
      </c>
      <c r="STH5080" s="34">
        <v>-5</v>
      </c>
      <c r="STI5080" s="908"/>
      <c r="STJ5080" s="909"/>
      <c r="STK5080" s="34">
        <v>-5</v>
      </c>
      <c r="STL5080" s="34">
        <v>-4.5</v>
      </c>
      <c r="STM5080" s="34">
        <v>-4</v>
      </c>
      <c r="STN5080" s="34">
        <v>-3.5</v>
      </c>
      <c r="STO5080" s="34">
        <v>-3</v>
      </c>
      <c r="STP5080" s="34">
        <v>-2.5</v>
      </c>
      <c r="STQ5080" s="34">
        <v>-2</v>
      </c>
      <c r="STR5080" s="34">
        <v>-1.5</v>
      </c>
      <c r="STS5080" s="34">
        <v>-1</v>
      </c>
      <c r="STT5080" s="34">
        <v>-0.5</v>
      </c>
      <c r="STU5080" s="34">
        <v>0</v>
      </c>
      <c r="STV5080" s="34">
        <v>0.5</v>
      </c>
      <c r="STW5080" s="34">
        <v>1</v>
      </c>
      <c r="STX5080" s="34">
        <v>1.5</v>
      </c>
      <c r="STY5080" s="34">
        <v>2</v>
      </c>
      <c r="STZ5080" s="34">
        <v>2.5</v>
      </c>
      <c r="SUA5080" s="34">
        <v>3</v>
      </c>
      <c r="SUB5080" s="34">
        <v>3.5</v>
      </c>
      <c r="SUC5080" s="34">
        <v>4</v>
      </c>
      <c r="SUD5080" s="34">
        <v>4.5</v>
      </c>
      <c r="SUE5080" s="34">
        <v>5</v>
      </c>
      <c r="SUG5080" s="913"/>
      <c r="SUH5080" s="31">
        <v>1</v>
      </c>
      <c r="SUI5080" s="34">
        <v>0</v>
      </c>
      <c r="SUJ5080" s="34">
        <v>-1</v>
      </c>
      <c r="SUK5080" s="34">
        <v>-2</v>
      </c>
      <c r="SUL5080" s="34">
        <v>-3</v>
      </c>
      <c r="SUM5080" s="34">
        <v>-4</v>
      </c>
      <c r="SUN5080" s="34">
        <v>-5</v>
      </c>
      <c r="SUO5080" s="908"/>
      <c r="SUP5080" s="909"/>
      <c r="SUQ5080" s="34">
        <v>-5</v>
      </c>
      <c r="SUR5080" s="34">
        <v>-4.5</v>
      </c>
      <c r="SUS5080" s="34">
        <v>-4</v>
      </c>
      <c r="SUT5080" s="34">
        <v>-3.5</v>
      </c>
      <c r="SUU5080" s="34">
        <v>-3</v>
      </c>
      <c r="SUV5080" s="34">
        <v>-2.5</v>
      </c>
      <c r="SUW5080" s="34">
        <v>-2</v>
      </c>
      <c r="SUX5080" s="34">
        <v>-1.5</v>
      </c>
      <c r="SUY5080" s="34">
        <v>-1</v>
      </c>
      <c r="SUZ5080" s="34">
        <v>-0.5</v>
      </c>
      <c r="SVA5080" s="34">
        <v>0</v>
      </c>
      <c r="SVB5080" s="34">
        <v>0.5</v>
      </c>
      <c r="SVC5080" s="34">
        <v>1</v>
      </c>
      <c r="SVD5080" s="34">
        <v>1.5</v>
      </c>
      <c r="SVE5080" s="34">
        <v>2</v>
      </c>
      <c r="SVF5080" s="34">
        <v>2.5</v>
      </c>
      <c r="SVG5080" s="34">
        <v>3</v>
      </c>
      <c r="SVH5080" s="34">
        <v>3.5</v>
      </c>
      <c r="SVI5080" s="34">
        <v>4</v>
      </c>
      <c r="SVJ5080" s="34">
        <v>4.5</v>
      </c>
      <c r="SVK5080" s="34">
        <v>5</v>
      </c>
      <c r="SVM5080" s="913"/>
      <c r="SVN5080" s="31">
        <v>1</v>
      </c>
      <c r="SVO5080" s="34">
        <v>0</v>
      </c>
      <c r="SVP5080" s="34">
        <v>-1</v>
      </c>
      <c r="SVQ5080" s="34">
        <v>-2</v>
      </c>
      <c r="SVR5080" s="34">
        <v>-3</v>
      </c>
      <c r="SVS5080" s="34">
        <v>-4</v>
      </c>
      <c r="SVT5080" s="34">
        <v>-5</v>
      </c>
      <c r="SVU5080" s="908"/>
      <c r="SVV5080" s="909"/>
      <c r="SVW5080" s="34">
        <v>-5</v>
      </c>
      <c r="SVX5080" s="34">
        <v>-4.5</v>
      </c>
      <c r="SVY5080" s="34">
        <v>-4</v>
      </c>
      <c r="SVZ5080" s="34">
        <v>-3.5</v>
      </c>
      <c r="SWA5080" s="34">
        <v>-3</v>
      </c>
      <c r="SWB5080" s="34">
        <v>-2.5</v>
      </c>
      <c r="SWC5080" s="34">
        <v>-2</v>
      </c>
      <c r="SWD5080" s="34">
        <v>-1.5</v>
      </c>
      <c r="SWE5080" s="34">
        <v>-1</v>
      </c>
      <c r="SWF5080" s="34">
        <v>-0.5</v>
      </c>
      <c r="SWG5080" s="34">
        <v>0</v>
      </c>
      <c r="SWH5080" s="34">
        <v>0.5</v>
      </c>
      <c r="SWI5080" s="34">
        <v>1</v>
      </c>
      <c r="SWJ5080" s="34">
        <v>1.5</v>
      </c>
      <c r="SWK5080" s="34">
        <v>2</v>
      </c>
      <c r="SWL5080" s="34">
        <v>2.5</v>
      </c>
      <c r="SWM5080" s="34">
        <v>3</v>
      </c>
      <c r="SWN5080" s="34">
        <v>3.5</v>
      </c>
      <c r="SWO5080" s="34">
        <v>4</v>
      </c>
      <c r="SWP5080" s="34">
        <v>4.5</v>
      </c>
      <c r="SWQ5080" s="34">
        <v>5</v>
      </c>
      <c r="SWS5080" s="913"/>
      <c r="SWT5080" s="31">
        <v>1</v>
      </c>
      <c r="SWU5080" s="34">
        <v>0</v>
      </c>
      <c r="SWV5080" s="34">
        <v>-1</v>
      </c>
      <c r="SWW5080" s="34">
        <v>-2</v>
      </c>
      <c r="SWX5080" s="34">
        <v>-3</v>
      </c>
      <c r="SWY5080" s="34">
        <v>-4</v>
      </c>
      <c r="SWZ5080" s="34">
        <v>-5</v>
      </c>
      <c r="SXA5080" s="908"/>
      <c r="SXB5080" s="909"/>
      <c r="SXC5080" s="34">
        <v>-5</v>
      </c>
      <c r="SXD5080" s="34">
        <v>-4.5</v>
      </c>
      <c r="SXE5080" s="34">
        <v>-4</v>
      </c>
      <c r="SXF5080" s="34">
        <v>-3.5</v>
      </c>
      <c r="SXG5080" s="34">
        <v>-3</v>
      </c>
      <c r="SXH5080" s="34">
        <v>-2.5</v>
      </c>
      <c r="SXI5080" s="34">
        <v>-2</v>
      </c>
      <c r="SXJ5080" s="34">
        <v>-1.5</v>
      </c>
      <c r="SXK5080" s="34">
        <v>-1</v>
      </c>
      <c r="SXL5080" s="34">
        <v>-0.5</v>
      </c>
      <c r="SXM5080" s="34">
        <v>0</v>
      </c>
      <c r="SXN5080" s="34">
        <v>0.5</v>
      </c>
      <c r="SXO5080" s="34">
        <v>1</v>
      </c>
      <c r="SXP5080" s="34">
        <v>1.5</v>
      </c>
      <c r="SXQ5080" s="34">
        <v>2</v>
      </c>
      <c r="SXR5080" s="34">
        <v>2.5</v>
      </c>
      <c r="SXS5080" s="34">
        <v>3</v>
      </c>
      <c r="SXT5080" s="34">
        <v>3.5</v>
      </c>
      <c r="SXU5080" s="34">
        <v>4</v>
      </c>
      <c r="SXV5080" s="34">
        <v>4.5</v>
      </c>
      <c r="SXW5080" s="34">
        <v>5</v>
      </c>
      <c r="SXY5080" s="913"/>
      <c r="SXZ5080" s="31">
        <v>1</v>
      </c>
      <c r="SYA5080" s="34">
        <v>0</v>
      </c>
      <c r="SYB5080" s="34">
        <v>-1</v>
      </c>
      <c r="SYC5080" s="34">
        <v>-2</v>
      </c>
      <c r="SYD5080" s="34">
        <v>-3</v>
      </c>
      <c r="SYE5080" s="34">
        <v>-4</v>
      </c>
      <c r="SYF5080" s="34">
        <v>-5</v>
      </c>
      <c r="SYG5080" s="908"/>
      <c r="SYH5080" s="909"/>
      <c r="SYI5080" s="34">
        <v>-5</v>
      </c>
      <c r="SYJ5080" s="34">
        <v>-4.5</v>
      </c>
      <c r="SYK5080" s="34">
        <v>-4</v>
      </c>
      <c r="SYL5080" s="34">
        <v>-3.5</v>
      </c>
      <c r="SYM5080" s="34">
        <v>-3</v>
      </c>
      <c r="SYN5080" s="34">
        <v>-2.5</v>
      </c>
      <c r="SYO5080" s="34">
        <v>-2</v>
      </c>
      <c r="SYP5080" s="34">
        <v>-1.5</v>
      </c>
      <c r="SYQ5080" s="34">
        <v>-1</v>
      </c>
      <c r="SYR5080" s="34">
        <v>-0.5</v>
      </c>
      <c r="SYS5080" s="34">
        <v>0</v>
      </c>
      <c r="SYT5080" s="34">
        <v>0.5</v>
      </c>
      <c r="SYU5080" s="34">
        <v>1</v>
      </c>
      <c r="SYV5080" s="34">
        <v>1.5</v>
      </c>
      <c r="SYW5080" s="34">
        <v>2</v>
      </c>
      <c r="SYX5080" s="34">
        <v>2.5</v>
      </c>
      <c r="SYY5080" s="34">
        <v>3</v>
      </c>
      <c r="SYZ5080" s="34">
        <v>3.5</v>
      </c>
      <c r="SZA5080" s="34">
        <v>4</v>
      </c>
      <c r="SZB5080" s="34">
        <v>4.5</v>
      </c>
      <c r="SZC5080" s="34">
        <v>5</v>
      </c>
      <c r="SZE5080" s="913"/>
      <c r="SZF5080" s="31">
        <v>1</v>
      </c>
      <c r="SZG5080" s="34">
        <v>0</v>
      </c>
      <c r="SZH5080" s="34">
        <v>-1</v>
      </c>
      <c r="SZI5080" s="34">
        <v>-2</v>
      </c>
      <c r="SZJ5080" s="34">
        <v>-3</v>
      </c>
      <c r="SZK5080" s="34">
        <v>-4</v>
      </c>
      <c r="SZL5080" s="34">
        <v>-5</v>
      </c>
      <c r="SZM5080" s="908"/>
      <c r="SZN5080" s="909"/>
      <c r="SZO5080" s="34">
        <v>-5</v>
      </c>
      <c r="SZP5080" s="34">
        <v>-4.5</v>
      </c>
      <c r="SZQ5080" s="34">
        <v>-4</v>
      </c>
      <c r="SZR5080" s="34">
        <v>-3.5</v>
      </c>
      <c r="SZS5080" s="34">
        <v>-3</v>
      </c>
      <c r="SZT5080" s="34">
        <v>-2.5</v>
      </c>
      <c r="SZU5080" s="34">
        <v>-2</v>
      </c>
      <c r="SZV5080" s="34">
        <v>-1.5</v>
      </c>
      <c r="SZW5080" s="34">
        <v>-1</v>
      </c>
      <c r="SZX5080" s="34">
        <v>-0.5</v>
      </c>
      <c r="SZY5080" s="34">
        <v>0</v>
      </c>
      <c r="SZZ5080" s="34">
        <v>0.5</v>
      </c>
      <c r="TAA5080" s="34">
        <v>1</v>
      </c>
      <c r="TAB5080" s="34">
        <v>1.5</v>
      </c>
      <c r="TAC5080" s="34">
        <v>2</v>
      </c>
      <c r="TAD5080" s="34">
        <v>2.5</v>
      </c>
      <c r="TAE5080" s="34">
        <v>3</v>
      </c>
      <c r="TAF5080" s="34">
        <v>3.5</v>
      </c>
      <c r="TAG5080" s="34">
        <v>4</v>
      </c>
      <c r="TAH5080" s="34">
        <v>4.5</v>
      </c>
      <c r="TAI5080" s="34">
        <v>5</v>
      </c>
      <c r="TAK5080" s="913"/>
      <c r="TAL5080" s="31">
        <v>1</v>
      </c>
      <c r="TAM5080" s="34">
        <v>0</v>
      </c>
      <c r="TAN5080" s="34">
        <v>-1</v>
      </c>
      <c r="TAO5080" s="34">
        <v>-2</v>
      </c>
      <c r="TAP5080" s="34">
        <v>-3</v>
      </c>
      <c r="TAQ5080" s="34">
        <v>-4</v>
      </c>
      <c r="TAR5080" s="34">
        <v>-5</v>
      </c>
      <c r="TAS5080" s="908"/>
      <c r="TAT5080" s="909"/>
      <c r="TAU5080" s="34">
        <v>-5</v>
      </c>
      <c r="TAV5080" s="34">
        <v>-4.5</v>
      </c>
      <c r="TAW5080" s="34">
        <v>-4</v>
      </c>
      <c r="TAX5080" s="34">
        <v>-3.5</v>
      </c>
      <c r="TAY5080" s="34">
        <v>-3</v>
      </c>
      <c r="TAZ5080" s="34">
        <v>-2.5</v>
      </c>
      <c r="TBA5080" s="34">
        <v>-2</v>
      </c>
      <c r="TBB5080" s="34">
        <v>-1.5</v>
      </c>
      <c r="TBC5080" s="34">
        <v>-1</v>
      </c>
      <c r="TBD5080" s="34">
        <v>-0.5</v>
      </c>
      <c r="TBE5080" s="34">
        <v>0</v>
      </c>
      <c r="TBF5080" s="34">
        <v>0.5</v>
      </c>
      <c r="TBG5080" s="34">
        <v>1</v>
      </c>
      <c r="TBH5080" s="34">
        <v>1.5</v>
      </c>
      <c r="TBI5080" s="34">
        <v>2</v>
      </c>
      <c r="TBJ5080" s="34">
        <v>2.5</v>
      </c>
      <c r="TBK5080" s="34">
        <v>3</v>
      </c>
      <c r="TBL5080" s="34">
        <v>3.5</v>
      </c>
      <c r="TBM5080" s="34">
        <v>4</v>
      </c>
      <c r="TBN5080" s="34">
        <v>4.5</v>
      </c>
      <c r="TBO5080" s="34">
        <v>5</v>
      </c>
      <c r="TBQ5080" s="913"/>
      <c r="TBR5080" s="31">
        <v>1</v>
      </c>
      <c r="TBS5080" s="34">
        <v>0</v>
      </c>
      <c r="TBT5080" s="34">
        <v>-1</v>
      </c>
      <c r="TBU5080" s="34">
        <v>-2</v>
      </c>
      <c r="TBV5080" s="34">
        <v>-3</v>
      </c>
      <c r="TBW5080" s="34">
        <v>-4</v>
      </c>
      <c r="TBX5080" s="34">
        <v>-5</v>
      </c>
      <c r="TBY5080" s="908"/>
      <c r="TBZ5080" s="909"/>
      <c r="TCA5080" s="34">
        <v>-5</v>
      </c>
      <c r="TCB5080" s="34">
        <v>-4.5</v>
      </c>
      <c r="TCC5080" s="34">
        <v>-4</v>
      </c>
      <c r="TCD5080" s="34">
        <v>-3.5</v>
      </c>
      <c r="TCE5080" s="34">
        <v>-3</v>
      </c>
      <c r="TCF5080" s="34">
        <v>-2.5</v>
      </c>
      <c r="TCG5080" s="34">
        <v>-2</v>
      </c>
      <c r="TCH5080" s="34">
        <v>-1.5</v>
      </c>
      <c r="TCI5080" s="34">
        <v>-1</v>
      </c>
      <c r="TCJ5080" s="34">
        <v>-0.5</v>
      </c>
      <c r="TCK5080" s="34">
        <v>0</v>
      </c>
      <c r="TCL5080" s="34">
        <v>0.5</v>
      </c>
      <c r="TCM5080" s="34">
        <v>1</v>
      </c>
      <c r="TCN5080" s="34">
        <v>1.5</v>
      </c>
      <c r="TCO5080" s="34">
        <v>2</v>
      </c>
      <c r="TCP5080" s="34">
        <v>2.5</v>
      </c>
      <c r="TCQ5080" s="34">
        <v>3</v>
      </c>
      <c r="TCR5080" s="34">
        <v>3.5</v>
      </c>
      <c r="TCS5080" s="34">
        <v>4</v>
      </c>
      <c r="TCT5080" s="34">
        <v>4.5</v>
      </c>
      <c r="TCU5080" s="34">
        <v>5</v>
      </c>
      <c r="TCW5080" s="913"/>
      <c r="TCX5080" s="31">
        <v>1</v>
      </c>
      <c r="TCY5080" s="34">
        <v>0</v>
      </c>
      <c r="TCZ5080" s="34">
        <v>-1</v>
      </c>
      <c r="TDA5080" s="34">
        <v>-2</v>
      </c>
      <c r="TDB5080" s="34">
        <v>-3</v>
      </c>
      <c r="TDC5080" s="34">
        <v>-4</v>
      </c>
      <c r="TDD5080" s="34">
        <v>-5</v>
      </c>
      <c r="TDE5080" s="908"/>
      <c r="TDF5080" s="909"/>
      <c r="TDG5080" s="34">
        <v>-5</v>
      </c>
      <c r="TDH5080" s="34">
        <v>-4.5</v>
      </c>
      <c r="TDI5080" s="34">
        <v>-4</v>
      </c>
      <c r="TDJ5080" s="34">
        <v>-3.5</v>
      </c>
      <c r="TDK5080" s="34">
        <v>-3</v>
      </c>
      <c r="TDL5080" s="34">
        <v>-2.5</v>
      </c>
      <c r="TDM5080" s="34">
        <v>-2</v>
      </c>
      <c r="TDN5080" s="34">
        <v>-1.5</v>
      </c>
      <c r="TDO5080" s="34">
        <v>-1</v>
      </c>
      <c r="TDP5080" s="34">
        <v>-0.5</v>
      </c>
      <c r="TDQ5080" s="34">
        <v>0</v>
      </c>
      <c r="TDR5080" s="34">
        <v>0.5</v>
      </c>
      <c r="TDS5080" s="34">
        <v>1</v>
      </c>
      <c r="TDT5080" s="34">
        <v>1.5</v>
      </c>
      <c r="TDU5080" s="34">
        <v>2</v>
      </c>
      <c r="TDV5080" s="34">
        <v>2.5</v>
      </c>
      <c r="TDW5080" s="34">
        <v>3</v>
      </c>
      <c r="TDX5080" s="34">
        <v>3.5</v>
      </c>
      <c r="TDY5080" s="34">
        <v>4</v>
      </c>
      <c r="TDZ5080" s="34">
        <v>4.5</v>
      </c>
      <c r="TEA5080" s="34">
        <v>5</v>
      </c>
      <c r="TEC5080" s="913"/>
      <c r="TED5080" s="31">
        <v>1</v>
      </c>
      <c r="TEE5080" s="34">
        <v>0</v>
      </c>
      <c r="TEF5080" s="34">
        <v>-1</v>
      </c>
      <c r="TEG5080" s="34">
        <v>-2</v>
      </c>
      <c r="TEH5080" s="34">
        <v>-3</v>
      </c>
      <c r="TEI5080" s="34">
        <v>-4</v>
      </c>
      <c r="TEJ5080" s="34">
        <v>-5</v>
      </c>
      <c r="TEK5080" s="908"/>
      <c r="TEL5080" s="909"/>
      <c r="TEM5080" s="34">
        <v>-5</v>
      </c>
      <c r="TEN5080" s="34">
        <v>-4.5</v>
      </c>
      <c r="TEO5080" s="34">
        <v>-4</v>
      </c>
      <c r="TEP5080" s="34">
        <v>-3.5</v>
      </c>
      <c r="TEQ5080" s="34">
        <v>-3</v>
      </c>
      <c r="TER5080" s="34">
        <v>-2.5</v>
      </c>
      <c r="TES5080" s="34">
        <v>-2</v>
      </c>
      <c r="TET5080" s="34">
        <v>-1.5</v>
      </c>
      <c r="TEU5080" s="34">
        <v>-1</v>
      </c>
      <c r="TEV5080" s="34">
        <v>-0.5</v>
      </c>
      <c r="TEW5080" s="34">
        <v>0</v>
      </c>
      <c r="TEX5080" s="34">
        <v>0.5</v>
      </c>
      <c r="TEY5080" s="34">
        <v>1</v>
      </c>
      <c r="TEZ5080" s="34">
        <v>1.5</v>
      </c>
      <c r="TFA5080" s="34">
        <v>2</v>
      </c>
      <c r="TFB5080" s="34">
        <v>2.5</v>
      </c>
      <c r="TFC5080" s="34">
        <v>3</v>
      </c>
      <c r="TFD5080" s="34">
        <v>3.5</v>
      </c>
      <c r="TFE5080" s="34">
        <v>4</v>
      </c>
      <c r="TFF5080" s="34">
        <v>4.5</v>
      </c>
      <c r="TFG5080" s="34">
        <v>5</v>
      </c>
      <c r="TFI5080" s="913"/>
      <c r="TFJ5080" s="31">
        <v>1</v>
      </c>
      <c r="TFK5080" s="34">
        <v>0</v>
      </c>
      <c r="TFL5080" s="34">
        <v>-1</v>
      </c>
      <c r="TFM5080" s="34">
        <v>-2</v>
      </c>
      <c r="TFN5080" s="34">
        <v>-3</v>
      </c>
      <c r="TFO5080" s="34">
        <v>-4</v>
      </c>
      <c r="TFP5080" s="34">
        <v>-5</v>
      </c>
      <c r="TFQ5080" s="908"/>
      <c r="TFR5080" s="909"/>
      <c r="TFS5080" s="34">
        <v>-5</v>
      </c>
      <c r="TFT5080" s="34">
        <v>-4.5</v>
      </c>
      <c r="TFU5080" s="34">
        <v>-4</v>
      </c>
      <c r="TFV5080" s="34">
        <v>-3.5</v>
      </c>
      <c r="TFW5080" s="34">
        <v>-3</v>
      </c>
      <c r="TFX5080" s="34">
        <v>-2.5</v>
      </c>
      <c r="TFY5080" s="34">
        <v>-2</v>
      </c>
      <c r="TFZ5080" s="34">
        <v>-1.5</v>
      </c>
      <c r="TGA5080" s="34">
        <v>-1</v>
      </c>
      <c r="TGB5080" s="34">
        <v>-0.5</v>
      </c>
      <c r="TGC5080" s="34">
        <v>0</v>
      </c>
      <c r="TGD5080" s="34">
        <v>0.5</v>
      </c>
      <c r="TGE5080" s="34">
        <v>1</v>
      </c>
      <c r="TGF5080" s="34">
        <v>1.5</v>
      </c>
      <c r="TGG5080" s="34">
        <v>2</v>
      </c>
      <c r="TGH5080" s="34">
        <v>2.5</v>
      </c>
      <c r="TGI5080" s="34">
        <v>3</v>
      </c>
      <c r="TGJ5080" s="34">
        <v>3.5</v>
      </c>
      <c r="TGK5080" s="34">
        <v>4</v>
      </c>
      <c r="TGL5080" s="34">
        <v>4.5</v>
      </c>
      <c r="TGM5080" s="34">
        <v>5</v>
      </c>
      <c r="TGO5080" s="913"/>
      <c r="TGP5080" s="31">
        <v>1</v>
      </c>
      <c r="TGQ5080" s="34">
        <v>0</v>
      </c>
      <c r="TGR5080" s="34">
        <v>-1</v>
      </c>
      <c r="TGS5080" s="34">
        <v>-2</v>
      </c>
      <c r="TGT5080" s="34">
        <v>-3</v>
      </c>
      <c r="TGU5080" s="34">
        <v>-4</v>
      </c>
      <c r="TGV5080" s="34">
        <v>-5</v>
      </c>
      <c r="TGW5080" s="908"/>
      <c r="TGX5080" s="909"/>
      <c r="TGY5080" s="34">
        <v>-5</v>
      </c>
      <c r="TGZ5080" s="34">
        <v>-4.5</v>
      </c>
      <c r="THA5080" s="34">
        <v>-4</v>
      </c>
      <c r="THB5080" s="34">
        <v>-3.5</v>
      </c>
      <c r="THC5080" s="34">
        <v>-3</v>
      </c>
      <c r="THD5080" s="34">
        <v>-2.5</v>
      </c>
      <c r="THE5080" s="34">
        <v>-2</v>
      </c>
      <c r="THF5080" s="34">
        <v>-1.5</v>
      </c>
      <c r="THG5080" s="34">
        <v>-1</v>
      </c>
      <c r="THH5080" s="34">
        <v>-0.5</v>
      </c>
      <c r="THI5080" s="34">
        <v>0</v>
      </c>
      <c r="THJ5080" s="34">
        <v>0.5</v>
      </c>
      <c r="THK5080" s="34">
        <v>1</v>
      </c>
      <c r="THL5080" s="34">
        <v>1.5</v>
      </c>
      <c r="THM5080" s="34">
        <v>2</v>
      </c>
      <c r="THN5080" s="34">
        <v>2.5</v>
      </c>
      <c r="THO5080" s="34">
        <v>3</v>
      </c>
      <c r="THP5080" s="34">
        <v>3.5</v>
      </c>
      <c r="THQ5080" s="34">
        <v>4</v>
      </c>
      <c r="THR5080" s="34">
        <v>4.5</v>
      </c>
      <c r="THS5080" s="34">
        <v>5</v>
      </c>
      <c r="THU5080" s="913"/>
      <c r="THV5080" s="31">
        <v>1</v>
      </c>
      <c r="THW5080" s="34">
        <v>0</v>
      </c>
      <c r="THX5080" s="34">
        <v>-1</v>
      </c>
      <c r="THY5080" s="34">
        <v>-2</v>
      </c>
      <c r="THZ5080" s="34">
        <v>-3</v>
      </c>
      <c r="TIA5080" s="34">
        <v>-4</v>
      </c>
      <c r="TIB5080" s="34">
        <v>-5</v>
      </c>
      <c r="TIC5080" s="908"/>
      <c r="TID5080" s="909"/>
      <c r="TIE5080" s="34">
        <v>-5</v>
      </c>
      <c r="TIF5080" s="34">
        <v>-4.5</v>
      </c>
      <c r="TIG5080" s="34">
        <v>-4</v>
      </c>
      <c r="TIH5080" s="34">
        <v>-3.5</v>
      </c>
      <c r="TII5080" s="34">
        <v>-3</v>
      </c>
      <c r="TIJ5080" s="34">
        <v>-2.5</v>
      </c>
      <c r="TIK5080" s="34">
        <v>-2</v>
      </c>
      <c r="TIL5080" s="34">
        <v>-1.5</v>
      </c>
      <c r="TIM5080" s="34">
        <v>-1</v>
      </c>
      <c r="TIN5080" s="34">
        <v>-0.5</v>
      </c>
      <c r="TIO5080" s="34">
        <v>0</v>
      </c>
      <c r="TIP5080" s="34">
        <v>0.5</v>
      </c>
      <c r="TIQ5080" s="34">
        <v>1</v>
      </c>
      <c r="TIR5080" s="34">
        <v>1.5</v>
      </c>
      <c r="TIS5080" s="34">
        <v>2</v>
      </c>
      <c r="TIT5080" s="34">
        <v>2.5</v>
      </c>
      <c r="TIU5080" s="34">
        <v>3</v>
      </c>
      <c r="TIV5080" s="34">
        <v>3.5</v>
      </c>
      <c r="TIW5080" s="34">
        <v>4</v>
      </c>
      <c r="TIX5080" s="34">
        <v>4.5</v>
      </c>
      <c r="TIY5080" s="34">
        <v>5</v>
      </c>
      <c r="TJA5080" s="913"/>
      <c r="TJB5080" s="31">
        <v>1</v>
      </c>
      <c r="TJC5080" s="34">
        <v>0</v>
      </c>
      <c r="TJD5080" s="34">
        <v>-1</v>
      </c>
      <c r="TJE5080" s="34">
        <v>-2</v>
      </c>
      <c r="TJF5080" s="34">
        <v>-3</v>
      </c>
      <c r="TJG5080" s="34">
        <v>-4</v>
      </c>
      <c r="TJH5080" s="34">
        <v>-5</v>
      </c>
      <c r="TJI5080" s="908"/>
      <c r="TJJ5080" s="909"/>
      <c r="TJK5080" s="34">
        <v>-5</v>
      </c>
      <c r="TJL5080" s="34">
        <v>-4.5</v>
      </c>
      <c r="TJM5080" s="34">
        <v>-4</v>
      </c>
      <c r="TJN5080" s="34">
        <v>-3.5</v>
      </c>
      <c r="TJO5080" s="34">
        <v>-3</v>
      </c>
      <c r="TJP5080" s="34">
        <v>-2.5</v>
      </c>
      <c r="TJQ5080" s="34">
        <v>-2</v>
      </c>
      <c r="TJR5080" s="34">
        <v>-1.5</v>
      </c>
      <c r="TJS5080" s="34">
        <v>-1</v>
      </c>
      <c r="TJT5080" s="34">
        <v>-0.5</v>
      </c>
      <c r="TJU5080" s="34">
        <v>0</v>
      </c>
      <c r="TJV5080" s="34">
        <v>0.5</v>
      </c>
      <c r="TJW5080" s="34">
        <v>1</v>
      </c>
      <c r="TJX5080" s="34">
        <v>1.5</v>
      </c>
      <c r="TJY5080" s="34">
        <v>2</v>
      </c>
      <c r="TJZ5080" s="34">
        <v>2.5</v>
      </c>
      <c r="TKA5080" s="34">
        <v>3</v>
      </c>
      <c r="TKB5080" s="34">
        <v>3.5</v>
      </c>
      <c r="TKC5080" s="34">
        <v>4</v>
      </c>
      <c r="TKD5080" s="34">
        <v>4.5</v>
      </c>
      <c r="TKE5080" s="34">
        <v>5</v>
      </c>
      <c r="TKG5080" s="913"/>
      <c r="TKH5080" s="31">
        <v>1</v>
      </c>
      <c r="TKI5080" s="34">
        <v>0</v>
      </c>
      <c r="TKJ5080" s="34">
        <v>-1</v>
      </c>
      <c r="TKK5080" s="34">
        <v>-2</v>
      </c>
      <c r="TKL5080" s="34">
        <v>-3</v>
      </c>
      <c r="TKM5080" s="34">
        <v>-4</v>
      </c>
      <c r="TKN5080" s="34">
        <v>-5</v>
      </c>
      <c r="TKO5080" s="908"/>
      <c r="TKP5080" s="909"/>
      <c r="TKQ5080" s="34">
        <v>-5</v>
      </c>
      <c r="TKR5080" s="34">
        <v>-4.5</v>
      </c>
      <c r="TKS5080" s="34">
        <v>-4</v>
      </c>
      <c r="TKT5080" s="34">
        <v>-3.5</v>
      </c>
      <c r="TKU5080" s="34">
        <v>-3</v>
      </c>
      <c r="TKV5080" s="34">
        <v>-2.5</v>
      </c>
      <c r="TKW5080" s="34">
        <v>-2</v>
      </c>
      <c r="TKX5080" s="34">
        <v>-1.5</v>
      </c>
      <c r="TKY5080" s="34">
        <v>-1</v>
      </c>
      <c r="TKZ5080" s="34">
        <v>-0.5</v>
      </c>
      <c r="TLA5080" s="34">
        <v>0</v>
      </c>
      <c r="TLB5080" s="34">
        <v>0.5</v>
      </c>
      <c r="TLC5080" s="34">
        <v>1</v>
      </c>
      <c r="TLD5080" s="34">
        <v>1.5</v>
      </c>
      <c r="TLE5080" s="34">
        <v>2</v>
      </c>
      <c r="TLF5080" s="34">
        <v>2.5</v>
      </c>
      <c r="TLG5080" s="34">
        <v>3</v>
      </c>
      <c r="TLH5080" s="34">
        <v>3.5</v>
      </c>
      <c r="TLI5080" s="34">
        <v>4</v>
      </c>
      <c r="TLJ5080" s="34">
        <v>4.5</v>
      </c>
      <c r="TLK5080" s="34">
        <v>5</v>
      </c>
      <c r="TLM5080" s="913"/>
      <c r="TLN5080" s="31">
        <v>1</v>
      </c>
      <c r="TLO5080" s="34">
        <v>0</v>
      </c>
      <c r="TLP5080" s="34">
        <v>-1</v>
      </c>
      <c r="TLQ5080" s="34">
        <v>-2</v>
      </c>
      <c r="TLR5080" s="34">
        <v>-3</v>
      </c>
      <c r="TLS5080" s="34">
        <v>-4</v>
      </c>
      <c r="TLT5080" s="34">
        <v>-5</v>
      </c>
      <c r="TLU5080" s="908"/>
      <c r="TLV5080" s="909"/>
      <c r="TLW5080" s="34">
        <v>-5</v>
      </c>
      <c r="TLX5080" s="34">
        <v>-4.5</v>
      </c>
      <c r="TLY5080" s="34">
        <v>-4</v>
      </c>
      <c r="TLZ5080" s="34">
        <v>-3.5</v>
      </c>
      <c r="TMA5080" s="34">
        <v>-3</v>
      </c>
      <c r="TMB5080" s="34">
        <v>-2.5</v>
      </c>
      <c r="TMC5080" s="34">
        <v>-2</v>
      </c>
      <c r="TMD5080" s="34">
        <v>-1.5</v>
      </c>
      <c r="TME5080" s="34">
        <v>-1</v>
      </c>
      <c r="TMF5080" s="34">
        <v>-0.5</v>
      </c>
      <c r="TMG5080" s="34">
        <v>0</v>
      </c>
      <c r="TMH5080" s="34">
        <v>0.5</v>
      </c>
      <c r="TMI5080" s="34">
        <v>1</v>
      </c>
      <c r="TMJ5080" s="34">
        <v>1.5</v>
      </c>
      <c r="TMK5080" s="34">
        <v>2</v>
      </c>
      <c r="TML5080" s="34">
        <v>2.5</v>
      </c>
      <c r="TMM5080" s="34">
        <v>3</v>
      </c>
      <c r="TMN5080" s="34">
        <v>3.5</v>
      </c>
      <c r="TMO5080" s="34">
        <v>4</v>
      </c>
      <c r="TMP5080" s="34">
        <v>4.5</v>
      </c>
      <c r="TMQ5080" s="34">
        <v>5</v>
      </c>
      <c r="TMS5080" s="913"/>
      <c r="TMT5080" s="31">
        <v>1</v>
      </c>
      <c r="TMU5080" s="34">
        <v>0</v>
      </c>
      <c r="TMV5080" s="34">
        <v>-1</v>
      </c>
      <c r="TMW5080" s="34">
        <v>-2</v>
      </c>
      <c r="TMX5080" s="34">
        <v>-3</v>
      </c>
      <c r="TMY5080" s="34">
        <v>-4</v>
      </c>
      <c r="TMZ5080" s="34">
        <v>-5</v>
      </c>
      <c r="TNA5080" s="908"/>
      <c r="TNB5080" s="909"/>
      <c r="TNC5080" s="34">
        <v>-5</v>
      </c>
      <c r="TND5080" s="34">
        <v>-4.5</v>
      </c>
      <c r="TNE5080" s="34">
        <v>-4</v>
      </c>
      <c r="TNF5080" s="34">
        <v>-3.5</v>
      </c>
      <c r="TNG5080" s="34">
        <v>-3</v>
      </c>
      <c r="TNH5080" s="34">
        <v>-2.5</v>
      </c>
      <c r="TNI5080" s="34">
        <v>-2</v>
      </c>
      <c r="TNJ5080" s="34">
        <v>-1.5</v>
      </c>
      <c r="TNK5080" s="34">
        <v>-1</v>
      </c>
      <c r="TNL5080" s="34">
        <v>-0.5</v>
      </c>
      <c r="TNM5080" s="34">
        <v>0</v>
      </c>
      <c r="TNN5080" s="34">
        <v>0.5</v>
      </c>
      <c r="TNO5080" s="34">
        <v>1</v>
      </c>
      <c r="TNP5080" s="34">
        <v>1.5</v>
      </c>
      <c r="TNQ5080" s="34">
        <v>2</v>
      </c>
      <c r="TNR5080" s="34">
        <v>2.5</v>
      </c>
      <c r="TNS5080" s="34">
        <v>3</v>
      </c>
      <c r="TNT5080" s="34">
        <v>3.5</v>
      </c>
      <c r="TNU5080" s="34">
        <v>4</v>
      </c>
      <c r="TNV5080" s="34">
        <v>4.5</v>
      </c>
      <c r="TNW5080" s="34">
        <v>5</v>
      </c>
      <c r="TNY5080" s="913"/>
      <c r="TNZ5080" s="31">
        <v>1</v>
      </c>
      <c r="TOA5080" s="34">
        <v>0</v>
      </c>
      <c r="TOB5080" s="34">
        <v>-1</v>
      </c>
      <c r="TOC5080" s="34">
        <v>-2</v>
      </c>
      <c r="TOD5080" s="34">
        <v>-3</v>
      </c>
      <c r="TOE5080" s="34">
        <v>-4</v>
      </c>
      <c r="TOF5080" s="34">
        <v>-5</v>
      </c>
      <c r="TOG5080" s="908"/>
      <c r="TOH5080" s="909"/>
      <c r="TOI5080" s="34">
        <v>-5</v>
      </c>
      <c r="TOJ5080" s="34">
        <v>-4.5</v>
      </c>
      <c r="TOK5080" s="34">
        <v>-4</v>
      </c>
      <c r="TOL5080" s="34">
        <v>-3.5</v>
      </c>
      <c r="TOM5080" s="34">
        <v>-3</v>
      </c>
      <c r="TON5080" s="34">
        <v>-2.5</v>
      </c>
      <c r="TOO5080" s="34">
        <v>-2</v>
      </c>
      <c r="TOP5080" s="34">
        <v>-1.5</v>
      </c>
      <c r="TOQ5080" s="34">
        <v>-1</v>
      </c>
      <c r="TOR5080" s="34">
        <v>-0.5</v>
      </c>
      <c r="TOS5080" s="34">
        <v>0</v>
      </c>
      <c r="TOT5080" s="34">
        <v>0.5</v>
      </c>
      <c r="TOU5080" s="34">
        <v>1</v>
      </c>
      <c r="TOV5080" s="34">
        <v>1.5</v>
      </c>
      <c r="TOW5080" s="34">
        <v>2</v>
      </c>
      <c r="TOX5080" s="34">
        <v>2.5</v>
      </c>
      <c r="TOY5080" s="34">
        <v>3</v>
      </c>
      <c r="TOZ5080" s="34">
        <v>3.5</v>
      </c>
      <c r="TPA5080" s="34">
        <v>4</v>
      </c>
      <c r="TPB5080" s="34">
        <v>4.5</v>
      </c>
      <c r="TPC5080" s="34">
        <v>5</v>
      </c>
      <c r="TPE5080" s="913"/>
      <c r="TPF5080" s="31">
        <v>1</v>
      </c>
      <c r="TPG5080" s="34">
        <v>0</v>
      </c>
      <c r="TPH5080" s="34">
        <v>-1</v>
      </c>
      <c r="TPI5080" s="34">
        <v>-2</v>
      </c>
      <c r="TPJ5080" s="34">
        <v>-3</v>
      </c>
      <c r="TPK5080" s="34">
        <v>-4</v>
      </c>
      <c r="TPL5080" s="34">
        <v>-5</v>
      </c>
      <c r="TPM5080" s="908"/>
      <c r="TPN5080" s="909"/>
      <c r="TPO5080" s="34">
        <v>-5</v>
      </c>
      <c r="TPP5080" s="34">
        <v>-4.5</v>
      </c>
      <c r="TPQ5080" s="34">
        <v>-4</v>
      </c>
      <c r="TPR5080" s="34">
        <v>-3.5</v>
      </c>
      <c r="TPS5080" s="34">
        <v>-3</v>
      </c>
      <c r="TPT5080" s="34">
        <v>-2.5</v>
      </c>
      <c r="TPU5080" s="34">
        <v>-2</v>
      </c>
      <c r="TPV5080" s="34">
        <v>-1.5</v>
      </c>
      <c r="TPW5080" s="34">
        <v>-1</v>
      </c>
      <c r="TPX5080" s="34">
        <v>-0.5</v>
      </c>
      <c r="TPY5080" s="34">
        <v>0</v>
      </c>
      <c r="TPZ5080" s="34">
        <v>0.5</v>
      </c>
      <c r="TQA5080" s="34">
        <v>1</v>
      </c>
      <c r="TQB5080" s="34">
        <v>1.5</v>
      </c>
      <c r="TQC5080" s="34">
        <v>2</v>
      </c>
      <c r="TQD5080" s="34">
        <v>2.5</v>
      </c>
      <c r="TQE5080" s="34">
        <v>3</v>
      </c>
      <c r="TQF5080" s="34">
        <v>3.5</v>
      </c>
      <c r="TQG5080" s="34">
        <v>4</v>
      </c>
      <c r="TQH5080" s="34">
        <v>4.5</v>
      </c>
      <c r="TQI5080" s="34">
        <v>5</v>
      </c>
      <c r="TQK5080" s="913"/>
      <c r="TQL5080" s="31">
        <v>1</v>
      </c>
      <c r="TQM5080" s="34">
        <v>0</v>
      </c>
      <c r="TQN5080" s="34">
        <v>-1</v>
      </c>
      <c r="TQO5080" s="34">
        <v>-2</v>
      </c>
      <c r="TQP5080" s="34">
        <v>-3</v>
      </c>
      <c r="TQQ5080" s="34">
        <v>-4</v>
      </c>
      <c r="TQR5080" s="34">
        <v>-5</v>
      </c>
      <c r="TQS5080" s="908"/>
      <c r="TQT5080" s="909"/>
      <c r="TQU5080" s="34">
        <v>-5</v>
      </c>
      <c r="TQV5080" s="34">
        <v>-4.5</v>
      </c>
      <c r="TQW5080" s="34">
        <v>-4</v>
      </c>
      <c r="TQX5080" s="34">
        <v>-3.5</v>
      </c>
      <c r="TQY5080" s="34">
        <v>-3</v>
      </c>
      <c r="TQZ5080" s="34">
        <v>-2.5</v>
      </c>
      <c r="TRA5080" s="34">
        <v>-2</v>
      </c>
      <c r="TRB5080" s="34">
        <v>-1.5</v>
      </c>
      <c r="TRC5080" s="34">
        <v>-1</v>
      </c>
      <c r="TRD5080" s="34">
        <v>-0.5</v>
      </c>
      <c r="TRE5080" s="34">
        <v>0</v>
      </c>
      <c r="TRF5080" s="34">
        <v>0.5</v>
      </c>
      <c r="TRG5080" s="34">
        <v>1</v>
      </c>
      <c r="TRH5080" s="34">
        <v>1.5</v>
      </c>
      <c r="TRI5080" s="34">
        <v>2</v>
      </c>
      <c r="TRJ5080" s="34">
        <v>2.5</v>
      </c>
      <c r="TRK5080" s="34">
        <v>3</v>
      </c>
      <c r="TRL5080" s="34">
        <v>3.5</v>
      </c>
      <c r="TRM5080" s="34">
        <v>4</v>
      </c>
      <c r="TRN5080" s="34">
        <v>4.5</v>
      </c>
      <c r="TRO5080" s="34">
        <v>5</v>
      </c>
      <c r="TRQ5080" s="913"/>
      <c r="TRR5080" s="31">
        <v>1</v>
      </c>
      <c r="TRS5080" s="34">
        <v>0</v>
      </c>
      <c r="TRT5080" s="34">
        <v>-1</v>
      </c>
      <c r="TRU5080" s="34">
        <v>-2</v>
      </c>
      <c r="TRV5080" s="34">
        <v>-3</v>
      </c>
      <c r="TRW5080" s="34">
        <v>-4</v>
      </c>
      <c r="TRX5080" s="34">
        <v>-5</v>
      </c>
      <c r="TRY5080" s="908"/>
      <c r="TRZ5080" s="909"/>
      <c r="TSA5080" s="34">
        <v>-5</v>
      </c>
      <c r="TSB5080" s="34">
        <v>-4.5</v>
      </c>
      <c r="TSC5080" s="34">
        <v>-4</v>
      </c>
      <c r="TSD5080" s="34">
        <v>-3.5</v>
      </c>
      <c r="TSE5080" s="34">
        <v>-3</v>
      </c>
      <c r="TSF5080" s="34">
        <v>-2.5</v>
      </c>
      <c r="TSG5080" s="34">
        <v>-2</v>
      </c>
      <c r="TSH5080" s="34">
        <v>-1.5</v>
      </c>
      <c r="TSI5080" s="34">
        <v>-1</v>
      </c>
      <c r="TSJ5080" s="34">
        <v>-0.5</v>
      </c>
      <c r="TSK5080" s="34">
        <v>0</v>
      </c>
      <c r="TSL5080" s="34">
        <v>0.5</v>
      </c>
      <c r="TSM5080" s="34">
        <v>1</v>
      </c>
      <c r="TSN5080" s="34">
        <v>1.5</v>
      </c>
      <c r="TSO5080" s="34">
        <v>2</v>
      </c>
      <c r="TSP5080" s="34">
        <v>2.5</v>
      </c>
      <c r="TSQ5080" s="34">
        <v>3</v>
      </c>
      <c r="TSR5080" s="34">
        <v>3.5</v>
      </c>
      <c r="TSS5080" s="34">
        <v>4</v>
      </c>
      <c r="TST5080" s="34">
        <v>4.5</v>
      </c>
      <c r="TSU5080" s="34">
        <v>5</v>
      </c>
      <c r="TSW5080" s="913"/>
      <c r="TSX5080" s="31">
        <v>1</v>
      </c>
      <c r="TSY5080" s="34">
        <v>0</v>
      </c>
      <c r="TSZ5080" s="34">
        <v>-1</v>
      </c>
      <c r="TTA5080" s="34">
        <v>-2</v>
      </c>
      <c r="TTB5080" s="34">
        <v>-3</v>
      </c>
      <c r="TTC5080" s="34">
        <v>-4</v>
      </c>
      <c r="TTD5080" s="34">
        <v>-5</v>
      </c>
      <c r="TTE5080" s="908"/>
      <c r="TTF5080" s="909"/>
      <c r="TTG5080" s="34">
        <v>-5</v>
      </c>
      <c r="TTH5080" s="34">
        <v>-4.5</v>
      </c>
      <c r="TTI5080" s="34">
        <v>-4</v>
      </c>
      <c r="TTJ5080" s="34">
        <v>-3.5</v>
      </c>
      <c r="TTK5080" s="34">
        <v>-3</v>
      </c>
      <c r="TTL5080" s="34">
        <v>-2.5</v>
      </c>
      <c r="TTM5080" s="34">
        <v>-2</v>
      </c>
      <c r="TTN5080" s="34">
        <v>-1.5</v>
      </c>
      <c r="TTO5080" s="34">
        <v>-1</v>
      </c>
      <c r="TTP5080" s="34">
        <v>-0.5</v>
      </c>
      <c r="TTQ5080" s="34">
        <v>0</v>
      </c>
      <c r="TTR5080" s="34">
        <v>0.5</v>
      </c>
      <c r="TTS5080" s="34">
        <v>1</v>
      </c>
      <c r="TTT5080" s="34">
        <v>1.5</v>
      </c>
      <c r="TTU5080" s="34">
        <v>2</v>
      </c>
      <c r="TTV5080" s="34">
        <v>2.5</v>
      </c>
      <c r="TTW5080" s="34">
        <v>3</v>
      </c>
      <c r="TTX5080" s="34">
        <v>3.5</v>
      </c>
      <c r="TTY5080" s="34">
        <v>4</v>
      </c>
      <c r="TTZ5080" s="34">
        <v>4.5</v>
      </c>
      <c r="TUA5080" s="34">
        <v>5</v>
      </c>
      <c r="TUC5080" s="913"/>
      <c r="TUD5080" s="31">
        <v>1</v>
      </c>
      <c r="TUE5080" s="34">
        <v>0</v>
      </c>
      <c r="TUF5080" s="34">
        <v>-1</v>
      </c>
      <c r="TUG5080" s="34">
        <v>-2</v>
      </c>
      <c r="TUH5080" s="34">
        <v>-3</v>
      </c>
      <c r="TUI5080" s="34">
        <v>-4</v>
      </c>
      <c r="TUJ5080" s="34">
        <v>-5</v>
      </c>
      <c r="TUK5080" s="908"/>
      <c r="TUL5080" s="909"/>
      <c r="TUM5080" s="34">
        <v>-5</v>
      </c>
      <c r="TUN5080" s="34">
        <v>-4.5</v>
      </c>
      <c r="TUO5080" s="34">
        <v>-4</v>
      </c>
      <c r="TUP5080" s="34">
        <v>-3.5</v>
      </c>
      <c r="TUQ5080" s="34">
        <v>-3</v>
      </c>
      <c r="TUR5080" s="34">
        <v>-2.5</v>
      </c>
      <c r="TUS5080" s="34">
        <v>-2</v>
      </c>
      <c r="TUT5080" s="34">
        <v>-1.5</v>
      </c>
      <c r="TUU5080" s="34">
        <v>-1</v>
      </c>
      <c r="TUV5080" s="34">
        <v>-0.5</v>
      </c>
      <c r="TUW5080" s="34">
        <v>0</v>
      </c>
      <c r="TUX5080" s="34">
        <v>0.5</v>
      </c>
      <c r="TUY5080" s="34">
        <v>1</v>
      </c>
      <c r="TUZ5080" s="34">
        <v>1.5</v>
      </c>
      <c r="TVA5080" s="34">
        <v>2</v>
      </c>
      <c r="TVB5080" s="34">
        <v>2.5</v>
      </c>
      <c r="TVC5080" s="34">
        <v>3</v>
      </c>
      <c r="TVD5080" s="34">
        <v>3.5</v>
      </c>
      <c r="TVE5080" s="34">
        <v>4</v>
      </c>
      <c r="TVF5080" s="34">
        <v>4.5</v>
      </c>
      <c r="TVG5080" s="34">
        <v>5</v>
      </c>
      <c r="TVI5080" s="913"/>
      <c r="TVJ5080" s="31">
        <v>1</v>
      </c>
      <c r="TVK5080" s="34">
        <v>0</v>
      </c>
      <c r="TVL5080" s="34">
        <v>-1</v>
      </c>
      <c r="TVM5080" s="34">
        <v>-2</v>
      </c>
      <c r="TVN5080" s="34">
        <v>-3</v>
      </c>
      <c r="TVO5080" s="34">
        <v>-4</v>
      </c>
      <c r="TVP5080" s="34">
        <v>-5</v>
      </c>
      <c r="TVQ5080" s="908"/>
      <c r="TVR5080" s="909"/>
      <c r="TVS5080" s="34">
        <v>-5</v>
      </c>
      <c r="TVT5080" s="34">
        <v>-4.5</v>
      </c>
      <c r="TVU5080" s="34">
        <v>-4</v>
      </c>
      <c r="TVV5080" s="34">
        <v>-3.5</v>
      </c>
      <c r="TVW5080" s="34">
        <v>-3</v>
      </c>
      <c r="TVX5080" s="34">
        <v>-2.5</v>
      </c>
      <c r="TVY5080" s="34">
        <v>-2</v>
      </c>
      <c r="TVZ5080" s="34">
        <v>-1.5</v>
      </c>
      <c r="TWA5080" s="34">
        <v>-1</v>
      </c>
      <c r="TWB5080" s="34">
        <v>-0.5</v>
      </c>
      <c r="TWC5080" s="34">
        <v>0</v>
      </c>
      <c r="TWD5080" s="34">
        <v>0.5</v>
      </c>
      <c r="TWE5080" s="34">
        <v>1</v>
      </c>
      <c r="TWF5080" s="34">
        <v>1.5</v>
      </c>
      <c r="TWG5080" s="34">
        <v>2</v>
      </c>
      <c r="TWH5080" s="34">
        <v>2.5</v>
      </c>
      <c r="TWI5080" s="34">
        <v>3</v>
      </c>
      <c r="TWJ5080" s="34">
        <v>3.5</v>
      </c>
      <c r="TWK5080" s="34">
        <v>4</v>
      </c>
      <c r="TWL5080" s="34">
        <v>4.5</v>
      </c>
      <c r="TWM5080" s="34">
        <v>5</v>
      </c>
      <c r="TWO5080" s="913"/>
      <c r="TWP5080" s="31">
        <v>1</v>
      </c>
      <c r="TWQ5080" s="34">
        <v>0</v>
      </c>
      <c r="TWR5080" s="34">
        <v>-1</v>
      </c>
      <c r="TWS5080" s="34">
        <v>-2</v>
      </c>
      <c r="TWT5080" s="34">
        <v>-3</v>
      </c>
      <c r="TWU5080" s="34">
        <v>-4</v>
      </c>
      <c r="TWV5080" s="34">
        <v>-5</v>
      </c>
      <c r="TWW5080" s="908"/>
      <c r="TWX5080" s="909"/>
      <c r="TWY5080" s="34">
        <v>-5</v>
      </c>
      <c r="TWZ5080" s="34">
        <v>-4.5</v>
      </c>
      <c r="TXA5080" s="34">
        <v>-4</v>
      </c>
      <c r="TXB5080" s="34">
        <v>-3.5</v>
      </c>
      <c r="TXC5080" s="34">
        <v>-3</v>
      </c>
      <c r="TXD5080" s="34">
        <v>-2.5</v>
      </c>
      <c r="TXE5080" s="34">
        <v>-2</v>
      </c>
      <c r="TXF5080" s="34">
        <v>-1.5</v>
      </c>
      <c r="TXG5080" s="34">
        <v>-1</v>
      </c>
      <c r="TXH5080" s="34">
        <v>-0.5</v>
      </c>
      <c r="TXI5080" s="34">
        <v>0</v>
      </c>
      <c r="TXJ5080" s="34">
        <v>0.5</v>
      </c>
      <c r="TXK5080" s="34">
        <v>1</v>
      </c>
      <c r="TXL5080" s="34">
        <v>1.5</v>
      </c>
      <c r="TXM5080" s="34">
        <v>2</v>
      </c>
      <c r="TXN5080" s="34">
        <v>2.5</v>
      </c>
      <c r="TXO5080" s="34">
        <v>3</v>
      </c>
      <c r="TXP5080" s="34">
        <v>3.5</v>
      </c>
      <c r="TXQ5080" s="34">
        <v>4</v>
      </c>
      <c r="TXR5080" s="34">
        <v>4.5</v>
      </c>
      <c r="TXS5080" s="34">
        <v>5</v>
      </c>
      <c r="TXU5080" s="913"/>
      <c r="TXV5080" s="31">
        <v>1</v>
      </c>
      <c r="TXW5080" s="34">
        <v>0</v>
      </c>
      <c r="TXX5080" s="34">
        <v>-1</v>
      </c>
      <c r="TXY5080" s="34">
        <v>-2</v>
      </c>
      <c r="TXZ5080" s="34">
        <v>-3</v>
      </c>
      <c r="TYA5080" s="34">
        <v>-4</v>
      </c>
      <c r="TYB5080" s="34">
        <v>-5</v>
      </c>
      <c r="TYC5080" s="908"/>
      <c r="TYD5080" s="909"/>
      <c r="TYE5080" s="34">
        <v>-5</v>
      </c>
      <c r="TYF5080" s="34">
        <v>-4.5</v>
      </c>
      <c r="TYG5080" s="34">
        <v>-4</v>
      </c>
      <c r="TYH5080" s="34">
        <v>-3.5</v>
      </c>
      <c r="TYI5080" s="34">
        <v>-3</v>
      </c>
      <c r="TYJ5080" s="34">
        <v>-2.5</v>
      </c>
      <c r="TYK5080" s="34">
        <v>-2</v>
      </c>
      <c r="TYL5080" s="34">
        <v>-1.5</v>
      </c>
      <c r="TYM5080" s="34">
        <v>-1</v>
      </c>
      <c r="TYN5080" s="34">
        <v>-0.5</v>
      </c>
      <c r="TYO5080" s="34">
        <v>0</v>
      </c>
      <c r="TYP5080" s="34">
        <v>0.5</v>
      </c>
      <c r="TYQ5080" s="34">
        <v>1</v>
      </c>
      <c r="TYR5080" s="34">
        <v>1.5</v>
      </c>
      <c r="TYS5080" s="34">
        <v>2</v>
      </c>
      <c r="TYT5080" s="34">
        <v>2.5</v>
      </c>
      <c r="TYU5080" s="34">
        <v>3</v>
      </c>
      <c r="TYV5080" s="34">
        <v>3.5</v>
      </c>
      <c r="TYW5080" s="34">
        <v>4</v>
      </c>
      <c r="TYX5080" s="34">
        <v>4.5</v>
      </c>
      <c r="TYY5080" s="34">
        <v>5</v>
      </c>
      <c r="TZA5080" s="913"/>
      <c r="TZB5080" s="31">
        <v>1</v>
      </c>
      <c r="TZC5080" s="34">
        <v>0</v>
      </c>
      <c r="TZD5080" s="34">
        <v>-1</v>
      </c>
      <c r="TZE5080" s="34">
        <v>-2</v>
      </c>
      <c r="TZF5080" s="34">
        <v>-3</v>
      </c>
      <c r="TZG5080" s="34">
        <v>-4</v>
      </c>
      <c r="TZH5080" s="34">
        <v>-5</v>
      </c>
      <c r="TZI5080" s="908"/>
      <c r="TZJ5080" s="909"/>
      <c r="TZK5080" s="34">
        <v>-5</v>
      </c>
      <c r="TZL5080" s="34">
        <v>-4.5</v>
      </c>
      <c r="TZM5080" s="34">
        <v>-4</v>
      </c>
      <c r="TZN5080" s="34">
        <v>-3.5</v>
      </c>
      <c r="TZO5080" s="34">
        <v>-3</v>
      </c>
      <c r="TZP5080" s="34">
        <v>-2.5</v>
      </c>
      <c r="TZQ5080" s="34">
        <v>-2</v>
      </c>
      <c r="TZR5080" s="34">
        <v>-1.5</v>
      </c>
      <c r="TZS5080" s="34">
        <v>-1</v>
      </c>
      <c r="TZT5080" s="34">
        <v>-0.5</v>
      </c>
      <c r="TZU5080" s="34">
        <v>0</v>
      </c>
      <c r="TZV5080" s="34">
        <v>0.5</v>
      </c>
      <c r="TZW5080" s="34">
        <v>1</v>
      </c>
      <c r="TZX5080" s="34">
        <v>1.5</v>
      </c>
      <c r="TZY5080" s="34">
        <v>2</v>
      </c>
      <c r="TZZ5080" s="34">
        <v>2.5</v>
      </c>
      <c r="UAA5080" s="34">
        <v>3</v>
      </c>
      <c r="UAB5080" s="34">
        <v>3.5</v>
      </c>
      <c r="UAC5080" s="34">
        <v>4</v>
      </c>
      <c r="UAD5080" s="34">
        <v>4.5</v>
      </c>
      <c r="UAE5080" s="34">
        <v>5</v>
      </c>
      <c r="UAG5080" s="913"/>
      <c r="UAH5080" s="31">
        <v>1</v>
      </c>
      <c r="UAI5080" s="34">
        <v>0</v>
      </c>
      <c r="UAJ5080" s="34">
        <v>-1</v>
      </c>
      <c r="UAK5080" s="34">
        <v>-2</v>
      </c>
      <c r="UAL5080" s="34">
        <v>-3</v>
      </c>
      <c r="UAM5080" s="34">
        <v>-4</v>
      </c>
      <c r="UAN5080" s="34">
        <v>-5</v>
      </c>
      <c r="UAO5080" s="908"/>
      <c r="UAP5080" s="909"/>
      <c r="UAQ5080" s="34">
        <v>-5</v>
      </c>
      <c r="UAR5080" s="34">
        <v>-4.5</v>
      </c>
      <c r="UAS5080" s="34">
        <v>-4</v>
      </c>
      <c r="UAT5080" s="34">
        <v>-3.5</v>
      </c>
      <c r="UAU5080" s="34">
        <v>-3</v>
      </c>
      <c r="UAV5080" s="34">
        <v>-2.5</v>
      </c>
      <c r="UAW5080" s="34">
        <v>-2</v>
      </c>
      <c r="UAX5080" s="34">
        <v>-1.5</v>
      </c>
      <c r="UAY5080" s="34">
        <v>-1</v>
      </c>
      <c r="UAZ5080" s="34">
        <v>-0.5</v>
      </c>
      <c r="UBA5080" s="34">
        <v>0</v>
      </c>
      <c r="UBB5080" s="34">
        <v>0.5</v>
      </c>
      <c r="UBC5080" s="34">
        <v>1</v>
      </c>
      <c r="UBD5080" s="34">
        <v>1.5</v>
      </c>
      <c r="UBE5080" s="34">
        <v>2</v>
      </c>
      <c r="UBF5080" s="34">
        <v>2.5</v>
      </c>
      <c r="UBG5080" s="34">
        <v>3</v>
      </c>
      <c r="UBH5080" s="34">
        <v>3.5</v>
      </c>
      <c r="UBI5080" s="34">
        <v>4</v>
      </c>
      <c r="UBJ5080" s="34">
        <v>4.5</v>
      </c>
      <c r="UBK5080" s="34">
        <v>5</v>
      </c>
      <c r="UBM5080" s="913"/>
      <c r="UBN5080" s="31">
        <v>1</v>
      </c>
      <c r="UBO5080" s="34">
        <v>0</v>
      </c>
      <c r="UBP5080" s="34">
        <v>-1</v>
      </c>
      <c r="UBQ5080" s="34">
        <v>-2</v>
      </c>
      <c r="UBR5080" s="34">
        <v>-3</v>
      </c>
      <c r="UBS5080" s="34">
        <v>-4</v>
      </c>
      <c r="UBT5080" s="34">
        <v>-5</v>
      </c>
      <c r="UBU5080" s="908"/>
      <c r="UBV5080" s="909"/>
      <c r="UBW5080" s="34">
        <v>-5</v>
      </c>
      <c r="UBX5080" s="34">
        <v>-4.5</v>
      </c>
      <c r="UBY5080" s="34">
        <v>-4</v>
      </c>
      <c r="UBZ5080" s="34">
        <v>-3.5</v>
      </c>
      <c r="UCA5080" s="34">
        <v>-3</v>
      </c>
      <c r="UCB5080" s="34">
        <v>-2.5</v>
      </c>
      <c r="UCC5080" s="34">
        <v>-2</v>
      </c>
      <c r="UCD5080" s="34">
        <v>-1.5</v>
      </c>
      <c r="UCE5080" s="34">
        <v>-1</v>
      </c>
      <c r="UCF5080" s="34">
        <v>-0.5</v>
      </c>
      <c r="UCG5080" s="34">
        <v>0</v>
      </c>
      <c r="UCH5080" s="34">
        <v>0.5</v>
      </c>
      <c r="UCI5080" s="34">
        <v>1</v>
      </c>
      <c r="UCJ5080" s="34">
        <v>1.5</v>
      </c>
      <c r="UCK5080" s="34">
        <v>2</v>
      </c>
      <c r="UCL5080" s="34">
        <v>2.5</v>
      </c>
      <c r="UCM5080" s="34">
        <v>3</v>
      </c>
      <c r="UCN5080" s="34">
        <v>3.5</v>
      </c>
      <c r="UCO5080" s="34">
        <v>4</v>
      </c>
      <c r="UCP5080" s="34">
        <v>4.5</v>
      </c>
      <c r="UCQ5080" s="34">
        <v>5</v>
      </c>
      <c r="UCS5080" s="913"/>
      <c r="UCT5080" s="31">
        <v>1</v>
      </c>
      <c r="UCU5080" s="34">
        <v>0</v>
      </c>
      <c r="UCV5080" s="34">
        <v>-1</v>
      </c>
      <c r="UCW5080" s="34">
        <v>-2</v>
      </c>
      <c r="UCX5080" s="34">
        <v>-3</v>
      </c>
      <c r="UCY5080" s="34">
        <v>-4</v>
      </c>
      <c r="UCZ5080" s="34">
        <v>-5</v>
      </c>
      <c r="UDA5080" s="908"/>
      <c r="UDB5080" s="909"/>
      <c r="UDC5080" s="34">
        <v>-5</v>
      </c>
      <c r="UDD5080" s="34">
        <v>-4.5</v>
      </c>
      <c r="UDE5080" s="34">
        <v>-4</v>
      </c>
      <c r="UDF5080" s="34">
        <v>-3.5</v>
      </c>
      <c r="UDG5080" s="34">
        <v>-3</v>
      </c>
      <c r="UDH5080" s="34">
        <v>-2.5</v>
      </c>
      <c r="UDI5080" s="34">
        <v>-2</v>
      </c>
      <c r="UDJ5080" s="34">
        <v>-1.5</v>
      </c>
      <c r="UDK5080" s="34">
        <v>-1</v>
      </c>
      <c r="UDL5080" s="34">
        <v>-0.5</v>
      </c>
      <c r="UDM5080" s="34">
        <v>0</v>
      </c>
      <c r="UDN5080" s="34">
        <v>0.5</v>
      </c>
      <c r="UDO5080" s="34">
        <v>1</v>
      </c>
      <c r="UDP5080" s="34">
        <v>1.5</v>
      </c>
      <c r="UDQ5080" s="34">
        <v>2</v>
      </c>
      <c r="UDR5080" s="34">
        <v>2.5</v>
      </c>
      <c r="UDS5080" s="34">
        <v>3</v>
      </c>
      <c r="UDT5080" s="34">
        <v>3.5</v>
      </c>
      <c r="UDU5080" s="34">
        <v>4</v>
      </c>
      <c r="UDV5080" s="34">
        <v>4.5</v>
      </c>
      <c r="UDW5080" s="34">
        <v>5</v>
      </c>
      <c r="UDY5080" s="913"/>
      <c r="UDZ5080" s="31">
        <v>1</v>
      </c>
      <c r="UEA5080" s="34">
        <v>0</v>
      </c>
      <c r="UEB5080" s="34">
        <v>-1</v>
      </c>
      <c r="UEC5080" s="34">
        <v>-2</v>
      </c>
      <c r="UED5080" s="34">
        <v>-3</v>
      </c>
      <c r="UEE5080" s="34">
        <v>-4</v>
      </c>
      <c r="UEF5080" s="34">
        <v>-5</v>
      </c>
      <c r="UEG5080" s="908"/>
      <c r="UEH5080" s="909"/>
      <c r="UEI5080" s="34">
        <v>-5</v>
      </c>
      <c r="UEJ5080" s="34">
        <v>-4.5</v>
      </c>
      <c r="UEK5080" s="34">
        <v>-4</v>
      </c>
      <c r="UEL5080" s="34">
        <v>-3.5</v>
      </c>
      <c r="UEM5080" s="34">
        <v>-3</v>
      </c>
      <c r="UEN5080" s="34">
        <v>-2.5</v>
      </c>
      <c r="UEO5080" s="34">
        <v>-2</v>
      </c>
      <c r="UEP5080" s="34">
        <v>-1.5</v>
      </c>
      <c r="UEQ5080" s="34">
        <v>-1</v>
      </c>
      <c r="UER5080" s="34">
        <v>-0.5</v>
      </c>
      <c r="UES5080" s="34">
        <v>0</v>
      </c>
      <c r="UET5080" s="34">
        <v>0.5</v>
      </c>
      <c r="UEU5080" s="34">
        <v>1</v>
      </c>
      <c r="UEV5080" s="34">
        <v>1.5</v>
      </c>
      <c r="UEW5080" s="34">
        <v>2</v>
      </c>
      <c r="UEX5080" s="34">
        <v>2.5</v>
      </c>
      <c r="UEY5080" s="34">
        <v>3</v>
      </c>
      <c r="UEZ5080" s="34">
        <v>3.5</v>
      </c>
      <c r="UFA5080" s="34">
        <v>4</v>
      </c>
      <c r="UFB5080" s="34">
        <v>4.5</v>
      </c>
      <c r="UFC5080" s="34">
        <v>5</v>
      </c>
      <c r="UFE5080" s="913"/>
      <c r="UFF5080" s="31">
        <v>1</v>
      </c>
      <c r="UFG5080" s="34">
        <v>0</v>
      </c>
      <c r="UFH5080" s="34">
        <v>-1</v>
      </c>
      <c r="UFI5080" s="34">
        <v>-2</v>
      </c>
      <c r="UFJ5080" s="34">
        <v>-3</v>
      </c>
      <c r="UFK5080" s="34">
        <v>-4</v>
      </c>
      <c r="UFL5080" s="34">
        <v>-5</v>
      </c>
      <c r="UFM5080" s="908"/>
      <c r="UFN5080" s="909"/>
      <c r="UFO5080" s="34">
        <v>-5</v>
      </c>
      <c r="UFP5080" s="34">
        <v>-4.5</v>
      </c>
      <c r="UFQ5080" s="34">
        <v>-4</v>
      </c>
      <c r="UFR5080" s="34">
        <v>-3.5</v>
      </c>
      <c r="UFS5080" s="34">
        <v>-3</v>
      </c>
      <c r="UFT5080" s="34">
        <v>-2.5</v>
      </c>
      <c r="UFU5080" s="34">
        <v>-2</v>
      </c>
      <c r="UFV5080" s="34">
        <v>-1.5</v>
      </c>
      <c r="UFW5080" s="34">
        <v>-1</v>
      </c>
      <c r="UFX5080" s="34">
        <v>-0.5</v>
      </c>
      <c r="UFY5080" s="34">
        <v>0</v>
      </c>
      <c r="UFZ5080" s="34">
        <v>0.5</v>
      </c>
      <c r="UGA5080" s="34">
        <v>1</v>
      </c>
      <c r="UGB5080" s="34">
        <v>1.5</v>
      </c>
      <c r="UGC5080" s="34">
        <v>2</v>
      </c>
      <c r="UGD5080" s="34">
        <v>2.5</v>
      </c>
      <c r="UGE5080" s="34">
        <v>3</v>
      </c>
      <c r="UGF5080" s="34">
        <v>3.5</v>
      </c>
      <c r="UGG5080" s="34">
        <v>4</v>
      </c>
      <c r="UGH5080" s="34">
        <v>4.5</v>
      </c>
      <c r="UGI5080" s="34">
        <v>5</v>
      </c>
      <c r="UGK5080" s="913"/>
      <c r="UGL5080" s="31">
        <v>1</v>
      </c>
      <c r="UGM5080" s="34">
        <v>0</v>
      </c>
      <c r="UGN5080" s="34">
        <v>-1</v>
      </c>
      <c r="UGO5080" s="34">
        <v>-2</v>
      </c>
      <c r="UGP5080" s="34">
        <v>-3</v>
      </c>
      <c r="UGQ5080" s="34">
        <v>-4</v>
      </c>
      <c r="UGR5080" s="34">
        <v>-5</v>
      </c>
      <c r="UGS5080" s="908"/>
      <c r="UGT5080" s="909"/>
      <c r="UGU5080" s="34">
        <v>-5</v>
      </c>
      <c r="UGV5080" s="34">
        <v>-4.5</v>
      </c>
      <c r="UGW5080" s="34">
        <v>-4</v>
      </c>
      <c r="UGX5080" s="34">
        <v>-3.5</v>
      </c>
      <c r="UGY5080" s="34">
        <v>-3</v>
      </c>
      <c r="UGZ5080" s="34">
        <v>-2.5</v>
      </c>
      <c r="UHA5080" s="34">
        <v>-2</v>
      </c>
      <c r="UHB5080" s="34">
        <v>-1.5</v>
      </c>
      <c r="UHC5080" s="34">
        <v>-1</v>
      </c>
      <c r="UHD5080" s="34">
        <v>-0.5</v>
      </c>
      <c r="UHE5080" s="34">
        <v>0</v>
      </c>
      <c r="UHF5080" s="34">
        <v>0.5</v>
      </c>
      <c r="UHG5080" s="34">
        <v>1</v>
      </c>
      <c r="UHH5080" s="34">
        <v>1.5</v>
      </c>
      <c r="UHI5080" s="34">
        <v>2</v>
      </c>
      <c r="UHJ5080" s="34">
        <v>2.5</v>
      </c>
      <c r="UHK5080" s="34">
        <v>3</v>
      </c>
      <c r="UHL5080" s="34">
        <v>3.5</v>
      </c>
      <c r="UHM5080" s="34">
        <v>4</v>
      </c>
      <c r="UHN5080" s="34">
        <v>4.5</v>
      </c>
      <c r="UHO5080" s="34">
        <v>5</v>
      </c>
      <c r="UHQ5080" s="913"/>
      <c r="UHR5080" s="31">
        <v>1</v>
      </c>
      <c r="UHS5080" s="34">
        <v>0</v>
      </c>
      <c r="UHT5080" s="34">
        <v>-1</v>
      </c>
      <c r="UHU5080" s="34">
        <v>-2</v>
      </c>
      <c r="UHV5080" s="34">
        <v>-3</v>
      </c>
      <c r="UHW5080" s="34">
        <v>-4</v>
      </c>
      <c r="UHX5080" s="34">
        <v>-5</v>
      </c>
      <c r="UHY5080" s="908"/>
      <c r="UHZ5080" s="909"/>
      <c r="UIA5080" s="34">
        <v>-5</v>
      </c>
      <c r="UIB5080" s="34">
        <v>-4.5</v>
      </c>
      <c r="UIC5080" s="34">
        <v>-4</v>
      </c>
      <c r="UID5080" s="34">
        <v>-3.5</v>
      </c>
      <c r="UIE5080" s="34">
        <v>-3</v>
      </c>
      <c r="UIF5080" s="34">
        <v>-2.5</v>
      </c>
      <c r="UIG5080" s="34">
        <v>-2</v>
      </c>
      <c r="UIH5080" s="34">
        <v>-1.5</v>
      </c>
      <c r="UII5080" s="34">
        <v>-1</v>
      </c>
      <c r="UIJ5080" s="34">
        <v>-0.5</v>
      </c>
      <c r="UIK5080" s="34">
        <v>0</v>
      </c>
      <c r="UIL5080" s="34">
        <v>0.5</v>
      </c>
      <c r="UIM5080" s="34">
        <v>1</v>
      </c>
      <c r="UIN5080" s="34">
        <v>1.5</v>
      </c>
      <c r="UIO5080" s="34">
        <v>2</v>
      </c>
      <c r="UIP5080" s="34">
        <v>2.5</v>
      </c>
      <c r="UIQ5080" s="34">
        <v>3</v>
      </c>
      <c r="UIR5080" s="34">
        <v>3.5</v>
      </c>
      <c r="UIS5080" s="34">
        <v>4</v>
      </c>
      <c r="UIT5080" s="34">
        <v>4.5</v>
      </c>
      <c r="UIU5080" s="34">
        <v>5</v>
      </c>
      <c r="UIW5080" s="913"/>
      <c r="UIX5080" s="31">
        <v>1</v>
      </c>
      <c r="UIY5080" s="34">
        <v>0</v>
      </c>
      <c r="UIZ5080" s="34">
        <v>-1</v>
      </c>
      <c r="UJA5080" s="34">
        <v>-2</v>
      </c>
      <c r="UJB5080" s="34">
        <v>-3</v>
      </c>
      <c r="UJC5080" s="34">
        <v>-4</v>
      </c>
      <c r="UJD5080" s="34">
        <v>-5</v>
      </c>
      <c r="UJE5080" s="908"/>
      <c r="UJF5080" s="909"/>
      <c r="UJG5080" s="34">
        <v>-5</v>
      </c>
      <c r="UJH5080" s="34">
        <v>-4.5</v>
      </c>
      <c r="UJI5080" s="34">
        <v>-4</v>
      </c>
      <c r="UJJ5080" s="34">
        <v>-3.5</v>
      </c>
      <c r="UJK5080" s="34">
        <v>-3</v>
      </c>
      <c r="UJL5080" s="34">
        <v>-2.5</v>
      </c>
      <c r="UJM5080" s="34">
        <v>-2</v>
      </c>
      <c r="UJN5080" s="34">
        <v>-1.5</v>
      </c>
      <c r="UJO5080" s="34">
        <v>-1</v>
      </c>
      <c r="UJP5080" s="34">
        <v>-0.5</v>
      </c>
      <c r="UJQ5080" s="34">
        <v>0</v>
      </c>
      <c r="UJR5080" s="34">
        <v>0.5</v>
      </c>
      <c r="UJS5080" s="34">
        <v>1</v>
      </c>
      <c r="UJT5080" s="34">
        <v>1.5</v>
      </c>
      <c r="UJU5080" s="34">
        <v>2</v>
      </c>
      <c r="UJV5080" s="34">
        <v>2.5</v>
      </c>
      <c r="UJW5080" s="34">
        <v>3</v>
      </c>
      <c r="UJX5080" s="34">
        <v>3.5</v>
      </c>
      <c r="UJY5080" s="34">
        <v>4</v>
      </c>
      <c r="UJZ5080" s="34">
        <v>4.5</v>
      </c>
      <c r="UKA5080" s="34">
        <v>5</v>
      </c>
      <c r="UKC5080" s="913"/>
      <c r="UKD5080" s="31">
        <v>1</v>
      </c>
      <c r="UKE5080" s="34">
        <v>0</v>
      </c>
      <c r="UKF5080" s="34">
        <v>-1</v>
      </c>
      <c r="UKG5080" s="34">
        <v>-2</v>
      </c>
      <c r="UKH5080" s="34">
        <v>-3</v>
      </c>
      <c r="UKI5080" s="34">
        <v>-4</v>
      </c>
      <c r="UKJ5080" s="34">
        <v>-5</v>
      </c>
      <c r="UKK5080" s="908"/>
      <c r="UKL5080" s="909"/>
      <c r="UKM5080" s="34">
        <v>-5</v>
      </c>
      <c r="UKN5080" s="34">
        <v>-4.5</v>
      </c>
      <c r="UKO5080" s="34">
        <v>-4</v>
      </c>
      <c r="UKP5080" s="34">
        <v>-3.5</v>
      </c>
      <c r="UKQ5080" s="34">
        <v>-3</v>
      </c>
      <c r="UKR5080" s="34">
        <v>-2.5</v>
      </c>
      <c r="UKS5080" s="34">
        <v>-2</v>
      </c>
      <c r="UKT5080" s="34">
        <v>-1.5</v>
      </c>
      <c r="UKU5080" s="34">
        <v>-1</v>
      </c>
      <c r="UKV5080" s="34">
        <v>-0.5</v>
      </c>
      <c r="UKW5080" s="34">
        <v>0</v>
      </c>
      <c r="UKX5080" s="34">
        <v>0.5</v>
      </c>
      <c r="UKY5080" s="34">
        <v>1</v>
      </c>
      <c r="UKZ5080" s="34">
        <v>1.5</v>
      </c>
      <c r="ULA5080" s="34">
        <v>2</v>
      </c>
      <c r="ULB5080" s="34">
        <v>2.5</v>
      </c>
      <c r="ULC5080" s="34">
        <v>3</v>
      </c>
      <c r="ULD5080" s="34">
        <v>3.5</v>
      </c>
      <c r="ULE5080" s="34">
        <v>4</v>
      </c>
      <c r="ULF5080" s="34">
        <v>4.5</v>
      </c>
      <c r="ULG5080" s="34">
        <v>5</v>
      </c>
      <c r="ULI5080" s="913"/>
      <c r="ULJ5080" s="31">
        <v>1</v>
      </c>
      <c r="ULK5080" s="34">
        <v>0</v>
      </c>
      <c r="ULL5080" s="34">
        <v>-1</v>
      </c>
      <c r="ULM5080" s="34">
        <v>-2</v>
      </c>
      <c r="ULN5080" s="34">
        <v>-3</v>
      </c>
      <c r="ULO5080" s="34">
        <v>-4</v>
      </c>
      <c r="ULP5080" s="34">
        <v>-5</v>
      </c>
      <c r="ULQ5080" s="908"/>
      <c r="ULR5080" s="909"/>
      <c r="ULS5080" s="34">
        <v>-5</v>
      </c>
      <c r="ULT5080" s="34">
        <v>-4.5</v>
      </c>
      <c r="ULU5080" s="34">
        <v>-4</v>
      </c>
      <c r="ULV5080" s="34">
        <v>-3.5</v>
      </c>
      <c r="ULW5080" s="34">
        <v>-3</v>
      </c>
      <c r="ULX5080" s="34">
        <v>-2.5</v>
      </c>
      <c r="ULY5080" s="34">
        <v>-2</v>
      </c>
      <c r="ULZ5080" s="34">
        <v>-1.5</v>
      </c>
      <c r="UMA5080" s="34">
        <v>-1</v>
      </c>
      <c r="UMB5080" s="34">
        <v>-0.5</v>
      </c>
      <c r="UMC5080" s="34">
        <v>0</v>
      </c>
      <c r="UMD5080" s="34">
        <v>0.5</v>
      </c>
      <c r="UME5080" s="34">
        <v>1</v>
      </c>
      <c r="UMF5080" s="34">
        <v>1.5</v>
      </c>
      <c r="UMG5080" s="34">
        <v>2</v>
      </c>
      <c r="UMH5080" s="34">
        <v>2.5</v>
      </c>
      <c r="UMI5080" s="34">
        <v>3</v>
      </c>
      <c r="UMJ5080" s="34">
        <v>3.5</v>
      </c>
      <c r="UMK5080" s="34">
        <v>4</v>
      </c>
      <c r="UML5080" s="34">
        <v>4.5</v>
      </c>
      <c r="UMM5080" s="34">
        <v>5</v>
      </c>
      <c r="UMO5080" s="913"/>
      <c r="UMP5080" s="31">
        <v>1</v>
      </c>
      <c r="UMQ5080" s="34">
        <v>0</v>
      </c>
      <c r="UMR5080" s="34">
        <v>-1</v>
      </c>
      <c r="UMS5080" s="34">
        <v>-2</v>
      </c>
      <c r="UMT5080" s="34">
        <v>-3</v>
      </c>
      <c r="UMU5080" s="34">
        <v>-4</v>
      </c>
      <c r="UMV5080" s="34">
        <v>-5</v>
      </c>
      <c r="UMW5080" s="908"/>
      <c r="UMX5080" s="909"/>
      <c r="UMY5080" s="34">
        <v>-5</v>
      </c>
      <c r="UMZ5080" s="34">
        <v>-4.5</v>
      </c>
      <c r="UNA5080" s="34">
        <v>-4</v>
      </c>
      <c r="UNB5080" s="34">
        <v>-3.5</v>
      </c>
      <c r="UNC5080" s="34">
        <v>-3</v>
      </c>
      <c r="UND5080" s="34">
        <v>-2.5</v>
      </c>
      <c r="UNE5080" s="34">
        <v>-2</v>
      </c>
      <c r="UNF5080" s="34">
        <v>-1.5</v>
      </c>
      <c r="UNG5080" s="34">
        <v>-1</v>
      </c>
      <c r="UNH5080" s="34">
        <v>-0.5</v>
      </c>
      <c r="UNI5080" s="34">
        <v>0</v>
      </c>
      <c r="UNJ5080" s="34">
        <v>0.5</v>
      </c>
      <c r="UNK5080" s="34">
        <v>1</v>
      </c>
      <c r="UNL5080" s="34">
        <v>1.5</v>
      </c>
      <c r="UNM5080" s="34">
        <v>2</v>
      </c>
      <c r="UNN5080" s="34">
        <v>2.5</v>
      </c>
      <c r="UNO5080" s="34">
        <v>3</v>
      </c>
      <c r="UNP5080" s="34">
        <v>3.5</v>
      </c>
      <c r="UNQ5080" s="34">
        <v>4</v>
      </c>
      <c r="UNR5080" s="34">
        <v>4.5</v>
      </c>
      <c r="UNS5080" s="34">
        <v>5</v>
      </c>
      <c r="UNU5080" s="913"/>
      <c r="UNV5080" s="31">
        <v>1</v>
      </c>
      <c r="UNW5080" s="34">
        <v>0</v>
      </c>
      <c r="UNX5080" s="34">
        <v>-1</v>
      </c>
      <c r="UNY5080" s="34">
        <v>-2</v>
      </c>
      <c r="UNZ5080" s="34">
        <v>-3</v>
      </c>
      <c r="UOA5080" s="34">
        <v>-4</v>
      </c>
      <c r="UOB5080" s="34">
        <v>-5</v>
      </c>
      <c r="UOC5080" s="908"/>
      <c r="UOD5080" s="909"/>
      <c r="UOE5080" s="34">
        <v>-5</v>
      </c>
      <c r="UOF5080" s="34">
        <v>-4.5</v>
      </c>
      <c r="UOG5080" s="34">
        <v>-4</v>
      </c>
      <c r="UOH5080" s="34">
        <v>-3.5</v>
      </c>
      <c r="UOI5080" s="34">
        <v>-3</v>
      </c>
      <c r="UOJ5080" s="34">
        <v>-2.5</v>
      </c>
      <c r="UOK5080" s="34">
        <v>-2</v>
      </c>
      <c r="UOL5080" s="34">
        <v>-1.5</v>
      </c>
      <c r="UOM5080" s="34">
        <v>-1</v>
      </c>
      <c r="UON5080" s="34">
        <v>-0.5</v>
      </c>
      <c r="UOO5080" s="34">
        <v>0</v>
      </c>
      <c r="UOP5080" s="34">
        <v>0.5</v>
      </c>
      <c r="UOQ5080" s="34">
        <v>1</v>
      </c>
      <c r="UOR5080" s="34">
        <v>1.5</v>
      </c>
      <c r="UOS5080" s="34">
        <v>2</v>
      </c>
      <c r="UOT5080" s="34">
        <v>2.5</v>
      </c>
      <c r="UOU5080" s="34">
        <v>3</v>
      </c>
      <c r="UOV5080" s="34">
        <v>3.5</v>
      </c>
      <c r="UOW5080" s="34">
        <v>4</v>
      </c>
      <c r="UOX5080" s="34">
        <v>4.5</v>
      </c>
      <c r="UOY5080" s="34">
        <v>5</v>
      </c>
      <c r="UPA5080" s="913"/>
      <c r="UPB5080" s="31">
        <v>1</v>
      </c>
      <c r="UPC5080" s="34">
        <v>0</v>
      </c>
      <c r="UPD5080" s="34">
        <v>-1</v>
      </c>
      <c r="UPE5080" s="34">
        <v>-2</v>
      </c>
      <c r="UPF5080" s="34">
        <v>-3</v>
      </c>
      <c r="UPG5080" s="34">
        <v>-4</v>
      </c>
      <c r="UPH5080" s="34">
        <v>-5</v>
      </c>
      <c r="UPI5080" s="908"/>
      <c r="UPJ5080" s="909"/>
      <c r="UPK5080" s="34">
        <v>-5</v>
      </c>
      <c r="UPL5080" s="34">
        <v>-4.5</v>
      </c>
      <c r="UPM5080" s="34">
        <v>-4</v>
      </c>
      <c r="UPN5080" s="34">
        <v>-3.5</v>
      </c>
      <c r="UPO5080" s="34">
        <v>-3</v>
      </c>
      <c r="UPP5080" s="34">
        <v>-2.5</v>
      </c>
      <c r="UPQ5080" s="34">
        <v>-2</v>
      </c>
      <c r="UPR5080" s="34">
        <v>-1.5</v>
      </c>
      <c r="UPS5080" s="34">
        <v>-1</v>
      </c>
      <c r="UPT5080" s="34">
        <v>-0.5</v>
      </c>
      <c r="UPU5080" s="34">
        <v>0</v>
      </c>
      <c r="UPV5080" s="34">
        <v>0.5</v>
      </c>
      <c r="UPW5080" s="34">
        <v>1</v>
      </c>
      <c r="UPX5080" s="34">
        <v>1.5</v>
      </c>
      <c r="UPY5080" s="34">
        <v>2</v>
      </c>
      <c r="UPZ5080" s="34">
        <v>2.5</v>
      </c>
      <c r="UQA5080" s="34">
        <v>3</v>
      </c>
      <c r="UQB5080" s="34">
        <v>3.5</v>
      </c>
      <c r="UQC5080" s="34">
        <v>4</v>
      </c>
      <c r="UQD5080" s="34">
        <v>4.5</v>
      </c>
      <c r="UQE5080" s="34">
        <v>5</v>
      </c>
      <c r="UQG5080" s="913"/>
      <c r="UQH5080" s="31">
        <v>1</v>
      </c>
      <c r="UQI5080" s="34">
        <v>0</v>
      </c>
      <c r="UQJ5080" s="34">
        <v>-1</v>
      </c>
      <c r="UQK5080" s="34">
        <v>-2</v>
      </c>
      <c r="UQL5080" s="34">
        <v>-3</v>
      </c>
      <c r="UQM5080" s="34">
        <v>-4</v>
      </c>
      <c r="UQN5080" s="34">
        <v>-5</v>
      </c>
      <c r="UQO5080" s="908"/>
      <c r="UQP5080" s="909"/>
      <c r="UQQ5080" s="34">
        <v>-5</v>
      </c>
      <c r="UQR5080" s="34">
        <v>-4.5</v>
      </c>
      <c r="UQS5080" s="34">
        <v>-4</v>
      </c>
      <c r="UQT5080" s="34">
        <v>-3.5</v>
      </c>
      <c r="UQU5080" s="34">
        <v>-3</v>
      </c>
      <c r="UQV5080" s="34">
        <v>-2.5</v>
      </c>
      <c r="UQW5080" s="34">
        <v>-2</v>
      </c>
      <c r="UQX5080" s="34">
        <v>-1.5</v>
      </c>
      <c r="UQY5080" s="34">
        <v>-1</v>
      </c>
      <c r="UQZ5080" s="34">
        <v>-0.5</v>
      </c>
      <c r="URA5080" s="34">
        <v>0</v>
      </c>
      <c r="URB5080" s="34">
        <v>0.5</v>
      </c>
      <c r="URC5080" s="34">
        <v>1</v>
      </c>
      <c r="URD5080" s="34">
        <v>1.5</v>
      </c>
      <c r="URE5080" s="34">
        <v>2</v>
      </c>
      <c r="URF5080" s="34">
        <v>2.5</v>
      </c>
      <c r="URG5080" s="34">
        <v>3</v>
      </c>
      <c r="URH5080" s="34">
        <v>3.5</v>
      </c>
      <c r="URI5080" s="34">
        <v>4</v>
      </c>
      <c r="URJ5080" s="34">
        <v>4.5</v>
      </c>
      <c r="URK5080" s="34">
        <v>5</v>
      </c>
      <c r="URM5080" s="913"/>
      <c r="URN5080" s="31">
        <v>1</v>
      </c>
      <c r="URO5080" s="34">
        <v>0</v>
      </c>
      <c r="URP5080" s="34">
        <v>-1</v>
      </c>
      <c r="URQ5080" s="34">
        <v>-2</v>
      </c>
      <c r="URR5080" s="34">
        <v>-3</v>
      </c>
      <c r="URS5080" s="34">
        <v>-4</v>
      </c>
      <c r="URT5080" s="34">
        <v>-5</v>
      </c>
      <c r="URU5080" s="908"/>
      <c r="URV5080" s="909"/>
      <c r="URW5080" s="34">
        <v>-5</v>
      </c>
      <c r="URX5080" s="34">
        <v>-4.5</v>
      </c>
      <c r="URY5080" s="34">
        <v>-4</v>
      </c>
      <c r="URZ5080" s="34">
        <v>-3.5</v>
      </c>
      <c r="USA5080" s="34">
        <v>-3</v>
      </c>
      <c r="USB5080" s="34">
        <v>-2.5</v>
      </c>
      <c r="USC5080" s="34">
        <v>-2</v>
      </c>
      <c r="USD5080" s="34">
        <v>-1.5</v>
      </c>
      <c r="USE5080" s="34">
        <v>-1</v>
      </c>
      <c r="USF5080" s="34">
        <v>-0.5</v>
      </c>
      <c r="USG5080" s="34">
        <v>0</v>
      </c>
      <c r="USH5080" s="34">
        <v>0.5</v>
      </c>
      <c r="USI5080" s="34">
        <v>1</v>
      </c>
      <c r="USJ5080" s="34">
        <v>1.5</v>
      </c>
      <c r="USK5080" s="34">
        <v>2</v>
      </c>
      <c r="USL5080" s="34">
        <v>2.5</v>
      </c>
      <c r="USM5080" s="34">
        <v>3</v>
      </c>
      <c r="USN5080" s="34">
        <v>3.5</v>
      </c>
      <c r="USO5080" s="34">
        <v>4</v>
      </c>
      <c r="USP5080" s="34">
        <v>4.5</v>
      </c>
      <c r="USQ5080" s="34">
        <v>5</v>
      </c>
      <c r="USS5080" s="913"/>
      <c r="UST5080" s="31">
        <v>1</v>
      </c>
      <c r="USU5080" s="34">
        <v>0</v>
      </c>
      <c r="USV5080" s="34">
        <v>-1</v>
      </c>
      <c r="USW5080" s="34">
        <v>-2</v>
      </c>
      <c r="USX5080" s="34">
        <v>-3</v>
      </c>
      <c r="USY5080" s="34">
        <v>-4</v>
      </c>
      <c r="USZ5080" s="34">
        <v>-5</v>
      </c>
      <c r="UTA5080" s="908"/>
      <c r="UTB5080" s="909"/>
      <c r="UTC5080" s="34">
        <v>-5</v>
      </c>
      <c r="UTD5080" s="34">
        <v>-4.5</v>
      </c>
      <c r="UTE5080" s="34">
        <v>-4</v>
      </c>
      <c r="UTF5080" s="34">
        <v>-3.5</v>
      </c>
      <c r="UTG5080" s="34">
        <v>-3</v>
      </c>
      <c r="UTH5080" s="34">
        <v>-2.5</v>
      </c>
      <c r="UTI5080" s="34">
        <v>-2</v>
      </c>
      <c r="UTJ5080" s="34">
        <v>-1.5</v>
      </c>
      <c r="UTK5080" s="34">
        <v>-1</v>
      </c>
      <c r="UTL5080" s="34">
        <v>-0.5</v>
      </c>
      <c r="UTM5080" s="34">
        <v>0</v>
      </c>
      <c r="UTN5080" s="34">
        <v>0.5</v>
      </c>
      <c r="UTO5080" s="34">
        <v>1</v>
      </c>
      <c r="UTP5080" s="34">
        <v>1.5</v>
      </c>
      <c r="UTQ5080" s="34">
        <v>2</v>
      </c>
      <c r="UTR5080" s="34">
        <v>2.5</v>
      </c>
      <c r="UTS5080" s="34">
        <v>3</v>
      </c>
      <c r="UTT5080" s="34">
        <v>3.5</v>
      </c>
      <c r="UTU5080" s="34">
        <v>4</v>
      </c>
      <c r="UTV5080" s="34">
        <v>4.5</v>
      </c>
      <c r="UTW5080" s="34">
        <v>5</v>
      </c>
      <c r="UTY5080" s="913"/>
      <c r="UTZ5080" s="31">
        <v>1</v>
      </c>
      <c r="UUA5080" s="34">
        <v>0</v>
      </c>
      <c r="UUB5080" s="34">
        <v>-1</v>
      </c>
      <c r="UUC5080" s="34">
        <v>-2</v>
      </c>
      <c r="UUD5080" s="34">
        <v>-3</v>
      </c>
      <c r="UUE5080" s="34">
        <v>-4</v>
      </c>
      <c r="UUF5080" s="34">
        <v>-5</v>
      </c>
      <c r="UUG5080" s="908"/>
      <c r="UUH5080" s="909"/>
      <c r="UUI5080" s="34">
        <v>-5</v>
      </c>
      <c r="UUJ5080" s="34">
        <v>-4.5</v>
      </c>
      <c r="UUK5080" s="34">
        <v>-4</v>
      </c>
      <c r="UUL5080" s="34">
        <v>-3.5</v>
      </c>
      <c r="UUM5080" s="34">
        <v>-3</v>
      </c>
      <c r="UUN5080" s="34">
        <v>-2.5</v>
      </c>
      <c r="UUO5080" s="34">
        <v>-2</v>
      </c>
      <c r="UUP5080" s="34">
        <v>-1.5</v>
      </c>
      <c r="UUQ5080" s="34">
        <v>-1</v>
      </c>
      <c r="UUR5080" s="34">
        <v>-0.5</v>
      </c>
      <c r="UUS5080" s="34">
        <v>0</v>
      </c>
      <c r="UUT5080" s="34">
        <v>0.5</v>
      </c>
      <c r="UUU5080" s="34">
        <v>1</v>
      </c>
      <c r="UUV5080" s="34">
        <v>1.5</v>
      </c>
      <c r="UUW5080" s="34">
        <v>2</v>
      </c>
      <c r="UUX5080" s="34">
        <v>2.5</v>
      </c>
      <c r="UUY5080" s="34">
        <v>3</v>
      </c>
      <c r="UUZ5080" s="34">
        <v>3.5</v>
      </c>
      <c r="UVA5080" s="34">
        <v>4</v>
      </c>
      <c r="UVB5080" s="34">
        <v>4.5</v>
      </c>
      <c r="UVC5080" s="34">
        <v>5</v>
      </c>
      <c r="UVE5080" s="913"/>
      <c r="UVF5080" s="31">
        <v>1</v>
      </c>
      <c r="UVG5080" s="34">
        <v>0</v>
      </c>
      <c r="UVH5080" s="34">
        <v>-1</v>
      </c>
      <c r="UVI5080" s="34">
        <v>-2</v>
      </c>
      <c r="UVJ5080" s="34">
        <v>-3</v>
      </c>
      <c r="UVK5080" s="34">
        <v>-4</v>
      </c>
      <c r="UVL5080" s="34">
        <v>-5</v>
      </c>
      <c r="UVM5080" s="908"/>
      <c r="UVN5080" s="909"/>
      <c r="UVO5080" s="34">
        <v>-5</v>
      </c>
      <c r="UVP5080" s="34">
        <v>-4.5</v>
      </c>
      <c r="UVQ5080" s="34">
        <v>-4</v>
      </c>
      <c r="UVR5080" s="34">
        <v>-3.5</v>
      </c>
      <c r="UVS5080" s="34">
        <v>-3</v>
      </c>
      <c r="UVT5080" s="34">
        <v>-2.5</v>
      </c>
      <c r="UVU5080" s="34">
        <v>-2</v>
      </c>
      <c r="UVV5080" s="34">
        <v>-1.5</v>
      </c>
      <c r="UVW5080" s="34">
        <v>-1</v>
      </c>
      <c r="UVX5080" s="34">
        <v>-0.5</v>
      </c>
      <c r="UVY5080" s="34">
        <v>0</v>
      </c>
      <c r="UVZ5080" s="34">
        <v>0.5</v>
      </c>
      <c r="UWA5080" s="34">
        <v>1</v>
      </c>
      <c r="UWB5080" s="34">
        <v>1.5</v>
      </c>
      <c r="UWC5080" s="34">
        <v>2</v>
      </c>
      <c r="UWD5080" s="34">
        <v>2.5</v>
      </c>
      <c r="UWE5080" s="34">
        <v>3</v>
      </c>
      <c r="UWF5080" s="34">
        <v>3.5</v>
      </c>
      <c r="UWG5080" s="34">
        <v>4</v>
      </c>
      <c r="UWH5080" s="34">
        <v>4.5</v>
      </c>
      <c r="UWI5080" s="34">
        <v>5</v>
      </c>
      <c r="UWK5080" s="913"/>
      <c r="UWL5080" s="31">
        <v>1</v>
      </c>
      <c r="UWM5080" s="34">
        <v>0</v>
      </c>
      <c r="UWN5080" s="34">
        <v>-1</v>
      </c>
      <c r="UWO5080" s="34">
        <v>-2</v>
      </c>
      <c r="UWP5080" s="34">
        <v>-3</v>
      </c>
      <c r="UWQ5080" s="34">
        <v>-4</v>
      </c>
      <c r="UWR5080" s="34">
        <v>-5</v>
      </c>
      <c r="UWS5080" s="908"/>
      <c r="UWT5080" s="909"/>
      <c r="UWU5080" s="34">
        <v>-5</v>
      </c>
      <c r="UWV5080" s="34">
        <v>-4.5</v>
      </c>
      <c r="UWW5080" s="34">
        <v>-4</v>
      </c>
      <c r="UWX5080" s="34">
        <v>-3.5</v>
      </c>
      <c r="UWY5080" s="34">
        <v>-3</v>
      </c>
      <c r="UWZ5080" s="34">
        <v>-2.5</v>
      </c>
      <c r="UXA5080" s="34">
        <v>-2</v>
      </c>
      <c r="UXB5080" s="34">
        <v>-1.5</v>
      </c>
      <c r="UXC5080" s="34">
        <v>-1</v>
      </c>
      <c r="UXD5080" s="34">
        <v>-0.5</v>
      </c>
      <c r="UXE5080" s="34">
        <v>0</v>
      </c>
      <c r="UXF5080" s="34">
        <v>0.5</v>
      </c>
      <c r="UXG5080" s="34">
        <v>1</v>
      </c>
      <c r="UXH5080" s="34">
        <v>1.5</v>
      </c>
      <c r="UXI5080" s="34">
        <v>2</v>
      </c>
      <c r="UXJ5080" s="34">
        <v>2.5</v>
      </c>
      <c r="UXK5080" s="34">
        <v>3</v>
      </c>
      <c r="UXL5080" s="34">
        <v>3.5</v>
      </c>
      <c r="UXM5080" s="34">
        <v>4</v>
      </c>
      <c r="UXN5080" s="34">
        <v>4.5</v>
      </c>
      <c r="UXO5080" s="34">
        <v>5</v>
      </c>
      <c r="UXQ5080" s="913"/>
      <c r="UXR5080" s="31">
        <v>1</v>
      </c>
      <c r="UXS5080" s="34">
        <v>0</v>
      </c>
      <c r="UXT5080" s="34">
        <v>-1</v>
      </c>
      <c r="UXU5080" s="34">
        <v>-2</v>
      </c>
      <c r="UXV5080" s="34">
        <v>-3</v>
      </c>
      <c r="UXW5080" s="34">
        <v>-4</v>
      </c>
      <c r="UXX5080" s="34">
        <v>-5</v>
      </c>
      <c r="UXY5080" s="908"/>
      <c r="UXZ5080" s="909"/>
      <c r="UYA5080" s="34">
        <v>-5</v>
      </c>
      <c r="UYB5080" s="34">
        <v>-4.5</v>
      </c>
      <c r="UYC5080" s="34">
        <v>-4</v>
      </c>
      <c r="UYD5080" s="34">
        <v>-3.5</v>
      </c>
      <c r="UYE5080" s="34">
        <v>-3</v>
      </c>
      <c r="UYF5080" s="34">
        <v>-2.5</v>
      </c>
      <c r="UYG5080" s="34">
        <v>-2</v>
      </c>
      <c r="UYH5080" s="34">
        <v>-1.5</v>
      </c>
      <c r="UYI5080" s="34">
        <v>-1</v>
      </c>
      <c r="UYJ5080" s="34">
        <v>-0.5</v>
      </c>
      <c r="UYK5080" s="34">
        <v>0</v>
      </c>
      <c r="UYL5080" s="34">
        <v>0.5</v>
      </c>
      <c r="UYM5080" s="34">
        <v>1</v>
      </c>
      <c r="UYN5080" s="34">
        <v>1.5</v>
      </c>
      <c r="UYO5080" s="34">
        <v>2</v>
      </c>
      <c r="UYP5080" s="34">
        <v>2.5</v>
      </c>
      <c r="UYQ5080" s="34">
        <v>3</v>
      </c>
      <c r="UYR5080" s="34">
        <v>3.5</v>
      </c>
      <c r="UYS5080" s="34">
        <v>4</v>
      </c>
      <c r="UYT5080" s="34">
        <v>4.5</v>
      </c>
      <c r="UYU5080" s="34">
        <v>5</v>
      </c>
      <c r="UYW5080" s="913"/>
      <c r="UYX5080" s="31">
        <v>1</v>
      </c>
      <c r="UYY5080" s="34">
        <v>0</v>
      </c>
      <c r="UYZ5080" s="34">
        <v>-1</v>
      </c>
      <c r="UZA5080" s="34">
        <v>-2</v>
      </c>
      <c r="UZB5080" s="34">
        <v>-3</v>
      </c>
      <c r="UZC5080" s="34">
        <v>-4</v>
      </c>
      <c r="UZD5080" s="34">
        <v>-5</v>
      </c>
      <c r="UZE5080" s="908"/>
      <c r="UZF5080" s="909"/>
      <c r="UZG5080" s="34">
        <v>-5</v>
      </c>
      <c r="UZH5080" s="34">
        <v>-4.5</v>
      </c>
      <c r="UZI5080" s="34">
        <v>-4</v>
      </c>
      <c r="UZJ5080" s="34">
        <v>-3.5</v>
      </c>
      <c r="UZK5080" s="34">
        <v>-3</v>
      </c>
      <c r="UZL5080" s="34">
        <v>-2.5</v>
      </c>
      <c r="UZM5080" s="34">
        <v>-2</v>
      </c>
      <c r="UZN5080" s="34">
        <v>-1.5</v>
      </c>
      <c r="UZO5080" s="34">
        <v>-1</v>
      </c>
      <c r="UZP5080" s="34">
        <v>-0.5</v>
      </c>
      <c r="UZQ5080" s="34">
        <v>0</v>
      </c>
      <c r="UZR5080" s="34">
        <v>0.5</v>
      </c>
      <c r="UZS5080" s="34">
        <v>1</v>
      </c>
      <c r="UZT5080" s="34">
        <v>1.5</v>
      </c>
      <c r="UZU5080" s="34">
        <v>2</v>
      </c>
      <c r="UZV5080" s="34">
        <v>2.5</v>
      </c>
      <c r="UZW5080" s="34">
        <v>3</v>
      </c>
      <c r="UZX5080" s="34">
        <v>3.5</v>
      </c>
      <c r="UZY5080" s="34">
        <v>4</v>
      </c>
      <c r="UZZ5080" s="34">
        <v>4.5</v>
      </c>
      <c r="VAA5080" s="34">
        <v>5</v>
      </c>
      <c r="VAC5080" s="913"/>
      <c r="VAD5080" s="31">
        <v>1</v>
      </c>
      <c r="VAE5080" s="34">
        <v>0</v>
      </c>
      <c r="VAF5080" s="34">
        <v>-1</v>
      </c>
      <c r="VAG5080" s="34">
        <v>-2</v>
      </c>
      <c r="VAH5080" s="34">
        <v>-3</v>
      </c>
      <c r="VAI5080" s="34">
        <v>-4</v>
      </c>
      <c r="VAJ5080" s="34">
        <v>-5</v>
      </c>
      <c r="VAK5080" s="908"/>
      <c r="VAL5080" s="909"/>
      <c r="VAM5080" s="34">
        <v>-5</v>
      </c>
      <c r="VAN5080" s="34">
        <v>-4.5</v>
      </c>
      <c r="VAO5080" s="34">
        <v>-4</v>
      </c>
      <c r="VAP5080" s="34">
        <v>-3.5</v>
      </c>
      <c r="VAQ5080" s="34">
        <v>-3</v>
      </c>
      <c r="VAR5080" s="34">
        <v>-2.5</v>
      </c>
      <c r="VAS5080" s="34">
        <v>-2</v>
      </c>
      <c r="VAT5080" s="34">
        <v>-1.5</v>
      </c>
      <c r="VAU5080" s="34">
        <v>-1</v>
      </c>
      <c r="VAV5080" s="34">
        <v>-0.5</v>
      </c>
      <c r="VAW5080" s="34">
        <v>0</v>
      </c>
      <c r="VAX5080" s="34">
        <v>0.5</v>
      </c>
      <c r="VAY5080" s="34">
        <v>1</v>
      </c>
      <c r="VAZ5080" s="34">
        <v>1.5</v>
      </c>
      <c r="VBA5080" s="34">
        <v>2</v>
      </c>
      <c r="VBB5080" s="34">
        <v>2.5</v>
      </c>
      <c r="VBC5080" s="34">
        <v>3</v>
      </c>
      <c r="VBD5080" s="34">
        <v>3.5</v>
      </c>
      <c r="VBE5080" s="34">
        <v>4</v>
      </c>
      <c r="VBF5080" s="34">
        <v>4.5</v>
      </c>
      <c r="VBG5080" s="34">
        <v>5</v>
      </c>
      <c r="VBI5080" s="913"/>
      <c r="VBJ5080" s="31">
        <v>1</v>
      </c>
      <c r="VBK5080" s="34">
        <v>0</v>
      </c>
      <c r="VBL5080" s="34">
        <v>-1</v>
      </c>
      <c r="VBM5080" s="34">
        <v>-2</v>
      </c>
      <c r="VBN5080" s="34">
        <v>-3</v>
      </c>
      <c r="VBO5080" s="34">
        <v>-4</v>
      </c>
      <c r="VBP5080" s="34">
        <v>-5</v>
      </c>
      <c r="VBQ5080" s="908"/>
      <c r="VBR5080" s="909"/>
      <c r="VBS5080" s="34">
        <v>-5</v>
      </c>
      <c r="VBT5080" s="34">
        <v>-4.5</v>
      </c>
      <c r="VBU5080" s="34">
        <v>-4</v>
      </c>
      <c r="VBV5080" s="34">
        <v>-3.5</v>
      </c>
      <c r="VBW5080" s="34">
        <v>-3</v>
      </c>
      <c r="VBX5080" s="34">
        <v>-2.5</v>
      </c>
      <c r="VBY5080" s="34">
        <v>-2</v>
      </c>
      <c r="VBZ5080" s="34">
        <v>-1.5</v>
      </c>
      <c r="VCA5080" s="34">
        <v>-1</v>
      </c>
      <c r="VCB5080" s="34">
        <v>-0.5</v>
      </c>
      <c r="VCC5080" s="34">
        <v>0</v>
      </c>
      <c r="VCD5080" s="34">
        <v>0.5</v>
      </c>
      <c r="VCE5080" s="34">
        <v>1</v>
      </c>
      <c r="VCF5080" s="34">
        <v>1.5</v>
      </c>
      <c r="VCG5080" s="34">
        <v>2</v>
      </c>
      <c r="VCH5080" s="34">
        <v>2.5</v>
      </c>
      <c r="VCI5080" s="34">
        <v>3</v>
      </c>
      <c r="VCJ5080" s="34">
        <v>3.5</v>
      </c>
      <c r="VCK5080" s="34">
        <v>4</v>
      </c>
      <c r="VCL5080" s="34">
        <v>4.5</v>
      </c>
      <c r="VCM5080" s="34">
        <v>5</v>
      </c>
      <c r="VCO5080" s="913"/>
      <c r="VCP5080" s="31">
        <v>1</v>
      </c>
      <c r="VCQ5080" s="34">
        <v>0</v>
      </c>
      <c r="VCR5080" s="34">
        <v>-1</v>
      </c>
      <c r="VCS5080" s="34">
        <v>-2</v>
      </c>
      <c r="VCT5080" s="34">
        <v>-3</v>
      </c>
      <c r="VCU5080" s="34">
        <v>-4</v>
      </c>
      <c r="VCV5080" s="34">
        <v>-5</v>
      </c>
      <c r="VCW5080" s="908"/>
      <c r="VCX5080" s="909"/>
      <c r="VCY5080" s="34">
        <v>-5</v>
      </c>
      <c r="VCZ5080" s="34">
        <v>-4.5</v>
      </c>
      <c r="VDA5080" s="34">
        <v>-4</v>
      </c>
      <c r="VDB5080" s="34">
        <v>-3.5</v>
      </c>
      <c r="VDC5080" s="34">
        <v>-3</v>
      </c>
      <c r="VDD5080" s="34">
        <v>-2.5</v>
      </c>
      <c r="VDE5080" s="34">
        <v>-2</v>
      </c>
      <c r="VDF5080" s="34">
        <v>-1.5</v>
      </c>
      <c r="VDG5080" s="34">
        <v>-1</v>
      </c>
      <c r="VDH5080" s="34">
        <v>-0.5</v>
      </c>
      <c r="VDI5080" s="34">
        <v>0</v>
      </c>
      <c r="VDJ5080" s="34">
        <v>0.5</v>
      </c>
      <c r="VDK5080" s="34">
        <v>1</v>
      </c>
      <c r="VDL5080" s="34">
        <v>1.5</v>
      </c>
      <c r="VDM5080" s="34">
        <v>2</v>
      </c>
      <c r="VDN5080" s="34">
        <v>2.5</v>
      </c>
      <c r="VDO5080" s="34">
        <v>3</v>
      </c>
      <c r="VDP5080" s="34">
        <v>3.5</v>
      </c>
      <c r="VDQ5080" s="34">
        <v>4</v>
      </c>
      <c r="VDR5080" s="34">
        <v>4.5</v>
      </c>
      <c r="VDS5080" s="34">
        <v>5</v>
      </c>
      <c r="VDU5080" s="913"/>
      <c r="VDV5080" s="31">
        <v>1</v>
      </c>
      <c r="VDW5080" s="34">
        <v>0</v>
      </c>
      <c r="VDX5080" s="34">
        <v>-1</v>
      </c>
      <c r="VDY5080" s="34">
        <v>-2</v>
      </c>
      <c r="VDZ5080" s="34">
        <v>-3</v>
      </c>
      <c r="VEA5080" s="34">
        <v>-4</v>
      </c>
      <c r="VEB5080" s="34">
        <v>-5</v>
      </c>
      <c r="VEC5080" s="908"/>
      <c r="VED5080" s="909"/>
      <c r="VEE5080" s="34">
        <v>-5</v>
      </c>
      <c r="VEF5080" s="34">
        <v>-4.5</v>
      </c>
      <c r="VEG5080" s="34">
        <v>-4</v>
      </c>
      <c r="VEH5080" s="34">
        <v>-3.5</v>
      </c>
      <c r="VEI5080" s="34">
        <v>-3</v>
      </c>
      <c r="VEJ5080" s="34">
        <v>-2.5</v>
      </c>
      <c r="VEK5080" s="34">
        <v>-2</v>
      </c>
      <c r="VEL5080" s="34">
        <v>-1.5</v>
      </c>
      <c r="VEM5080" s="34">
        <v>-1</v>
      </c>
      <c r="VEN5080" s="34">
        <v>-0.5</v>
      </c>
      <c r="VEO5080" s="34">
        <v>0</v>
      </c>
      <c r="VEP5080" s="34">
        <v>0.5</v>
      </c>
      <c r="VEQ5080" s="34">
        <v>1</v>
      </c>
      <c r="VER5080" s="34">
        <v>1.5</v>
      </c>
      <c r="VES5080" s="34">
        <v>2</v>
      </c>
      <c r="VET5080" s="34">
        <v>2.5</v>
      </c>
      <c r="VEU5080" s="34">
        <v>3</v>
      </c>
      <c r="VEV5080" s="34">
        <v>3.5</v>
      </c>
      <c r="VEW5080" s="34">
        <v>4</v>
      </c>
      <c r="VEX5080" s="34">
        <v>4.5</v>
      </c>
      <c r="VEY5080" s="34">
        <v>5</v>
      </c>
      <c r="VFA5080" s="913"/>
      <c r="VFB5080" s="31">
        <v>1</v>
      </c>
      <c r="VFC5080" s="34">
        <v>0</v>
      </c>
      <c r="VFD5080" s="34">
        <v>-1</v>
      </c>
      <c r="VFE5080" s="34">
        <v>-2</v>
      </c>
      <c r="VFF5080" s="34">
        <v>-3</v>
      </c>
      <c r="VFG5080" s="34">
        <v>-4</v>
      </c>
      <c r="VFH5080" s="34">
        <v>-5</v>
      </c>
      <c r="VFI5080" s="908"/>
      <c r="VFJ5080" s="909"/>
      <c r="VFK5080" s="34">
        <v>-5</v>
      </c>
      <c r="VFL5080" s="34">
        <v>-4.5</v>
      </c>
      <c r="VFM5080" s="34">
        <v>-4</v>
      </c>
      <c r="VFN5080" s="34">
        <v>-3.5</v>
      </c>
      <c r="VFO5080" s="34">
        <v>-3</v>
      </c>
      <c r="VFP5080" s="34">
        <v>-2.5</v>
      </c>
      <c r="VFQ5080" s="34">
        <v>-2</v>
      </c>
      <c r="VFR5080" s="34">
        <v>-1.5</v>
      </c>
      <c r="VFS5080" s="34">
        <v>-1</v>
      </c>
      <c r="VFT5080" s="34">
        <v>-0.5</v>
      </c>
      <c r="VFU5080" s="34">
        <v>0</v>
      </c>
      <c r="VFV5080" s="34">
        <v>0.5</v>
      </c>
      <c r="VFW5080" s="34">
        <v>1</v>
      </c>
      <c r="VFX5080" s="34">
        <v>1.5</v>
      </c>
      <c r="VFY5080" s="34">
        <v>2</v>
      </c>
      <c r="VFZ5080" s="34">
        <v>2.5</v>
      </c>
      <c r="VGA5080" s="34">
        <v>3</v>
      </c>
      <c r="VGB5080" s="34">
        <v>3.5</v>
      </c>
      <c r="VGC5080" s="34">
        <v>4</v>
      </c>
      <c r="VGD5080" s="34">
        <v>4.5</v>
      </c>
      <c r="VGE5080" s="34">
        <v>5</v>
      </c>
      <c r="VGG5080" s="913"/>
      <c r="VGH5080" s="31">
        <v>1</v>
      </c>
      <c r="VGI5080" s="34">
        <v>0</v>
      </c>
      <c r="VGJ5080" s="34">
        <v>-1</v>
      </c>
      <c r="VGK5080" s="34">
        <v>-2</v>
      </c>
      <c r="VGL5080" s="34">
        <v>-3</v>
      </c>
      <c r="VGM5080" s="34">
        <v>-4</v>
      </c>
      <c r="VGN5080" s="34">
        <v>-5</v>
      </c>
      <c r="VGO5080" s="908"/>
      <c r="VGP5080" s="909"/>
      <c r="VGQ5080" s="34">
        <v>-5</v>
      </c>
      <c r="VGR5080" s="34">
        <v>-4.5</v>
      </c>
      <c r="VGS5080" s="34">
        <v>-4</v>
      </c>
      <c r="VGT5080" s="34">
        <v>-3.5</v>
      </c>
      <c r="VGU5080" s="34">
        <v>-3</v>
      </c>
      <c r="VGV5080" s="34">
        <v>-2.5</v>
      </c>
      <c r="VGW5080" s="34">
        <v>-2</v>
      </c>
      <c r="VGX5080" s="34">
        <v>-1.5</v>
      </c>
      <c r="VGY5080" s="34">
        <v>-1</v>
      </c>
      <c r="VGZ5080" s="34">
        <v>-0.5</v>
      </c>
      <c r="VHA5080" s="34">
        <v>0</v>
      </c>
      <c r="VHB5080" s="34">
        <v>0.5</v>
      </c>
      <c r="VHC5080" s="34">
        <v>1</v>
      </c>
      <c r="VHD5080" s="34">
        <v>1.5</v>
      </c>
      <c r="VHE5080" s="34">
        <v>2</v>
      </c>
      <c r="VHF5080" s="34">
        <v>2.5</v>
      </c>
      <c r="VHG5080" s="34">
        <v>3</v>
      </c>
      <c r="VHH5080" s="34">
        <v>3.5</v>
      </c>
      <c r="VHI5080" s="34">
        <v>4</v>
      </c>
      <c r="VHJ5080" s="34">
        <v>4.5</v>
      </c>
      <c r="VHK5080" s="34">
        <v>5</v>
      </c>
      <c r="VHM5080" s="913"/>
      <c r="VHN5080" s="31">
        <v>1</v>
      </c>
      <c r="VHO5080" s="34">
        <v>0</v>
      </c>
      <c r="VHP5080" s="34">
        <v>-1</v>
      </c>
      <c r="VHQ5080" s="34">
        <v>-2</v>
      </c>
      <c r="VHR5080" s="34">
        <v>-3</v>
      </c>
      <c r="VHS5080" s="34">
        <v>-4</v>
      </c>
      <c r="VHT5080" s="34">
        <v>-5</v>
      </c>
      <c r="VHU5080" s="908"/>
      <c r="VHV5080" s="909"/>
      <c r="VHW5080" s="34">
        <v>-5</v>
      </c>
      <c r="VHX5080" s="34">
        <v>-4.5</v>
      </c>
      <c r="VHY5080" s="34">
        <v>-4</v>
      </c>
      <c r="VHZ5080" s="34">
        <v>-3.5</v>
      </c>
      <c r="VIA5080" s="34">
        <v>-3</v>
      </c>
      <c r="VIB5080" s="34">
        <v>-2.5</v>
      </c>
      <c r="VIC5080" s="34">
        <v>-2</v>
      </c>
      <c r="VID5080" s="34">
        <v>-1.5</v>
      </c>
      <c r="VIE5080" s="34">
        <v>-1</v>
      </c>
      <c r="VIF5080" s="34">
        <v>-0.5</v>
      </c>
      <c r="VIG5080" s="34">
        <v>0</v>
      </c>
      <c r="VIH5080" s="34">
        <v>0.5</v>
      </c>
      <c r="VII5080" s="34">
        <v>1</v>
      </c>
      <c r="VIJ5080" s="34">
        <v>1.5</v>
      </c>
      <c r="VIK5080" s="34">
        <v>2</v>
      </c>
      <c r="VIL5080" s="34">
        <v>2.5</v>
      </c>
      <c r="VIM5080" s="34">
        <v>3</v>
      </c>
      <c r="VIN5080" s="34">
        <v>3.5</v>
      </c>
      <c r="VIO5080" s="34">
        <v>4</v>
      </c>
      <c r="VIP5080" s="34">
        <v>4.5</v>
      </c>
      <c r="VIQ5080" s="34">
        <v>5</v>
      </c>
      <c r="VIS5080" s="913"/>
      <c r="VIT5080" s="31">
        <v>1</v>
      </c>
      <c r="VIU5080" s="34">
        <v>0</v>
      </c>
      <c r="VIV5080" s="34">
        <v>-1</v>
      </c>
      <c r="VIW5080" s="34">
        <v>-2</v>
      </c>
      <c r="VIX5080" s="34">
        <v>-3</v>
      </c>
      <c r="VIY5080" s="34">
        <v>-4</v>
      </c>
      <c r="VIZ5080" s="34">
        <v>-5</v>
      </c>
      <c r="VJA5080" s="908"/>
      <c r="VJB5080" s="909"/>
      <c r="VJC5080" s="34">
        <v>-5</v>
      </c>
      <c r="VJD5080" s="34">
        <v>-4.5</v>
      </c>
      <c r="VJE5080" s="34">
        <v>-4</v>
      </c>
      <c r="VJF5080" s="34">
        <v>-3.5</v>
      </c>
      <c r="VJG5080" s="34">
        <v>-3</v>
      </c>
      <c r="VJH5080" s="34">
        <v>-2.5</v>
      </c>
      <c r="VJI5080" s="34">
        <v>-2</v>
      </c>
      <c r="VJJ5080" s="34">
        <v>-1.5</v>
      </c>
      <c r="VJK5080" s="34">
        <v>-1</v>
      </c>
      <c r="VJL5080" s="34">
        <v>-0.5</v>
      </c>
      <c r="VJM5080" s="34">
        <v>0</v>
      </c>
      <c r="VJN5080" s="34">
        <v>0.5</v>
      </c>
      <c r="VJO5080" s="34">
        <v>1</v>
      </c>
      <c r="VJP5080" s="34">
        <v>1.5</v>
      </c>
      <c r="VJQ5080" s="34">
        <v>2</v>
      </c>
      <c r="VJR5080" s="34">
        <v>2.5</v>
      </c>
      <c r="VJS5080" s="34">
        <v>3</v>
      </c>
      <c r="VJT5080" s="34">
        <v>3.5</v>
      </c>
      <c r="VJU5080" s="34">
        <v>4</v>
      </c>
      <c r="VJV5080" s="34">
        <v>4.5</v>
      </c>
      <c r="VJW5080" s="34">
        <v>5</v>
      </c>
      <c r="VJY5080" s="913"/>
      <c r="VJZ5080" s="31">
        <v>1</v>
      </c>
      <c r="VKA5080" s="34">
        <v>0</v>
      </c>
      <c r="VKB5080" s="34">
        <v>-1</v>
      </c>
      <c r="VKC5080" s="34">
        <v>-2</v>
      </c>
      <c r="VKD5080" s="34">
        <v>-3</v>
      </c>
      <c r="VKE5080" s="34">
        <v>-4</v>
      </c>
      <c r="VKF5080" s="34">
        <v>-5</v>
      </c>
      <c r="VKG5080" s="908"/>
      <c r="VKH5080" s="909"/>
      <c r="VKI5080" s="34">
        <v>-5</v>
      </c>
      <c r="VKJ5080" s="34">
        <v>-4.5</v>
      </c>
      <c r="VKK5080" s="34">
        <v>-4</v>
      </c>
      <c r="VKL5080" s="34">
        <v>-3.5</v>
      </c>
      <c r="VKM5080" s="34">
        <v>-3</v>
      </c>
      <c r="VKN5080" s="34">
        <v>-2.5</v>
      </c>
      <c r="VKO5080" s="34">
        <v>-2</v>
      </c>
      <c r="VKP5080" s="34">
        <v>-1.5</v>
      </c>
      <c r="VKQ5080" s="34">
        <v>-1</v>
      </c>
      <c r="VKR5080" s="34">
        <v>-0.5</v>
      </c>
      <c r="VKS5080" s="34">
        <v>0</v>
      </c>
      <c r="VKT5080" s="34">
        <v>0.5</v>
      </c>
      <c r="VKU5080" s="34">
        <v>1</v>
      </c>
      <c r="VKV5080" s="34">
        <v>1.5</v>
      </c>
      <c r="VKW5080" s="34">
        <v>2</v>
      </c>
      <c r="VKX5080" s="34">
        <v>2.5</v>
      </c>
      <c r="VKY5080" s="34">
        <v>3</v>
      </c>
      <c r="VKZ5080" s="34">
        <v>3.5</v>
      </c>
      <c r="VLA5080" s="34">
        <v>4</v>
      </c>
      <c r="VLB5080" s="34">
        <v>4.5</v>
      </c>
      <c r="VLC5080" s="34">
        <v>5</v>
      </c>
      <c r="VLE5080" s="913"/>
      <c r="VLF5080" s="31">
        <v>1</v>
      </c>
      <c r="VLG5080" s="34">
        <v>0</v>
      </c>
      <c r="VLH5080" s="34">
        <v>-1</v>
      </c>
      <c r="VLI5080" s="34">
        <v>-2</v>
      </c>
      <c r="VLJ5080" s="34">
        <v>-3</v>
      </c>
      <c r="VLK5080" s="34">
        <v>-4</v>
      </c>
      <c r="VLL5080" s="34">
        <v>-5</v>
      </c>
      <c r="VLM5080" s="908"/>
      <c r="VLN5080" s="909"/>
      <c r="VLO5080" s="34">
        <v>-5</v>
      </c>
      <c r="VLP5080" s="34">
        <v>-4.5</v>
      </c>
      <c r="VLQ5080" s="34">
        <v>-4</v>
      </c>
      <c r="VLR5080" s="34">
        <v>-3.5</v>
      </c>
      <c r="VLS5080" s="34">
        <v>-3</v>
      </c>
      <c r="VLT5080" s="34">
        <v>-2.5</v>
      </c>
      <c r="VLU5080" s="34">
        <v>-2</v>
      </c>
      <c r="VLV5080" s="34">
        <v>-1.5</v>
      </c>
      <c r="VLW5080" s="34">
        <v>-1</v>
      </c>
      <c r="VLX5080" s="34">
        <v>-0.5</v>
      </c>
      <c r="VLY5080" s="34">
        <v>0</v>
      </c>
      <c r="VLZ5080" s="34">
        <v>0.5</v>
      </c>
      <c r="VMA5080" s="34">
        <v>1</v>
      </c>
      <c r="VMB5080" s="34">
        <v>1.5</v>
      </c>
      <c r="VMC5080" s="34">
        <v>2</v>
      </c>
      <c r="VMD5080" s="34">
        <v>2.5</v>
      </c>
      <c r="VME5080" s="34">
        <v>3</v>
      </c>
      <c r="VMF5080" s="34">
        <v>3.5</v>
      </c>
      <c r="VMG5080" s="34">
        <v>4</v>
      </c>
      <c r="VMH5080" s="34">
        <v>4.5</v>
      </c>
      <c r="VMI5080" s="34">
        <v>5</v>
      </c>
      <c r="VMK5080" s="913"/>
      <c r="VML5080" s="31">
        <v>1</v>
      </c>
      <c r="VMM5080" s="34">
        <v>0</v>
      </c>
      <c r="VMN5080" s="34">
        <v>-1</v>
      </c>
      <c r="VMO5080" s="34">
        <v>-2</v>
      </c>
      <c r="VMP5080" s="34">
        <v>-3</v>
      </c>
      <c r="VMQ5080" s="34">
        <v>-4</v>
      </c>
      <c r="VMR5080" s="34">
        <v>-5</v>
      </c>
      <c r="VMS5080" s="908"/>
      <c r="VMT5080" s="909"/>
      <c r="VMU5080" s="34">
        <v>-5</v>
      </c>
      <c r="VMV5080" s="34">
        <v>-4.5</v>
      </c>
      <c r="VMW5080" s="34">
        <v>-4</v>
      </c>
      <c r="VMX5080" s="34">
        <v>-3.5</v>
      </c>
      <c r="VMY5080" s="34">
        <v>-3</v>
      </c>
      <c r="VMZ5080" s="34">
        <v>-2.5</v>
      </c>
      <c r="VNA5080" s="34">
        <v>-2</v>
      </c>
      <c r="VNB5080" s="34">
        <v>-1.5</v>
      </c>
      <c r="VNC5080" s="34">
        <v>-1</v>
      </c>
      <c r="VND5080" s="34">
        <v>-0.5</v>
      </c>
      <c r="VNE5080" s="34">
        <v>0</v>
      </c>
      <c r="VNF5080" s="34">
        <v>0.5</v>
      </c>
      <c r="VNG5080" s="34">
        <v>1</v>
      </c>
      <c r="VNH5080" s="34">
        <v>1.5</v>
      </c>
      <c r="VNI5080" s="34">
        <v>2</v>
      </c>
      <c r="VNJ5080" s="34">
        <v>2.5</v>
      </c>
      <c r="VNK5080" s="34">
        <v>3</v>
      </c>
      <c r="VNL5080" s="34">
        <v>3.5</v>
      </c>
      <c r="VNM5080" s="34">
        <v>4</v>
      </c>
      <c r="VNN5080" s="34">
        <v>4.5</v>
      </c>
      <c r="VNO5080" s="34">
        <v>5</v>
      </c>
      <c r="VNQ5080" s="913"/>
      <c r="VNR5080" s="31">
        <v>1</v>
      </c>
      <c r="VNS5080" s="34">
        <v>0</v>
      </c>
      <c r="VNT5080" s="34">
        <v>-1</v>
      </c>
      <c r="VNU5080" s="34">
        <v>-2</v>
      </c>
      <c r="VNV5080" s="34">
        <v>-3</v>
      </c>
      <c r="VNW5080" s="34">
        <v>-4</v>
      </c>
      <c r="VNX5080" s="34">
        <v>-5</v>
      </c>
      <c r="VNY5080" s="908"/>
      <c r="VNZ5080" s="909"/>
      <c r="VOA5080" s="34">
        <v>-5</v>
      </c>
      <c r="VOB5080" s="34">
        <v>-4.5</v>
      </c>
      <c r="VOC5080" s="34">
        <v>-4</v>
      </c>
      <c r="VOD5080" s="34">
        <v>-3.5</v>
      </c>
      <c r="VOE5080" s="34">
        <v>-3</v>
      </c>
      <c r="VOF5080" s="34">
        <v>-2.5</v>
      </c>
      <c r="VOG5080" s="34">
        <v>-2</v>
      </c>
      <c r="VOH5080" s="34">
        <v>-1.5</v>
      </c>
      <c r="VOI5080" s="34">
        <v>-1</v>
      </c>
      <c r="VOJ5080" s="34">
        <v>-0.5</v>
      </c>
      <c r="VOK5080" s="34">
        <v>0</v>
      </c>
      <c r="VOL5080" s="34">
        <v>0.5</v>
      </c>
      <c r="VOM5080" s="34">
        <v>1</v>
      </c>
      <c r="VON5080" s="34">
        <v>1.5</v>
      </c>
      <c r="VOO5080" s="34">
        <v>2</v>
      </c>
      <c r="VOP5080" s="34">
        <v>2.5</v>
      </c>
      <c r="VOQ5080" s="34">
        <v>3</v>
      </c>
      <c r="VOR5080" s="34">
        <v>3.5</v>
      </c>
      <c r="VOS5080" s="34">
        <v>4</v>
      </c>
      <c r="VOT5080" s="34">
        <v>4.5</v>
      </c>
      <c r="VOU5080" s="34">
        <v>5</v>
      </c>
      <c r="VOW5080" s="913"/>
      <c r="VOX5080" s="31">
        <v>1</v>
      </c>
      <c r="VOY5080" s="34">
        <v>0</v>
      </c>
      <c r="VOZ5080" s="34">
        <v>-1</v>
      </c>
      <c r="VPA5080" s="34">
        <v>-2</v>
      </c>
      <c r="VPB5080" s="34">
        <v>-3</v>
      </c>
      <c r="VPC5080" s="34">
        <v>-4</v>
      </c>
      <c r="VPD5080" s="34">
        <v>-5</v>
      </c>
      <c r="VPE5080" s="908"/>
      <c r="VPF5080" s="909"/>
      <c r="VPG5080" s="34">
        <v>-5</v>
      </c>
      <c r="VPH5080" s="34">
        <v>-4.5</v>
      </c>
      <c r="VPI5080" s="34">
        <v>-4</v>
      </c>
      <c r="VPJ5080" s="34">
        <v>-3.5</v>
      </c>
      <c r="VPK5080" s="34">
        <v>-3</v>
      </c>
      <c r="VPL5080" s="34">
        <v>-2.5</v>
      </c>
      <c r="VPM5080" s="34">
        <v>-2</v>
      </c>
      <c r="VPN5080" s="34">
        <v>-1.5</v>
      </c>
      <c r="VPO5080" s="34">
        <v>-1</v>
      </c>
      <c r="VPP5080" s="34">
        <v>-0.5</v>
      </c>
      <c r="VPQ5080" s="34">
        <v>0</v>
      </c>
      <c r="VPR5080" s="34">
        <v>0.5</v>
      </c>
      <c r="VPS5080" s="34">
        <v>1</v>
      </c>
      <c r="VPT5080" s="34">
        <v>1.5</v>
      </c>
      <c r="VPU5080" s="34">
        <v>2</v>
      </c>
      <c r="VPV5080" s="34">
        <v>2.5</v>
      </c>
      <c r="VPW5080" s="34">
        <v>3</v>
      </c>
      <c r="VPX5080" s="34">
        <v>3.5</v>
      </c>
      <c r="VPY5080" s="34">
        <v>4</v>
      </c>
      <c r="VPZ5080" s="34">
        <v>4.5</v>
      </c>
      <c r="VQA5080" s="34">
        <v>5</v>
      </c>
      <c r="VQC5080" s="913"/>
      <c r="VQD5080" s="31">
        <v>1</v>
      </c>
      <c r="VQE5080" s="34">
        <v>0</v>
      </c>
      <c r="VQF5080" s="34">
        <v>-1</v>
      </c>
      <c r="VQG5080" s="34">
        <v>-2</v>
      </c>
      <c r="VQH5080" s="34">
        <v>-3</v>
      </c>
      <c r="VQI5080" s="34">
        <v>-4</v>
      </c>
      <c r="VQJ5080" s="34">
        <v>-5</v>
      </c>
      <c r="VQK5080" s="908"/>
      <c r="VQL5080" s="909"/>
      <c r="VQM5080" s="34">
        <v>-5</v>
      </c>
      <c r="VQN5080" s="34">
        <v>-4.5</v>
      </c>
      <c r="VQO5080" s="34">
        <v>-4</v>
      </c>
      <c r="VQP5080" s="34">
        <v>-3.5</v>
      </c>
      <c r="VQQ5080" s="34">
        <v>-3</v>
      </c>
      <c r="VQR5080" s="34">
        <v>-2.5</v>
      </c>
      <c r="VQS5080" s="34">
        <v>-2</v>
      </c>
      <c r="VQT5080" s="34">
        <v>-1.5</v>
      </c>
      <c r="VQU5080" s="34">
        <v>-1</v>
      </c>
      <c r="VQV5080" s="34">
        <v>-0.5</v>
      </c>
      <c r="VQW5080" s="34">
        <v>0</v>
      </c>
      <c r="VQX5080" s="34">
        <v>0.5</v>
      </c>
      <c r="VQY5080" s="34">
        <v>1</v>
      </c>
      <c r="VQZ5080" s="34">
        <v>1.5</v>
      </c>
      <c r="VRA5080" s="34">
        <v>2</v>
      </c>
      <c r="VRB5080" s="34">
        <v>2.5</v>
      </c>
      <c r="VRC5080" s="34">
        <v>3</v>
      </c>
      <c r="VRD5080" s="34">
        <v>3.5</v>
      </c>
      <c r="VRE5080" s="34">
        <v>4</v>
      </c>
      <c r="VRF5080" s="34">
        <v>4.5</v>
      </c>
      <c r="VRG5080" s="34">
        <v>5</v>
      </c>
      <c r="VRI5080" s="913"/>
      <c r="VRJ5080" s="31">
        <v>1</v>
      </c>
      <c r="VRK5080" s="34">
        <v>0</v>
      </c>
      <c r="VRL5080" s="34">
        <v>-1</v>
      </c>
      <c r="VRM5080" s="34">
        <v>-2</v>
      </c>
      <c r="VRN5080" s="34">
        <v>-3</v>
      </c>
      <c r="VRO5080" s="34">
        <v>-4</v>
      </c>
      <c r="VRP5080" s="34">
        <v>-5</v>
      </c>
      <c r="VRQ5080" s="908"/>
      <c r="VRR5080" s="909"/>
      <c r="VRS5080" s="34">
        <v>-5</v>
      </c>
      <c r="VRT5080" s="34">
        <v>-4.5</v>
      </c>
      <c r="VRU5080" s="34">
        <v>-4</v>
      </c>
      <c r="VRV5080" s="34">
        <v>-3.5</v>
      </c>
      <c r="VRW5080" s="34">
        <v>-3</v>
      </c>
      <c r="VRX5080" s="34">
        <v>-2.5</v>
      </c>
      <c r="VRY5080" s="34">
        <v>-2</v>
      </c>
      <c r="VRZ5080" s="34">
        <v>-1.5</v>
      </c>
      <c r="VSA5080" s="34">
        <v>-1</v>
      </c>
      <c r="VSB5080" s="34">
        <v>-0.5</v>
      </c>
      <c r="VSC5080" s="34">
        <v>0</v>
      </c>
      <c r="VSD5080" s="34">
        <v>0.5</v>
      </c>
      <c r="VSE5080" s="34">
        <v>1</v>
      </c>
      <c r="VSF5080" s="34">
        <v>1.5</v>
      </c>
      <c r="VSG5080" s="34">
        <v>2</v>
      </c>
      <c r="VSH5080" s="34">
        <v>2.5</v>
      </c>
      <c r="VSI5080" s="34">
        <v>3</v>
      </c>
      <c r="VSJ5080" s="34">
        <v>3.5</v>
      </c>
      <c r="VSK5080" s="34">
        <v>4</v>
      </c>
      <c r="VSL5080" s="34">
        <v>4.5</v>
      </c>
      <c r="VSM5080" s="34">
        <v>5</v>
      </c>
      <c r="VSO5080" s="913"/>
      <c r="VSP5080" s="31">
        <v>1</v>
      </c>
      <c r="VSQ5080" s="34">
        <v>0</v>
      </c>
      <c r="VSR5080" s="34">
        <v>-1</v>
      </c>
      <c r="VSS5080" s="34">
        <v>-2</v>
      </c>
      <c r="VST5080" s="34">
        <v>-3</v>
      </c>
      <c r="VSU5080" s="34">
        <v>-4</v>
      </c>
      <c r="VSV5080" s="34">
        <v>-5</v>
      </c>
      <c r="VSW5080" s="908"/>
      <c r="VSX5080" s="909"/>
      <c r="VSY5080" s="34">
        <v>-5</v>
      </c>
      <c r="VSZ5080" s="34">
        <v>-4.5</v>
      </c>
      <c r="VTA5080" s="34">
        <v>-4</v>
      </c>
      <c r="VTB5080" s="34">
        <v>-3.5</v>
      </c>
      <c r="VTC5080" s="34">
        <v>-3</v>
      </c>
      <c r="VTD5080" s="34">
        <v>-2.5</v>
      </c>
      <c r="VTE5080" s="34">
        <v>-2</v>
      </c>
      <c r="VTF5080" s="34">
        <v>-1.5</v>
      </c>
      <c r="VTG5080" s="34">
        <v>-1</v>
      </c>
      <c r="VTH5080" s="34">
        <v>-0.5</v>
      </c>
      <c r="VTI5080" s="34">
        <v>0</v>
      </c>
      <c r="VTJ5080" s="34">
        <v>0.5</v>
      </c>
      <c r="VTK5080" s="34">
        <v>1</v>
      </c>
      <c r="VTL5080" s="34">
        <v>1.5</v>
      </c>
      <c r="VTM5080" s="34">
        <v>2</v>
      </c>
      <c r="VTN5080" s="34">
        <v>2.5</v>
      </c>
      <c r="VTO5080" s="34">
        <v>3</v>
      </c>
      <c r="VTP5080" s="34">
        <v>3.5</v>
      </c>
      <c r="VTQ5080" s="34">
        <v>4</v>
      </c>
      <c r="VTR5080" s="34">
        <v>4.5</v>
      </c>
      <c r="VTS5080" s="34">
        <v>5</v>
      </c>
      <c r="VTU5080" s="913"/>
      <c r="VTV5080" s="31">
        <v>1</v>
      </c>
      <c r="VTW5080" s="34">
        <v>0</v>
      </c>
      <c r="VTX5080" s="34">
        <v>-1</v>
      </c>
      <c r="VTY5080" s="34">
        <v>-2</v>
      </c>
      <c r="VTZ5080" s="34">
        <v>-3</v>
      </c>
      <c r="VUA5080" s="34">
        <v>-4</v>
      </c>
      <c r="VUB5080" s="34">
        <v>-5</v>
      </c>
      <c r="VUC5080" s="908"/>
      <c r="VUD5080" s="909"/>
      <c r="VUE5080" s="34">
        <v>-5</v>
      </c>
      <c r="VUF5080" s="34">
        <v>-4.5</v>
      </c>
      <c r="VUG5080" s="34">
        <v>-4</v>
      </c>
      <c r="VUH5080" s="34">
        <v>-3.5</v>
      </c>
      <c r="VUI5080" s="34">
        <v>-3</v>
      </c>
      <c r="VUJ5080" s="34">
        <v>-2.5</v>
      </c>
      <c r="VUK5080" s="34">
        <v>-2</v>
      </c>
      <c r="VUL5080" s="34">
        <v>-1.5</v>
      </c>
      <c r="VUM5080" s="34">
        <v>-1</v>
      </c>
      <c r="VUN5080" s="34">
        <v>-0.5</v>
      </c>
      <c r="VUO5080" s="34">
        <v>0</v>
      </c>
      <c r="VUP5080" s="34">
        <v>0.5</v>
      </c>
      <c r="VUQ5080" s="34">
        <v>1</v>
      </c>
      <c r="VUR5080" s="34">
        <v>1.5</v>
      </c>
      <c r="VUS5080" s="34">
        <v>2</v>
      </c>
      <c r="VUT5080" s="34">
        <v>2.5</v>
      </c>
      <c r="VUU5080" s="34">
        <v>3</v>
      </c>
      <c r="VUV5080" s="34">
        <v>3.5</v>
      </c>
      <c r="VUW5080" s="34">
        <v>4</v>
      </c>
      <c r="VUX5080" s="34">
        <v>4.5</v>
      </c>
      <c r="VUY5080" s="34">
        <v>5</v>
      </c>
      <c r="VVA5080" s="913"/>
      <c r="VVB5080" s="31">
        <v>1</v>
      </c>
      <c r="VVC5080" s="34">
        <v>0</v>
      </c>
      <c r="VVD5080" s="34">
        <v>-1</v>
      </c>
      <c r="VVE5080" s="34">
        <v>-2</v>
      </c>
      <c r="VVF5080" s="34">
        <v>-3</v>
      </c>
      <c r="VVG5080" s="34">
        <v>-4</v>
      </c>
      <c r="VVH5080" s="34">
        <v>-5</v>
      </c>
      <c r="VVI5080" s="908"/>
      <c r="VVJ5080" s="909"/>
      <c r="VVK5080" s="34">
        <v>-5</v>
      </c>
      <c r="VVL5080" s="34">
        <v>-4.5</v>
      </c>
      <c r="VVM5080" s="34">
        <v>-4</v>
      </c>
      <c r="VVN5080" s="34">
        <v>-3.5</v>
      </c>
      <c r="VVO5080" s="34">
        <v>-3</v>
      </c>
      <c r="VVP5080" s="34">
        <v>-2.5</v>
      </c>
      <c r="VVQ5080" s="34">
        <v>-2</v>
      </c>
      <c r="VVR5080" s="34">
        <v>-1.5</v>
      </c>
      <c r="VVS5080" s="34">
        <v>-1</v>
      </c>
      <c r="VVT5080" s="34">
        <v>-0.5</v>
      </c>
      <c r="VVU5080" s="34">
        <v>0</v>
      </c>
      <c r="VVV5080" s="34">
        <v>0.5</v>
      </c>
      <c r="VVW5080" s="34">
        <v>1</v>
      </c>
      <c r="VVX5080" s="34">
        <v>1.5</v>
      </c>
      <c r="VVY5080" s="34">
        <v>2</v>
      </c>
      <c r="VVZ5080" s="34">
        <v>2.5</v>
      </c>
      <c r="VWA5080" s="34">
        <v>3</v>
      </c>
      <c r="VWB5080" s="34">
        <v>3.5</v>
      </c>
      <c r="VWC5080" s="34">
        <v>4</v>
      </c>
      <c r="VWD5080" s="34">
        <v>4.5</v>
      </c>
      <c r="VWE5080" s="34">
        <v>5</v>
      </c>
      <c r="VWG5080" s="913"/>
      <c r="VWH5080" s="31">
        <v>1</v>
      </c>
      <c r="VWI5080" s="34">
        <v>0</v>
      </c>
      <c r="VWJ5080" s="34">
        <v>-1</v>
      </c>
      <c r="VWK5080" s="34">
        <v>-2</v>
      </c>
      <c r="VWL5080" s="34">
        <v>-3</v>
      </c>
      <c r="VWM5080" s="34">
        <v>-4</v>
      </c>
      <c r="VWN5080" s="34">
        <v>-5</v>
      </c>
      <c r="VWO5080" s="908"/>
      <c r="VWP5080" s="909"/>
      <c r="VWQ5080" s="34">
        <v>-5</v>
      </c>
      <c r="VWR5080" s="34">
        <v>-4.5</v>
      </c>
      <c r="VWS5080" s="34">
        <v>-4</v>
      </c>
      <c r="VWT5080" s="34">
        <v>-3.5</v>
      </c>
      <c r="VWU5080" s="34">
        <v>-3</v>
      </c>
      <c r="VWV5080" s="34">
        <v>-2.5</v>
      </c>
      <c r="VWW5080" s="34">
        <v>-2</v>
      </c>
      <c r="VWX5080" s="34">
        <v>-1.5</v>
      </c>
      <c r="VWY5080" s="34">
        <v>-1</v>
      </c>
      <c r="VWZ5080" s="34">
        <v>-0.5</v>
      </c>
      <c r="VXA5080" s="34">
        <v>0</v>
      </c>
      <c r="VXB5080" s="34">
        <v>0.5</v>
      </c>
      <c r="VXC5080" s="34">
        <v>1</v>
      </c>
      <c r="VXD5080" s="34">
        <v>1.5</v>
      </c>
      <c r="VXE5080" s="34">
        <v>2</v>
      </c>
      <c r="VXF5080" s="34">
        <v>2.5</v>
      </c>
      <c r="VXG5080" s="34">
        <v>3</v>
      </c>
      <c r="VXH5080" s="34">
        <v>3.5</v>
      </c>
      <c r="VXI5080" s="34">
        <v>4</v>
      </c>
      <c r="VXJ5080" s="34">
        <v>4.5</v>
      </c>
      <c r="VXK5080" s="34">
        <v>5</v>
      </c>
      <c r="VXM5080" s="913"/>
      <c r="VXN5080" s="31">
        <v>1</v>
      </c>
      <c r="VXO5080" s="34">
        <v>0</v>
      </c>
      <c r="VXP5080" s="34">
        <v>-1</v>
      </c>
      <c r="VXQ5080" s="34">
        <v>-2</v>
      </c>
      <c r="VXR5080" s="34">
        <v>-3</v>
      </c>
      <c r="VXS5080" s="34">
        <v>-4</v>
      </c>
      <c r="VXT5080" s="34">
        <v>-5</v>
      </c>
      <c r="VXU5080" s="908"/>
      <c r="VXV5080" s="909"/>
      <c r="VXW5080" s="34">
        <v>-5</v>
      </c>
      <c r="VXX5080" s="34">
        <v>-4.5</v>
      </c>
      <c r="VXY5080" s="34">
        <v>-4</v>
      </c>
      <c r="VXZ5080" s="34">
        <v>-3.5</v>
      </c>
      <c r="VYA5080" s="34">
        <v>-3</v>
      </c>
      <c r="VYB5080" s="34">
        <v>-2.5</v>
      </c>
      <c r="VYC5080" s="34">
        <v>-2</v>
      </c>
      <c r="VYD5080" s="34">
        <v>-1.5</v>
      </c>
      <c r="VYE5080" s="34">
        <v>-1</v>
      </c>
      <c r="VYF5080" s="34">
        <v>-0.5</v>
      </c>
      <c r="VYG5080" s="34">
        <v>0</v>
      </c>
      <c r="VYH5080" s="34">
        <v>0.5</v>
      </c>
      <c r="VYI5080" s="34">
        <v>1</v>
      </c>
      <c r="VYJ5080" s="34">
        <v>1.5</v>
      </c>
      <c r="VYK5080" s="34">
        <v>2</v>
      </c>
      <c r="VYL5080" s="34">
        <v>2.5</v>
      </c>
      <c r="VYM5080" s="34">
        <v>3</v>
      </c>
      <c r="VYN5080" s="34">
        <v>3.5</v>
      </c>
      <c r="VYO5080" s="34">
        <v>4</v>
      </c>
      <c r="VYP5080" s="34">
        <v>4.5</v>
      </c>
      <c r="VYQ5080" s="34">
        <v>5</v>
      </c>
      <c r="VYS5080" s="913"/>
      <c r="VYT5080" s="31">
        <v>1</v>
      </c>
      <c r="VYU5080" s="34">
        <v>0</v>
      </c>
      <c r="VYV5080" s="34">
        <v>-1</v>
      </c>
      <c r="VYW5080" s="34">
        <v>-2</v>
      </c>
      <c r="VYX5080" s="34">
        <v>-3</v>
      </c>
      <c r="VYY5080" s="34">
        <v>-4</v>
      </c>
      <c r="VYZ5080" s="34">
        <v>-5</v>
      </c>
      <c r="VZA5080" s="908"/>
      <c r="VZB5080" s="909"/>
      <c r="VZC5080" s="34">
        <v>-5</v>
      </c>
      <c r="VZD5080" s="34">
        <v>-4.5</v>
      </c>
      <c r="VZE5080" s="34">
        <v>-4</v>
      </c>
      <c r="VZF5080" s="34">
        <v>-3.5</v>
      </c>
      <c r="VZG5080" s="34">
        <v>-3</v>
      </c>
      <c r="VZH5080" s="34">
        <v>-2.5</v>
      </c>
      <c r="VZI5080" s="34">
        <v>-2</v>
      </c>
      <c r="VZJ5080" s="34">
        <v>-1.5</v>
      </c>
      <c r="VZK5080" s="34">
        <v>-1</v>
      </c>
      <c r="VZL5080" s="34">
        <v>-0.5</v>
      </c>
      <c r="VZM5080" s="34">
        <v>0</v>
      </c>
      <c r="VZN5080" s="34">
        <v>0.5</v>
      </c>
      <c r="VZO5080" s="34">
        <v>1</v>
      </c>
      <c r="VZP5080" s="34">
        <v>1.5</v>
      </c>
      <c r="VZQ5080" s="34">
        <v>2</v>
      </c>
      <c r="VZR5080" s="34">
        <v>2.5</v>
      </c>
      <c r="VZS5080" s="34">
        <v>3</v>
      </c>
      <c r="VZT5080" s="34">
        <v>3.5</v>
      </c>
      <c r="VZU5080" s="34">
        <v>4</v>
      </c>
      <c r="VZV5080" s="34">
        <v>4.5</v>
      </c>
      <c r="VZW5080" s="34">
        <v>5</v>
      </c>
      <c r="VZY5080" s="913"/>
      <c r="VZZ5080" s="31">
        <v>1</v>
      </c>
      <c r="WAA5080" s="34">
        <v>0</v>
      </c>
      <c r="WAB5080" s="34">
        <v>-1</v>
      </c>
      <c r="WAC5080" s="34">
        <v>-2</v>
      </c>
      <c r="WAD5080" s="34">
        <v>-3</v>
      </c>
      <c r="WAE5080" s="34">
        <v>-4</v>
      </c>
      <c r="WAF5080" s="34">
        <v>-5</v>
      </c>
      <c r="WAG5080" s="908"/>
      <c r="WAH5080" s="909"/>
      <c r="WAI5080" s="34">
        <v>-5</v>
      </c>
      <c r="WAJ5080" s="34">
        <v>-4.5</v>
      </c>
      <c r="WAK5080" s="34">
        <v>-4</v>
      </c>
      <c r="WAL5080" s="34">
        <v>-3.5</v>
      </c>
      <c r="WAM5080" s="34">
        <v>-3</v>
      </c>
      <c r="WAN5080" s="34">
        <v>-2.5</v>
      </c>
      <c r="WAO5080" s="34">
        <v>-2</v>
      </c>
      <c r="WAP5080" s="34">
        <v>-1.5</v>
      </c>
      <c r="WAQ5080" s="34">
        <v>-1</v>
      </c>
      <c r="WAR5080" s="34">
        <v>-0.5</v>
      </c>
      <c r="WAS5080" s="34">
        <v>0</v>
      </c>
      <c r="WAT5080" s="34">
        <v>0.5</v>
      </c>
      <c r="WAU5080" s="34">
        <v>1</v>
      </c>
      <c r="WAV5080" s="34">
        <v>1.5</v>
      </c>
      <c r="WAW5080" s="34">
        <v>2</v>
      </c>
      <c r="WAX5080" s="34">
        <v>2.5</v>
      </c>
      <c r="WAY5080" s="34">
        <v>3</v>
      </c>
      <c r="WAZ5080" s="34">
        <v>3.5</v>
      </c>
      <c r="WBA5080" s="34">
        <v>4</v>
      </c>
      <c r="WBB5080" s="34">
        <v>4.5</v>
      </c>
      <c r="WBC5080" s="34">
        <v>5</v>
      </c>
      <c r="WBE5080" s="913"/>
      <c r="WBF5080" s="31">
        <v>1</v>
      </c>
      <c r="WBG5080" s="34">
        <v>0</v>
      </c>
      <c r="WBH5080" s="34">
        <v>-1</v>
      </c>
      <c r="WBI5080" s="34">
        <v>-2</v>
      </c>
      <c r="WBJ5080" s="34">
        <v>-3</v>
      </c>
      <c r="WBK5080" s="34">
        <v>-4</v>
      </c>
      <c r="WBL5080" s="34">
        <v>-5</v>
      </c>
      <c r="WBM5080" s="908"/>
      <c r="WBN5080" s="909"/>
      <c r="WBO5080" s="34">
        <v>-5</v>
      </c>
      <c r="WBP5080" s="34">
        <v>-4.5</v>
      </c>
      <c r="WBQ5080" s="34">
        <v>-4</v>
      </c>
      <c r="WBR5080" s="34">
        <v>-3.5</v>
      </c>
      <c r="WBS5080" s="34">
        <v>-3</v>
      </c>
      <c r="WBT5080" s="34">
        <v>-2.5</v>
      </c>
      <c r="WBU5080" s="34">
        <v>-2</v>
      </c>
      <c r="WBV5080" s="34">
        <v>-1.5</v>
      </c>
      <c r="WBW5080" s="34">
        <v>-1</v>
      </c>
      <c r="WBX5080" s="34">
        <v>-0.5</v>
      </c>
      <c r="WBY5080" s="34">
        <v>0</v>
      </c>
      <c r="WBZ5080" s="34">
        <v>0.5</v>
      </c>
      <c r="WCA5080" s="34">
        <v>1</v>
      </c>
      <c r="WCB5080" s="34">
        <v>1.5</v>
      </c>
      <c r="WCC5080" s="34">
        <v>2</v>
      </c>
      <c r="WCD5080" s="34">
        <v>2.5</v>
      </c>
      <c r="WCE5080" s="34">
        <v>3</v>
      </c>
      <c r="WCF5080" s="34">
        <v>3.5</v>
      </c>
      <c r="WCG5080" s="34">
        <v>4</v>
      </c>
      <c r="WCH5080" s="34">
        <v>4.5</v>
      </c>
      <c r="WCI5080" s="34">
        <v>5</v>
      </c>
      <c r="WCK5080" s="913"/>
      <c r="WCL5080" s="31">
        <v>1</v>
      </c>
      <c r="WCM5080" s="34">
        <v>0</v>
      </c>
      <c r="WCN5080" s="34">
        <v>-1</v>
      </c>
      <c r="WCO5080" s="34">
        <v>-2</v>
      </c>
      <c r="WCP5080" s="34">
        <v>-3</v>
      </c>
      <c r="WCQ5080" s="34">
        <v>-4</v>
      </c>
      <c r="WCR5080" s="34">
        <v>-5</v>
      </c>
      <c r="WCS5080" s="908"/>
      <c r="WCT5080" s="909"/>
      <c r="WCU5080" s="34">
        <v>-5</v>
      </c>
      <c r="WCV5080" s="34">
        <v>-4.5</v>
      </c>
      <c r="WCW5080" s="34">
        <v>-4</v>
      </c>
      <c r="WCX5080" s="34">
        <v>-3.5</v>
      </c>
      <c r="WCY5080" s="34">
        <v>-3</v>
      </c>
      <c r="WCZ5080" s="34">
        <v>-2.5</v>
      </c>
      <c r="WDA5080" s="34">
        <v>-2</v>
      </c>
      <c r="WDB5080" s="34">
        <v>-1.5</v>
      </c>
      <c r="WDC5080" s="34">
        <v>-1</v>
      </c>
      <c r="WDD5080" s="34">
        <v>-0.5</v>
      </c>
      <c r="WDE5080" s="34">
        <v>0</v>
      </c>
      <c r="WDF5080" s="34">
        <v>0.5</v>
      </c>
      <c r="WDG5080" s="34">
        <v>1</v>
      </c>
      <c r="WDH5080" s="34">
        <v>1.5</v>
      </c>
      <c r="WDI5080" s="34">
        <v>2</v>
      </c>
      <c r="WDJ5080" s="34">
        <v>2.5</v>
      </c>
      <c r="WDK5080" s="34">
        <v>3</v>
      </c>
      <c r="WDL5080" s="34">
        <v>3.5</v>
      </c>
      <c r="WDM5080" s="34">
        <v>4</v>
      </c>
      <c r="WDN5080" s="34">
        <v>4.5</v>
      </c>
      <c r="WDO5080" s="34">
        <v>5</v>
      </c>
      <c r="WDQ5080" s="913"/>
      <c r="WDR5080" s="31">
        <v>1</v>
      </c>
      <c r="WDS5080" s="34">
        <v>0</v>
      </c>
      <c r="WDT5080" s="34">
        <v>-1</v>
      </c>
      <c r="WDU5080" s="34">
        <v>-2</v>
      </c>
      <c r="WDV5080" s="34">
        <v>-3</v>
      </c>
      <c r="WDW5080" s="34">
        <v>-4</v>
      </c>
      <c r="WDX5080" s="34">
        <v>-5</v>
      </c>
      <c r="WDY5080" s="908"/>
      <c r="WDZ5080" s="909"/>
      <c r="WEA5080" s="34">
        <v>-5</v>
      </c>
      <c r="WEB5080" s="34">
        <v>-4.5</v>
      </c>
      <c r="WEC5080" s="34">
        <v>-4</v>
      </c>
      <c r="WED5080" s="34">
        <v>-3.5</v>
      </c>
      <c r="WEE5080" s="34">
        <v>-3</v>
      </c>
      <c r="WEF5080" s="34">
        <v>-2.5</v>
      </c>
      <c r="WEG5080" s="34">
        <v>-2</v>
      </c>
      <c r="WEH5080" s="34">
        <v>-1.5</v>
      </c>
      <c r="WEI5080" s="34">
        <v>-1</v>
      </c>
      <c r="WEJ5080" s="34">
        <v>-0.5</v>
      </c>
      <c r="WEK5080" s="34">
        <v>0</v>
      </c>
      <c r="WEL5080" s="34">
        <v>0.5</v>
      </c>
      <c r="WEM5080" s="34">
        <v>1</v>
      </c>
      <c r="WEN5080" s="34">
        <v>1.5</v>
      </c>
      <c r="WEO5080" s="34">
        <v>2</v>
      </c>
      <c r="WEP5080" s="34">
        <v>2.5</v>
      </c>
      <c r="WEQ5080" s="34">
        <v>3</v>
      </c>
      <c r="WER5080" s="34">
        <v>3.5</v>
      </c>
      <c r="WES5080" s="34">
        <v>4</v>
      </c>
      <c r="WET5080" s="34">
        <v>4.5</v>
      </c>
      <c r="WEU5080" s="34">
        <v>5</v>
      </c>
      <c r="WEW5080" s="913"/>
      <c r="WEX5080" s="31">
        <v>1</v>
      </c>
      <c r="WEY5080" s="34">
        <v>0</v>
      </c>
      <c r="WEZ5080" s="34">
        <v>-1</v>
      </c>
      <c r="WFA5080" s="34">
        <v>-2</v>
      </c>
      <c r="WFB5080" s="34">
        <v>-3</v>
      </c>
      <c r="WFC5080" s="34">
        <v>-4</v>
      </c>
      <c r="WFD5080" s="34">
        <v>-5</v>
      </c>
      <c r="WFE5080" s="908"/>
      <c r="WFF5080" s="909"/>
      <c r="WFG5080" s="34">
        <v>-5</v>
      </c>
      <c r="WFH5080" s="34">
        <v>-4.5</v>
      </c>
      <c r="WFI5080" s="34">
        <v>-4</v>
      </c>
      <c r="WFJ5080" s="34">
        <v>-3.5</v>
      </c>
      <c r="WFK5080" s="34">
        <v>-3</v>
      </c>
      <c r="WFL5080" s="34">
        <v>-2.5</v>
      </c>
      <c r="WFM5080" s="34">
        <v>-2</v>
      </c>
      <c r="WFN5080" s="34">
        <v>-1.5</v>
      </c>
      <c r="WFO5080" s="34">
        <v>-1</v>
      </c>
      <c r="WFP5080" s="34">
        <v>-0.5</v>
      </c>
      <c r="WFQ5080" s="34">
        <v>0</v>
      </c>
      <c r="WFR5080" s="34">
        <v>0.5</v>
      </c>
      <c r="WFS5080" s="34">
        <v>1</v>
      </c>
      <c r="WFT5080" s="34">
        <v>1.5</v>
      </c>
      <c r="WFU5080" s="34">
        <v>2</v>
      </c>
      <c r="WFV5080" s="34">
        <v>2.5</v>
      </c>
      <c r="WFW5080" s="34">
        <v>3</v>
      </c>
      <c r="WFX5080" s="34">
        <v>3.5</v>
      </c>
      <c r="WFY5080" s="34">
        <v>4</v>
      </c>
      <c r="WFZ5080" s="34">
        <v>4.5</v>
      </c>
      <c r="WGA5080" s="34">
        <v>5</v>
      </c>
      <c r="WGC5080" s="913"/>
      <c r="WGD5080" s="31">
        <v>1</v>
      </c>
      <c r="WGE5080" s="34">
        <v>0</v>
      </c>
      <c r="WGF5080" s="34">
        <v>-1</v>
      </c>
      <c r="WGG5080" s="34">
        <v>-2</v>
      </c>
      <c r="WGH5080" s="34">
        <v>-3</v>
      </c>
      <c r="WGI5080" s="34">
        <v>-4</v>
      </c>
      <c r="WGJ5080" s="34">
        <v>-5</v>
      </c>
      <c r="WGK5080" s="908"/>
      <c r="WGL5080" s="909"/>
      <c r="WGM5080" s="34">
        <v>-5</v>
      </c>
      <c r="WGN5080" s="34">
        <v>-4.5</v>
      </c>
      <c r="WGO5080" s="34">
        <v>-4</v>
      </c>
      <c r="WGP5080" s="34">
        <v>-3.5</v>
      </c>
      <c r="WGQ5080" s="34">
        <v>-3</v>
      </c>
      <c r="WGR5080" s="34">
        <v>-2.5</v>
      </c>
      <c r="WGS5080" s="34">
        <v>-2</v>
      </c>
      <c r="WGT5080" s="34">
        <v>-1.5</v>
      </c>
      <c r="WGU5080" s="34">
        <v>-1</v>
      </c>
      <c r="WGV5080" s="34">
        <v>-0.5</v>
      </c>
      <c r="WGW5080" s="34">
        <v>0</v>
      </c>
      <c r="WGX5080" s="34">
        <v>0.5</v>
      </c>
      <c r="WGY5080" s="34">
        <v>1</v>
      </c>
      <c r="WGZ5080" s="34">
        <v>1.5</v>
      </c>
      <c r="WHA5080" s="34">
        <v>2</v>
      </c>
      <c r="WHB5080" s="34">
        <v>2.5</v>
      </c>
      <c r="WHC5080" s="34">
        <v>3</v>
      </c>
      <c r="WHD5080" s="34">
        <v>3.5</v>
      </c>
      <c r="WHE5080" s="34">
        <v>4</v>
      </c>
      <c r="WHF5080" s="34">
        <v>4.5</v>
      </c>
      <c r="WHG5080" s="34">
        <v>5</v>
      </c>
      <c r="WHI5080" s="913"/>
      <c r="WHJ5080" s="31">
        <v>1</v>
      </c>
      <c r="WHK5080" s="34">
        <v>0</v>
      </c>
      <c r="WHL5080" s="34">
        <v>-1</v>
      </c>
      <c r="WHM5080" s="34">
        <v>-2</v>
      </c>
      <c r="WHN5080" s="34">
        <v>-3</v>
      </c>
      <c r="WHO5080" s="34">
        <v>-4</v>
      </c>
      <c r="WHP5080" s="34">
        <v>-5</v>
      </c>
      <c r="WHQ5080" s="908"/>
      <c r="WHR5080" s="909"/>
      <c r="WHS5080" s="34">
        <v>-5</v>
      </c>
      <c r="WHT5080" s="34">
        <v>-4.5</v>
      </c>
      <c r="WHU5080" s="34">
        <v>-4</v>
      </c>
      <c r="WHV5080" s="34">
        <v>-3.5</v>
      </c>
      <c r="WHW5080" s="34">
        <v>-3</v>
      </c>
      <c r="WHX5080" s="34">
        <v>-2.5</v>
      </c>
      <c r="WHY5080" s="34">
        <v>-2</v>
      </c>
      <c r="WHZ5080" s="34">
        <v>-1.5</v>
      </c>
      <c r="WIA5080" s="34">
        <v>-1</v>
      </c>
      <c r="WIB5080" s="34">
        <v>-0.5</v>
      </c>
      <c r="WIC5080" s="34">
        <v>0</v>
      </c>
      <c r="WID5080" s="34">
        <v>0.5</v>
      </c>
      <c r="WIE5080" s="34">
        <v>1</v>
      </c>
      <c r="WIF5080" s="34">
        <v>1.5</v>
      </c>
      <c r="WIG5080" s="34">
        <v>2</v>
      </c>
      <c r="WIH5080" s="34">
        <v>2.5</v>
      </c>
      <c r="WII5080" s="34">
        <v>3</v>
      </c>
      <c r="WIJ5080" s="34">
        <v>3.5</v>
      </c>
      <c r="WIK5080" s="34">
        <v>4</v>
      </c>
      <c r="WIL5080" s="34">
        <v>4.5</v>
      </c>
      <c r="WIM5080" s="34">
        <v>5</v>
      </c>
      <c r="WIO5080" s="913"/>
      <c r="WIP5080" s="31">
        <v>1</v>
      </c>
      <c r="WIQ5080" s="34">
        <v>0</v>
      </c>
      <c r="WIR5080" s="34">
        <v>-1</v>
      </c>
      <c r="WIS5080" s="34">
        <v>-2</v>
      </c>
      <c r="WIT5080" s="34">
        <v>-3</v>
      </c>
      <c r="WIU5080" s="34">
        <v>-4</v>
      </c>
      <c r="WIV5080" s="34">
        <v>-5</v>
      </c>
      <c r="WIW5080" s="908"/>
      <c r="WIX5080" s="909"/>
      <c r="WIY5080" s="34">
        <v>-5</v>
      </c>
      <c r="WIZ5080" s="34">
        <v>-4.5</v>
      </c>
      <c r="WJA5080" s="34">
        <v>-4</v>
      </c>
      <c r="WJB5080" s="34">
        <v>-3.5</v>
      </c>
      <c r="WJC5080" s="34">
        <v>-3</v>
      </c>
      <c r="WJD5080" s="34">
        <v>-2.5</v>
      </c>
      <c r="WJE5080" s="34">
        <v>-2</v>
      </c>
      <c r="WJF5080" s="34">
        <v>-1.5</v>
      </c>
      <c r="WJG5080" s="34">
        <v>-1</v>
      </c>
      <c r="WJH5080" s="34">
        <v>-0.5</v>
      </c>
      <c r="WJI5080" s="34">
        <v>0</v>
      </c>
      <c r="WJJ5080" s="34">
        <v>0.5</v>
      </c>
      <c r="WJK5080" s="34">
        <v>1</v>
      </c>
      <c r="WJL5080" s="34">
        <v>1.5</v>
      </c>
      <c r="WJM5080" s="34">
        <v>2</v>
      </c>
      <c r="WJN5080" s="34">
        <v>2.5</v>
      </c>
      <c r="WJO5080" s="34">
        <v>3</v>
      </c>
      <c r="WJP5080" s="34">
        <v>3.5</v>
      </c>
      <c r="WJQ5080" s="34">
        <v>4</v>
      </c>
      <c r="WJR5080" s="34">
        <v>4.5</v>
      </c>
      <c r="WJS5080" s="34">
        <v>5</v>
      </c>
      <c r="WJU5080" s="913"/>
      <c r="WJV5080" s="31">
        <v>1</v>
      </c>
      <c r="WJW5080" s="34">
        <v>0</v>
      </c>
      <c r="WJX5080" s="34">
        <v>-1</v>
      </c>
      <c r="WJY5080" s="34">
        <v>-2</v>
      </c>
      <c r="WJZ5080" s="34">
        <v>-3</v>
      </c>
      <c r="WKA5080" s="34">
        <v>-4</v>
      </c>
      <c r="WKB5080" s="34">
        <v>-5</v>
      </c>
      <c r="WKC5080" s="908"/>
      <c r="WKD5080" s="909"/>
      <c r="WKE5080" s="34">
        <v>-5</v>
      </c>
      <c r="WKF5080" s="34">
        <v>-4.5</v>
      </c>
      <c r="WKG5080" s="34">
        <v>-4</v>
      </c>
      <c r="WKH5080" s="34">
        <v>-3.5</v>
      </c>
      <c r="WKI5080" s="34">
        <v>-3</v>
      </c>
      <c r="WKJ5080" s="34">
        <v>-2.5</v>
      </c>
      <c r="WKK5080" s="34">
        <v>-2</v>
      </c>
      <c r="WKL5080" s="34">
        <v>-1.5</v>
      </c>
      <c r="WKM5080" s="34">
        <v>-1</v>
      </c>
      <c r="WKN5080" s="34">
        <v>-0.5</v>
      </c>
      <c r="WKO5080" s="34">
        <v>0</v>
      </c>
      <c r="WKP5080" s="34">
        <v>0.5</v>
      </c>
      <c r="WKQ5080" s="34">
        <v>1</v>
      </c>
      <c r="WKR5080" s="34">
        <v>1.5</v>
      </c>
      <c r="WKS5080" s="34">
        <v>2</v>
      </c>
      <c r="WKT5080" s="34">
        <v>2.5</v>
      </c>
      <c r="WKU5080" s="34">
        <v>3</v>
      </c>
      <c r="WKV5080" s="34">
        <v>3.5</v>
      </c>
      <c r="WKW5080" s="34">
        <v>4</v>
      </c>
      <c r="WKX5080" s="34">
        <v>4.5</v>
      </c>
      <c r="WKY5080" s="34">
        <v>5</v>
      </c>
      <c r="WLA5080" s="913"/>
      <c r="WLB5080" s="31">
        <v>1</v>
      </c>
      <c r="WLC5080" s="34">
        <v>0</v>
      </c>
      <c r="WLD5080" s="34">
        <v>-1</v>
      </c>
      <c r="WLE5080" s="34">
        <v>-2</v>
      </c>
      <c r="WLF5080" s="34">
        <v>-3</v>
      </c>
      <c r="WLG5080" s="34">
        <v>-4</v>
      </c>
      <c r="WLH5080" s="34">
        <v>-5</v>
      </c>
      <c r="WLI5080" s="908"/>
      <c r="WLJ5080" s="909"/>
      <c r="WLK5080" s="34">
        <v>-5</v>
      </c>
      <c r="WLL5080" s="34">
        <v>-4.5</v>
      </c>
      <c r="WLM5080" s="34">
        <v>-4</v>
      </c>
      <c r="WLN5080" s="34">
        <v>-3.5</v>
      </c>
      <c r="WLO5080" s="34">
        <v>-3</v>
      </c>
      <c r="WLP5080" s="34">
        <v>-2.5</v>
      </c>
      <c r="WLQ5080" s="34">
        <v>-2</v>
      </c>
      <c r="WLR5080" s="34">
        <v>-1.5</v>
      </c>
      <c r="WLS5080" s="34">
        <v>-1</v>
      </c>
      <c r="WLT5080" s="34">
        <v>-0.5</v>
      </c>
      <c r="WLU5080" s="34">
        <v>0</v>
      </c>
      <c r="WLV5080" s="34">
        <v>0.5</v>
      </c>
      <c r="WLW5080" s="34">
        <v>1</v>
      </c>
      <c r="WLX5080" s="34">
        <v>1.5</v>
      </c>
      <c r="WLY5080" s="34">
        <v>2</v>
      </c>
      <c r="WLZ5080" s="34">
        <v>2.5</v>
      </c>
      <c r="WMA5080" s="34">
        <v>3</v>
      </c>
      <c r="WMB5080" s="34">
        <v>3.5</v>
      </c>
      <c r="WMC5080" s="34">
        <v>4</v>
      </c>
      <c r="WMD5080" s="34">
        <v>4.5</v>
      </c>
      <c r="WME5080" s="34">
        <v>5</v>
      </c>
      <c r="WMG5080" s="913"/>
      <c r="WMH5080" s="31">
        <v>1</v>
      </c>
      <c r="WMI5080" s="34">
        <v>0</v>
      </c>
      <c r="WMJ5080" s="34">
        <v>-1</v>
      </c>
      <c r="WMK5080" s="34">
        <v>-2</v>
      </c>
      <c r="WML5080" s="34">
        <v>-3</v>
      </c>
      <c r="WMM5080" s="34">
        <v>-4</v>
      </c>
      <c r="WMN5080" s="34">
        <v>-5</v>
      </c>
      <c r="WMO5080" s="908"/>
      <c r="WMP5080" s="909"/>
      <c r="WMQ5080" s="34">
        <v>-5</v>
      </c>
      <c r="WMR5080" s="34">
        <v>-4.5</v>
      </c>
      <c r="WMS5080" s="34">
        <v>-4</v>
      </c>
      <c r="WMT5080" s="34">
        <v>-3.5</v>
      </c>
      <c r="WMU5080" s="34">
        <v>-3</v>
      </c>
      <c r="WMV5080" s="34">
        <v>-2.5</v>
      </c>
      <c r="WMW5080" s="34">
        <v>-2</v>
      </c>
      <c r="WMX5080" s="34">
        <v>-1.5</v>
      </c>
      <c r="WMY5080" s="34">
        <v>-1</v>
      </c>
      <c r="WMZ5080" s="34">
        <v>-0.5</v>
      </c>
      <c r="WNA5080" s="34">
        <v>0</v>
      </c>
      <c r="WNB5080" s="34">
        <v>0.5</v>
      </c>
      <c r="WNC5080" s="34">
        <v>1</v>
      </c>
      <c r="WND5080" s="34">
        <v>1.5</v>
      </c>
      <c r="WNE5080" s="34">
        <v>2</v>
      </c>
      <c r="WNF5080" s="34">
        <v>2.5</v>
      </c>
      <c r="WNG5080" s="34">
        <v>3</v>
      </c>
      <c r="WNH5080" s="34">
        <v>3.5</v>
      </c>
      <c r="WNI5080" s="34">
        <v>4</v>
      </c>
      <c r="WNJ5080" s="34">
        <v>4.5</v>
      </c>
      <c r="WNK5080" s="34">
        <v>5</v>
      </c>
      <c r="WNM5080" s="913"/>
      <c r="WNN5080" s="31">
        <v>1</v>
      </c>
      <c r="WNO5080" s="34">
        <v>0</v>
      </c>
      <c r="WNP5080" s="34">
        <v>-1</v>
      </c>
      <c r="WNQ5080" s="34">
        <v>-2</v>
      </c>
      <c r="WNR5080" s="34">
        <v>-3</v>
      </c>
      <c r="WNS5080" s="34">
        <v>-4</v>
      </c>
      <c r="WNT5080" s="34">
        <v>-5</v>
      </c>
      <c r="WNU5080" s="908"/>
      <c r="WNV5080" s="909"/>
      <c r="WNW5080" s="34">
        <v>-5</v>
      </c>
      <c r="WNX5080" s="34">
        <v>-4.5</v>
      </c>
      <c r="WNY5080" s="34">
        <v>-4</v>
      </c>
      <c r="WNZ5080" s="34">
        <v>-3.5</v>
      </c>
      <c r="WOA5080" s="34">
        <v>-3</v>
      </c>
      <c r="WOB5080" s="34">
        <v>-2.5</v>
      </c>
      <c r="WOC5080" s="34">
        <v>-2</v>
      </c>
      <c r="WOD5080" s="34">
        <v>-1.5</v>
      </c>
      <c r="WOE5080" s="34">
        <v>-1</v>
      </c>
      <c r="WOF5080" s="34">
        <v>-0.5</v>
      </c>
      <c r="WOG5080" s="34">
        <v>0</v>
      </c>
      <c r="WOH5080" s="34">
        <v>0.5</v>
      </c>
      <c r="WOI5080" s="34">
        <v>1</v>
      </c>
      <c r="WOJ5080" s="34">
        <v>1.5</v>
      </c>
      <c r="WOK5080" s="34">
        <v>2</v>
      </c>
      <c r="WOL5080" s="34">
        <v>2.5</v>
      </c>
      <c r="WOM5080" s="34">
        <v>3</v>
      </c>
      <c r="WON5080" s="34">
        <v>3.5</v>
      </c>
      <c r="WOO5080" s="34">
        <v>4</v>
      </c>
      <c r="WOP5080" s="34">
        <v>4.5</v>
      </c>
      <c r="WOQ5080" s="34">
        <v>5</v>
      </c>
      <c r="WOS5080" s="913"/>
      <c r="WOT5080" s="31">
        <v>1</v>
      </c>
      <c r="WOU5080" s="34">
        <v>0</v>
      </c>
      <c r="WOV5080" s="34">
        <v>-1</v>
      </c>
      <c r="WOW5080" s="34">
        <v>-2</v>
      </c>
      <c r="WOX5080" s="34">
        <v>-3</v>
      </c>
      <c r="WOY5080" s="34">
        <v>-4</v>
      </c>
      <c r="WOZ5080" s="34">
        <v>-5</v>
      </c>
      <c r="WPA5080" s="908"/>
      <c r="WPB5080" s="909"/>
      <c r="WPC5080" s="34">
        <v>-5</v>
      </c>
      <c r="WPD5080" s="34">
        <v>-4.5</v>
      </c>
      <c r="WPE5080" s="34">
        <v>-4</v>
      </c>
      <c r="WPF5080" s="34">
        <v>-3.5</v>
      </c>
      <c r="WPG5080" s="34">
        <v>-3</v>
      </c>
      <c r="WPH5080" s="34">
        <v>-2.5</v>
      </c>
      <c r="WPI5080" s="34">
        <v>-2</v>
      </c>
      <c r="WPJ5080" s="34">
        <v>-1.5</v>
      </c>
      <c r="WPK5080" s="34">
        <v>-1</v>
      </c>
      <c r="WPL5080" s="34">
        <v>-0.5</v>
      </c>
      <c r="WPM5080" s="34">
        <v>0</v>
      </c>
      <c r="WPN5080" s="34">
        <v>0.5</v>
      </c>
      <c r="WPO5080" s="34">
        <v>1</v>
      </c>
      <c r="WPP5080" s="34">
        <v>1.5</v>
      </c>
      <c r="WPQ5080" s="34">
        <v>2</v>
      </c>
      <c r="WPR5080" s="34">
        <v>2.5</v>
      </c>
      <c r="WPS5080" s="34">
        <v>3</v>
      </c>
      <c r="WPT5080" s="34">
        <v>3.5</v>
      </c>
      <c r="WPU5080" s="34">
        <v>4</v>
      </c>
      <c r="WPV5080" s="34">
        <v>4.5</v>
      </c>
      <c r="WPW5080" s="34">
        <v>5</v>
      </c>
      <c r="WPY5080" s="913"/>
      <c r="WPZ5080" s="31">
        <v>1</v>
      </c>
      <c r="WQA5080" s="34">
        <v>0</v>
      </c>
      <c r="WQB5080" s="34">
        <v>-1</v>
      </c>
      <c r="WQC5080" s="34">
        <v>-2</v>
      </c>
      <c r="WQD5080" s="34">
        <v>-3</v>
      </c>
      <c r="WQE5080" s="34">
        <v>-4</v>
      </c>
      <c r="WQF5080" s="34">
        <v>-5</v>
      </c>
      <c r="WQG5080" s="908"/>
      <c r="WQH5080" s="909"/>
      <c r="WQI5080" s="34">
        <v>-5</v>
      </c>
      <c r="WQJ5080" s="34">
        <v>-4.5</v>
      </c>
      <c r="WQK5080" s="34">
        <v>-4</v>
      </c>
      <c r="WQL5080" s="34">
        <v>-3.5</v>
      </c>
      <c r="WQM5080" s="34">
        <v>-3</v>
      </c>
      <c r="WQN5080" s="34">
        <v>-2.5</v>
      </c>
      <c r="WQO5080" s="34">
        <v>-2</v>
      </c>
      <c r="WQP5080" s="34">
        <v>-1.5</v>
      </c>
      <c r="WQQ5080" s="34">
        <v>-1</v>
      </c>
      <c r="WQR5080" s="34">
        <v>-0.5</v>
      </c>
      <c r="WQS5080" s="34">
        <v>0</v>
      </c>
      <c r="WQT5080" s="34">
        <v>0.5</v>
      </c>
      <c r="WQU5080" s="34">
        <v>1</v>
      </c>
      <c r="WQV5080" s="34">
        <v>1.5</v>
      </c>
      <c r="WQW5080" s="34">
        <v>2</v>
      </c>
      <c r="WQX5080" s="34">
        <v>2.5</v>
      </c>
      <c r="WQY5080" s="34">
        <v>3</v>
      </c>
      <c r="WQZ5080" s="34">
        <v>3.5</v>
      </c>
      <c r="WRA5080" s="34">
        <v>4</v>
      </c>
      <c r="WRB5080" s="34">
        <v>4.5</v>
      </c>
      <c r="WRC5080" s="34">
        <v>5</v>
      </c>
      <c r="WRE5080" s="913"/>
      <c r="WRF5080" s="31">
        <v>1</v>
      </c>
      <c r="WRG5080" s="34">
        <v>0</v>
      </c>
      <c r="WRH5080" s="34">
        <v>-1</v>
      </c>
      <c r="WRI5080" s="34">
        <v>-2</v>
      </c>
      <c r="WRJ5080" s="34">
        <v>-3</v>
      </c>
      <c r="WRK5080" s="34">
        <v>-4</v>
      </c>
      <c r="WRL5080" s="34">
        <v>-5</v>
      </c>
      <c r="WRM5080" s="908"/>
      <c r="WRN5080" s="909"/>
      <c r="WRO5080" s="34">
        <v>-5</v>
      </c>
      <c r="WRP5080" s="34">
        <v>-4.5</v>
      </c>
      <c r="WRQ5080" s="34">
        <v>-4</v>
      </c>
      <c r="WRR5080" s="34">
        <v>-3.5</v>
      </c>
      <c r="WRS5080" s="34">
        <v>-3</v>
      </c>
      <c r="WRT5080" s="34">
        <v>-2.5</v>
      </c>
      <c r="WRU5080" s="34">
        <v>-2</v>
      </c>
      <c r="WRV5080" s="34">
        <v>-1.5</v>
      </c>
      <c r="WRW5080" s="34">
        <v>-1</v>
      </c>
      <c r="WRX5080" s="34">
        <v>-0.5</v>
      </c>
      <c r="WRY5080" s="34">
        <v>0</v>
      </c>
      <c r="WRZ5080" s="34">
        <v>0.5</v>
      </c>
      <c r="WSA5080" s="34">
        <v>1</v>
      </c>
      <c r="WSB5080" s="34">
        <v>1.5</v>
      </c>
      <c r="WSC5080" s="34">
        <v>2</v>
      </c>
      <c r="WSD5080" s="34">
        <v>2.5</v>
      </c>
      <c r="WSE5080" s="34">
        <v>3</v>
      </c>
      <c r="WSF5080" s="34">
        <v>3.5</v>
      </c>
      <c r="WSG5080" s="34">
        <v>4</v>
      </c>
      <c r="WSH5080" s="34">
        <v>4.5</v>
      </c>
      <c r="WSI5080" s="34">
        <v>5</v>
      </c>
      <c r="WSK5080" s="913"/>
      <c r="WSL5080" s="31">
        <v>1</v>
      </c>
      <c r="WSM5080" s="34">
        <v>0</v>
      </c>
      <c r="WSN5080" s="34">
        <v>-1</v>
      </c>
      <c r="WSO5080" s="34">
        <v>-2</v>
      </c>
      <c r="WSP5080" s="34">
        <v>-3</v>
      </c>
      <c r="WSQ5080" s="34">
        <v>-4</v>
      </c>
      <c r="WSR5080" s="34">
        <v>-5</v>
      </c>
      <c r="WSS5080" s="908"/>
      <c r="WST5080" s="909"/>
      <c r="WSU5080" s="34">
        <v>-5</v>
      </c>
      <c r="WSV5080" s="34">
        <v>-4.5</v>
      </c>
      <c r="WSW5080" s="34">
        <v>-4</v>
      </c>
      <c r="WSX5080" s="34">
        <v>-3.5</v>
      </c>
      <c r="WSY5080" s="34">
        <v>-3</v>
      </c>
      <c r="WSZ5080" s="34">
        <v>-2.5</v>
      </c>
      <c r="WTA5080" s="34">
        <v>-2</v>
      </c>
      <c r="WTB5080" s="34">
        <v>-1.5</v>
      </c>
      <c r="WTC5080" s="34">
        <v>-1</v>
      </c>
      <c r="WTD5080" s="34">
        <v>-0.5</v>
      </c>
      <c r="WTE5080" s="34">
        <v>0</v>
      </c>
      <c r="WTF5080" s="34">
        <v>0.5</v>
      </c>
      <c r="WTG5080" s="34">
        <v>1</v>
      </c>
      <c r="WTH5080" s="34">
        <v>1.5</v>
      </c>
      <c r="WTI5080" s="34">
        <v>2</v>
      </c>
      <c r="WTJ5080" s="34">
        <v>2.5</v>
      </c>
      <c r="WTK5080" s="34">
        <v>3</v>
      </c>
      <c r="WTL5080" s="34">
        <v>3.5</v>
      </c>
      <c r="WTM5080" s="34">
        <v>4</v>
      </c>
      <c r="WTN5080" s="34">
        <v>4.5</v>
      </c>
      <c r="WTO5080" s="34">
        <v>5</v>
      </c>
      <c r="WTQ5080" s="913"/>
      <c r="WTR5080" s="31">
        <v>1</v>
      </c>
      <c r="WTS5080" s="34">
        <v>0</v>
      </c>
      <c r="WTT5080" s="34">
        <v>-1</v>
      </c>
      <c r="WTU5080" s="34">
        <v>-2</v>
      </c>
      <c r="WTV5080" s="34">
        <v>-3</v>
      </c>
      <c r="WTW5080" s="34">
        <v>-4</v>
      </c>
      <c r="WTX5080" s="34">
        <v>-5</v>
      </c>
      <c r="WTY5080" s="908"/>
      <c r="WTZ5080" s="909"/>
      <c r="WUA5080" s="34">
        <v>-5</v>
      </c>
      <c r="WUB5080" s="34">
        <v>-4.5</v>
      </c>
      <c r="WUC5080" s="34">
        <v>-4</v>
      </c>
      <c r="WUD5080" s="34">
        <v>-3.5</v>
      </c>
      <c r="WUE5080" s="34">
        <v>-3</v>
      </c>
      <c r="WUF5080" s="34">
        <v>-2.5</v>
      </c>
      <c r="WUG5080" s="34">
        <v>-2</v>
      </c>
      <c r="WUH5080" s="34">
        <v>-1.5</v>
      </c>
      <c r="WUI5080" s="34">
        <v>-1</v>
      </c>
      <c r="WUJ5080" s="34">
        <v>-0.5</v>
      </c>
      <c r="WUK5080" s="34">
        <v>0</v>
      </c>
      <c r="WUL5080" s="34">
        <v>0.5</v>
      </c>
      <c r="WUM5080" s="34">
        <v>1</v>
      </c>
      <c r="WUN5080" s="34">
        <v>1.5</v>
      </c>
      <c r="WUO5080" s="34">
        <v>2</v>
      </c>
      <c r="WUP5080" s="34">
        <v>2.5</v>
      </c>
      <c r="WUQ5080" s="34">
        <v>3</v>
      </c>
      <c r="WUR5080" s="34">
        <v>3.5</v>
      </c>
      <c r="WUS5080" s="34">
        <v>4</v>
      </c>
      <c r="WUT5080" s="34">
        <v>4.5</v>
      </c>
      <c r="WUU5080" s="34">
        <v>5</v>
      </c>
      <c r="WUW5080" s="913"/>
      <c r="WUX5080" s="31">
        <v>1</v>
      </c>
      <c r="WUY5080" s="34">
        <v>0</v>
      </c>
      <c r="WUZ5080" s="34">
        <v>-1</v>
      </c>
      <c r="WVA5080" s="34">
        <v>-2</v>
      </c>
      <c r="WVB5080" s="34">
        <v>-3</v>
      </c>
      <c r="WVC5080" s="34">
        <v>-4</v>
      </c>
      <c r="WVD5080" s="34">
        <v>-5</v>
      </c>
      <c r="WVE5080" s="908"/>
      <c r="WVF5080" s="909"/>
      <c r="WVG5080" s="34">
        <v>-5</v>
      </c>
      <c r="WVH5080" s="34">
        <v>-4.5</v>
      </c>
      <c r="WVI5080" s="34">
        <v>-4</v>
      </c>
      <c r="WVJ5080" s="34">
        <v>-3.5</v>
      </c>
      <c r="WVK5080" s="34">
        <v>-3</v>
      </c>
      <c r="WVL5080" s="34">
        <v>-2.5</v>
      </c>
      <c r="WVM5080" s="34">
        <v>-2</v>
      </c>
      <c r="WVN5080" s="34">
        <v>-1.5</v>
      </c>
      <c r="WVO5080" s="34">
        <v>-1</v>
      </c>
      <c r="WVP5080" s="34">
        <v>-0.5</v>
      </c>
      <c r="WVQ5080" s="34">
        <v>0</v>
      </c>
      <c r="WVR5080" s="34">
        <v>0.5</v>
      </c>
      <c r="WVS5080" s="34">
        <v>1</v>
      </c>
      <c r="WVT5080" s="34">
        <v>1.5</v>
      </c>
      <c r="WVU5080" s="34">
        <v>2</v>
      </c>
      <c r="WVV5080" s="34">
        <v>2.5</v>
      </c>
      <c r="WVW5080" s="34">
        <v>3</v>
      </c>
      <c r="WVX5080" s="34">
        <v>3.5</v>
      </c>
      <c r="WVY5080" s="34">
        <v>4</v>
      </c>
      <c r="WVZ5080" s="34">
        <v>4.5</v>
      </c>
      <c r="WWA5080" s="34">
        <v>5</v>
      </c>
      <c r="WWC5080" s="913"/>
      <c r="WWD5080" s="31">
        <v>1</v>
      </c>
      <c r="WWE5080" s="34">
        <v>0</v>
      </c>
      <c r="WWF5080" s="34">
        <v>-1</v>
      </c>
      <c r="WWG5080" s="34">
        <v>-2</v>
      </c>
      <c r="WWH5080" s="34">
        <v>-3</v>
      </c>
      <c r="WWI5080" s="34">
        <v>-4</v>
      </c>
      <c r="WWJ5080" s="34">
        <v>-5</v>
      </c>
      <c r="WWK5080" s="908"/>
      <c r="WWL5080" s="909"/>
      <c r="WWM5080" s="34">
        <v>-5</v>
      </c>
      <c r="WWN5080" s="34">
        <v>-4.5</v>
      </c>
      <c r="WWO5080" s="34">
        <v>-4</v>
      </c>
      <c r="WWP5080" s="34">
        <v>-3.5</v>
      </c>
      <c r="WWQ5080" s="34">
        <v>-3</v>
      </c>
      <c r="WWR5080" s="34">
        <v>-2.5</v>
      </c>
      <c r="WWS5080" s="34">
        <v>-2</v>
      </c>
      <c r="WWT5080" s="34">
        <v>-1.5</v>
      </c>
      <c r="WWU5080" s="34">
        <v>-1</v>
      </c>
      <c r="WWV5080" s="34">
        <v>-0.5</v>
      </c>
      <c r="WWW5080" s="34">
        <v>0</v>
      </c>
      <c r="WWX5080" s="34">
        <v>0.5</v>
      </c>
      <c r="WWY5080" s="34">
        <v>1</v>
      </c>
      <c r="WWZ5080" s="34">
        <v>1.5</v>
      </c>
      <c r="WXA5080" s="34">
        <v>2</v>
      </c>
      <c r="WXB5080" s="34">
        <v>2.5</v>
      </c>
      <c r="WXC5080" s="34">
        <v>3</v>
      </c>
      <c r="WXD5080" s="34">
        <v>3.5</v>
      </c>
      <c r="WXE5080" s="34">
        <v>4</v>
      </c>
      <c r="WXF5080" s="34">
        <v>4.5</v>
      </c>
      <c r="WXG5080" s="34">
        <v>5</v>
      </c>
      <c r="WXI5080" s="913"/>
      <c r="WXJ5080" s="31">
        <v>1</v>
      </c>
      <c r="WXK5080" s="34">
        <v>0</v>
      </c>
      <c r="WXL5080" s="34">
        <v>-1</v>
      </c>
      <c r="WXM5080" s="34">
        <v>-2</v>
      </c>
      <c r="WXN5080" s="34">
        <v>-3</v>
      </c>
      <c r="WXO5080" s="34">
        <v>-4</v>
      </c>
      <c r="WXP5080" s="34">
        <v>-5</v>
      </c>
      <c r="WXQ5080" s="908"/>
      <c r="WXR5080" s="909"/>
      <c r="WXS5080" s="34">
        <v>-5</v>
      </c>
      <c r="WXT5080" s="34">
        <v>-4.5</v>
      </c>
      <c r="WXU5080" s="34">
        <v>-4</v>
      </c>
      <c r="WXV5080" s="34">
        <v>-3.5</v>
      </c>
      <c r="WXW5080" s="34">
        <v>-3</v>
      </c>
      <c r="WXX5080" s="34">
        <v>-2.5</v>
      </c>
      <c r="WXY5080" s="34">
        <v>-2</v>
      </c>
      <c r="WXZ5080" s="34">
        <v>-1.5</v>
      </c>
      <c r="WYA5080" s="34">
        <v>-1</v>
      </c>
      <c r="WYB5080" s="34">
        <v>-0.5</v>
      </c>
      <c r="WYC5080" s="34">
        <v>0</v>
      </c>
      <c r="WYD5080" s="34">
        <v>0.5</v>
      </c>
      <c r="WYE5080" s="34">
        <v>1</v>
      </c>
      <c r="WYF5080" s="34">
        <v>1.5</v>
      </c>
      <c r="WYG5080" s="34">
        <v>2</v>
      </c>
      <c r="WYH5080" s="34">
        <v>2.5</v>
      </c>
      <c r="WYI5080" s="34">
        <v>3</v>
      </c>
      <c r="WYJ5080" s="34">
        <v>3.5</v>
      </c>
      <c r="WYK5080" s="34">
        <v>4</v>
      </c>
      <c r="WYL5080" s="34">
        <v>4.5</v>
      </c>
      <c r="WYM5080" s="34">
        <v>5</v>
      </c>
      <c r="WYO5080" s="913"/>
      <c r="WYP5080" s="31">
        <v>1</v>
      </c>
      <c r="WYQ5080" s="34">
        <v>0</v>
      </c>
      <c r="WYR5080" s="34">
        <v>-1</v>
      </c>
      <c r="WYS5080" s="34">
        <v>-2</v>
      </c>
      <c r="WYT5080" s="34">
        <v>-3</v>
      </c>
      <c r="WYU5080" s="34">
        <v>-4</v>
      </c>
      <c r="WYV5080" s="34">
        <v>-5</v>
      </c>
      <c r="WYW5080" s="908"/>
      <c r="WYX5080" s="909"/>
      <c r="WYY5080" s="34">
        <v>-5</v>
      </c>
      <c r="WYZ5080" s="34">
        <v>-4.5</v>
      </c>
      <c r="WZA5080" s="34">
        <v>-4</v>
      </c>
      <c r="WZB5080" s="34">
        <v>-3.5</v>
      </c>
      <c r="WZC5080" s="34">
        <v>-3</v>
      </c>
      <c r="WZD5080" s="34">
        <v>-2.5</v>
      </c>
      <c r="WZE5080" s="34">
        <v>-2</v>
      </c>
      <c r="WZF5080" s="34">
        <v>-1.5</v>
      </c>
      <c r="WZG5080" s="34">
        <v>-1</v>
      </c>
      <c r="WZH5080" s="34">
        <v>-0.5</v>
      </c>
      <c r="WZI5080" s="34">
        <v>0</v>
      </c>
      <c r="WZJ5080" s="34">
        <v>0.5</v>
      </c>
      <c r="WZK5080" s="34">
        <v>1</v>
      </c>
      <c r="WZL5080" s="34">
        <v>1.5</v>
      </c>
      <c r="WZM5080" s="34">
        <v>2</v>
      </c>
      <c r="WZN5080" s="34">
        <v>2.5</v>
      </c>
      <c r="WZO5080" s="34">
        <v>3</v>
      </c>
      <c r="WZP5080" s="34">
        <v>3.5</v>
      </c>
      <c r="WZQ5080" s="34">
        <v>4</v>
      </c>
      <c r="WZR5080" s="34">
        <v>4.5</v>
      </c>
      <c r="WZS5080" s="34">
        <v>5</v>
      </c>
      <c r="WZU5080" s="913"/>
      <c r="WZV5080" s="31">
        <v>1</v>
      </c>
      <c r="WZW5080" s="34">
        <v>0</v>
      </c>
      <c r="WZX5080" s="34">
        <v>-1</v>
      </c>
      <c r="WZY5080" s="34">
        <v>-2</v>
      </c>
      <c r="WZZ5080" s="34">
        <v>-3</v>
      </c>
      <c r="XAA5080" s="34">
        <v>-4</v>
      </c>
      <c r="XAB5080" s="34">
        <v>-5</v>
      </c>
      <c r="XAC5080" s="908"/>
      <c r="XAD5080" s="909"/>
      <c r="XAE5080" s="34">
        <v>-5</v>
      </c>
      <c r="XAF5080" s="34">
        <v>-4.5</v>
      </c>
      <c r="XAG5080" s="34">
        <v>-4</v>
      </c>
      <c r="XAH5080" s="34">
        <v>-3.5</v>
      </c>
      <c r="XAI5080" s="34">
        <v>-3</v>
      </c>
      <c r="XAJ5080" s="34">
        <v>-2.5</v>
      </c>
      <c r="XAK5080" s="34">
        <v>-2</v>
      </c>
      <c r="XAL5080" s="34">
        <v>-1.5</v>
      </c>
      <c r="XAM5080" s="34">
        <v>-1</v>
      </c>
      <c r="XAN5080" s="34">
        <v>-0.5</v>
      </c>
      <c r="XAO5080" s="34">
        <v>0</v>
      </c>
      <c r="XAP5080" s="34">
        <v>0.5</v>
      </c>
      <c r="XAQ5080" s="34">
        <v>1</v>
      </c>
      <c r="XAR5080" s="34">
        <v>1.5</v>
      </c>
      <c r="XAS5080" s="34">
        <v>2</v>
      </c>
      <c r="XAT5080" s="34">
        <v>2.5</v>
      </c>
      <c r="XAU5080" s="34">
        <v>3</v>
      </c>
      <c r="XAV5080" s="34">
        <v>3.5</v>
      </c>
      <c r="XAW5080" s="34">
        <v>4</v>
      </c>
      <c r="XAX5080" s="34">
        <v>4.5</v>
      </c>
      <c r="XAY5080" s="34">
        <v>5</v>
      </c>
      <c r="XBA5080" s="913"/>
      <c r="XBB5080" s="31">
        <v>1</v>
      </c>
      <c r="XBC5080" s="34">
        <v>0</v>
      </c>
      <c r="XBD5080" s="34">
        <v>-1</v>
      </c>
      <c r="XBE5080" s="34">
        <v>-2</v>
      </c>
      <c r="XBF5080" s="34">
        <v>-3</v>
      </c>
      <c r="XBG5080" s="34">
        <v>-4</v>
      </c>
      <c r="XBH5080" s="34">
        <v>-5</v>
      </c>
      <c r="XBI5080" s="908"/>
      <c r="XBJ5080" s="909"/>
      <c r="XBK5080" s="34">
        <v>-5</v>
      </c>
      <c r="XBL5080" s="34">
        <v>-4.5</v>
      </c>
      <c r="XBM5080" s="34">
        <v>-4</v>
      </c>
      <c r="XBN5080" s="34">
        <v>-3.5</v>
      </c>
      <c r="XBO5080" s="34">
        <v>-3</v>
      </c>
      <c r="XBP5080" s="34">
        <v>-2.5</v>
      </c>
      <c r="XBQ5080" s="34">
        <v>-2</v>
      </c>
      <c r="XBR5080" s="34">
        <v>-1.5</v>
      </c>
      <c r="XBS5080" s="34">
        <v>-1</v>
      </c>
      <c r="XBT5080" s="34">
        <v>-0.5</v>
      </c>
      <c r="XBU5080" s="34">
        <v>0</v>
      </c>
      <c r="XBV5080" s="34">
        <v>0.5</v>
      </c>
      <c r="XBW5080" s="34">
        <v>1</v>
      </c>
      <c r="XBX5080" s="34">
        <v>1.5</v>
      </c>
      <c r="XBY5080" s="34">
        <v>2</v>
      </c>
      <c r="XBZ5080" s="34">
        <v>2.5</v>
      </c>
      <c r="XCA5080" s="34">
        <v>3</v>
      </c>
      <c r="XCB5080" s="34">
        <v>3.5</v>
      </c>
      <c r="XCC5080" s="34">
        <v>4</v>
      </c>
      <c r="XCD5080" s="34">
        <v>4.5</v>
      </c>
      <c r="XCE5080" s="34">
        <v>5</v>
      </c>
      <c r="XCG5080" s="913"/>
      <c r="XCH5080" s="31">
        <v>1</v>
      </c>
      <c r="XCI5080" s="34">
        <v>0</v>
      </c>
      <c r="XCJ5080" s="34">
        <v>-1</v>
      </c>
      <c r="XCK5080" s="34">
        <v>-2</v>
      </c>
      <c r="XCL5080" s="34">
        <v>-3</v>
      </c>
      <c r="XCM5080" s="34">
        <v>-4</v>
      </c>
      <c r="XCN5080" s="34">
        <v>-5</v>
      </c>
      <c r="XCO5080" s="908"/>
      <c r="XCP5080" s="909"/>
      <c r="XCQ5080" s="34">
        <v>-5</v>
      </c>
      <c r="XCR5080" s="34">
        <v>-4.5</v>
      </c>
      <c r="XCS5080" s="34">
        <v>-4</v>
      </c>
      <c r="XCT5080" s="34">
        <v>-3.5</v>
      </c>
      <c r="XCU5080" s="34">
        <v>-3</v>
      </c>
      <c r="XCV5080" s="34">
        <v>-2.5</v>
      </c>
      <c r="XCW5080" s="34">
        <v>-2</v>
      </c>
      <c r="XCX5080" s="34">
        <v>-1.5</v>
      </c>
      <c r="XCY5080" s="34">
        <v>-1</v>
      </c>
      <c r="XCZ5080" s="34">
        <v>-0.5</v>
      </c>
      <c r="XDA5080" s="34">
        <v>0</v>
      </c>
      <c r="XDB5080" s="34">
        <v>0.5</v>
      </c>
      <c r="XDC5080" s="34">
        <v>1</v>
      </c>
      <c r="XDD5080" s="34">
        <v>1.5</v>
      </c>
      <c r="XDE5080" s="34">
        <v>2</v>
      </c>
      <c r="XDF5080" s="34">
        <v>2.5</v>
      </c>
      <c r="XDG5080" s="34">
        <v>3</v>
      </c>
      <c r="XDH5080" s="34">
        <v>3.5</v>
      </c>
      <c r="XDI5080" s="34">
        <v>4</v>
      </c>
      <c r="XDJ5080" s="34">
        <v>4.5</v>
      </c>
      <c r="XDK5080" s="34">
        <v>5</v>
      </c>
      <c r="XDM5080" s="913"/>
      <c r="XDN5080" s="31">
        <v>1</v>
      </c>
      <c r="XDO5080" s="34">
        <v>0</v>
      </c>
      <c r="XDP5080" s="34">
        <v>-1</v>
      </c>
      <c r="XDQ5080" s="34">
        <v>-2</v>
      </c>
      <c r="XDR5080" s="34">
        <v>-3</v>
      </c>
      <c r="XDS5080" s="34">
        <v>-4</v>
      </c>
      <c r="XDT5080" s="34">
        <v>-5</v>
      </c>
      <c r="XDU5080" s="908"/>
      <c r="XDV5080" s="909"/>
      <c r="XDW5080" s="34">
        <v>-5</v>
      </c>
      <c r="XDX5080" s="34">
        <v>-4.5</v>
      </c>
      <c r="XDY5080" s="34">
        <v>-4</v>
      </c>
      <c r="XDZ5080" s="34">
        <v>-3.5</v>
      </c>
      <c r="XEA5080" s="34">
        <v>-3</v>
      </c>
      <c r="XEB5080" s="34">
        <v>-2.5</v>
      </c>
      <c r="XEC5080" s="34">
        <v>-2</v>
      </c>
      <c r="XED5080" s="34">
        <v>-1.5</v>
      </c>
      <c r="XEE5080" s="34">
        <v>-1</v>
      </c>
      <c r="XEF5080" s="34">
        <v>-0.5</v>
      </c>
      <c r="XEG5080" s="34">
        <v>0</v>
      </c>
      <c r="XEH5080" s="34">
        <v>0.5</v>
      </c>
      <c r="XEI5080" s="34">
        <v>1</v>
      </c>
      <c r="XEJ5080" s="34">
        <v>1.5</v>
      </c>
      <c r="XEK5080" s="34">
        <v>2</v>
      </c>
      <c r="XEL5080" s="34">
        <v>2.5</v>
      </c>
      <c r="XEM5080" s="34">
        <v>3</v>
      </c>
      <c r="XEN5080" s="34">
        <v>3.5</v>
      </c>
      <c r="XEO5080" s="34">
        <v>4</v>
      </c>
      <c r="XEP5080" s="34">
        <v>4.5</v>
      </c>
      <c r="XEQ5080" s="34">
        <v>5</v>
      </c>
    </row>
    <row r="5081" spans="1:16372">
      <c r="A5081" s="1">
        <v>150</v>
      </c>
      <c r="B5081" s="1">
        <v>4.0670000000000002</v>
      </c>
      <c r="C5081" s="1">
        <v>4.0419999999999998</v>
      </c>
      <c r="D5081" s="1">
        <v>4.0289999999999999</v>
      </c>
      <c r="E5081" s="1">
        <v>4.016</v>
      </c>
      <c r="F5081" s="1">
        <v>4.0030000000000001</v>
      </c>
      <c r="G5081" s="1">
        <v>3.99</v>
      </c>
      <c r="H5081" s="1">
        <v>3.964</v>
      </c>
      <c r="I5081" s="1">
        <v>3.9380000000000002</v>
      </c>
      <c r="J5081" s="21">
        <v>4700</v>
      </c>
      <c r="K5081" s="1">
        <v>300</v>
      </c>
      <c r="L5081" s="1">
        <v>-208.99600000000001</v>
      </c>
      <c r="M5081" s="1">
        <v>-168.91800000000001</v>
      </c>
      <c r="N5081" s="1">
        <v>-112.822</v>
      </c>
      <c r="O5081" s="1">
        <v>-56.399000000000001</v>
      </c>
      <c r="P5081" s="365">
        <v>0</v>
      </c>
      <c r="Q5081" s="1">
        <v>56.402000000000001</v>
      </c>
      <c r="R5081" s="1">
        <v>112.84399999999999</v>
      </c>
      <c r="S5081" s="1">
        <v>169.36</v>
      </c>
      <c r="T5081" s="1">
        <v>225.98599999999999</v>
      </c>
      <c r="U5081" s="25"/>
      <c r="V5081" s="1">
        <f>INDEX(tank16Trim2,0,MATCH(V5080,tank16Trim2,1))</f>
        <v>0</v>
      </c>
      <c r="W5081" s="1">
        <f>Interp2(tank16Trim1,tank16Trim2,tank16Trim3,X5077,V5081)</f>
        <v>73.278999999999996</v>
      </c>
      <c r="X5081" s="1">
        <f>Interp2(tank16Trim1,tank16Trim2,tank16Trim3,X5078,V5081)</f>
        <v>74.379000000000005</v>
      </c>
      <c r="AA5081" s="30"/>
    </row>
    <row r="5082" spans="1:16372">
      <c r="A5082" s="1">
        <v>200</v>
      </c>
      <c r="B5082" s="1">
        <v>5.1660000000000004</v>
      </c>
      <c r="C5082" s="1">
        <v>5.14</v>
      </c>
      <c r="D5082" s="1">
        <v>5.1269999999999998</v>
      </c>
      <c r="E5082" s="1">
        <v>5.1139999999999999</v>
      </c>
      <c r="F5082" s="1">
        <v>5.101</v>
      </c>
      <c r="G5082" s="1">
        <v>5.0880000000000001</v>
      </c>
      <c r="H5082" s="1">
        <v>5.0629999999999997</v>
      </c>
      <c r="I5082" s="1">
        <v>5.0369999999999999</v>
      </c>
      <c r="J5082" s="21">
        <v>4650</v>
      </c>
      <c r="K5082" s="1">
        <v>400</v>
      </c>
      <c r="L5082" s="1">
        <v>-224.732</v>
      </c>
      <c r="M5082" s="1">
        <v>-169.31899999999999</v>
      </c>
      <c r="N5082" s="1">
        <v>-112.827</v>
      </c>
      <c r="O5082" s="1">
        <v>-56.401000000000003</v>
      </c>
      <c r="P5082" s="365">
        <v>0</v>
      </c>
      <c r="Q5082" s="1">
        <v>56.405000000000001</v>
      </c>
      <c r="R5082" s="1">
        <v>112.85</v>
      </c>
      <c r="S5082" s="1">
        <v>169.369</v>
      </c>
      <c r="T5082" s="1">
        <v>226</v>
      </c>
      <c r="U5082" s="25"/>
      <c r="V5082" s="1">
        <f>IF(V5081=V5080,V5080,INDEX(tank16Trim2,0,MATCH(V5080,tank16Trim2,1)+1))</f>
        <v>0.5</v>
      </c>
      <c r="W5082" s="1">
        <f>Interp2(tank16Trim1,tank16Trim2,tank16Trim3,X5077,V5082)</f>
        <v>73.266000000000005</v>
      </c>
      <c r="X5082" s="1">
        <f>Interp2(tank16Trim1,tank16Trim2,tank16Trim3,X5078,V5082)</f>
        <v>74.366</v>
      </c>
      <c r="AA5082" s="30"/>
      <c r="AB5082" s="42"/>
    </row>
    <row r="5083" spans="1:16372">
      <c r="A5083" s="1">
        <v>250</v>
      </c>
      <c r="B5083" s="1">
        <v>6.2640000000000002</v>
      </c>
      <c r="C5083" s="1">
        <v>6.2380000000000004</v>
      </c>
      <c r="D5083" s="1">
        <v>6.2249999999999996</v>
      </c>
      <c r="E5083" s="1">
        <v>6.2119999999999997</v>
      </c>
      <c r="F5083" s="1">
        <v>6.1989999999999998</v>
      </c>
      <c r="G5083" s="1">
        <v>6.1870000000000003</v>
      </c>
      <c r="H5083" s="1">
        <v>6.1609999999999996</v>
      </c>
      <c r="I5083" s="1">
        <v>6.1349999999999998</v>
      </c>
      <c r="J5083" s="21">
        <v>4600</v>
      </c>
      <c r="K5083" s="1">
        <v>500</v>
      </c>
      <c r="L5083" s="1">
        <v>-225.91900000000001</v>
      </c>
      <c r="M5083" s="1">
        <v>-169.327</v>
      </c>
      <c r="N5083" s="1">
        <v>-112.833</v>
      </c>
      <c r="O5083" s="1">
        <v>-56.404000000000003</v>
      </c>
      <c r="P5083" s="365">
        <v>0</v>
      </c>
      <c r="Q5083" s="1">
        <v>56.408000000000001</v>
      </c>
      <c r="R5083" s="1">
        <v>112.857</v>
      </c>
      <c r="S5083" s="1">
        <v>169.37799999999999</v>
      </c>
      <c r="T5083" s="1">
        <v>226.012</v>
      </c>
      <c r="U5083" s="25"/>
      <c r="W5083" s="43"/>
      <c r="X5083" s="42"/>
      <c r="AA5083" s="30"/>
      <c r="AB5083" s="42"/>
    </row>
    <row r="5084" spans="1:16372">
      <c r="A5084" s="1">
        <v>300</v>
      </c>
      <c r="B5084" s="1">
        <v>7.3620000000000001</v>
      </c>
      <c r="C5084" s="1">
        <v>7.3360000000000003</v>
      </c>
      <c r="D5084" s="1">
        <v>7.3239999999999998</v>
      </c>
      <c r="E5084" s="1">
        <v>7.3109999999999999</v>
      </c>
      <c r="F5084" s="1">
        <v>7.298</v>
      </c>
      <c r="G5084" s="1">
        <v>7.2850000000000001</v>
      </c>
      <c r="H5084" s="1">
        <v>7.2590000000000003</v>
      </c>
      <c r="I5084" s="1">
        <v>7.2329999999999997</v>
      </c>
      <c r="J5084" s="21">
        <v>4550</v>
      </c>
      <c r="K5084" s="1">
        <v>600</v>
      </c>
      <c r="L5084" s="1">
        <v>-225.93199999999999</v>
      </c>
      <c r="M5084" s="1">
        <v>-169.33699999999999</v>
      </c>
      <c r="N5084" s="1">
        <v>-112.84</v>
      </c>
      <c r="O5084" s="1">
        <v>-56.406999999999996</v>
      </c>
      <c r="P5084" s="365">
        <v>0</v>
      </c>
      <c r="Q5084" s="1">
        <v>56.411000000000001</v>
      </c>
      <c r="R5084" s="1">
        <v>112.863</v>
      </c>
      <c r="S5084" s="1">
        <v>169.38800000000001</v>
      </c>
      <c r="T5084" s="1">
        <v>226.02500000000001</v>
      </c>
      <c r="U5084" s="25"/>
    </row>
    <row r="5085" spans="1:16372">
      <c r="A5085" s="1">
        <v>350</v>
      </c>
      <c r="B5085" s="1">
        <v>8.4610000000000003</v>
      </c>
      <c r="C5085" s="1">
        <v>8.4350000000000005</v>
      </c>
      <c r="D5085" s="1">
        <v>8.4220000000000006</v>
      </c>
      <c r="E5085" s="1">
        <v>8.4090000000000007</v>
      </c>
      <c r="F5085" s="1">
        <v>8.3960000000000008</v>
      </c>
      <c r="G5085" s="1">
        <v>8.3829999999999991</v>
      </c>
      <c r="H5085" s="1">
        <v>8.3569999999999993</v>
      </c>
      <c r="I5085" s="1">
        <v>8.3320000000000007</v>
      </c>
      <c r="J5085" s="21">
        <v>4500</v>
      </c>
      <c r="K5085" s="1">
        <v>700</v>
      </c>
      <c r="L5085" s="1">
        <v>-225.94499999999999</v>
      </c>
      <c r="M5085" s="1">
        <v>-169.346</v>
      </c>
      <c r="N5085" s="1">
        <v>-112.846</v>
      </c>
      <c r="O5085" s="1">
        <v>-56.41</v>
      </c>
      <c r="P5085" s="365">
        <v>0</v>
      </c>
      <c r="Q5085" s="1">
        <v>56.414999999999999</v>
      </c>
      <c r="R5085" s="1">
        <v>112.871</v>
      </c>
      <c r="S5085" s="1">
        <v>169.39699999999999</v>
      </c>
      <c r="T5085" s="1">
        <v>226.036</v>
      </c>
      <c r="U5085" s="25"/>
      <c r="V5085" s="1">
        <f>Bunkering!heeling1</f>
        <v>0</v>
      </c>
      <c r="W5085" s="382">
        <f>sound316</f>
        <v>3310</v>
      </c>
      <c r="X5085" s="186">
        <f>IF((W5085+W5088)&lt;0,W5085,W5085+W5088)</f>
        <v>3310</v>
      </c>
      <c r="Y5085" s="381">
        <f>IF(Y5087=Y5086,Y5086,Interp1(X5086:X5087,Y5086:Y5087,X5085))</f>
        <v>73.489999999999995</v>
      </c>
    </row>
    <row r="5086" spans="1:16372">
      <c r="A5086" s="1">
        <v>400</v>
      </c>
      <c r="B5086" s="1">
        <v>9.5589999999999993</v>
      </c>
      <c r="C5086" s="1">
        <v>9.5329999999999995</v>
      </c>
      <c r="D5086" s="1">
        <v>9.52</v>
      </c>
      <c r="E5086" s="1">
        <v>9.5069999999999997</v>
      </c>
      <c r="F5086" s="1">
        <v>9.4939999999999998</v>
      </c>
      <c r="G5086" s="1">
        <v>9.4819999999999993</v>
      </c>
      <c r="H5086" s="1">
        <v>9.4559999999999995</v>
      </c>
      <c r="I5086" s="1">
        <v>9.43</v>
      </c>
      <c r="J5086" s="21">
        <v>4450</v>
      </c>
      <c r="K5086" s="1">
        <v>800</v>
      </c>
      <c r="L5086" s="1">
        <v>-225.958</v>
      </c>
      <c r="M5086" s="1">
        <v>-169.358</v>
      </c>
      <c r="N5086" s="1">
        <v>-112.855</v>
      </c>
      <c r="O5086" s="1">
        <v>-56.414999999999999</v>
      </c>
      <c r="P5086" s="365">
        <v>0</v>
      </c>
      <c r="Q5086" s="1">
        <v>56.415999999999997</v>
      </c>
      <c r="R5086" s="1">
        <v>112.873</v>
      </c>
      <c r="S5086" s="1">
        <v>169.405</v>
      </c>
      <c r="T5086" s="1">
        <v>226.05</v>
      </c>
      <c r="U5086" s="25"/>
      <c r="V5086" s="1">
        <f>IF(tankSound216=soundingPipe16,tankSound216,FLOOR(W5085,incHeel))</f>
        <v>3300</v>
      </c>
      <c r="W5086" s="1">
        <f>Interp2(tank16Heel1,tank16Heel2,tank16Heel3,V5086,V5085)</f>
        <v>0</v>
      </c>
      <c r="X5086" s="1">
        <f>IF(X5085=soundingPipe16,Tank1!X5085,FLOOR(X5085,inc))</f>
        <v>3300</v>
      </c>
      <c r="Y5086" s="42">
        <f>IF(W5091=W5090,W5090,Interp1(V5090:V5091,W5090:W5091,V5089))</f>
        <v>73.27</v>
      </c>
      <c r="AB5086" s="42"/>
    </row>
    <row r="5087" spans="1:16372">
      <c r="A5087" s="1">
        <v>450</v>
      </c>
      <c r="B5087" s="1">
        <v>10.657</v>
      </c>
      <c r="C5087" s="1">
        <v>10.632</v>
      </c>
      <c r="D5087" s="1">
        <v>10.619</v>
      </c>
      <c r="E5087" s="1">
        <v>10.606</v>
      </c>
      <c r="F5087" s="1">
        <v>10.593</v>
      </c>
      <c r="G5087" s="1">
        <v>10.58</v>
      </c>
      <c r="H5087" s="1">
        <v>10.554</v>
      </c>
      <c r="I5087" s="1">
        <v>10.528</v>
      </c>
      <c r="J5087" s="21">
        <v>4400</v>
      </c>
      <c r="K5087" s="1">
        <v>900</v>
      </c>
      <c r="L5087" s="1">
        <v>-225.96899999999999</v>
      </c>
      <c r="M5087" s="1">
        <v>-169.363</v>
      </c>
      <c r="N5087" s="1">
        <v>-112.858</v>
      </c>
      <c r="O5087" s="1">
        <v>-56.415999999999997</v>
      </c>
      <c r="P5087" s="365">
        <v>0</v>
      </c>
      <c r="Q5087" s="1">
        <v>56.420999999999999</v>
      </c>
      <c r="R5087" s="1">
        <v>112.883</v>
      </c>
      <c r="S5087" s="1">
        <v>169.42</v>
      </c>
      <c r="T5087" s="1">
        <v>226.065</v>
      </c>
      <c r="U5087" s="25"/>
      <c r="V5087" s="1">
        <f>IF(V5086=tankSound216,V5086,CEILING(W5085,incHeel))</f>
        <v>3400</v>
      </c>
      <c r="W5087" s="1">
        <f>Interp2(tank16Heel1,tank16Heel2,tank16Heel3,V5087,V5085)</f>
        <v>0</v>
      </c>
      <c r="X5087" s="1">
        <f>IF(X5086=X5085,X5086,CEILING(X5085,inc))</f>
        <v>3350</v>
      </c>
      <c r="Y5087" s="42">
        <f>IF(X5091=X5090,X5090,Interp1(V5090:V5091,X5090:X5091,V5089))</f>
        <v>74.37</v>
      </c>
    </row>
    <row r="5088" spans="1:16372">
      <c r="A5088" s="1">
        <v>500</v>
      </c>
      <c r="B5088" s="1">
        <v>11.756</v>
      </c>
      <c r="C5088" s="1">
        <v>11.73</v>
      </c>
      <c r="D5088" s="1">
        <v>11.717000000000001</v>
      </c>
      <c r="E5088" s="1">
        <v>11.704000000000001</v>
      </c>
      <c r="F5088" s="1">
        <v>11.691000000000001</v>
      </c>
      <c r="G5088" s="1">
        <v>11.678000000000001</v>
      </c>
      <c r="H5088" s="1">
        <v>11.653</v>
      </c>
      <c r="I5088" s="1">
        <v>11.627000000000001</v>
      </c>
      <c r="J5088" s="21">
        <v>4350</v>
      </c>
      <c r="K5088" s="1">
        <v>1000</v>
      </c>
      <c r="L5088" s="1">
        <v>-225.983</v>
      </c>
      <c r="M5088" s="1">
        <v>-169.374</v>
      </c>
      <c r="N5088" s="1">
        <v>-112.867</v>
      </c>
      <c r="O5088" s="1">
        <v>-56.420999999999999</v>
      </c>
      <c r="P5088" s="365">
        <v>0</v>
      </c>
      <c r="Q5088" s="1">
        <v>56.424999999999997</v>
      </c>
      <c r="R5088" s="1">
        <v>112.889</v>
      </c>
      <c r="S5088" s="1">
        <v>169.42599999999999</v>
      </c>
      <c r="T5088" s="1">
        <v>226.07499999999999</v>
      </c>
      <c r="U5088" s="26"/>
      <c r="W5088" s="1">
        <f>IF(W5087=W5086,W5086,Interp1(V5086:V5087,W5086:W5087,W5085))</f>
        <v>0</v>
      </c>
      <c r="Y5088" s="42"/>
    </row>
    <row r="5089" spans="1:28">
      <c r="A5089" s="1">
        <v>550</v>
      </c>
      <c r="B5089" s="1">
        <v>12.853999999999999</v>
      </c>
      <c r="C5089" s="1">
        <v>12.827999999999999</v>
      </c>
      <c r="D5089" s="1">
        <v>12.816000000000001</v>
      </c>
      <c r="E5089" s="1">
        <v>12.803000000000001</v>
      </c>
      <c r="F5089" s="1">
        <v>12.79</v>
      </c>
      <c r="G5089" s="1">
        <v>12.776999999999999</v>
      </c>
      <c r="H5089" s="1">
        <v>12.750999999999999</v>
      </c>
      <c r="I5089" s="1">
        <v>12.725</v>
      </c>
      <c r="J5089" s="21">
        <v>4300</v>
      </c>
      <c r="K5089" s="1">
        <v>1100</v>
      </c>
      <c r="L5089" s="1">
        <v>-225.99700000000001</v>
      </c>
      <c r="M5089" s="1">
        <v>-169.387</v>
      </c>
      <c r="N5089" s="1">
        <v>-112.874</v>
      </c>
      <c r="O5089" s="1">
        <v>-56.423999999999999</v>
      </c>
      <c r="P5089" s="365">
        <v>0</v>
      </c>
      <c r="Q5089" s="1">
        <v>56.426000000000002</v>
      </c>
      <c r="R5089" s="1">
        <v>112.892</v>
      </c>
      <c r="S5089" s="1">
        <v>169.434</v>
      </c>
      <c r="T5089" s="1">
        <v>226.08799999999999</v>
      </c>
      <c r="U5089" s="25"/>
      <c r="V5089" s="1">
        <f>Bunkering!trim1</f>
        <v>0.36</v>
      </c>
    </row>
    <row r="5090" spans="1:28">
      <c r="A5090" s="1">
        <v>600</v>
      </c>
      <c r="B5090" s="1">
        <v>13.952999999999999</v>
      </c>
      <c r="C5090" s="1">
        <v>13.927</v>
      </c>
      <c r="D5090" s="1">
        <v>13.914</v>
      </c>
      <c r="E5090" s="1">
        <v>13.901</v>
      </c>
      <c r="F5090" s="1">
        <v>13.888</v>
      </c>
      <c r="G5090" s="1">
        <v>13.875</v>
      </c>
      <c r="H5090" s="1">
        <v>13.849</v>
      </c>
      <c r="I5090" s="1">
        <v>13.824</v>
      </c>
      <c r="J5090" s="21">
        <v>4250</v>
      </c>
      <c r="K5090" s="1">
        <v>1200</v>
      </c>
      <c r="L5090" s="1">
        <v>-226.00700000000001</v>
      </c>
      <c r="M5090" s="1">
        <v>-169.393</v>
      </c>
      <c r="N5090" s="1">
        <v>-112.877</v>
      </c>
      <c r="O5090" s="1">
        <v>-56.424999999999997</v>
      </c>
      <c r="P5090" s="365">
        <v>0</v>
      </c>
      <c r="Q5090" s="1">
        <v>56.430999999999997</v>
      </c>
      <c r="R5090" s="1">
        <v>112.902</v>
      </c>
      <c r="S5090" s="1">
        <v>169.446</v>
      </c>
      <c r="T5090" s="1">
        <v>226.102</v>
      </c>
      <c r="U5090" s="25"/>
      <c r="V5090" s="1">
        <f>INDEX(tank16Trim2,0,MATCH(V5089,tank16Trim2,1))</f>
        <v>0</v>
      </c>
      <c r="W5090" s="1">
        <f>Interp2(tank16Trim1,tank16Trim2,tank16Trim3,X5086,V5090)</f>
        <v>73.278999999999996</v>
      </c>
      <c r="X5090" s="1">
        <f>Interp2(tank16Trim1,tank16Trim2,tank16Trim3,X5087,V5090)</f>
        <v>74.379000000000005</v>
      </c>
      <c r="Z5090" s="187"/>
      <c r="AA5090" s="187"/>
      <c r="AB5090" s="40"/>
    </row>
    <row r="5091" spans="1:28">
      <c r="A5091" s="1">
        <v>650</v>
      </c>
      <c r="B5091" s="1">
        <v>15.051</v>
      </c>
      <c r="C5091" s="1">
        <v>15.025</v>
      </c>
      <c r="D5091" s="1">
        <v>15.012</v>
      </c>
      <c r="E5091" s="1">
        <v>15</v>
      </c>
      <c r="F5091" s="1">
        <v>14.987</v>
      </c>
      <c r="G5091" s="1">
        <v>14.974</v>
      </c>
      <c r="H5091" s="1">
        <v>14.948</v>
      </c>
      <c r="I5091" s="1">
        <v>14.922000000000001</v>
      </c>
      <c r="J5091" s="21">
        <v>4200</v>
      </c>
      <c r="K5091" s="1">
        <v>1300</v>
      </c>
      <c r="L5091" s="1">
        <v>-226.02099999999999</v>
      </c>
      <c r="M5091" s="1">
        <v>-169.404</v>
      </c>
      <c r="N5091" s="1">
        <v>-112.887</v>
      </c>
      <c r="O5091" s="1">
        <v>-56.43</v>
      </c>
      <c r="P5091" s="365">
        <v>0</v>
      </c>
      <c r="Q5091" s="1">
        <v>56.433</v>
      </c>
      <c r="R5091" s="1">
        <v>112.90600000000001</v>
      </c>
      <c r="S5091" s="1">
        <v>169.453</v>
      </c>
      <c r="T5091" s="1">
        <v>226.113</v>
      </c>
      <c r="U5091" s="25"/>
      <c r="V5091" s="1">
        <f>IF(V5090=V5089,V5089,INDEX(tank16Trim2,0,MATCH(V5089,tank16Trim2,1)+1))</f>
        <v>0.5</v>
      </c>
      <c r="W5091" s="1">
        <f>Interp2(tank16Trim1,tank16Trim2,tank16Trim3,X5086,V5091)</f>
        <v>73.266000000000005</v>
      </c>
      <c r="X5091" s="1">
        <f>Interp2(tank16Trim1,tank16Trim2,tank16Trim3,X5087,V5091)</f>
        <v>74.366</v>
      </c>
      <c r="AA5091" s="30"/>
    </row>
    <row r="5092" spans="1:28">
      <c r="A5092" s="1">
        <v>700</v>
      </c>
      <c r="B5092" s="1">
        <v>16.149999999999999</v>
      </c>
      <c r="C5092" s="1">
        <v>16.123999999999999</v>
      </c>
      <c r="D5092" s="1">
        <v>16.111000000000001</v>
      </c>
      <c r="E5092" s="1">
        <v>16.097999999999999</v>
      </c>
      <c r="F5092" s="1">
        <v>16.085000000000001</v>
      </c>
      <c r="G5092" s="1">
        <v>16.071999999999999</v>
      </c>
      <c r="H5092" s="1">
        <v>16.045999999999999</v>
      </c>
      <c r="I5092" s="1">
        <v>16.021000000000001</v>
      </c>
      <c r="J5092" s="21">
        <v>4150</v>
      </c>
      <c r="K5092" s="1">
        <v>1400</v>
      </c>
      <c r="L5092" s="1">
        <v>-226.035</v>
      </c>
      <c r="M5092" s="1">
        <v>-169.41399999999999</v>
      </c>
      <c r="N5092" s="1">
        <v>-112.89100000000001</v>
      </c>
      <c r="O5092" s="1">
        <v>-56.432000000000002</v>
      </c>
      <c r="P5092" s="365">
        <v>0</v>
      </c>
      <c r="Q5092" s="1">
        <v>56.436</v>
      </c>
      <c r="R5092" s="1">
        <v>112.913</v>
      </c>
      <c r="S5092" s="1">
        <v>169.464</v>
      </c>
      <c r="T5092" s="1">
        <v>226.126</v>
      </c>
      <c r="U5092" s="25"/>
      <c r="W5092" s="30"/>
      <c r="AA5092" s="30"/>
    </row>
    <row r="5093" spans="1:28">
      <c r="A5093" s="1">
        <v>750</v>
      </c>
      <c r="B5093" s="1">
        <v>17.248000000000001</v>
      </c>
      <c r="C5093" s="1">
        <v>17.222000000000001</v>
      </c>
      <c r="D5093" s="1">
        <v>17.209</v>
      </c>
      <c r="E5093" s="1">
        <v>17.196999999999999</v>
      </c>
      <c r="F5093" s="1">
        <v>17.184000000000001</v>
      </c>
      <c r="G5093" s="1">
        <v>17.170999999999999</v>
      </c>
      <c r="H5093" s="1">
        <v>17.145</v>
      </c>
      <c r="I5093" s="1">
        <v>17.119</v>
      </c>
      <c r="J5093" s="21">
        <v>4100</v>
      </c>
      <c r="K5093" s="1">
        <v>1500</v>
      </c>
      <c r="L5093" s="1">
        <v>-226.04499999999999</v>
      </c>
      <c r="M5093" s="1">
        <v>-169.42</v>
      </c>
      <c r="N5093" s="1">
        <v>-112.896</v>
      </c>
      <c r="O5093" s="1">
        <v>-56.436</v>
      </c>
      <c r="P5093" s="365">
        <v>0</v>
      </c>
      <c r="Q5093" s="1">
        <v>56.44</v>
      </c>
      <c r="R5093" s="1">
        <v>112.922</v>
      </c>
      <c r="S5093" s="1">
        <v>169.47399999999999</v>
      </c>
      <c r="T5093" s="1">
        <v>226.13900000000001</v>
      </c>
      <c r="U5093" s="24"/>
      <c r="W5093" s="30"/>
      <c r="X5093" s="42"/>
      <c r="AA5093" s="30"/>
      <c r="AB5093" s="42"/>
    </row>
    <row r="5094" spans="1:28">
      <c r="A5094" s="1">
        <v>800</v>
      </c>
      <c r="B5094" s="1">
        <v>18.347000000000001</v>
      </c>
      <c r="C5094" s="1">
        <v>18.321000000000002</v>
      </c>
      <c r="D5094" s="1">
        <v>18.308</v>
      </c>
      <c r="E5094" s="1">
        <v>18.295000000000002</v>
      </c>
      <c r="F5094" s="1">
        <v>18.282</v>
      </c>
      <c r="G5094" s="1">
        <v>18.268999999999998</v>
      </c>
      <c r="H5094" s="1">
        <v>18.244</v>
      </c>
      <c r="I5094" s="1">
        <v>18.218</v>
      </c>
      <c r="J5094" s="21">
        <v>4050</v>
      </c>
      <c r="K5094" s="1">
        <v>1600</v>
      </c>
      <c r="L5094" s="1">
        <v>-226.06</v>
      </c>
      <c r="M5094" s="1">
        <v>-169.43199999999999</v>
      </c>
      <c r="N5094" s="1">
        <v>-112.904</v>
      </c>
      <c r="O5094" s="1">
        <v>-56.44</v>
      </c>
      <c r="P5094" s="365">
        <v>0</v>
      </c>
      <c r="Q5094" s="1">
        <v>56.441000000000003</v>
      </c>
      <c r="R5094" s="1">
        <v>112.925</v>
      </c>
      <c r="S5094" s="1">
        <v>169.482</v>
      </c>
      <c r="T5094" s="1">
        <v>226.15</v>
      </c>
      <c r="U5094" s="24"/>
      <c r="V5094" s="1">
        <f>bunkerPlanTrim</f>
        <v>-0.15</v>
      </c>
      <c r="W5094" s="383">
        <v>19</v>
      </c>
      <c r="X5094" s="384" t="str">
        <f>ADDRESS(X5096,10,1,1)</f>
        <v>$J$5094</v>
      </c>
      <c r="AA5094" s="30"/>
      <c r="AB5094" s="42"/>
    </row>
    <row r="5095" spans="1:28">
      <c r="A5095" s="1">
        <v>850</v>
      </c>
      <c r="B5095" s="1">
        <v>19.445</v>
      </c>
      <c r="C5095" s="1">
        <v>19.420000000000002</v>
      </c>
      <c r="D5095" s="1">
        <v>19.407</v>
      </c>
      <c r="E5095" s="1">
        <v>19.393999999999998</v>
      </c>
      <c r="F5095" s="1">
        <v>19.381</v>
      </c>
      <c r="G5095" s="1">
        <v>19.367999999999999</v>
      </c>
      <c r="H5095" s="1">
        <v>19.341999999999999</v>
      </c>
      <c r="I5095" s="1">
        <v>19.315999999999999</v>
      </c>
      <c r="J5095" s="21">
        <v>4000</v>
      </c>
      <c r="K5095" s="1">
        <v>1700</v>
      </c>
      <c r="L5095" s="1">
        <v>-226.071</v>
      </c>
      <c r="M5095" s="1">
        <v>-169.43899999999999</v>
      </c>
      <c r="N5095" s="1">
        <v>-112.907</v>
      </c>
      <c r="O5095" s="1">
        <v>-56.441000000000003</v>
      </c>
      <c r="P5095" s="365">
        <v>0</v>
      </c>
      <c r="Q5095" s="1">
        <v>56.447000000000003</v>
      </c>
      <c r="R5095" s="1">
        <v>112.934</v>
      </c>
      <c r="S5095" s="1">
        <v>169.49299999999999</v>
      </c>
      <c r="T5095" s="1">
        <v>226.16399999999999</v>
      </c>
      <c r="U5095" s="24"/>
      <c r="V5095" s="188">
        <f>INDEX(tank16Trim2,0,MATCH(V5094,tank16Trim2,1))</f>
        <v>-1</v>
      </c>
      <c r="W5095" s="188">
        <f>MATCH(V5095,tank16Trim2,0)+1</f>
        <v>2</v>
      </c>
      <c r="X5095" s="188">
        <f>MATCH(targetTank16,IF(W5095=2,B5078:B5175,IF(W5095=3,C5078:C5175,IF(W5095=4,D5078:D5175,IF(W5095=5,E5078:E5175,IF(W5095=6,F5078:F5175,IF(W5095=7,G5078:G5175,IF(W5095=8,H5078:H5175,IF(W5095=9,I5078:I5175)))))))),1)</f>
        <v>17</v>
      </c>
      <c r="AA5095" s="30"/>
      <c r="AB5095" s="42"/>
    </row>
    <row r="5096" spans="1:28">
      <c r="A5096" s="1">
        <v>900</v>
      </c>
      <c r="B5096" s="1">
        <v>20.544</v>
      </c>
      <c r="C5096" s="1">
        <v>20.518000000000001</v>
      </c>
      <c r="D5096" s="1">
        <v>20.504999999999999</v>
      </c>
      <c r="E5096" s="1">
        <v>20.492000000000001</v>
      </c>
      <c r="F5096" s="1">
        <v>20.478999999999999</v>
      </c>
      <c r="G5096" s="1">
        <v>20.466999999999999</v>
      </c>
      <c r="H5096" s="1">
        <v>20.440999999999999</v>
      </c>
      <c r="I5096" s="1">
        <v>20.414999999999999</v>
      </c>
      <c r="J5096" s="21">
        <v>3950</v>
      </c>
      <c r="K5096" s="1">
        <v>1800</v>
      </c>
      <c r="L5096" s="1">
        <v>-226.083</v>
      </c>
      <c r="M5096" s="1">
        <v>-169.45099999999999</v>
      </c>
      <c r="N5096" s="1">
        <v>-112.917</v>
      </c>
      <c r="O5096" s="1">
        <v>-56.445999999999998</v>
      </c>
      <c r="P5096" s="365">
        <v>0</v>
      </c>
      <c r="Q5096" s="1">
        <v>56.448</v>
      </c>
      <c r="R5096" s="1">
        <v>112.937</v>
      </c>
      <c r="S5096" s="1">
        <v>169.501</v>
      </c>
      <c r="T5096" s="1">
        <v>226.17699999999999</v>
      </c>
      <c r="U5096" s="24"/>
      <c r="V5096" s="386">
        <v>306</v>
      </c>
      <c r="X5096" s="188">
        <f>X5095+5077</f>
        <v>5094</v>
      </c>
      <c r="AA5096" s="30"/>
    </row>
    <row r="5097" spans="1:28">
      <c r="A5097" s="1">
        <v>950</v>
      </c>
      <c r="B5097" s="1">
        <v>21.643000000000001</v>
      </c>
      <c r="C5097" s="1">
        <v>21.617000000000001</v>
      </c>
      <c r="D5097" s="1">
        <v>21.603999999999999</v>
      </c>
      <c r="E5097" s="1">
        <v>21.591000000000001</v>
      </c>
      <c r="F5097" s="1">
        <v>21.577999999999999</v>
      </c>
      <c r="G5097" s="1">
        <v>21.565000000000001</v>
      </c>
      <c r="H5097" s="1">
        <v>21.539000000000001</v>
      </c>
      <c r="I5097" s="1">
        <v>21.513000000000002</v>
      </c>
      <c r="J5097" s="21">
        <v>3900</v>
      </c>
      <c r="K5097" s="1">
        <v>1900</v>
      </c>
      <c r="L5097" s="1">
        <v>-226.095</v>
      </c>
      <c r="M5097" s="1">
        <v>-169.459</v>
      </c>
      <c r="N5097" s="1">
        <v>-112.92</v>
      </c>
      <c r="O5097" s="1">
        <v>-56.448</v>
      </c>
      <c r="P5097" s="365">
        <v>0</v>
      </c>
      <c r="Q5097" s="1">
        <v>56.453000000000003</v>
      </c>
      <c r="R5097" s="1">
        <v>112.94799999999999</v>
      </c>
      <c r="S5097" s="1">
        <v>169.51400000000001</v>
      </c>
      <c r="T5097" s="1">
        <v>226.19200000000001</v>
      </c>
      <c r="U5097" s="25"/>
      <c r="V5097" s="188">
        <f>FLOOR(V5096,inc)</f>
        <v>300</v>
      </c>
      <c r="W5097" s="384">
        <f>Interp2(tank16Trim1,tank16Trim2,tank16Trim3,V5097,V5095)</f>
        <v>7.3620000000000001</v>
      </c>
      <c r="X5097" s="188"/>
      <c r="AA5097" s="30"/>
      <c r="AB5097" s="42"/>
    </row>
    <row r="5098" spans="1:28">
      <c r="A5098" s="1">
        <v>1000</v>
      </c>
      <c r="B5098" s="1">
        <v>22.741</v>
      </c>
      <c r="C5098" s="1">
        <v>22.716000000000001</v>
      </c>
      <c r="D5098" s="1">
        <v>22.702999999999999</v>
      </c>
      <c r="E5098" s="1">
        <v>22.69</v>
      </c>
      <c r="F5098" s="1">
        <v>22.677</v>
      </c>
      <c r="G5098" s="1">
        <v>22.664000000000001</v>
      </c>
      <c r="H5098" s="1">
        <v>22.638000000000002</v>
      </c>
      <c r="I5098" s="1">
        <v>22.611999999999998</v>
      </c>
      <c r="J5098" s="21">
        <v>3850</v>
      </c>
      <c r="K5098" s="1">
        <v>2000</v>
      </c>
      <c r="L5098" s="1">
        <v>-226.10900000000001</v>
      </c>
      <c r="M5098" s="1">
        <v>-169.47</v>
      </c>
      <c r="N5098" s="1">
        <v>-112.93</v>
      </c>
      <c r="O5098" s="1">
        <v>-56.453000000000003</v>
      </c>
      <c r="P5098" s="365">
        <v>0</v>
      </c>
      <c r="Q5098" s="1">
        <v>56.456000000000003</v>
      </c>
      <c r="R5098" s="1">
        <v>112.953</v>
      </c>
      <c r="S5098" s="1">
        <v>169.52</v>
      </c>
      <c r="T5098" s="1">
        <v>226.202</v>
      </c>
      <c r="U5098" s="27"/>
      <c r="W5098" s="43"/>
      <c r="X5098" s="42"/>
      <c r="AA5098" s="30"/>
      <c r="AB5098" s="42"/>
    </row>
    <row r="5099" spans="1:28">
      <c r="A5099" s="1">
        <v>1050</v>
      </c>
      <c r="B5099" s="1">
        <v>23.84</v>
      </c>
      <c r="C5099" s="1">
        <v>23.814</v>
      </c>
      <c r="D5099" s="1">
        <v>23.800999999999998</v>
      </c>
      <c r="E5099" s="1">
        <v>23.788</v>
      </c>
      <c r="F5099" s="1">
        <v>23.774999999999999</v>
      </c>
      <c r="G5099" s="1">
        <v>23.762</v>
      </c>
      <c r="H5099" s="1">
        <v>23.736999999999998</v>
      </c>
      <c r="I5099" s="1">
        <v>23.710999999999999</v>
      </c>
      <c r="J5099" s="21">
        <v>3800</v>
      </c>
      <c r="K5099" s="1">
        <v>2100</v>
      </c>
      <c r="L5099" s="1">
        <v>-226.125</v>
      </c>
      <c r="M5099" s="1">
        <v>-169.482</v>
      </c>
      <c r="N5099" s="1">
        <v>-112.937</v>
      </c>
      <c r="O5099" s="1">
        <v>-56.456000000000003</v>
      </c>
      <c r="P5099" s="365">
        <v>0</v>
      </c>
      <c r="Q5099" s="1">
        <v>56.457000000000001</v>
      </c>
      <c r="R5099" s="1">
        <v>112.956</v>
      </c>
      <c r="S5099" s="1">
        <v>169.52799999999999</v>
      </c>
      <c r="T5099" s="1">
        <v>226.21299999999999</v>
      </c>
      <c r="U5099" s="25"/>
    </row>
    <row r="5100" spans="1:28">
      <c r="A5100" s="1">
        <v>1100</v>
      </c>
      <c r="B5100" s="1">
        <v>24.939</v>
      </c>
      <c r="C5100" s="1">
        <v>24.913</v>
      </c>
      <c r="D5100" s="1">
        <v>24.9</v>
      </c>
      <c r="E5100" s="1">
        <v>24.887</v>
      </c>
      <c r="F5100" s="1">
        <v>24.873999999999999</v>
      </c>
      <c r="G5100" s="1">
        <v>24.861000000000001</v>
      </c>
      <c r="H5100" s="1">
        <v>24.835000000000001</v>
      </c>
      <c r="I5100" s="1">
        <v>24.809000000000001</v>
      </c>
      <c r="J5100" s="21">
        <v>3750</v>
      </c>
      <c r="K5100" s="1">
        <v>2200</v>
      </c>
      <c r="L5100" s="1">
        <v>-226.13300000000001</v>
      </c>
      <c r="M5100" s="1">
        <v>-169.48599999999999</v>
      </c>
      <c r="N5100" s="1">
        <v>-112.93899999999999</v>
      </c>
      <c r="O5100" s="1">
        <v>-56.457000000000001</v>
      </c>
      <c r="P5100" s="365">
        <v>0</v>
      </c>
      <c r="Q5100" s="1">
        <v>56.462000000000003</v>
      </c>
      <c r="R5100" s="1">
        <v>112.96599999999999</v>
      </c>
      <c r="S5100" s="1">
        <v>169.542</v>
      </c>
      <c r="T5100" s="1">
        <v>226.22900000000001</v>
      </c>
      <c r="U5100" s="24"/>
      <c r="V5100" s="1">
        <f>bunkerPlanHeel</f>
        <v>0</v>
      </c>
      <c r="W5100" s="382">
        <f>currentSounding16</f>
        <v>306</v>
      </c>
      <c r="X5100" s="186">
        <f>IF((W5100+W5103)&lt;0,W5100,W5100+W5103)</f>
        <v>306</v>
      </c>
      <c r="Y5100" s="381">
        <f>IF(Y5102=Y5101,Y5101,Interp1(X5101:X5102,Y5101:Y5102,X5100))</f>
        <v>7.4720000000000004</v>
      </c>
    </row>
    <row r="5101" spans="1:28">
      <c r="A5101" s="1">
        <v>1150</v>
      </c>
      <c r="B5101" s="1">
        <v>26.036999999999999</v>
      </c>
      <c r="C5101" s="1">
        <v>26.012</v>
      </c>
      <c r="D5101" s="1">
        <v>25.998999999999999</v>
      </c>
      <c r="E5101" s="1">
        <v>25.986000000000001</v>
      </c>
      <c r="F5101" s="1">
        <v>25.972999999999999</v>
      </c>
      <c r="G5101" s="1">
        <v>25.96</v>
      </c>
      <c r="H5101" s="1">
        <v>25.934000000000001</v>
      </c>
      <c r="I5101" s="1">
        <v>25.908000000000001</v>
      </c>
      <c r="J5101" s="21">
        <v>3700</v>
      </c>
      <c r="K5101" s="1">
        <v>2300</v>
      </c>
      <c r="L5101" s="1">
        <v>-226.14699999999999</v>
      </c>
      <c r="M5101" s="1">
        <v>-169.49700000000001</v>
      </c>
      <c r="N5101" s="1">
        <v>-112.949</v>
      </c>
      <c r="O5101" s="1">
        <v>-56.460999999999999</v>
      </c>
      <c r="P5101" s="365">
        <v>0</v>
      </c>
      <c r="Q5101" s="1">
        <v>56.466000000000001</v>
      </c>
      <c r="R5101" s="1">
        <v>112.97</v>
      </c>
      <c r="S5101" s="1">
        <v>169.54900000000001</v>
      </c>
      <c r="T5101" s="1">
        <v>226.239</v>
      </c>
      <c r="U5101" s="25"/>
      <c r="V5101" s="1">
        <f>FLOOR(W5100,inc)</f>
        <v>300</v>
      </c>
      <c r="W5101" s="1">
        <f>Interp2(tank12Heel1,tank12Heel2,tank12Heel3,V5101,V5100)</f>
        <v>0</v>
      </c>
      <c r="X5101" s="1">
        <f>FLOOR(X5100,2)</f>
        <v>306</v>
      </c>
      <c r="Y5101" s="42">
        <f>IF(W5106=W5105,W5105,Interp1(V5105:V5106,W5105:W5106,V5104))</f>
        <v>7.4720000000000004</v>
      </c>
      <c r="AB5101" s="42"/>
    </row>
    <row r="5102" spans="1:28">
      <c r="A5102" s="1">
        <v>1200</v>
      </c>
      <c r="B5102" s="1">
        <v>27.135999999999999</v>
      </c>
      <c r="C5102" s="1">
        <v>27.11</v>
      </c>
      <c r="D5102" s="1">
        <v>27.097000000000001</v>
      </c>
      <c r="E5102" s="1">
        <v>27.085000000000001</v>
      </c>
      <c r="F5102" s="1">
        <v>27.071999999999999</v>
      </c>
      <c r="G5102" s="1">
        <v>27.059000000000001</v>
      </c>
      <c r="H5102" s="1">
        <v>27.033000000000001</v>
      </c>
      <c r="I5102" s="1">
        <v>27.007000000000001</v>
      </c>
      <c r="J5102" s="21">
        <v>3650</v>
      </c>
      <c r="K5102" s="1">
        <v>2400</v>
      </c>
      <c r="L5102" s="1">
        <v>-226.161</v>
      </c>
      <c r="M5102" s="1">
        <v>-169.50800000000001</v>
      </c>
      <c r="N5102" s="1">
        <v>-112.95399999999999</v>
      </c>
      <c r="O5102" s="1">
        <v>-56.462000000000003</v>
      </c>
      <c r="P5102" s="365">
        <v>0</v>
      </c>
      <c r="Q5102" s="1">
        <v>56.469000000000001</v>
      </c>
      <c r="R5102" s="1">
        <v>112.976</v>
      </c>
      <c r="S5102" s="1">
        <v>169.559</v>
      </c>
      <c r="T5102" s="1">
        <v>226.25200000000001</v>
      </c>
      <c r="U5102" s="25"/>
      <c r="V5102" s="1">
        <f>IF(V5101=currentSounding216,V5101,CEILING(W5100,inc))</f>
        <v>350</v>
      </c>
      <c r="W5102" s="1">
        <f>Interp2(tank12Heel1,tank12Heel2,tank12Heel3,V5102,V5100)</f>
        <v>0</v>
      </c>
      <c r="X5102" s="1">
        <f>CEILING(X5100,2)</f>
        <v>306</v>
      </c>
      <c r="Y5102" s="42">
        <f>IF(X5106=X5105,X5105,Interp1(V5105:V5106,X5105:X5106,V5104))</f>
        <v>7.4720000000000004</v>
      </c>
    </row>
    <row r="5103" spans="1:28">
      <c r="A5103" s="1">
        <v>1250</v>
      </c>
      <c r="B5103" s="1">
        <v>28.234999999999999</v>
      </c>
      <c r="C5103" s="1">
        <v>28.209</v>
      </c>
      <c r="D5103" s="1">
        <v>28.196000000000002</v>
      </c>
      <c r="E5103" s="1">
        <v>28.183</v>
      </c>
      <c r="F5103" s="1">
        <v>28.17</v>
      </c>
      <c r="G5103" s="1">
        <v>28.157</v>
      </c>
      <c r="H5103" s="1">
        <v>28.132000000000001</v>
      </c>
      <c r="I5103" s="1">
        <v>28.106000000000002</v>
      </c>
      <c r="J5103" s="21">
        <v>3600</v>
      </c>
      <c r="K5103" s="1">
        <v>2500</v>
      </c>
      <c r="L5103" s="1">
        <v>-226.17099999999999</v>
      </c>
      <c r="M5103" s="1">
        <v>-169.51599999999999</v>
      </c>
      <c r="N5103" s="1">
        <v>-112.96</v>
      </c>
      <c r="O5103" s="1">
        <v>-56.466000000000001</v>
      </c>
      <c r="P5103" s="365">
        <v>0</v>
      </c>
      <c r="Q5103" s="1">
        <v>56.472999999999999</v>
      </c>
      <c r="R5103" s="1">
        <v>112.983</v>
      </c>
      <c r="S5103" s="1">
        <v>169.56800000000001</v>
      </c>
      <c r="T5103" s="1">
        <v>226.26599999999999</v>
      </c>
      <c r="U5103" s="25"/>
      <c r="W5103" s="1">
        <f>IF(W5102=W5101,W5101,Interp1(V5101:V5102,W5101:W5102,W5100))</f>
        <v>0</v>
      </c>
      <c r="Y5103" s="42"/>
    </row>
    <row r="5104" spans="1:28">
      <c r="A5104" s="1">
        <v>1300</v>
      </c>
      <c r="B5104" s="1">
        <v>29.334</v>
      </c>
      <c r="C5104" s="1">
        <v>29.308</v>
      </c>
      <c r="D5104" s="1">
        <v>29.295000000000002</v>
      </c>
      <c r="E5104" s="1">
        <v>29.282</v>
      </c>
      <c r="F5104" s="1">
        <v>29.268999999999998</v>
      </c>
      <c r="G5104" s="1">
        <v>29.256</v>
      </c>
      <c r="H5104" s="1">
        <v>29.23</v>
      </c>
      <c r="I5104" s="1">
        <v>29.204000000000001</v>
      </c>
      <c r="J5104" s="21">
        <v>3550</v>
      </c>
      <c r="K5104" s="1">
        <v>2600</v>
      </c>
      <c r="L5104" s="1">
        <v>-226.184</v>
      </c>
      <c r="M5104" s="1">
        <v>-169.52600000000001</v>
      </c>
      <c r="N5104" s="1">
        <v>-112.967</v>
      </c>
      <c r="O5104" s="1">
        <v>-56.469000000000001</v>
      </c>
      <c r="P5104" s="365">
        <v>0</v>
      </c>
      <c r="Q5104" s="1">
        <v>56.475999999999999</v>
      </c>
      <c r="R5104" s="1">
        <v>112.989</v>
      </c>
      <c r="S5104" s="1">
        <v>169.578</v>
      </c>
      <c r="T5104" s="1">
        <v>226.28</v>
      </c>
      <c r="U5104" s="25"/>
      <c r="V5104" s="1">
        <f>bunkerPlanTrim</f>
        <v>-0.15</v>
      </c>
    </row>
    <row r="5105" spans="1:28">
      <c r="A5105" s="1">
        <v>1350</v>
      </c>
      <c r="B5105" s="1">
        <v>30.433</v>
      </c>
      <c r="C5105" s="1">
        <v>30.407</v>
      </c>
      <c r="D5105" s="1">
        <v>30.393999999999998</v>
      </c>
      <c r="E5105" s="1">
        <v>30.381</v>
      </c>
      <c r="F5105" s="1">
        <v>30.367999999999999</v>
      </c>
      <c r="G5105" s="1">
        <v>30.355</v>
      </c>
      <c r="H5105" s="1">
        <v>30.329000000000001</v>
      </c>
      <c r="I5105" s="1">
        <v>30.303000000000001</v>
      </c>
      <c r="J5105" s="21">
        <v>3500</v>
      </c>
      <c r="K5105" s="1">
        <v>2700</v>
      </c>
      <c r="L5105" s="1">
        <v>-226.197</v>
      </c>
      <c r="M5105" s="1">
        <v>-169.536</v>
      </c>
      <c r="N5105" s="1">
        <v>-112.973</v>
      </c>
      <c r="O5105" s="1">
        <v>-56.472000000000001</v>
      </c>
      <c r="P5105" s="365">
        <v>0</v>
      </c>
      <c r="Q5105" s="1">
        <v>56.48</v>
      </c>
      <c r="R5105" s="1">
        <v>112.997</v>
      </c>
      <c r="S5105" s="1">
        <v>169.58799999999999</v>
      </c>
      <c r="T5105" s="1">
        <v>226.292</v>
      </c>
      <c r="U5105" s="24"/>
      <c r="V5105" s="1">
        <f>INDEX(tank16Trim2,0,MATCH(V5104,tank16Trim2,1))</f>
        <v>-1</v>
      </c>
      <c r="W5105" s="1">
        <f>Interp2(tank16Trim1,tank16Trim2,tank16Trim3,X5101,V5105)</f>
        <v>7.4938799999999999</v>
      </c>
      <c r="X5105" s="1">
        <f>Interp2(tank16Trim1,tank16Trim2,tank16Trim3,X5102,V5105)</f>
        <v>7.4938799999999999</v>
      </c>
    </row>
    <row r="5106" spans="1:28">
      <c r="A5106" s="1">
        <v>1400</v>
      </c>
      <c r="B5106" s="1">
        <v>31.532</v>
      </c>
      <c r="C5106" s="1">
        <v>31.506</v>
      </c>
      <c r="D5106" s="1">
        <v>31.492999999999999</v>
      </c>
      <c r="E5106" s="1">
        <v>31.48</v>
      </c>
      <c r="F5106" s="1">
        <v>31.466999999999999</v>
      </c>
      <c r="G5106" s="1">
        <v>31.454000000000001</v>
      </c>
      <c r="H5106" s="1">
        <v>31.428000000000001</v>
      </c>
      <c r="I5106" s="1">
        <v>31.402000000000001</v>
      </c>
      <c r="J5106" s="21">
        <v>3450</v>
      </c>
      <c r="K5106" s="1">
        <v>2800</v>
      </c>
      <c r="L5106" s="1">
        <v>-226.21199999999999</v>
      </c>
      <c r="M5106" s="1">
        <v>-169.547</v>
      </c>
      <c r="N5106" s="1">
        <v>-112.98099999999999</v>
      </c>
      <c r="O5106" s="1">
        <v>-56.475999999999999</v>
      </c>
      <c r="P5106" s="365">
        <v>0</v>
      </c>
      <c r="Q5106" s="1">
        <v>56.481999999999999</v>
      </c>
      <c r="R5106" s="1">
        <v>113.002</v>
      </c>
      <c r="S5106" s="1">
        <v>169.595</v>
      </c>
      <c r="T5106" s="1">
        <v>226.30199999999999</v>
      </c>
      <c r="U5106" s="25"/>
      <c r="V5106" s="1">
        <f>IF(V5105=V5104,V5104,INDEX(tank16Trim2,0,MATCH(V5104,tank16Trim2,1)+1))</f>
        <v>0</v>
      </c>
      <c r="W5106" s="1">
        <f>Interp2(tank16Trim1,tank16Trim2,tank16Trim3,X5101,V5106)</f>
        <v>7.4678800000000001</v>
      </c>
      <c r="X5106" s="1">
        <f>Interp2(tank16Trim1,tank16Trim2,tank16Trim3,X5102,V5106)</f>
        <v>7.4678800000000001</v>
      </c>
    </row>
    <row r="5107" spans="1:28">
      <c r="A5107" s="1">
        <v>1450</v>
      </c>
      <c r="B5107" s="1">
        <v>32.630000000000003</v>
      </c>
      <c r="C5107" s="1">
        <v>32.603999999999999</v>
      </c>
      <c r="D5107" s="1">
        <v>32.591999999999999</v>
      </c>
      <c r="E5107" s="1">
        <v>32.579000000000001</v>
      </c>
      <c r="F5107" s="1">
        <v>32.566000000000003</v>
      </c>
      <c r="G5107" s="1">
        <v>32.552999999999997</v>
      </c>
      <c r="H5107" s="1">
        <v>32.527000000000001</v>
      </c>
      <c r="I5107" s="1">
        <v>32.500999999999998</v>
      </c>
      <c r="J5107" s="21">
        <v>3400</v>
      </c>
      <c r="K5107" s="1">
        <v>2900</v>
      </c>
      <c r="L5107" s="1">
        <v>-226.22399999999999</v>
      </c>
      <c r="M5107" s="1">
        <v>-169.55500000000001</v>
      </c>
      <c r="N5107" s="1">
        <v>-112.986</v>
      </c>
      <c r="O5107" s="1">
        <v>-56.478999999999999</v>
      </c>
      <c r="P5107" s="365">
        <v>0</v>
      </c>
      <c r="Q5107" s="1">
        <v>56.484999999999999</v>
      </c>
      <c r="R5107" s="1">
        <v>113.008</v>
      </c>
      <c r="S5107" s="1">
        <v>169.607</v>
      </c>
      <c r="T5107" s="1">
        <v>226.31700000000001</v>
      </c>
      <c r="U5107" s="24"/>
    </row>
    <row r="5108" spans="1:28">
      <c r="A5108" s="1">
        <v>1500</v>
      </c>
      <c r="B5108" s="1">
        <v>33.728999999999999</v>
      </c>
      <c r="C5108" s="1">
        <v>33.703000000000003</v>
      </c>
      <c r="D5108" s="1">
        <v>33.69</v>
      </c>
      <c r="E5108" s="1">
        <v>33.677999999999997</v>
      </c>
      <c r="F5108" s="1">
        <v>33.664999999999999</v>
      </c>
      <c r="G5108" s="1">
        <v>33.652000000000001</v>
      </c>
      <c r="H5108" s="1">
        <v>33.625999999999998</v>
      </c>
      <c r="I5108" s="1">
        <v>33.6</v>
      </c>
      <c r="J5108" s="21">
        <v>3350</v>
      </c>
      <c r="K5108" s="1">
        <v>3000</v>
      </c>
      <c r="L5108" s="1">
        <v>-226.23599999999999</v>
      </c>
      <c r="M5108" s="1">
        <v>-169.56299999999999</v>
      </c>
      <c r="N5108" s="1">
        <v>-112.99299999999999</v>
      </c>
      <c r="O5108" s="1">
        <v>-56.481999999999999</v>
      </c>
      <c r="P5108" s="365">
        <v>0</v>
      </c>
      <c r="Q5108" s="1">
        <v>56.488999999999997</v>
      </c>
      <c r="R5108" s="1">
        <v>113.014</v>
      </c>
      <c r="S5108" s="1">
        <v>169.61600000000001</v>
      </c>
      <c r="T5108" s="1">
        <v>226.33</v>
      </c>
      <c r="U5108" s="26"/>
      <c r="V5108" s="136"/>
      <c r="W5108" s="136"/>
      <c r="X5108" s="38"/>
    </row>
    <row r="5109" spans="1:28">
      <c r="A5109" s="1">
        <v>1550</v>
      </c>
      <c r="B5109" s="1">
        <v>34.828000000000003</v>
      </c>
      <c r="C5109" s="1">
        <v>34.802</v>
      </c>
      <c r="D5109" s="1">
        <v>34.789000000000001</v>
      </c>
      <c r="E5109" s="1">
        <v>34.776000000000003</v>
      </c>
      <c r="F5109" s="1">
        <v>34.762999999999998</v>
      </c>
      <c r="G5109" s="1">
        <v>34.75</v>
      </c>
      <c r="H5109" s="1">
        <v>34.725000000000001</v>
      </c>
      <c r="I5109" s="1">
        <v>34.698999999999998</v>
      </c>
      <c r="J5109" s="21">
        <v>3300</v>
      </c>
      <c r="K5109" s="1">
        <v>3100</v>
      </c>
      <c r="L5109" s="1">
        <v>-226.24799999999999</v>
      </c>
      <c r="M5109" s="1">
        <v>-169.57300000000001</v>
      </c>
      <c r="N5109" s="1">
        <v>-112.997</v>
      </c>
      <c r="O5109" s="1">
        <v>-56.484999999999999</v>
      </c>
      <c r="P5109" s="365">
        <v>0</v>
      </c>
      <c r="Q5109" s="1">
        <v>56.491</v>
      </c>
      <c r="R5109" s="1">
        <v>113.021</v>
      </c>
      <c r="S5109" s="1">
        <v>169.62700000000001</v>
      </c>
      <c r="T5109" s="1">
        <v>226.34299999999999</v>
      </c>
      <c r="U5109" s="24"/>
      <c r="V5109" s="187"/>
      <c r="W5109" s="187"/>
      <c r="X5109" s="39"/>
      <c r="Z5109" s="187"/>
      <c r="AA5109" s="187"/>
      <c r="AB5109" s="40"/>
    </row>
    <row r="5110" spans="1:28">
      <c r="A5110" s="1">
        <v>1600</v>
      </c>
      <c r="B5110" s="1">
        <v>35.927</v>
      </c>
      <c r="C5110" s="1">
        <v>35.901000000000003</v>
      </c>
      <c r="D5110" s="1">
        <v>35.887999999999998</v>
      </c>
      <c r="E5110" s="1">
        <v>35.875</v>
      </c>
      <c r="F5110" s="1">
        <v>35.862000000000002</v>
      </c>
      <c r="G5110" s="1">
        <v>35.848999999999997</v>
      </c>
      <c r="H5110" s="1">
        <v>35.823999999999998</v>
      </c>
      <c r="I5110" s="1">
        <v>35.798000000000002</v>
      </c>
      <c r="J5110" s="21">
        <v>3250</v>
      </c>
      <c r="K5110" s="1">
        <v>3200</v>
      </c>
      <c r="L5110" s="1">
        <v>-226.25899999999999</v>
      </c>
      <c r="M5110" s="1">
        <v>-169.583</v>
      </c>
      <c r="N5110" s="1">
        <v>-113.003</v>
      </c>
      <c r="O5110" s="1">
        <v>-56.488</v>
      </c>
      <c r="P5110" s="365">
        <v>0</v>
      </c>
      <c r="Q5110" s="1">
        <v>56.496000000000002</v>
      </c>
      <c r="R5110" s="1">
        <v>113.03</v>
      </c>
      <c r="S5110" s="1">
        <v>169.637</v>
      </c>
      <c r="T5110" s="1">
        <v>226.357</v>
      </c>
      <c r="U5110" s="24"/>
      <c r="W5110" s="41"/>
      <c r="AA5110" s="30"/>
    </row>
    <row r="5111" spans="1:28">
      <c r="A5111" s="1">
        <v>1650</v>
      </c>
      <c r="B5111" s="1">
        <v>37.026000000000003</v>
      </c>
      <c r="C5111" s="1">
        <v>37</v>
      </c>
      <c r="D5111" s="1">
        <v>36.987000000000002</v>
      </c>
      <c r="E5111" s="1">
        <v>36.973999999999997</v>
      </c>
      <c r="F5111" s="1">
        <v>36.960999999999999</v>
      </c>
      <c r="G5111" s="1">
        <v>36.948</v>
      </c>
      <c r="H5111" s="1">
        <v>36.921999999999997</v>
      </c>
      <c r="I5111" s="1">
        <v>36.896999999999998</v>
      </c>
      <c r="J5111" s="21">
        <v>3200</v>
      </c>
      <c r="K5111" s="1">
        <v>3300</v>
      </c>
      <c r="L5111" s="1">
        <v>-226.274</v>
      </c>
      <c r="M5111" s="1">
        <v>-169.59399999999999</v>
      </c>
      <c r="N5111" s="1">
        <v>-113.012</v>
      </c>
      <c r="O5111" s="1">
        <v>-56.491999999999997</v>
      </c>
      <c r="P5111" s="365">
        <v>0</v>
      </c>
      <c r="Q5111" s="1">
        <v>56.497999999999998</v>
      </c>
      <c r="R5111" s="1">
        <v>113.03400000000001</v>
      </c>
      <c r="S5111" s="1">
        <v>169.64400000000001</v>
      </c>
      <c r="T5111" s="1">
        <v>226.36699999999999</v>
      </c>
      <c r="U5111" s="25"/>
      <c r="W5111" s="30"/>
      <c r="AA5111" s="30"/>
    </row>
    <row r="5112" spans="1:28">
      <c r="A5112" s="1">
        <v>1700</v>
      </c>
      <c r="B5112" s="1">
        <v>38.125</v>
      </c>
      <c r="C5112" s="1">
        <v>38.098999999999997</v>
      </c>
      <c r="D5112" s="1">
        <v>38.085999999999999</v>
      </c>
      <c r="E5112" s="1">
        <v>38.073</v>
      </c>
      <c r="F5112" s="1">
        <v>38.06</v>
      </c>
      <c r="G5112" s="1">
        <v>38.046999999999997</v>
      </c>
      <c r="H5112" s="1">
        <v>38.021000000000001</v>
      </c>
      <c r="I5112" s="1">
        <v>37.996000000000002</v>
      </c>
      <c r="J5112" s="21">
        <v>3150</v>
      </c>
      <c r="K5112" s="1">
        <v>3400</v>
      </c>
      <c r="L5112" s="1">
        <v>-226.28800000000001</v>
      </c>
      <c r="M5112" s="1">
        <v>-169.60400000000001</v>
      </c>
      <c r="N5112" s="1">
        <v>-113.017</v>
      </c>
      <c r="O5112" s="1">
        <v>-56.494</v>
      </c>
      <c r="P5112" s="365">
        <v>0</v>
      </c>
      <c r="Q5112" s="1">
        <v>56.500999999999998</v>
      </c>
      <c r="R5112" s="1">
        <v>113.041</v>
      </c>
      <c r="S5112" s="1">
        <v>169.65299999999999</v>
      </c>
      <c r="T5112" s="1">
        <v>226.38</v>
      </c>
      <c r="U5112" s="28"/>
      <c r="W5112" s="30"/>
      <c r="X5112" s="42"/>
      <c r="AA5112" s="30"/>
      <c r="AB5112" s="42"/>
    </row>
    <row r="5113" spans="1:28">
      <c r="A5113" s="1">
        <v>1750</v>
      </c>
      <c r="B5113" s="1">
        <v>39.223999999999997</v>
      </c>
      <c r="C5113" s="1">
        <v>39.198</v>
      </c>
      <c r="D5113" s="1">
        <v>39.185000000000002</v>
      </c>
      <c r="E5113" s="1">
        <v>39.171999999999997</v>
      </c>
      <c r="F5113" s="1">
        <v>39.158999999999999</v>
      </c>
      <c r="G5113" s="1">
        <v>39.146000000000001</v>
      </c>
      <c r="H5113" s="1">
        <v>39.119999999999997</v>
      </c>
      <c r="I5113" s="1">
        <v>39.094999999999999</v>
      </c>
      <c r="J5113" s="21">
        <v>3100</v>
      </c>
      <c r="K5113" s="1">
        <v>3500</v>
      </c>
      <c r="L5113" s="1">
        <v>-226.3</v>
      </c>
      <c r="M5113" s="1">
        <v>-169613</v>
      </c>
      <c r="N5113" s="1">
        <v>-113.023</v>
      </c>
      <c r="O5113" s="1">
        <v>-56.497999999999998</v>
      </c>
      <c r="P5113" s="365">
        <v>0</v>
      </c>
      <c r="Q5113" s="1">
        <v>56.503999999999998</v>
      </c>
      <c r="R5113" s="1">
        <v>113.047</v>
      </c>
      <c r="S5113" s="1">
        <v>169.66399999999999</v>
      </c>
      <c r="T5113" s="1">
        <v>226.393</v>
      </c>
      <c r="W5113" s="30"/>
      <c r="X5113" s="42"/>
      <c r="AA5113" s="30"/>
      <c r="AB5113" s="42"/>
    </row>
    <row r="5114" spans="1:28">
      <c r="A5114" s="1">
        <v>1800</v>
      </c>
      <c r="B5114" s="1">
        <v>40.323</v>
      </c>
      <c r="C5114" s="1">
        <v>40.296999999999997</v>
      </c>
      <c r="D5114" s="1">
        <v>40.283999999999999</v>
      </c>
      <c r="E5114" s="1">
        <v>40.271000000000001</v>
      </c>
      <c r="F5114" s="1">
        <v>40.258000000000003</v>
      </c>
      <c r="G5114" s="1">
        <v>40.244999999999997</v>
      </c>
      <c r="H5114" s="1">
        <v>40.219000000000001</v>
      </c>
      <c r="I5114" s="1">
        <v>40.194000000000003</v>
      </c>
      <c r="J5114" s="21">
        <v>3050</v>
      </c>
      <c r="K5114" s="1">
        <v>3600</v>
      </c>
      <c r="L5114" s="1">
        <v>-226.31</v>
      </c>
      <c r="M5114" s="1">
        <v>-169.62</v>
      </c>
      <c r="N5114" s="1">
        <v>-113.03</v>
      </c>
      <c r="O5114" s="1">
        <v>-56.500999999999998</v>
      </c>
      <c r="P5114" s="365">
        <v>0</v>
      </c>
      <c r="Q5114" s="1">
        <v>56.508000000000003</v>
      </c>
      <c r="R5114" s="1">
        <v>113.05500000000001</v>
      </c>
      <c r="S5114" s="1">
        <v>169.67400000000001</v>
      </c>
      <c r="T5114" s="1">
        <v>226.40600000000001</v>
      </c>
      <c r="W5114" s="30"/>
      <c r="X5114" s="42"/>
      <c r="AA5114" s="30"/>
      <c r="AB5114" s="42"/>
    </row>
    <row r="5115" spans="1:28">
      <c r="A5115" s="1">
        <v>1850</v>
      </c>
      <c r="B5115" s="1">
        <v>41.421999999999997</v>
      </c>
      <c r="C5115" s="1">
        <v>41.396000000000001</v>
      </c>
      <c r="D5115" s="1">
        <v>41.383000000000003</v>
      </c>
      <c r="E5115" s="1">
        <v>41.37</v>
      </c>
      <c r="F5115" s="1">
        <v>41.356999999999999</v>
      </c>
      <c r="G5115" s="1">
        <v>41.344000000000001</v>
      </c>
      <c r="H5115" s="1">
        <v>41.317999999999998</v>
      </c>
      <c r="I5115" s="1">
        <v>41.292999999999999</v>
      </c>
      <c r="J5115" s="21">
        <v>3000</v>
      </c>
      <c r="K5115" s="1">
        <v>3700</v>
      </c>
      <c r="L5115" s="1">
        <v>-226.32599999999999</v>
      </c>
      <c r="M5115" s="1">
        <v>-169.63200000000001</v>
      </c>
      <c r="N5115" s="1">
        <v>-113.038</v>
      </c>
      <c r="O5115" s="1">
        <v>-56.505000000000003</v>
      </c>
      <c r="P5115" s="365">
        <v>0</v>
      </c>
      <c r="Q5115" s="1">
        <v>56.509</v>
      </c>
      <c r="R5115" s="1">
        <v>113.05800000000001</v>
      </c>
      <c r="S5115" s="1">
        <v>169.68199999999999</v>
      </c>
      <c r="T5115" s="1">
        <v>226.41800000000001</v>
      </c>
      <c r="W5115" s="30"/>
      <c r="AA5115" s="30"/>
    </row>
    <row r="5116" spans="1:28">
      <c r="A5116" s="1">
        <v>1900</v>
      </c>
      <c r="B5116" s="1">
        <v>42.521000000000001</v>
      </c>
      <c r="C5116" s="1">
        <v>42.494999999999997</v>
      </c>
      <c r="D5116" s="1">
        <v>42.482999999999997</v>
      </c>
      <c r="E5116" s="1">
        <v>42.47</v>
      </c>
      <c r="F5116" s="1">
        <v>42.457000000000001</v>
      </c>
      <c r="G5116" s="1">
        <v>42.444000000000003</v>
      </c>
      <c r="H5116" s="1">
        <v>42.417999999999999</v>
      </c>
      <c r="I5116" s="1">
        <v>42.392000000000003</v>
      </c>
      <c r="J5116" s="21">
        <v>2950</v>
      </c>
      <c r="K5116" s="1">
        <v>3800</v>
      </c>
      <c r="L5116" s="1">
        <v>-226.33699999999999</v>
      </c>
      <c r="M5116" s="1">
        <v>-169.64</v>
      </c>
      <c r="N5116" s="1">
        <v>-113.041</v>
      </c>
      <c r="O5116" s="1">
        <v>-56.506</v>
      </c>
      <c r="P5116" s="365">
        <v>0</v>
      </c>
      <c r="Q5116" s="1">
        <v>56.514000000000003</v>
      </c>
      <c r="R5116" s="1">
        <v>113.068</v>
      </c>
      <c r="S5116" s="1">
        <v>169.69399999999999</v>
      </c>
      <c r="T5116" s="1">
        <v>226.43199999999999</v>
      </c>
      <c r="W5116" s="43"/>
      <c r="X5116" s="42"/>
      <c r="AA5116" s="30"/>
      <c r="AB5116" s="42"/>
    </row>
    <row r="5117" spans="1:28">
      <c r="A5117" s="1">
        <v>1950</v>
      </c>
      <c r="B5117" s="1">
        <v>43.62</v>
      </c>
      <c r="C5117" s="1">
        <v>43.594999999999999</v>
      </c>
      <c r="D5117" s="1">
        <v>43.582000000000001</v>
      </c>
      <c r="E5117" s="1">
        <v>43.569000000000003</v>
      </c>
      <c r="F5117" s="1">
        <v>43.555999999999997</v>
      </c>
      <c r="G5117" s="1">
        <v>43.542999999999999</v>
      </c>
      <c r="H5117" s="1">
        <v>43.517000000000003</v>
      </c>
      <c r="I5117" s="1">
        <v>43.491</v>
      </c>
      <c r="J5117" s="21">
        <v>2900</v>
      </c>
      <c r="K5117" s="1">
        <v>3900</v>
      </c>
      <c r="L5117" s="1">
        <v>-226.34899999999999</v>
      </c>
      <c r="M5117" s="1">
        <v>-169.65</v>
      </c>
      <c r="N5117" s="1">
        <v>-113.051</v>
      </c>
      <c r="O5117" s="1">
        <v>-56.512</v>
      </c>
      <c r="P5117" s="365">
        <v>0</v>
      </c>
      <c r="Q5117" s="1">
        <v>56.515999999999998</v>
      </c>
      <c r="R5117" s="1">
        <v>113.072</v>
      </c>
      <c r="S5117" s="1">
        <v>169.70099999999999</v>
      </c>
      <c r="T5117" s="1">
        <v>226.29300000000001</v>
      </c>
      <c r="W5117" s="43"/>
      <c r="X5117" s="42"/>
      <c r="AA5117" s="30"/>
      <c r="AB5117" s="42"/>
    </row>
    <row r="5118" spans="1:28">
      <c r="A5118" s="1">
        <v>2000</v>
      </c>
      <c r="B5118" s="1">
        <v>44.72</v>
      </c>
      <c r="C5118" s="1">
        <v>44.694000000000003</v>
      </c>
      <c r="D5118" s="1">
        <v>44.680999999999997</v>
      </c>
      <c r="E5118" s="1">
        <v>44.667999999999999</v>
      </c>
      <c r="F5118" s="1">
        <v>44.655000000000001</v>
      </c>
      <c r="G5118" s="1">
        <v>44.642000000000003</v>
      </c>
      <c r="H5118" s="1">
        <v>44.616</v>
      </c>
      <c r="I5118" s="1">
        <v>44.59</v>
      </c>
      <c r="J5118" s="21">
        <v>2850</v>
      </c>
      <c r="K5118" s="1">
        <v>4000</v>
      </c>
      <c r="L5118" s="1">
        <v>-226.363</v>
      </c>
      <c r="M5118" s="1">
        <v>-169.661</v>
      </c>
      <c r="N5118" s="1">
        <v>-113.05500000000001</v>
      </c>
      <c r="O5118" s="1">
        <v>-56.514000000000003</v>
      </c>
      <c r="P5118" s="365">
        <v>0</v>
      </c>
      <c r="Q5118" s="1">
        <v>56.52</v>
      </c>
      <c r="R5118" s="1">
        <v>113.078</v>
      </c>
      <c r="S5118" s="1">
        <v>169.69499999999999</v>
      </c>
      <c r="T5118" s="1">
        <v>223.11500000000001</v>
      </c>
    </row>
    <row r="5119" spans="1:28">
      <c r="A5119" s="1">
        <v>2050</v>
      </c>
      <c r="B5119" s="1">
        <v>45.819000000000003</v>
      </c>
      <c r="C5119" s="1">
        <v>45.792999999999999</v>
      </c>
      <c r="D5119" s="1">
        <v>45.78</v>
      </c>
      <c r="E5119" s="1">
        <v>45.767000000000003</v>
      </c>
      <c r="F5119" s="1">
        <v>45.753999999999998</v>
      </c>
      <c r="G5119" s="1">
        <v>45.741</v>
      </c>
      <c r="H5119" s="1">
        <v>45.715000000000003</v>
      </c>
      <c r="I5119" s="1">
        <v>45.689</v>
      </c>
      <c r="J5119" s="21">
        <v>2800</v>
      </c>
      <c r="K5119" s="1">
        <v>4100</v>
      </c>
      <c r="L5119" s="1">
        <v>-226.376</v>
      </c>
      <c r="M5119" s="1">
        <v>-169.67</v>
      </c>
      <c r="N5119" s="1">
        <v>-113.062</v>
      </c>
      <c r="O5119" s="1">
        <v>-56.517000000000003</v>
      </c>
      <c r="P5119" s="365">
        <v>0</v>
      </c>
      <c r="Q5119" s="1">
        <v>56.524000000000001</v>
      </c>
      <c r="R5119" s="1">
        <v>113.087</v>
      </c>
      <c r="S5119" s="1">
        <v>167.441</v>
      </c>
      <c r="T5119" s="1">
        <v>210.47800000000001</v>
      </c>
    </row>
    <row r="5120" spans="1:28">
      <c r="A5120" s="1">
        <v>2100</v>
      </c>
      <c r="B5120" s="1">
        <v>46.917999999999999</v>
      </c>
      <c r="C5120" s="1">
        <v>46.892000000000003</v>
      </c>
      <c r="D5120" s="1">
        <v>46.878999999999998</v>
      </c>
      <c r="E5120" s="1">
        <v>46.866</v>
      </c>
      <c r="F5120" s="1">
        <v>46.853000000000002</v>
      </c>
      <c r="G5120" s="1">
        <v>46.84</v>
      </c>
      <c r="H5120" s="1">
        <v>46.814</v>
      </c>
      <c r="I5120" s="1">
        <v>46.787999999999997</v>
      </c>
      <c r="J5120" s="21">
        <v>2750</v>
      </c>
      <c r="K5120" s="1">
        <v>4200</v>
      </c>
      <c r="L5120" s="1">
        <v>-226.39099999999999</v>
      </c>
      <c r="M5120" s="1">
        <v>-169.68199999999999</v>
      </c>
      <c r="N5120" s="1">
        <v>-113.07</v>
      </c>
      <c r="O5120" s="1">
        <v>-56.521000000000001</v>
      </c>
      <c r="P5120" s="365">
        <v>0</v>
      </c>
      <c r="Q5120" s="1">
        <v>56.524999999999999</v>
      </c>
      <c r="R5120" s="1">
        <v>111.767</v>
      </c>
      <c r="S5120" s="1">
        <v>155.13</v>
      </c>
      <c r="T5120" s="1">
        <v>186.87899999999999</v>
      </c>
      <c r="X5120" s="42"/>
      <c r="AB5120" s="42"/>
    </row>
    <row r="5121" spans="1:20">
      <c r="A5121" s="1">
        <v>2150</v>
      </c>
      <c r="B5121" s="1">
        <v>48.017000000000003</v>
      </c>
      <c r="C5121" s="1">
        <v>47.991</v>
      </c>
      <c r="D5121" s="1">
        <v>47.978000000000002</v>
      </c>
      <c r="E5121" s="1">
        <v>47.965000000000003</v>
      </c>
      <c r="F5121" s="1">
        <v>47.951999999999998</v>
      </c>
      <c r="G5121" s="1">
        <v>47.939</v>
      </c>
      <c r="H5121" s="1">
        <v>47.912999999999997</v>
      </c>
      <c r="I5121" s="1">
        <v>47.887</v>
      </c>
      <c r="J5121" s="21">
        <v>2700</v>
      </c>
      <c r="K5121" s="1">
        <v>4300</v>
      </c>
      <c r="L5121" s="1">
        <v>-226.4</v>
      </c>
      <c r="M5121" s="1">
        <v>-169.68600000000001</v>
      </c>
      <c r="N5121" s="1">
        <v>-113.07299999999999</v>
      </c>
      <c r="O5121" s="1">
        <v>-56.521999999999998</v>
      </c>
      <c r="P5121" s="365">
        <v>0</v>
      </c>
      <c r="Q5121" s="1">
        <v>56.030999999999999</v>
      </c>
      <c r="R5121" s="1">
        <v>99.816999999999993</v>
      </c>
      <c r="S5121" s="1">
        <v>133.78100000000001</v>
      </c>
      <c r="T5121" s="1">
        <v>158.60300000000001</v>
      </c>
    </row>
    <row r="5122" spans="1:20">
      <c r="A5122" s="1">
        <v>2200</v>
      </c>
      <c r="B5122" s="1">
        <v>49.116</v>
      </c>
      <c r="C5122" s="1">
        <v>49.09</v>
      </c>
      <c r="D5122" s="1">
        <v>49.076999999999998</v>
      </c>
      <c r="E5122" s="1">
        <v>49.064999999999998</v>
      </c>
      <c r="F5122" s="1">
        <v>49.052</v>
      </c>
      <c r="G5122" s="1">
        <v>49.039000000000001</v>
      </c>
      <c r="H5122" s="1">
        <v>49.012999999999998</v>
      </c>
      <c r="I5122" s="1">
        <v>48.987000000000002</v>
      </c>
      <c r="J5122" s="21">
        <v>2650</v>
      </c>
      <c r="K5122" s="1">
        <v>4400</v>
      </c>
      <c r="L5122" s="1">
        <v>-226.41399999999999</v>
      </c>
      <c r="M5122" s="1">
        <v>-169.697</v>
      </c>
      <c r="N5122" s="1">
        <v>-113.083</v>
      </c>
      <c r="O5122" s="1">
        <v>-56.448999999999998</v>
      </c>
      <c r="P5122" s="365">
        <v>0</v>
      </c>
      <c r="Q5122" s="1">
        <v>49.96</v>
      </c>
      <c r="R5122" s="1">
        <v>81.692999999999998</v>
      </c>
      <c r="S5122" s="1">
        <v>104.80800000000001</v>
      </c>
      <c r="T5122" s="1">
        <v>126.56</v>
      </c>
    </row>
    <row r="5123" spans="1:20">
      <c r="A5123" s="1">
        <v>2250</v>
      </c>
      <c r="B5123" s="1">
        <v>50.216000000000001</v>
      </c>
      <c r="C5123" s="1">
        <v>50.19</v>
      </c>
      <c r="D5123" s="1">
        <v>50.177</v>
      </c>
      <c r="E5123" s="1">
        <v>50.164000000000001</v>
      </c>
      <c r="F5123" s="1">
        <v>50.151000000000003</v>
      </c>
      <c r="G5123" s="1">
        <v>50.137999999999998</v>
      </c>
      <c r="H5123" s="1">
        <v>50.112000000000002</v>
      </c>
      <c r="I5123" s="1">
        <v>50.085999999999999</v>
      </c>
      <c r="J5123" s="21">
        <v>2600</v>
      </c>
      <c r="K5123" s="1">
        <v>4500</v>
      </c>
      <c r="L5123" s="1">
        <v>-226.428</v>
      </c>
      <c r="M5123" s="1">
        <v>-169.65299999999999</v>
      </c>
      <c r="N5123" s="1">
        <v>-112.931</v>
      </c>
      <c r="O5123" s="1">
        <v>-50.877000000000002</v>
      </c>
      <c r="P5123" s="365">
        <v>0</v>
      </c>
      <c r="Q5123" s="1">
        <v>38.936</v>
      </c>
      <c r="R5123" s="1">
        <v>63.451999999999998</v>
      </c>
      <c r="S5123" s="1">
        <v>80.302000000000007</v>
      </c>
      <c r="T5123" s="1">
        <v>92.587000000000003</v>
      </c>
    </row>
    <row r="5124" spans="1:20">
      <c r="A5124" s="1">
        <v>2300</v>
      </c>
      <c r="B5124" s="1">
        <v>51.314999999999998</v>
      </c>
      <c r="C5124" s="1">
        <v>51.289000000000001</v>
      </c>
      <c r="D5124" s="1">
        <v>51.276000000000003</v>
      </c>
      <c r="E5124" s="1">
        <v>51.262999999999998</v>
      </c>
      <c r="F5124" s="1">
        <v>51.25</v>
      </c>
      <c r="G5124" s="1">
        <v>51.237000000000002</v>
      </c>
      <c r="H5124" s="1">
        <v>51.210999999999999</v>
      </c>
      <c r="I5124" s="1">
        <v>51.185000000000002</v>
      </c>
      <c r="J5124" s="21">
        <v>2550</v>
      </c>
      <c r="K5124" s="1">
        <v>4600</v>
      </c>
      <c r="L5124" s="1">
        <v>-226.30500000000001</v>
      </c>
      <c r="M5124" s="1">
        <v>-165.71600000000001</v>
      </c>
      <c r="N5124" s="1">
        <v>-101.992</v>
      </c>
      <c r="O5124" s="1">
        <v>-32.152000000000001</v>
      </c>
      <c r="P5124" s="365">
        <v>0</v>
      </c>
      <c r="Q5124" s="1">
        <v>27.841000000000001</v>
      </c>
      <c r="R5124" s="1">
        <v>45.33</v>
      </c>
      <c r="S5124" s="1">
        <v>57.317999999999998</v>
      </c>
      <c r="T5124" s="1">
        <v>66.031000000000006</v>
      </c>
    </row>
    <row r="5125" spans="1:20">
      <c r="A5125" s="1">
        <v>2350</v>
      </c>
      <c r="B5125" s="1">
        <v>52.414000000000001</v>
      </c>
      <c r="C5125" s="1">
        <v>52.387999999999998</v>
      </c>
      <c r="D5125" s="1">
        <v>52.375</v>
      </c>
      <c r="E5125" s="1">
        <v>52.362000000000002</v>
      </c>
      <c r="F5125" s="1">
        <v>52.348999999999997</v>
      </c>
      <c r="G5125" s="1">
        <v>52.335999999999999</v>
      </c>
      <c r="H5125" s="1">
        <v>52.31</v>
      </c>
      <c r="I5125" s="1">
        <v>52.283999999999999</v>
      </c>
      <c r="J5125" s="21">
        <v>2500</v>
      </c>
      <c r="K5125" s="1">
        <v>4700</v>
      </c>
      <c r="L5125" s="1">
        <v>-217.023</v>
      </c>
      <c r="M5125" s="1">
        <v>-136.095</v>
      </c>
      <c r="N5125" s="1">
        <v>-45.601999999999997</v>
      </c>
      <c r="O5125" s="1">
        <v>-13.266</v>
      </c>
      <c r="P5125" s="365">
        <v>0</v>
      </c>
      <c r="Q5125" s="1">
        <v>23.087</v>
      </c>
      <c r="R5125" s="1">
        <v>37.427</v>
      </c>
      <c r="S5125" s="1">
        <v>47.103000000000002</v>
      </c>
      <c r="T5125" s="1">
        <v>54.02</v>
      </c>
    </row>
    <row r="5126" spans="1:20">
      <c r="A5126" s="1">
        <v>2400</v>
      </c>
      <c r="B5126" s="1">
        <v>53.514000000000003</v>
      </c>
      <c r="C5126" s="1">
        <v>53.488</v>
      </c>
      <c r="D5126" s="1">
        <v>53.475000000000001</v>
      </c>
      <c r="E5126" s="1">
        <v>53.462000000000003</v>
      </c>
      <c r="F5126" s="1">
        <v>53.448999999999998</v>
      </c>
      <c r="G5126" s="1">
        <v>53.436</v>
      </c>
      <c r="H5126" s="1">
        <v>53.41</v>
      </c>
      <c r="I5126" s="1">
        <v>53.384</v>
      </c>
      <c r="J5126" s="21">
        <v>2450</v>
      </c>
      <c r="K5126" s="1">
        <v>4800</v>
      </c>
      <c r="L5126" s="1">
        <v>-160.63399999999999</v>
      </c>
      <c r="M5126" s="1">
        <v>0</v>
      </c>
      <c r="N5126" s="1">
        <v>0</v>
      </c>
      <c r="O5126" s="1">
        <v>0</v>
      </c>
      <c r="P5126" s="365">
        <v>0</v>
      </c>
      <c r="Q5126" s="1">
        <v>0</v>
      </c>
      <c r="R5126" s="1">
        <v>0</v>
      </c>
      <c r="S5126" s="1">
        <v>0</v>
      </c>
      <c r="T5126" s="1">
        <v>0</v>
      </c>
    </row>
    <row r="5127" spans="1:20">
      <c r="A5127" s="1">
        <v>2450</v>
      </c>
      <c r="B5127" s="1">
        <v>54.613</v>
      </c>
      <c r="C5127" s="1">
        <v>54.587000000000003</v>
      </c>
      <c r="D5127" s="1">
        <v>54.573999999999998</v>
      </c>
      <c r="E5127" s="1">
        <v>54.561</v>
      </c>
      <c r="F5127" s="1">
        <v>54.548000000000002</v>
      </c>
      <c r="G5127" s="1">
        <v>54.534999999999997</v>
      </c>
      <c r="H5127" s="1">
        <v>54.509</v>
      </c>
      <c r="I5127" s="1">
        <v>54.482999999999997</v>
      </c>
      <c r="J5127" s="21">
        <v>2400</v>
      </c>
      <c r="K5127" s="1">
        <v>5477</v>
      </c>
      <c r="L5127" s="1">
        <v>0</v>
      </c>
      <c r="M5127" s="1">
        <v>0</v>
      </c>
      <c r="N5127" s="1">
        <v>0</v>
      </c>
      <c r="O5127" s="1">
        <v>0</v>
      </c>
      <c r="P5127" s="365">
        <v>0</v>
      </c>
      <c r="Q5127" s="1">
        <v>0</v>
      </c>
      <c r="R5127" s="1">
        <v>0</v>
      </c>
      <c r="S5127" s="1">
        <v>0</v>
      </c>
      <c r="T5127" s="1">
        <v>0</v>
      </c>
    </row>
    <row r="5128" spans="1:20">
      <c r="A5128" s="1">
        <v>2500</v>
      </c>
      <c r="B5128" s="1">
        <v>55.712000000000003</v>
      </c>
      <c r="C5128" s="1">
        <v>55.686</v>
      </c>
      <c r="D5128" s="1">
        <v>55.673000000000002</v>
      </c>
      <c r="E5128" s="1">
        <v>55.66</v>
      </c>
      <c r="F5128" s="1">
        <v>55.646999999999998</v>
      </c>
      <c r="G5128" s="1">
        <v>55.634</v>
      </c>
      <c r="H5128" s="1">
        <v>55.607999999999997</v>
      </c>
      <c r="I5128" s="1">
        <v>55.582000000000001</v>
      </c>
      <c r="J5128" s="21">
        <v>2350</v>
      </c>
      <c r="K5128" s="1"/>
      <c r="L5128" s="1"/>
      <c r="M5128" s="1"/>
      <c r="N5128" s="1"/>
      <c r="O5128" s="1"/>
      <c r="P5128" s="365"/>
      <c r="Q5128" s="1"/>
      <c r="R5128" s="1"/>
      <c r="S5128" s="1"/>
      <c r="T5128" s="1"/>
    </row>
    <row r="5129" spans="1:20">
      <c r="A5129" s="1">
        <v>2550</v>
      </c>
      <c r="B5129" s="1">
        <v>56.811999999999998</v>
      </c>
      <c r="C5129" s="1">
        <v>56.786000000000001</v>
      </c>
      <c r="D5129" s="1">
        <v>56.773000000000003</v>
      </c>
      <c r="E5129" s="1">
        <v>56.76</v>
      </c>
      <c r="F5129" s="1">
        <v>56.747</v>
      </c>
      <c r="G5129" s="1">
        <v>56.734000000000002</v>
      </c>
      <c r="H5129" s="1">
        <v>56.707999999999998</v>
      </c>
      <c r="I5129" s="1">
        <v>56.682000000000002</v>
      </c>
      <c r="J5129" s="21">
        <v>2300</v>
      </c>
      <c r="K5129" s="1"/>
      <c r="L5129" s="1"/>
      <c r="M5129" s="1"/>
      <c r="N5129" s="1"/>
      <c r="O5129" s="1"/>
      <c r="P5129" s="365"/>
      <c r="Q5129" s="1"/>
      <c r="R5129" s="1"/>
      <c r="S5129" s="1"/>
      <c r="T5129" s="1"/>
    </row>
    <row r="5130" spans="1:20">
      <c r="A5130" s="1">
        <v>2600</v>
      </c>
      <c r="B5130" s="1">
        <v>57.911000000000001</v>
      </c>
      <c r="C5130" s="1">
        <v>57.884999999999998</v>
      </c>
      <c r="D5130" s="1">
        <v>57.872</v>
      </c>
      <c r="E5130" s="1">
        <v>57.859000000000002</v>
      </c>
      <c r="F5130" s="1">
        <v>57.845999999999997</v>
      </c>
      <c r="G5130" s="1">
        <v>57.832999999999998</v>
      </c>
      <c r="H5130" s="1">
        <v>57.807000000000002</v>
      </c>
      <c r="I5130" s="1">
        <v>57.780999999999999</v>
      </c>
      <c r="J5130" s="21">
        <v>2250</v>
      </c>
      <c r="K5130" s="1"/>
      <c r="L5130" s="1"/>
      <c r="M5130" s="1"/>
      <c r="N5130" s="1"/>
      <c r="O5130" s="1"/>
      <c r="P5130" s="365"/>
      <c r="Q5130" s="1"/>
      <c r="R5130" s="1"/>
      <c r="S5130" s="1"/>
      <c r="T5130" s="1"/>
    </row>
    <row r="5131" spans="1:20">
      <c r="A5131" s="1">
        <v>2650</v>
      </c>
      <c r="B5131" s="1">
        <v>59.011000000000003</v>
      </c>
      <c r="C5131" s="1">
        <v>58.984999999999999</v>
      </c>
      <c r="D5131" s="1">
        <v>58.972000000000001</v>
      </c>
      <c r="E5131" s="1">
        <v>58.959000000000003</v>
      </c>
      <c r="F5131" s="1">
        <v>58.945999999999998</v>
      </c>
      <c r="G5131" s="1">
        <v>58.933</v>
      </c>
      <c r="H5131" s="1">
        <v>58.906999999999996</v>
      </c>
      <c r="I5131" s="1">
        <v>58.881</v>
      </c>
      <c r="J5131" s="21">
        <v>2200</v>
      </c>
      <c r="K5131" s="1"/>
      <c r="L5131" s="1"/>
      <c r="M5131" s="1"/>
      <c r="N5131" s="1"/>
      <c r="O5131" s="1"/>
      <c r="P5131" s="365"/>
      <c r="Q5131" s="1"/>
      <c r="R5131" s="1"/>
      <c r="S5131" s="1"/>
      <c r="T5131" s="1"/>
    </row>
    <row r="5132" spans="1:20">
      <c r="A5132" s="1">
        <v>2700</v>
      </c>
      <c r="B5132" s="1">
        <v>60.11</v>
      </c>
      <c r="C5132" s="1">
        <v>60.084000000000003</v>
      </c>
      <c r="D5132" s="1">
        <v>60.070999999999998</v>
      </c>
      <c r="E5132" s="1">
        <v>60.058</v>
      </c>
      <c r="F5132" s="1">
        <v>60.045000000000002</v>
      </c>
      <c r="G5132" s="1">
        <v>60.031999999999996</v>
      </c>
      <c r="H5132" s="1">
        <v>60.006</v>
      </c>
      <c r="I5132" s="1">
        <v>59.98</v>
      </c>
      <c r="J5132" s="21">
        <v>2150</v>
      </c>
      <c r="K5132" s="1"/>
      <c r="L5132" s="1"/>
      <c r="M5132" s="1"/>
      <c r="N5132" s="1"/>
      <c r="O5132" s="1"/>
      <c r="P5132" s="365"/>
      <c r="Q5132" s="1"/>
      <c r="R5132" s="1"/>
      <c r="S5132" s="1"/>
      <c r="T5132" s="1"/>
    </row>
    <row r="5133" spans="1:20">
      <c r="A5133" s="1">
        <v>2750</v>
      </c>
      <c r="B5133" s="1">
        <v>61.21</v>
      </c>
      <c r="C5133" s="1">
        <v>61.183999999999997</v>
      </c>
      <c r="D5133" s="1">
        <v>61.170999999999999</v>
      </c>
      <c r="E5133" s="1">
        <v>61.156999999999996</v>
      </c>
      <c r="F5133" s="1">
        <v>61.143999999999998</v>
      </c>
      <c r="G5133" s="1">
        <v>61.131</v>
      </c>
      <c r="H5133" s="1">
        <v>61.104999999999997</v>
      </c>
      <c r="I5133" s="1">
        <v>61.079000000000001</v>
      </c>
      <c r="J5133" s="21">
        <v>2100</v>
      </c>
      <c r="K5133" s="1"/>
      <c r="L5133" s="1"/>
      <c r="M5133" s="1"/>
      <c r="N5133" s="1"/>
      <c r="O5133" s="1"/>
      <c r="P5133" s="365"/>
      <c r="Q5133" s="1"/>
      <c r="R5133" s="1"/>
      <c r="S5133" s="1"/>
      <c r="T5133" s="1"/>
    </row>
    <row r="5134" spans="1:20">
      <c r="A5134" s="1">
        <v>2800</v>
      </c>
      <c r="B5134" s="1">
        <v>62.308999999999997</v>
      </c>
      <c r="C5134" s="1">
        <v>62.283000000000001</v>
      </c>
      <c r="D5134" s="1">
        <v>62.27</v>
      </c>
      <c r="E5134" s="1">
        <v>62.256999999999998</v>
      </c>
      <c r="F5134" s="1">
        <v>62.244</v>
      </c>
      <c r="G5134" s="1">
        <v>62.231000000000002</v>
      </c>
      <c r="H5134" s="1">
        <v>62.204999999999998</v>
      </c>
      <c r="I5134" s="1">
        <v>62.179000000000002</v>
      </c>
      <c r="J5134" s="21">
        <v>2050</v>
      </c>
      <c r="K5134" s="1"/>
      <c r="L5134" s="1"/>
      <c r="M5134" s="1"/>
      <c r="N5134" s="1"/>
      <c r="O5134" s="1"/>
      <c r="P5134" s="365"/>
      <c r="Q5134" s="1"/>
      <c r="R5134" s="1"/>
      <c r="S5134" s="1"/>
      <c r="T5134" s="1"/>
    </row>
    <row r="5135" spans="1:20">
      <c r="A5135" s="1">
        <v>2850</v>
      </c>
      <c r="B5135" s="1">
        <v>63.408999999999999</v>
      </c>
      <c r="C5135" s="1">
        <v>63.383000000000003</v>
      </c>
      <c r="D5135" s="1">
        <v>63.37</v>
      </c>
      <c r="E5135" s="1">
        <v>63.356999999999999</v>
      </c>
      <c r="F5135" s="1">
        <v>63.344000000000001</v>
      </c>
      <c r="G5135" s="1">
        <v>63.331000000000003</v>
      </c>
      <c r="H5135" s="1">
        <v>63.305</v>
      </c>
      <c r="I5135" s="1">
        <v>63.279000000000003</v>
      </c>
      <c r="J5135" s="21">
        <v>2000</v>
      </c>
      <c r="K5135" s="1"/>
      <c r="L5135" s="1"/>
      <c r="M5135" s="1"/>
      <c r="N5135" s="1"/>
      <c r="O5135" s="1"/>
      <c r="P5135" s="365"/>
      <c r="Q5135" s="1"/>
      <c r="R5135" s="1"/>
      <c r="S5135" s="1"/>
      <c r="T5135" s="1"/>
    </row>
    <row r="5136" spans="1:20">
      <c r="A5136" s="1">
        <v>2900</v>
      </c>
      <c r="B5136" s="1">
        <v>64.507999999999996</v>
      </c>
      <c r="C5136" s="1">
        <v>64.481999999999999</v>
      </c>
      <c r="D5136" s="1">
        <v>64.468999999999994</v>
      </c>
      <c r="E5136" s="1">
        <v>64.456000000000003</v>
      </c>
      <c r="F5136" s="1">
        <v>64443</v>
      </c>
      <c r="G5136" s="1">
        <v>64.430000000000007</v>
      </c>
      <c r="H5136" s="1">
        <v>64.403999999999996</v>
      </c>
      <c r="I5136" s="1">
        <v>64.378</v>
      </c>
      <c r="J5136" s="21">
        <v>1950</v>
      </c>
      <c r="K5136" s="1"/>
      <c r="L5136" s="1"/>
      <c r="M5136" s="1"/>
      <c r="N5136" s="1"/>
      <c r="O5136" s="1"/>
      <c r="P5136" s="365"/>
      <c r="Q5136" s="1"/>
      <c r="R5136" s="1"/>
      <c r="S5136" s="1"/>
      <c r="T5136" s="1"/>
    </row>
    <row r="5137" spans="1:20">
      <c r="A5137" s="1">
        <v>2950</v>
      </c>
      <c r="B5137" s="1">
        <v>65.608000000000004</v>
      </c>
      <c r="C5137" s="1">
        <v>65.581999999999994</v>
      </c>
      <c r="D5137" s="1">
        <v>65.569000000000003</v>
      </c>
      <c r="E5137" s="1">
        <v>65.555999999999997</v>
      </c>
      <c r="F5137" s="1">
        <v>65.543000000000006</v>
      </c>
      <c r="G5137" s="1">
        <v>65.53</v>
      </c>
      <c r="H5137" s="1">
        <v>65.504000000000005</v>
      </c>
      <c r="I5137" s="1">
        <v>65.477999999999994</v>
      </c>
      <c r="J5137" s="21">
        <v>1900</v>
      </c>
      <c r="K5137" s="1"/>
      <c r="L5137" s="1"/>
      <c r="M5137" s="1"/>
      <c r="N5137" s="1"/>
      <c r="O5137" s="1"/>
      <c r="P5137" s="365"/>
      <c r="Q5137" s="1"/>
      <c r="R5137" s="1"/>
      <c r="S5137" s="1"/>
      <c r="T5137" s="1"/>
    </row>
    <row r="5138" spans="1:20">
      <c r="A5138" s="1">
        <v>3000</v>
      </c>
      <c r="B5138" s="1">
        <v>66.706999999999994</v>
      </c>
      <c r="C5138" s="1">
        <v>66.680999999999997</v>
      </c>
      <c r="D5138" s="1">
        <v>66.668000000000006</v>
      </c>
      <c r="E5138" s="1">
        <v>66.655000000000001</v>
      </c>
      <c r="F5138" s="1">
        <v>66.641999999999996</v>
      </c>
      <c r="G5138" s="1">
        <v>66.629000000000005</v>
      </c>
      <c r="H5138" s="1">
        <v>66.602999999999994</v>
      </c>
      <c r="I5138" s="1">
        <v>66.576999999999998</v>
      </c>
      <c r="J5138" s="21">
        <v>1850</v>
      </c>
      <c r="K5138" s="1"/>
      <c r="L5138" s="1"/>
      <c r="M5138" s="1"/>
      <c r="N5138" s="1"/>
      <c r="O5138" s="1"/>
      <c r="P5138" s="365"/>
      <c r="Q5138" s="1"/>
      <c r="R5138" s="1"/>
      <c r="S5138" s="1"/>
      <c r="T5138" s="1"/>
    </row>
    <row r="5139" spans="1:20">
      <c r="A5139" s="1">
        <v>3050</v>
      </c>
      <c r="B5139" s="1">
        <v>67.807000000000002</v>
      </c>
      <c r="C5139" s="1">
        <v>67.781000000000006</v>
      </c>
      <c r="D5139" s="1">
        <v>67.768000000000001</v>
      </c>
      <c r="E5139" s="1">
        <v>67.754999999999995</v>
      </c>
      <c r="F5139" s="1">
        <v>67.742000000000004</v>
      </c>
      <c r="G5139" s="1">
        <v>67.728999999999999</v>
      </c>
      <c r="H5139" s="1">
        <v>67.703000000000003</v>
      </c>
      <c r="I5139" s="1">
        <v>67.677000000000007</v>
      </c>
      <c r="J5139" s="21">
        <v>1800</v>
      </c>
      <c r="K5139" s="1"/>
      <c r="L5139" s="1"/>
      <c r="M5139" s="1"/>
      <c r="N5139" s="1"/>
      <c r="O5139" s="1"/>
      <c r="P5139" s="365"/>
      <c r="Q5139" s="1"/>
      <c r="R5139" s="1"/>
      <c r="S5139" s="1"/>
      <c r="T5139" s="1"/>
    </row>
    <row r="5140" spans="1:20">
      <c r="A5140" s="1">
        <v>3100</v>
      </c>
      <c r="B5140" s="1">
        <v>68.906999999999996</v>
      </c>
      <c r="C5140" s="1">
        <v>68.881</v>
      </c>
      <c r="D5140" s="1">
        <v>68.867999999999995</v>
      </c>
      <c r="E5140" s="1">
        <v>68.855000000000004</v>
      </c>
      <c r="F5140" s="1">
        <v>68.841999999999999</v>
      </c>
      <c r="G5140" s="1">
        <v>68.828000000000003</v>
      </c>
      <c r="H5140" s="1">
        <v>68.802000000000007</v>
      </c>
      <c r="I5140" s="1">
        <v>68.775999999999996</v>
      </c>
      <c r="J5140" s="21">
        <v>1750</v>
      </c>
      <c r="K5140" s="1"/>
      <c r="L5140" s="1"/>
      <c r="M5140" s="1"/>
      <c r="N5140" s="1"/>
      <c r="O5140" s="1"/>
      <c r="P5140" s="365"/>
      <c r="Q5140" s="1"/>
      <c r="R5140" s="1"/>
      <c r="S5140" s="1"/>
      <c r="T5140" s="1"/>
    </row>
    <row r="5141" spans="1:20">
      <c r="A5141" s="1">
        <v>3150</v>
      </c>
      <c r="B5141" s="1">
        <v>70.006</v>
      </c>
      <c r="C5141" s="1">
        <v>69.98</v>
      </c>
      <c r="D5141" s="1">
        <v>69.966999999999999</v>
      </c>
      <c r="E5141" s="1">
        <v>69.953999999999994</v>
      </c>
      <c r="F5141" s="1">
        <v>69.941000000000003</v>
      </c>
      <c r="G5141" s="1">
        <v>69.927999999999997</v>
      </c>
      <c r="H5141" s="1">
        <v>69.902000000000001</v>
      </c>
      <c r="I5141" s="1">
        <v>69.876000000000005</v>
      </c>
      <c r="J5141" s="21">
        <v>1700</v>
      </c>
      <c r="K5141" s="1"/>
      <c r="L5141" s="1"/>
      <c r="M5141" s="1"/>
      <c r="N5141" s="1"/>
      <c r="O5141" s="1"/>
      <c r="P5141" s="365"/>
      <c r="Q5141" s="1"/>
      <c r="R5141" s="1"/>
      <c r="S5141" s="1"/>
      <c r="T5141" s="1"/>
    </row>
    <row r="5142" spans="1:20">
      <c r="A5142" s="1">
        <v>3200</v>
      </c>
      <c r="B5142" s="1">
        <v>71.105999999999995</v>
      </c>
      <c r="C5142" s="1">
        <v>71.08</v>
      </c>
      <c r="D5142" s="1">
        <v>71.066999999999993</v>
      </c>
      <c r="E5142" s="1">
        <v>71.054000000000002</v>
      </c>
      <c r="F5142" s="1">
        <v>71.040999999999997</v>
      </c>
      <c r="G5142" s="1">
        <v>71.028000000000006</v>
      </c>
      <c r="H5142" s="1">
        <v>71.001999999999995</v>
      </c>
      <c r="I5142" s="1">
        <v>70.975999999999999</v>
      </c>
      <c r="J5142" s="21">
        <v>1650</v>
      </c>
      <c r="K5142" s="1"/>
      <c r="L5142" s="1"/>
      <c r="M5142" s="1"/>
      <c r="N5142" s="1"/>
      <c r="O5142" s="1"/>
      <c r="P5142" s="365"/>
      <c r="Q5142" s="1"/>
      <c r="R5142" s="1"/>
      <c r="S5142" s="1"/>
      <c r="T5142" s="1"/>
    </row>
    <row r="5143" spans="1:20">
      <c r="A5143" s="1">
        <v>3250</v>
      </c>
      <c r="B5143" s="1">
        <v>72.206000000000003</v>
      </c>
      <c r="C5143" s="1">
        <v>72.180000000000007</v>
      </c>
      <c r="D5143" s="1">
        <v>72.167000000000002</v>
      </c>
      <c r="E5143" s="1">
        <v>72.153999999999996</v>
      </c>
      <c r="F5143" s="1">
        <v>72.141000000000005</v>
      </c>
      <c r="G5143" s="1">
        <v>72.128</v>
      </c>
      <c r="H5143" s="1">
        <v>72.102000000000004</v>
      </c>
      <c r="I5143" s="1">
        <v>72.075999999999993</v>
      </c>
      <c r="J5143" s="21">
        <v>1600</v>
      </c>
      <c r="K5143" s="1"/>
      <c r="L5143" s="1"/>
      <c r="M5143" s="1"/>
      <c r="N5143" s="1"/>
      <c r="O5143" s="1"/>
      <c r="P5143" s="365"/>
      <c r="Q5143" s="1"/>
      <c r="R5143" s="1"/>
      <c r="S5143" s="1"/>
      <c r="T5143" s="1"/>
    </row>
    <row r="5144" spans="1:20">
      <c r="A5144" s="1">
        <v>3300</v>
      </c>
      <c r="B5144" s="1">
        <v>73.305999999999997</v>
      </c>
      <c r="C5144" s="1">
        <v>73.278999999999996</v>
      </c>
      <c r="D5144" s="1">
        <v>73.266000000000005</v>
      </c>
      <c r="E5144" s="1">
        <v>73.253</v>
      </c>
      <c r="F5144" s="1">
        <v>73.239999999999995</v>
      </c>
      <c r="G5144" s="1">
        <v>73.227000000000004</v>
      </c>
      <c r="H5144" s="1">
        <v>73.200999999999993</v>
      </c>
      <c r="I5144" s="1">
        <v>73.174999999999997</v>
      </c>
      <c r="J5144" s="21">
        <v>1550</v>
      </c>
      <c r="K5144" s="1"/>
      <c r="L5144" s="1"/>
      <c r="M5144" s="1"/>
      <c r="N5144" s="1"/>
      <c r="O5144" s="1"/>
      <c r="P5144" s="365"/>
      <c r="Q5144" s="1"/>
      <c r="R5144" s="1"/>
      <c r="S5144" s="1"/>
      <c r="T5144" s="1"/>
    </row>
    <row r="5145" spans="1:20">
      <c r="A5145" s="1">
        <v>3350</v>
      </c>
      <c r="B5145" s="1">
        <v>74.405000000000001</v>
      </c>
      <c r="C5145" s="1">
        <v>74.379000000000005</v>
      </c>
      <c r="D5145" s="1">
        <v>74.366</v>
      </c>
      <c r="E5145" s="1">
        <v>74.352999999999994</v>
      </c>
      <c r="F5145" s="1">
        <v>74.34</v>
      </c>
      <c r="G5145" s="1">
        <v>74.326999999999998</v>
      </c>
      <c r="H5145" s="1">
        <v>74.301000000000002</v>
      </c>
      <c r="I5145" s="1">
        <v>74.275000000000006</v>
      </c>
      <c r="J5145" s="21">
        <v>1500</v>
      </c>
      <c r="K5145" s="1"/>
      <c r="L5145" s="1"/>
      <c r="M5145" s="1"/>
      <c r="N5145" s="1"/>
      <c r="O5145" s="1"/>
      <c r="P5145" s="365"/>
      <c r="Q5145" s="1"/>
      <c r="R5145" s="1"/>
      <c r="S5145" s="1"/>
      <c r="T5145" s="1"/>
    </row>
    <row r="5146" spans="1:20">
      <c r="A5146" s="1">
        <v>3400</v>
      </c>
      <c r="B5146" s="1">
        <v>75.504999999999995</v>
      </c>
      <c r="C5146" s="1">
        <v>75.478999999999999</v>
      </c>
      <c r="D5146" s="1">
        <v>75.465999999999994</v>
      </c>
      <c r="E5146" s="1">
        <v>75.453000000000003</v>
      </c>
      <c r="F5146" s="1">
        <v>75.44</v>
      </c>
      <c r="G5146" s="1">
        <v>75.427000000000007</v>
      </c>
      <c r="H5146" s="1">
        <v>75.400999999999996</v>
      </c>
      <c r="I5146" s="1">
        <v>75.375</v>
      </c>
      <c r="J5146" s="21">
        <v>1450</v>
      </c>
      <c r="K5146" s="1"/>
      <c r="L5146" s="1"/>
      <c r="M5146" s="1"/>
      <c r="N5146" s="1"/>
      <c r="O5146" s="1"/>
      <c r="P5146" s="365"/>
      <c r="Q5146" s="1"/>
      <c r="R5146" s="1"/>
      <c r="S5146" s="1"/>
      <c r="T5146" s="1"/>
    </row>
    <row r="5147" spans="1:20">
      <c r="A5147" s="1">
        <v>3450</v>
      </c>
      <c r="B5147" s="1">
        <v>76.605000000000004</v>
      </c>
      <c r="C5147" s="1">
        <v>76.578999999999994</v>
      </c>
      <c r="D5147" s="1">
        <v>76.566000000000003</v>
      </c>
      <c r="E5147" s="1">
        <v>76.552999999999997</v>
      </c>
      <c r="F5147" s="1">
        <v>76.540000000000006</v>
      </c>
      <c r="G5147" s="1">
        <v>76.527000000000001</v>
      </c>
      <c r="H5147" s="1">
        <v>76.501000000000005</v>
      </c>
      <c r="I5147" s="1">
        <v>76.474999999999994</v>
      </c>
      <c r="J5147" s="21">
        <v>1400</v>
      </c>
      <c r="K5147" s="1"/>
      <c r="L5147" s="1"/>
      <c r="M5147" s="1"/>
      <c r="N5147" s="1"/>
      <c r="O5147" s="1"/>
      <c r="P5147" s="365"/>
      <c r="Q5147" s="1"/>
      <c r="R5147" s="1"/>
      <c r="S5147" s="1"/>
      <c r="T5147" s="1"/>
    </row>
    <row r="5148" spans="1:20">
      <c r="A5148" s="1">
        <v>3500</v>
      </c>
      <c r="B5148" s="1">
        <v>77.704999999999998</v>
      </c>
      <c r="C5148" s="1">
        <v>77.679000000000002</v>
      </c>
      <c r="D5148" s="1">
        <v>77.665999999999997</v>
      </c>
      <c r="E5148" s="1">
        <v>77.653000000000006</v>
      </c>
      <c r="F5148" s="1">
        <v>77.64</v>
      </c>
      <c r="G5148" s="1">
        <v>77.626999999999995</v>
      </c>
      <c r="H5148" s="1">
        <v>77.599999999999994</v>
      </c>
      <c r="I5148" s="1">
        <v>77.573999999999998</v>
      </c>
      <c r="J5148" s="21">
        <v>1350</v>
      </c>
      <c r="K5148" s="1"/>
      <c r="L5148" s="1"/>
      <c r="M5148" s="1"/>
      <c r="N5148" s="1"/>
      <c r="O5148" s="1"/>
      <c r="P5148" s="365"/>
      <c r="Q5148" s="1"/>
      <c r="R5148" s="1"/>
      <c r="S5148" s="1"/>
      <c r="T5148" s="1"/>
    </row>
    <row r="5149" spans="1:20">
      <c r="A5149" s="1">
        <v>3550</v>
      </c>
      <c r="B5149" s="1">
        <v>78.805000000000007</v>
      </c>
      <c r="C5149" s="1">
        <v>78.778999999999996</v>
      </c>
      <c r="D5149" s="1">
        <v>78.766000000000005</v>
      </c>
      <c r="E5149" s="1">
        <v>78.753</v>
      </c>
      <c r="F5149" s="1">
        <v>78.739000000000004</v>
      </c>
      <c r="G5149" s="1">
        <v>78.725999999999999</v>
      </c>
      <c r="H5149" s="1">
        <v>78.7</v>
      </c>
      <c r="I5149" s="1">
        <v>78.674000000000007</v>
      </c>
      <c r="J5149" s="21">
        <v>1300</v>
      </c>
      <c r="K5149" s="1"/>
      <c r="L5149" s="1"/>
      <c r="M5149" s="1"/>
      <c r="N5149" s="1"/>
      <c r="O5149" s="1"/>
      <c r="P5149" s="365"/>
      <c r="Q5149" s="1"/>
      <c r="R5149" s="1"/>
      <c r="S5149" s="1"/>
      <c r="T5149" s="1"/>
    </row>
    <row r="5150" spans="1:20">
      <c r="A5150" s="1">
        <v>3600</v>
      </c>
      <c r="B5150" s="1">
        <v>79.905000000000001</v>
      </c>
      <c r="C5150" s="1">
        <v>79.879000000000005</v>
      </c>
      <c r="D5150" s="1">
        <v>79.864999999999995</v>
      </c>
      <c r="E5150" s="1">
        <v>79.852000000000004</v>
      </c>
      <c r="F5150" s="1">
        <v>79.838999999999999</v>
      </c>
      <c r="G5150" s="1">
        <v>79.825999999999993</v>
      </c>
      <c r="H5150" s="1">
        <v>79.8</v>
      </c>
      <c r="I5150" s="1">
        <v>79774</v>
      </c>
      <c r="J5150" s="21">
        <v>1250</v>
      </c>
      <c r="K5150" s="1"/>
      <c r="L5150" s="1"/>
      <c r="M5150" s="1"/>
      <c r="N5150" s="1"/>
      <c r="O5150" s="1"/>
      <c r="P5150" s="365"/>
      <c r="Q5150" s="1"/>
      <c r="R5150" s="1"/>
      <c r="S5150" s="1"/>
      <c r="T5150" s="1"/>
    </row>
    <row r="5151" spans="1:20">
      <c r="A5151" s="1">
        <v>3650</v>
      </c>
      <c r="B5151" s="1">
        <v>81.004999999999995</v>
      </c>
      <c r="C5151" s="1">
        <v>80.977999999999994</v>
      </c>
      <c r="D5151" s="1">
        <v>80.965000000000003</v>
      </c>
      <c r="E5151" s="1">
        <v>80.951999999999998</v>
      </c>
      <c r="F5151" s="1">
        <v>80.938999999999993</v>
      </c>
      <c r="G5151" s="1">
        <v>80.926000000000002</v>
      </c>
      <c r="H5151" s="1">
        <v>80.900000000000006</v>
      </c>
      <c r="I5151" s="1">
        <v>80.873999999999995</v>
      </c>
      <c r="J5151" s="21">
        <v>1200</v>
      </c>
      <c r="K5151" s="1"/>
      <c r="L5151" s="1"/>
      <c r="M5151" s="1"/>
      <c r="N5151" s="1"/>
      <c r="O5151" s="1"/>
      <c r="P5151" s="365"/>
      <c r="Q5151" s="1"/>
      <c r="R5151" s="1"/>
      <c r="S5151" s="1"/>
      <c r="T5151" s="1"/>
    </row>
    <row r="5152" spans="1:20">
      <c r="A5152" s="1">
        <v>3700</v>
      </c>
      <c r="B5152" s="1">
        <v>82.103999999999999</v>
      </c>
      <c r="C5152" s="1">
        <v>82.078000000000003</v>
      </c>
      <c r="D5152" s="1">
        <v>82.064999999999998</v>
      </c>
      <c r="E5152" s="1">
        <v>82.052000000000007</v>
      </c>
      <c r="F5152" s="1">
        <v>82.039000000000001</v>
      </c>
      <c r="G5152" s="1">
        <v>82.025999999999996</v>
      </c>
      <c r="H5152" s="1">
        <v>82</v>
      </c>
      <c r="I5152" s="1">
        <v>81.974000000000004</v>
      </c>
      <c r="J5152" s="21">
        <v>1150</v>
      </c>
      <c r="K5152" s="1"/>
      <c r="L5152" s="1"/>
      <c r="M5152" s="1"/>
      <c r="N5152" s="1"/>
      <c r="O5152" s="1"/>
      <c r="P5152" s="365"/>
      <c r="Q5152" s="1"/>
      <c r="R5152" s="1"/>
      <c r="S5152" s="1"/>
      <c r="T5152" s="1"/>
    </row>
    <row r="5153" spans="1:20">
      <c r="A5153" s="1">
        <v>3750</v>
      </c>
      <c r="B5153" s="1">
        <v>83.203999999999994</v>
      </c>
      <c r="C5153" s="1">
        <v>83.177999999999997</v>
      </c>
      <c r="D5153" s="1">
        <v>83.165000000000006</v>
      </c>
      <c r="E5153" s="1">
        <v>83.152000000000001</v>
      </c>
      <c r="F5153" s="1">
        <v>83.138999999999996</v>
      </c>
      <c r="G5153" s="1">
        <v>83.126000000000005</v>
      </c>
      <c r="H5153" s="1">
        <v>83.1</v>
      </c>
      <c r="I5153" s="1">
        <v>83.073999999999998</v>
      </c>
      <c r="J5153" s="21">
        <v>1100</v>
      </c>
      <c r="K5153" s="1"/>
      <c r="L5153" s="1"/>
      <c r="M5153" s="1"/>
      <c r="N5153" s="1"/>
      <c r="O5153" s="1"/>
      <c r="P5153" s="365"/>
      <c r="Q5153" s="1"/>
      <c r="R5153" s="1"/>
      <c r="S5153" s="1"/>
      <c r="T5153" s="1"/>
    </row>
    <row r="5154" spans="1:20">
      <c r="A5154" s="1">
        <v>3800</v>
      </c>
      <c r="B5154" s="1">
        <v>84.304000000000002</v>
      </c>
      <c r="C5154" s="1">
        <v>84.278000000000006</v>
      </c>
      <c r="D5154" s="1">
        <v>84.265000000000001</v>
      </c>
      <c r="E5154" s="1">
        <v>84.251999999999995</v>
      </c>
      <c r="F5154" s="1">
        <v>84.239000000000004</v>
      </c>
      <c r="G5154" s="1">
        <v>84.225999999999999</v>
      </c>
      <c r="H5154" s="1">
        <v>84.2</v>
      </c>
      <c r="I5154" s="1">
        <v>84.174000000000007</v>
      </c>
      <c r="J5154" s="21">
        <v>1050</v>
      </c>
      <c r="K5154" s="1"/>
      <c r="L5154" s="1"/>
      <c r="M5154" s="1"/>
      <c r="N5154" s="1"/>
      <c r="O5154" s="1"/>
      <c r="P5154" s="365"/>
      <c r="Q5154" s="1"/>
      <c r="R5154" s="1"/>
      <c r="S5154" s="1"/>
      <c r="T5154" s="1"/>
    </row>
    <row r="5155" spans="1:20">
      <c r="A5155" s="1">
        <v>3850</v>
      </c>
      <c r="B5155" s="1">
        <v>85.403999999999996</v>
      </c>
      <c r="C5155" s="1">
        <v>85.378</v>
      </c>
      <c r="D5155" s="1">
        <v>85.364999999999995</v>
      </c>
      <c r="E5155" s="1">
        <v>85.352000000000004</v>
      </c>
      <c r="F5155" s="1">
        <v>85.338999999999999</v>
      </c>
      <c r="G5155" s="1">
        <v>85.325999999999993</v>
      </c>
      <c r="H5155" s="1">
        <v>85.3</v>
      </c>
      <c r="I5155" s="1">
        <v>85.274000000000001</v>
      </c>
      <c r="J5155" s="21">
        <v>1000</v>
      </c>
      <c r="K5155" s="1"/>
      <c r="L5155" s="1"/>
      <c r="M5155" s="1"/>
      <c r="N5155" s="1"/>
      <c r="O5155" s="1"/>
      <c r="P5155" s="365"/>
      <c r="Q5155" s="1"/>
      <c r="R5155" s="1"/>
      <c r="S5155" s="1"/>
      <c r="T5155" s="1"/>
    </row>
    <row r="5156" spans="1:20">
      <c r="A5156" s="1">
        <v>3900</v>
      </c>
      <c r="B5156" s="1">
        <v>86.504000000000005</v>
      </c>
      <c r="C5156" s="1">
        <v>86.477999999999994</v>
      </c>
      <c r="D5156" s="1">
        <v>86.465000000000003</v>
      </c>
      <c r="E5156" s="1">
        <v>86.451999999999998</v>
      </c>
      <c r="F5156" s="1">
        <v>86.438999999999993</v>
      </c>
      <c r="G5156" s="1">
        <v>86.426000000000002</v>
      </c>
      <c r="H5156" s="1">
        <v>86.4</v>
      </c>
      <c r="I5156" s="1">
        <v>86.373999999999995</v>
      </c>
      <c r="J5156" s="21">
        <v>950</v>
      </c>
      <c r="K5156" s="1"/>
      <c r="L5156" s="1"/>
      <c r="M5156" s="1"/>
      <c r="N5156" s="1"/>
      <c r="O5156" s="1"/>
      <c r="P5156" s="365"/>
      <c r="Q5156" s="1"/>
      <c r="R5156" s="1"/>
      <c r="S5156" s="1"/>
      <c r="T5156" s="1"/>
    </row>
    <row r="5157" spans="1:20">
      <c r="A5157" s="1">
        <v>3950</v>
      </c>
      <c r="B5157" s="1">
        <v>87.605000000000004</v>
      </c>
      <c r="C5157" s="1">
        <v>87.578000000000003</v>
      </c>
      <c r="D5157" s="1">
        <v>87.564999999999998</v>
      </c>
      <c r="E5157" s="1">
        <v>87.552000000000007</v>
      </c>
      <c r="F5157" s="1">
        <v>87.539000000000001</v>
      </c>
      <c r="G5157" s="1">
        <v>87.525999999999996</v>
      </c>
      <c r="H5157" s="1">
        <v>87.5</v>
      </c>
      <c r="I5157" s="1">
        <v>87.474000000000004</v>
      </c>
      <c r="J5157" s="21">
        <v>900</v>
      </c>
      <c r="K5157" s="1"/>
      <c r="L5157" s="1"/>
      <c r="M5157" s="1"/>
      <c r="N5157" s="1"/>
      <c r="O5157" s="1"/>
      <c r="P5157" s="365"/>
      <c r="Q5157" s="1"/>
      <c r="R5157" s="1"/>
      <c r="S5157" s="1"/>
      <c r="T5157" s="1"/>
    </row>
    <row r="5158" spans="1:20">
      <c r="A5158" s="1">
        <v>4000</v>
      </c>
      <c r="B5158" s="1">
        <v>88.704999999999998</v>
      </c>
      <c r="C5158" s="1">
        <v>88.677999999999997</v>
      </c>
      <c r="D5158" s="1">
        <v>88.665000000000006</v>
      </c>
      <c r="E5158" s="1">
        <v>88.652000000000001</v>
      </c>
      <c r="F5158" s="1">
        <v>88.638999999999996</v>
      </c>
      <c r="G5158" s="1">
        <v>88.626000000000005</v>
      </c>
      <c r="H5158" s="1">
        <v>88.6</v>
      </c>
      <c r="I5158" s="1">
        <v>88.573999999999998</v>
      </c>
      <c r="J5158" s="21">
        <v>850</v>
      </c>
      <c r="K5158" s="1"/>
      <c r="L5158" s="1"/>
      <c r="M5158" s="1"/>
      <c r="N5158" s="1"/>
      <c r="O5158" s="1"/>
      <c r="P5158" s="365"/>
      <c r="Q5158" s="1"/>
      <c r="R5158" s="1"/>
      <c r="S5158" s="1"/>
      <c r="T5158" s="1"/>
    </row>
    <row r="5159" spans="1:20">
      <c r="A5159" s="1">
        <v>4050</v>
      </c>
      <c r="B5159" s="1">
        <v>89.805000000000007</v>
      </c>
      <c r="C5159" s="1">
        <v>89.778999999999996</v>
      </c>
      <c r="D5159" s="1">
        <v>89.765000000000001</v>
      </c>
      <c r="E5159" s="1">
        <v>89.751999999999995</v>
      </c>
      <c r="F5159" s="1">
        <v>89.739000000000004</v>
      </c>
      <c r="G5159" s="1">
        <v>89.725999999999999</v>
      </c>
      <c r="H5159" s="1">
        <v>89.7</v>
      </c>
      <c r="I5159" s="1">
        <v>89.674000000000007</v>
      </c>
      <c r="J5159" s="21">
        <v>800</v>
      </c>
      <c r="K5159" s="1"/>
      <c r="L5159" s="1"/>
      <c r="M5159" s="1"/>
      <c r="N5159" s="1"/>
      <c r="O5159" s="1"/>
      <c r="P5159" s="365"/>
      <c r="Q5159" s="1"/>
      <c r="R5159" s="1"/>
      <c r="S5159" s="1"/>
      <c r="T5159" s="1"/>
    </row>
    <row r="5160" spans="1:20">
      <c r="A5160" s="1">
        <v>4100</v>
      </c>
      <c r="B5160" s="1">
        <v>90.905000000000001</v>
      </c>
      <c r="C5160" s="1">
        <v>90.879000000000005</v>
      </c>
      <c r="D5160" s="1">
        <v>90.866</v>
      </c>
      <c r="E5160" s="1">
        <v>90.852999999999994</v>
      </c>
      <c r="F5160" s="1">
        <v>90.838999999999999</v>
      </c>
      <c r="G5160" s="1">
        <v>90.825999999999993</v>
      </c>
      <c r="H5160" s="1">
        <v>90.8</v>
      </c>
      <c r="I5160" s="1">
        <v>90.774000000000001</v>
      </c>
      <c r="J5160" s="21">
        <v>750</v>
      </c>
      <c r="K5160" s="1"/>
      <c r="L5160" s="1"/>
      <c r="M5160" s="1"/>
      <c r="N5160" s="1"/>
      <c r="O5160" s="1"/>
      <c r="P5160" s="365"/>
      <c r="Q5160" s="1"/>
      <c r="R5160" s="1"/>
      <c r="S5160" s="1"/>
      <c r="T5160" s="1"/>
    </row>
    <row r="5161" spans="1:20">
      <c r="A5161" s="1">
        <v>4150</v>
      </c>
      <c r="B5161" s="1">
        <v>92.004999999999995</v>
      </c>
      <c r="C5161" s="1">
        <v>91.978999999999999</v>
      </c>
      <c r="D5161" s="1">
        <v>91.965999999999994</v>
      </c>
      <c r="E5161" s="1">
        <v>91.953000000000003</v>
      </c>
      <c r="F5161" s="1">
        <v>91.94</v>
      </c>
      <c r="G5161" s="1">
        <v>91.927000000000007</v>
      </c>
      <c r="H5161" s="1">
        <v>91.9</v>
      </c>
      <c r="I5161" s="1">
        <v>91.873999999999995</v>
      </c>
      <c r="J5161" s="21">
        <v>700</v>
      </c>
      <c r="K5161" s="1"/>
      <c r="L5161" s="1"/>
      <c r="M5161" s="1"/>
      <c r="N5161" s="1"/>
      <c r="O5161" s="1"/>
      <c r="P5161" s="365"/>
      <c r="Q5161" s="1"/>
      <c r="R5161" s="1"/>
      <c r="S5161" s="1"/>
      <c r="T5161" s="1"/>
    </row>
    <row r="5162" spans="1:20">
      <c r="A5162" s="1">
        <v>4200</v>
      </c>
      <c r="B5162" s="1">
        <v>93.105000000000004</v>
      </c>
      <c r="C5162" s="1">
        <v>93.078999999999994</v>
      </c>
      <c r="D5162" s="1">
        <v>93.066000000000003</v>
      </c>
      <c r="E5162" s="1">
        <v>93.052999999999997</v>
      </c>
      <c r="F5162" s="1">
        <v>93.04</v>
      </c>
      <c r="G5162" s="1">
        <v>93.027000000000001</v>
      </c>
      <c r="H5162" s="1">
        <v>93.001000000000005</v>
      </c>
      <c r="I5162" s="1">
        <v>92.974000000000004</v>
      </c>
      <c r="J5162" s="21">
        <v>650</v>
      </c>
      <c r="K5162" s="1"/>
      <c r="L5162" s="1"/>
      <c r="M5162" s="1"/>
      <c r="N5162" s="1"/>
      <c r="O5162" s="1"/>
      <c r="P5162" s="365"/>
      <c r="Q5162" s="1"/>
      <c r="R5162" s="1"/>
      <c r="S5162" s="1"/>
      <c r="T5162" s="1"/>
    </row>
    <row r="5163" spans="1:20">
      <c r="A5163" s="1">
        <v>4250</v>
      </c>
      <c r="B5163" s="1">
        <v>94.204999999999998</v>
      </c>
      <c r="C5163" s="1">
        <v>94.179000000000002</v>
      </c>
      <c r="D5163" s="1">
        <v>94.165999999999997</v>
      </c>
      <c r="E5163" s="1">
        <v>94.153000000000006</v>
      </c>
      <c r="F5163" s="1">
        <v>94.14</v>
      </c>
      <c r="G5163" s="1">
        <v>94.126999999999995</v>
      </c>
      <c r="H5163" s="1">
        <v>94.100999999999999</v>
      </c>
      <c r="I5163" s="1">
        <v>94.075000000000003</v>
      </c>
      <c r="J5163" s="21">
        <v>600</v>
      </c>
      <c r="K5163" s="1"/>
      <c r="L5163" s="1"/>
      <c r="M5163" s="1"/>
      <c r="N5163" s="1"/>
      <c r="O5163" s="1"/>
      <c r="P5163" s="365"/>
      <c r="Q5163" s="1"/>
      <c r="R5163" s="1"/>
      <c r="S5163" s="1"/>
      <c r="T5163" s="1"/>
    </row>
    <row r="5164" spans="1:20">
      <c r="A5164" s="1">
        <v>4300</v>
      </c>
      <c r="B5164" s="1">
        <v>95.305999999999997</v>
      </c>
      <c r="C5164" s="1">
        <v>95.278999999999996</v>
      </c>
      <c r="D5164" s="1">
        <v>95.266000000000005</v>
      </c>
      <c r="E5164" s="1">
        <v>95.253</v>
      </c>
      <c r="F5164" s="1">
        <v>95.24</v>
      </c>
      <c r="G5164" s="1">
        <v>95.227000000000004</v>
      </c>
      <c r="H5164" s="1">
        <v>95.200999999999993</v>
      </c>
      <c r="I5164" s="1">
        <v>95.174999999999997</v>
      </c>
      <c r="J5164" s="21">
        <v>550</v>
      </c>
      <c r="K5164" s="1"/>
      <c r="L5164" s="1"/>
      <c r="M5164" s="1"/>
      <c r="N5164" s="1"/>
      <c r="O5164" s="1"/>
      <c r="P5164" s="365"/>
      <c r="Q5164" s="1"/>
      <c r="R5164" s="1"/>
      <c r="S5164" s="1"/>
      <c r="T5164" s="1"/>
    </row>
    <row r="5165" spans="1:20">
      <c r="A5165" s="1">
        <v>4350</v>
      </c>
      <c r="B5165" s="1">
        <v>96.406000000000006</v>
      </c>
      <c r="C5165" s="1">
        <v>96.38</v>
      </c>
      <c r="D5165" s="1">
        <v>96.367000000000004</v>
      </c>
      <c r="E5165" s="1">
        <v>96.353999999999999</v>
      </c>
      <c r="F5165" s="1">
        <v>96.34</v>
      </c>
      <c r="G5165" s="1">
        <v>96.326999999999998</v>
      </c>
      <c r="H5165" s="1">
        <v>96.301000000000002</v>
      </c>
      <c r="I5165" s="1">
        <v>96.275000000000006</v>
      </c>
      <c r="J5165" s="21">
        <v>500</v>
      </c>
      <c r="K5165" s="1"/>
      <c r="L5165" s="1"/>
      <c r="M5165" s="1"/>
      <c r="N5165" s="1"/>
      <c r="O5165" s="1"/>
      <c r="P5165" s="365"/>
      <c r="Q5165" s="1"/>
      <c r="R5165" s="1"/>
      <c r="S5165" s="1"/>
      <c r="T5165" s="1"/>
    </row>
    <row r="5166" spans="1:20">
      <c r="A5166" s="1">
        <v>4400</v>
      </c>
      <c r="B5166" s="1">
        <v>97.501999999999995</v>
      </c>
      <c r="C5166" s="1">
        <v>97.477999999999994</v>
      </c>
      <c r="D5166" s="1">
        <v>97.465000000000003</v>
      </c>
      <c r="E5166" s="1">
        <v>97.453000000000003</v>
      </c>
      <c r="F5166" s="1">
        <v>97.44</v>
      </c>
      <c r="G5166" s="1">
        <v>97.427000000000007</v>
      </c>
      <c r="H5166" s="1">
        <v>97.400999999999996</v>
      </c>
      <c r="I5166" s="1">
        <v>97.375</v>
      </c>
      <c r="J5166" s="21">
        <v>450</v>
      </c>
      <c r="K5166" s="1"/>
      <c r="L5166" s="1"/>
      <c r="M5166" s="1"/>
      <c r="N5166" s="1"/>
      <c r="O5166" s="1"/>
      <c r="P5166" s="365"/>
      <c r="Q5166" s="1"/>
      <c r="R5166" s="1"/>
      <c r="S5166" s="1"/>
      <c r="T5166" s="1"/>
    </row>
    <row r="5167" spans="1:20">
      <c r="A5167" s="1">
        <v>4450</v>
      </c>
      <c r="B5167" s="1">
        <v>98.552999999999997</v>
      </c>
      <c r="C5167" s="1">
        <v>98.533000000000001</v>
      </c>
      <c r="D5167" s="1">
        <v>98.522999999999996</v>
      </c>
      <c r="E5167" s="1">
        <v>98.513000000000005</v>
      </c>
      <c r="F5167" s="1">
        <v>98.503</v>
      </c>
      <c r="G5167" s="1">
        <v>98.492000000000004</v>
      </c>
      <c r="H5167" s="1">
        <v>98.47</v>
      </c>
      <c r="I5167" s="1">
        <v>98.447000000000003</v>
      </c>
      <c r="J5167" s="21">
        <v>400</v>
      </c>
      <c r="K5167" s="1"/>
      <c r="L5167" s="1"/>
      <c r="M5167" s="1"/>
      <c r="N5167" s="1"/>
      <c r="O5167" s="1"/>
      <c r="P5167" s="365"/>
      <c r="Q5167" s="1"/>
      <c r="R5167" s="1"/>
      <c r="S5167" s="1"/>
      <c r="T5167" s="1"/>
    </row>
    <row r="5168" spans="1:20">
      <c r="A5168" s="1">
        <v>4500</v>
      </c>
      <c r="B5168" s="1">
        <v>99.486999999999995</v>
      </c>
      <c r="C5168" s="1">
        <v>99.47</v>
      </c>
      <c r="D5168" s="1">
        <v>99.460999999999999</v>
      </c>
      <c r="E5168" s="1">
        <v>99.451999999999998</v>
      </c>
      <c r="F5168" s="1">
        <v>99.442999999999998</v>
      </c>
      <c r="G5168" s="1">
        <v>99.433999999999997</v>
      </c>
      <c r="H5168" s="1">
        <v>99.414000000000001</v>
      </c>
      <c r="I5168" s="1">
        <v>99.394000000000005</v>
      </c>
      <c r="J5168" s="21">
        <v>350</v>
      </c>
      <c r="K5168" s="1"/>
      <c r="L5168" s="1"/>
      <c r="M5168" s="1"/>
      <c r="N5168" s="1"/>
      <c r="O5168" s="1"/>
      <c r="P5168" s="365"/>
      <c r="Q5168" s="1"/>
      <c r="R5168" s="1"/>
      <c r="S5168" s="1"/>
      <c r="T5168" s="1"/>
    </row>
    <row r="5169" spans="1:20">
      <c r="A5169" s="1">
        <v>4550</v>
      </c>
      <c r="B5169" s="1">
        <v>100.288</v>
      </c>
      <c r="C5169" s="1">
        <v>100.274</v>
      </c>
      <c r="D5169" s="1">
        <v>100.26600000000001</v>
      </c>
      <c r="E5169" s="1">
        <v>100.259</v>
      </c>
      <c r="F5169" s="1">
        <v>100.251</v>
      </c>
      <c r="G5169" s="1">
        <v>100.24299999999999</v>
      </c>
      <c r="H5169" s="1">
        <v>100.226</v>
      </c>
      <c r="I5169" s="1">
        <v>100.208</v>
      </c>
      <c r="J5169" s="21">
        <v>300</v>
      </c>
      <c r="K5169" s="1"/>
      <c r="L5169" s="1"/>
      <c r="M5169" s="1"/>
      <c r="N5169" s="1"/>
      <c r="O5169" s="1"/>
      <c r="P5169" s="365"/>
      <c r="Q5169" s="1"/>
      <c r="R5169" s="1"/>
      <c r="S5169" s="1"/>
      <c r="T5169" s="1"/>
    </row>
    <row r="5170" spans="1:20">
      <c r="A5170" s="1">
        <v>4600</v>
      </c>
      <c r="B5170" s="1">
        <v>100.956</v>
      </c>
      <c r="C5170" s="1">
        <v>100.94499999999999</v>
      </c>
      <c r="D5170" s="1">
        <v>100.93899999999999</v>
      </c>
      <c r="E5170" s="1">
        <v>100.932</v>
      </c>
      <c r="F5170" s="1">
        <v>100.926</v>
      </c>
      <c r="G5170" s="1">
        <v>100.919</v>
      </c>
      <c r="H5170" s="1">
        <v>100.905</v>
      </c>
      <c r="I5170" s="1">
        <v>100.89</v>
      </c>
      <c r="J5170" s="21">
        <v>250</v>
      </c>
      <c r="K5170" s="1"/>
      <c r="L5170" s="1"/>
      <c r="M5170" s="1"/>
      <c r="N5170" s="1"/>
      <c r="O5170" s="1"/>
      <c r="P5170" s="365"/>
      <c r="Q5170" s="1"/>
      <c r="R5170" s="1"/>
      <c r="S5170" s="1"/>
      <c r="T5170" s="1"/>
    </row>
    <row r="5171" spans="1:20">
      <c r="A5171" s="1">
        <v>4650</v>
      </c>
      <c r="B5171" s="1">
        <v>101.492</v>
      </c>
      <c r="C5171" s="1">
        <v>101.483</v>
      </c>
      <c r="D5171" s="1">
        <v>101.479</v>
      </c>
      <c r="E5171" s="1">
        <v>101.474</v>
      </c>
      <c r="F5171" s="1">
        <v>101.468</v>
      </c>
      <c r="G5171" s="1">
        <v>101.46299999999999</v>
      </c>
      <c r="H5171" s="1">
        <v>101.45099999999999</v>
      </c>
      <c r="I5171" s="1">
        <v>101.438</v>
      </c>
      <c r="J5171" s="21">
        <v>200</v>
      </c>
      <c r="K5171" s="1"/>
      <c r="L5171" s="1"/>
      <c r="M5171" s="1"/>
      <c r="N5171" s="1"/>
      <c r="O5171" s="1"/>
      <c r="P5171" s="365"/>
      <c r="Q5171" s="1"/>
      <c r="R5171" s="1"/>
      <c r="S5171" s="1"/>
      <c r="T5171" s="1"/>
    </row>
    <row r="5172" spans="1:20">
      <c r="A5172" s="1">
        <v>4700</v>
      </c>
      <c r="B5172" s="1">
        <v>101.895</v>
      </c>
      <c r="C5172" s="1">
        <v>101.889</v>
      </c>
      <c r="D5172" s="1">
        <v>101.886</v>
      </c>
      <c r="E5172" s="1">
        <v>101.88200000000001</v>
      </c>
      <c r="F5172" s="1">
        <v>101.878</v>
      </c>
      <c r="G5172" s="1">
        <v>101.874</v>
      </c>
      <c r="H5172" s="1">
        <v>101.86499999999999</v>
      </c>
      <c r="I5172" s="1">
        <v>101.855</v>
      </c>
      <c r="J5172" s="21">
        <v>150</v>
      </c>
      <c r="K5172" s="1"/>
      <c r="L5172" s="1"/>
      <c r="M5172" s="1"/>
      <c r="N5172" s="1"/>
      <c r="O5172" s="1"/>
      <c r="P5172" s="365"/>
      <c r="Q5172" s="1"/>
      <c r="R5172" s="1"/>
      <c r="S5172" s="1"/>
      <c r="T5172" s="1"/>
    </row>
    <row r="5173" spans="1:20">
      <c r="A5173" s="1">
        <v>4750</v>
      </c>
      <c r="B5173" s="1">
        <v>102.166</v>
      </c>
      <c r="C5173" s="1">
        <v>102.16200000000001</v>
      </c>
      <c r="D5173" s="1">
        <v>102.16</v>
      </c>
      <c r="E5173" s="1">
        <v>102.158</v>
      </c>
      <c r="F5173" s="1">
        <v>102.155</v>
      </c>
      <c r="G5173" s="1">
        <v>102.152</v>
      </c>
      <c r="H5173" s="1">
        <v>102.145</v>
      </c>
      <c r="I5173" s="1">
        <v>102.13500000000001</v>
      </c>
      <c r="J5173" s="21">
        <v>100</v>
      </c>
      <c r="K5173" s="1"/>
      <c r="L5173" s="1"/>
      <c r="M5173" s="1"/>
      <c r="N5173" s="1"/>
      <c r="O5173" s="1"/>
      <c r="P5173" s="365"/>
      <c r="Q5173" s="1"/>
      <c r="R5173" s="1"/>
      <c r="S5173" s="1"/>
      <c r="T5173" s="1"/>
    </row>
    <row r="5174" spans="1:20">
      <c r="A5174" s="1">
        <v>4800</v>
      </c>
      <c r="B5174" s="1">
        <v>102.22199999999999</v>
      </c>
      <c r="C5174" s="1">
        <v>102.22199999999999</v>
      </c>
      <c r="D5174" s="1">
        <v>102.22199999999999</v>
      </c>
      <c r="E5174" s="1">
        <v>102.22199999999999</v>
      </c>
      <c r="F5174" s="1">
        <v>102.22199999999999</v>
      </c>
      <c r="G5174" s="1">
        <v>102.22199999999999</v>
      </c>
      <c r="H5174" s="1">
        <v>102.22199999999999</v>
      </c>
      <c r="I5174" s="1">
        <v>102.22199999999999</v>
      </c>
      <c r="J5174" s="21">
        <v>50</v>
      </c>
      <c r="K5174" s="1"/>
      <c r="L5174" s="1"/>
      <c r="M5174" s="1"/>
      <c r="N5174" s="1"/>
      <c r="O5174" s="1"/>
      <c r="P5174" s="365"/>
      <c r="Q5174" s="1"/>
      <c r="R5174" s="1"/>
      <c r="S5174" s="1"/>
      <c r="T5174" s="1"/>
    </row>
    <row r="5175" spans="1:20">
      <c r="A5175" s="1">
        <v>5477</v>
      </c>
      <c r="B5175" s="1">
        <v>102.22199999999999</v>
      </c>
      <c r="C5175" s="1">
        <v>102.22199999999999</v>
      </c>
      <c r="D5175" s="1">
        <v>102.22199999999999</v>
      </c>
      <c r="E5175" s="1">
        <v>102.22199999999999</v>
      </c>
      <c r="F5175" s="1">
        <v>102.22199999999999</v>
      </c>
      <c r="G5175" s="1">
        <v>102.22199999999999</v>
      </c>
      <c r="H5175" s="1">
        <v>102.22199999999999</v>
      </c>
      <c r="I5175" s="1">
        <v>102.22199999999999</v>
      </c>
      <c r="J5175" s="21">
        <v>0</v>
      </c>
      <c r="K5175" s="1"/>
      <c r="L5175" s="1"/>
      <c r="M5175" s="1"/>
      <c r="N5175" s="1"/>
      <c r="O5175" s="1"/>
      <c r="P5175" s="365"/>
      <c r="Q5175" s="1"/>
      <c r="R5175" s="1"/>
      <c r="S5175" s="1"/>
      <c r="T5175" s="1"/>
    </row>
    <row r="5176" spans="1:20" hidden="1">
      <c r="B5176" s="19"/>
      <c r="C5176" s="19"/>
      <c r="D5176" s="19"/>
      <c r="E5176" s="19"/>
      <c r="F5176" s="19"/>
      <c r="G5176" s="19"/>
      <c r="H5176" s="19"/>
      <c r="I5176" s="19"/>
      <c r="J5176" s="19"/>
      <c r="K5176" s="421"/>
      <c r="L5176" s="23"/>
      <c r="M5176" s="19"/>
      <c r="N5176" s="19"/>
      <c r="O5176" s="19"/>
      <c r="P5176" s="19"/>
      <c r="Q5176" s="19"/>
    </row>
    <row r="5177" spans="1:20" hidden="1">
      <c r="B5177" s="19"/>
      <c r="C5177" s="19"/>
      <c r="D5177" s="19"/>
      <c r="E5177" s="19"/>
      <c r="F5177" s="19"/>
      <c r="G5177" s="19"/>
      <c r="H5177" s="19"/>
      <c r="I5177" s="19"/>
      <c r="J5177" s="19"/>
      <c r="K5177" s="421"/>
      <c r="L5177" s="23"/>
      <c r="M5177" s="19"/>
      <c r="N5177" s="19"/>
      <c r="O5177" s="19"/>
      <c r="P5177" s="19"/>
      <c r="Q5177" s="19"/>
    </row>
    <row r="5178" spans="1:20" hidden="1">
      <c r="B5178" s="19"/>
      <c r="C5178" s="19"/>
      <c r="D5178" s="19"/>
      <c r="E5178" s="19"/>
      <c r="F5178" s="19"/>
      <c r="G5178" s="19"/>
      <c r="H5178" s="19"/>
      <c r="I5178" s="19"/>
      <c r="J5178" s="19"/>
      <c r="K5178" s="421"/>
      <c r="L5178" s="23"/>
      <c r="M5178" s="19"/>
      <c r="N5178" s="19"/>
      <c r="O5178" s="19"/>
      <c r="P5178" s="19"/>
      <c r="Q5178" s="19"/>
    </row>
    <row r="5179" spans="1:20" hidden="1">
      <c r="B5179" s="19"/>
      <c r="C5179" s="19"/>
      <c r="D5179" s="19"/>
      <c r="E5179" s="19"/>
      <c r="F5179" s="19"/>
      <c r="G5179" s="19"/>
      <c r="H5179" s="19"/>
      <c r="I5179" s="19"/>
      <c r="J5179" s="19"/>
      <c r="K5179" s="421"/>
      <c r="L5179" s="23"/>
      <c r="M5179" s="19"/>
      <c r="N5179" s="19"/>
      <c r="O5179" s="19"/>
      <c r="P5179" s="19"/>
      <c r="Q5179" s="19"/>
    </row>
    <row r="5180" spans="1:20" hidden="1">
      <c r="B5180" s="19"/>
      <c r="C5180" s="19"/>
      <c r="D5180" s="19"/>
      <c r="E5180" s="19"/>
      <c r="F5180" s="19"/>
      <c r="G5180" s="19"/>
      <c r="H5180" s="19"/>
      <c r="I5180" s="19"/>
      <c r="J5180" s="19"/>
      <c r="K5180" s="421"/>
      <c r="L5180" s="23"/>
      <c r="M5180" s="19"/>
      <c r="N5180" s="19"/>
      <c r="O5180" s="19"/>
      <c r="P5180" s="19"/>
      <c r="Q5180" s="19"/>
    </row>
    <row r="5181" spans="1:20" hidden="1">
      <c r="B5181" s="19"/>
      <c r="C5181" s="19"/>
      <c r="D5181" s="19"/>
      <c r="E5181" s="19"/>
      <c r="F5181" s="19"/>
      <c r="G5181" s="19"/>
      <c r="H5181" s="19"/>
      <c r="I5181" s="19"/>
      <c r="J5181" s="19"/>
      <c r="K5181" s="421"/>
      <c r="L5181" s="23"/>
      <c r="M5181" s="19"/>
      <c r="N5181" s="19"/>
      <c r="O5181" s="19"/>
      <c r="P5181" s="19"/>
      <c r="Q5181" s="19"/>
    </row>
    <row r="5182" spans="1:20" hidden="1">
      <c r="B5182" s="19"/>
      <c r="C5182" s="19"/>
      <c r="D5182" s="19"/>
      <c r="E5182" s="19"/>
      <c r="F5182" s="19"/>
      <c r="G5182" s="19"/>
      <c r="H5182" s="19"/>
      <c r="I5182" s="19"/>
      <c r="J5182" s="19"/>
      <c r="K5182" s="421"/>
      <c r="L5182" s="23"/>
      <c r="M5182" s="19"/>
      <c r="N5182" s="19"/>
      <c r="O5182" s="19"/>
      <c r="P5182" s="19"/>
      <c r="Q5182" s="19"/>
    </row>
    <row r="5183" spans="1:20" hidden="1">
      <c r="B5183" s="19"/>
      <c r="C5183" s="19"/>
      <c r="D5183" s="19"/>
      <c r="E5183" s="19"/>
      <c r="F5183" s="19"/>
      <c r="G5183" s="19"/>
      <c r="H5183" s="19"/>
      <c r="I5183" s="19"/>
      <c r="J5183" s="19"/>
      <c r="K5183" s="421"/>
      <c r="L5183" s="23"/>
      <c r="M5183" s="19"/>
      <c r="N5183" s="19"/>
      <c r="O5183" s="19"/>
      <c r="P5183" s="19"/>
      <c r="Q5183" s="19"/>
    </row>
    <row r="5184" spans="1:20" hidden="1">
      <c r="B5184" s="19"/>
      <c r="C5184" s="19"/>
      <c r="D5184" s="19"/>
      <c r="E5184" s="19"/>
      <c r="F5184" s="19"/>
      <c r="G5184" s="19"/>
      <c r="H5184" s="19"/>
      <c r="I5184" s="19"/>
      <c r="J5184" s="19"/>
      <c r="K5184" s="421"/>
      <c r="L5184" s="23"/>
      <c r="M5184" s="19"/>
      <c r="N5184" s="19"/>
      <c r="O5184" s="19"/>
      <c r="P5184" s="19"/>
      <c r="Q5184" s="19"/>
    </row>
    <row r="5185" spans="2:17" hidden="1">
      <c r="B5185" s="19"/>
      <c r="C5185" s="19"/>
      <c r="D5185" s="19"/>
      <c r="E5185" s="19"/>
      <c r="F5185" s="19"/>
      <c r="G5185" s="19"/>
      <c r="H5185" s="19"/>
      <c r="I5185" s="19"/>
      <c r="J5185" s="19"/>
      <c r="K5185" s="421"/>
      <c r="L5185" s="23"/>
      <c r="M5185" s="19"/>
      <c r="N5185" s="19"/>
      <c r="O5185" s="19"/>
      <c r="P5185" s="19"/>
      <c r="Q5185" s="19"/>
    </row>
    <row r="5186" spans="2:17" hidden="1">
      <c r="B5186" s="19"/>
      <c r="C5186" s="19"/>
      <c r="D5186" s="19"/>
      <c r="E5186" s="19"/>
      <c r="F5186" s="19"/>
      <c r="G5186" s="19"/>
      <c r="H5186" s="19"/>
      <c r="I5186" s="19"/>
      <c r="J5186" s="19"/>
      <c r="K5186" s="421"/>
      <c r="L5186" s="23"/>
      <c r="M5186" s="19"/>
      <c r="N5186" s="19"/>
      <c r="O5186" s="19"/>
      <c r="P5186" s="19"/>
      <c r="Q5186" s="19"/>
    </row>
    <row r="5187" spans="2:17" hidden="1">
      <c r="B5187" s="19"/>
      <c r="C5187" s="19"/>
      <c r="D5187" s="19"/>
      <c r="E5187" s="19"/>
      <c r="F5187" s="19"/>
      <c r="G5187" s="19"/>
      <c r="H5187" s="19"/>
      <c r="I5187" s="19"/>
      <c r="J5187" s="19"/>
      <c r="K5187" s="421"/>
      <c r="L5187" s="23"/>
      <c r="M5187" s="19"/>
      <c r="N5187" s="19"/>
      <c r="O5187" s="19"/>
      <c r="P5187" s="19"/>
      <c r="Q5187" s="19"/>
    </row>
    <row r="5188" spans="2:17" hidden="1">
      <c r="B5188" s="19"/>
      <c r="C5188" s="19"/>
      <c r="D5188" s="19"/>
      <c r="E5188" s="19"/>
      <c r="F5188" s="19"/>
      <c r="G5188" s="19"/>
      <c r="H5188" s="19"/>
      <c r="I5188" s="19"/>
      <c r="J5188" s="19"/>
      <c r="K5188" s="421"/>
      <c r="L5188" s="23"/>
      <c r="M5188" s="19"/>
      <c r="N5188" s="19"/>
      <c r="O5188" s="19"/>
      <c r="P5188" s="19"/>
      <c r="Q5188" s="19"/>
    </row>
    <row r="5189" spans="2:17" hidden="1">
      <c r="B5189" s="19"/>
      <c r="C5189" s="19"/>
      <c r="D5189" s="19"/>
      <c r="E5189" s="19"/>
      <c r="F5189" s="19"/>
      <c r="G5189" s="19"/>
      <c r="H5189" s="19"/>
      <c r="I5189" s="19"/>
      <c r="J5189" s="19"/>
      <c r="K5189" s="421"/>
      <c r="L5189" s="23"/>
      <c r="M5189" s="19"/>
      <c r="N5189" s="19"/>
      <c r="O5189" s="19"/>
      <c r="P5189" s="19"/>
      <c r="Q5189" s="19"/>
    </row>
    <row r="5190" spans="2:17" hidden="1">
      <c r="B5190" s="19"/>
      <c r="C5190" s="19"/>
      <c r="D5190" s="19"/>
      <c r="E5190" s="19"/>
      <c r="F5190" s="19"/>
      <c r="G5190" s="19"/>
      <c r="H5190" s="19"/>
      <c r="I5190" s="19"/>
      <c r="J5190" s="19"/>
      <c r="K5190" s="421"/>
      <c r="L5190" s="23"/>
      <c r="M5190" s="19"/>
      <c r="N5190" s="19"/>
      <c r="O5190" s="19"/>
      <c r="P5190" s="19"/>
      <c r="Q5190" s="19"/>
    </row>
    <row r="5191" spans="2:17" hidden="1">
      <c r="B5191" s="19"/>
      <c r="C5191" s="19"/>
      <c r="D5191" s="19"/>
      <c r="E5191" s="19"/>
      <c r="F5191" s="19"/>
      <c r="G5191" s="19"/>
      <c r="H5191" s="19"/>
      <c r="I5191" s="19"/>
      <c r="J5191" s="19"/>
      <c r="K5191" s="421"/>
      <c r="L5191" s="23"/>
      <c r="M5191" s="19"/>
      <c r="N5191" s="19"/>
      <c r="O5191" s="19"/>
      <c r="P5191" s="19"/>
      <c r="Q5191" s="19"/>
    </row>
    <row r="5192" spans="2:17" hidden="1">
      <c r="B5192" s="19"/>
      <c r="C5192" s="19"/>
      <c r="D5192" s="19"/>
      <c r="E5192" s="19"/>
      <c r="F5192" s="19"/>
      <c r="G5192" s="19"/>
      <c r="H5192" s="19"/>
      <c r="I5192" s="19"/>
      <c r="J5192" s="19"/>
      <c r="K5192" s="421"/>
      <c r="L5192" s="23"/>
      <c r="M5192" s="19"/>
      <c r="N5192" s="19"/>
      <c r="O5192" s="19"/>
      <c r="P5192" s="19"/>
      <c r="Q5192" s="19"/>
    </row>
    <row r="5193" spans="2:17" hidden="1">
      <c r="B5193" s="19"/>
      <c r="C5193" s="19"/>
      <c r="D5193" s="19"/>
      <c r="E5193" s="19"/>
      <c r="F5193" s="19"/>
      <c r="G5193" s="19"/>
      <c r="H5193" s="19"/>
      <c r="I5193" s="19"/>
      <c r="J5193" s="19"/>
      <c r="K5193" s="421"/>
      <c r="L5193" s="23"/>
      <c r="M5193" s="19"/>
      <c r="N5193" s="19"/>
      <c r="O5193" s="19"/>
      <c r="P5193" s="19"/>
      <c r="Q5193" s="19"/>
    </row>
    <row r="5194" spans="2:17" hidden="1">
      <c r="B5194" s="19"/>
      <c r="C5194" s="19"/>
      <c r="D5194" s="19"/>
      <c r="E5194" s="19"/>
      <c r="F5194" s="19"/>
      <c r="G5194" s="19"/>
      <c r="H5194" s="19"/>
      <c r="I5194" s="19"/>
      <c r="J5194" s="19"/>
      <c r="K5194" s="421"/>
      <c r="L5194" s="23"/>
      <c r="M5194" s="19"/>
      <c r="N5194" s="19"/>
      <c r="O5194" s="19"/>
      <c r="P5194" s="19"/>
      <c r="Q5194" s="19"/>
    </row>
    <row r="5195" spans="2:17" hidden="1">
      <c r="B5195" s="19"/>
      <c r="C5195" s="19"/>
      <c r="D5195" s="19"/>
      <c r="E5195" s="19"/>
      <c r="F5195" s="19"/>
      <c r="G5195" s="19"/>
      <c r="H5195" s="19"/>
      <c r="I5195" s="19"/>
      <c r="J5195" s="19"/>
      <c r="K5195" s="421"/>
      <c r="L5195" s="23"/>
      <c r="M5195" s="19"/>
      <c r="N5195" s="19"/>
      <c r="O5195" s="19"/>
      <c r="P5195" s="19"/>
      <c r="Q5195" s="19"/>
    </row>
    <row r="5196" spans="2:17" hidden="1">
      <c r="B5196" s="19"/>
      <c r="C5196" s="19"/>
      <c r="D5196" s="19"/>
      <c r="E5196" s="19"/>
      <c r="F5196" s="19"/>
      <c r="G5196" s="19"/>
      <c r="H5196" s="19"/>
      <c r="I5196" s="19"/>
      <c r="J5196" s="19"/>
      <c r="K5196" s="421"/>
      <c r="L5196" s="23"/>
      <c r="M5196" s="19"/>
      <c r="N5196" s="19"/>
      <c r="O5196" s="19"/>
      <c r="P5196" s="19"/>
      <c r="Q5196" s="19"/>
    </row>
    <row r="5197" spans="2:17" hidden="1">
      <c r="B5197" s="19"/>
      <c r="C5197" s="19"/>
      <c r="D5197" s="19"/>
      <c r="E5197" s="19"/>
      <c r="F5197" s="19"/>
      <c r="G5197" s="19"/>
      <c r="H5197" s="19"/>
      <c r="I5197" s="19"/>
      <c r="J5197" s="19"/>
      <c r="K5197" s="421"/>
      <c r="L5197" s="23"/>
      <c r="M5197" s="19"/>
      <c r="N5197" s="19"/>
      <c r="O5197" s="19"/>
      <c r="P5197" s="19"/>
      <c r="Q5197" s="19"/>
    </row>
    <row r="5198" spans="2:17" hidden="1">
      <c r="B5198" s="19"/>
      <c r="C5198" s="19"/>
      <c r="D5198" s="19"/>
      <c r="E5198" s="19"/>
      <c r="F5198" s="19"/>
      <c r="G5198" s="19"/>
      <c r="H5198" s="19"/>
      <c r="I5198" s="19"/>
      <c r="J5198" s="19"/>
      <c r="K5198" s="421"/>
      <c r="L5198" s="23"/>
      <c r="M5198" s="19"/>
      <c r="N5198" s="19"/>
      <c r="O5198" s="19"/>
      <c r="P5198" s="19"/>
      <c r="Q5198" s="19"/>
    </row>
    <row r="5199" spans="2:17" hidden="1">
      <c r="B5199" s="19"/>
      <c r="C5199" s="19"/>
      <c r="D5199" s="19"/>
      <c r="E5199" s="19"/>
      <c r="F5199" s="19"/>
      <c r="G5199" s="19"/>
      <c r="H5199" s="19"/>
      <c r="I5199" s="19"/>
      <c r="J5199" s="19"/>
      <c r="K5199" s="421"/>
      <c r="L5199" s="23"/>
      <c r="M5199" s="19"/>
      <c r="N5199" s="19"/>
      <c r="O5199" s="19"/>
      <c r="P5199" s="19"/>
      <c r="Q5199" s="19"/>
    </row>
    <row r="5200" spans="2:17" hidden="1">
      <c r="B5200" s="19"/>
      <c r="C5200" s="19"/>
      <c r="D5200" s="19"/>
      <c r="E5200" s="19"/>
      <c r="F5200" s="19"/>
      <c r="G5200" s="19"/>
      <c r="H5200" s="19"/>
      <c r="I5200" s="19"/>
      <c r="J5200" s="19"/>
      <c r="K5200" s="421"/>
      <c r="L5200" s="23"/>
      <c r="M5200" s="19"/>
      <c r="N5200" s="19"/>
      <c r="O5200" s="19"/>
      <c r="P5200" s="19"/>
      <c r="Q5200" s="19"/>
    </row>
    <row r="5201" spans="2:17" hidden="1">
      <c r="B5201" s="19"/>
      <c r="C5201" s="19"/>
      <c r="D5201" s="19"/>
      <c r="E5201" s="19"/>
      <c r="F5201" s="19"/>
      <c r="G5201" s="19"/>
      <c r="H5201" s="19"/>
      <c r="I5201" s="19"/>
      <c r="J5201" s="19"/>
      <c r="K5201" s="421"/>
      <c r="L5201" s="23"/>
      <c r="M5201" s="19"/>
      <c r="N5201" s="19"/>
      <c r="O5201" s="19"/>
      <c r="P5201" s="19"/>
      <c r="Q5201" s="19"/>
    </row>
    <row r="5202" spans="2:17" hidden="1">
      <c r="B5202" s="19"/>
      <c r="C5202" s="19"/>
      <c r="D5202" s="19"/>
      <c r="E5202" s="19"/>
      <c r="F5202" s="19"/>
      <c r="G5202" s="19"/>
      <c r="H5202" s="19"/>
      <c r="I5202" s="19"/>
      <c r="J5202" s="19"/>
      <c r="K5202" s="421"/>
      <c r="L5202" s="23"/>
      <c r="M5202" s="19"/>
      <c r="N5202" s="19"/>
      <c r="O5202" s="19"/>
      <c r="P5202" s="19"/>
      <c r="Q5202" s="19"/>
    </row>
    <row r="5203" spans="2:17" hidden="1">
      <c r="B5203" s="19"/>
      <c r="C5203" s="19"/>
      <c r="D5203" s="19"/>
      <c r="E5203" s="19"/>
      <c r="F5203" s="19"/>
      <c r="G5203" s="19"/>
      <c r="H5203" s="19"/>
      <c r="I5203" s="19"/>
      <c r="J5203" s="19"/>
      <c r="K5203" s="421"/>
      <c r="L5203" s="23"/>
      <c r="M5203" s="19"/>
      <c r="N5203" s="19"/>
      <c r="O5203" s="19"/>
      <c r="P5203" s="19"/>
      <c r="Q5203" s="19"/>
    </row>
    <row r="5204" spans="2:17" hidden="1">
      <c r="B5204" s="19"/>
      <c r="C5204" s="19"/>
      <c r="D5204" s="19"/>
      <c r="E5204" s="19"/>
      <c r="F5204" s="19"/>
      <c r="G5204" s="19"/>
      <c r="H5204" s="19"/>
      <c r="I5204" s="19"/>
      <c r="J5204" s="19"/>
      <c r="K5204" s="421"/>
      <c r="L5204" s="23"/>
      <c r="M5204" s="19"/>
      <c r="N5204" s="19"/>
      <c r="O5204" s="19"/>
      <c r="P5204" s="19"/>
      <c r="Q5204" s="19"/>
    </row>
    <row r="5205" spans="2:17" hidden="1">
      <c r="B5205" s="19"/>
      <c r="C5205" s="19"/>
      <c r="D5205" s="19"/>
      <c r="E5205" s="19"/>
      <c r="F5205" s="19"/>
      <c r="G5205" s="19"/>
      <c r="H5205" s="19"/>
      <c r="I5205" s="19"/>
      <c r="J5205" s="19"/>
      <c r="K5205" s="421"/>
      <c r="L5205" s="23"/>
      <c r="M5205" s="19"/>
      <c r="N5205" s="19"/>
      <c r="O5205" s="19"/>
      <c r="P5205" s="19"/>
      <c r="Q5205" s="19"/>
    </row>
    <row r="5206" spans="2:17" hidden="1">
      <c r="B5206" s="19"/>
      <c r="C5206" s="19"/>
      <c r="D5206" s="19"/>
      <c r="E5206" s="19"/>
      <c r="F5206" s="19"/>
      <c r="G5206" s="19"/>
      <c r="H5206" s="19"/>
      <c r="I5206" s="19"/>
      <c r="J5206" s="19"/>
      <c r="K5206" s="421"/>
      <c r="L5206" s="23"/>
      <c r="M5206" s="19"/>
      <c r="N5206" s="19"/>
      <c r="O5206" s="19"/>
      <c r="P5206" s="19"/>
      <c r="Q5206" s="19"/>
    </row>
    <row r="5207" spans="2:17" hidden="1">
      <c r="B5207" s="19"/>
      <c r="C5207" s="19"/>
      <c r="D5207" s="19"/>
      <c r="E5207" s="19"/>
      <c r="F5207" s="19"/>
      <c r="G5207" s="19"/>
      <c r="H5207" s="19"/>
      <c r="I5207" s="19"/>
      <c r="J5207" s="19"/>
      <c r="K5207" s="421"/>
      <c r="L5207" s="23"/>
      <c r="M5207" s="19"/>
      <c r="N5207" s="19"/>
      <c r="O5207" s="19"/>
      <c r="P5207" s="19"/>
      <c r="Q5207" s="19"/>
    </row>
    <row r="5208" spans="2:17" hidden="1">
      <c r="B5208" s="19"/>
      <c r="C5208" s="19"/>
      <c r="D5208" s="19"/>
      <c r="E5208" s="19"/>
      <c r="F5208" s="19"/>
      <c r="G5208" s="19"/>
      <c r="H5208" s="19"/>
      <c r="I5208" s="19"/>
      <c r="J5208" s="19"/>
      <c r="K5208" s="421"/>
      <c r="L5208" s="23"/>
      <c r="M5208" s="19"/>
      <c r="N5208" s="19"/>
      <c r="O5208" s="19"/>
      <c r="P5208" s="19"/>
      <c r="Q5208" s="19"/>
    </row>
    <row r="5209" spans="2:17" hidden="1">
      <c r="B5209" s="19"/>
      <c r="C5209" s="19"/>
      <c r="D5209" s="19"/>
      <c r="E5209" s="19"/>
      <c r="F5209" s="19"/>
      <c r="G5209" s="19"/>
      <c r="H5209" s="19"/>
      <c r="I5209" s="19"/>
      <c r="J5209" s="19"/>
      <c r="K5209" s="421"/>
      <c r="L5209" s="23"/>
      <c r="M5209" s="19"/>
      <c r="N5209" s="19"/>
      <c r="O5209" s="19"/>
      <c r="P5209" s="19"/>
      <c r="Q5209" s="19"/>
    </row>
    <row r="5210" spans="2:17" hidden="1">
      <c r="B5210" s="19"/>
      <c r="C5210" s="19"/>
      <c r="D5210" s="19"/>
      <c r="E5210" s="19"/>
      <c r="F5210" s="19"/>
      <c r="G5210" s="19"/>
      <c r="H5210" s="19"/>
      <c r="I5210" s="19"/>
      <c r="J5210" s="19"/>
      <c r="K5210" s="421"/>
      <c r="L5210" s="23"/>
      <c r="M5210" s="19"/>
      <c r="N5210" s="19"/>
      <c r="O5210" s="19"/>
      <c r="P5210" s="19"/>
      <c r="Q5210" s="19"/>
    </row>
    <row r="5211" spans="2:17" hidden="1">
      <c r="B5211" s="19"/>
      <c r="C5211" s="19"/>
      <c r="D5211" s="19"/>
      <c r="E5211" s="19"/>
      <c r="F5211" s="19"/>
      <c r="G5211" s="19"/>
      <c r="H5211" s="19"/>
      <c r="I5211" s="19"/>
      <c r="J5211" s="19"/>
      <c r="K5211" s="421"/>
      <c r="L5211" s="23"/>
      <c r="M5211" s="19"/>
      <c r="N5211" s="19"/>
      <c r="O5211" s="19"/>
      <c r="P5211" s="19"/>
      <c r="Q5211" s="19"/>
    </row>
    <row r="5212" spans="2:17" hidden="1">
      <c r="B5212" s="19"/>
      <c r="C5212" s="19"/>
      <c r="D5212" s="19"/>
      <c r="E5212" s="19"/>
      <c r="F5212" s="19"/>
      <c r="G5212" s="19"/>
      <c r="H5212" s="19"/>
      <c r="I5212" s="19"/>
      <c r="J5212" s="19"/>
      <c r="K5212" s="421"/>
      <c r="L5212" s="23"/>
      <c r="M5212" s="19"/>
      <c r="N5212" s="19"/>
      <c r="O5212" s="19"/>
      <c r="P5212" s="19"/>
      <c r="Q5212" s="19"/>
    </row>
    <row r="5213" spans="2:17" hidden="1">
      <c r="B5213" s="19"/>
      <c r="C5213" s="19"/>
      <c r="D5213" s="19"/>
      <c r="E5213" s="19"/>
      <c r="F5213" s="19"/>
      <c r="G5213" s="19"/>
      <c r="H5213" s="19"/>
      <c r="I5213" s="19"/>
      <c r="J5213" s="19"/>
      <c r="K5213" s="421"/>
      <c r="L5213" s="23"/>
      <c r="M5213" s="19"/>
      <c r="N5213" s="19"/>
      <c r="O5213" s="19"/>
      <c r="P5213" s="19"/>
      <c r="Q5213" s="19"/>
    </row>
    <row r="5214" spans="2:17" hidden="1">
      <c r="B5214" s="19"/>
      <c r="C5214" s="19"/>
      <c r="D5214" s="19"/>
      <c r="E5214" s="19"/>
      <c r="F5214" s="19"/>
      <c r="G5214" s="19"/>
      <c r="H5214" s="19"/>
      <c r="I5214" s="19"/>
      <c r="J5214" s="19"/>
      <c r="K5214" s="421"/>
      <c r="L5214" s="23"/>
      <c r="M5214" s="19"/>
      <c r="N5214" s="19"/>
      <c r="O5214" s="19"/>
      <c r="P5214" s="19"/>
      <c r="Q5214" s="19"/>
    </row>
    <row r="5215" spans="2:17" hidden="1">
      <c r="B5215" s="19"/>
      <c r="C5215" s="19"/>
      <c r="D5215" s="19"/>
      <c r="E5215" s="19"/>
      <c r="F5215" s="19"/>
      <c r="G5215" s="19"/>
      <c r="H5215" s="19"/>
      <c r="I5215" s="19"/>
      <c r="J5215" s="19"/>
      <c r="K5215" s="421"/>
      <c r="L5215" s="23"/>
      <c r="M5215" s="19"/>
      <c r="N5215" s="19"/>
      <c r="O5215" s="19"/>
      <c r="P5215" s="19"/>
      <c r="Q5215" s="19"/>
    </row>
    <row r="5216" spans="2:17" hidden="1">
      <c r="B5216" s="19"/>
      <c r="C5216" s="19"/>
      <c r="D5216" s="19"/>
      <c r="E5216" s="19"/>
      <c r="F5216" s="19"/>
      <c r="G5216" s="19"/>
      <c r="H5216" s="19"/>
      <c r="I5216" s="19"/>
      <c r="J5216" s="19"/>
      <c r="K5216" s="421"/>
      <c r="L5216" s="23"/>
      <c r="M5216" s="19"/>
      <c r="N5216" s="19"/>
      <c r="O5216" s="19"/>
      <c r="P5216" s="19"/>
      <c r="Q5216" s="19"/>
    </row>
    <row r="5217" spans="2:17" hidden="1">
      <c r="B5217" s="19"/>
      <c r="C5217" s="19"/>
      <c r="D5217" s="19"/>
      <c r="E5217" s="19"/>
      <c r="F5217" s="19"/>
      <c r="G5217" s="19"/>
      <c r="H5217" s="19"/>
      <c r="I5217" s="19"/>
      <c r="J5217" s="19"/>
      <c r="K5217" s="421"/>
      <c r="L5217" s="23"/>
      <c r="M5217" s="19"/>
      <c r="N5217" s="19"/>
      <c r="O5217" s="19"/>
      <c r="P5217" s="19"/>
      <c r="Q5217" s="19"/>
    </row>
    <row r="5218" spans="2:17" hidden="1">
      <c r="B5218" s="19"/>
      <c r="C5218" s="19"/>
      <c r="D5218" s="19"/>
      <c r="E5218" s="19"/>
      <c r="F5218" s="19"/>
      <c r="G5218" s="19"/>
      <c r="H5218" s="19"/>
      <c r="I5218" s="19"/>
      <c r="J5218" s="19"/>
      <c r="K5218" s="421"/>
      <c r="L5218" s="23"/>
      <c r="M5218" s="19"/>
      <c r="N5218" s="19"/>
      <c r="O5218" s="19"/>
      <c r="P5218" s="19"/>
      <c r="Q5218" s="19"/>
    </row>
    <row r="5219" spans="2:17" hidden="1">
      <c r="B5219" s="19"/>
      <c r="C5219" s="19"/>
      <c r="D5219" s="19"/>
      <c r="E5219" s="19"/>
      <c r="F5219" s="19"/>
      <c r="G5219" s="19"/>
      <c r="H5219" s="19"/>
      <c r="I5219" s="19"/>
      <c r="J5219" s="19"/>
      <c r="K5219" s="421"/>
      <c r="L5219" s="23"/>
      <c r="M5219" s="19"/>
      <c r="N5219" s="19"/>
      <c r="O5219" s="19"/>
      <c r="P5219" s="19"/>
      <c r="Q5219" s="19"/>
    </row>
    <row r="5220" spans="2:17" hidden="1">
      <c r="B5220" s="19"/>
      <c r="C5220" s="19"/>
      <c r="D5220" s="19"/>
      <c r="E5220" s="19"/>
      <c r="F5220" s="19"/>
      <c r="G5220" s="19"/>
      <c r="H5220" s="19"/>
      <c r="I5220" s="19"/>
      <c r="J5220" s="19"/>
      <c r="K5220" s="421"/>
      <c r="L5220" s="23"/>
      <c r="M5220" s="19"/>
      <c r="N5220" s="19"/>
      <c r="O5220" s="19"/>
      <c r="P5220" s="19"/>
      <c r="Q5220" s="19"/>
    </row>
    <row r="5221" spans="2:17" hidden="1">
      <c r="B5221" s="19"/>
      <c r="C5221" s="19"/>
      <c r="D5221" s="19"/>
      <c r="E5221" s="19"/>
      <c r="F5221" s="19"/>
      <c r="G5221" s="19"/>
      <c r="H5221" s="19"/>
      <c r="I5221" s="19"/>
      <c r="J5221" s="19"/>
      <c r="K5221" s="421"/>
      <c r="L5221" s="23"/>
      <c r="M5221" s="19"/>
      <c r="N5221" s="19"/>
      <c r="O5221" s="19"/>
      <c r="P5221" s="19"/>
      <c r="Q5221" s="19"/>
    </row>
    <row r="5222" spans="2:17" hidden="1">
      <c r="B5222" s="19"/>
      <c r="C5222" s="19"/>
      <c r="D5222" s="19"/>
      <c r="E5222" s="19"/>
      <c r="F5222" s="19"/>
      <c r="G5222" s="19"/>
      <c r="H5222" s="19"/>
      <c r="I5222" s="19"/>
      <c r="J5222" s="19"/>
      <c r="K5222" s="421"/>
      <c r="L5222" s="23"/>
      <c r="M5222" s="19"/>
      <c r="N5222" s="19"/>
      <c r="O5222" s="19"/>
      <c r="P5222" s="19"/>
      <c r="Q5222" s="19"/>
    </row>
    <row r="5223" spans="2:17" hidden="1">
      <c r="B5223" s="19"/>
      <c r="C5223" s="19"/>
      <c r="D5223" s="19"/>
      <c r="E5223" s="19"/>
      <c r="F5223" s="19"/>
      <c r="G5223" s="19"/>
      <c r="H5223" s="19"/>
      <c r="I5223" s="19"/>
      <c r="J5223" s="19"/>
      <c r="K5223" s="421"/>
      <c r="L5223" s="23"/>
      <c r="M5223" s="19"/>
      <c r="N5223" s="19"/>
      <c r="O5223" s="19"/>
      <c r="P5223" s="19"/>
      <c r="Q5223" s="19"/>
    </row>
    <row r="5224" spans="2:17" hidden="1">
      <c r="B5224" s="19"/>
      <c r="C5224" s="19"/>
      <c r="D5224" s="19"/>
      <c r="E5224" s="19"/>
      <c r="F5224" s="19"/>
      <c r="G5224" s="19"/>
      <c r="H5224" s="19"/>
      <c r="I5224" s="19"/>
      <c r="J5224" s="19"/>
      <c r="K5224" s="421"/>
      <c r="L5224" s="23"/>
      <c r="M5224" s="19"/>
      <c r="N5224" s="19"/>
      <c r="O5224" s="19"/>
      <c r="P5224" s="19"/>
      <c r="Q5224" s="19"/>
    </row>
    <row r="5225" spans="2:17" hidden="1">
      <c r="B5225" s="19"/>
      <c r="C5225" s="19"/>
      <c r="D5225" s="19"/>
      <c r="E5225" s="19"/>
      <c r="F5225" s="19"/>
      <c r="G5225" s="19"/>
      <c r="H5225" s="19"/>
      <c r="I5225" s="19"/>
      <c r="J5225" s="19"/>
      <c r="K5225" s="421"/>
      <c r="L5225" s="23"/>
      <c r="M5225" s="19"/>
      <c r="N5225" s="19"/>
      <c r="O5225" s="19"/>
      <c r="P5225" s="19"/>
      <c r="Q5225" s="19"/>
    </row>
    <row r="5226" spans="2:17" hidden="1">
      <c r="B5226" s="19"/>
      <c r="C5226" s="19"/>
      <c r="D5226" s="19"/>
      <c r="E5226" s="19"/>
      <c r="F5226" s="19"/>
      <c r="G5226" s="19"/>
      <c r="H5226" s="19"/>
      <c r="I5226" s="19"/>
      <c r="J5226" s="19"/>
      <c r="K5226" s="421"/>
      <c r="L5226" s="23"/>
      <c r="M5226" s="19"/>
      <c r="N5226" s="19"/>
      <c r="O5226" s="19"/>
      <c r="P5226" s="19"/>
      <c r="Q5226" s="19"/>
    </row>
    <row r="5227" spans="2:17" hidden="1">
      <c r="B5227" s="19"/>
      <c r="C5227" s="19"/>
      <c r="D5227" s="19"/>
      <c r="E5227" s="19"/>
      <c r="F5227" s="19"/>
      <c r="G5227" s="19"/>
      <c r="H5227" s="19"/>
      <c r="I5227" s="19"/>
      <c r="J5227" s="19"/>
      <c r="K5227" s="421"/>
      <c r="L5227" s="23"/>
      <c r="M5227" s="19"/>
      <c r="N5227" s="19"/>
      <c r="O5227" s="19"/>
      <c r="P5227" s="19"/>
      <c r="Q5227" s="19"/>
    </row>
    <row r="5228" spans="2:17" hidden="1">
      <c r="B5228" s="19"/>
      <c r="C5228" s="19"/>
      <c r="D5228" s="19"/>
      <c r="E5228" s="19"/>
      <c r="F5228" s="19"/>
      <c r="G5228" s="19"/>
      <c r="H5228" s="19"/>
      <c r="I5228" s="19"/>
      <c r="J5228" s="19"/>
      <c r="K5228" s="421"/>
      <c r="L5228" s="23"/>
      <c r="M5228" s="19"/>
      <c r="N5228" s="19"/>
      <c r="O5228" s="19"/>
      <c r="P5228" s="19"/>
      <c r="Q5228" s="19"/>
    </row>
    <row r="5229" spans="2:17" hidden="1">
      <c r="B5229" s="19"/>
      <c r="C5229" s="19"/>
      <c r="D5229" s="19"/>
      <c r="E5229" s="19"/>
      <c r="F5229" s="19"/>
      <c r="G5229" s="19"/>
      <c r="H5229" s="19"/>
      <c r="I5229" s="19"/>
      <c r="J5229" s="19"/>
      <c r="K5229" s="421"/>
      <c r="L5229" s="23"/>
      <c r="M5229" s="19"/>
      <c r="N5229" s="19"/>
      <c r="O5229" s="19"/>
      <c r="P5229" s="19"/>
      <c r="Q5229" s="19"/>
    </row>
    <row r="5230" spans="2:17" hidden="1">
      <c r="B5230" s="19"/>
      <c r="C5230" s="19"/>
      <c r="D5230" s="19"/>
      <c r="E5230" s="19"/>
      <c r="F5230" s="19"/>
      <c r="G5230" s="19"/>
      <c r="H5230" s="19"/>
      <c r="I5230" s="19"/>
      <c r="J5230" s="19"/>
      <c r="K5230" s="421"/>
      <c r="L5230" s="23"/>
      <c r="M5230" s="19"/>
      <c r="N5230" s="19"/>
      <c r="O5230" s="19"/>
      <c r="P5230" s="19"/>
      <c r="Q5230" s="19"/>
    </row>
    <row r="5231" spans="2:17" hidden="1">
      <c r="B5231" s="19"/>
      <c r="C5231" s="19"/>
      <c r="D5231" s="19"/>
      <c r="E5231" s="19"/>
      <c r="F5231" s="19"/>
      <c r="G5231" s="19"/>
      <c r="H5231" s="19"/>
      <c r="I5231" s="19"/>
      <c r="J5231" s="19"/>
      <c r="K5231" s="421"/>
      <c r="L5231" s="23"/>
      <c r="M5231" s="19"/>
      <c r="N5231" s="19"/>
      <c r="O5231" s="19"/>
      <c r="P5231" s="19"/>
      <c r="Q5231" s="19"/>
    </row>
    <row r="5232" spans="2:17" hidden="1">
      <c r="B5232" s="19"/>
      <c r="C5232" s="19"/>
      <c r="D5232" s="19"/>
      <c r="E5232" s="19"/>
      <c r="F5232" s="19"/>
      <c r="G5232" s="19"/>
      <c r="H5232" s="19"/>
      <c r="I5232" s="19"/>
      <c r="J5232" s="19"/>
      <c r="K5232" s="421"/>
      <c r="L5232" s="23"/>
      <c r="M5232" s="19"/>
      <c r="N5232" s="19"/>
      <c r="O5232" s="19"/>
      <c r="P5232" s="19"/>
      <c r="Q5232" s="19"/>
    </row>
    <row r="5233" spans="2:17" hidden="1">
      <c r="B5233" s="19"/>
      <c r="C5233" s="19"/>
      <c r="D5233" s="19"/>
      <c r="E5233" s="19"/>
      <c r="F5233" s="19"/>
      <c r="G5233" s="19"/>
      <c r="H5233" s="19"/>
      <c r="I5233" s="19"/>
      <c r="J5233" s="19"/>
      <c r="K5233" s="421"/>
      <c r="L5233" s="23"/>
      <c r="M5233" s="19"/>
      <c r="N5233" s="19"/>
      <c r="O5233" s="19"/>
      <c r="P5233" s="19"/>
      <c r="Q5233" s="19"/>
    </row>
    <row r="5234" spans="2:17" hidden="1">
      <c r="B5234" s="19"/>
      <c r="C5234" s="19"/>
      <c r="D5234" s="19"/>
      <c r="E5234" s="19"/>
      <c r="F5234" s="19"/>
      <c r="G5234" s="19"/>
      <c r="H5234" s="19"/>
      <c r="I5234" s="19"/>
      <c r="J5234" s="19"/>
      <c r="K5234" s="421"/>
      <c r="L5234" s="23"/>
      <c r="M5234" s="19"/>
      <c r="N5234" s="19"/>
      <c r="O5234" s="19"/>
      <c r="P5234" s="19"/>
      <c r="Q5234" s="19"/>
    </row>
    <row r="5235" spans="2:17" hidden="1">
      <c r="B5235" s="19"/>
      <c r="C5235" s="19"/>
      <c r="D5235" s="19"/>
      <c r="E5235" s="19"/>
      <c r="F5235" s="19"/>
      <c r="G5235" s="19"/>
      <c r="H5235" s="19"/>
      <c r="I5235" s="19"/>
      <c r="J5235" s="19"/>
      <c r="K5235" s="421"/>
      <c r="L5235" s="23"/>
      <c r="M5235" s="19"/>
      <c r="N5235" s="19"/>
      <c r="O5235" s="19"/>
      <c r="P5235" s="19"/>
      <c r="Q5235" s="19"/>
    </row>
    <row r="5236" spans="2:17" hidden="1">
      <c r="B5236" s="19"/>
      <c r="C5236" s="19"/>
      <c r="D5236" s="19"/>
      <c r="E5236" s="19"/>
      <c r="F5236" s="19"/>
      <c r="G5236" s="19"/>
      <c r="H5236" s="19"/>
      <c r="I5236" s="19"/>
      <c r="J5236" s="19"/>
      <c r="K5236" s="421"/>
      <c r="L5236" s="23"/>
      <c r="M5236" s="19"/>
      <c r="N5236" s="19"/>
      <c r="O5236" s="19"/>
      <c r="P5236" s="19"/>
      <c r="Q5236" s="19"/>
    </row>
    <row r="5237" spans="2:17" hidden="1">
      <c r="B5237" s="19"/>
      <c r="C5237" s="19"/>
      <c r="D5237" s="19"/>
      <c r="E5237" s="19"/>
      <c r="F5237" s="19"/>
      <c r="G5237" s="19"/>
      <c r="H5237" s="19"/>
      <c r="I5237" s="19"/>
      <c r="J5237" s="19"/>
      <c r="K5237" s="421"/>
      <c r="L5237" s="23"/>
      <c r="M5237" s="19"/>
      <c r="N5237" s="19"/>
      <c r="O5237" s="19"/>
      <c r="P5237" s="19"/>
      <c r="Q5237" s="19"/>
    </row>
    <row r="5238" spans="2:17" hidden="1">
      <c r="B5238" s="19"/>
      <c r="C5238" s="19"/>
      <c r="D5238" s="19"/>
      <c r="E5238" s="19"/>
      <c r="F5238" s="19"/>
      <c r="G5238" s="19"/>
      <c r="H5238" s="19"/>
      <c r="I5238" s="19"/>
      <c r="J5238" s="19"/>
      <c r="K5238" s="421"/>
      <c r="L5238" s="23"/>
      <c r="M5238" s="19"/>
      <c r="N5238" s="19"/>
      <c r="O5238" s="19"/>
      <c r="P5238" s="19"/>
      <c r="Q5238" s="19"/>
    </row>
    <row r="5239" spans="2:17" hidden="1">
      <c r="B5239" s="19"/>
      <c r="C5239" s="19"/>
      <c r="D5239" s="19"/>
      <c r="E5239" s="19"/>
      <c r="F5239" s="19"/>
      <c r="G5239" s="19"/>
      <c r="H5239" s="19"/>
      <c r="I5239" s="19"/>
      <c r="J5239" s="19"/>
      <c r="K5239" s="421"/>
      <c r="L5239" s="23"/>
      <c r="M5239" s="19"/>
      <c r="N5239" s="19"/>
      <c r="O5239" s="19"/>
      <c r="P5239" s="19"/>
      <c r="Q5239" s="19"/>
    </row>
    <row r="5240" spans="2:17" hidden="1">
      <c r="B5240" s="19"/>
      <c r="C5240" s="19"/>
      <c r="D5240" s="19"/>
      <c r="E5240" s="19"/>
      <c r="F5240" s="19"/>
      <c r="G5240" s="19"/>
      <c r="H5240" s="19"/>
      <c r="I5240" s="19"/>
      <c r="J5240" s="19"/>
      <c r="K5240" s="421"/>
      <c r="L5240" s="23"/>
      <c r="M5240" s="19"/>
      <c r="N5240" s="19"/>
      <c r="O5240" s="19"/>
      <c r="P5240" s="19"/>
      <c r="Q5240" s="19"/>
    </row>
    <row r="5241" spans="2:17" hidden="1">
      <c r="B5241" s="19"/>
      <c r="C5241" s="19"/>
      <c r="D5241" s="19"/>
      <c r="E5241" s="19"/>
      <c r="F5241" s="19"/>
      <c r="G5241" s="19"/>
      <c r="H5241" s="19"/>
      <c r="I5241" s="19"/>
      <c r="J5241" s="19"/>
      <c r="K5241" s="421"/>
      <c r="L5241" s="23"/>
      <c r="M5241" s="19"/>
      <c r="N5241" s="19"/>
      <c r="O5241" s="19"/>
      <c r="P5241" s="19"/>
      <c r="Q5241" s="19"/>
    </row>
    <row r="5242" spans="2:17" hidden="1">
      <c r="B5242" s="19"/>
      <c r="C5242" s="19"/>
      <c r="D5242" s="19"/>
      <c r="E5242" s="19"/>
      <c r="F5242" s="19"/>
      <c r="G5242" s="19"/>
      <c r="H5242" s="19"/>
      <c r="I5242" s="19"/>
      <c r="J5242" s="19"/>
      <c r="K5242" s="421"/>
      <c r="L5242" s="23"/>
      <c r="M5242" s="19"/>
      <c r="N5242" s="19"/>
      <c r="O5242" s="19"/>
      <c r="P5242" s="19"/>
      <c r="Q5242" s="19"/>
    </row>
    <row r="5243" spans="2:17" hidden="1">
      <c r="B5243" s="19"/>
      <c r="C5243" s="19"/>
      <c r="D5243" s="19"/>
      <c r="E5243" s="19"/>
      <c r="F5243" s="19"/>
      <c r="G5243" s="19"/>
      <c r="H5243" s="19"/>
      <c r="I5243" s="19"/>
      <c r="J5243" s="19"/>
      <c r="K5243" s="421"/>
      <c r="L5243" s="23"/>
      <c r="M5243" s="19"/>
      <c r="N5243" s="19"/>
      <c r="O5243" s="19"/>
      <c r="P5243" s="19"/>
      <c r="Q5243" s="19"/>
    </row>
    <row r="5244" spans="2:17" hidden="1">
      <c r="B5244" s="19"/>
      <c r="C5244" s="19"/>
      <c r="D5244" s="19"/>
      <c r="E5244" s="19"/>
      <c r="F5244" s="19"/>
      <c r="G5244" s="19"/>
      <c r="H5244" s="19"/>
      <c r="I5244" s="19"/>
      <c r="J5244" s="19"/>
      <c r="K5244" s="421"/>
      <c r="L5244" s="23"/>
      <c r="M5244" s="19"/>
      <c r="N5244" s="19"/>
      <c r="O5244" s="19"/>
      <c r="P5244" s="19"/>
      <c r="Q5244" s="19"/>
    </row>
    <row r="5245" spans="2:17" hidden="1">
      <c r="B5245" s="19"/>
      <c r="C5245" s="19"/>
      <c r="D5245" s="19"/>
      <c r="E5245" s="19"/>
      <c r="F5245" s="19"/>
      <c r="G5245" s="19"/>
      <c r="H5245" s="19"/>
      <c r="I5245" s="19"/>
      <c r="J5245" s="19"/>
      <c r="K5245" s="421"/>
      <c r="L5245" s="23"/>
      <c r="M5245" s="19"/>
      <c r="N5245" s="19"/>
      <c r="O5245" s="19"/>
      <c r="P5245" s="19"/>
      <c r="Q5245" s="19"/>
    </row>
    <row r="5246" spans="2:17" hidden="1">
      <c r="B5246" s="19"/>
      <c r="C5246" s="19"/>
      <c r="D5246" s="19"/>
      <c r="E5246" s="19"/>
      <c r="F5246" s="19"/>
      <c r="G5246" s="19"/>
      <c r="H5246" s="19"/>
      <c r="I5246" s="19"/>
      <c r="J5246" s="19"/>
      <c r="K5246" s="421"/>
      <c r="L5246" s="23"/>
      <c r="M5246" s="19"/>
      <c r="N5246" s="19"/>
      <c r="O5246" s="19"/>
      <c r="P5246" s="19"/>
      <c r="Q5246" s="19"/>
    </row>
    <row r="5247" spans="2:17" hidden="1">
      <c r="B5247" s="19"/>
      <c r="C5247" s="19"/>
      <c r="D5247" s="19"/>
      <c r="E5247" s="19"/>
      <c r="F5247" s="19"/>
      <c r="G5247" s="19"/>
      <c r="H5247" s="19"/>
      <c r="I5247" s="19"/>
      <c r="J5247" s="19"/>
      <c r="K5247" s="421"/>
      <c r="L5247" s="23"/>
      <c r="M5247" s="19"/>
      <c r="N5247" s="19"/>
      <c r="O5247" s="19"/>
      <c r="P5247" s="19"/>
      <c r="Q5247" s="19"/>
    </row>
    <row r="5248" spans="2:17" hidden="1">
      <c r="B5248" s="19"/>
      <c r="C5248" s="19"/>
      <c r="D5248" s="19"/>
      <c r="E5248" s="19"/>
      <c r="F5248" s="19"/>
      <c r="G5248" s="19"/>
      <c r="H5248" s="19"/>
      <c r="I5248" s="19"/>
      <c r="J5248" s="19"/>
      <c r="K5248" s="421"/>
      <c r="L5248" s="23"/>
      <c r="M5248" s="19"/>
      <c r="N5248" s="19"/>
      <c r="O5248" s="19"/>
      <c r="P5248" s="19"/>
      <c r="Q5248" s="19"/>
    </row>
    <row r="5249" spans="2:17" hidden="1">
      <c r="B5249" s="19"/>
      <c r="C5249" s="19"/>
      <c r="D5249" s="19"/>
      <c r="E5249" s="19"/>
      <c r="F5249" s="19"/>
      <c r="G5249" s="19"/>
      <c r="H5249" s="19"/>
      <c r="I5249" s="19"/>
      <c r="J5249" s="19"/>
      <c r="K5249" s="421"/>
      <c r="L5249" s="23"/>
      <c r="M5249" s="19"/>
      <c r="N5249" s="19"/>
      <c r="O5249" s="19"/>
      <c r="P5249" s="19"/>
      <c r="Q5249" s="19"/>
    </row>
    <row r="5250" spans="2:17" hidden="1">
      <c r="B5250" s="19"/>
      <c r="C5250" s="19"/>
      <c r="D5250" s="19"/>
      <c r="E5250" s="19"/>
      <c r="F5250" s="19"/>
      <c r="G5250" s="19"/>
      <c r="H5250" s="19"/>
      <c r="I5250" s="19"/>
      <c r="J5250" s="19"/>
      <c r="K5250" s="421"/>
      <c r="L5250" s="23"/>
      <c r="M5250" s="19"/>
      <c r="N5250" s="19"/>
      <c r="O5250" s="19"/>
      <c r="P5250" s="19"/>
      <c r="Q5250" s="19"/>
    </row>
    <row r="5251" spans="2:17" hidden="1">
      <c r="B5251" s="19"/>
      <c r="C5251" s="19"/>
      <c r="D5251" s="19"/>
      <c r="E5251" s="19"/>
      <c r="F5251" s="19"/>
      <c r="G5251" s="19"/>
      <c r="H5251" s="19"/>
      <c r="I5251" s="19"/>
      <c r="J5251" s="19"/>
      <c r="K5251" s="421"/>
      <c r="L5251" s="23"/>
      <c r="M5251" s="19"/>
      <c r="N5251" s="19"/>
      <c r="O5251" s="19"/>
      <c r="P5251" s="19"/>
      <c r="Q5251" s="19"/>
    </row>
    <row r="5252" spans="2:17" hidden="1">
      <c r="B5252" s="19"/>
      <c r="C5252" s="19"/>
      <c r="D5252" s="19"/>
      <c r="E5252" s="19"/>
      <c r="F5252" s="19"/>
      <c r="G5252" s="19"/>
      <c r="H5252" s="19"/>
      <c r="I5252" s="19"/>
      <c r="J5252" s="19"/>
      <c r="K5252" s="421"/>
      <c r="L5252" s="23"/>
      <c r="M5252" s="19"/>
      <c r="N5252" s="19"/>
      <c r="O5252" s="19"/>
      <c r="P5252" s="19"/>
      <c r="Q5252" s="19"/>
    </row>
    <row r="5253" spans="2:17" hidden="1">
      <c r="B5253" s="19"/>
      <c r="C5253" s="19"/>
      <c r="D5253" s="19"/>
      <c r="E5253" s="19"/>
      <c r="F5253" s="19"/>
      <c r="G5253" s="19"/>
      <c r="H5253" s="19"/>
      <c r="I5253" s="19"/>
      <c r="J5253" s="19"/>
      <c r="K5253" s="421"/>
      <c r="L5253" s="23"/>
      <c r="M5253" s="19"/>
      <c r="N5253" s="19"/>
      <c r="O5253" s="19"/>
      <c r="P5253" s="19"/>
      <c r="Q5253" s="19"/>
    </row>
    <row r="5254" spans="2:17" hidden="1">
      <c r="B5254" s="19"/>
      <c r="C5254" s="19"/>
      <c r="D5254" s="19"/>
      <c r="E5254" s="19"/>
      <c r="F5254" s="19"/>
      <c r="G5254" s="19"/>
      <c r="H5254" s="19"/>
      <c r="I5254" s="19"/>
      <c r="J5254" s="19"/>
      <c r="K5254" s="421"/>
      <c r="L5254" s="23"/>
      <c r="M5254" s="19"/>
      <c r="N5254" s="19"/>
      <c r="O5254" s="19"/>
      <c r="P5254" s="19"/>
      <c r="Q5254" s="19"/>
    </row>
    <row r="5255" spans="2:17" hidden="1">
      <c r="B5255" s="19"/>
      <c r="C5255" s="19"/>
      <c r="D5255" s="19"/>
      <c r="E5255" s="19"/>
      <c r="F5255" s="19"/>
      <c r="G5255" s="19"/>
      <c r="H5255" s="19"/>
      <c r="I5255" s="19"/>
      <c r="J5255" s="19"/>
      <c r="K5255" s="421"/>
      <c r="L5255" s="23"/>
      <c r="M5255" s="19"/>
      <c r="N5255" s="19"/>
      <c r="O5255" s="19"/>
      <c r="P5255" s="19"/>
      <c r="Q5255" s="19"/>
    </row>
    <row r="5256" spans="2:17" hidden="1">
      <c r="B5256" s="19"/>
      <c r="C5256" s="19"/>
      <c r="D5256" s="19"/>
      <c r="E5256" s="19"/>
      <c r="F5256" s="19"/>
      <c r="G5256" s="19"/>
      <c r="H5256" s="19"/>
      <c r="I5256" s="19"/>
      <c r="J5256" s="19"/>
      <c r="K5256" s="421"/>
      <c r="L5256" s="23"/>
      <c r="M5256" s="19"/>
      <c r="N5256" s="19"/>
      <c r="O5256" s="19"/>
      <c r="P5256" s="19"/>
      <c r="Q5256" s="19"/>
    </row>
    <row r="5257" spans="2:17" hidden="1">
      <c r="B5257" s="19"/>
      <c r="C5257" s="19"/>
      <c r="D5257" s="19"/>
      <c r="E5257" s="19"/>
      <c r="F5257" s="19"/>
      <c r="G5257" s="19"/>
      <c r="H5257" s="19"/>
      <c r="I5257" s="19"/>
      <c r="J5257" s="19"/>
      <c r="K5257" s="421"/>
      <c r="L5257" s="23"/>
      <c r="M5257" s="19"/>
      <c r="N5257" s="19"/>
      <c r="O5257" s="19"/>
      <c r="P5257" s="19"/>
      <c r="Q5257" s="19"/>
    </row>
    <row r="5258" spans="2:17" hidden="1">
      <c r="B5258" s="19"/>
      <c r="C5258" s="19"/>
      <c r="D5258" s="19"/>
      <c r="E5258" s="19"/>
      <c r="F5258" s="19"/>
      <c r="G5258" s="19"/>
      <c r="H5258" s="19"/>
      <c r="I5258" s="19"/>
      <c r="J5258" s="19"/>
      <c r="K5258" s="421"/>
      <c r="L5258" s="23"/>
      <c r="M5258" s="19"/>
      <c r="N5258" s="19"/>
      <c r="O5258" s="19"/>
      <c r="P5258" s="19"/>
      <c r="Q5258" s="19"/>
    </row>
    <row r="5259" spans="2:17" hidden="1">
      <c r="B5259" s="19"/>
      <c r="C5259" s="19"/>
      <c r="D5259" s="19"/>
      <c r="E5259" s="19"/>
      <c r="F5259" s="19"/>
      <c r="G5259" s="19"/>
      <c r="H5259" s="19"/>
      <c r="I5259" s="19"/>
      <c r="J5259" s="19"/>
      <c r="K5259" s="421"/>
      <c r="L5259" s="23"/>
      <c r="M5259" s="19"/>
      <c r="N5259" s="19"/>
      <c r="O5259" s="19"/>
      <c r="P5259" s="19"/>
      <c r="Q5259" s="19"/>
    </row>
    <row r="5260" spans="2:17" hidden="1">
      <c r="B5260" s="19"/>
      <c r="C5260" s="19"/>
      <c r="D5260" s="19"/>
      <c r="E5260" s="19"/>
      <c r="F5260" s="19"/>
      <c r="G5260" s="19"/>
      <c r="H5260" s="19"/>
      <c r="I5260" s="19"/>
      <c r="J5260" s="19"/>
      <c r="K5260" s="421"/>
      <c r="L5260" s="23"/>
      <c r="M5260" s="19"/>
      <c r="N5260" s="19"/>
      <c r="O5260" s="19"/>
      <c r="P5260" s="19"/>
      <c r="Q5260" s="19"/>
    </row>
    <row r="5261" spans="2:17" hidden="1">
      <c r="B5261" s="19"/>
      <c r="C5261" s="19"/>
      <c r="D5261" s="19"/>
      <c r="E5261" s="19"/>
      <c r="F5261" s="19"/>
      <c r="G5261" s="19"/>
      <c r="H5261" s="19"/>
      <c r="I5261" s="19"/>
      <c r="J5261" s="19"/>
      <c r="K5261" s="421"/>
      <c r="L5261" s="23"/>
      <c r="M5261" s="19"/>
      <c r="N5261" s="19"/>
      <c r="O5261" s="19"/>
      <c r="P5261" s="19"/>
      <c r="Q5261" s="19"/>
    </row>
    <row r="5262" spans="2:17" hidden="1">
      <c r="B5262" s="19"/>
      <c r="C5262" s="19"/>
      <c r="D5262" s="19"/>
      <c r="E5262" s="19"/>
      <c r="F5262" s="19"/>
      <c r="G5262" s="19"/>
      <c r="H5262" s="19"/>
      <c r="I5262" s="19"/>
      <c r="J5262" s="19"/>
      <c r="K5262" s="421"/>
      <c r="L5262" s="23"/>
      <c r="M5262" s="19"/>
      <c r="N5262" s="19"/>
      <c r="O5262" s="19"/>
      <c r="P5262" s="19"/>
      <c r="Q5262" s="19"/>
    </row>
    <row r="5263" spans="2:17" hidden="1">
      <c r="B5263" s="19"/>
      <c r="C5263" s="19"/>
      <c r="D5263" s="19"/>
      <c r="E5263" s="19"/>
      <c r="F5263" s="19"/>
      <c r="G5263" s="19"/>
      <c r="H5263" s="19"/>
      <c r="I5263" s="19"/>
      <c r="J5263" s="19"/>
      <c r="K5263" s="421"/>
      <c r="L5263" s="23"/>
      <c r="M5263" s="19"/>
      <c r="N5263" s="19"/>
      <c r="O5263" s="19"/>
      <c r="P5263" s="19"/>
      <c r="Q5263" s="19"/>
    </row>
    <row r="5264" spans="2:17" hidden="1">
      <c r="B5264" s="19"/>
      <c r="C5264" s="19"/>
      <c r="D5264" s="19"/>
      <c r="E5264" s="19"/>
      <c r="F5264" s="19"/>
      <c r="G5264" s="19"/>
      <c r="H5264" s="19"/>
      <c r="I5264" s="19"/>
      <c r="J5264" s="19"/>
      <c r="K5264" s="421"/>
      <c r="L5264" s="23"/>
      <c r="M5264" s="19"/>
      <c r="N5264" s="19"/>
      <c r="O5264" s="19"/>
      <c r="P5264" s="19"/>
      <c r="Q5264" s="19"/>
    </row>
    <row r="5265" spans="2:17" hidden="1">
      <c r="B5265" s="19"/>
      <c r="C5265" s="19"/>
      <c r="D5265" s="19"/>
      <c r="E5265" s="19"/>
      <c r="F5265" s="19"/>
      <c r="G5265" s="19"/>
      <c r="H5265" s="19"/>
      <c r="I5265" s="19"/>
      <c r="J5265" s="19"/>
      <c r="K5265" s="421"/>
      <c r="L5265" s="23"/>
      <c r="M5265" s="19"/>
      <c r="N5265" s="19"/>
      <c r="O5265" s="19"/>
      <c r="P5265" s="19"/>
      <c r="Q5265" s="19"/>
    </row>
    <row r="5266" spans="2:17" hidden="1">
      <c r="B5266" s="19"/>
      <c r="C5266" s="19"/>
      <c r="D5266" s="19"/>
      <c r="E5266" s="19"/>
      <c r="F5266" s="19"/>
      <c r="G5266" s="19"/>
      <c r="H5266" s="19"/>
      <c r="I5266" s="19"/>
      <c r="J5266" s="19"/>
      <c r="K5266" s="421"/>
      <c r="L5266" s="23"/>
      <c r="M5266" s="19"/>
      <c r="N5266" s="19"/>
      <c r="O5266" s="19"/>
      <c r="P5266" s="19"/>
      <c r="Q5266" s="19"/>
    </row>
    <row r="5267" spans="2:17" hidden="1">
      <c r="B5267" s="19"/>
      <c r="C5267" s="19"/>
      <c r="D5267" s="19"/>
      <c r="E5267" s="19"/>
      <c r="F5267" s="19"/>
      <c r="G5267" s="19"/>
      <c r="H5267" s="19"/>
      <c r="I5267" s="19"/>
      <c r="J5267" s="19"/>
      <c r="K5267" s="421"/>
      <c r="L5267" s="23"/>
      <c r="M5267" s="19"/>
      <c r="N5267" s="19"/>
      <c r="O5267" s="19"/>
      <c r="P5267" s="19"/>
      <c r="Q5267" s="19"/>
    </row>
    <row r="5268" spans="2:17" hidden="1">
      <c r="B5268" s="19"/>
      <c r="C5268" s="19"/>
      <c r="D5268" s="19"/>
      <c r="E5268" s="19"/>
      <c r="F5268" s="19"/>
      <c r="G5268" s="19"/>
      <c r="H5268" s="19"/>
      <c r="I5268" s="19"/>
      <c r="J5268" s="19"/>
      <c r="K5268" s="421"/>
      <c r="L5268" s="23"/>
      <c r="M5268" s="19"/>
      <c r="N5268" s="19"/>
      <c r="O5268" s="19"/>
      <c r="P5268" s="19"/>
      <c r="Q5268" s="19"/>
    </row>
    <row r="5269" spans="2:17" hidden="1">
      <c r="B5269" s="19"/>
      <c r="C5269" s="19"/>
      <c r="D5269" s="19"/>
      <c r="E5269" s="19"/>
      <c r="F5269" s="19"/>
      <c r="G5269" s="19"/>
      <c r="H5269" s="19"/>
      <c r="I5269" s="19"/>
      <c r="J5269" s="19"/>
      <c r="K5269" s="421"/>
      <c r="L5269" s="23"/>
      <c r="M5269" s="19"/>
      <c r="N5269" s="19"/>
      <c r="O5269" s="19"/>
      <c r="P5269" s="19"/>
      <c r="Q5269" s="19"/>
    </row>
    <row r="5270" spans="2:17" hidden="1">
      <c r="B5270" s="19"/>
      <c r="C5270" s="19"/>
      <c r="D5270" s="19"/>
      <c r="E5270" s="19"/>
      <c r="F5270" s="19"/>
      <c r="G5270" s="19"/>
      <c r="H5270" s="19"/>
      <c r="I5270" s="19"/>
      <c r="J5270" s="19"/>
      <c r="K5270" s="421"/>
      <c r="L5270" s="23"/>
      <c r="M5270" s="19"/>
      <c r="N5270" s="19"/>
      <c r="O5270" s="19"/>
      <c r="P5270" s="19"/>
      <c r="Q5270" s="19"/>
    </row>
    <row r="5271" spans="2:17" hidden="1">
      <c r="B5271" s="19"/>
      <c r="C5271" s="19"/>
      <c r="D5271" s="19"/>
      <c r="E5271" s="19"/>
      <c r="F5271" s="19"/>
      <c r="G5271" s="19"/>
      <c r="H5271" s="19"/>
      <c r="I5271" s="19"/>
      <c r="J5271" s="19"/>
      <c r="K5271" s="421"/>
      <c r="L5271" s="23"/>
      <c r="M5271" s="19"/>
      <c r="N5271" s="19"/>
      <c r="O5271" s="19"/>
      <c r="P5271" s="19"/>
      <c r="Q5271" s="19"/>
    </row>
    <row r="5272" spans="2:17" hidden="1">
      <c r="B5272" s="19"/>
      <c r="C5272" s="19"/>
      <c r="D5272" s="19"/>
      <c r="E5272" s="19"/>
      <c r="F5272" s="19"/>
      <c r="G5272" s="19"/>
      <c r="H5272" s="19"/>
      <c r="I5272" s="19"/>
      <c r="J5272" s="19"/>
      <c r="K5272" s="421"/>
      <c r="L5272" s="23"/>
      <c r="M5272" s="19"/>
      <c r="N5272" s="19"/>
      <c r="O5272" s="19"/>
      <c r="P5272" s="19"/>
      <c r="Q5272" s="19"/>
    </row>
    <row r="5273" spans="2:17" hidden="1">
      <c r="B5273" s="19"/>
      <c r="C5273" s="19"/>
      <c r="D5273" s="19"/>
      <c r="E5273" s="19"/>
      <c r="F5273" s="19"/>
      <c r="G5273" s="19"/>
      <c r="H5273" s="19"/>
      <c r="I5273" s="19"/>
      <c r="J5273" s="19"/>
      <c r="K5273" s="421"/>
      <c r="L5273" s="23"/>
      <c r="M5273" s="19"/>
      <c r="N5273" s="19"/>
      <c r="O5273" s="19"/>
      <c r="P5273" s="19"/>
      <c r="Q5273" s="19"/>
    </row>
    <row r="5274" spans="2:17" hidden="1">
      <c r="B5274" s="19"/>
      <c r="C5274" s="19"/>
      <c r="D5274" s="19"/>
      <c r="E5274" s="19"/>
      <c r="F5274" s="19"/>
      <c r="G5274" s="19"/>
      <c r="H5274" s="19"/>
      <c r="I5274" s="19"/>
      <c r="J5274" s="19"/>
      <c r="K5274" s="421"/>
      <c r="L5274" s="23"/>
      <c r="M5274" s="19"/>
      <c r="N5274" s="19"/>
      <c r="O5274" s="19"/>
      <c r="P5274" s="19"/>
      <c r="Q5274" s="19"/>
    </row>
    <row r="5275" spans="2:17" hidden="1">
      <c r="B5275" s="19"/>
      <c r="C5275" s="19"/>
      <c r="D5275" s="19"/>
      <c r="E5275" s="19"/>
      <c r="F5275" s="19"/>
      <c r="G5275" s="19"/>
      <c r="H5275" s="19"/>
      <c r="I5275" s="19"/>
      <c r="J5275" s="19"/>
      <c r="K5275" s="421"/>
      <c r="L5275" s="23"/>
      <c r="M5275" s="19"/>
      <c r="N5275" s="19"/>
      <c r="O5275" s="19"/>
      <c r="P5275" s="19"/>
      <c r="Q5275" s="19"/>
    </row>
    <row r="5276" spans="2:17" hidden="1">
      <c r="B5276" s="19"/>
      <c r="C5276" s="19"/>
      <c r="D5276" s="19"/>
      <c r="E5276" s="19"/>
      <c r="F5276" s="19"/>
      <c r="G5276" s="19"/>
      <c r="H5276" s="19"/>
      <c r="I5276" s="19"/>
      <c r="J5276" s="19"/>
      <c r="K5276" s="421"/>
      <c r="L5276" s="23"/>
      <c r="M5276" s="19"/>
      <c r="N5276" s="19"/>
      <c r="O5276" s="19"/>
      <c r="P5276" s="19"/>
      <c r="Q5276" s="19"/>
    </row>
    <row r="5277" spans="2:17" hidden="1">
      <c r="B5277" s="19"/>
      <c r="C5277" s="19"/>
      <c r="D5277" s="19"/>
      <c r="E5277" s="19"/>
      <c r="F5277" s="19"/>
      <c r="G5277" s="19"/>
      <c r="H5277" s="19"/>
      <c r="I5277" s="19"/>
      <c r="J5277" s="19"/>
      <c r="K5277" s="421"/>
      <c r="L5277" s="23"/>
      <c r="M5277" s="19"/>
      <c r="N5277" s="19"/>
      <c r="O5277" s="19"/>
      <c r="P5277" s="19"/>
      <c r="Q5277" s="19"/>
    </row>
    <row r="5278" spans="2:17" hidden="1">
      <c r="B5278" s="19"/>
      <c r="C5278" s="19"/>
      <c r="D5278" s="19"/>
      <c r="E5278" s="19"/>
      <c r="F5278" s="19"/>
      <c r="G5278" s="19"/>
      <c r="H5278" s="19"/>
      <c r="I5278" s="19"/>
      <c r="J5278" s="19"/>
      <c r="K5278" s="421"/>
      <c r="L5278" s="23"/>
      <c r="M5278" s="19"/>
      <c r="N5278" s="19"/>
      <c r="O5278" s="19"/>
      <c r="P5278" s="19"/>
      <c r="Q5278" s="19"/>
    </row>
    <row r="5279" spans="2:17" hidden="1">
      <c r="B5279" s="19"/>
      <c r="C5279" s="19"/>
      <c r="D5279" s="19"/>
      <c r="E5279" s="19"/>
      <c r="F5279" s="19"/>
      <c r="G5279" s="19"/>
      <c r="H5279" s="19"/>
      <c r="I5279" s="19"/>
      <c r="J5279" s="19"/>
      <c r="K5279" s="421"/>
      <c r="L5279" s="23"/>
      <c r="M5279" s="19"/>
      <c r="N5279" s="19"/>
      <c r="O5279" s="19"/>
      <c r="P5279" s="19"/>
      <c r="Q5279" s="19"/>
    </row>
    <row r="5280" spans="2:17" hidden="1">
      <c r="B5280" s="19"/>
      <c r="C5280" s="19"/>
      <c r="D5280" s="19"/>
      <c r="E5280" s="19"/>
      <c r="F5280" s="19"/>
      <c r="G5280" s="19"/>
      <c r="H5280" s="19"/>
      <c r="I5280" s="19"/>
      <c r="J5280" s="19"/>
      <c r="K5280" s="421"/>
      <c r="L5280" s="23"/>
      <c r="M5280" s="19"/>
      <c r="N5280" s="19"/>
      <c r="O5280" s="19"/>
      <c r="P5280" s="19"/>
      <c r="Q5280" s="19"/>
    </row>
    <row r="5281" spans="2:17" hidden="1">
      <c r="B5281" s="19"/>
      <c r="C5281" s="19"/>
      <c r="D5281" s="19"/>
      <c r="E5281" s="19"/>
      <c r="F5281" s="19"/>
      <c r="G5281" s="19"/>
      <c r="H5281" s="19"/>
      <c r="I5281" s="19"/>
      <c r="J5281" s="19"/>
      <c r="K5281" s="421"/>
      <c r="L5281" s="23"/>
      <c r="M5281" s="19"/>
      <c r="N5281" s="19"/>
      <c r="O5281" s="19"/>
      <c r="P5281" s="19"/>
      <c r="Q5281" s="19"/>
    </row>
    <row r="5282" spans="2:17" hidden="1">
      <c r="B5282" s="19"/>
      <c r="C5282" s="19"/>
      <c r="D5282" s="19"/>
      <c r="E5282" s="19"/>
      <c r="F5282" s="19"/>
      <c r="G5282" s="19"/>
      <c r="H5282" s="19"/>
      <c r="I5282" s="19"/>
      <c r="J5282" s="19"/>
      <c r="K5282" s="421"/>
      <c r="L5282" s="23"/>
      <c r="M5282" s="19"/>
      <c r="N5282" s="19"/>
      <c r="O5282" s="19"/>
      <c r="P5282" s="19"/>
      <c r="Q5282" s="19"/>
    </row>
    <row r="5283" spans="2:17" hidden="1">
      <c r="B5283" s="19"/>
      <c r="C5283" s="19"/>
      <c r="D5283" s="19"/>
      <c r="E5283" s="19"/>
      <c r="F5283" s="19"/>
      <c r="G5283" s="19"/>
      <c r="H5283" s="19"/>
      <c r="I5283" s="19"/>
      <c r="J5283" s="19"/>
      <c r="K5283" s="421"/>
      <c r="L5283" s="23"/>
      <c r="M5283" s="19"/>
      <c r="N5283" s="19"/>
      <c r="O5283" s="19"/>
      <c r="P5283" s="19"/>
      <c r="Q5283" s="19"/>
    </row>
    <row r="5284" spans="2:17" hidden="1">
      <c r="B5284" s="19"/>
      <c r="C5284" s="19"/>
      <c r="D5284" s="19"/>
      <c r="E5284" s="19"/>
      <c r="F5284" s="19"/>
      <c r="G5284" s="19"/>
      <c r="H5284" s="19"/>
      <c r="I5284" s="19"/>
      <c r="J5284" s="19"/>
      <c r="K5284" s="421"/>
      <c r="L5284" s="23"/>
      <c r="M5284" s="19"/>
      <c r="N5284" s="19"/>
      <c r="O5284" s="19"/>
      <c r="P5284" s="19"/>
      <c r="Q5284" s="19"/>
    </row>
    <row r="5285" spans="2:17" hidden="1">
      <c r="B5285" s="19"/>
      <c r="C5285" s="19"/>
      <c r="D5285" s="19"/>
      <c r="E5285" s="19"/>
      <c r="F5285" s="19"/>
      <c r="G5285" s="19"/>
      <c r="H5285" s="19"/>
      <c r="I5285" s="19"/>
      <c r="J5285" s="19"/>
      <c r="K5285" s="421"/>
      <c r="L5285" s="23"/>
      <c r="M5285" s="19"/>
      <c r="N5285" s="19"/>
      <c r="O5285" s="19"/>
      <c r="P5285" s="19"/>
      <c r="Q5285" s="19"/>
    </row>
    <row r="5286" spans="2:17" hidden="1">
      <c r="B5286" s="19"/>
      <c r="C5286" s="19"/>
      <c r="D5286" s="19"/>
      <c r="E5286" s="19"/>
      <c r="F5286" s="19"/>
      <c r="G5286" s="19"/>
      <c r="H5286" s="19"/>
      <c r="I5286" s="19"/>
      <c r="J5286" s="19"/>
      <c r="K5286" s="421"/>
      <c r="L5286" s="23"/>
      <c r="M5286" s="19"/>
      <c r="N5286" s="19"/>
      <c r="O5286" s="19"/>
      <c r="P5286" s="19"/>
      <c r="Q5286" s="19"/>
    </row>
    <row r="5287" spans="2:17" hidden="1">
      <c r="B5287" s="19"/>
      <c r="C5287" s="19"/>
      <c r="D5287" s="19"/>
      <c r="E5287" s="19"/>
      <c r="F5287" s="19"/>
      <c r="G5287" s="19"/>
      <c r="H5287" s="19"/>
      <c r="I5287" s="19"/>
      <c r="J5287" s="19"/>
      <c r="K5287" s="421"/>
      <c r="L5287" s="23"/>
      <c r="M5287" s="19"/>
      <c r="N5287" s="19"/>
      <c r="O5287" s="19"/>
      <c r="P5287" s="19"/>
      <c r="Q5287" s="19"/>
    </row>
    <row r="5288" spans="2:17" hidden="1">
      <c r="B5288" s="19"/>
      <c r="C5288" s="19"/>
      <c r="D5288" s="19"/>
      <c r="E5288" s="19"/>
      <c r="F5288" s="19"/>
      <c r="G5288" s="19"/>
      <c r="H5288" s="19"/>
      <c r="I5288" s="19"/>
      <c r="J5288" s="19"/>
      <c r="K5288" s="421"/>
      <c r="L5288" s="23"/>
      <c r="M5288" s="19"/>
      <c r="N5288" s="19"/>
      <c r="O5288" s="19"/>
      <c r="P5288" s="19"/>
      <c r="Q5288" s="19"/>
    </row>
    <row r="5289" spans="2:17" hidden="1">
      <c r="B5289" s="19"/>
      <c r="C5289" s="19"/>
      <c r="D5289" s="19"/>
      <c r="E5289" s="19"/>
      <c r="F5289" s="19"/>
      <c r="G5289" s="19"/>
      <c r="H5289" s="19"/>
      <c r="I5289" s="19"/>
      <c r="J5289" s="19"/>
      <c r="K5289" s="421"/>
      <c r="L5289" s="23"/>
      <c r="M5289" s="19"/>
      <c r="N5289" s="19"/>
      <c r="O5289" s="19"/>
      <c r="P5289" s="19"/>
      <c r="Q5289" s="19"/>
    </row>
    <row r="5290" spans="2:17" hidden="1">
      <c r="B5290" s="19"/>
      <c r="C5290" s="19"/>
      <c r="D5290" s="19"/>
      <c r="E5290" s="19"/>
      <c r="F5290" s="19"/>
      <c r="G5290" s="19"/>
      <c r="H5290" s="19"/>
      <c r="I5290" s="19"/>
      <c r="J5290" s="19"/>
      <c r="K5290" s="421"/>
      <c r="L5290" s="23"/>
      <c r="M5290" s="19"/>
      <c r="N5290" s="19"/>
      <c r="O5290" s="19"/>
      <c r="P5290" s="19"/>
      <c r="Q5290" s="19"/>
    </row>
    <row r="5291" spans="2:17" hidden="1">
      <c r="B5291" s="19"/>
      <c r="C5291" s="19"/>
      <c r="D5291" s="19"/>
      <c r="E5291" s="19"/>
      <c r="F5291" s="19"/>
      <c r="G5291" s="19"/>
      <c r="H5291" s="19"/>
      <c r="I5291" s="19"/>
      <c r="J5291" s="19"/>
      <c r="K5291" s="421"/>
      <c r="L5291" s="23"/>
      <c r="M5291" s="19"/>
      <c r="N5291" s="19"/>
      <c r="O5291" s="19"/>
      <c r="P5291" s="19"/>
      <c r="Q5291" s="19"/>
    </row>
    <row r="5292" spans="2:17" hidden="1">
      <c r="B5292" s="19"/>
      <c r="C5292" s="19"/>
      <c r="D5292" s="19"/>
      <c r="E5292" s="19"/>
      <c r="F5292" s="19"/>
      <c r="G5292" s="19"/>
      <c r="H5292" s="19"/>
      <c r="I5292" s="19"/>
      <c r="J5292" s="19"/>
      <c r="K5292" s="421"/>
      <c r="L5292" s="23"/>
      <c r="M5292" s="19"/>
      <c r="N5292" s="19"/>
      <c r="O5292" s="19"/>
      <c r="P5292" s="19"/>
      <c r="Q5292" s="19"/>
    </row>
    <row r="5293" spans="2:17" hidden="1">
      <c r="B5293" s="19"/>
      <c r="C5293" s="19"/>
      <c r="D5293" s="19"/>
      <c r="E5293" s="19"/>
      <c r="F5293" s="19"/>
      <c r="G5293" s="19"/>
      <c r="H5293" s="19"/>
      <c r="I5293" s="19"/>
      <c r="J5293" s="19"/>
      <c r="K5293" s="421"/>
      <c r="L5293" s="23"/>
      <c r="M5293" s="19"/>
      <c r="N5293" s="19"/>
      <c r="O5293" s="19"/>
      <c r="P5293" s="19"/>
      <c r="Q5293" s="19"/>
    </row>
    <row r="5294" spans="2:17" hidden="1">
      <c r="B5294" s="19"/>
      <c r="C5294" s="19"/>
      <c r="D5294" s="19"/>
      <c r="E5294" s="19"/>
      <c r="F5294" s="19"/>
      <c r="G5294" s="19"/>
      <c r="H5294" s="19"/>
      <c r="I5294" s="19"/>
      <c r="J5294" s="19"/>
      <c r="K5294" s="421"/>
      <c r="L5294" s="23"/>
      <c r="M5294" s="19"/>
      <c r="N5294" s="19"/>
      <c r="O5294" s="19"/>
      <c r="P5294" s="19"/>
      <c r="Q5294" s="19"/>
    </row>
    <row r="5295" spans="2:17" hidden="1">
      <c r="B5295" s="19"/>
      <c r="C5295" s="19"/>
      <c r="D5295" s="19"/>
      <c r="E5295" s="19"/>
      <c r="F5295" s="19"/>
      <c r="G5295" s="19"/>
      <c r="H5295" s="19"/>
      <c r="I5295" s="19"/>
      <c r="J5295" s="19"/>
      <c r="K5295" s="421"/>
      <c r="L5295" s="23"/>
      <c r="M5295" s="19"/>
      <c r="N5295" s="19"/>
      <c r="O5295" s="19"/>
      <c r="P5295" s="19"/>
      <c r="Q5295" s="19"/>
    </row>
    <row r="5296" spans="2:17" hidden="1">
      <c r="B5296" s="19"/>
      <c r="C5296" s="19"/>
      <c r="D5296" s="19"/>
      <c r="E5296" s="19"/>
      <c r="F5296" s="19"/>
      <c r="G5296" s="19"/>
      <c r="H5296" s="19"/>
      <c r="I5296" s="19"/>
      <c r="J5296" s="19"/>
      <c r="K5296" s="421"/>
      <c r="L5296" s="23"/>
      <c r="M5296" s="19"/>
      <c r="N5296" s="19"/>
      <c r="O5296" s="19"/>
      <c r="P5296" s="19"/>
      <c r="Q5296" s="19"/>
    </row>
    <row r="5297" spans="2:17" hidden="1">
      <c r="B5297" s="19"/>
      <c r="C5297" s="19"/>
      <c r="D5297" s="19"/>
      <c r="E5297" s="19"/>
      <c r="F5297" s="19"/>
      <c r="G5297" s="19"/>
      <c r="H5297" s="19"/>
      <c r="I5297" s="19"/>
      <c r="J5297" s="19"/>
      <c r="K5297" s="421"/>
      <c r="L5297" s="23"/>
      <c r="M5297" s="19"/>
      <c r="N5297" s="19"/>
      <c r="O5297" s="19"/>
      <c r="P5297" s="19"/>
      <c r="Q5297" s="19"/>
    </row>
    <row r="5298" spans="2:17" hidden="1">
      <c r="B5298" s="19"/>
      <c r="C5298" s="19"/>
      <c r="D5298" s="19"/>
      <c r="E5298" s="19"/>
      <c r="F5298" s="19"/>
      <c r="G5298" s="19"/>
      <c r="H5298" s="19"/>
      <c r="I5298" s="19"/>
      <c r="J5298" s="19"/>
      <c r="K5298" s="421"/>
      <c r="L5298" s="23"/>
      <c r="M5298" s="19"/>
      <c r="N5298" s="19"/>
      <c r="O5298" s="19"/>
      <c r="P5298" s="19"/>
      <c r="Q5298" s="19"/>
    </row>
    <row r="5299" spans="2:17" hidden="1">
      <c r="B5299" s="19"/>
      <c r="C5299" s="19"/>
      <c r="D5299" s="19"/>
      <c r="E5299" s="19"/>
      <c r="F5299" s="19"/>
      <c r="G5299" s="19"/>
      <c r="H5299" s="19"/>
      <c r="I5299" s="19"/>
      <c r="J5299" s="19"/>
      <c r="K5299" s="421"/>
      <c r="L5299" s="23"/>
      <c r="M5299" s="19"/>
      <c r="N5299" s="19"/>
      <c r="O5299" s="19"/>
      <c r="P5299" s="19"/>
      <c r="Q5299" s="19"/>
    </row>
    <row r="5300" spans="2:17" hidden="1">
      <c r="B5300" s="19"/>
      <c r="C5300" s="19"/>
      <c r="D5300" s="19"/>
      <c r="E5300" s="19"/>
      <c r="F5300" s="19"/>
      <c r="G5300" s="19"/>
      <c r="H5300" s="19"/>
      <c r="I5300" s="19"/>
      <c r="J5300" s="19"/>
      <c r="K5300" s="421"/>
      <c r="L5300" s="23"/>
      <c r="M5300" s="19"/>
      <c r="N5300" s="19"/>
      <c r="O5300" s="19"/>
      <c r="P5300" s="19"/>
      <c r="Q5300" s="19"/>
    </row>
    <row r="5301" spans="2:17" hidden="1">
      <c r="B5301" s="19"/>
      <c r="C5301" s="19"/>
      <c r="D5301" s="19"/>
      <c r="E5301" s="19"/>
      <c r="F5301" s="19"/>
      <c r="G5301" s="19"/>
      <c r="H5301" s="19"/>
      <c r="I5301" s="19"/>
      <c r="J5301" s="19"/>
      <c r="K5301" s="421"/>
      <c r="L5301" s="23"/>
      <c r="M5301" s="19"/>
      <c r="N5301" s="19"/>
      <c r="O5301" s="19"/>
      <c r="P5301" s="19"/>
      <c r="Q5301" s="19"/>
    </row>
    <row r="5302" spans="2:17" hidden="1">
      <c r="B5302" s="19"/>
      <c r="C5302" s="19"/>
      <c r="D5302" s="19"/>
      <c r="E5302" s="19"/>
      <c r="F5302" s="19"/>
      <c r="G5302" s="19"/>
      <c r="H5302" s="19"/>
      <c r="I5302" s="19"/>
      <c r="J5302" s="19"/>
      <c r="K5302" s="421"/>
      <c r="L5302" s="23"/>
      <c r="M5302" s="19"/>
      <c r="N5302" s="19"/>
      <c r="O5302" s="19"/>
      <c r="P5302" s="19"/>
      <c r="Q5302" s="19"/>
    </row>
    <row r="5303" spans="2:17" hidden="1">
      <c r="B5303" s="19"/>
      <c r="C5303" s="19"/>
      <c r="D5303" s="19"/>
      <c r="E5303" s="19"/>
      <c r="F5303" s="19"/>
      <c r="G5303" s="19"/>
      <c r="H5303" s="19"/>
      <c r="I5303" s="19"/>
      <c r="J5303" s="19"/>
      <c r="K5303" s="421"/>
      <c r="L5303" s="23"/>
      <c r="M5303" s="19"/>
      <c r="N5303" s="19"/>
      <c r="O5303" s="19"/>
      <c r="P5303" s="19"/>
      <c r="Q5303" s="19"/>
    </row>
    <row r="5304" spans="2:17" hidden="1">
      <c r="B5304" s="19"/>
      <c r="C5304" s="19"/>
      <c r="D5304" s="19"/>
      <c r="E5304" s="19"/>
      <c r="F5304" s="19"/>
      <c r="G5304" s="19"/>
      <c r="H5304" s="19"/>
      <c r="I5304" s="19"/>
      <c r="J5304" s="19"/>
      <c r="K5304" s="421"/>
      <c r="L5304" s="23"/>
      <c r="M5304" s="19"/>
      <c r="N5304" s="19"/>
      <c r="O5304" s="19"/>
      <c r="P5304" s="19"/>
      <c r="Q5304" s="19"/>
    </row>
    <row r="5305" spans="2:17" hidden="1">
      <c r="B5305" s="19"/>
      <c r="C5305" s="19"/>
      <c r="D5305" s="19"/>
      <c r="E5305" s="19"/>
      <c r="F5305" s="19"/>
      <c r="G5305" s="19"/>
      <c r="H5305" s="19"/>
      <c r="I5305" s="19"/>
      <c r="J5305" s="19"/>
      <c r="K5305" s="421"/>
      <c r="L5305" s="23"/>
      <c r="M5305" s="19"/>
      <c r="N5305" s="19"/>
      <c r="O5305" s="19"/>
      <c r="P5305" s="19"/>
      <c r="Q5305" s="19"/>
    </row>
    <row r="5306" spans="2:17" hidden="1">
      <c r="B5306" s="19"/>
      <c r="C5306" s="19"/>
      <c r="D5306" s="19"/>
      <c r="E5306" s="19"/>
      <c r="F5306" s="19"/>
      <c r="G5306" s="19"/>
      <c r="H5306" s="19"/>
      <c r="I5306" s="19"/>
      <c r="J5306" s="19"/>
      <c r="K5306" s="421"/>
      <c r="L5306" s="23"/>
      <c r="M5306" s="19"/>
      <c r="N5306" s="19"/>
      <c r="O5306" s="19"/>
      <c r="P5306" s="19"/>
      <c r="Q5306" s="19"/>
    </row>
    <row r="5307" spans="2:17" hidden="1">
      <c r="B5307" s="19"/>
      <c r="C5307" s="19"/>
      <c r="D5307" s="19"/>
      <c r="E5307" s="19"/>
      <c r="F5307" s="19"/>
      <c r="G5307" s="19"/>
      <c r="H5307" s="19"/>
      <c r="I5307" s="19"/>
      <c r="J5307" s="19"/>
      <c r="K5307" s="421"/>
      <c r="L5307" s="23"/>
      <c r="M5307" s="19"/>
      <c r="N5307" s="19"/>
      <c r="O5307" s="19"/>
      <c r="P5307" s="19"/>
      <c r="Q5307" s="19"/>
    </row>
    <row r="5308" spans="2:17" hidden="1">
      <c r="B5308" s="19"/>
      <c r="C5308" s="19"/>
      <c r="D5308" s="19"/>
      <c r="E5308" s="19"/>
      <c r="F5308" s="19"/>
      <c r="G5308" s="19"/>
      <c r="H5308" s="19"/>
      <c r="I5308" s="19"/>
      <c r="J5308" s="19"/>
      <c r="K5308" s="421"/>
      <c r="L5308" s="23"/>
      <c r="M5308" s="19"/>
      <c r="N5308" s="19"/>
      <c r="O5308" s="19"/>
      <c r="P5308" s="19"/>
      <c r="Q5308" s="19"/>
    </row>
    <row r="5309" spans="2:17" hidden="1">
      <c r="B5309" s="19"/>
      <c r="C5309" s="19"/>
      <c r="D5309" s="19"/>
      <c r="E5309" s="19"/>
      <c r="F5309" s="19"/>
      <c r="G5309" s="19"/>
      <c r="H5309" s="19"/>
      <c r="I5309" s="19"/>
      <c r="J5309" s="19"/>
      <c r="K5309" s="421"/>
      <c r="L5309" s="23"/>
      <c r="M5309" s="19"/>
      <c r="N5309" s="19"/>
      <c r="O5309" s="19"/>
      <c r="P5309" s="19"/>
      <c r="Q5309" s="19"/>
    </row>
    <row r="5310" spans="2:17" hidden="1">
      <c r="B5310" s="19"/>
      <c r="C5310" s="19"/>
      <c r="D5310" s="19"/>
      <c r="E5310" s="19"/>
      <c r="F5310" s="19"/>
      <c r="G5310" s="19"/>
      <c r="H5310" s="19"/>
      <c r="I5310" s="19"/>
      <c r="J5310" s="19"/>
      <c r="K5310" s="421"/>
      <c r="L5310" s="23"/>
      <c r="M5310" s="19"/>
      <c r="N5310" s="19"/>
      <c r="O5310" s="19"/>
      <c r="P5310" s="19"/>
      <c r="Q5310" s="19"/>
    </row>
    <row r="5311" spans="2:17" hidden="1">
      <c r="B5311" s="19"/>
      <c r="C5311" s="19"/>
      <c r="D5311" s="19"/>
      <c r="E5311" s="19"/>
      <c r="F5311" s="19"/>
      <c r="G5311" s="19"/>
      <c r="H5311" s="19"/>
      <c r="I5311" s="19"/>
      <c r="J5311" s="19"/>
      <c r="K5311" s="421"/>
      <c r="L5311" s="23"/>
      <c r="M5311" s="19"/>
      <c r="N5311" s="19"/>
      <c r="O5311" s="19"/>
      <c r="P5311" s="19"/>
      <c r="Q5311" s="19"/>
    </row>
    <row r="5312" spans="2:17" hidden="1">
      <c r="B5312" s="19"/>
      <c r="C5312" s="19"/>
      <c r="D5312" s="19"/>
      <c r="E5312" s="19"/>
      <c r="F5312" s="19"/>
      <c r="G5312" s="19"/>
      <c r="H5312" s="19"/>
      <c r="I5312" s="19"/>
      <c r="J5312" s="19"/>
      <c r="K5312" s="421"/>
      <c r="L5312" s="23"/>
      <c r="M5312" s="19"/>
      <c r="N5312" s="19"/>
      <c r="O5312" s="19"/>
      <c r="P5312" s="19"/>
      <c r="Q5312" s="19"/>
    </row>
    <row r="5313" spans="2:17" hidden="1">
      <c r="B5313" s="19"/>
      <c r="C5313" s="19"/>
      <c r="D5313" s="19"/>
      <c r="E5313" s="19"/>
      <c r="F5313" s="19"/>
      <c r="G5313" s="19"/>
      <c r="H5313" s="19"/>
      <c r="I5313" s="19"/>
      <c r="J5313" s="19"/>
      <c r="K5313" s="421"/>
      <c r="L5313" s="23"/>
      <c r="M5313" s="19"/>
      <c r="N5313" s="19"/>
      <c r="O5313" s="19"/>
      <c r="P5313" s="19"/>
      <c r="Q5313" s="19"/>
    </row>
    <row r="5314" spans="2:17" hidden="1">
      <c r="B5314" s="19"/>
      <c r="C5314" s="19"/>
      <c r="D5314" s="19"/>
      <c r="E5314" s="19"/>
      <c r="F5314" s="19"/>
      <c r="G5314" s="19"/>
      <c r="H5314" s="19"/>
      <c r="I5314" s="19"/>
      <c r="J5314" s="19"/>
      <c r="K5314" s="421"/>
      <c r="L5314" s="23"/>
      <c r="M5314" s="19"/>
      <c r="N5314" s="19"/>
      <c r="O5314" s="19"/>
      <c r="P5314" s="19"/>
      <c r="Q5314" s="19"/>
    </row>
    <row r="5315" spans="2:17" hidden="1">
      <c r="B5315" s="19"/>
      <c r="C5315" s="19"/>
      <c r="D5315" s="19"/>
      <c r="E5315" s="19"/>
      <c r="F5315" s="19"/>
      <c r="G5315" s="19"/>
      <c r="H5315" s="19"/>
      <c r="I5315" s="19"/>
      <c r="J5315" s="19"/>
      <c r="K5315" s="421"/>
      <c r="L5315" s="23"/>
      <c r="M5315" s="19"/>
      <c r="N5315" s="19"/>
      <c r="O5315" s="19"/>
      <c r="P5315" s="19"/>
      <c r="Q5315" s="19"/>
    </row>
    <row r="5316" spans="2:17" hidden="1">
      <c r="B5316" s="19"/>
      <c r="C5316" s="19"/>
      <c r="D5316" s="19"/>
      <c r="E5316" s="19"/>
      <c r="F5316" s="19"/>
      <c r="G5316" s="19"/>
      <c r="H5316" s="19"/>
      <c r="I5316" s="19"/>
      <c r="J5316" s="19"/>
      <c r="K5316" s="421"/>
      <c r="L5316" s="23"/>
      <c r="M5316" s="19"/>
      <c r="N5316" s="19"/>
      <c r="O5316" s="19"/>
      <c r="P5316" s="19"/>
      <c r="Q5316" s="19"/>
    </row>
    <row r="5317" spans="2:17" hidden="1">
      <c r="B5317" s="19"/>
      <c r="C5317" s="19"/>
      <c r="D5317" s="19"/>
      <c r="E5317" s="19"/>
      <c r="F5317" s="19"/>
      <c r="G5317" s="19"/>
      <c r="H5317" s="19"/>
      <c r="I5317" s="19"/>
      <c r="J5317" s="19"/>
      <c r="K5317" s="421"/>
      <c r="L5317" s="23"/>
      <c r="M5317" s="19"/>
      <c r="N5317" s="19"/>
      <c r="O5317" s="19"/>
      <c r="P5317" s="19"/>
      <c r="Q5317" s="19"/>
    </row>
    <row r="5318" spans="2:17" hidden="1">
      <c r="B5318" s="19"/>
      <c r="C5318" s="19"/>
      <c r="D5318" s="19"/>
      <c r="E5318" s="19"/>
      <c r="F5318" s="19"/>
      <c r="G5318" s="19"/>
      <c r="H5318" s="19"/>
      <c r="I5318" s="19"/>
      <c r="J5318" s="19"/>
      <c r="K5318" s="421"/>
      <c r="L5318" s="23"/>
      <c r="M5318" s="19"/>
      <c r="N5318" s="19"/>
      <c r="O5318" s="19"/>
      <c r="P5318" s="19"/>
      <c r="Q5318" s="19"/>
    </row>
    <row r="5319" spans="2:17" hidden="1">
      <c r="B5319" s="19"/>
      <c r="C5319" s="19"/>
      <c r="D5319" s="19"/>
      <c r="E5319" s="19"/>
      <c r="F5319" s="19"/>
      <c r="G5319" s="19"/>
      <c r="H5319" s="19"/>
      <c r="I5319" s="19"/>
      <c r="J5319" s="19"/>
      <c r="K5319" s="421"/>
      <c r="L5319" s="23"/>
      <c r="M5319" s="19"/>
      <c r="N5319" s="19"/>
      <c r="O5319" s="19"/>
      <c r="P5319" s="19"/>
      <c r="Q5319" s="19"/>
    </row>
    <row r="5320" spans="2:17" hidden="1">
      <c r="B5320" s="19"/>
      <c r="C5320" s="19"/>
      <c r="D5320" s="19"/>
      <c r="E5320" s="19"/>
      <c r="F5320" s="19"/>
      <c r="G5320" s="19"/>
      <c r="H5320" s="19"/>
      <c r="I5320" s="19"/>
      <c r="J5320" s="19"/>
      <c r="K5320" s="421"/>
      <c r="L5320" s="23"/>
      <c r="M5320" s="19"/>
      <c r="N5320" s="19"/>
      <c r="O5320" s="19"/>
      <c r="P5320" s="19"/>
      <c r="Q5320" s="19"/>
    </row>
    <row r="5321" spans="2:17" hidden="1">
      <c r="B5321" s="19"/>
      <c r="C5321" s="19"/>
      <c r="D5321" s="19"/>
      <c r="E5321" s="19"/>
      <c r="F5321" s="19"/>
      <c r="G5321" s="19"/>
      <c r="H5321" s="19"/>
      <c r="I5321" s="19"/>
      <c r="J5321" s="19"/>
      <c r="K5321" s="421"/>
      <c r="L5321" s="23"/>
      <c r="M5321" s="19"/>
      <c r="N5321" s="19"/>
      <c r="O5321" s="19"/>
      <c r="P5321" s="19"/>
      <c r="Q5321" s="19"/>
    </row>
    <row r="5322" spans="2:17" hidden="1">
      <c r="B5322" s="19"/>
      <c r="C5322" s="19"/>
      <c r="D5322" s="19"/>
      <c r="E5322" s="19"/>
      <c r="F5322" s="19"/>
      <c r="G5322" s="19"/>
      <c r="H5322" s="19"/>
      <c r="I5322" s="19"/>
      <c r="J5322" s="19"/>
      <c r="K5322" s="421"/>
      <c r="L5322" s="23"/>
      <c r="M5322" s="19"/>
      <c r="N5322" s="19"/>
      <c r="O5322" s="19"/>
      <c r="P5322" s="19"/>
      <c r="Q5322" s="19"/>
    </row>
    <row r="5323" spans="2:17" hidden="1">
      <c r="B5323" s="19"/>
      <c r="C5323" s="19"/>
      <c r="D5323" s="19"/>
      <c r="E5323" s="19"/>
      <c r="F5323" s="19"/>
      <c r="G5323" s="19"/>
      <c r="H5323" s="19"/>
      <c r="I5323" s="19"/>
      <c r="J5323" s="19"/>
      <c r="K5323" s="421"/>
      <c r="L5323" s="23"/>
      <c r="M5323" s="19"/>
      <c r="N5323" s="19"/>
      <c r="O5323" s="19"/>
      <c r="P5323" s="19"/>
      <c r="Q5323" s="19"/>
    </row>
    <row r="5324" spans="2:17" hidden="1">
      <c r="B5324" s="19"/>
      <c r="C5324" s="19"/>
      <c r="D5324" s="19"/>
      <c r="E5324" s="19"/>
      <c r="F5324" s="19"/>
      <c r="G5324" s="19"/>
      <c r="H5324" s="19"/>
      <c r="I5324" s="19"/>
      <c r="J5324" s="19"/>
      <c r="K5324" s="421"/>
      <c r="L5324" s="23"/>
      <c r="M5324" s="19"/>
      <c r="N5324" s="19"/>
      <c r="O5324" s="19"/>
      <c r="P5324" s="19"/>
      <c r="Q5324" s="19"/>
    </row>
    <row r="5325" spans="2:17" hidden="1">
      <c r="B5325" s="19"/>
      <c r="C5325" s="19"/>
      <c r="D5325" s="19"/>
      <c r="E5325" s="19"/>
      <c r="F5325" s="19"/>
      <c r="G5325" s="19"/>
      <c r="H5325" s="19"/>
      <c r="I5325" s="19"/>
      <c r="J5325" s="19"/>
      <c r="K5325" s="421"/>
      <c r="L5325" s="23"/>
      <c r="M5325" s="19"/>
      <c r="N5325" s="19"/>
      <c r="O5325" s="19"/>
      <c r="P5325" s="19"/>
      <c r="Q5325" s="19"/>
    </row>
    <row r="5326" spans="2:17" hidden="1">
      <c r="B5326" s="19"/>
      <c r="C5326" s="19"/>
      <c r="D5326" s="19"/>
      <c r="E5326" s="19"/>
      <c r="F5326" s="19"/>
      <c r="G5326" s="19"/>
      <c r="H5326" s="19"/>
      <c r="I5326" s="19"/>
      <c r="J5326" s="19"/>
      <c r="K5326" s="421"/>
      <c r="L5326" s="23"/>
      <c r="M5326" s="19"/>
      <c r="N5326" s="19"/>
      <c r="O5326" s="19"/>
      <c r="P5326" s="19"/>
      <c r="Q5326" s="19"/>
    </row>
    <row r="5327" spans="2:17" hidden="1">
      <c r="B5327" s="19"/>
      <c r="C5327" s="19"/>
      <c r="D5327" s="19"/>
      <c r="E5327" s="19"/>
      <c r="F5327" s="19"/>
      <c r="G5327" s="19"/>
      <c r="H5327" s="19"/>
      <c r="I5327" s="19"/>
      <c r="J5327" s="19"/>
      <c r="K5327" s="421"/>
      <c r="L5327" s="23"/>
      <c r="M5327" s="19"/>
      <c r="N5327" s="19"/>
      <c r="O5327" s="19"/>
      <c r="P5327" s="19"/>
      <c r="Q5327" s="19"/>
    </row>
    <row r="5328" spans="2:17" hidden="1">
      <c r="B5328" s="19"/>
      <c r="C5328" s="19"/>
      <c r="D5328" s="19"/>
      <c r="E5328" s="19"/>
      <c r="F5328" s="19"/>
      <c r="G5328" s="19"/>
      <c r="H5328" s="19"/>
      <c r="I5328" s="19"/>
      <c r="J5328" s="19"/>
      <c r="K5328" s="421"/>
      <c r="L5328" s="23"/>
      <c r="M5328" s="19"/>
      <c r="N5328" s="19"/>
      <c r="O5328" s="19"/>
      <c r="P5328" s="19"/>
      <c r="Q5328" s="19"/>
    </row>
    <row r="5329" spans="2:17" hidden="1">
      <c r="B5329" s="19"/>
      <c r="C5329" s="19"/>
      <c r="D5329" s="19"/>
      <c r="E5329" s="19"/>
      <c r="F5329" s="19"/>
      <c r="G5329" s="19"/>
      <c r="H5329" s="19"/>
      <c r="I5329" s="19"/>
      <c r="J5329" s="19"/>
      <c r="K5329" s="421"/>
      <c r="L5329" s="23"/>
      <c r="M5329" s="19"/>
      <c r="N5329" s="19"/>
      <c r="O5329" s="19"/>
      <c r="P5329" s="19"/>
      <c r="Q5329" s="19"/>
    </row>
    <row r="5330" spans="2:17" hidden="1">
      <c r="B5330" s="19"/>
      <c r="C5330" s="19"/>
      <c r="D5330" s="19"/>
      <c r="E5330" s="19"/>
      <c r="F5330" s="19"/>
      <c r="G5330" s="19"/>
      <c r="H5330" s="19"/>
      <c r="I5330" s="19"/>
      <c r="J5330" s="19"/>
      <c r="K5330" s="421"/>
      <c r="L5330" s="23"/>
      <c r="M5330" s="19"/>
      <c r="N5330" s="19"/>
      <c r="O5330" s="19"/>
      <c r="P5330" s="19"/>
      <c r="Q5330" s="19"/>
    </row>
    <row r="5331" spans="2:17" hidden="1">
      <c r="B5331" s="19"/>
      <c r="C5331" s="19"/>
      <c r="D5331" s="19"/>
      <c r="E5331" s="19"/>
      <c r="F5331" s="19"/>
      <c r="G5331" s="19"/>
      <c r="H5331" s="19"/>
      <c r="I5331" s="19"/>
      <c r="J5331" s="19"/>
      <c r="K5331" s="421"/>
      <c r="L5331" s="23"/>
      <c r="M5331" s="19"/>
      <c r="N5331" s="19"/>
      <c r="O5331" s="19"/>
      <c r="P5331" s="19"/>
      <c r="Q5331" s="19"/>
    </row>
    <row r="5332" spans="2:17" hidden="1">
      <c r="B5332" s="19"/>
      <c r="C5332" s="19"/>
      <c r="D5332" s="19"/>
      <c r="E5332" s="19"/>
      <c r="F5332" s="19"/>
      <c r="G5332" s="19"/>
      <c r="H5332" s="19"/>
      <c r="I5332" s="19"/>
      <c r="J5332" s="19"/>
      <c r="K5332" s="421"/>
      <c r="L5332" s="23"/>
      <c r="M5332" s="19"/>
      <c r="N5332" s="19"/>
      <c r="O5332" s="19"/>
      <c r="P5332" s="19"/>
      <c r="Q5332" s="19"/>
    </row>
    <row r="5333" spans="2:17" hidden="1">
      <c r="B5333" s="19"/>
      <c r="C5333" s="19"/>
      <c r="D5333" s="19"/>
      <c r="E5333" s="19"/>
      <c r="F5333" s="19"/>
      <c r="G5333" s="19"/>
      <c r="H5333" s="19"/>
      <c r="I5333" s="19"/>
      <c r="J5333" s="19"/>
      <c r="K5333" s="421"/>
      <c r="L5333" s="23"/>
      <c r="M5333" s="19"/>
      <c r="N5333" s="19"/>
      <c r="O5333" s="19"/>
      <c r="P5333" s="19"/>
      <c r="Q5333" s="19"/>
    </row>
    <row r="5334" spans="2:17" hidden="1">
      <c r="I5334" s="20"/>
      <c r="K5334" s="423"/>
      <c r="L5334" s="44"/>
      <c r="M5334" s="19"/>
      <c r="N5334" s="19"/>
      <c r="O5334" s="19"/>
      <c r="P5334" s="19"/>
      <c r="Q5334" s="19"/>
    </row>
    <row r="5335" spans="2:17" hidden="1">
      <c r="I5335" s="20"/>
      <c r="M5335" s="19"/>
      <c r="N5335" s="19"/>
      <c r="O5335" s="19"/>
      <c r="P5335" s="19"/>
      <c r="Q5335" s="19"/>
    </row>
    <row r="5336" spans="2:17" hidden="1">
      <c r="I5336" s="20"/>
      <c r="M5336" s="19"/>
      <c r="N5336" s="19"/>
      <c r="O5336" s="19"/>
      <c r="P5336" s="19"/>
      <c r="Q5336" s="19"/>
    </row>
    <row r="5337" spans="2:17" hidden="1">
      <c r="I5337" s="20"/>
      <c r="M5337" s="19"/>
      <c r="N5337" s="19"/>
      <c r="O5337" s="19"/>
      <c r="P5337" s="19"/>
      <c r="Q5337" s="19"/>
    </row>
    <row r="5338" spans="2:17" hidden="1">
      <c r="I5338" s="20"/>
      <c r="M5338" s="19"/>
      <c r="N5338" s="19"/>
      <c r="O5338" s="19"/>
      <c r="P5338" s="19"/>
      <c r="Q5338" s="19"/>
    </row>
    <row r="5339" spans="2:17" hidden="1">
      <c r="I5339" s="20"/>
      <c r="M5339" s="19"/>
      <c r="N5339" s="19"/>
      <c r="O5339" s="19"/>
      <c r="P5339" s="19"/>
      <c r="Q5339" s="19"/>
    </row>
    <row r="5340" spans="2:17" hidden="1">
      <c r="I5340" s="20"/>
      <c r="M5340" s="19"/>
      <c r="N5340" s="19"/>
      <c r="O5340" s="19"/>
      <c r="P5340" s="19"/>
      <c r="Q5340" s="19"/>
    </row>
    <row r="5341" spans="2:17" hidden="1">
      <c r="I5341" s="20"/>
      <c r="M5341" s="19"/>
      <c r="N5341" s="19"/>
      <c r="O5341" s="19"/>
      <c r="P5341" s="19"/>
      <c r="Q5341" s="19"/>
    </row>
    <row r="5342" spans="2:17" hidden="1">
      <c r="I5342" s="20"/>
      <c r="M5342" s="19"/>
      <c r="N5342" s="19"/>
      <c r="O5342" s="19"/>
      <c r="P5342" s="19"/>
      <c r="Q5342" s="19"/>
    </row>
    <row r="5343" spans="2:17" hidden="1">
      <c r="I5343" s="20"/>
      <c r="M5343" s="19"/>
      <c r="N5343" s="19"/>
      <c r="O5343" s="19"/>
      <c r="P5343" s="19"/>
      <c r="Q5343" s="19"/>
    </row>
    <row r="5344" spans="2:17" hidden="1">
      <c r="I5344" s="20"/>
      <c r="M5344" s="19"/>
      <c r="N5344" s="19"/>
      <c r="O5344" s="19"/>
      <c r="P5344" s="19"/>
      <c r="Q5344" s="19"/>
    </row>
    <row r="5345" spans="9:17" hidden="1">
      <c r="I5345" s="20"/>
      <c r="M5345" s="19"/>
      <c r="N5345" s="19"/>
      <c r="O5345" s="19"/>
      <c r="P5345" s="19"/>
      <c r="Q5345" s="19"/>
    </row>
    <row r="5346" spans="9:17" hidden="1">
      <c r="I5346" s="20"/>
      <c r="M5346" s="19"/>
      <c r="N5346" s="19"/>
      <c r="O5346" s="19"/>
      <c r="P5346" s="19"/>
      <c r="Q5346" s="19"/>
    </row>
    <row r="5347" spans="9:17" hidden="1">
      <c r="I5347" s="20"/>
      <c r="M5347" s="19"/>
      <c r="N5347" s="19"/>
      <c r="O5347" s="19"/>
      <c r="P5347" s="19"/>
      <c r="Q5347" s="19"/>
    </row>
    <row r="5348" spans="9:17" hidden="1">
      <c r="I5348" s="20"/>
      <c r="M5348" s="19"/>
      <c r="N5348" s="19"/>
      <c r="O5348" s="19"/>
      <c r="P5348" s="19"/>
      <c r="Q5348" s="19"/>
    </row>
    <row r="5349" spans="9:17" hidden="1">
      <c r="I5349" s="20"/>
      <c r="M5349" s="19"/>
      <c r="N5349" s="19"/>
      <c r="O5349" s="19"/>
      <c r="P5349" s="19"/>
      <c r="Q5349" s="19"/>
    </row>
    <row r="5350" spans="9:17" hidden="1">
      <c r="I5350" s="20"/>
      <c r="M5350" s="19"/>
      <c r="N5350" s="19"/>
      <c r="O5350" s="19"/>
      <c r="P5350" s="19"/>
      <c r="Q5350" s="19"/>
    </row>
    <row r="5351" spans="9:17" hidden="1">
      <c r="I5351" s="20"/>
      <c r="M5351" s="19"/>
      <c r="N5351" s="19"/>
      <c r="O5351" s="19"/>
      <c r="P5351" s="19"/>
      <c r="Q5351" s="19"/>
    </row>
    <row r="5352" spans="9:17" hidden="1">
      <c r="I5352" s="20"/>
      <c r="M5352" s="19"/>
      <c r="N5352" s="19"/>
      <c r="O5352" s="19"/>
      <c r="P5352" s="19"/>
      <c r="Q5352" s="19"/>
    </row>
    <row r="5353" spans="9:17" hidden="1">
      <c r="I5353" s="20"/>
      <c r="M5353" s="19"/>
      <c r="N5353" s="19"/>
      <c r="O5353" s="19"/>
      <c r="P5353" s="19"/>
      <c r="Q5353" s="19"/>
    </row>
    <row r="5354" spans="9:17" hidden="1">
      <c r="I5354" s="20"/>
      <c r="M5354" s="19"/>
      <c r="N5354" s="19"/>
      <c r="O5354" s="19"/>
      <c r="P5354" s="19"/>
      <c r="Q5354" s="19"/>
    </row>
    <row r="5355" spans="9:17" hidden="1">
      <c r="I5355" s="20"/>
      <c r="M5355" s="19"/>
      <c r="N5355" s="19"/>
      <c r="O5355" s="19"/>
      <c r="P5355" s="19"/>
      <c r="Q5355" s="19"/>
    </row>
    <row r="5356" spans="9:17" hidden="1">
      <c r="I5356" s="20"/>
      <c r="M5356" s="19"/>
      <c r="N5356" s="19"/>
      <c r="O5356" s="19"/>
      <c r="P5356" s="19"/>
      <c r="Q5356" s="19"/>
    </row>
    <row r="5357" spans="9:17" hidden="1">
      <c r="I5357" s="20"/>
      <c r="M5357" s="19"/>
      <c r="N5357" s="19"/>
      <c r="O5357" s="19"/>
      <c r="P5357" s="19"/>
      <c r="Q5357" s="19"/>
    </row>
    <row r="5358" spans="9:17" hidden="1">
      <c r="I5358" s="20"/>
      <c r="M5358" s="19"/>
      <c r="N5358" s="19"/>
      <c r="O5358" s="19"/>
      <c r="P5358" s="19"/>
      <c r="Q5358" s="19"/>
    </row>
    <row r="5359" spans="9:17" hidden="1">
      <c r="I5359" s="20"/>
      <c r="M5359" s="19"/>
      <c r="N5359" s="19"/>
      <c r="O5359" s="19"/>
      <c r="P5359" s="19"/>
      <c r="Q5359" s="19"/>
    </row>
    <row r="5360" spans="9:17" hidden="1">
      <c r="I5360" s="20"/>
      <c r="M5360" s="19"/>
      <c r="N5360" s="19"/>
      <c r="O5360" s="19"/>
      <c r="P5360" s="19"/>
      <c r="Q5360" s="19"/>
    </row>
    <row r="5361" spans="9:17" hidden="1">
      <c r="I5361" s="20"/>
      <c r="M5361" s="19"/>
      <c r="N5361" s="19"/>
      <c r="O5361" s="19"/>
      <c r="P5361" s="19"/>
      <c r="Q5361" s="19"/>
    </row>
    <row r="5362" spans="9:17" hidden="1">
      <c r="I5362" s="20"/>
      <c r="M5362" s="19"/>
      <c r="N5362" s="19"/>
      <c r="O5362" s="19"/>
      <c r="P5362" s="19"/>
      <c r="Q5362" s="19"/>
    </row>
    <row r="5363" spans="9:17" hidden="1">
      <c r="I5363" s="20"/>
      <c r="M5363" s="19"/>
      <c r="N5363" s="19"/>
      <c r="O5363" s="19"/>
      <c r="P5363" s="19"/>
      <c r="Q5363" s="19"/>
    </row>
    <row r="5364" spans="9:17" hidden="1">
      <c r="I5364" s="20"/>
      <c r="M5364" s="19"/>
      <c r="N5364" s="19"/>
      <c r="O5364" s="19"/>
      <c r="P5364" s="19"/>
      <c r="Q5364" s="19"/>
    </row>
    <row r="5365" spans="9:17" hidden="1">
      <c r="I5365" s="20"/>
      <c r="M5365" s="19"/>
      <c r="N5365" s="19"/>
      <c r="O5365" s="19"/>
      <c r="P5365" s="19"/>
      <c r="Q5365" s="19"/>
    </row>
    <row r="5366" spans="9:17" hidden="1">
      <c r="I5366" s="20"/>
      <c r="M5366" s="19"/>
      <c r="N5366" s="19"/>
      <c r="O5366" s="19"/>
      <c r="P5366" s="19"/>
      <c r="Q5366" s="19"/>
    </row>
    <row r="5367" spans="9:17" hidden="1">
      <c r="I5367" s="20"/>
      <c r="M5367" s="19"/>
      <c r="N5367" s="19"/>
      <c r="O5367" s="19"/>
      <c r="P5367" s="19"/>
      <c r="Q5367" s="19"/>
    </row>
    <row r="5368" spans="9:17" hidden="1">
      <c r="I5368" s="20"/>
      <c r="M5368" s="19"/>
      <c r="N5368" s="19"/>
      <c r="O5368" s="19"/>
      <c r="P5368" s="19"/>
      <c r="Q5368" s="19"/>
    </row>
    <row r="5369" spans="9:17" hidden="1">
      <c r="I5369" s="20"/>
      <c r="M5369" s="19"/>
      <c r="N5369" s="19"/>
      <c r="O5369" s="19"/>
      <c r="P5369" s="19"/>
      <c r="Q5369" s="19"/>
    </row>
    <row r="5370" spans="9:17" hidden="1">
      <c r="I5370" s="20"/>
      <c r="M5370" s="19"/>
      <c r="N5370" s="19"/>
      <c r="O5370" s="19"/>
      <c r="P5370" s="19"/>
      <c r="Q5370" s="19"/>
    </row>
    <row r="5371" spans="9:17" hidden="1">
      <c r="I5371" s="20"/>
      <c r="M5371" s="19"/>
      <c r="N5371" s="19"/>
      <c r="O5371" s="19"/>
      <c r="P5371" s="19"/>
      <c r="Q5371" s="19"/>
    </row>
    <row r="5372" spans="9:17" hidden="1">
      <c r="I5372" s="20"/>
      <c r="M5372" s="19"/>
      <c r="N5372" s="19"/>
      <c r="O5372" s="19"/>
      <c r="P5372" s="19"/>
      <c r="Q5372" s="19"/>
    </row>
    <row r="5373" spans="9:17" hidden="1">
      <c r="I5373" s="20"/>
      <c r="M5373" s="19"/>
      <c r="N5373" s="19"/>
      <c r="O5373" s="19"/>
      <c r="P5373" s="19"/>
      <c r="Q5373" s="19"/>
    </row>
    <row r="5374" spans="9:17" hidden="1">
      <c r="I5374" s="20"/>
      <c r="M5374" s="19"/>
      <c r="N5374" s="19"/>
      <c r="O5374" s="19"/>
      <c r="P5374" s="19"/>
      <c r="Q5374" s="19"/>
    </row>
    <row r="5375" spans="9:17" hidden="1">
      <c r="I5375" s="20"/>
      <c r="M5375" s="19"/>
      <c r="N5375" s="19"/>
      <c r="O5375" s="19"/>
      <c r="P5375" s="19"/>
      <c r="Q5375" s="19"/>
    </row>
    <row r="5376" spans="9:17" hidden="1">
      <c r="I5376" s="20"/>
      <c r="M5376" s="19"/>
      <c r="N5376" s="19"/>
      <c r="O5376" s="19"/>
      <c r="P5376" s="19"/>
      <c r="Q5376" s="19"/>
    </row>
    <row r="5377" spans="9:17" hidden="1">
      <c r="I5377" s="20"/>
      <c r="M5377" s="19"/>
      <c r="N5377" s="19"/>
      <c r="O5377" s="19"/>
      <c r="P5377" s="19"/>
      <c r="Q5377" s="19"/>
    </row>
    <row r="5378" spans="9:17" hidden="1">
      <c r="I5378" s="20"/>
      <c r="M5378" s="19"/>
      <c r="N5378" s="19"/>
      <c r="O5378" s="19"/>
      <c r="P5378" s="19"/>
      <c r="Q5378" s="19"/>
    </row>
    <row r="5379" spans="9:17" hidden="1">
      <c r="I5379" s="20"/>
      <c r="M5379" s="19"/>
      <c r="N5379" s="19"/>
      <c r="O5379" s="19"/>
      <c r="P5379" s="19"/>
      <c r="Q5379" s="19"/>
    </row>
    <row r="5380" spans="9:17" hidden="1">
      <c r="I5380" s="20"/>
      <c r="M5380" s="19"/>
      <c r="N5380" s="19"/>
      <c r="O5380" s="19"/>
      <c r="P5380" s="19"/>
      <c r="Q5380" s="19"/>
    </row>
    <row r="5381" spans="9:17" hidden="1">
      <c r="I5381" s="20"/>
      <c r="M5381" s="19"/>
      <c r="N5381" s="19"/>
      <c r="O5381" s="19"/>
      <c r="P5381" s="19"/>
      <c r="Q5381" s="19"/>
    </row>
    <row r="5382" spans="9:17" hidden="1">
      <c r="I5382" s="20"/>
      <c r="M5382" s="19"/>
      <c r="N5382" s="19"/>
      <c r="O5382" s="19"/>
      <c r="P5382" s="19"/>
      <c r="Q5382" s="19"/>
    </row>
    <row r="5383" spans="9:17" hidden="1">
      <c r="I5383" s="20"/>
      <c r="M5383" s="19"/>
      <c r="N5383" s="19"/>
      <c r="O5383" s="19"/>
      <c r="P5383" s="19"/>
      <c r="Q5383" s="19"/>
    </row>
    <row r="5384" spans="9:17" hidden="1">
      <c r="I5384" s="20"/>
      <c r="M5384" s="19"/>
      <c r="N5384" s="19"/>
      <c r="O5384" s="19"/>
      <c r="P5384" s="19"/>
      <c r="Q5384" s="19"/>
    </row>
    <row r="5385" spans="9:17" hidden="1">
      <c r="I5385" s="20"/>
      <c r="M5385" s="19"/>
      <c r="N5385" s="19"/>
      <c r="O5385" s="19"/>
      <c r="P5385" s="19"/>
      <c r="Q5385" s="19"/>
    </row>
    <row r="5386" spans="9:17" hidden="1">
      <c r="I5386" s="20"/>
      <c r="M5386" s="19"/>
      <c r="N5386" s="19"/>
      <c r="O5386" s="19"/>
      <c r="P5386" s="19"/>
      <c r="Q5386" s="19"/>
    </row>
    <row r="5387" spans="9:17" hidden="1">
      <c r="I5387" s="20"/>
      <c r="M5387" s="19"/>
      <c r="N5387" s="19"/>
      <c r="O5387" s="19"/>
      <c r="P5387" s="19"/>
      <c r="Q5387" s="19"/>
    </row>
    <row r="5388" spans="9:17" hidden="1">
      <c r="I5388" s="20"/>
      <c r="M5388" s="19"/>
      <c r="N5388" s="19"/>
      <c r="O5388" s="19"/>
      <c r="P5388" s="19"/>
      <c r="Q5388" s="19"/>
    </row>
    <row r="5389" spans="9:17" hidden="1">
      <c r="I5389" s="20"/>
      <c r="M5389" s="19"/>
      <c r="N5389" s="19"/>
      <c r="O5389" s="19"/>
      <c r="P5389" s="19"/>
      <c r="Q5389" s="19"/>
    </row>
    <row r="5390" spans="9:17" hidden="1">
      <c r="I5390" s="20"/>
      <c r="M5390" s="19"/>
      <c r="N5390" s="19"/>
      <c r="O5390" s="19"/>
      <c r="P5390" s="19"/>
      <c r="Q5390" s="19"/>
    </row>
    <row r="5391" spans="9:17" hidden="1">
      <c r="I5391" s="20"/>
      <c r="M5391" s="19"/>
      <c r="N5391" s="19"/>
      <c r="O5391" s="19"/>
      <c r="P5391" s="19"/>
      <c r="Q5391" s="19"/>
    </row>
    <row r="5392" spans="9:17" hidden="1">
      <c r="I5392" s="20"/>
      <c r="M5392" s="19"/>
      <c r="N5392" s="19"/>
      <c r="O5392" s="19"/>
      <c r="P5392" s="19"/>
      <c r="Q5392" s="19"/>
    </row>
    <row r="5393" spans="9:17" hidden="1">
      <c r="I5393" s="20"/>
      <c r="M5393" s="19"/>
      <c r="N5393" s="19"/>
      <c r="O5393" s="19"/>
      <c r="P5393" s="19"/>
      <c r="Q5393" s="19"/>
    </row>
    <row r="5394" spans="9:17" hidden="1">
      <c r="I5394" s="20"/>
      <c r="M5394" s="19"/>
      <c r="N5394" s="19"/>
      <c r="O5394" s="19"/>
      <c r="P5394" s="19"/>
      <c r="Q5394" s="19"/>
    </row>
    <row r="5395" spans="9:17" hidden="1">
      <c r="I5395" s="20"/>
      <c r="M5395" s="19"/>
      <c r="N5395" s="19"/>
      <c r="O5395" s="19"/>
      <c r="P5395" s="19"/>
      <c r="Q5395" s="19"/>
    </row>
    <row r="5396" spans="9:17" hidden="1">
      <c r="I5396" s="20"/>
      <c r="M5396" s="19"/>
      <c r="N5396" s="19"/>
      <c r="O5396" s="19"/>
      <c r="P5396" s="19"/>
      <c r="Q5396" s="19"/>
    </row>
    <row r="5397" spans="9:17" hidden="1">
      <c r="I5397" s="20"/>
      <c r="M5397" s="19"/>
      <c r="N5397" s="19"/>
      <c r="O5397" s="19"/>
      <c r="P5397" s="19"/>
      <c r="Q5397" s="19"/>
    </row>
    <row r="5398" spans="9:17" hidden="1">
      <c r="I5398" s="20"/>
      <c r="M5398" s="19"/>
      <c r="N5398" s="19"/>
      <c r="O5398" s="19"/>
      <c r="P5398" s="19"/>
      <c r="Q5398" s="19"/>
    </row>
    <row r="5399" spans="9:17" hidden="1">
      <c r="I5399" s="20"/>
      <c r="M5399" s="19"/>
      <c r="N5399" s="19"/>
      <c r="O5399" s="19"/>
      <c r="P5399" s="19"/>
      <c r="Q5399" s="19"/>
    </row>
    <row r="5400" spans="9:17" hidden="1">
      <c r="I5400" s="20"/>
      <c r="M5400" s="19"/>
      <c r="N5400" s="19"/>
      <c r="O5400" s="19"/>
      <c r="P5400" s="19"/>
      <c r="Q5400" s="19"/>
    </row>
    <row r="5401" spans="9:17" hidden="1">
      <c r="I5401" s="20"/>
      <c r="M5401" s="19"/>
      <c r="N5401" s="19"/>
      <c r="O5401" s="19"/>
      <c r="P5401" s="19"/>
      <c r="Q5401" s="19"/>
    </row>
    <row r="5402" spans="9:17" hidden="1">
      <c r="I5402" s="20"/>
      <c r="M5402" s="19"/>
      <c r="N5402" s="19"/>
      <c r="O5402" s="19"/>
      <c r="P5402" s="19"/>
      <c r="Q5402" s="19"/>
    </row>
    <row r="5403" spans="9:17" hidden="1">
      <c r="I5403" s="20"/>
      <c r="M5403" s="19"/>
      <c r="N5403" s="19"/>
      <c r="O5403" s="19"/>
      <c r="P5403" s="19"/>
      <c r="Q5403" s="19"/>
    </row>
    <row r="5404" spans="9:17" hidden="1">
      <c r="I5404" s="20"/>
      <c r="M5404" s="19"/>
      <c r="N5404" s="19"/>
      <c r="O5404" s="19"/>
      <c r="P5404" s="19"/>
      <c r="Q5404" s="19"/>
    </row>
    <row r="5405" spans="9:17" hidden="1">
      <c r="I5405" s="20"/>
      <c r="M5405" s="19"/>
      <c r="N5405" s="19"/>
      <c r="O5405" s="19"/>
      <c r="P5405" s="19"/>
      <c r="Q5405" s="19"/>
    </row>
    <row r="5406" spans="9:17" hidden="1">
      <c r="I5406" s="20"/>
      <c r="M5406" s="19"/>
      <c r="N5406" s="19"/>
      <c r="O5406" s="19"/>
      <c r="P5406" s="19"/>
      <c r="Q5406" s="19"/>
    </row>
    <row r="5407" spans="9:17" hidden="1">
      <c r="I5407" s="20"/>
      <c r="M5407" s="19"/>
      <c r="N5407" s="19"/>
      <c r="O5407" s="19"/>
      <c r="P5407" s="19"/>
      <c r="Q5407" s="19"/>
    </row>
    <row r="5408" spans="9:17" hidden="1">
      <c r="I5408" s="20"/>
      <c r="M5408" s="19"/>
      <c r="N5408" s="19"/>
      <c r="O5408" s="19"/>
      <c r="P5408" s="19"/>
      <c r="Q5408" s="19"/>
    </row>
    <row r="5409" spans="9:17" hidden="1">
      <c r="I5409" s="20"/>
      <c r="M5409" s="19"/>
      <c r="N5409" s="19"/>
      <c r="O5409" s="19"/>
      <c r="P5409" s="19"/>
      <c r="Q5409" s="19"/>
    </row>
    <row r="5410" spans="9:17" hidden="1">
      <c r="I5410" s="20"/>
      <c r="M5410" s="19"/>
      <c r="N5410" s="19"/>
      <c r="O5410" s="19"/>
      <c r="P5410" s="19"/>
      <c r="Q5410" s="19"/>
    </row>
    <row r="5411" spans="9:17" hidden="1">
      <c r="I5411" s="20"/>
      <c r="M5411" s="19"/>
      <c r="N5411" s="19"/>
      <c r="O5411" s="19"/>
      <c r="P5411" s="19"/>
      <c r="Q5411" s="19"/>
    </row>
    <row r="5412" spans="9:17" hidden="1">
      <c r="I5412" s="20"/>
      <c r="M5412" s="19"/>
      <c r="N5412" s="19"/>
      <c r="O5412" s="19"/>
      <c r="P5412" s="19"/>
      <c r="Q5412" s="19"/>
    </row>
    <row r="5413" spans="9:17" hidden="1">
      <c r="I5413" s="20"/>
      <c r="M5413" s="19"/>
      <c r="N5413" s="19"/>
      <c r="O5413" s="19"/>
      <c r="P5413" s="19"/>
      <c r="Q5413" s="19"/>
    </row>
    <row r="5414" spans="9:17" hidden="1">
      <c r="I5414" s="20"/>
      <c r="M5414" s="19"/>
      <c r="N5414" s="19"/>
      <c r="O5414" s="19"/>
      <c r="P5414" s="19"/>
      <c r="Q5414" s="19"/>
    </row>
    <row r="5415" spans="9:17" hidden="1">
      <c r="I5415" s="20"/>
      <c r="M5415" s="19"/>
      <c r="N5415" s="19"/>
      <c r="O5415" s="19"/>
      <c r="P5415" s="19"/>
      <c r="Q5415" s="19"/>
    </row>
    <row r="5416" spans="9:17" hidden="1">
      <c r="I5416" s="20"/>
      <c r="M5416" s="19"/>
      <c r="N5416" s="19"/>
      <c r="O5416" s="19"/>
      <c r="P5416" s="19"/>
      <c r="Q5416" s="19"/>
    </row>
    <row r="5417" spans="9:17" hidden="1">
      <c r="I5417" s="20"/>
      <c r="M5417" s="19"/>
      <c r="N5417" s="19"/>
      <c r="O5417" s="19"/>
      <c r="P5417" s="19"/>
      <c r="Q5417" s="19"/>
    </row>
    <row r="5418" spans="9:17" hidden="1">
      <c r="I5418" s="20"/>
      <c r="M5418" s="19"/>
      <c r="N5418" s="19"/>
      <c r="O5418" s="19"/>
      <c r="P5418" s="19"/>
      <c r="Q5418" s="19"/>
    </row>
    <row r="5419" spans="9:17" hidden="1">
      <c r="I5419" s="20"/>
      <c r="M5419" s="19"/>
      <c r="N5419" s="19"/>
      <c r="O5419" s="19"/>
      <c r="P5419" s="19"/>
      <c r="Q5419" s="19"/>
    </row>
    <row r="5420" spans="9:17" hidden="1">
      <c r="I5420" s="20"/>
      <c r="M5420" s="19"/>
      <c r="N5420" s="19"/>
      <c r="O5420" s="19"/>
      <c r="P5420" s="19"/>
      <c r="Q5420" s="19"/>
    </row>
    <row r="5421" spans="9:17" hidden="1">
      <c r="I5421" s="20"/>
      <c r="M5421" s="19"/>
      <c r="N5421" s="19"/>
      <c r="O5421" s="19"/>
      <c r="P5421" s="19"/>
      <c r="Q5421" s="19"/>
    </row>
    <row r="5422" spans="9:17" hidden="1">
      <c r="I5422" s="20"/>
      <c r="M5422" s="19"/>
      <c r="N5422" s="19"/>
      <c r="O5422" s="19"/>
      <c r="P5422" s="19"/>
      <c r="Q5422" s="19"/>
    </row>
    <row r="5423" spans="9:17" hidden="1">
      <c r="I5423" s="20"/>
      <c r="M5423" s="19"/>
      <c r="N5423" s="19"/>
      <c r="O5423" s="19"/>
      <c r="P5423" s="19"/>
      <c r="Q5423" s="19"/>
    </row>
    <row r="5424" spans="9:17" hidden="1">
      <c r="I5424" s="20"/>
      <c r="M5424" s="19"/>
      <c r="N5424" s="19"/>
      <c r="O5424" s="19"/>
      <c r="P5424" s="19"/>
      <c r="Q5424" s="19"/>
    </row>
    <row r="5425" spans="9:17" hidden="1">
      <c r="I5425" s="20"/>
      <c r="M5425" s="19"/>
      <c r="N5425" s="19"/>
      <c r="O5425" s="19"/>
      <c r="P5425" s="19"/>
      <c r="Q5425" s="19"/>
    </row>
    <row r="5426" spans="9:17" hidden="1">
      <c r="I5426" s="20"/>
      <c r="M5426" s="19"/>
      <c r="N5426" s="19"/>
      <c r="O5426" s="19"/>
      <c r="P5426" s="19"/>
      <c r="Q5426" s="19"/>
    </row>
    <row r="5427" spans="9:17" hidden="1">
      <c r="I5427" s="20"/>
      <c r="M5427" s="19"/>
      <c r="N5427" s="19"/>
      <c r="O5427" s="19"/>
      <c r="P5427" s="19"/>
      <c r="Q5427" s="19"/>
    </row>
    <row r="5428" spans="9:17" hidden="1">
      <c r="I5428" s="20"/>
      <c r="M5428" s="19"/>
      <c r="N5428" s="19"/>
      <c r="O5428" s="19"/>
      <c r="P5428" s="19"/>
      <c r="Q5428" s="19"/>
    </row>
    <row r="5429" spans="9:17" hidden="1">
      <c r="I5429" s="20"/>
      <c r="M5429" s="19"/>
      <c r="N5429" s="19"/>
      <c r="O5429" s="19"/>
      <c r="P5429" s="19"/>
      <c r="Q5429" s="19"/>
    </row>
    <row r="5430" spans="9:17" hidden="1">
      <c r="I5430" s="20"/>
      <c r="M5430" s="19"/>
      <c r="N5430" s="19"/>
      <c r="O5430" s="19"/>
      <c r="P5430" s="19"/>
      <c r="Q5430" s="19"/>
    </row>
    <row r="5431" spans="9:17" hidden="1">
      <c r="I5431" s="20"/>
      <c r="M5431" s="19"/>
      <c r="N5431" s="19"/>
      <c r="O5431" s="19"/>
      <c r="P5431" s="19"/>
      <c r="Q5431" s="19"/>
    </row>
    <row r="5432" spans="9:17" hidden="1">
      <c r="I5432" s="20"/>
      <c r="M5432" s="19"/>
      <c r="N5432" s="19"/>
      <c r="O5432" s="19"/>
      <c r="P5432" s="19"/>
      <c r="Q5432" s="19"/>
    </row>
    <row r="5433" spans="9:17" hidden="1">
      <c r="I5433" s="20"/>
      <c r="M5433" s="19"/>
      <c r="N5433" s="19"/>
      <c r="O5433" s="19"/>
      <c r="P5433" s="19"/>
      <c r="Q5433" s="19"/>
    </row>
    <row r="5434" spans="9:17" hidden="1">
      <c r="I5434" s="20"/>
      <c r="M5434" s="19"/>
      <c r="N5434" s="19"/>
      <c r="O5434" s="19"/>
      <c r="P5434" s="19"/>
      <c r="Q5434" s="19"/>
    </row>
    <row r="5435" spans="9:17" hidden="1">
      <c r="I5435" s="20"/>
      <c r="M5435" s="19"/>
      <c r="N5435" s="19"/>
      <c r="O5435" s="19"/>
      <c r="P5435" s="19"/>
      <c r="Q5435" s="19"/>
    </row>
    <row r="5436" spans="9:17" hidden="1">
      <c r="I5436" s="20"/>
      <c r="M5436" s="19"/>
      <c r="N5436" s="19"/>
      <c r="O5436" s="19"/>
      <c r="P5436" s="19"/>
      <c r="Q5436" s="19"/>
    </row>
    <row r="5437" spans="9:17" hidden="1">
      <c r="I5437" s="20"/>
      <c r="M5437" s="19"/>
      <c r="N5437" s="19"/>
      <c r="O5437" s="19"/>
      <c r="P5437" s="19"/>
      <c r="Q5437" s="19"/>
    </row>
    <row r="5438" spans="9:17" hidden="1">
      <c r="I5438" s="20"/>
      <c r="M5438" s="19"/>
      <c r="N5438" s="19"/>
      <c r="O5438" s="19"/>
      <c r="P5438" s="19"/>
      <c r="Q5438" s="19"/>
    </row>
    <row r="5439" spans="9:17" hidden="1">
      <c r="I5439" s="20"/>
      <c r="M5439" s="19"/>
      <c r="N5439" s="19"/>
      <c r="O5439" s="19"/>
      <c r="P5439" s="19"/>
      <c r="Q5439" s="19"/>
    </row>
    <row r="5440" spans="9:17" hidden="1">
      <c r="I5440" s="20"/>
      <c r="M5440" s="19"/>
      <c r="N5440" s="19"/>
      <c r="O5440" s="19"/>
      <c r="P5440" s="19"/>
      <c r="Q5440" s="19"/>
    </row>
    <row r="5441" spans="9:17" hidden="1">
      <c r="I5441" s="20"/>
      <c r="M5441" s="19"/>
      <c r="N5441" s="19"/>
      <c r="O5441" s="19"/>
      <c r="P5441" s="19"/>
      <c r="Q5441" s="19"/>
    </row>
    <row r="5442" spans="9:17" hidden="1">
      <c r="I5442" s="20"/>
      <c r="M5442" s="19"/>
      <c r="N5442" s="19"/>
      <c r="O5442" s="19"/>
      <c r="P5442" s="19"/>
      <c r="Q5442" s="19"/>
    </row>
    <row r="5443" spans="9:17" hidden="1">
      <c r="I5443" s="20"/>
      <c r="M5443" s="19"/>
      <c r="N5443" s="19"/>
      <c r="O5443" s="19"/>
      <c r="P5443" s="19"/>
      <c r="Q5443" s="19"/>
    </row>
    <row r="5444" spans="9:17" hidden="1">
      <c r="I5444" s="20"/>
      <c r="M5444" s="19"/>
      <c r="N5444" s="19"/>
      <c r="O5444" s="19"/>
      <c r="P5444" s="19"/>
      <c r="Q5444" s="19"/>
    </row>
    <row r="5445" spans="9:17" hidden="1">
      <c r="I5445" s="20"/>
      <c r="M5445" s="19"/>
      <c r="N5445" s="19"/>
      <c r="O5445" s="19"/>
      <c r="P5445" s="19"/>
      <c r="Q5445" s="19"/>
    </row>
    <row r="5446" spans="9:17" hidden="1">
      <c r="I5446" s="20"/>
      <c r="M5446" s="19"/>
      <c r="N5446" s="19"/>
      <c r="O5446" s="19"/>
      <c r="P5446" s="19"/>
      <c r="Q5446" s="19"/>
    </row>
    <row r="5447" spans="9:17" hidden="1">
      <c r="I5447" s="20"/>
      <c r="M5447" s="19"/>
      <c r="N5447" s="19"/>
      <c r="O5447" s="19"/>
      <c r="P5447" s="19"/>
      <c r="Q5447" s="19"/>
    </row>
    <row r="5448" spans="9:17" hidden="1">
      <c r="I5448" s="20"/>
      <c r="M5448" s="19"/>
      <c r="N5448" s="19"/>
      <c r="O5448" s="19"/>
      <c r="P5448" s="19"/>
      <c r="Q5448" s="19"/>
    </row>
    <row r="5449" spans="9:17" hidden="1">
      <c r="I5449" s="20"/>
      <c r="M5449" s="19"/>
      <c r="N5449" s="19"/>
      <c r="O5449" s="19"/>
      <c r="P5449" s="19"/>
      <c r="Q5449" s="19"/>
    </row>
    <row r="5450" spans="9:17" hidden="1">
      <c r="I5450" s="20"/>
      <c r="M5450" s="19"/>
      <c r="N5450" s="19"/>
      <c r="O5450" s="19"/>
      <c r="P5450" s="19"/>
      <c r="Q5450" s="19"/>
    </row>
    <row r="5451" spans="9:17" hidden="1">
      <c r="I5451" s="20"/>
      <c r="M5451" s="19"/>
      <c r="N5451" s="19"/>
      <c r="O5451" s="19"/>
      <c r="P5451" s="19"/>
      <c r="Q5451" s="19"/>
    </row>
    <row r="5452" spans="9:17" hidden="1">
      <c r="I5452" s="20"/>
      <c r="M5452" s="19"/>
      <c r="N5452" s="19"/>
      <c r="O5452" s="19"/>
      <c r="P5452" s="19"/>
      <c r="Q5452" s="19"/>
    </row>
    <row r="5453" spans="9:17" hidden="1">
      <c r="I5453" s="20"/>
      <c r="M5453" s="19"/>
      <c r="N5453" s="19"/>
      <c r="O5453" s="19"/>
      <c r="P5453" s="19"/>
      <c r="Q5453" s="19"/>
    </row>
    <row r="5454" spans="9:17" hidden="1">
      <c r="I5454" s="20"/>
      <c r="M5454" s="19"/>
      <c r="N5454" s="19"/>
      <c r="O5454" s="19"/>
      <c r="P5454" s="19"/>
      <c r="Q5454" s="19"/>
    </row>
    <row r="5455" spans="9:17" hidden="1">
      <c r="I5455" s="20"/>
      <c r="M5455" s="19"/>
      <c r="N5455" s="19"/>
      <c r="O5455" s="19"/>
      <c r="P5455" s="19"/>
      <c r="Q5455" s="19"/>
    </row>
    <row r="5456" spans="9:17" hidden="1">
      <c r="I5456" s="20"/>
      <c r="M5456" s="19"/>
      <c r="N5456" s="19"/>
      <c r="O5456" s="19"/>
      <c r="P5456" s="19"/>
      <c r="Q5456" s="19"/>
    </row>
    <row r="5457" spans="9:17" hidden="1">
      <c r="I5457" s="20"/>
      <c r="M5457" s="19"/>
      <c r="N5457" s="19"/>
      <c r="O5457" s="19"/>
      <c r="P5457" s="19"/>
      <c r="Q5457" s="19"/>
    </row>
    <row r="5458" spans="9:17" hidden="1">
      <c r="I5458" s="20"/>
      <c r="M5458" s="19"/>
      <c r="N5458" s="19"/>
      <c r="O5458" s="19"/>
      <c r="P5458" s="19"/>
      <c r="Q5458" s="19"/>
    </row>
    <row r="5459" spans="9:17" hidden="1">
      <c r="I5459" s="20"/>
      <c r="M5459" s="19"/>
      <c r="N5459" s="19"/>
      <c r="O5459" s="19"/>
      <c r="P5459" s="19"/>
      <c r="Q5459" s="19"/>
    </row>
    <row r="5460" spans="9:17" hidden="1">
      <c r="I5460" s="20"/>
      <c r="M5460" s="19"/>
      <c r="N5460" s="19"/>
      <c r="O5460" s="19"/>
      <c r="P5460" s="19"/>
      <c r="Q5460" s="19"/>
    </row>
    <row r="5461" spans="9:17" hidden="1">
      <c r="I5461" s="20"/>
      <c r="M5461" s="19"/>
      <c r="N5461" s="19"/>
      <c r="O5461" s="19"/>
      <c r="P5461" s="19"/>
      <c r="Q5461" s="19"/>
    </row>
    <row r="5462" spans="9:17" hidden="1">
      <c r="I5462" s="20"/>
      <c r="M5462" s="19"/>
      <c r="N5462" s="19"/>
      <c r="O5462" s="19"/>
      <c r="P5462" s="19"/>
      <c r="Q5462" s="19"/>
    </row>
    <row r="5463" spans="9:17" hidden="1">
      <c r="I5463" s="20"/>
      <c r="M5463" s="19"/>
      <c r="N5463" s="19"/>
      <c r="O5463" s="19"/>
      <c r="P5463" s="19"/>
      <c r="Q5463" s="19"/>
    </row>
    <row r="5464" spans="9:17" hidden="1">
      <c r="I5464" s="20"/>
      <c r="M5464" s="19"/>
      <c r="N5464" s="19"/>
      <c r="O5464" s="19"/>
      <c r="P5464" s="19"/>
      <c r="Q5464" s="19"/>
    </row>
    <row r="5465" spans="9:17" hidden="1">
      <c r="I5465" s="20"/>
      <c r="M5465" s="19"/>
      <c r="N5465" s="19"/>
      <c r="O5465" s="19"/>
      <c r="P5465" s="19"/>
      <c r="Q5465" s="19"/>
    </row>
    <row r="5466" spans="9:17" hidden="1">
      <c r="I5466" s="20"/>
      <c r="M5466" s="19"/>
      <c r="N5466" s="19"/>
      <c r="O5466" s="19"/>
      <c r="P5466" s="19"/>
      <c r="Q5466" s="19"/>
    </row>
    <row r="5467" spans="9:17" hidden="1">
      <c r="I5467" s="20"/>
      <c r="M5467" s="19"/>
      <c r="N5467" s="19"/>
      <c r="O5467" s="19"/>
      <c r="P5467" s="19"/>
      <c r="Q5467" s="19"/>
    </row>
    <row r="5468" spans="9:17" hidden="1">
      <c r="I5468" s="20"/>
      <c r="M5468" s="19"/>
      <c r="N5468" s="19"/>
      <c r="O5468" s="19"/>
      <c r="P5468" s="19"/>
      <c r="Q5468" s="19"/>
    </row>
    <row r="5469" spans="9:17" hidden="1">
      <c r="I5469" s="20"/>
      <c r="M5469" s="19"/>
      <c r="N5469" s="19"/>
      <c r="O5469" s="19"/>
      <c r="P5469" s="19"/>
      <c r="Q5469" s="19"/>
    </row>
    <row r="5470" spans="9:17" hidden="1">
      <c r="I5470" s="20"/>
      <c r="M5470" s="19"/>
      <c r="N5470" s="19"/>
      <c r="O5470" s="19"/>
      <c r="P5470" s="19"/>
      <c r="Q5470" s="19"/>
    </row>
    <row r="5471" spans="9:17" hidden="1">
      <c r="I5471" s="20"/>
      <c r="M5471" s="19"/>
      <c r="N5471" s="19"/>
      <c r="O5471" s="19"/>
      <c r="P5471" s="19"/>
      <c r="Q5471" s="19"/>
    </row>
    <row r="5472" spans="9:17" hidden="1">
      <c r="I5472" s="20"/>
      <c r="M5472" s="19"/>
      <c r="N5472" s="19"/>
      <c r="O5472" s="19"/>
      <c r="P5472" s="19"/>
      <c r="Q5472" s="19"/>
    </row>
    <row r="5473" spans="9:17" hidden="1">
      <c r="I5473" s="20"/>
      <c r="M5473" s="19"/>
      <c r="N5473" s="19"/>
      <c r="O5473" s="19"/>
      <c r="P5473" s="19"/>
      <c r="Q5473" s="19"/>
    </row>
    <row r="5474" spans="9:17" hidden="1">
      <c r="I5474" s="20"/>
      <c r="M5474" s="19"/>
      <c r="N5474" s="19"/>
      <c r="O5474" s="19"/>
      <c r="P5474" s="19"/>
      <c r="Q5474" s="19"/>
    </row>
    <row r="5475" spans="9:17" hidden="1">
      <c r="I5475" s="20"/>
      <c r="M5475" s="19"/>
      <c r="N5475" s="19"/>
      <c r="O5475" s="19"/>
      <c r="P5475" s="19"/>
      <c r="Q5475" s="19"/>
    </row>
    <row r="5476" spans="9:17" hidden="1">
      <c r="I5476" s="20"/>
      <c r="M5476" s="19"/>
      <c r="N5476" s="19"/>
      <c r="O5476" s="19"/>
      <c r="P5476" s="19"/>
      <c r="Q5476" s="19"/>
    </row>
    <row r="5477" spans="9:17" hidden="1">
      <c r="I5477" s="20"/>
      <c r="M5477" s="19"/>
      <c r="N5477" s="19"/>
      <c r="O5477" s="19"/>
      <c r="P5477" s="19"/>
      <c r="Q5477" s="19"/>
    </row>
    <row r="5478" spans="9:17" hidden="1">
      <c r="I5478" s="20"/>
      <c r="M5478" s="19"/>
      <c r="N5478" s="19"/>
      <c r="O5478" s="19"/>
      <c r="P5478" s="19"/>
      <c r="Q5478" s="19"/>
    </row>
    <row r="5479" spans="9:17" hidden="1">
      <c r="I5479" s="20"/>
      <c r="M5479" s="19"/>
      <c r="N5479" s="19"/>
      <c r="O5479" s="19"/>
      <c r="P5479" s="19"/>
      <c r="Q5479" s="19"/>
    </row>
    <row r="5480" spans="9:17" hidden="1">
      <c r="I5480" s="20"/>
      <c r="M5480" s="19"/>
      <c r="N5480" s="19"/>
      <c r="O5480" s="19"/>
      <c r="P5480" s="19"/>
      <c r="Q5480" s="19"/>
    </row>
    <row r="5481" spans="9:17" hidden="1">
      <c r="I5481" s="20"/>
      <c r="M5481" s="19"/>
      <c r="N5481" s="19"/>
      <c r="O5481" s="19"/>
      <c r="P5481" s="19"/>
      <c r="Q5481" s="19"/>
    </row>
    <row r="5482" spans="9:17" hidden="1">
      <c r="I5482" s="20"/>
      <c r="M5482" s="19"/>
      <c r="N5482" s="19"/>
      <c r="O5482" s="19"/>
      <c r="P5482" s="19"/>
      <c r="Q5482" s="19"/>
    </row>
    <row r="5483" spans="9:17" hidden="1">
      <c r="I5483" s="20"/>
      <c r="M5483" s="19"/>
      <c r="N5483" s="19"/>
      <c r="O5483" s="19"/>
      <c r="P5483" s="19"/>
      <c r="Q5483" s="19"/>
    </row>
    <row r="5484" spans="9:17" hidden="1">
      <c r="I5484" s="20"/>
      <c r="M5484" s="19"/>
      <c r="N5484" s="19"/>
      <c r="O5484" s="19"/>
      <c r="P5484" s="19"/>
      <c r="Q5484" s="19"/>
    </row>
    <row r="5485" spans="9:17" hidden="1">
      <c r="I5485" s="20"/>
      <c r="M5485" s="19"/>
      <c r="N5485" s="19"/>
      <c r="O5485" s="19"/>
      <c r="P5485" s="19"/>
      <c r="Q5485" s="19"/>
    </row>
    <row r="5486" spans="9:17" hidden="1">
      <c r="I5486" s="20"/>
      <c r="M5486" s="19"/>
      <c r="N5486" s="19"/>
      <c r="O5486" s="19"/>
      <c r="P5486" s="19"/>
      <c r="Q5486" s="19"/>
    </row>
    <row r="5487" spans="9:17" hidden="1">
      <c r="I5487" s="20"/>
      <c r="M5487" s="19"/>
      <c r="N5487" s="19"/>
      <c r="O5487" s="19"/>
      <c r="P5487" s="19"/>
      <c r="Q5487" s="19"/>
    </row>
    <row r="5488" spans="9:17" hidden="1">
      <c r="I5488" s="20"/>
      <c r="M5488" s="19"/>
      <c r="N5488" s="19"/>
      <c r="O5488" s="19"/>
      <c r="P5488" s="19"/>
      <c r="Q5488" s="19"/>
    </row>
    <row r="5489" spans="9:17" hidden="1">
      <c r="I5489" s="20"/>
      <c r="M5489" s="19"/>
      <c r="N5489" s="19"/>
      <c r="O5489" s="19"/>
      <c r="P5489" s="19"/>
      <c r="Q5489" s="19"/>
    </row>
    <row r="5490" spans="9:17" hidden="1">
      <c r="I5490" s="20"/>
      <c r="M5490" s="19"/>
      <c r="N5490" s="19"/>
      <c r="O5490" s="19"/>
      <c r="P5490" s="19"/>
      <c r="Q5490" s="19"/>
    </row>
    <row r="5491" spans="9:17" hidden="1">
      <c r="I5491" s="20"/>
      <c r="M5491" s="19"/>
      <c r="N5491" s="19"/>
      <c r="O5491" s="19"/>
      <c r="P5491" s="19"/>
      <c r="Q5491" s="19"/>
    </row>
    <row r="5492" spans="9:17" hidden="1">
      <c r="I5492" s="20"/>
      <c r="M5492" s="19"/>
      <c r="N5492" s="19"/>
      <c r="O5492" s="19"/>
      <c r="P5492" s="19"/>
      <c r="Q5492" s="19"/>
    </row>
    <row r="5493" spans="9:17" hidden="1">
      <c r="I5493" s="20"/>
      <c r="M5493" s="19"/>
      <c r="N5493" s="19"/>
      <c r="O5493" s="19"/>
      <c r="P5493" s="19"/>
      <c r="Q5493" s="19"/>
    </row>
    <row r="5494" spans="9:17" hidden="1">
      <c r="I5494" s="20"/>
      <c r="M5494" s="19"/>
      <c r="N5494" s="19"/>
      <c r="O5494" s="19"/>
      <c r="P5494" s="19"/>
      <c r="Q5494" s="19"/>
    </row>
    <row r="5495" spans="9:17" hidden="1">
      <c r="I5495" s="20"/>
      <c r="M5495" s="19"/>
      <c r="N5495" s="19"/>
      <c r="O5495" s="19"/>
      <c r="P5495" s="19"/>
      <c r="Q5495" s="19"/>
    </row>
    <row r="5496" spans="9:17" hidden="1">
      <c r="I5496" s="20"/>
      <c r="M5496" s="19"/>
      <c r="N5496" s="19"/>
      <c r="O5496" s="19"/>
      <c r="P5496" s="19"/>
      <c r="Q5496" s="19"/>
    </row>
    <row r="5497" spans="9:17" hidden="1">
      <c r="I5497" s="20"/>
      <c r="M5497" s="19"/>
      <c r="N5497" s="19"/>
      <c r="O5497" s="19"/>
      <c r="P5497" s="19"/>
      <c r="Q5497" s="19"/>
    </row>
    <row r="5498" spans="9:17" hidden="1">
      <c r="I5498" s="20"/>
      <c r="M5498" s="19"/>
      <c r="N5498" s="19"/>
      <c r="O5498" s="19"/>
      <c r="P5498" s="19"/>
      <c r="Q5498" s="19"/>
    </row>
    <row r="5499" spans="9:17" hidden="1">
      <c r="I5499" s="20"/>
      <c r="M5499" s="19"/>
      <c r="N5499" s="19"/>
      <c r="O5499" s="19"/>
      <c r="P5499" s="19"/>
      <c r="Q5499" s="19"/>
    </row>
    <row r="5500" spans="9:17" hidden="1">
      <c r="I5500" s="20"/>
      <c r="M5500" s="19"/>
      <c r="N5500" s="19"/>
      <c r="O5500" s="19"/>
      <c r="P5500" s="19"/>
      <c r="Q5500" s="19"/>
    </row>
    <row r="5501" spans="9:17" hidden="1">
      <c r="I5501" s="20"/>
      <c r="M5501" s="19"/>
      <c r="N5501" s="19"/>
      <c r="O5501" s="19"/>
      <c r="P5501" s="19"/>
      <c r="Q5501" s="19"/>
    </row>
    <row r="5502" spans="9:17" hidden="1">
      <c r="I5502" s="20"/>
      <c r="M5502" s="19"/>
      <c r="N5502" s="19"/>
      <c r="O5502" s="19"/>
      <c r="P5502" s="19"/>
      <c r="Q5502" s="19"/>
    </row>
    <row r="5503" spans="9:17" hidden="1">
      <c r="I5503" s="20"/>
      <c r="M5503" s="19"/>
      <c r="N5503" s="19"/>
      <c r="O5503" s="19"/>
      <c r="P5503" s="19"/>
      <c r="Q5503" s="19"/>
    </row>
    <row r="5504" spans="9:17" hidden="1">
      <c r="I5504" s="20"/>
      <c r="M5504" s="19"/>
      <c r="N5504" s="19"/>
      <c r="O5504" s="19"/>
      <c r="P5504" s="19"/>
      <c r="Q5504" s="19"/>
    </row>
    <row r="5505" spans="9:17" hidden="1">
      <c r="I5505" s="20"/>
      <c r="M5505" s="19"/>
      <c r="N5505" s="19"/>
      <c r="O5505" s="19"/>
      <c r="P5505" s="19"/>
      <c r="Q5505" s="19"/>
    </row>
    <row r="5506" spans="9:17" hidden="1">
      <c r="I5506" s="20"/>
      <c r="M5506" s="19"/>
      <c r="N5506" s="19"/>
      <c r="O5506" s="19"/>
      <c r="P5506" s="19"/>
      <c r="Q5506" s="19"/>
    </row>
    <row r="5507" spans="9:17" hidden="1">
      <c r="I5507" s="20"/>
      <c r="M5507" s="19"/>
      <c r="N5507" s="19"/>
      <c r="O5507" s="19"/>
      <c r="P5507" s="19"/>
      <c r="Q5507" s="19"/>
    </row>
    <row r="5508" spans="9:17" hidden="1">
      <c r="I5508" s="20"/>
      <c r="M5508" s="19"/>
      <c r="N5508" s="19"/>
      <c r="O5508" s="19"/>
      <c r="P5508" s="19"/>
      <c r="Q5508" s="19"/>
    </row>
    <row r="5509" spans="9:17" hidden="1">
      <c r="I5509" s="20"/>
      <c r="M5509" s="19"/>
      <c r="N5509" s="19"/>
      <c r="O5509" s="19"/>
      <c r="P5509" s="19"/>
      <c r="Q5509" s="19"/>
    </row>
    <row r="5510" spans="9:17" hidden="1">
      <c r="I5510" s="20"/>
      <c r="M5510" s="19"/>
      <c r="N5510" s="19"/>
      <c r="O5510" s="19"/>
      <c r="P5510" s="19"/>
      <c r="Q5510" s="19"/>
    </row>
    <row r="5511" spans="9:17" hidden="1">
      <c r="I5511" s="20"/>
      <c r="M5511" s="19"/>
      <c r="N5511" s="19"/>
      <c r="O5511" s="19"/>
      <c r="P5511" s="19"/>
      <c r="Q5511" s="19"/>
    </row>
    <row r="5512" spans="9:17" hidden="1">
      <c r="I5512" s="20"/>
      <c r="M5512" s="19"/>
      <c r="N5512" s="19"/>
      <c r="O5512" s="19"/>
      <c r="P5512" s="19"/>
      <c r="Q5512" s="19"/>
    </row>
    <row r="5513" spans="9:17" hidden="1">
      <c r="I5513" s="20"/>
      <c r="M5513" s="19"/>
      <c r="N5513" s="19"/>
      <c r="O5513" s="19"/>
      <c r="P5513" s="19"/>
      <c r="Q5513" s="19"/>
    </row>
    <row r="5514" spans="9:17" hidden="1">
      <c r="I5514" s="20"/>
      <c r="M5514" s="19"/>
      <c r="N5514" s="19"/>
      <c r="O5514" s="19"/>
      <c r="P5514" s="19"/>
      <c r="Q5514" s="19"/>
    </row>
    <row r="5515" spans="9:17" hidden="1">
      <c r="I5515" s="20"/>
      <c r="M5515" s="19"/>
      <c r="N5515" s="19"/>
      <c r="O5515" s="19"/>
      <c r="P5515" s="19"/>
      <c r="Q5515" s="19"/>
    </row>
    <row r="5516" spans="9:17" hidden="1">
      <c r="I5516" s="20"/>
      <c r="M5516" s="19"/>
      <c r="N5516" s="19"/>
      <c r="O5516" s="19"/>
      <c r="P5516" s="19"/>
      <c r="Q5516" s="19"/>
    </row>
    <row r="5517" spans="9:17" hidden="1">
      <c r="I5517" s="20"/>
      <c r="M5517" s="19"/>
      <c r="N5517" s="19"/>
      <c r="O5517" s="19"/>
      <c r="P5517" s="19"/>
      <c r="Q5517" s="19"/>
    </row>
    <row r="5518" spans="9:17" hidden="1">
      <c r="I5518" s="20"/>
      <c r="M5518" s="19"/>
      <c r="N5518" s="19"/>
      <c r="O5518" s="19"/>
      <c r="P5518" s="19"/>
      <c r="Q5518" s="19"/>
    </row>
    <row r="5519" spans="9:17" hidden="1">
      <c r="I5519" s="20"/>
      <c r="M5519" s="19"/>
      <c r="N5519" s="19"/>
      <c r="O5519" s="19"/>
      <c r="P5519" s="19"/>
      <c r="Q5519" s="19"/>
    </row>
    <row r="5520" spans="9:17" hidden="1">
      <c r="I5520" s="20"/>
      <c r="M5520" s="19"/>
      <c r="N5520" s="19"/>
      <c r="O5520" s="19"/>
      <c r="P5520" s="19"/>
      <c r="Q5520" s="19"/>
    </row>
    <row r="5521" spans="9:17" hidden="1">
      <c r="I5521" s="20"/>
      <c r="M5521" s="19"/>
      <c r="N5521" s="19"/>
      <c r="O5521" s="19"/>
      <c r="P5521" s="19"/>
      <c r="Q5521" s="19"/>
    </row>
    <row r="5522" spans="9:17" hidden="1">
      <c r="I5522" s="20"/>
      <c r="M5522" s="19"/>
      <c r="N5522" s="19"/>
      <c r="O5522" s="19"/>
      <c r="P5522" s="19"/>
      <c r="Q5522" s="19"/>
    </row>
    <row r="5523" spans="9:17" hidden="1">
      <c r="I5523" s="20"/>
      <c r="M5523" s="19"/>
      <c r="N5523" s="19"/>
      <c r="O5523" s="19"/>
      <c r="P5523" s="19"/>
      <c r="Q5523" s="19"/>
    </row>
    <row r="5524" spans="9:17" hidden="1">
      <c r="I5524" s="20"/>
      <c r="M5524" s="19"/>
      <c r="N5524" s="19"/>
      <c r="O5524" s="19"/>
      <c r="P5524" s="19"/>
      <c r="Q5524" s="19"/>
    </row>
    <row r="5525" spans="9:17" hidden="1">
      <c r="I5525" s="20"/>
      <c r="M5525" s="19"/>
      <c r="N5525" s="19"/>
      <c r="O5525" s="19"/>
      <c r="P5525" s="19"/>
      <c r="Q5525" s="19"/>
    </row>
    <row r="5526" spans="9:17" hidden="1">
      <c r="I5526" s="20"/>
      <c r="M5526" s="19"/>
      <c r="N5526" s="19"/>
      <c r="O5526" s="19"/>
      <c r="P5526" s="19"/>
      <c r="Q5526" s="19"/>
    </row>
    <row r="5527" spans="9:17" hidden="1">
      <c r="I5527" s="20"/>
      <c r="M5527" s="19"/>
      <c r="N5527" s="19"/>
      <c r="O5527" s="19"/>
      <c r="P5527" s="19"/>
      <c r="Q5527" s="19"/>
    </row>
    <row r="5528" spans="9:17" hidden="1">
      <c r="I5528" s="20"/>
      <c r="M5528" s="19"/>
      <c r="N5528" s="19"/>
      <c r="O5528" s="19"/>
      <c r="P5528" s="19"/>
      <c r="Q5528" s="19"/>
    </row>
    <row r="5529" spans="9:17" hidden="1">
      <c r="I5529" s="20"/>
      <c r="M5529" s="19"/>
      <c r="N5529" s="19"/>
      <c r="O5529" s="19"/>
      <c r="P5529" s="19"/>
      <c r="Q5529" s="19"/>
    </row>
    <row r="5530" spans="9:17" hidden="1">
      <c r="I5530" s="20"/>
      <c r="M5530" s="19"/>
      <c r="N5530" s="19"/>
      <c r="O5530" s="19"/>
      <c r="P5530" s="19"/>
      <c r="Q5530" s="19"/>
    </row>
    <row r="5531" spans="9:17" hidden="1">
      <c r="I5531" s="20"/>
      <c r="M5531" s="19"/>
      <c r="N5531" s="19"/>
      <c r="O5531" s="19"/>
      <c r="P5531" s="19"/>
      <c r="Q5531" s="19"/>
    </row>
    <row r="5532" spans="9:17" hidden="1">
      <c r="I5532" s="20"/>
      <c r="M5532" s="19"/>
      <c r="N5532" s="19"/>
      <c r="O5532" s="19"/>
      <c r="P5532" s="19"/>
      <c r="Q5532" s="19"/>
    </row>
    <row r="5533" spans="9:17" hidden="1">
      <c r="I5533" s="20"/>
      <c r="M5533" s="19"/>
      <c r="N5533" s="19"/>
      <c r="O5533" s="19"/>
      <c r="P5533" s="19"/>
      <c r="Q5533" s="19"/>
    </row>
    <row r="5534" spans="9:17" hidden="1">
      <c r="I5534" s="20"/>
      <c r="M5534" s="19"/>
      <c r="N5534" s="19"/>
      <c r="O5534" s="19"/>
      <c r="P5534" s="19"/>
      <c r="Q5534" s="19"/>
    </row>
    <row r="5535" spans="9:17" hidden="1">
      <c r="I5535" s="20"/>
      <c r="M5535" s="19"/>
      <c r="N5535" s="19"/>
      <c r="O5535" s="19"/>
      <c r="P5535" s="19"/>
      <c r="Q5535" s="19"/>
    </row>
    <row r="5536" spans="9:17" hidden="1">
      <c r="I5536" s="20"/>
      <c r="M5536" s="19"/>
      <c r="N5536" s="19"/>
      <c r="O5536" s="19"/>
      <c r="P5536" s="19"/>
      <c r="Q5536" s="19"/>
    </row>
    <row r="5537" spans="9:17" hidden="1">
      <c r="I5537" s="20"/>
      <c r="M5537" s="19"/>
      <c r="N5537" s="19"/>
      <c r="O5537" s="19"/>
      <c r="P5537" s="19"/>
      <c r="Q5537" s="19"/>
    </row>
    <row r="5538" spans="9:17" hidden="1">
      <c r="I5538" s="20"/>
      <c r="M5538" s="19"/>
      <c r="N5538" s="19"/>
      <c r="O5538" s="19"/>
      <c r="P5538" s="19"/>
      <c r="Q5538" s="19"/>
    </row>
    <row r="5539" spans="9:17" hidden="1">
      <c r="I5539" s="20"/>
      <c r="M5539" s="19"/>
      <c r="N5539" s="19"/>
      <c r="O5539" s="19"/>
      <c r="P5539" s="19"/>
      <c r="Q5539" s="19"/>
    </row>
    <row r="5540" spans="9:17" hidden="1">
      <c r="I5540" s="20"/>
      <c r="M5540" s="19"/>
      <c r="N5540" s="19"/>
      <c r="O5540" s="19"/>
      <c r="P5540" s="19"/>
      <c r="Q5540" s="19"/>
    </row>
    <row r="5541" spans="9:17" hidden="1">
      <c r="I5541" s="20"/>
      <c r="M5541" s="19"/>
      <c r="N5541" s="19"/>
      <c r="O5541" s="19"/>
      <c r="P5541" s="19"/>
      <c r="Q5541" s="19"/>
    </row>
    <row r="5542" spans="9:17" hidden="1">
      <c r="I5542" s="20"/>
      <c r="M5542" s="19"/>
      <c r="N5542" s="19"/>
      <c r="O5542" s="19"/>
      <c r="P5542" s="19"/>
      <c r="Q5542" s="19"/>
    </row>
    <row r="5543" spans="9:17" hidden="1">
      <c r="I5543" s="20"/>
      <c r="M5543" s="19"/>
      <c r="N5543" s="19"/>
      <c r="O5543" s="19"/>
      <c r="P5543" s="19"/>
      <c r="Q5543" s="19"/>
    </row>
    <row r="5544" spans="9:17" hidden="1">
      <c r="I5544" s="20"/>
      <c r="M5544" s="19"/>
      <c r="N5544" s="19"/>
      <c r="O5544" s="19"/>
      <c r="P5544" s="19"/>
      <c r="Q5544" s="19"/>
    </row>
    <row r="5545" spans="9:17" hidden="1">
      <c r="I5545" s="20"/>
      <c r="M5545" s="19"/>
      <c r="N5545" s="19"/>
      <c r="O5545" s="19"/>
      <c r="P5545" s="19"/>
      <c r="Q5545" s="19"/>
    </row>
    <row r="5546" spans="9:17" hidden="1">
      <c r="I5546" s="20"/>
      <c r="M5546" s="19"/>
      <c r="N5546" s="19"/>
      <c r="O5546" s="19"/>
      <c r="P5546" s="19"/>
      <c r="Q5546" s="19"/>
    </row>
    <row r="5547" spans="9:17" hidden="1">
      <c r="I5547" s="20"/>
      <c r="M5547" s="19"/>
      <c r="N5547" s="19"/>
      <c r="O5547" s="19"/>
      <c r="P5547" s="19"/>
      <c r="Q5547" s="19"/>
    </row>
    <row r="5548" spans="9:17" hidden="1">
      <c r="I5548" s="20"/>
      <c r="M5548" s="19"/>
      <c r="N5548" s="19"/>
      <c r="O5548" s="19"/>
      <c r="P5548" s="19"/>
      <c r="Q5548" s="19"/>
    </row>
    <row r="5549" spans="9:17" hidden="1">
      <c r="I5549" s="20"/>
      <c r="M5549" s="19"/>
      <c r="N5549" s="19"/>
      <c r="O5549" s="19"/>
      <c r="P5549" s="19"/>
      <c r="Q5549" s="19"/>
    </row>
    <row r="5550" spans="9:17" hidden="1">
      <c r="I5550" s="20"/>
      <c r="M5550" s="19"/>
      <c r="N5550" s="19"/>
      <c r="O5550" s="19"/>
      <c r="P5550" s="19"/>
      <c r="Q5550" s="19"/>
    </row>
    <row r="5551" spans="9:17" hidden="1">
      <c r="I5551" s="20"/>
      <c r="M5551" s="19"/>
      <c r="N5551" s="19"/>
      <c r="O5551" s="19"/>
      <c r="P5551" s="19"/>
      <c r="Q5551" s="19"/>
    </row>
    <row r="5552" spans="9:17" hidden="1">
      <c r="I5552" s="20"/>
      <c r="M5552" s="19"/>
      <c r="N5552" s="19"/>
      <c r="O5552" s="19"/>
      <c r="P5552" s="19"/>
      <c r="Q5552" s="19"/>
    </row>
    <row r="5553" spans="9:17" hidden="1">
      <c r="I5553" s="20"/>
      <c r="M5553" s="19"/>
      <c r="N5553" s="19"/>
      <c r="O5553" s="19"/>
      <c r="P5553" s="19"/>
      <c r="Q5553" s="19"/>
    </row>
    <row r="5554" spans="9:17" hidden="1">
      <c r="I5554" s="20"/>
      <c r="M5554" s="19"/>
      <c r="N5554" s="19"/>
      <c r="O5554" s="19"/>
      <c r="P5554" s="19"/>
      <c r="Q5554" s="19"/>
    </row>
    <row r="5555" spans="9:17" hidden="1">
      <c r="I5555" s="20"/>
      <c r="M5555" s="19"/>
      <c r="N5555" s="19"/>
      <c r="O5555" s="19"/>
      <c r="P5555" s="19"/>
      <c r="Q5555" s="19"/>
    </row>
    <row r="5556" spans="9:17" hidden="1">
      <c r="I5556" s="20"/>
      <c r="M5556" s="19"/>
      <c r="N5556" s="19"/>
      <c r="O5556" s="19"/>
      <c r="P5556" s="19"/>
      <c r="Q5556" s="19"/>
    </row>
    <row r="5557" spans="9:17" hidden="1">
      <c r="I5557" s="20"/>
      <c r="M5557" s="19"/>
      <c r="N5557" s="19"/>
      <c r="O5557" s="19"/>
      <c r="P5557" s="19"/>
      <c r="Q5557" s="19"/>
    </row>
    <row r="5558" spans="9:17" hidden="1">
      <c r="I5558" s="20"/>
      <c r="M5558" s="19"/>
      <c r="N5558" s="19"/>
      <c r="O5558" s="19"/>
      <c r="P5558" s="19"/>
      <c r="Q5558" s="19"/>
    </row>
    <row r="5559" spans="9:17" hidden="1">
      <c r="I5559" s="20"/>
      <c r="M5559" s="19"/>
      <c r="N5559" s="19"/>
      <c r="O5559" s="19"/>
      <c r="P5559" s="19"/>
      <c r="Q5559" s="19"/>
    </row>
    <row r="5560" spans="9:17" hidden="1">
      <c r="I5560" s="20"/>
      <c r="M5560" s="19"/>
      <c r="N5560" s="19"/>
      <c r="O5560" s="19"/>
      <c r="P5560" s="19"/>
      <c r="Q5560" s="19"/>
    </row>
    <row r="5561" spans="9:17" hidden="1">
      <c r="I5561" s="20"/>
      <c r="M5561" s="19"/>
      <c r="N5561" s="19"/>
      <c r="O5561" s="19"/>
      <c r="P5561" s="19"/>
      <c r="Q5561" s="19"/>
    </row>
    <row r="5562" spans="9:17" hidden="1">
      <c r="I5562" s="20"/>
      <c r="M5562" s="19"/>
      <c r="N5562" s="19"/>
      <c r="O5562" s="19"/>
      <c r="P5562" s="19"/>
      <c r="Q5562" s="19"/>
    </row>
    <row r="5563" spans="9:17" hidden="1">
      <c r="I5563" s="20"/>
      <c r="M5563" s="19"/>
      <c r="N5563" s="19"/>
      <c r="O5563" s="19"/>
      <c r="P5563" s="19"/>
      <c r="Q5563" s="19"/>
    </row>
    <row r="5564" spans="9:17" hidden="1">
      <c r="I5564" s="20"/>
      <c r="M5564" s="19"/>
      <c r="N5564" s="19"/>
      <c r="O5564" s="19"/>
      <c r="P5564" s="19"/>
      <c r="Q5564" s="19"/>
    </row>
    <row r="5565" spans="9:17" hidden="1">
      <c r="I5565" s="20"/>
      <c r="M5565" s="19"/>
      <c r="N5565" s="19"/>
      <c r="O5565" s="19"/>
      <c r="P5565" s="19"/>
      <c r="Q5565" s="19"/>
    </row>
    <row r="5566" spans="9:17" hidden="1">
      <c r="I5566" s="20"/>
      <c r="M5566" s="19"/>
      <c r="N5566" s="19"/>
      <c r="O5566" s="19"/>
      <c r="P5566" s="19"/>
      <c r="Q5566" s="19"/>
    </row>
    <row r="5567" spans="9:17" hidden="1">
      <c r="I5567" s="20"/>
      <c r="M5567" s="19"/>
      <c r="N5567" s="19"/>
      <c r="O5567" s="19"/>
      <c r="P5567" s="19"/>
      <c r="Q5567" s="19"/>
    </row>
    <row r="5568" spans="9:17" hidden="1">
      <c r="I5568" s="20"/>
      <c r="M5568" s="19"/>
      <c r="N5568" s="19"/>
      <c r="O5568" s="19"/>
      <c r="P5568" s="19"/>
      <c r="Q5568" s="19"/>
    </row>
    <row r="5569" spans="9:17" hidden="1">
      <c r="I5569" s="20"/>
      <c r="M5569" s="19"/>
      <c r="N5569" s="19"/>
      <c r="O5569" s="19"/>
      <c r="P5569" s="19"/>
      <c r="Q5569" s="19"/>
    </row>
    <row r="5570" spans="9:17" hidden="1">
      <c r="I5570" s="20"/>
      <c r="M5570" s="19"/>
      <c r="N5570" s="19"/>
      <c r="O5570" s="19"/>
      <c r="P5570" s="19"/>
      <c r="Q5570" s="19"/>
    </row>
    <row r="5571" spans="9:17" hidden="1">
      <c r="I5571" s="20"/>
      <c r="M5571" s="19"/>
      <c r="N5571" s="19"/>
      <c r="O5571" s="19"/>
      <c r="P5571" s="19"/>
      <c r="Q5571" s="19"/>
    </row>
    <row r="5572" spans="9:17" hidden="1">
      <c r="I5572" s="20"/>
      <c r="M5572" s="19"/>
      <c r="N5572" s="19"/>
      <c r="O5572" s="19"/>
      <c r="P5572" s="19"/>
      <c r="Q5572" s="19"/>
    </row>
    <row r="5573" spans="9:17" hidden="1">
      <c r="I5573" s="20"/>
      <c r="M5573" s="19"/>
      <c r="N5573" s="19"/>
      <c r="O5573" s="19"/>
      <c r="P5573" s="19"/>
      <c r="Q5573" s="19"/>
    </row>
    <row r="5574" spans="9:17" hidden="1">
      <c r="I5574" s="20"/>
      <c r="M5574" s="19"/>
      <c r="N5574" s="19"/>
      <c r="O5574" s="19"/>
      <c r="P5574" s="19"/>
      <c r="Q5574" s="19"/>
    </row>
    <row r="5575" spans="9:17" hidden="1">
      <c r="I5575" s="20"/>
      <c r="M5575" s="19"/>
      <c r="N5575" s="19"/>
      <c r="O5575" s="19"/>
      <c r="P5575" s="19"/>
      <c r="Q5575" s="19"/>
    </row>
    <row r="5576" spans="9:17" hidden="1">
      <c r="I5576" s="20"/>
      <c r="M5576" s="19"/>
      <c r="N5576" s="19"/>
      <c r="O5576" s="19"/>
      <c r="P5576" s="19"/>
      <c r="Q5576" s="19"/>
    </row>
    <row r="5577" spans="9:17" hidden="1">
      <c r="I5577" s="20"/>
      <c r="M5577" s="19"/>
      <c r="N5577" s="19"/>
      <c r="O5577" s="19"/>
      <c r="P5577" s="19"/>
      <c r="Q5577" s="19"/>
    </row>
    <row r="5578" spans="9:17" hidden="1">
      <c r="I5578" s="20"/>
      <c r="M5578" s="19"/>
      <c r="N5578" s="19"/>
      <c r="O5578" s="19"/>
      <c r="P5578" s="19"/>
      <c r="Q5578" s="19"/>
    </row>
    <row r="5579" spans="9:17" hidden="1">
      <c r="I5579" s="20"/>
      <c r="M5579" s="19"/>
      <c r="N5579" s="19"/>
      <c r="O5579" s="19"/>
      <c r="P5579" s="19"/>
      <c r="Q5579" s="19"/>
    </row>
    <row r="5580" spans="9:17" hidden="1">
      <c r="I5580" s="20"/>
      <c r="M5580" s="19"/>
      <c r="N5580" s="19"/>
      <c r="O5580" s="19"/>
      <c r="P5580" s="19"/>
      <c r="Q5580" s="19"/>
    </row>
    <row r="5581" spans="9:17" hidden="1">
      <c r="I5581" s="20"/>
      <c r="M5581" s="19"/>
      <c r="N5581" s="19"/>
      <c r="O5581" s="19"/>
      <c r="P5581" s="19"/>
      <c r="Q5581" s="19"/>
    </row>
    <row r="5582" spans="9:17" hidden="1">
      <c r="I5582" s="20"/>
      <c r="M5582" s="19"/>
      <c r="N5582" s="19"/>
      <c r="O5582" s="19"/>
      <c r="P5582" s="19"/>
      <c r="Q5582" s="19"/>
    </row>
    <row r="5583" spans="9:17" hidden="1">
      <c r="I5583" s="20"/>
      <c r="M5583" s="19"/>
      <c r="N5583" s="19"/>
      <c r="O5583" s="19"/>
      <c r="P5583" s="19"/>
      <c r="Q5583" s="19"/>
    </row>
    <row r="5584" spans="9:17" hidden="1">
      <c r="I5584" s="20"/>
      <c r="M5584" s="19"/>
      <c r="N5584" s="19"/>
      <c r="O5584" s="19"/>
      <c r="P5584" s="19"/>
      <c r="Q5584" s="19"/>
    </row>
    <row r="5585" spans="9:17" hidden="1">
      <c r="I5585" s="20"/>
      <c r="M5585" s="19"/>
      <c r="N5585" s="19"/>
      <c r="O5585" s="19"/>
      <c r="P5585" s="19"/>
      <c r="Q5585" s="19"/>
    </row>
    <row r="5586" spans="9:17" hidden="1">
      <c r="I5586" s="20"/>
      <c r="M5586" s="19"/>
      <c r="N5586" s="19"/>
      <c r="O5586" s="19"/>
      <c r="P5586" s="19"/>
      <c r="Q5586" s="19"/>
    </row>
    <row r="5587" spans="9:17" hidden="1">
      <c r="I5587" s="20"/>
      <c r="M5587" s="19"/>
      <c r="N5587" s="19"/>
      <c r="O5587" s="19"/>
      <c r="P5587" s="19"/>
      <c r="Q5587" s="19"/>
    </row>
    <row r="5588" spans="9:17" hidden="1">
      <c r="I5588" s="20"/>
      <c r="M5588" s="19"/>
      <c r="N5588" s="19"/>
      <c r="O5588" s="19"/>
      <c r="P5588" s="19"/>
      <c r="Q5588" s="19"/>
    </row>
    <row r="5589" spans="9:17" hidden="1">
      <c r="I5589" s="20"/>
      <c r="M5589" s="19"/>
      <c r="N5589" s="19"/>
      <c r="O5589" s="19"/>
      <c r="P5589" s="19"/>
      <c r="Q5589" s="19"/>
    </row>
    <row r="5590" spans="9:17" hidden="1">
      <c r="I5590" s="20"/>
      <c r="M5590" s="19"/>
      <c r="N5590" s="19"/>
      <c r="O5590" s="19"/>
      <c r="P5590" s="19"/>
      <c r="Q5590" s="19"/>
    </row>
    <row r="5591" spans="9:17" hidden="1">
      <c r="I5591" s="20"/>
      <c r="M5591" s="19"/>
      <c r="N5591" s="19"/>
      <c r="O5591" s="19"/>
      <c r="P5591" s="19"/>
      <c r="Q5591" s="19"/>
    </row>
    <row r="5592" spans="9:17" hidden="1">
      <c r="I5592" s="20"/>
      <c r="M5592" s="19"/>
      <c r="N5592" s="19"/>
      <c r="O5592" s="19"/>
      <c r="P5592" s="19"/>
      <c r="Q5592" s="19"/>
    </row>
    <row r="5593" spans="9:17" hidden="1">
      <c r="I5593" s="20"/>
      <c r="M5593" s="19"/>
      <c r="N5593" s="19"/>
      <c r="O5593" s="19"/>
      <c r="P5593" s="19"/>
      <c r="Q5593" s="19"/>
    </row>
    <row r="5594" spans="9:17" hidden="1">
      <c r="I5594" s="20"/>
      <c r="M5594" s="19"/>
      <c r="N5594" s="19"/>
      <c r="O5594" s="19"/>
      <c r="P5594" s="19"/>
      <c r="Q5594" s="19"/>
    </row>
    <row r="5595" spans="9:17" hidden="1">
      <c r="I5595" s="20"/>
      <c r="M5595" s="19"/>
      <c r="N5595" s="19"/>
      <c r="O5595" s="19"/>
      <c r="P5595" s="19"/>
      <c r="Q5595" s="19"/>
    </row>
    <row r="5596" spans="9:17" hidden="1">
      <c r="I5596" s="20"/>
      <c r="M5596" s="19"/>
      <c r="N5596" s="19"/>
      <c r="O5596" s="19"/>
      <c r="P5596" s="19"/>
      <c r="Q5596" s="19"/>
    </row>
    <row r="5597" spans="9:17" hidden="1">
      <c r="I5597" s="20"/>
      <c r="M5597" s="19"/>
      <c r="N5597" s="19"/>
      <c r="O5597" s="19"/>
      <c r="P5597" s="19"/>
      <c r="Q5597" s="19"/>
    </row>
    <row r="5598" spans="9:17" hidden="1">
      <c r="I5598" s="20"/>
      <c r="M5598" s="19"/>
      <c r="N5598" s="19"/>
      <c r="O5598" s="19"/>
      <c r="P5598" s="19"/>
      <c r="Q5598" s="19"/>
    </row>
    <row r="5599" spans="9:17" hidden="1">
      <c r="I5599" s="20"/>
      <c r="M5599" s="19"/>
      <c r="N5599" s="19"/>
      <c r="O5599" s="19"/>
      <c r="P5599" s="19"/>
      <c r="Q5599" s="19"/>
    </row>
    <row r="5600" spans="9:17" hidden="1">
      <c r="I5600" s="20"/>
      <c r="M5600" s="19"/>
      <c r="N5600" s="19"/>
      <c r="O5600" s="19"/>
      <c r="P5600" s="19"/>
      <c r="Q5600" s="19"/>
    </row>
    <row r="5601" spans="9:17" hidden="1">
      <c r="I5601" s="20"/>
      <c r="M5601" s="19"/>
      <c r="N5601" s="19"/>
      <c r="O5601" s="19"/>
      <c r="P5601" s="19"/>
      <c r="Q5601" s="19"/>
    </row>
    <row r="5602" spans="9:17" hidden="1">
      <c r="I5602" s="20"/>
      <c r="M5602" s="19"/>
      <c r="N5602" s="19"/>
      <c r="O5602" s="19"/>
      <c r="P5602" s="19"/>
      <c r="Q5602" s="19"/>
    </row>
    <row r="5603" spans="9:17" hidden="1">
      <c r="I5603" s="20"/>
      <c r="M5603" s="19"/>
      <c r="N5603" s="19"/>
      <c r="O5603" s="19"/>
      <c r="P5603" s="19"/>
      <c r="Q5603" s="19"/>
    </row>
    <row r="5604" spans="9:17" hidden="1">
      <c r="I5604" s="20"/>
      <c r="M5604" s="19"/>
      <c r="N5604" s="19"/>
      <c r="O5604" s="19"/>
      <c r="P5604" s="19"/>
      <c r="Q5604" s="19"/>
    </row>
    <row r="5605" spans="9:17" hidden="1">
      <c r="I5605" s="20"/>
      <c r="M5605" s="19"/>
      <c r="N5605" s="19"/>
      <c r="O5605" s="19"/>
      <c r="P5605" s="19"/>
      <c r="Q5605" s="19"/>
    </row>
    <row r="5606" spans="9:17" hidden="1">
      <c r="I5606" s="20"/>
      <c r="M5606" s="19"/>
      <c r="N5606" s="19"/>
      <c r="O5606" s="19"/>
      <c r="P5606" s="19"/>
      <c r="Q5606" s="19"/>
    </row>
    <row r="5607" spans="9:17" hidden="1">
      <c r="I5607" s="20"/>
      <c r="M5607" s="19"/>
      <c r="N5607" s="19"/>
      <c r="O5607" s="19"/>
      <c r="P5607" s="19"/>
      <c r="Q5607" s="19"/>
    </row>
    <row r="5608" spans="9:17" hidden="1">
      <c r="I5608" s="20"/>
      <c r="M5608" s="19"/>
      <c r="N5608" s="19"/>
      <c r="O5608" s="19"/>
      <c r="P5608" s="19"/>
      <c r="Q5608" s="19"/>
    </row>
    <row r="5609" spans="9:17" hidden="1">
      <c r="I5609" s="20"/>
      <c r="M5609" s="19"/>
      <c r="N5609" s="19"/>
      <c r="O5609" s="19"/>
      <c r="P5609" s="19"/>
      <c r="Q5609" s="19"/>
    </row>
    <row r="5610" spans="9:17" hidden="1">
      <c r="I5610" s="20"/>
      <c r="M5610" s="19"/>
      <c r="N5610" s="19"/>
      <c r="O5610" s="19"/>
      <c r="P5610" s="19"/>
      <c r="Q5610" s="19"/>
    </row>
    <row r="5611" spans="9:17" hidden="1">
      <c r="I5611" s="20"/>
      <c r="M5611" s="19"/>
      <c r="N5611" s="19"/>
      <c r="O5611" s="19"/>
      <c r="P5611" s="19"/>
      <c r="Q5611" s="19"/>
    </row>
    <row r="5612" spans="9:17" hidden="1">
      <c r="I5612" s="20"/>
      <c r="M5612" s="19"/>
      <c r="N5612" s="19"/>
      <c r="O5612" s="19"/>
      <c r="P5612" s="19"/>
      <c r="Q5612" s="19"/>
    </row>
    <row r="5613" spans="9:17" hidden="1">
      <c r="I5613" s="20"/>
      <c r="M5613" s="19"/>
      <c r="N5613" s="19"/>
      <c r="O5613" s="19"/>
      <c r="P5613" s="19"/>
      <c r="Q5613" s="19"/>
    </row>
    <row r="5614" spans="9:17" hidden="1">
      <c r="I5614" s="20"/>
      <c r="M5614" s="19"/>
      <c r="N5614" s="19"/>
      <c r="O5614" s="19"/>
      <c r="P5614" s="19"/>
      <c r="Q5614" s="19"/>
    </row>
    <row r="5615" spans="9:17" hidden="1">
      <c r="I5615" s="20"/>
      <c r="M5615" s="19"/>
      <c r="N5615" s="19"/>
      <c r="O5615" s="19"/>
      <c r="P5615" s="19"/>
      <c r="Q5615" s="19"/>
    </row>
    <row r="5616" spans="9:17" hidden="1">
      <c r="I5616" s="20"/>
      <c r="M5616" s="19"/>
      <c r="N5616" s="19"/>
      <c r="O5616" s="19"/>
      <c r="P5616" s="19"/>
      <c r="Q5616" s="19"/>
    </row>
    <row r="5617" spans="1:28" hidden="1">
      <c r="I5617" s="20"/>
      <c r="M5617" s="19"/>
      <c r="N5617" s="19"/>
      <c r="O5617" s="19"/>
      <c r="P5617" s="19"/>
      <c r="Q5617" s="19"/>
    </row>
    <row r="5618" spans="1:28" hidden="1">
      <c r="I5618" s="20"/>
      <c r="M5618" s="19"/>
      <c r="N5618" s="19"/>
      <c r="O5618" s="19"/>
      <c r="P5618" s="19"/>
      <c r="Q5618" s="19"/>
    </row>
    <row r="5619" spans="1:28" hidden="1">
      <c r="I5619" s="20"/>
      <c r="M5619" s="19"/>
      <c r="N5619" s="19"/>
      <c r="O5619" s="19"/>
      <c r="P5619" s="19"/>
      <c r="Q5619" s="19"/>
    </row>
    <row r="5620" spans="1:28" hidden="1"/>
    <row r="5621" spans="1:28" hidden="1"/>
    <row r="5622" spans="1:28" hidden="1"/>
    <row r="5623" spans="1:28" hidden="1"/>
    <row r="5624" spans="1:28" hidden="1"/>
    <row r="5625" spans="1:28" ht="18.75">
      <c r="A5625" s="410" t="s">
        <v>438</v>
      </c>
      <c r="B5625" s="410"/>
      <c r="C5625" s="410"/>
      <c r="D5625" s="410"/>
      <c r="E5625" s="410"/>
      <c r="F5625" s="410"/>
      <c r="G5625" s="410"/>
      <c r="H5625" s="410"/>
      <c r="I5625" s="410"/>
      <c r="J5625" s="410"/>
      <c r="K5625" s="410"/>
      <c r="L5625" s="410"/>
      <c r="M5625" s="410"/>
      <c r="N5625" s="410"/>
      <c r="O5625" s="410"/>
      <c r="P5625" s="410"/>
      <c r="Q5625" s="410"/>
      <c r="V5625" s="914"/>
      <c r="W5625" s="914"/>
      <c r="X5625" s="38"/>
    </row>
    <row r="5626" spans="1:28">
      <c r="B5626" s="21">
        <f>COUNT(B5629:B5720)</f>
        <v>92</v>
      </c>
      <c r="C5626" s="21">
        <f t="shared" ref="C5626:I5626" si="64">COUNT(C5629:C5720)</f>
        <v>92</v>
      </c>
      <c r="D5626" s="21">
        <f t="shared" si="64"/>
        <v>92</v>
      </c>
      <c r="E5626" s="21">
        <f t="shared" si="64"/>
        <v>92</v>
      </c>
      <c r="F5626" s="21">
        <f t="shared" si="64"/>
        <v>92</v>
      </c>
      <c r="G5626" s="21">
        <f t="shared" si="64"/>
        <v>92</v>
      </c>
      <c r="H5626" s="21">
        <f t="shared" si="64"/>
        <v>92</v>
      </c>
      <c r="I5626" s="21">
        <f t="shared" si="64"/>
        <v>92</v>
      </c>
      <c r="L5626" s="21">
        <f>COUNT(L5629:L5675)</f>
        <v>47</v>
      </c>
      <c r="M5626" s="21">
        <f t="shared" ref="M5626:T5626" si="65">COUNT(M5629:M5675)</f>
        <v>47</v>
      </c>
      <c r="N5626" s="21">
        <f t="shared" si="65"/>
        <v>47</v>
      </c>
      <c r="O5626" s="21">
        <f t="shared" si="65"/>
        <v>47</v>
      </c>
      <c r="P5626" s="21">
        <f t="shared" si="65"/>
        <v>47</v>
      </c>
      <c r="Q5626" s="21">
        <f t="shared" si="65"/>
        <v>47</v>
      </c>
      <c r="R5626" s="21">
        <f t="shared" si="65"/>
        <v>47</v>
      </c>
      <c r="S5626" s="21">
        <f t="shared" si="65"/>
        <v>47</v>
      </c>
      <c r="T5626" s="21">
        <f t="shared" si="65"/>
        <v>47</v>
      </c>
      <c r="V5626" s="916"/>
      <c r="W5626" s="916"/>
      <c r="X5626" s="39"/>
      <c r="Z5626" s="916"/>
      <c r="AA5626" s="916"/>
      <c r="AB5626" s="40"/>
    </row>
    <row r="5627" spans="1:28" ht="15" customHeight="1">
      <c r="A5627" s="915" t="s">
        <v>417</v>
      </c>
      <c r="B5627" s="21">
        <f>COUNTA(B5629:B5720)</f>
        <v>92</v>
      </c>
      <c r="C5627" s="21">
        <f t="shared" ref="C5627:I5627" si="66">COUNTA(C5629:C5720)</f>
        <v>92</v>
      </c>
      <c r="D5627" s="21">
        <f t="shared" si="66"/>
        <v>92</v>
      </c>
      <c r="E5627" s="21">
        <f t="shared" si="66"/>
        <v>92</v>
      </c>
      <c r="F5627" s="21">
        <f t="shared" si="66"/>
        <v>92</v>
      </c>
      <c r="G5627" s="21">
        <f t="shared" si="66"/>
        <v>92</v>
      </c>
      <c r="H5627" s="21">
        <f t="shared" si="66"/>
        <v>92</v>
      </c>
      <c r="I5627" s="21">
        <f t="shared" si="66"/>
        <v>92</v>
      </c>
      <c r="J5627" s="905" t="s">
        <v>418</v>
      </c>
      <c r="K5627" s="906" t="s">
        <v>419</v>
      </c>
      <c r="L5627" s="21">
        <f>COUNTA(L5629:L5675)</f>
        <v>47</v>
      </c>
      <c r="M5627" s="21">
        <f t="shared" ref="M5627:T5627" si="67">COUNTA(M5629:M5675)</f>
        <v>47</v>
      </c>
      <c r="N5627" s="21">
        <f t="shared" si="67"/>
        <v>47</v>
      </c>
      <c r="O5627" s="21">
        <f t="shared" si="67"/>
        <v>47</v>
      </c>
      <c r="P5627" s="21">
        <f t="shared" si="67"/>
        <v>47</v>
      </c>
      <c r="Q5627" s="21">
        <f t="shared" si="67"/>
        <v>47</v>
      </c>
      <c r="R5627" s="21">
        <f t="shared" si="67"/>
        <v>47</v>
      </c>
      <c r="S5627" s="21">
        <f t="shared" si="67"/>
        <v>47</v>
      </c>
      <c r="T5627" s="21">
        <f t="shared" si="67"/>
        <v>47</v>
      </c>
      <c r="V5627" s="1">
        <f>heeling</f>
        <v>0</v>
      </c>
      <c r="W5627" s="382">
        <f>sound217</f>
        <v>3540</v>
      </c>
      <c r="X5627" s="186">
        <f>IF((W5627+W5630)&lt;0,W5627,W5627+W5630)</f>
        <v>3540</v>
      </c>
      <c r="Y5627" s="381">
        <f>IF(Y5629=Y5628,Y5628,Interp1(X5628:X5629,Y5628:Y5629,X5627))</f>
        <v>20.2</v>
      </c>
      <c r="AA5627" s="30"/>
    </row>
    <row r="5628" spans="1:28">
      <c r="A5628" s="915"/>
      <c r="B5628" s="36">
        <v>-1</v>
      </c>
      <c r="C5628" s="35">
        <v>0</v>
      </c>
      <c r="D5628" s="35">
        <v>0.5</v>
      </c>
      <c r="E5628" s="35">
        <v>1</v>
      </c>
      <c r="F5628" s="35">
        <v>1.5</v>
      </c>
      <c r="G5628" s="35">
        <v>2</v>
      </c>
      <c r="H5628" s="37">
        <v>3</v>
      </c>
      <c r="I5628" s="21">
        <v>4</v>
      </c>
      <c r="J5628" s="905"/>
      <c r="K5628" s="906"/>
      <c r="L5628" s="21">
        <v>-4</v>
      </c>
      <c r="M5628" s="35">
        <v>-3</v>
      </c>
      <c r="N5628" s="35">
        <v>-2</v>
      </c>
      <c r="O5628" s="35">
        <v>-1</v>
      </c>
      <c r="P5628" s="35">
        <v>0</v>
      </c>
      <c r="Q5628" s="35">
        <v>1</v>
      </c>
      <c r="R5628" s="35">
        <v>2</v>
      </c>
      <c r="S5628" s="35">
        <v>3</v>
      </c>
      <c r="T5628" s="35">
        <v>4</v>
      </c>
      <c r="V5628" s="1">
        <f>IF(tankSound17=soundingPipe17,tankSound17,FLOOR(W5627,incHeel))</f>
        <v>3500</v>
      </c>
      <c r="W5628" s="1">
        <f>Interp2(tank17Heel1,tank17Heel2,tank17Heel3,V5628,V5627)</f>
        <v>0</v>
      </c>
      <c r="X5628" s="1">
        <f>IF(X5627=soundingPipe17,Tank1!X5627,FLOOR(X5627,inc))</f>
        <v>3500</v>
      </c>
      <c r="Y5628" s="42">
        <f>IF(W5633=W5632,W5632,Interp1(V5632:V5633,W5632:W5633,V5631))</f>
        <v>19.974</v>
      </c>
      <c r="AA5628" s="30"/>
    </row>
    <row r="5629" spans="1:28">
      <c r="A5629" s="1">
        <v>0</v>
      </c>
      <c r="B5629" s="1">
        <v>0.29099999999999998</v>
      </c>
      <c r="C5629" s="1">
        <v>0.28100000000000003</v>
      </c>
      <c r="D5629" s="1">
        <v>0.27600000000000002</v>
      </c>
      <c r="E5629" s="1">
        <v>0.27100000000000002</v>
      </c>
      <c r="F5629" s="1">
        <v>0.26600000000000001</v>
      </c>
      <c r="G5629" s="1">
        <v>0.26100000000000001</v>
      </c>
      <c r="H5629" s="1">
        <v>0.251</v>
      </c>
      <c r="I5629" s="1">
        <v>0.24099999999999999</v>
      </c>
      <c r="J5629" s="21">
        <v>6004</v>
      </c>
      <c r="K5629" s="1">
        <v>0</v>
      </c>
      <c r="L5629" s="1">
        <v>0</v>
      </c>
      <c r="M5629" s="1">
        <v>0</v>
      </c>
      <c r="N5629" s="1">
        <v>0</v>
      </c>
      <c r="O5629" s="1">
        <v>0</v>
      </c>
      <c r="P5629" s="365">
        <v>0</v>
      </c>
      <c r="Q5629" s="1">
        <v>18.588999999999999</v>
      </c>
      <c r="R5629" s="1">
        <v>37.191000000000003</v>
      </c>
      <c r="S5629" s="1">
        <v>55.814</v>
      </c>
      <c r="T5629" s="1">
        <v>74.471000000000004</v>
      </c>
      <c r="U5629" s="24"/>
      <c r="V5629" s="1">
        <f>IF(V5628=tankSound17,V5628,CEILING(W5627,incHeel))</f>
        <v>3600</v>
      </c>
      <c r="W5629" s="1">
        <f>Interp2(tank17Heel1,tank17Heel2,tank17Heel3,V5629,V5627)</f>
        <v>0</v>
      </c>
      <c r="X5629" s="1">
        <f>IF(X5628=X5627,X5628,CEILING(X5627,inc))</f>
        <v>3550</v>
      </c>
      <c r="Y5629" s="42">
        <f>IF(X5633=X5632,X5632,Interp1(V5632:V5633,X5632:X5633,V5631))</f>
        <v>20.256</v>
      </c>
      <c r="AA5629" s="30"/>
      <c r="AB5629" s="42"/>
    </row>
    <row r="5630" spans="1:28">
      <c r="A5630" s="1">
        <v>50</v>
      </c>
      <c r="B5630" s="1">
        <v>0.57299999999999995</v>
      </c>
      <c r="C5630" s="1">
        <v>0.56299999999999994</v>
      </c>
      <c r="D5630" s="1">
        <v>0.55800000000000005</v>
      </c>
      <c r="E5630" s="1">
        <v>0.55300000000000005</v>
      </c>
      <c r="F5630" s="1">
        <v>0.54800000000000004</v>
      </c>
      <c r="G5630" s="1">
        <v>0.54300000000000004</v>
      </c>
      <c r="H5630" s="1">
        <v>0.53200000000000003</v>
      </c>
      <c r="I5630" s="1">
        <v>0.52200000000000002</v>
      </c>
      <c r="J5630" s="21">
        <v>4500</v>
      </c>
      <c r="K5630" s="1">
        <v>100</v>
      </c>
      <c r="L5630" s="1">
        <v>-70.415999999999997</v>
      </c>
      <c r="M5630" s="1">
        <v>-55.816000000000003</v>
      </c>
      <c r="N5630" s="1">
        <v>-37.192</v>
      </c>
      <c r="O5630" s="1">
        <v>-18.588999999999999</v>
      </c>
      <c r="P5630" s="365">
        <v>0</v>
      </c>
      <c r="Q5630" s="1">
        <v>18.588999999999999</v>
      </c>
      <c r="R5630" s="1">
        <v>37.19</v>
      </c>
      <c r="S5630" s="1">
        <v>55.814</v>
      </c>
      <c r="T5630" s="1">
        <v>74.471000000000004</v>
      </c>
      <c r="U5630" s="25"/>
      <c r="W5630" s="1">
        <f>IF(W5629=W5628,W5628,Interp1(V5628:V5629,W5628:W5629,W5627))</f>
        <v>0</v>
      </c>
      <c r="Y5630" s="42"/>
      <c r="AA5630" s="30"/>
      <c r="AB5630" s="42"/>
    </row>
    <row r="5631" spans="1:28">
      <c r="A5631" s="1">
        <v>100</v>
      </c>
      <c r="B5631" s="1">
        <v>0.85399999999999998</v>
      </c>
      <c r="C5631" s="1">
        <v>0.84399999999999997</v>
      </c>
      <c r="D5631" s="1">
        <v>0.83899999999999997</v>
      </c>
      <c r="E5631" s="1">
        <v>0.83399999999999996</v>
      </c>
      <c r="F5631" s="1">
        <v>0.82899999999999996</v>
      </c>
      <c r="G5631" s="1">
        <v>0.82399999999999995</v>
      </c>
      <c r="H5631" s="1">
        <v>0.81399999999999995</v>
      </c>
      <c r="I5631" s="1">
        <v>0.80400000000000005</v>
      </c>
      <c r="J5631" s="21">
        <v>4450</v>
      </c>
      <c r="K5631" s="1">
        <v>200</v>
      </c>
      <c r="L5631" s="1">
        <v>-74.47</v>
      </c>
      <c r="M5631" s="1">
        <v>-55.814</v>
      </c>
      <c r="N5631" s="1">
        <v>-37.191000000000003</v>
      </c>
      <c r="O5631" s="1">
        <v>-18.588999999999999</v>
      </c>
      <c r="P5631" s="365">
        <v>0</v>
      </c>
      <c r="Q5631" s="1">
        <v>18.588999999999999</v>
      </c>
      <c r="R5631" s="1">
        <v>37.191000000000003</v>
      </c>
      <c r="S5631" s="1">
        <v>55.816000000000003</v>
      </c>
      <c r="T5631" s="1">
        <v>74.472999999999999</v>
      </c>
      <c r="U5631" s="25"/>
      <c r="V5631" s="1">
        <f>trim</f>
        <v>0.36</v>
      </c>
      <c r="AA5631" s="30"/>
      <c r="AB5631" s="42"/>
    </row>
    <row r="5632" spans="1:28">
      <c r="A5632" s="1">
        <v>150</v>
      </c>
      <c r="B5632" s="1">
        <v>1.1359999999999999</v>
      </c>
      <c r="C5632" s="1">
        <v>1.1259999999999999</v>
      </c>
      <c r="D5632" s="1">
        <v>1.1200000000000001</v>
      </c>
      <c r="E5632" s="1">
        <v>1.115</v>
      </c>
      <c r="F5632" s="1">
        <v>1.1100000000000001</v>
      </c>
      <c r="G5632" s="1">
        <v>1.105</v>
      </c>
      <c r="H5632" s="1">
        <v>1.095</v>
      </c>
      <c r="I5632" s="1">
        <v>1.085</v>
      </c>
      <c r="J5632" s="21">
        <v>4400</v>
      </c>
      <c r="K5632" s="1">
        <v>300</v>
      </c>
      <c r="L5632" s="1">
        <v>-74.472999999999999</v>
      </c>
      <c r="M5632" s="1">
        <v>-55.814999999999998</v>
      </c>
      <c r="N5632" s="1">
        <v>-37.192</v>
      </c>
      <c r="O5632" s="1">
        <v>-18.588999999999999</v>
      </c>
      <c r="P5632" s="365">
        <v>0</v>
      </c>
      <c r="Q5632" s="1">
        <v>18.588999999999999</v>
      </c>
      <c r="R5632" s="1">
        <v>37.19</v>
      </c>
      <c r="S5632" s="1">
        <v>55.813000000000002</v>
      </c>
      <c r="T5632" s="1">
        <v>74.471000000000004</v>
      </c>
      <c r="U5632" s="25"/>
      <c r="V5632" s="1">
        <f>INDEX(tank17Trim2,0,MATCH(V5631,tank17Trim2,1))</f>
        <v>0</v>
      </c>
      <c r="W5632" s="1">
        <f>Interp2(tank17Trim1,tank17Trim2,tank17Trim3,X5628,V5632)</f>
        <v>19.978000000000002</v>
      </c>
      <c r="X5632" s="1">
        <f>Interp2(tank17Trim1,tank17Trim2,tank17Trim3,X5629,V5632)</f>
        <v>20.260000000000002</v>
      </c>
      <c r="AA5632" s="30"/>
    </row>
    <row r="5633" spans="1:28">
      <c r="A5633" s="1">
        <v>200</v>
      </c>
      <c r="B5633" s="1">
        <v>1.417</v>
      </c>
      <c r="C5633" s="1">
        <v>1.407</v>
      </c>
      <c r="D5633" s="1">
        <v>1.4019999999999999</v>
      </c>
      <c r="E5633" s="1">
        <v>1.397</v>
      </c>
      <c r="F5633" s="1">
        <v>1.3919999999999999</v>
      </c>
      <c r="G5633" s="1">
        <v>1.387</v>
      </c>
      <c r="H5633" s="1">
        <v>1.377</v>
      </c>
      <c r="I5633" s="1">
        <v>1.3660000000000001</v>
      </c>
      <c r="J5633" s="21">
        <v>4350</v>
      </c>
      <c r="K5633" s="1">
        <v>400</v>
      </c>
      <c r="L5633" s="1">
        <v>-74.47</v>
      </c>
      <c r="M5633" s="1">
        <v>-55.814</v>
      </c>
      <c r="N5633" s="1">
        <v>-37.19</v>
      </c>
      <c r="O5633" s="1">
        <v>-18.588999999999999</v>
      </c>
      <c r="P5633" s="365">
        <v>0</v>
      </c>
      <c r="Q5633" s="1">
        <v>18.588999999999999</v>
      </c>
      <c r="R5633" s="1">
        <v>37.192</v>
      </c>
      <c r="S5633" s="1">
        <v>55.814999999999998</v>
      </c>
      <c r="T5633" s="1">
        <v>74.471999999999994</v>
      </c>
      <c r="U5633" s="25"/>
      <c r="V5633" s="1">
        <f>IF(V5632=V5631,V5631,INDEX(tank17Trim2,0,MATCH(V5631,tank17Trim2,1)+1))</f>
        <v>0.5</v>
      </c>
      <c r="W5633" s="1">
        <f>Interp2(tank17Trim1,tank17Trim2,tank17Trim3,X5628,V5633)</f>
        <v>19.972999999999999</v>
      </c>
      <c r="X5633" s="1">
        <f>Interp2(tank17Trim1,tank17Trim2,tank17Trim3,X5629,V5633)</f>
        <v>20.254000000000001</v>
      </c>
      <c r="AA5633" s="30"/>
      <c r="AB5633" s="42"/>
    </row>
    <row r="5634" spans="1:28">
      <c r="A5634" s="1">
        <v>250</v>
      </c>
      <c r="B5634" s="1">
        <v>1.698</v>
      </c>
      <c r="C5634" s="1">
        <v>1.6879999999999999</v>
      </c>
      <c r="D5634" s="1">
        <v>1.6830000000000001</v>
      </c>
      <c r="E5634" s="1">
        <v>1.6779999999999999</v>
      </c>
      <c r="F5634" s="1">
        <v>1.673</v>
      </c>
      <c r="G5634" s="1">
        <v>1.6679999999999999</v>
      </c>
      <c r="H5634" s="1">
        <v>1.6579999999999999</v>
      </c>
      <c r="I5634" s="1">
        <v>1.6479999999999999</v>
      </c>
      <c r="J5634" s="21">
        <v>4300</v>
      </c>
      <c r="K5634" s="1">
        <v>500</v>
      </c>
      <c r="L5634" s="1">
        <v>-74.474000000000004</v>
      </c>
      <c r="M5634" s="1">
        <v>-55.816000000000003</v>
      </c>
      <c r="N5634" s="1">
        <v>-37.191000000000003</v>
      </c>
      <c r="O5634" s="1">
        <v>-18.588999999999999</v>
      </c>
      <c r="P5634" s="365">
        <v>0</v>
      </c>
      <c r="Q5634" s="1">
        <v>18.588999999999999</v>
      </c>
      <c r="R5634" s="1">
        <v>37.191000000000003</v>
      </c>
      <c r="S5634" s="1">
        <v>55.814</v>
      </c>
      <c r="T5634" s="1">
        <v>74.471999999999994</v>
      </c>
      <c r="U5634" s="25"/>
      <c r="W5634" s="43"/>
      <c r="X5634" s="42"/>
      <c r="AA5634" s="30"/>
      <c r="AB5634" s="42"/>
    </row>
    <row r="5635" spans="1:28">
      <c r="A5635" s="1">
        <v>300</v>
      </c>
      <c r="B5635" s="1">
        <v>1.98</v>
      </c>
      <c r="C5635" s="1">
        <v>1.97</v>
      </c>
      <c r="D5635" s="1">
        <v>1.9650000000000001</v>
      </c>
      <c r="E5635" s="1">
        <v>1.96</v>
      </c>
      <c r="F5635" s="1">
        <v>1.9550000000000001</v>
      </c>
      <c r="G5635" s="1">
        <v>1.9490000000000001</v>
      </c>
      <c r="H5635" s="1">
        <v>1.9390000000000001</v>
      </c>
      <c r="I5635" s="1">
        <v>1.929</v>
      </c>
      <c r="J5635" s="21">
        <v>4250</v>
      </c>
      <c r="K5635" s="1">
        <v>600</v>
      </c>
      <c r="L5635" s="1">
        <v>-74.471999999999994</v>
      </c>
      <c r="M5635" s="1">
        <v>-55.813000000000002</v>
      </c>
      <c r="N5635" s="1">
        <v>-37.191000000000003</v>
      </c>
      <c r="O5635" s="1">
        <v>-18.588999999999999</v>
      </c>
      <c r="P5635" s="365">
        <v>0</v>
      </c>
      <c r="Q5635" s="1">
        <v>18.588999999999999</v>
      </c>
      <c r="R5635" s="1">
        <v>37.192</v>
      </c>
      <c r="S5635" s="1">
        <v>55.814</v>
      </c>
      <c r="T5635" s="1">
        <v>74.471999999999994</v>
      </c>
      <c r="U5635" s="25"/>
    </row>
    <row r="5636" spans="1:28">
      <c r="A5636" s="1">
        <v>350</v>
      </c>
      <c r="B5636" s="1">
        <v>2.2610000000000001</v>
      </c>
      <c r="C5636" s="1">
        <v>2.2509999999999999</v>
      </c>
      <c r="D5636" s="1">
        <v>2.246</v>
      </c>
      <c r="E5636" s="1">
        <v>2.2410000000000001</v>
      </c>
      <c r="F5636" s="1">
        <v>2.2360000000000002</v>
      </c>
      <c r="G5636" s="1">
        <v>2.2309999999999999</v>
      </c>
      <c r="H5636" s="1">
        <v>2.2210000000000001</v>
      </c>
      <c r="I5636" s="1">
        <v>2.2109999999999999</v>
      </c>
      <c r="J5636" s="21">
        <v>4200</v>
      </c>
      <c r="K5636" s="1">
        <v>700</v>
      </c>
      <c r="L5636" s="1">
        <v>-74.472999999999999</v>
      </c>
      <c r="M5636" s="1">
        <v>-55.814999999999998</v>
      </c>
      <c r="N5636" s="1">
        <v>-37.191000000000003</v>
      </c>
      <c r="O5636" s="1">
        <v>-18.588999999999999</v>
      </c>
      <c r="P5636" s="365">
        <v>0</v>
      </c>
      <c r="Q5636" s="1">
        <v>18.588999999999999</v>
      </c>
      <c r="R5636" s="1">
        <v>37.191000000000003</v>
      </c>
      <c r="S5636" s="1">
        <v>55.814</v>
      </c>
      <c r="T5636" s="1">
        <v>74.471000000000004</v>
      </c>
      <c r="U5636" s="25"/>
      <c r="V5636" s="1">
        <f>Bunkering!heeling1</f>
        <v>0</v>
      </c>
      <c r="W5636" s="382">
        <f>sound317</f>
        <v>3540</v>
      </c>
      <c r="X5636" s="186">
        <f>IF((W5636+W5639)&lt;0,W5636,W5636+W5639)</f>
        <v>3540</v>
      </c>
      <c r="Y5636" s="381">
        <f>IF(Y5638=Y5637,Y5637,Interp1(X5637:X5638,Y5637:Y5638,X5636))</f>
        <v>20.2</v>
      </c>
    </row>
    <row r="5637" spans="1:28">
      <c r="A5637" s="1">
        <v>400</v>
      </c>
      <c r="B5637" s="1">
        <v>2.5430000000000001</v>
      </c>
      <c r="C5637" s="1">
        <v>2.532</v>
      </c>
      <c r="D5637" s="1">
        <v>2.5270000000000001</v>
      </c>
      <c r="E5637" s="1">
        <v>2.5219999999999998</v>
      </c>
      <c r="F5637" s="1">
        <v>2.5169999999999999</v>
      </c>
      <c r="G5637" s="1">
        <v>2.512</v>
      </c>
      <c r="H5637" s="1">
        <v>2.5019999999999998</v>
      </c>
      <c r="I5637" s="1">
        <v>2.492</v>
      </c>
      <c r="J5637" s="21">
        <v>4150</v>
      </c>
      <c r="K5637" s="1">
        <v>800</v>
      </c>
      <c r="L5637" s="1">
        <v>-74.471000000000004</v>
      </c>
      <c r="M5637" s="1">
        <v>-55.814</v>
      </c>
      <c r="N5637" s="1">
        <v>-37.191000000000003</v>
      </c>
      <c r="O5637" s="1">
        <v>-18.588999999999999</v>
      </c>
      <c r="P5637" s="365">
        <v>0</v>
      </c>
      <c r="Q5637" s="1">
        <v>18.588999999999999</v>
      </c>
      <c r="R5637" s="1">
        <v>37.191000000000003</v>
      </c>
      <c r="S5637" s="1">
        <v>55.814</v>
      </c>
      <c r="T5637" s="1">
        <v>74.471999999999994</v>
      </c>
      <c r="U5637" s="25"/>
      <c r="V5637" s="1">
        <f>IF(tankSound217=soundingPipe17,tankSound217,FLOOR(W5636,incHeel))</f>
        <v>3500</v>
      </c>
      <c r="W5637" s="1">
        <f>Interp2(tank13Heel1,tank13Heel2,tank13Heel3,V5637,V5636)</f>
        <v>0</v>
      </c>
      <c r="X5637" s="1">
        <f>IF(X5636=soundingPipe17,Tank1!X5636,FLOOR(X5636,inc))</f>
        <v>3500</v>
      </c>
      <c r="Y5637" s="42">
        <f>IF(W5642=W5641,W5641,Interp1(V5641:V5642,W5641:W5642,V5640))</f>
        <v>19.974</v>
      </c>
      <c r="Z5637" s="918"/>
      <c r="AA5637" s="918"/>
      <c r="AB5637" s="42"/>
    </row>
    <row r="5638" spans="1:28">
      <c r="A5638" s="1">
        <v>450</v>
      </c>
      <c r="B5638" s="1">
        <v>2.8239999999999998</v>
      </c>
      <c r="C5638" s="1">
        <v>2.8140000000000001</v>
      </c>
      <c r="D5638" s="1">
        <v>2.8090000000000002</v>
      </c>
      <c r="E5638" s="1">
        <v>2.8039999999999998</v>
      </c>
      <c r="F5638" s="1">
        <v>2.7989999999999999</v>
      </c>
      <c r="G5638" s="1">
        <v>2.794</v>
      </c>
      <c r="H5638" s="1">
        <v>2.7839999999999998</v>
      </c>
      <c r="I5638" s="1">
        <v>2.7730000000000001</v>
      </c>
      <c r="J5638" s="21">
        <v>4100</v>
      </c>
      <c r="K5638" s="1">
        <v>900</v>
      </c>
      <c r="L5638" s="1">
        <v>-74.472999999999999</v>
      </c>
      <c r="M5638" s="1">
        <v>-55.814</v>
      </c>
      <c r="N5638" s="1">
        <v>-37.191000000000003</v>
      </c>
      <c r="O5638" s="1">
        <v>-18.591000000000001</v>
      </c>
      <c r="P5638" s="365">
        <v>0</v>
      </c>
      <c r="Q5638" s="1">
        <v>18.588999999999999</v>
      </c>
      <c r="R5638" s="1">
        <v>37.191000000000003</v>
      </c>
      <c r="S5638" s="1">
        <v>55.814999999999998</v>
      </c>
      <c r="T5638" s="1">
        <v>74.471999999999994</v>
      </c>
      <c r="U5638" s="25"/>
      <c r="V5638" s="1">
        <f>IF(V5637=tankSound217,V5637,CEILING(W5636,incHeel))</f>
        <v>3600</v>
      </c>
      <c r="W5638" s="1">
        <f>Interp2(tank13Heel1,tank13Heel2,tank13Heel3,V5638,V5636)</f>
        <v>0</v>
      </c>
      <c r="X5638" s="1">
        <f>IF(X5637=X5636,X5637,CEILING(X5636,inc))</f>
        <v>3550</v>
      </c>
      <c r="Y5638" s="42">
        <f>IF(X5642=X5641,X5641,Interp1(V5641:V5642,X5641:X5642,V5640))</f>
        <v>20.256</v>
      </c>
    </row>
    <row r="5639" spans="1:28">
      <c r="A5639" s="1">
        <v>500</v>
      </c>
      <c r="B5639" s="1">
        <v>3.105</v>
      </c>
      <c r="C5639" s="1">
        <v>3.0950000000000002</v>
      </c>
      <c r="D5639" s="1">
        <v>3.09</v>
      </c>
      <c r="E5639" s="1">
        <v>3.085</v>
      </c>
      <c r="F5639" s="1">
        <v>3.08</v>
      </c>
      <c r="G5639" s="1">
        <v>3.0750000000000002</v>
      </c>
      <c r="H5639" s="1">
        <v>3.0649999999999999</v>
      </c>
      <c r="I5639" s="1">
        <v>3.0550000000000002</v>
      </c>
      <c r="J5639" s="21">
        <v>4050</v>
      </c>
      <c r="K5639" s="1">
        <v>1000</v>
      </c>
      <c r="L5639" s="1">
        <v>-74.472999999999999</v>
      </c>
      <c r="M5639" s="1">
        <v>-55.814</v>
      </c>
      <c r="N5639" s="1">
        <v>-37.191000000000003</v>
      </c>
      <c r="O5639" s="1">
        <v>-18.591000000000001</v>
      </c>
      <c r="P5639" s="365">
        <v>0</v>
      </c>
      <c r="Q5639" s="1">
        <v>18.588999999999999</v>
      </c>
      <c r="R5639" s="1">
        <v>37.191000000000003</v>
      </c>
      <c r="S5639" s="1">
        <v>55.814999999999998</v>
      </c>
      <c r="T5639" s="1">
        <v>74.472999999999999</v>
      </c>
      <c r="U5639" s="26"/>
      <c r="W5639" s="1">
        <f>IF(W5638=W5637,W5637,Interp1(V5637:V5638,W5637:W5638,W5636))</f>
        <v>0</v>
      </c>
      <c r="Y5639" s="42"/>
    </row>
    <row r="5640" spans="1:28">
      <c r="A5640" s="1">
        <v>550</v>
      </c>
      <c r="B5640" s="1">
        <v>3.387</v>
      </c>
      <c r="C5640" s="1">
        <v>3.3769999999999998</v>
      </c>
      <c r="D5640" s="1">
        <v>3.3719999999999999</v>
      </c>
      <c r="E5640" s="1">
        <v>3.3660000000000001</v>
      </c>
      <c r="F5640" s="1">
        <v>3.3610000000000002</v>
      </c>
      <c r="G5640" s="1">
        <v>3.3559999999999999</v>
      </c>
      <c r="H5640" s="1">
        <v>3.3460000000000001</v>
      </c>
      <c r="I5640" s="1">
        <v>3.3359999999999999</v>
      </c>
      <c r="J5640" s="21">
        <v>4000</v>
      </c>
      <c r="K5640" s="1">
        <v>1100</v>
      </c>
      <c r="L5640" s="1">
        <v>-74.471999999999994</v>
      </c>
      <c r="M5640" s="1">
        <v>-55.814999999999998</v>
      </c>
      <c r="N5640" s="1">
        <v>-37.191000000000003</v>
      </c>
      <c r="O5640" s="1">
        <v>-18.591000000000001</v>
      </c>
      <c r="P5640" s="365">
        <v>0</v>
      </c>
      <c r="Q5640" s="1">
        <v>18.588999999999999</v>
      </c>
      <c r="R5640" s="1">
        <v>37.191000000000003</v>
      </c>
      <c r="S5640" s="1">
        <v>55.814</v>
      </c>
      <c r="T5640" s="1">
        <v>74.471999999999994</v>
      </c>
      <c r="U5640" s="25"/>
      <c r="V5640" s="1">
        <f>Bunkering!trim1</f>
        <v>0.36</v>
      </c>
    </row>
    <row r="5641" spans="1:28">
      <c r="A5641" s="1">
        <v>600</v>
      </c>
      <c r="B5641" s="1">
        <v>3.6680000000000001</v>
      </c>
      <c r="C5641" s="1">
        <v>3.6579999999999999</v>
      </c>
      <c r="D5641" s="1">
        <v>3.653</v>
      </c>
      <c r="E5641" s="1">
        <v>3.6480000000000001</v>
      </c>
      <c r="F5641" s="1">
        <v>3.6429999999999998</v>
      </c>
      <c r="G5641" s="1">
        <v>3.6379999999999999</v>
      </c>
      <c r="H5641" s="1">
        <v>3.6280000000000001</v>
      </c>
      <c r="I5641" s="1">
        <v>3.6179999999999999</v>
      </c>
      <c r="J5641" s="21">
        <v>3950</v>
      </c>
      <c r="K5641" s="1">
        <v>1200</v>
      </c>
      <c r="L5641" s="1">
        <v>-74.472999999999999</v>
      </c>
      <c r="M5641" s="1">
        <v>-55.811999999999998</v>
      </c>
      <c r="N5641" s="1">
        <v>-37.189</v>
      </c>
      <c r="O5641" s="1">
        <v>-18.591000000000001</v>
      </c>
      <c r="P5641" s="365">
        <v>0</v>
      </c>
      <c r="Q5641" s="1">
        <v>18.588999999999999</v>
      </c>
      <c r="R5641" s="1">
        <v>37.191000000000003</v>
      </c>
      <c r="S5641" s="1">
        <v>55.814999999999998</v>
      </c>
      <c r="T5641" s="1">
        <v>74.471999999999994</v>
      </c>
      <c r="U5641" s="25"/>
      <c r="V5641" s="1">
        <f>INDEX(tank17Trim2,0,MATCH(V5640,tank17Trim2,1))</f>
        <v>0</v>
      </c>
      <c r="W5641" s="1">
        <f>Interp2(tank17Trim1,tank17Trim2,tank17Trim3,X5637,V5641)</f>
        <v>19.978000000000002</v>
      </c>
      <c r="X5641" s="1">
        <f>Interp2(tank17Trim1,tank17Trim2,tank17Trim3,X5638,V5641)</f>
        <v>20.260000000000002</v>
      </c>
      <c r="Z5641" s="916"/>
      <c r="AA5641" s="916"/>
      <c r="AB5641" s="40"/>
    </row>
    <row r="5642" spans="1:28">
      <c r="A5642" s="1">
        <v>650</v>
      </c>
      <c r="B5642" s="1">
        <v>3.9489999999999998</v>
      </c>
      <c r="C5642" s="1">
        <v>3.9390000000000001</v>
      </c>
      <c r="D5642" s="1">
        <v>3.9340000000000002</v>
      </c>
      <c r="E5642" s="1">
        <v>3.9289999999999998</v>
      </c>
      <c r="F5642" s="1">
        <v>3.9239999999999999</v>
      </c>
      <c r="G5642" s="1">
        <v>3.919</v>
      </c>
      <c r="H5642" s="1">
        <v>3.9089999999999998</v>
      </c>
      <c r="I5642" s="1">
        <v>3.899</v>
      </c>
      <c r="J5642" s="21">
        <v>3900</v>
      </c>
      <c r="K5642" s="1">
        <v>1300</v>
      </c>
      <c r="L5642" s="1">
        <v>-74.472999999999999</v>
      </c>
      <c r="M5642" s="1">
        <v>-55.814</v>
      </c>
      <c r="N5642" s="1">
        <v>-37.191000000000003</v>
      </c>
      <c r="O5642" s="1">
        <v>-18.591000000000001</v>
      </c>
      <c r="P5642" s="365">
        <v>0</v>
      </c>
      <c r="Q5642" s="1">
        <v>18.588999999999999</v>
      </c>
      <c r="R5642" s="1">
        <v>37.191000000000003</v>
      </c>
      <c r="S5642" s="1">
        <v>55.814</v>
      </c>
      <c r="T5642" s="1">
        <v>74.471000000000004</v>
      </c>
      <c r="U5642" s="25"/>
      <c r="V5642" s="1">
        <f>IF(V5641=V5640,V5640,INDEX(tank17Trim2,0,MATCH(V5640,tank17Trim2,1)+1))</f>
        <v>0.5</v>
      </c>
      <c r="W5642" s="1">
        <f>Interp2(tank17Trim1,tank17Trim2,tank17Trim3,X5637,V5642)</f>
        <v>19.972999999999999</v>
      </c>
      <c r="X5642" s="1">
        <f>Interp2(tank17Trim1,tank17Trim2,tank17Trim3,X5638,V5642)</f>
        <v>20.254000000000001</v>
      </c>
      <c r="AA5642" s="30"/>
    </row>
    <row r="5643" spans="1:28">
      <c r="A5643" s="1">
        <v>700</v>
      </c>
      <c r="B5643" s="1">
        <v>4.2309999999999999</v>
      </c>
      <c r="C5643" s="1">
        <v>4.2210000000000001</v>
      </c>
      <c r="D5643" s="1">
        <v>4.2160000000000002</v>
      </c>
      <c r="E5643" s="1">
        <v>4.2110000000000003</v>
      </c>
      <c r="F5643" s="1">
        <v>4.2060000000000004</v>
      </c>
      <c r="G5643" s="1">
        <v>4.2009999999999996</v>
      </c>
      <c r="H5643" s="1">
        <v>4.1900000000000004</v>
      </c>
      <c r="I5643" s="1">
        <v>4.18</v>
      </c>
      <c r="J5643" s="21">
        <v>3850</v>
      </c>
      <c r="K5643" s="1">
        <v>1400</v>
      </c>
      <c r="L5643" s="1">
        <v>-74.471000000000004</v>
      </c>
      <c r="M5643" s="1">
        <v>-55.814</v>
      </c>
      <c r="N5643" s="1">
        <v>-37.191000000000003</v>
      </c>
      <c r="O5643" s="1">
        <v>-18.591000000000001</v>
      </c>
      <c r="P5643" s="365">
        <v>0</v>
      </c>
      <c r="Q5643" s="1">
        <v>18.588999999999999</v>
      </c>
      <c r="R5643" s="1">
        <v>37.192</v>
      </c>
      <c r="S5643" s="1">
        <v>55.814999999999998</v>
      </c>
      <c r="T5643" s="1">
        <v>74.472999999999999</v>
      </c>
      <c r="U5643" s="25"/>
      <c r="W5643" s="30"/>
      <c r="AA5643" s="30"/>
    </row>
    <row r="5644" spans="1:28">
      <c r="A5644" s="1">
        <v>750</v>
      </c>
      <c r="B5644" s="1">
        <v>4.5119999999999996</v>
      </c>
      <c r="C5644" s="1">
        <v>4.5019999999999998</v>
      </c>
      <c r="D5644" s="1">
        <v>4.4969999999999999</v>
      </c>
      <c r="E5644" s="1">
        <v>4.492</v>
      </c>
      <c r="F5644" s="1">
        <v>4.4870000000000001</v>
      </c>
      <c r="G5644" s="1">
        <v>4.4820000000000002</v>
      </c>
      <c r="H5644" s="1">
        <v>4.4720000000000004</v>
      </c>
      <c r="I5644" s="1">
        <v>4.4619999999999997</v>
      </c>
      <c r="J5644" s="21">
        <v>3800</v>
      </c>
      <c r="K5644" s="1">
        <v>1500</v>
      </c>
      <c r="L5644" s="1">
        <v>-74.471999999999994</v>
      </c>
      <c r="M5644" s="1">
        <v>-55.814999999999998</v>
      </c>
      <c r="N5644" s="1">
        <v>-37.191000000000003</v>
      </c>
      <c r="O5644" s="1">
        <v>-18.591000000000001</v>
      </c>
      <c r="P5644" s="365">
        <v>0</v>
      </c>
      <c r="Q5644" s="1">
        <v>18.588999999999999</v>
      </c>
      <c r="R5644" s="1">
        <v>37.19</v>
      </c>
      <c r="S5644" s="1">
        <v>55.814</v>
      </c>
      <c r="T5644" s="1">
        <v>74.471999999999994</v>
      </c>
      <c r="U5644" s="24"/>
      <c r="W5644" s="30"/>
      <c r="X5644" s="42"/>
      <c r="AA5644" s="30"/>
      <c r="AB5644" s="42"/>
    </row>
    <row r="5645" spans="1:28">
      <c r="A5645" s="1">
        <v>800</v>
      </c>
      <c r="B5645" s="1">
        <v>4.7939999999999996</v>
      </c>
      <c r="C5645" s="1">
        <v>4.7830000000000004</v>
      </c>
      <c r="D5645" s="1">
        <v>4.7779999999999996</v>
      </c>
      <c r="E5645" s="1">
        <v>4.7729999999999997</v>
      </c>
      <c r="F5645" s="1">
        <v>4.7679999999999998</v>
      </c>
      <c r="G5645" s="1">
        <v>4.7629999999999999</v>
      </c>
      <c r="H5645" s="1">
        <v>4.7530000000000001</v>
      </c>
      <c r="I5645" s="1">
        <v>4.7430000000000003</v>
      </c>
      <c r="J5645" s="21">
        <v>3750</v>
      </c>
      <c r="K5645" s="1">
        <v>1600</v>
      </c>
      <c r="L5645" s="1">
        <v>-74.472999999999999</v>
      </c>
      <c r="M5645" s="1">
        <v>-55.814</v>
      </c>
      <c r="N5645" s="1">
        <v>-37.191000000000003</v>
      </c>
      <c r="O5645" s="1">
        <v>-18.591000000000001</v>
      </c>
      <c r="P5645" s="365">
        <v>0</v>
      </c>
      <c r="Q5645" s="1">
        <v>18.588999999999999</v>
      </c>
      <c r="R5645" s="1">
        <v>37.191000000000003</v>
      </c>
      <c r="S5645" s="1">
        <v>55.813000000000002</v>
      </c>
      <c r="T5645" s="1">
        <v>74.471000000000004</v>
      </c>
      <c r="U5645" s="24"/>
      <c r="W5645" s="30"/>
      <c r="X5645" s="42"/>
      <c r="AA5645" s="30"/>
      <c r="AB5645" s="42"/>
    </row>
    <row r="5646" spans="1:28">
      <c r="A5646" s="1">
        <v>850</v>
      </c>
      <c r="B5646" s="1">
        <v>5.0750000000000002</v>
      </c>
      <c r="C5646" s="1">
        <v>5.0650000000000004</v>
      </c>
      <c r="D5646" s="1">
        <v>5.0599999999999996</v>
      </c>
      <c r="E5646" s="1">
        <v>5.0549999999999997</v>
      </c>
      <c r="F5646" s="1">
        <v>5.05</v>
      </c>
      <c r="G5646" s="1">
        <v>5.0449999999999999</v>
      </c>
      <c r="H5646" s="1">
        <v>5.0350000000000001</v>
      </c>
      <c r="I5646" s="1">
        <v>5.024</v>
      </c>
      <c r="J5646" s="21">
        <v>3700</v>
      </c>
      <c r="K5646" s="1">
        <v>1700</v>
      </c>
      <c r="L5646" s="1">
        <v>-74.471000000000004</v>
      </c>
      <c r="M5646" s="1">
        <v>-55.811999999999998</v>
      </c>
      <c r="N5646" s="1">
        <v>-37.191000000000003</v>
      </c>
      <c r="O5646" s="1">
        <v>-18.591000000000001</v>
      </c>
      <c r="P5646" s="365">
        <v>0</v>
      </c>
      <c r="Q5646" s="1">
        <v>18.588999999999999</v>
      </c>
      <c r="R5646" s="1">
        <v>37.191000000000003</v>
      </c>
      <c r="S5646" s="1">
        <v>55.814999999999998</v>
      </c>
      <c r="T5646" s="1">
        <v>74.472999999999999</v>
      </c>
      <c r="U5646" s="24"/>
      <c r="W5646" s="30"/>
      <c r="X5646" s="42"/>
      <c r="AA5646" s="30"/>
      <c r="AB5646" s="42"/>
    </row>
    <row r="5647" spans="1:28">
      <c r="A5647" s="1">
        <v>900</v>
      </c>
      <c r="B5647" s="1">
        <v>5.3559999999999999</v>
      </c>
      <c r="C5647" s="1">
        <v>5.3460000000000001</v>
      </c>
      <c r="D5647" s="1">
        <v>5.3410000000000002</v>
      </c>
      <c r="E5647" s="1">
        <v>5.3360000000000003</v>
      </c>
      <c r="F5647" s="1">
        <v>5.3310000000000004</v>
      </c>
      <c r="G5647" s="1">
        <v>5.3259999999999996</v>
      </c>
      <c r="H5647" s="1">
        <v>5.3159999999999998</v>
      </c>
      <c r="I5647" s="1">
        <v>5.306</v>
      </c>
      <c r="J5647" s="21">
        <v>3650</v>
      </c>
      <c r="K5647" s="1">
        <v>1800</v>
      </c>
      <c r="L5647" s="1">
        <v>-74.471000000000004</v>
      </c>
      <c r="M5647" s="1">
        <v>-55.811999999999998</v>
      </c>
      <c r="N5647" s="1">
        <v>-37.191000000000003</v>
      </c>
      <c r="O5647" s="1">
        <v>-18.591000000000001</v>
      </c>
      <c r="P5647" s="365">
        <v>0</v>
      </c>
      <c r="Q5647" s="1">
        <v>18.588999999999999</v>
      </c>
      <c r="R5647" s="1">
        <v>37.191000000000003</v>
      </c>
      <c r="S5647" s="1">
        <v>55.814</v>
      </c>
      <c r="T5647" s="1">
        <v>74.471999999999994</v>
      </c>
      <c r="U5647" s="24"/>
      <c r="W5647" s="30"/>
      <c r="AA5647" s="30"/>
    </row>
    <row r="5648" spans="1:28">
      <c r="A5648" s="1">
        <v>950</v>
      </c>
      <c r="B5648" s="1">
        <v>5.6379999999999999</v>
      </c>
      <c r="C5648" s="1">
        <v>5.6280000000000001</v>
      </c>
      <c r="D5648" s="1">
        <v>5.6230000000000002</v>
      </c>
      <c r="E5648" s="1">
        <v>5.6180000000000003</v>
      </c>
      <c r="F5648" s="1">
        <v>5.6120000000000001</v>
      </c>
      <c r="G5648" s="1">
        <v>5.6070000000000002</v>
      </c>
      <c r="H5648" s="1">
        <v>5.5970000000000004</v>
      </c>
      <c r="I5648" s="1">
        <v>5.5869999999999997</v>
      </c>
      <c r="J5648" s="21">
        <v>3600</v>
      </c>
      <c r="K5648" s="1">
        <v>1900</v>
      </c>
      <c r="L5648" s="1">
        <v>-74.472999999999999</v>
      </c>
      <c r="M5648" s="1">
        <v>-55.811999999999998</v>
      </c>
      <c r="N5648" s="1">
        <v>-37.191000000000003</v>
      </c>
      <c r="O5648" s="1">
        <v>-18.591000000000001</v>
      </c>
      <c r="P5648" s="365">
        <v>0</v>
      </c>
      <c r="Q5648" s="1">
        <v>18.588999999999999</v>
      </c>
      <c r="R5648" s="1">
        <v>37.19</v>
      </c>
      <c r="S5648" s="1">
        <v>55.814999999999998</v>
      </c>
      <c r="T5648" s="1">
        <v>74.471999999999994</v>
      </c>
      <c r="U5648" s="25"/>
      <c r="W5648" s="43"/>
      <c r="X5648" s="42"/>
      <c r="AA5648" s="30"/>
      <c r="AB5648" s="42"/>
    </row>
    <row r="5649" spans="1:28">
      <c r="A5649" s="1">
        <v>1000</v>
      </c>
      <c r="B5649" s="1">
        <v>5.9189999999999996</v>
      </c>
      <c r="C5649" s="1">
        <v>5.9089999999999998</v>
      </c>
      <c r="D5649" s="1">
        <v>5.9039999999999999</v>
      </c>
      <c r="E5649" s="1">
        <v>5.899</v>
      </c>
      <c r="F5649" s="1">
        <v>5.8940000000000001</v>
      </c>
      <c r="G5649" s="1">
        <v>5.8890000000000002</v>
      </c>
      <c r="H5649" s="1">
        <v>5.8789999999999996</v>
      </c>
      <c r="I5649" s="1">
        <v>5.8689999999999998</v>
      </c>
      <c r="J5649" s="21">
        <v>3550</v>
      </c>
      <c r="K5649" s="1">
        <v>2000</v>
      </c>
      <c r="L5649" s="1">
        <v>-74.474000000000004</v>
      </c>
      <c r="M5649" s="1">
        <v>-55.814999999999998</v>
      </c>
      <c r="N5649" s="1">
        <v>-37.191000000000003</v>
      </c>
      <c r="O5649" s="1">
        <v>-18.591000000000001</v>
      </c>
      <c r="P5649" s="365">
        <v>0</v>
      </c>
      <c r="Q5649" s="1">
        <v>18.588999999999999</v>
      </c>
      <c r="R5649" s="1">
        <v>37.188000000000002</v>
      </c>
      <c r="S5649" s="1">
        <v>55.814</v>
      </c>
      <c r="T5649" s="1">
        <v>74.471000000000004</v>
      </c>
      <c r="U5649" s="27"/>
      <c r="W5649" s="43"/>
      <c r="X5649" s="42"/>
      <c r="AA5649" s="30"/>
      <c r="AB5649" s="42"/>
    </row>
    <row r="5650" spans="1:28">
      <c r="A5650" s="1">
        <v>1050</v>
      </c>
      <c r="B5650" s="1">
        <v>6.2009999999999996</v>
      </c>
      <c r="C5650" s="1">
        <v>6.19</v>
      </c>
      <c r="D5650" s="1">
        <v>6.1849999999999996</v>
      </c>
      <c r="E5650" s="1">
        <v>6.18</v>
      </c>
      <c r="F5650" s="1">
        <v>6.1749999999999998</v>
      </c>
      <c r="G5650" s="1">
        <v>6.17</v>
      </c>
      <c r="H5650" s="1">
        <v>6.16</v>
      </c>
      <c r="I5650" s="1">
        <v>6.15</v>
      </c>
      <c r="J5650" s="21">
        <v>3500</v>
      </c>
      <c r="K5650" s="1">
        <v>2100</v>
      </c>
      <c r="L5650" s="1">
        <v>-74.471000000000004</v>
      </c>
      <c r="M5650" s="1">
        <v>-55.814999999999998</v>
      </c>
      <c r="N5650" s="1">
        <v>-37.191000000000003</v>
      </c>
      <c r="O5650" s="1">
        <v>-18.591000000000001</v>
      </c>
      <c r="P5650" s="365">
        <v>0</v>
      </c>
      <c r="Q5650" s="1">
        <v>18.588999999999999</v>
      </c>
      <c r="R5650" s="1">
        <v>37.189</v>
      </c>
      <c r="S5650" s="1">
        <v>55.811999999999998</v>
      </c>
      <c r="T5650" s="1">
        <v>74.472999999999999</v>
      </c>
      <c r="U5650" s="25"/>
    </row>
    <row r="5651" spans="1:28">
      <c r="A5651" s="1">
        <v>1100</v>
      </c>
      <c r="B5651" s="1">
        <v>6.4820000000000002</v>
      </c>
      <c r="C5651" s="1">
        <v>6.4720000000000004</v>
      </c>
      <c r="D5651" s="1">
        <v>6.4669999999999996</v>
      </c>
      <c r="E5651" s="1">
        <v>6.4619999999999997</v>
      </c>
      <c r="F5651" s="1">
        <v>6.4569999999999999</v>
      </c>
      <c r="G5651" s="1">
        <v>6.452</v>
      </c>
      <c r="H5651" s="1">
        <v>6.4409999999999998</v>
      </c>
      <c r="I5651" s="1">
        <v>6.431</v>
      </c>
      <c r="J5651" s="21">
        <v>3450</v>
      </c>
      <c r="K5651" s="1">
        <v>2200</v>
      </c>
      <c r="L5651" s="1">
        <v>-74.471000000000004</v>
      </c>
      <c r="M5651" s="1">
        <v>-55.814</v>
      </c>
      <c r="N5651" s="1">
        <v>-37.191000000000003</v>
      </c>
      <c r="O5651" s="1">
        <v>-18.591000000000001</v>
      </c>
      <c r="P5651" s="365">
        <v>0</v>
      </c>
      <c r="Q5651" s="1">
        <v>18.588999999999999</v>
      </c>
      <c r="R5651" s="1">
        <v>37.189</v>
      </c>
      <c r="S5651" s="1">
        <v>55.811999999999998</v>
      </c>
      <c r="T5651" s="1">
        <v>74.471000000000004</v>
      </c>
      <c r="U5651" s="24"/>
    </row>
    <row r="5652" spans="1:28">
      <c r="A5652" s="1">
        <v>1150</v>
      </c>
      <c r="B5652" s="1">
        <v>6.7629999999999999</v>
      </c>
      <c r="C5652" s="1">
        <v>6.7530000000000001</v>
      </c>
      <c r="D5652" s="1">
        <v>6.7480000000000002</v>
      </c>
      <c r="E5652" s="1">
        <v>6.7430000000000003</v>
      </c>
      <c r="F5652" s="1">
        <v>6.7380000000000004</v>
      </c>
      <c r="G5652" s="1">
        <v>6.7329999999999997</v>
      </c>
      <c r="H5652" s="1">
        <v>6.7229999999999999</v>
      </c>
      <c r="I5652" s="1">
        <v>6.7130000000000001</v>
      </c>
      <c r="J5652" s="21">
        <v>3400</v>
      </c>
      <c r="K5652" s="1">
        <v>2300</v>
      </c>
      <c r="L5652" s="1">
        <v>-74.472999999999999</v>
      </c>
      <c r="M5652" s="1">
        <v>-55.814</v>
      </c>
      <c r="N5652" s="1">
        <v>-37.19</v>
      </c>
      <c r="O5652" s="1">
        <v>-18.591000000000001</v>
      </c>
      <c r="P5652" s="365">
        <v>0</v>
      </c>
      <c r="Q5652" s="1">
        <v>18.588999999999999</v>
      </c>
      <c r="R5652" s="1">
        <v>37.189</v>
      </c>
      <c r="S5652" s="1">
        <v>55.811999999999998</v>
      </c>
      <c r="T5652" s="1">
        <v>74.471000000000004</v>
      </c>
      <c r="U5652" s="25"/>
      <c r="V5652" s="918"/>
      <c r="W5652" s="918"/>
      <c r="X5652" s="42"/>
      <c r="Z5652" s="918"/>
      <c r="AA5652" s="918"/>
      <c r="AB5652" s="42"/>
    </row>
    <row r="5653" spans="1:28">
      <c r="A5653" s="1">
        <v>1200</v>
      </c>
      <c r="B5653" s="1">
        <v>7.0449999999999999</v>
      </c>
      <c r="C5653" s="1">
        <v>7.0350000000000001</v>
      </c>
      <c r="D5653" s="1">
        <v>7.0289999999999999</v>
      </c>
      <c r="E5653" s="1">
        <v>7.024</v>
      </c>
      <c r="F5653" s="1">
        <v>7.0190000000000001</v>
      </c>
      <c r="G5653" s="1">
        <v>7.0140000000000002</v>
      </c>
      <c r="H5653" s="1">
        <v>7.0039999999999996</v>
      </c>
      <c r="I5653" s="1">
        <v>6.9939999999999998</v>
      </c>
      <c r="J5653" s="21">
        <v>3350</v>
      </c>
      <c r="K5653" s="1">
        <v>2400</v>
      </c>
      <c r="L5653" s="1">
        <v>-74.471000000000004</v>
      </c>
      <c r="M5653" s="1">
        <v>-55.811999999999998</v>
      </c>
      <c r="N5653" s="1">
        <v>-37.189</v>
      </c>
      <c r="O5653" s="1">
        <v>-18.591000000000001</v>
      </c>
      <c r="P5653" s="365">
        <v>0</v>
      </c>
      <c r="Q5653" s="1">
        <v>18.588999999999999</v>
      </c>
      <c r="R5653" s="1">
        <v>37.191000000000003</v>
      </c>
      <c r="S5653" s="1">
        <v>55.814999999999998</v>
      </c>
      <c r="T5653" s="1">
        <v>74.474000000000004</v>
      </c>
      <c r="U5653" s="25"/>
    </row>
    <row r="5654" spans="1:28">
      <c r="A5654" s="1">
        <v>1250</v>
      </c>
      <c r="B5654" s="1">
        <v>7.3259999999999996</v>
      </c>
      <c r="C5654" s="1">
        <v>7.3159999999999998</v>
      </c>
      <c r="D5654" s="1">
        <v>7.3109999999999999</v>
      </c>
      <c r="E5654" s="1">
        <v>7.306</v>
      </c>
      <c r="F5654" s="1">
        <v>7.3010000000000002</v>
      </c>
      <c r="G5654" s="1">
        <v>7.2960000000000003</v>
      </c>
      <c r="H5654" s="1">
        <v>7.2859999999999996</v>
      </c>
      <c r="I5654" s="1">
        <v>7.2750000000000004</v>
      </c>
      <c r="J5654" s="21">
        <v>3300</v>
      </c>
      <c r="K5654" s="1">
        <v>2500</v>
      </c>
      <c r="L5654" s="1">
        <v>-74.471999999999994</v>
      </c>
      <c r="M5654" s="1">
        <v>-55.813000000000002</v>
      </c>
      <c r="N5654" s="1">
        <v>-37.189</v>
      </c>
      <c r="O5654" s="1">
        <v>-18.591000000000001</v>
      </c>
      <c r="P5654" s="365">
        <v>0</v>
      </c>
      <c r="Q5654" s="1">
        <v>18.588999999999999</v>
      </c>
      <c r="R5654" s="1">
        <v>37.191000000000003</v>
      </c>
      <c r="S5654" s="1">
        <v>55.814</v>
      </c>
      <c r="T5654" s="1">
        <v>74.472999999999999</v>
      </c>
      <c r="U5654" s="25"/>
    </row>
    <row r="5655" spans="1:28">
      <c r="A5655" s="1">
        <v>1300</v>
      </c>
      <c r="B5655" s="1">
        <v>7.6070000000000002</v>
      </c>
      <c r="C5655" s="1">
        <v>7.5970000000000004</v>
      </c>
      <c r="D5655" s="1">
        <v>7.5919999999999996</v>
      </c>
      <c r="E5655" s="1">
        <v>7.5869999999999997</v>
      </c>
      <c r="F5655" s="1">
        <v>7.5819999999999999</v>
      </c>
      <c r="G5655" s="1">
        <v>7.577</v>
      </c>
      <c r="H5655" s="1">
        <v>7.5670000000000002</v>
      </c>
      <c r="I5655" s="1">
        <v>7.5570000000000004</v>
      </c>
      <c r="J5655" s="21">
        <v>3250</v>
      </c>
      <c r="K5655" s="1">
        <v>2600</v>
      </c>
      <c r="L5655" s="1">
        <v>-74.472999999999999</v>
      </c>
      <c r="M5655" s="1">
        <v>-55.811999999999998</v>
      </c>
      <c r="N5655" s="1">
        <v>-37.189</v>
      </c>
      <c r="O5655" s="1">
        <v>-18.591000000000001</v>
      </c>
      <c r="P5655" s="365">
        <v>0</v>
      </c>
      <c r="Q5655" s="1">
        <v>18.588999999999999</v>
      </c>
      <c r="R5655" s="1">
        <v>37.191000000000003</v>
      </c>
      <c r="S5655" s="1">
        <v>55.814</v>
      </c>
      <c r="T5655" s="1">
        <v>74.471000000000004</v>
      </c>
      <c r="U5655" s="25"/>
    </row>
    <row r="5656" spans="1:28">
      <c r="A5656" s="1">
        <v>1350</v>
      </c>
      <c r="B5656" s="1">
        <v>7.8890000000000002</v>
      </c>
      <c r="C5656" s="1">
        <v>7.8789999999999996</v>
      </c>
      <c r="D5656" s="1">
        <v>7.8739999999999997</v>
      </c>
      <c r="E5656" s="1">
        <v>7.8689999999999998</v>
      </c>
      <c r="F5656" s="1">
        <v>7.8639999999999999</v>
      </c>
      <c r="G5656" s="1">
        <v>7.8579999999999997</v>
      </c>
      <c r="H5656" s="1">
        <v>7.8479999999999999</v>
      </c>
      <c r="I5656" s="1">
        <v>7.8380000000000001</v>
      </c>
      <c r="J5656" s="21">
        <v>3200</v>
      </c>
      <c r="K5656" s="1">
        <v>2700</v>
      </c>
      <c r="L5656" s="1">
        <v>-74.472999999999999</v>
      </c>
      <c r="M5656" s="1">
        <v>-55.814</v>
      </c>
      <c r="N5656" s="1">
        <v>-37.189</v>
      </c>
      <c r="O5656" s="1">
        <v>-18.591000000000001</v>
      </c>
      <c r="P5656" s="365">
        <v>0</v>
      </c>
      <c r="Q5656" s="1">
        <v>18.588999999999999</v>
      </c>
      <c r="R5656" s="1">
        <v>37.19</v>
      </c>
      <c r="S5656" s="1">
        <v>55.814</v>
      </c>
      <c r="T5656" s="1">
        <v>74.471000000000004</v>
      </c>
      <c r="U5656" s="24"/>
    </row>
    <row r="5657" spans="1:28">
      <c r="A5657" s="1">
        <v>1400</v>
      </c>
      <c r="B5657" s="1">
        <v>8.17</v>
      </c>
      <c r="C5657" s="1">
        <v>8.16</v>
      </c>
      <c r="D5657" s="1">
        <v>8.1549999999999994</v>
      </c>
      <c r="E5657" s="1">
        <v>8.15</v>
      </c>
      <c r="F5657" s="1">
        <v>8.1449999999999996</v>
      </c>
      <c r="G5657" s="1">
        <v>8.14</v>
      </c>
      <c r="H5657" s="1">
        <v>8.1300000000000008</v>
      </c>
      <c r="I5657" s="1">
        <v>8.1199999999999992</v>
      </c>
      <c r="J5657" s="21">
        <v>3150</v>
      </c>
      <c r="K5657" s="1">
        <v>2800</v>
      </c>
      <c r="L5657" s="1">
        <v>-74.471000000000004</v>
      </c>
      <c r="M5657" s="1">
        <v>-55.814</v>
      </c>
      <c r="N5657" s="1">
        <v>-37.189</v>
      </c>
      <c r="O5657" s="1">
        <v>-18.591000000000001</v>
      </c>
      <c r="P5657" s="365">
        <v>0</v>
      </c>
      <c r="Q5657" s="1">
        <v>18.588999999999999</v>
      </c>
      <c r="R5657" s="1">
        <v>37.19</v>
      </c>
      <c r="S5657" s="1">
        <v>55.811999999999998</v>
      </c>
      <c r="T5657" s="1">
        <v>74.472999999999999</v>
      </c>
      <c r="U5657" s="25"/>
    </row>
    <row r="5658" spans="1:28">
      <c r="A5658" s="1">
        <v>1450</v>
      </c>
      <c r="B5658" s="1">
        <v>8.452</v>
      </c>
      <c r="C5658" s="1">
        <v>8.4410000000000007</v>
      </c>
      <c r="D5658" s="1">
        <v>8.4359999999999999</v>
      </c>
      <c r="E5658" s="1">
        <v>8.4309999999999992</v>
      </c>
      <c r="F5658" s="1">
        <v>8.4260000000000002</v>
      </c>
      <c r="G5658" s="1">
        <v>8.4209999999999994</v>
      </c>
      <c r="H5658" s="1">
        <v>8.4109999999999996</v>
      </c>
      <c r="I5658" s="1">
        <v>8.4009999999999998</v>
      </c>
      <c r="J5658" s="21">
        <v>3100</v>
      </c>
      <c r="K5658" s="1">
        <v>2900</v>
      </c>
      <c r="L5658" s="1">
        <v>-74.471000000000004</v>
      </c>
      <c r="M5658" s="1">
        <v>-55.814</v>
      </c>
      <c r="N5658" s="1">
        <v>-37.191000000000003</v>
      </c>
      <c r="O5658" s="1">
        <v>-18.591000000000001</v>
      </c>
      <c r="P5658" s="365">
        <v>0</v>
      </c>
      <c r="Q5658" s="1">
        <v>18.588999999999999</v>
      </c>
      <c r="R5658" s="1">
        <v>37.191000000000003</v>
      </c>
      <c r="S5658" s="1">
        <v>55.813000000000002</v>
      </c>
      <c r="T5658" s="1">
        <v>74.471999999999994</v>
      </c>
      <c r="U5658" s="24"/>
    </row>
    <row r="5659" spans="1:28">
      <c r="A5659" s="1">
        <v>1500</v>
      </c>
      <c r="B5659" s="1">
        <v>8.7330000000000005</v>
      </c>
      <c r="C5659" s="1">
        <v>8.7230000000000008</v>
      </c>
      <c r="D5659" s="1">
        <v>8.718</v>
      </c>
      <c r="E5659" s="1">
        <v>8.7129999999999992</v>
      </c>
      <c r="F5659" s="1">
        <v>8.7080000000000002</v>
      </c>
      <c r="G5659" s="1">
        <v>8.7029999999999994</v>
      </c>
      <c r="H5659" s="1">
        <v>8.6929999999999996</v>
      </c>
      <c r="I5659" s="1">
        <v>8.6820000000000004</v>
      </c>
      <c r="J5659" s="21">
        <v>3050</v>
      </c>
      <c r="K5659" s="1">
        <v>3000</v>
      </c>
      <c r="L5659" s="1">
        <v>-74.474000000000004</v>
      </c>
      <c r="M5659" s="1">
        <v>-55.814999999999998</v>
      </c>
      <c r="N5659" s="1">
        <v>-37.191000000000003</v>
      </c>
      <c r="O5659" s="1">
        <v>-18.591000000000001</v>
      </c>
      <c r="P5659" s="365">
        <v>0</v>
      </c>
      <c r="Q5659" s="1">
        <v>18.588999999999999</v>
      </c>
      <c r="R5659" s="1">
        <v>37.191000000000003</v>
      </c>
      <c r="S5659" s="1">
        <v>55.813000000000002</v>
      </c>
      <c r="T5659" s="1">
        <v>74.471000000000004</v>
      </c>
      <c r="U5659" s="26"/>
    </row>
    <row r="5660" spans="1:28">
      <c r="A5660" s="1">
        <v>1550</v>
      </c>
      <c r="B5660" s="1">
        <v>9.0139999999999993</v>
      </c>
      <c r="C5660" s="1">
        <v>9.0039999999999996</v>
      </c>
      <c r="D5660" s="1">
        <v>8.9990000000000006</v>
      </c>
      <c r="E5660" s="1">
        <v>8.9939999999999998</v>
      </c>
      <c r="F5660" s="1">
        <v>8.9890000000000008</v>
      </c>
      <c r="G5660" s="1">
        <v>8.984</v>
      </c>
      <c r="H5660" s="1">
        <v>8.9740000000000002</v>
      </c>
      <c r="I5660" s="1">
        <v>8.9640000000000004</v>
      </c>
      <c r="J5660" s="21">
        <v>3000</v>
      </c>
      <c r="K5660" s="1">
        <v>3100</v>
      </c>
      <c r="L5660" s="1">
        <v>-74.471000000000004</v>
      </c>
      <c r="M5660" s="1">
        <v>-55.811999999999998</v>
      </c>
      <c r="N5660" s="1">
        <v>-37.19</v>
      </c>
      <c r="O5660" s="1">
        <v>-18.591000000000001</v>
      </c>
      <c r="P5660" s="365">
        <v>0</v>
      </c>
      <c r="Q5660" s="1">
        <v>18.588999999999999</v>
      </c>
      <c r="R5660" s="1">
        <v>37.191000000000003</v>
      </c>
      <c r="S5660" s="1">
        <v>55.814</v>
      </c>
      <c r="T5660" s="1">
        <v>74.472999999999999</v>
      </c>
      <c r="U5660" s="24"/>
    </row>
    <row r="5661" spans="1:28">
      <c r="A5661" s="1">
        <v>1600</v>
      </c>
      <c r="B5661" s="1">
        <v>9.2959999999999994</v>
      </c>
      <c r="C5661" s="1">
        <v>9.2859999999999996</v>
      </c>
      <c r="D5661" s="1">
        <v>9.2810000000000006</v>
      </c>
      <c r="E5661" s="1">
        <v>9.2759999999999998</v>
      </c>
      <c r="F5661" s="1">
        <v>9.27</v>
      </c>
      <c r="G5661" s="1">
        <v>9.2650000000000006</v>
      </c>
      <c r="H5661" s="1">
        <v>9.2550000000000008</v>
      </c>
      <c r="I5661" s="1">
        <v>9.2449999999999992</v>
      </c>
      <c r="J5661" s="21">
        <v>2950</v>
      </c>
      <c r="K5661" s="1">
        <v>3200</v>
      </c>
      <c r="L5661" s="1">
        <v>-74.471000000000004</v>
      </c>
      <c r="M5661" s="1">
        <v>-55.811999999999998</v>
      </c>
      <c r="N5661" s="1">
        <v>-37.19</v>
      </c>
      <c r="O5661" s="1">
        <v>-18.588999999999999</v>
      </c>
      <c r="P5661" s="365">
        <v>0</v>
      </c>
      <c r="Q5661" s="1">
        <v>18.591000000000001</v>
      </c>
      <c r="R5661" s="1">
        <v>37.191000000000003</v>
      </c>
      <c r="S5661" s="1">
        <v>55.814999999999998</v>
      </c>
      <c r="T5661" s="1">
        <v>74.474000000000004</v>
      </c>
      <c r="U5661" s="24"/>
    </row>
    <row r="5662" spans="1:28">
      <c r="A5662" s="1">
        <v>1650</v>
      </c>
      <c r="B5662" s="1">
        <v>9.577</v>
      </c>
      <c r="C5662" s="1">
        <v>9.5670000000000002</v>
      </c>
      <c r="D5662" s="1">
        <v>9.5619999999999994</v>
      </c>
      <c r="E5662" s="1">
        <v>9.5570000000000004</v>
      </c>
      <c r="F5662" s="1">
        <v>9.5519999999999996</v>
      </c>
      <c r="G5662" s="1">
        <v>9.5470000000000006</v>
      </c>
      <c r="H5662" s="1">
        <v>9.5370000000000008</v>
      </c>
      <c r="I5662" s="1">
        <v>9.5269999999999992</v>
      </c>
      <c r="J5662" s="21">
        <v>2900</v>
      </c>
      <c r="K5662" s="1">
        <v>3300</v>
      </c>
      <c r="L5662" s="1">
        <v>-74.474000000000004</v>
      </c>
      <c r="M5662" s="1">
        <v>-55.813000000000002</v>
      </c>
      <c r="N5662" s="1">
        <v>-37.191000000000003</v>
      </c>
      <c r="O5662" s="1">
        <v>-18.588999999999999</v>
      </c>
      <c r="P5662" s="365">
        <v>0</v>
      </c>
      <c r="Q5662" s="1">
        <v>18.59</v>
      </c>
      <c r="R5662" s="1">
        <v>37.19</v>
      </c>
      <c r="S5662" s="1">
        <v>55.813000000000002</v>
      </c>
      <c r="T5662" s="1">
        <v>74.468999999999994</v>
      </c>
      <c r="U5662" s="25"/>
    </row>
    <row r="5663" spans="1:28">
      <c r="A5663" s="1">
        <v>1700</v>
      </c>
      <c r="B5663" s="1">
        <v>9.8580000000000005</v>
      </c>
      <c r="C5663" s="1">
        <v>9.8480000000000008</v>
      </c>
      <c r="D5663" s="1">
        <v>9.843</v>
      </c>
      <c r="E5663" s="1">
        <v>9.8379999999999992</v>
      </c>
      <c r="F5663" s="1">
        <v>9.8330000000000002</v>
      </c>
      <c r="G5663" s="1">
        <v>9.8279999999999994</v>
      </c>
      <c r="H5663" s="1">
        <v>9.8179999999999996</v>
      </c>
      <c r="I5663" s="1">
        <v>9.8079999999999998</v>
      </c>
      <c r="J5663" s="21">
        <v>2850</v>
      </c>
      <c r="K5663" s="1">
        <v>3400</v>
      </c>
      <c r="L5663" s="1">
        <v>-74.47</v>
      </c>
      <c r="M5663" s="1">
        <v>-55.813000000000002</v>
      </c>
      <c r="N5663" s="1">
        <v>-37.19</v>
      </c>
      <c r="O5663" s="1">
        <v>-18.588999999999999</v>
      </c>
      <c r="P5663" s="365">
        <v>0</v>
      </c>
      <c r="Q5663" s="1">
        <v>18.591000000000001</v>
      </c>
      <c r="R5663" s="1">
        <v>37.191000000000003</v>
      </c>
      <c r="S5663" s="1">
        <v>55.814999999999998</v>
      </c>
      <c r="T5663" s="1">
        <v>74.474000000000004</v>
      </c>
      <c r="U5663" s="28"/>
    </row>
    <row r="5664" spans="1:28">
      <c r="A5664" s="1">
        <v>1750</v>
      </c>
      <c r="B5664" s="1">
        <v>10.14</v>
      </c>
      <c r="C5664" s="1">
        <v>10.130000000000001</v>
      </c>
      <c r="D5664" s="1">
        <v>10.125</v>
      </c>
      <c r="E5664" s="1">
        <v>10.119999999999999</v>
      </c>
      <c r="F5664" s="1">
        <v>10.115</v>
      </c>
      <c r="G5664" s="1">
        <v>10.11</v>
      </c>
      <c r="H5664" s="1">
        <v>10.099</v>
      </c>
      <c r="I5664" s="1">
        <v>10.089</v>
      </c>
      <c r="J5664" s="21">
        <v>2800</v>
      </c>
      <c r="K5664" s="1">
        <v>3500</v>
      </c>
      <c r="L5664" s="1">
        <v>-74.471999999999994</v>
      </c>
      <c r="M5664" s="1">
        <v>-55.814999999999998</v>
      </c>
      <c r="N5664" s="1">
        <v>-37.191000000000003</v>
      </c>
      <c r="O5664" s="1">
        <v>-18.588999999999999</v>
      </c>
      <c r="P5664" s="365">
        <v>0</v>
      </c>
      <c r="Q5664" s="1">
        <v>18.59</v>
      </c>
      <c r="R5664" s="1">
        <v>37.188000000000002</v>
      </c>
      <c r="S5664" s="1">
        <v>55.811</v>
      </c>
      <c r="T5664" s="1">
        <v>74.471000000000004</v>
      </c>
    </row>
    <row r="5665" spans="1:20">
      <c r="A5665" s="1">
        <v>1800</v>
      </c>
      <c r="B5665" s="1">
        <v>10.420999999999999</v>
      </c>
      <c r="C5665" s="1">
        <v>10.411</v>
      </c>
      <c r="D5665" s="1">
        <v>10.406000000000001</v>
      </c>
      <c r="E5665" s="1">
        <v>10.401</v>
      </c>
      <c r="F5665" s="1">
        <v>10.396000000000001</v>
      </c>
      <c r="G5665" s="1">
        <v>10.391</v>
      </c>
      <c r="H5665" s="1">
        <v>10.381</v>
      </c>
      <c r="I5665" s="1">
        <v>10.371</v>
      </c>
      <c r="J5665" s="21">
        <v>2750</v>
      </c>
      <c r="K5665" s="1">
        <v>3600</v>
      </c>
      <c r="L5665" s="1">
        <v>-74.471000000000004</v>
      </c>
      <c r="M5665" s="1">
        <v>-55.813000000000002</v>
      </c>
      <c r="N5665" s="1">
        <v>-37.19</v>
      </c>
      <c r="O5665" s="1">
        <v>-18.588999999999999</v>
      </c>
      <c r="P5665" s="365">
        <v>0</v>
      </c>
      <c r="Q5665" s="1">
        <v>18.591000000000001</v>
      </c>
      <c r="R5665" s="1">
        <v>37.189</v>
      </c>
      <c r="S5665" s="1">
        <v>55.813000000000002</v>
      </c>
      <c r="T5665" s="1">
        <v>74.471999999999994</v>
      </c>
    </row>
    <row r="5666" spans="1:20">
      <c r="A5666" s="1">
        <v>1850</v>
      </c>
      <c r="B5666" s="1">
        <v>10.702999999999999</v>
      </c>
      <c r="C5666" s="1">
        <v>10.693</v>
      </c>
      <c r="D5666" s="1">
        <v>10.686999999999999</v>
      </c>
      <c r="E5666" s="1">
        <v>10.682</v>
      </c>
      <c r="F5666" s="1">
        <v>10.677</v>
      </c>
      <c r="G5666" s="1">
        <v>10.672000000000001</v>
      </c>
      <c r="H5666" s="1">
        <v>10.662000000000001</v>
      </c>
      <c r="I5666" s="1">
        <v>10.651999999999999</v>
      </c>
      <c r="J5666" s="21">
        <v>2700</v>
      </c>
      <c r="K5666" s="1">
        <v>3700</v>
      </c>
      <c r="L5666" s="1">
        <v>-74.474000000000004</v>
      </c>
      <c r="M5666" s="1">
        <v>-55.814999999999998</v>
      </c>
      <c r="N5666" s="1">
        <v>-37.191000000000003</v>
      </c>
      <c r="O5666" s="1">
        <v>-18.59</v>
      </c>
      <c r="P5666" s="365">
        <v>0</v>
      </c>
      <c r="Q5666" s="1">
        <v>18.84</v>
      </c>
      <c r="R5666" s="1">
        <v>37.686999999999998</v>
      </c>
      <c r="S5666" s="1">
        <v>56.56</v>
      </c>
      <c r="T5666" s="1">
        <v>75.468999999999994</v>
      </c>
    </row>
    <row r="5667" spans="1:20">
      <c r="A5667" s="1">
        <v>1900</v>
      </c>
      <c r="B5667" s="1">
        <v>10.984</v>
      </c>
      <c r="C5667" s="1">
        <v>10.974</v>
      </c>
      <c r="D5667" s="1">
        <v>10.968999999999999</v>
      </c>
      <c r="E5667" s="1">
        <v>10.964</v>
      </c>
      <c r="F5667" s="1">
        <v>10.959</v>
      </c>
      <c r="G5667" s="1">
        <v>10.954000000000001</v>
      </c>
      <c r="H5667" s="1">
        <v>10.944000000000001</v>
      </c>
      <c r="I5667" s="1">
        <v>10.933</v>
      </c>
      <c r="J5667" s="21">
        <v>2650</v>
      </c>
      <c r="K5667" s="1">
        <v>3800</v>
      </c>
      <c r="L5667" s="1">
        <v>-75.47</v>
      </c>
      <c r="M5667" s="1">
        <v>-56.56</v>
      </c>
      <c r="N5667" s="1">
        <v>-37.689</v>
      </c>
      <c r="O5667" s="1">
        <v>-18.838000000000001</v>
      </c>
      <c r="P5667" s="365">
        <v>0</v>
      </c>
      <c r="Q5667" s="1">
        <v>18.878</v>
      </c>
      <c r="R5667" s="1">
        <v>37.765000000000001</v>
      </c>
      <c r="S5667" s="1">
        <v>56.676000000000002</v>
      </c>
      <c r="T5667" s="1">
        <v>75.62</v>
      </c>
    </row>
    <row r="5668" spans="1:20">
      <c r="A5668" s="1">
        <v>1950</v>
      </c>
      <c r="B5668" s="1">
        <v>11.265000000000001</v>
      </c>
      <c r="C5668" s="1">
        <v>11.255000000000001</v>
      </c>
      <c r="D5668" s="1">
        <v>11.25</v>
      </c>
      <c r="E5668" s="1">
        <v>11.244999999999999</v>
      </c>
      <c r="F5668" s="1">
        <v>11.24</v>
      </c>
      <c r="G5668" s="1">
        <v>11.234999999999999</v>
      </c>
      <c r="H5668" s="1">
        <v>11.225</v>
      </c>
      <c r="I5668" s="1">
        <v>11.215</v>
      </c>
      <c r="J5668" s="21">
        <v>2600</v>
      </c>
      <c r="K5668" s="1">
        <v>3900</v>
      </c>
      <c r="L5668" s="1">
        <v>-75.62</v>
      </c>
      <c r="M5668" s="1">
        <v>-56.673999999999999</v>
      </c>
      <c r="N5668" s="1">
        <v>-37.765000000000001</v>
      </c>
      <c r="O5668" s="1">
        <v>-18.876000000000001</v>
      </c>
      <c r="P5668" s="365">
        <v>0</v>
      </c>
      <c r="Q5668" s="1">
        <v>18.878</v>
      </c>
      <c r="R5668" s="1">
        <v>37.762999999999998</v>
      </c>
      <c r="S5668" s="1">
        <v>56.674999999999997</v>
      </c>
      <c r="T5668" s="1">
        <v>75.622</v>
      </c>
    </row>
    <row r="5669" spans="1:20">
      <c r="A5669" s="1">
        <v>2000</v>
      </c>
      <c r="B5669" s="1">
        <v>11.547000000000001</v>
      </c>
      <c r="C5669" s="1">
        <v>11.537000000000001</v>
      </c>
      <c r="D5669" s="1">
        <v>11.532</v>
      </c>
      <c r="E5669" s="1">
        <v>11.526999999999999</v>
      </c>
      <c r="F5669" s="1">
        <v>11.522</v>
      </c>
      <c r="G5669" s="1">
        <v>11.516</v>
      </c>
      <c r="H5669" s="1">
        <v>11.506</v>
      </c>
      <c r="I5669" s="1">
        <v>11.496</v>
      </c>
      <c r="J5669" s="21">
        <v>2550</v>
      </c>
      <c r="K5669" s="1">
        <v>4000</v>
      </c>
      <c r="L5669" s="1">
        <v>-75.62</v>
      </c>
      <c r="M5669" s="1">
        <v>-56.676000000000002</v>
      </c>
      <c r="N5669" s="1">
        <v>-37.765000000000001</v>
      </c>
      <c r="O5669" s="1">
        <v>-18.878</v>
      </c>
      <c r="P5669" s="365">
        <v>0</v>
      </c>
      <c r="Q5669" s="1">
        <v>18.876999999999999</v>
      </c>
      <c r="R5669" s="1">
        <v>37.764000000000003</v>
      </c>
      <c r="S5669" s="1">
        <v>56.676000000000002</v>
      </c>
      <c r="T5669" s="1">
        <v>75.623000000000005</v>
      </c>
    </row>
    <row r="5670" spans="1:20">
      <c r="A5670" s="1">
        <v>2050</v>
      </c>
      <c r="B5670" s="1">
        <v>11.827999999999999</v>
      </c>
      <c r="C5670" s="1">
        <v>11.818</v>
      </c>
      <c r="D5670" s="1">
        <v>11.813000000000001</v>
      </c>
      <c r="E5670" s="1">
        <v>11.808</v>
      </c>
      <c r="F5670" s="1">
        <v>11.803000000000001</v>
      </c>
      <c r="G5670" s="1">
        <v>11.798</v>
      </c>
      <c r="H5670" s="1">
        <v>11.788</v>
      </c>
      <c r="I5670" s="1">
        <v>11.778</v>
      </c>
      <c r="J5670" s="21">
        <v>2500</v>
      </c>
      <c r="K5670" s="1">
        <v>4100</v>
      </c>
      <c r="L5670" s="1">
        <v>-75.620999999999995</v>
      </c>
      <c r="M5670" s="1">
        <v>-56.676000000000002</v>
      </c>
      <c r="N5670" s="1">
        <v>-37.765000000000001</v>
      </c>
      <c r="O5670" s="1">
        <v>-18.878</v>
      </c>
      <c r="P5670" s="365">
        <v>0</v>
      </c>
      <c r="Q5670" s="1">
        <v>18.876999999999999</v>
      </c>
      <c r="R5670" s="1">
        <v>37.764000000000003</v>
      </c>
      <c r="S5670" s="1">
        <v>56.674999999999997</v>
      </c>
      <c r="T5670" s="1">
        <v>75.622</v>
      </c>
    </row>
    <row r="5671" spans="1:20">
      <c r="A5671" s="1">
        <v>2100</v>
      </c>
      <c r="B5671" s="1">
        <v>12.11</v>
      </c>
      <c r="C5671" s="1">
        <v>12.099</v>
      </c>
      <c r="D5671" s="1">
        <v>12.093999999999999</v>
      </c>
      <c r="E5671" s="1">
        <v>12.089</v>
      </c>
      <c r="F5671" s="1">
        <v>12.084</v>
      </c>
      <c r="G5671" s="1">
        <v>12.079000000000001</v>
      </c>
      <c r="H5671" s="1">
        <v>12.069000000000001</v>
      </c>
      <c r="I5671" s="1">
        <v>12.058999999999999</v>
      </c>
      <c r="J5671" s="21">
        <v>2450</v>
      </c>
      <c r="K5671" s="1">
        <v>4200</v>
      </c>
      <c r="L5671" s="1">
        <v>-75.623999999999995</v>
      </c>
      <c r="M5671" s="1">
        <v>-56.676000000000002</v>
      </c>
      <c r="N5671" s="1">
        <v>-37.765999999999998</v>
      </c>
      <c r="O5671" s="1">
        <v>-18.878</v>
      </c>
      <c r="P5671" s="365">
        <v>0</v>
      </c>
      <c r="Q5671" s="1">
        <v>18.843</v>
      </c>
      <c r="R5671" s="1">
        <v>37.698999999999998</v>
      </c>
      <c r="S5671" s="1">
        <v>56.575000000000003</v>
      </c>
      <c r="T5671" s="1">
        <v>75.489000000000004</v>
      </c>
    </row>
    <row r="5672" spans="1:20">
      <c r="A5672" s="1">
        <v>2150</v>
      </c>
      <c r="B5672" s="1">
        <v>12.391</v>
      </c>
      <c r="C5672" s="1">
        <v>12.381</v>
      </c>
      <c r="D5672" s="1">
        <v>12.375999999999999</v>
      </c>
      <c r="E5672" s="1">
        <v>12.371</v>
      </c>
      <c r="F5672" s="1">
        <v>12.366</v>
      </c>
      <c r="G5672" s="1">
        <v>12.361000000000001</v>
      </c>
      <c r="H5672" s="1">
        <v>12.351000000000001</v>
      </c>
      <c r="I5672" s="1">
        <v>12.34</v>
      </c>
      <c r="J5672" s="21">
        <v>2400</v>
      </c>
      <c r="K5672" s="1">
        <v>4300</v>
      </c>
      <c r="L5672" s="1">
        <v>-75.489999999999995</v>
      </c>
      <c r="M5672" s="1">
        <v>-56.575000000000003</v>
      </c>
      <c r="N5672" s="1">
        <v>-37.697000000000003</v>
      </c>
      <c r="O5672" s="1">
        <v>-18.844999999999999</v>
      </c>
      <c r="P5672" s="365">
        <v>0</v>
      </c>
      <c r="Q5672" s="1">
        <v>18.588999999999999</v>
      </c>
      <c r="R5672" s="1">
        <v>37.19</v>
      </c>
      <c r="S5672" s="1">
        <v>55.813000000000002</v>
      </c>
      <c r="T5672" s="1">
        <v>70.549000000000007</v>
      </c>
    </row>
    <row r="5673" spans="1:20">
      <c r="A5673" s="1">
        <v>2200</v>
      </c>
      <c r="B5673" s="1">
        <v>12.672000000000001</v>
      </c>
      <c r="C5673" s="1">
        <v>12.662000000000001</v>
      </c>
      <c r="D5673" s="1">
        <v>12.657</v>
      </c>
      <c r="E5673" s="1">
        <v>12.651999999999999</v>
      </c>
      <c r="F5673" s="1">
        <v>12.647</v>
      </c>
      <c r="G5673" s="1">
        <v>12.641999999999999</v>
      </c>
      <c r="H5673" s="1">
        <v>12.632</v>
      </c>
      <c r="I5673" s="1">
        <v>12.622</v>
      </c>
      <c r="J5673" s="21">
        <v>2350</v>
      </c>
      <c r="K5673" s="1">
        <v>4400</v>
      </c>
      <c r="L5673" s="1">
        <v>-74.471000000000004</v>
      </c>
      <c r="M5673" s="1">
        <v>-55.811999999999998</v>
      </c>
      <c r="N5673" s="1">
        <v>-37.189</v>
      </c>
      <c r="O5673" s="1">
        <v>-18.591000000000001</v>
      </c>
      <c r="P5673" s="365">
        <v>0</v>
      </c>
      <c r="Q5673" s="1">
        <v>33.951999999999998</v>
      </c>
      <c r="R5673" s="1">
        <v>53.316000000000003</v>
      </c>
      <c r="S5673" s="1">
        <v>58.37</v>
      </c>
      <c r="T5673" s="1">
        <v>59.749000000000002</v>
      </c>
    </row>
    <row r="5674" spans="1:20">
      <c r="A5674" s="1">
        <v>2250</v>
      </c>
      <c r="B5674" s="1">
        <v>12.954000000000001</v>
      </c>
      <c r="C5674" s="1">
        <v>12.944000000000001</v>
      </c>
      <c r="D5674" s="1">
        <v>12.939</v>
      </c>
      <c r="E5674" s="1">
        <v>12.933</v>
      </c>
      <c r="F5674" s="1">
        <v>12.928000000000001</v>
      </c>
      <c r="G5674" s="1">
        <v>12.923</v>
      </c>
      <c r="H5674" s="1">
        <v>12.913</v>
      </c>
      <c r="I5674" s="1">
        <v>12.903</v>
      </c>
      <c r="J5674" s="21">
        <v>2300</v>
      </c>
      <c r="K5674" s="1">
        <v>4500</v>
      </c>
      <c r="L5674" s="1">
        <v>-86.656000000000006</v>
      </c>
      <c r="M5674" s="1">
        <v>-52.792000000000002</v>
      </c>
      <c r="N5674" s="1">
        <v>-21.501000000000001</v>
      </c>
      <c r="O5674" s="1">
        <v>0</v>
      </c>
      <c r="P5674" s="365">
        <v>0</v>
      </c>
      <c r="Q5674" s="1">
        <v>0</v>
      </c>
      <c r="R5674" s="1">
        <v>0</v>
      </c>
      <c r="S5674" s="1">
        <v>0</v>
      </c>
      <c r="T5674" s="1">
        <v>0</v>
      </c>
    </row>
    <row r="5675" spans="1:20">
      <c r="A5675" s="1">
        <v>2300</v>
      </c>
      <c r="B5675" s="1">
        <v>13.234999999999999</v>
      </c>
      <c r="C5675" s="1">
        <v>13.225</v>
      </c>
      <c r="D5675" s="1">
        <v>13.22</v>
      </c>
      <c r="E5675" s="1">
        <v>13.215</v>
      </c>
      <c r="F5675" s="1">
        <v>13.21</v>
      </c>
      <c r="G5675" s="1">
        <v>13.205</v>
      </c>
      <c r="H5675" s="1">
        <v>13.195</v>
      </c>
      <c r="I5675" s="1">
        <v>13.185</v>
      </c>
      <c r="J5675" s="21">
        <v>2250</v>
      </c>
      <c r="K5675" s="1">
        <v>6004</v>
      </c>
      <c r="L5675" s="1">
        <v>0</v>
      </c>
      <c r="M5675" s="1">
        <v>0</v>
      </c>
      <c r="N5675" s="1">
        <v>0</v>
      </c>
      <c r="O5675" s="1">
        <v>0</v>
      </c>
      <c r="P5675" s="365">
        <v>0</v>
      </c>
      <c r="Q5675" s="1">
        <v>0</v>
      </c>
      <c r="R5675" s="1">
        <v>0</v>
      </c>
      <c r="S5675" s="1">
        <v>0</v>
      </c>
      <c r="T5675" s="1">
        <v>0</v>
      </c>
    </row>
    <row r="5676" spans="1:20">
      <c r="A5676" s="1">
        <v>2350</v>
      </c>
      <c r="B5676" s="1">
        <v>13.516</v>
      </c>
      <c r="C5676" s="1">
        <v>13.506</v>
      </c>
      <c r="D5676" s="1">
        <v>13.500999999999999</v>
      </c>
      <c r="E5676" s="1">
        <v>13.496</v>
      </c>
      <c r="F5676" s="1">
        <v>13.491</v>
      </c>
      <c r="G5676" s="1">
        <v>13.486000000000001</v>
      </c>
      <c r="H5676" s="1">
        <v>13.476000000000001</v>
      </c>
      <c r="I5676" s="1">
        <v>13.465999999999999</v>
      </c>
      <c r="J5676" s="21">
        <v>2200</v>
      </c>
      <c r="K5676" s="1"/>
      <c r="L5676" s="1"/>
      <c r="M5676" s="1"/>
      <c r="N5676" s="1"/>
      <c r="O5676" s="1"/>
      <c r="P5676" s="365"/>
      <c r="Q5676" s="1"/>
      <c r="R5676" s="1"/>
      <c r="S5676" s="1"/>
      <c r="T5676" s="1"/>
    </row>
    <row r="5677" spans="1:20">
      <c r="A5677" s="1">
        <v>2400</v>
      </c>
      <c r="B5677" s="1">
        <v>13.798</v>
      </c>
      <c r="C5677" s="1">
        <v>13.788</v>
      </c>
      <c r="D5677" s="1">
        <v>13.782999999999999</v>
      </c>
      <c r="E5677" s="1">
        <v>13.778</v>
      </c>
      <c r="F5677" s="1">
        <v>13.773</v>
      </c>
      <c r="G5677" s="1">
        <v>13.768000000000001</v>
      </c>
      <c r="H5677" s="1">
        <v>13.757</v>
      </c>
      <c r="I5677" s="1">
        <v>13.747</v>
      </c>
      <c r="J5677" s="21">
        <v>2150</v>
      </c>
      <c r="K5677" s="1"/>
      <c r="L5677" s="1"/>
      <c r="M5677" s="1"/>
      <c r="N5677" s="1"/>
      <c r="O5677" s="1"/>
      <c r="P5677" s="365"/>
      <c r="Q5677" s="1"/>
      <c r="R5677" s="1"/>
      <c r="S5677" s="1"/>
      <c r="T5677" s="1"/>
    </row>
    <row r="5678" spans="1:20">
      <c r="A5678" s="1">
        <v>2450</v>
      </c>
      <c r="B5678" s="1">
        <v>14.079000000000001</v>
      </c>
      <c r="C5678" s="1">
        <v>14.069000000000001</v>
      </c>
      <c r="D5678" s="1">
        <v>14.064</v>
      </c>
      <c r="E5678" s="1">
        <v>14.058999999999999</v>
      </c>
      <c r="F5678" s="1">
        <v>14.054</v>
      </c>
      <c r="G5678" s="1">
        <v>14.048999999999999</v>
      </c>
      <c r="H5678" s="1">
        <v>14.039</v>
      </c>
      <c r="I5678" s="1">
        <v>14.029</v>
      </c>
      <c r="J5678" s="21">
        <v>2100</v>
      </c>
      <c r="K5678" s="1"/>
      <c r="L5678" s="1"/>
      <c r="M5678" s="1"/>
      <c r="N5678" s="1"/>
      <c r="O5678" s="1"/>
      <c r="P5678" s="365"/>
      <c r="Q5678" s="1"/>
      <c r="R5678" s="1"/>
      <c r="S5678" s="1"/>
      <c r="T5678" s="1"/>
    </row>
    <row r="5679" spans="1:20">
      <c r="A5679" s="1">
        <v>2500</v>
      </c>
      <c r="B5679" s="1">
        <v>14.361000000000001</v>
      </c>
      <c r="C5679" s="1">
        <v>14.35</v>
      </c>
      <c r="D5679" s="1">
        <v>14.345000000000001</v>
      </c>
      <c r="E5679" s="1">
        <v>14.34</v>
      </c>
      <c r="F5679" s="1">
        <v>14.335000000000001</v>
      </c>
      <c r="G5679" s="1">
        <v>14.33</v>
      </c>
      <c r="H5679" s="1">
        <v>14.32</v>
      </c>
      <c r="I5679" s="1">
        <v>14.31</v>
      </c>
      <c r="J5679" s="21">
        <v>2050</v>
      </c>
      <c r="K5679" s="1"/>
      <c r="L5679" s="1"/>
      <c r="M5679" s="1"/>
      <c r="N5679" s="1"/>
      <c r="O5679" s="1"/>
      <c r="P5679" s="365"/>
      <c r="Q5679" s="1"/>
      <c r="R5679" s="1"/>
      <c r="S5679" s="1"/>
      <c r="T5679" s="1"/>
    </row>
    <row r="5680" spans="1:20">
      <c r="A5680" s="1">
        <v>2550</v>
      </c>
      <c r="B5680" s="1">
        <v>14.641999999999999</v>
      </c>
      <c r="C5680" s="1">
        <v>14.632</v>
      </c>
      <c r="D5680" s="1">
        <v>14.627000000000001</v>
      </c>
      <c r="E5680" s="1">
        <v>14.622</v>
      </c>
      <c r="F5680" s="1">
        <v>14.617000000000001</v>
      </c>
      <c r="G5680" s="1">
        <v>14.612</v>
      </c>
      <c r="H5680" s="1">
        <v>14.602</v>
      </c>
      <c r="I5680" s="1">
        <v>14.590999999999999</v>
      </c>
      <c r="J5680" s="21">
        <v>2000</v>
      </c>
      <c r="K5680" s="1"/>
      <c r="L5680" s="1"/>
      <c r="M5680" s="1"/>
      <c r="N5680" s="1"/>
      <c r="O5680" s="1"/>
      <c r="P5680" s="365"/>
      <c r="Q5680" s="1"/>
      <c r="R5680" s="1"/>
      <c r="S5680" s="1"/>
      <c r="T5680" s="1"/>
    </row>
    <row r="5681" spans="1:20">
      <c r="A5681" s="1">
        <v>2600</v>
      </c>
      <c r="B5681" s="1">
        <v>14.923</v>
      </c>
      <c r="C5681" s="1">
        <v>14.913</v>
      </c>
      <c r="D5681" s="1">
        <v>14.907999999999999</v>
      </c>
      <c r="E5681" s="1">
        <v>14.903</v>
      </c>
      <c r="F5681" s="1">
        <v>14.898</v>
      </c>
      <c r="G5681" s="1">
        <v>14.893000000000001</v>
      </c>
      <c r="H5681" s="1">
        <v>14.882999999999999</v>
      </c>
      <c r="I5681" s="1">
        <v>14.872999999999999</v>
      </c>
      <c r="J5681" s="21">
        <v>1950</v>
      </c>
      <c r="K5681" s="1"/>
      <c r="L5681" s="1"/>
      <c r="M5681" s="1"/>
      <c r="N5681" s="1"/>
      <c r="O5681" s="1"/>
      <c r="P5681" s="365"/>
      <c r="Q5681" s="1"/>
      <c r="R5681" s="1"/>
      <c r="S5681" s="1"/>
      <c r="T5681" s="1"/>
    </row>
    <row r="5682" spans="1:20">
      <c r="A5682" s="1">
        <v>2650</v>
      </c>
      <c r="B5682" s="1">
        <v>15.205</v>
      </c>
      <c r="C5682" s="1">
        <v>15.195</v>
      </c>
      <c r="D5682" s="1">
        <v>15.19</v>
      </c>
      <c r="E5682" s="1">
        <v>15.185</v>
      </c>
      <c r="F5682" s="1">
        <v>15.179</v>
      </c>
      <c r="G5682" s="1">
        <v>15.173999999999999</v>
      </c>
      <c r="H5682" s="1">
        <v>15.164</v>
      </c>
      <c r="I5682" s="1">
        <v>15.154</v>
      </c>
      <c r="J5682" s="21">
        <v>1900</v>
      </c>
      <c r="K5682" s="1"/>
      <c r="L5682" s="1"/>
      <c r="M5682" s="1"/>
      <c r="N5682" s="1"/>
      <c r="O5682" s="1"/>
      <c r="P5682" s="365"/>
      <c r="Q5682" s="1"/>
      <c r="R5682" s="1"/>
      <c r="S5682" s="1"/>
      <c r="T5682" s="1"/>
    </row>
    <row r="5683" spans="1:20">
      <c r="A5683" s="1">
        <v>2700</v>
      </c>
      <c r="B5683" s="1">
        <v>15.486000000000001</v>
      </c>
      <c r="C5683" s="1">
        <v>15.476000000000001</v>
      </c>
      <c r="D5683" s="1">
        <v>15.471</v>
      </c>
      <c r="E5683" s="1">
        <v>15.465999999999999</v>
      </c>
      <c r="F5683" s="1">
        <v>15.461</v>
      </c>
      <c r="G5683" s="1">
        <v>15.456</v>
      </c>
      <c r="H5683" s="1">
        <v>15.446</v>
      </c>
      <c r="I5683" s="1">
        <v>15.436</v>
      </c>
      <c r="J5683" s="21">
        <v>1850</v>
      </c>
      <c r="K5683" s="1"/>
      <c r="L5683" s="1"/>
      <c r="M5683" s="1"/>
      <c r="N5683" s="1"/>
      <c r="O5683" s="1"/>
      <c r="P5683" s="365"/>
      <c r="Q5683" s="1"/>
      <c r="R5683" s="1"/>
      <c r="S5683" s="1"/>
      <c r="T5683" s="1"/>
    </row>
    <row r="5684" spans="1:20">
      <c r="A5684" s="1">
        <v>2750</v>
      </c>
      <c r="B5684" s="1">
        <v>15.768000000000001</v>
      </c>
      <c r="C5684" s="1">
        <v>15.757</v>
      </c>
      <c r="D5684" s="1">
        <v>15.752000000000001</v>
      </c>
      <c r="E5684" s="1">
        <v>15.747</v>
      </c>
      <c r="F5684" s="1">
        <v>15.742000000000001</v>
      </c>
      <c r="G5684" s="1">
        <v>15.737</v>
      </c>
      <c r="H5684" s="1">
        <v>15.727</v>
      </c>
      <c r="I5684" s="1">
        <v>15.717000000000001</v>
      </c>
      <c r="J5684" s="21">
        <v>1800</v>
      </c>
      <c r="K5684" s="1"/>
      <c r="L5684" s="1"/>
      <c r="M5684" s="1"/>
      <c r="N5684" s="1"/>
      <c r="O5684" s="1"/>
      <c r="P5684" s="365"/>
      <c r="Q5684" s="1"/>
      <c r="R5684" s="1"/>
      <c r="S5684" s="1"/>
      <c r="T5684" s="1"/>
    </row>
    <row r="5685" spans="1:20">
      <c r="A5685" s="1">
        <v>2800</v>
      </c>
      <c r="B5685" s="1">
        <v>16.048999999999999</v>
      </c>
      <c r="C5685" s="1">
        <v>16.039000000000001</v>
      </c>
      <c r="D5685" s="1">
        <v>16.033999999999999</v>
      </c>
      <c r="E5685" s="1">
        <v>16.029</v>
      </c>
      <c r="F5685" s="1">
        <v>16.024000000000001</v>
      </c>
      <c r="G5685" s="1">
        <v>16.018999999999998</v>
      </c>
      <c r="H5685" s="1">
        <v>16.007999999999999</v>
      </c>
      <c r="I5685" s="1">
        <v>15.997999999999999</v>
      </c>
      <c r="J5685" s="21">
        <v>1750</v>
      </c>
      <c r="K5685" s="1"/>
      <c r="L5685" s="1"/>
      <c r="M5685" s="1"/>
      <c r="N5685" s="1"/>
      <c r="O5685" s="1"/>
      <c r="P5685" s="365"/>
      <c r="Q5685" s="1"/>
      <c r="R5685" s="1"/>
      <c r="S5685" s="1"/>
      <c r="T5685" s="1"/>
    </row>
    <row r="5686" spans="1:20">
      <c r="A5686" s="1">
        <v>2850</v>
      </c>
      <c r="B5686" s="1">
        <v>16.329999999999998</v>
      </c>
      <c r="C5686" s="1">
        <v>16.32</v>
      </c>
      <c r="D5686" s="1">
        <v>16.315000000000001</v>
      </c>
      <c r="E5686" s="1">
        <v>16.309999999999999</v>
      </c>
      <c r="F5686" s="1">
        <v>16.305</v>
      </c>
      <c r="G5686" s="1">
        <v>16.3</v>
      </c>
      <c r="H5686" s="1">
        <v>16.29</v>
      </c>
      <c r="I5686" s="1">
        <v>16.28</v>
      </c>
      <c r="J5686" s="21">
        <v>1700</v>
      </c>
      <c r="K5686" s="1"/>
      <c r="L5686" s="1"/>
      <c r="M5686" s="1"/>
      <c r="N5686" s="1"/>
      <c r="O5686" s="1"/>
      <c r="P5686" s="365"/>
      <c r="Q5686" s="1"/>
      <c r="R5686" s="1"/>
      <c r="S5686" s="1"/>
      <c r="T5686" s="1"/>
    </row>
    <row r="5687" spans="1:20">
      <c r="A5687" s="1">
        <v>2900</v>
      </c>
      <c r="B5687" s="1">
        <v>16.611999999999998</v>
      </c>
      <c r="C5687" s="1">
        <v>16.602</v>
      </c>
      <c r="D5687" s="1">
        <v>16.597000000000001</v>
      </c>
      <c r="E5687" s="1">
        <v>16.591000000000001</v>
      </c>
      <c r="F5687" s="1">
        <v>16.585999999999999</v>
      </c>
      <c r="G5687" s="1">
        <v>16.581</v>
      </c>
      <c r="H5687" s="1">
        <v>16.571000000000002</v>
      </c>
      <c r="I5687" s="1">
        <v>16.561</v>
      </c>
      <c r="J5687" s="21">
        <v>1650</v>
      </c>
      <c r="K5687" s="1"/>
      <c r="L5687" s="1"/>
      <c r="M5687" s="1"/>
      <c r="N5687" s="1"/>
      <c r="O5687" s="1"/>
      <c r="P5687" s="365"/>
      <c r="Q5687" s="1"/>
      <c r="R5687" s="1"/>
      <c r="S5687" s="1"/>
      <c r="T5687" s="1"/>
    </row>
    <row r="5688" spans="1:20">
      <c r="A5688" s="1">
        <v>2950</v>
      </c>
      <c r="B5688" s="1">
        <v>16.893000000000001</v>
      </c>
      <c r="C5688" s="1">
        <v>16.882999999999999</v>
      </c>
      <c r="D5688" s="1">
        <v>16.878</v>
      </c>
      <c r="E5688" s="1">
        <v>16.873000000000001</v>
      </c>
      <c r="F5688" s="1">
        <v>16.867999999999999</v>
      </c>
      <c r="G5688" s="1">
        <v>16.863</v>
      </c>
      <c r="H5688" s="1">
        <v>16.853000000000002</v>
      </c>
      <c r="I5688" s="1">
        <v>16.843</v>
      </c>
      <c r="J5688" s="21">
        <v>1600</v>
      </c>
      <c r="K5688" s="1"/>
      <c r="L5688" s="1"/>
      <c r="M5688" s="1"/>
      <c r="N5688" s="1"/>
      <c r="O5688" s="1"/>
      <c r="P5688" s="365"/>
      <c r="Q5688" s="1"/>
      <c r="R5688" s="1"/>
      <c r="S5688" s="1"/>
      <c r="T5688" s="1"/>
    </row>
    <row r="5689" spans="1:20">
      <c r="A5689" s="1">
        <v>3000</v>
      </c>
      <c r="B5689" s="1">
        <v>17.173999999999999</v>
      </c>
      <c r="C5689" s="1">
        <v>17.164000000000001</v>
      </c>
      <c r="D5689" s="1">
        <v>17.158999999999999</v>
      </c>
      <c r="E5689" s="1">
        <v>17.154</v>
      </c>
      <c r="F5689" s="1">
        <v>17.149000000000001</v>
      </c>
      <c r="G5689" s="1">
        <v>17.143999999999998</v>
      </c>
      <c r="H5689" s="1">
        <v>17.134</v>
      </c>
      <c r="I5689" s="1">
        <v>17.123999999999999</v>
      </c>
      <c r="J5689" s="21">
        <v>1550</v>
      </c>
      <c r="K5689" s="1"/>
      <c r="L5689" s="1"/>
      <c r="M5689" s="1"/>
      <c r="N5689" s="1"/>
      <c r="O5689" s="1"/>
      <c r="P5689" s="365"/>
      <c r="Q5689" s="1"/>
      <c r="R5689" s="1"/>
      <c r="S5689" s="1"/>
      <c r="T5689" s="1"/>
    </row>
    <row r="5690" spans="1:20">
      <c r="A5690" s="1">
        <v>3050</v>
      </c>
      <c r="B5690" s="1">
        <v>17.456</v>
      </c>
      <c r="C5690" s="1">
        <v>17.446000000000002</v>
      </c>
      <c r="D5690" s="1">
        <v>17.440999999999999</v>
      </c>
      <c r="E5690" s="1">
        <v>17.436</v>
      </c>
      <c r="F5690" s="1">
        <v>17.431000000000001</v>
      </c>
      <c r="G5690" s="1">
        <v>17.425000000000001</v>
      </c>
      <c r="H5690" s="1">
        <v>17.414999999999999</v>
      </c>
      <c r="I5690" s="1">
        <v>17.405000000000001</v>
      </c>
      <c r="J5690" s="21">
        <v>1500</v>
      </c>
      <c r="K5690" s="1"/>
      <c r="L5690" s="1"/>
      <c r="M5690" s="1"/>
      <c r="N5690" s="1"/>
      <c r="O5690" s="1"/>
      <c r="P5690" s="365"/>
      <c r="Q5690" s="1"/>
      <c r="R5690" s="1"/>
      <c r="S5690" s="1"/>
      <c r="T5690" s="1"/>
    </row>
    <row r="5691" spans="1:20">
      <c r="A5691" s="1">
        <v>3100</v>
      </c>
      <c r="B5691" s="1">
        <v>17.736999999999998</v>
      </c>
      <c r="C5691" s="1">
        <v>17.727</v>
      </c>
      <c r="D5691" s="1">
        <v>17.722000000000001</v>
      </c>
      <c r="E5691" s="1">
        <v>17.716999999999999</v>
      </c>
      <c r="F5691" s="1">
        <v>17.712</v>
      </c>
      <c r="G5691" s="1">
        <v>17.707000000000001</v>
      </c>
      <c r="H5691" s="1">
        <v>17.696999999999999</v>
      </c>
      <c r="I5691" s="1">
        <v>17.687000000000001</v>
      </c>
      <c r="J5691" s="21">
        <v>1450</v>
      </c>
      <c r="K5691" s="1"/>
      <c r="L5691" s="1"/>
      <c r="M5691" s="1"/>
      <c r="N5691" s="1"/>
      <c r="O5691" s="1"/>
      <c r="P5691" s="365"/>
      <c r="Q5691" s="1"/>
      <c r="R5691" s="1"/>
      <c r="S5691" s="1"/>
      <c r="T5691" s="1"/>
    </row>
    <row r="5692" spans="1:20">
      <c r="A5692" s="1">
        <v>3150</v>
      </c>
      <c r="B5692" s="1">
        <v>18.018999999999998</v>
      </c>
      <c r="C5692" s="1">
        <v>18.007999999999999</v>
      </c>
      <c r="D5692" s="1">
        <v>18.003</v>
      </c>
      <c r="E5692" s="1">
        <v>17.998000000000001</v>
      </c>
      <c r="F5692" s="1">
        <v>17.992999999999999</v>
      </c>
      <c r="G5692" s="1">
        <v>17.988</v>
      </c>
      <c r="H5692" s="1">
        <v>17.978000000000002</v>
      </c>
      <c r="I5692" s="1">
        <v>17.968</v>
      </c>
      <c r="J5692" s="21">
        <v>1400</v>
      </c>
      <c r="K5692" s="1"/>
      <c r="L5692" s="1"/>
      <c r="M5692" s="1"/>
      <c r="N5692" s="1"/>
      <c r="O5692" s="1"/>
      <c r="P5692" s="365"/>
      <c r="Q5692" s="1"/>
      <c r="R5692" s="1"/>
      <c r="S5692" s="1"/>
      <c r="T5692" s="1"/>
    </row>
    <row r="5693" spans="1:20">
      <c r="A5693" s="1">
        <v>3200</v>
      </c>
      <c r="B5693" s="1">
        <v>18.3</v>
      </c>
      <c r="C5693" s="1">
        <v>18.29</v>
      </c>
      <c r="D5693" s="1">
        <v>18.285</v>
      </c>
      <c r="E5693" s="1">
        <v>18.28</v>
      </c>
      <c r="F5693" s="1">
        <v>18.274999999999999</v>
      </c>
      <c r="G5693" s="1">
        <v>18.27</v>
      </c>
      <c r="H5693" s="1">
        <v>18.260000000000002</v>
      </c>
      <c r="I5693" s="1">
        <v>18.248999999999999</v>
      </c>
      <c r="J5693" s="21">
        <v>1350</v>
      </c>
      <c r="K5693" s="1"/>
      <c r="L5693" s="1"/>
      <c r="M5693" s="1"/>
      <c r="N5693" s="1"/>
      <c r="O5693" s="1"/>
      <c r="P5693" s="365"/>
      <c r="Q5693" s="1"/>
      <c r="R5693" s="1"/>
      <c r="S5693" s="1"/>
      <c r="T5693" s="1"/>
    </row>
    <row r="5694" spans="1:20">
      <c r="A5694" s="1">
        <v>3250</v>
      </c>
      <c r="B5694" s="1">
        <v>18.581</v>
      </c>
      <c r="C5694" s="1">
        <v>18.571000000000002</v>
      </c>
      <c r="D5694" s="1">
        <v>18.565999999999999</v>
      </c>
      <c r="E5694" s="1">
        <v>18.561</v>
      </c>
      <c r="F5694" s="1">
        <v>18.556000000000001</v>
      </c>
      <c r="G5694" s="1">
        <v>18.550999999999998</v>
      </c>
      <c r="H5694" s="1">
        <v>18.541</v>
      </c>
      <c r="I5694" s="1">
        <v>18.530999999999999</v>
      </c>
      <c r="J5694" s="21">
        <v>1300</v>
      </c>
      <c r="K5694" s="1"/>
      <c r="L5694" s="1"/>
      <c r="M5694" s="1"/>
      <c r="N5694" s="1"/>
      <c r="O5694" s="1"/>
      <c r="P5694" s="365"/>
      <c r="Q5694" s="1"/>
      <c r="R5694" s="1"/>
      <c r="S5694" s="1"/>
      <c r="T5694" s="1"/>
    </row>
    <row r="5695" spans="1:20">
      <c r="A5695" s="1">
        <v>3300</v>
      </c>
      <c r="B5695" s="1">
        <v>18.863</v>
      </c>
      <c r="C5695" s="1">
        <v>18.853000000000002</v>
      </c>
      <c r="D5695" s="1">
        <v>18.847999999999999</v>
      </c>
      <c r="E5695" s="1">
        <v>18.843</v>
      </c>
      <c r="F5695" s="1">
        <v>18.837</v>
      </c>
      <c r="G5695" s="1">
        <v>18.832000000000001</v>
      </c>
      <c r="H5695" s="1">
        <v>18.821999999999999</v>
      </c>
      <c r="I5695" s="1">
        <v>18.812000000000001</v>
      </c>
      <c r="J5695" s="21">
        <v>1250</v>
      </c>
      <c r="K5695" s="1"/>
      <c r="L5695" s="1"/>
      <c r="M5695" s="1"/>
      <c r="N5695" s="1"/>
      <c r="O5695" s="1"/>
      <c r="P5695" s="365"/>
      <c r="Q5695" s="1"/>
      <c r="R5695" s="1"/>
      <c r="S5695" s="1"/>
      <c r="T5695" s="1"/>
    </row>
    <row r="5696" spans="1:20">
      <c r="A5696" s="1">
        <v>3350</v>
      </c>
      <c r="B5696" s="1">
        <v>19.143999999999998</v>
      </c>
      <c r="C5696" s="1">
        <v>19.134</v>
      </c>
      <c r="D5696" s="1">
        <v>19.129000000000001</v>
      </c>
      <c r="E5696" s="1">
        <v>19.123999999999999</v>
      </c>
      <c r="F5696" s="1">
        <v>19.119</v>
      </c>
      <c r="G5696" s="1">
        <v>19.114000000000001</v>
      </c>
      <c r="H5696" s="1">
        <v>19.103999999999999</v>
      </c>
      <c r="I5696" s="1">
        <v>19.094000000000001</v>
      </c>
      <c r="J5696" s="21">
        <v>1200</v>
      </c>
      <c r="K5696" s="1"/>
      <c r="L5696" s="1"/>
      <c r="M5696" s="1"/>
      <c r="N5696" s="1"/>
      <c r="O5696" s="1"/>
      <c r="P5696" s="365"/>
      <c r="Q5696" s="1"/>
      <c r="R5696" s="1"/>
      <c r="S5696" s="1"/>
      <c r="T5696" s="1"/>
    </row>
    <row r="5697" spans="1:20">
      <c r="A5697" s="1">
        <v>3400</v>
      </c>
      <c r="B5697" s="1">
        <v>19.425000000000001</v>
      </c>
      <c r="C5697" s="1">
        <v>19.414999999999999</v>
      </c>
      <c r="D5697" s="1">
        <v>19.41</v>
      </c>
      <c r="E5697" s="1">
        <v>19.405000000000001</v>
      </c>
      <c r="F5697" s="1">
        <v>19.399999999999999</v>
      </c>
      <c r="G5697" s="1">
        <v>19.395</v>
      </c>
      <c r="H5697" s="1">
        <v>19.385000000000002</v>
      </c>
      <c r="I5697" s="1">
        <v>19.375</v>
      </c>
      <c r="J5697" s="21">
        <v>1150</v>
      </c>
      <c r="K5697" s="1"/>
      <c r="L5697" s="1"/>
      <c r="M5697" s="1"/>
      <c r="N5697" s="1"/>
      <c r="O5697" s="1"/>
      <c r="P5697" s="365"/>
      <c r="Q5697" s="1"/>
      <c r="R5697" s="1"/>
      <c r="S5697" s="1"/>
      <c r="T5697" s="1"/>
    </row>
    <row r="5698" spans="1:20">
      <c r="A5698" s="1">
        <v>3450</v>
      </c>
      <c r="B5698" s="1">
        <v>19.707000000000001</v>
      </c>
      <c r="C5698" s="1">
        <v>19.696999999999999</v>
      </c>
      <c r="D5698" s="1">
        <v>19.692</v>
      </c>
      <c r="E5698" s="1">
        <v>19.687000000000001</v>
      </c>
      <c r="F5698" s="1">
        <v>19.681999999999999</v>
      </c>
      <c r="G5698" s="1">
        <v>19.677</v>
      </c>
      <c r="H5698" s="1">
        <v>19.666</v>
      </c>
      <c r="I5698" s="1">
        <v>19.655999999999999</v>
      </c>
      <c r="J5698" s="21">
        <v>1100</v>
      </c>
      <c r="K5698" s="1"/>
      <c r="L5698" s="1"/>
      <c r="M5698" s="1"/>
      <c r="N5698" s="1"/>
      <c r="O5698" s="1"/>
      <c r="P5698" s="365"/>
      <c r="Q5698" s="1"/>
      <c r="R5698" s="1"/>
      <c r="S5698" s="1"/>
      <c r="T5698" s="1"/>
    </row>
    <row r="5699" spans="1:20">
      <c r="A5699" s="1">
        <v>3500</v>
      </c>
      <c r="B5699" s="1">
        <v>19.988</v>
      </c>
      <c r="C5699" s="1">
        <v>19.978000000000002</v>
      </c>
      <c r="D5699" s="1">
        <v>19.972999999999999</v>
      </c>
      <c r="E5699" s="1">
        <v>19.968</v>
      </c>
      <c r="F5699" s="1">
        <v>19.963000000000001</v>
      </c>
      <c r="G5699" s="1">
        <v>19.957999999999998</v>
      </c>
      <c r="H5699" s="1">
        <v>19.948</v>
      </c>
      <c r="I5699" s="1">
        <v>19.937999999999999</v>
      </c>
      <c r="J5699" s="21">
        <v>1050</v>
      </c>
      <c r="K5699" s="1"/>
      <c r="L5699" s="1"/>
      <c r="M5699" s="1"/>
      <c r="N5699" s="1"/>
      <c r="O5699" s="1"/>
      <c r="P5699" s="365"/>
      <c r="Q5699" s="1"/>
      <c r="R5699" s="1"/>
      <c r="S5699" s="1"/>
      <c r="T5699" s="1"/>
    </row>
    <row r="5700" spans="1:20">
      <c r="A5700" s="1">
        <v>3550</v>
      </c>
      <c r="B5700" s="1">
        <v>20.27</v>
      </c>
      <c r="C5700" s="1">
        <v>20.260000000000002</v>
      </c>
      <c r="D5700" s="1">
        <v>20.254000000000001</v>
      </c>
      <c r="E5700" s="1">
        <v>20.248999999999999</v>
      </c>
      <c r="F5700" s="1">
        <v>20.244</v>
      </c>
      <c r="G5700" s="1">
        <v>20.239000000000001</v>
      </c>
      <c r="H5700" s="1">
        <v>20.228999999999999</v>
      </c>
      <c r="I5700" s="1">
        <v>20.219000000000001</v>
      </c>
      <c r="J5700" s="21">
        <v>1000</v>
      </c>
      <c r="K5700" s="1"/>
      <c r="L5700" s="1"/>
      <c r="M5700" s="1"/>
      <c r="N5700" s="1"/>
      <c r="O5700" s="1"/>
      <c r="P5700" s="365"/>
      <c r="Q5700" s="1"/>
      <c r="R5700" s="1"/>
      <c r="S5700" s="1"/>
      <c r="T5700" s="1"/>
    </row>
    <row r="5701" spans="1:20">
      <c r="A5701" s="1">
        <v>3600</v>
      </c>
      <c r="B5701" s="1">
        <v>20.550999999999998</v>
      </c>
      <c r="C5701" s="1">
        <v>20.541</v>
      </c>
      <c r="D5701" s="1">
        <v>20.536000000000001</v>
      </c>
      <c r="E5701" s="1">
        <v>20.530999999999999</v>
      </c>
      <c r="F5701" s="1">
        <v>20.526</v>
      </c>
      <c r="G5701" s="1">
        <v>20.521000000000001</v>
      </c>
      <c r="H5701" s="1">
        <v>20.510999999999999</v>
      </c>
      <c r="I5701" s="1">
        <v>20.5</v>
      </c>
      <c r="J5701" s="21">
        <v>950</v>
      </c>
      <c r="K5701" s="1"/>
      <c r="L5701" s="1"/>
      <c r="M5701" s="1"/>
      <c r="N5701" s="1"/>
      <c r="O5701" s="1"/>
      <c r="P5701" s="365"/>
      <c r="Q5701" s="1"/>
      <c r="R5701" s="1"/>
      <c r="S5701" s="1"/>
      <c r="T5701" s="1"/>
    </row>
    <row r="5702" spans="1:20">
      <c r="A5702" s="1">
        <v>3650</v>
      </c>
      <c r="B5702" s="1">
        <v>20.832000000000001</v>
      </c>
      <c r="C5702" s="1">
        <v>20.821999999999999</v>
      </c>
      <c r="D5702" s="1">
        <v>20.817</v>
      </c>
      <c r="E5702" s="1">
        <v>20.812000000000001</v>
      </c>
      <c r="F5702" s="1">
        <v>20.806999999999999</v>
      </c>
      <c r="G5702" s="1">
        <v>20.82</v>
      </c>
      <c r="H5702" s="1">
        <v>20.792000000000002</v>
      </c>
      <c r="I5702" s="1">
        <v>20.782</v>
      </c>
      <c r="J5702" s="21">
        <v>900</v>
      </c>
      <c r="K5702" s="1"/>
      <c r="L5702" s="1"/>
      <c r="M5702" s="1"/>
      <c r="N5702" s="1"/>
      <c r="O5702" s="1"/>
      <c r="P5702" s="365"/>
      <c r="Q5702" s="1"/>
      <c r="R5702" s="1"/>
      <c r="S5702" s="1"/>
      <c r="T5702" s="1"/>
    </row>
    <row r="5703" spans="1:20">
      <c r="A5703" s="1">
        <v>3700</v>
      </c>
      <c r="B5703" s="1">
        <v>21.114000000000001</v>
      </c>
      <c r="C5703" s="1">
        <v>21.103999999999999</v>
      </c>
      <c r="D5703" s="1">
        <v>21.099</v>
      </c>
      <c r="E5703" s="1">
        <v>21.094000000000001</v>
      </c>
      <c r="F5703" s="1">
        <v>21.088999999999999</v>
      </c>
      <c r="G5703" s="1">
        <v>21.082999999999998</v>
      </c>
      <c r="H5703" s="1">
        <v>21.073</v>
      </c>
      <c r="I5703" s="1">
        <v>21.062999999999999</v>
      </c>
      <c r="J5703" s="21">
        <v>850</v>
      </c>
      <c r="K5703" s="1"/>
      <c r="L5703" s="1"/>
      <c r="M5703" s="1"/>
      <c r="N5703" s="1"/>
      <c r="O5703" s="1"/>
      <c r="P5703" s="365"/>
      <c r="Q5703" s="1"/>
      <c r="R5703" s="1"/>
      <c r="S5703" s="1"/>
      <c r="T5703" s="1"/>
    </row>
    <row r="5704" spans="1:20">
      <c r="A5704" s="1">
        <v>3750</v>
      </c>
      <c r="B5704" s="1">
        <v>21.391999999999999</v>
      </c>
      <c r="C5704" s="1">
        <v>21.381</v>
      </c>
      <c r="D5704" s="1">
        <v>21.376000000000001</v>
      </c>
      <c r="E5704" s="1">
        <v>21.370999999999999</v>
      </c>
      <c r="F5704" s="1">
        <v>21366</v>
      </c>
      <c r="G5704" s="1">
        <v>21.361000000000001</v>
      </c>
      <c r="H5704" s="1">
        <v>21.350999999999999</v>
      </c>
      <c r="I5704" s="1">
        <v>21.34</v>
      </c>
      <c r="J5704" s="21">
        <v>800</v>
      </c>
      <c r="K5704" s="1"/>
      <c r="L5704" s="1"/>
      <c r="M5704" s="1"/>
      <c r="N5704" s="1"/>
      <c r="O5704" s="1"/>
      <c r="P5704" s="365"/>
      <c r="Q5704" s="1"/>
      <c r="R5704" s="1"/>
      <c r="S5704" s="1"/>
      <c r="T5704" s="1"/>
    </row>
    <row r="5705" spans="1:20">
      <c r="A5705" s="1">
        <v>3800</v>
      </c>
      <c r="B5705" s="1">
        <v>21.667999999999999</v>
      </c>
      <c r="C5705" s="1">
        <v>21.657</v>
      </c>
      <c r="D5705" s="1">
        <v>21.652000000000001</v>
      </c>
      <c r="E5705" s="1">
        <v>21.646999999999998</v>
      </c>
      <c r="F5705" s="1">
        <v>21.640999999999998</v>
      </c>
      <c r="G5705" s="1">
        <v>21.635999999999999</v>
      </c>
      <c r="H5705" s="1">
        <v>21.626000000000001</v>
      </c>
      <c r="I5705" s="1">
        <v>21.614999999999998</v>
      </c>
      <c r="J5705" s="21">
        <v>750</v>
      </c>
      <c r="K5705" s="1"/>
      <c r="L5705" s="1"/>
      <c r="M5705" s="1"/>
      <c r="N5705" s="1"/>
      <c r="O5705" s="1"/>
      <c r="P5705" s="365"/>
      <c r="Q5705" s="1"/>
      <c r="R5705" s="1"/>
      <c r="S5705" s="1"/>
      <c r="T5705" s="1"/>
    </row>
    <row r="5706" spans="1:20">
      <c r="A5706" s="1">
        <v>3850</v>
      </c>
      <c r="B5706" s="1">
        <v>21.943999999999999</v>
      </c>
      <c r="C5706" s="1">
        <v>21.933</v>
      </c>
      <c r="D5706" s="1">
        <v>21.928000000000001</v>
      </c>
      <c r="E5706" s="1">
        <v>21.922000000000001</v>
      </c>
      <c r="F5706" s="1">
        <v>21.917000000000002</v>
      </c>
      <c r="G5706" s="1">
        <v>21.911000000000001</v>
      </c>
      <c r="H5706" s="1">
        <v>21.901</v>
      </c>
      <c r="I5706" s="1">
        <v>21.89</v>
      </c>
      <c r="J5706" s="21">
        <v>700</v>
      </c>
      <c r="K5706" s="1"/>
      <c r="L5706" s="1"/>
      <c r="M5706" s="1"/>
      <c r="N5706" s="1"/>
      <c r="O5706" s="1"/>
      <c r="P5706" s="365"/>
      <c r="Q5706" s="1"/>
      <c r="R5706" s="1"/>
      <c r="S5706" s="1"/>
      <c r="T5706" s="1"/>
    </row>
    <row r="5707" spans="1:20">
      <c r="A5707" s="1">
        <v>3900</v>
      </c>
      <c r="B5707" s="1">
        <v>22.22</v>
      </c>
      <c r="C5707" s="1">
        <v>22.209</v>
      </c>
      <c r="D5707" s="1">
        <v>22.202999999999999</v>
      </c>
      <c r="E5707" s="1">
        <v>22.198</v>
      </c>
      <c r="F5707" s="1">
        <v>22.192</v>
      </c>
      <c r="G5707" s="1">
        <v>22.187000000000001</v>
      </c>
      <c r="H5707" s="1">
        <v>22.175999999999998</v>
      </c>
      <c r="I5707" s="1">
        <v>22.164999999999999</v>
      </c>
      <c r="J5707" s="21">
        <v>650</v>
      </c>
      <c r="K5707" s="1"/>
      <c r="L5707" s="1"/>
      <c r="M5707" s="1"/>
      <c r="N5707" s="1"/>
      <c r="O5707" s="1"/>
      <c r="P5707" s="365"/>
      <c r="Q5707" s="1"/>
      <c r="R5707" s="1"/>
      <c r="S5707" s="1"/>
      <c r="T5707" s="1"/>
    </row>
    <row r="5708" spans="1:20">
      <c r="A5708" s="1">
        <v>3950</v>
      </c>
      <c r="B5708" s="1">
        <v>22.495999999999999</v>
      </c>
      <c r="C5708" s="1">
        <v>22.484000000000002</v>
      </c>
      <c r="D5708" s="1">
        <v>22.478999999999999</v>
      </c>
      <c r="E5708" s="1">
        <v>22.472999999999999</v>
      </c>
      <c r="F5708" s="1">
        <v>22.468</v>
      </c>
      <c r="G5708" s="1">
        <v>22.462</v>
      </c>
      <c r="H5708" s="1">
        <v>22.451000000000001</v>
      </c>
      <c r="I5708" s="1">
        <v>22.439</v>
      </c>
      <c r="J5708" s="21">
        <v>600</v>
      </c>
      <c r="K5708" s="1"/>
      <c r="L5708" s="1"/>
      <c r="M5708" s="1"/>
      <c r="N5708" s="1"/>
      <c r="O5708" s="1"/>
      <c r="P5708" s="365"/>
      <c r="Q5708" s="1"/>
      <c r="R5708" s="1"/>
      <c r="S5708" s="1"/>
      <c r="T5708" s="1"/>
    </row>
    <row r="5709" spans="1:20">
      <c r="A5709" s="1">
        <v>4000</v>
      </c>
      <c r="B5709" s="1">
        <v>22.771999999999998</v>
      </c>
      <c r="C5709" s="1">
        <v>22.76</v>
      </c>
      <c r="D5709" s="1">
        <v>22.754000000000001</v>
      </c>
      <c r="E5709" s="1">
        <v>22.748999999999999</v>
      </c>
      <c r="F5709" s="1">
        <v>22.742999999999999</v>
      </c>
      <c r="G5709" s="1">
        <v>22.736999999999998</v>
      </c>
      <c r="H5709" s="1">
        <v>22.725999999999999</v>
      </c>
      <c r="I5709" s="1">
        <v>22.713999999999999</v>
      </c>
      <c r="J5709" s="21">
        <v>550</v>
      </c>
      <c r="K5709" s="1"/>
      <c r="L5709" s="1"/>
      <c r="M5709" s="1"/>
      <c r="N5709" s="1"/>
      <c r="O5709" s="1"/>
      <c r="P5709" s="365"/>
      <c r="Q5709" s="1"/>
      <c r="R5709" s="1"/>
      <c r="S5709" s="1"/>
      <c r="T5709" s="1"/>
    </row>
    <row r="5710" spans="1:20">
      <c r="A5710" s="1">
        <v>4050</v>
      </c>
      <c r="B5710" s="1">
        <v>23.047999999999998</v>
      </c>
      <c r="C5710" s="1">
        <v>23.036000000000001</v>
      </c>
      <c r="D5710" s="1">
        <v>23.03</v>
      </c>
      <c r="E5710" s="1">
        <v>23.024000000000001</v>
      </c>
      <c r="F5710" s="1">
        <v>23.018000000000001</v>
      </c>
      <c r="G5710" s="1">
        <v>23.012</v>
      </c>
      <c r="H5710" s="1">
        <v>23.001000000000001</v>
      </c>
      <c r="I5710" s="1">
        <v>22.989000000000001</v>
      </c>
      <c r="J5710" s="21">
        <v>500</v>
      </c>
      <c r="K5710" s="1"/>
      <c r="L5710" s="1"/>
      <c r="M5710" s="1"/>
      <c r="N5710" s="1"/>
      <c r="O5710" s="1"/>
      <c r="P5710" s="365"/>
      <c r="Q5710" s="1"/>
      <c r="R5710" s="1"/>
      <c r="S5710" s="1"/>
      <c r="T5710" s="1"/>
    </row>
    <row r="5711" spans="1:20">
      <c r="A5711" s="1">
        <v>4100</v>
      </c>
      <c r="B5711" s="1">
        <v>23.324000000000002</v>
      </c>
      <c r="C5711" s="1">
        <v>23.312000000000001</v>
      </c>
      <c r="D5711" s="1">
        <v>23.306000000000001</v>
      </c>
      <c r="E5711" s="1">
        <v>23.3</v>
      </c>
      <c r="F5711" s="1">
        <v>23.294</v>
      </c>
      <c r="G5711" s="1">
        <v>23.288</v>
      </c>
      <c r="H5711" s="1">
        <v>23.276</v>
      </c>
      <c r="I5711" s="1">
        <v>23.263999999999999</v>
      </c>
      <c r="J5711" s="21">
        <v>450</v>
      </c>
      <c r="K5711" s="1"/>
      <c r="L5711" s="1"/>
      <c r="M5711" s="1"/>
      <c r="N5711" s="1"/>
      <c r="O5711" s="1"/>
      <c r="P5711" s="365"/>
      <c r="Q5711" s="1"/>
      <c r="R5711" s="1"/>
      <c r="S5711" s="1"/>
      <c r="T5711" s="1"/>
    </row>
    <row r="5712" spans="1:20">
      <c r="A5712" s="1">
        <v>4150</v>
      </c>
      <c r="B5712" s="1">
        <v>23.6</v>
      </c>
      <c r="C5712" s="1">
        <v>23.587</v>
      </c>
      <c r="D5712" s="1">
        <v>23.581</v>
      </c>
      <c r="E5712" s="1">
        <v>23.574999999999999</v>
      </c>
      <c r="F5712" s="1">
        <v>23.568999999999999</v>
      </c>
      <c r="G5712" s="1">
        <v>23.562999999999999</v>
      </c>
      <c r="H5712" s="1">
        <v>23.550999999999998</v>
      </c>
      <c r="I5712" s="1">
        <v>23.538</v>
      </c>
      <c r="J5712" s="21">
        <v>400</v>
      </c>
      <c r="K5712" s="1"/>
      <c r="L5712" s="1"/>
      <c r="M5712" s="1"/>
      <c r="N5712" s="1"/>
      <c r="O5712" s="1"/>
      <c r="P5712" s="365"/>
      <c r="Q5712" s="1"/>
      <c r="R5712" s="1"/>
      <c r="S5712" s="1"/>
      <c r="T5712" s="1"/>
    </row>
    <row r="5713" spans="1:20">
      <c r="A5713" s="1">
        <v>4200</v>
      </c>
      <c r="B5713" s="1">
        <v>23.876000000000001</v>
      </c>
      <c r="C5713" s="1">
        <v>23.863</v>
      </c>
      <c r="D5713" s="1">
        <v>23.856999999999999</v>
      </c>
      <c r="E5713" s="1">
        <v>23.850999999999999</v>
      </c>
      <c r="F5713" s="1">
        <v>23.844999999999999</v>
      </c>
      <c r="G5713" s="1">
        <v>23.838000000000001</v>
      </c>
      <c r="H5713" s="1">
        <v>23.826000000000001</v>
      </c>
      <c r="I5713" s="1">
        <v>23.812999999999999</v>
      </c>
      <c r="J5713" s="21">
        <v>350</v>
      </c>
      <c r="K5713" s="1"/>
      <c r="L5713" s="1"/>
      <c r="M5713" s="1"/>
      <c r="N5713" s="1"/>
      <c r="O5713" s="1"/>
      <c r="P5713" s="365"/>
      <c r="Q5713" s="1"/>
      <c r="R5713" s="1"/>
      <c r="S5713" s="1"/>
      <c r="T5713" s="1"/>
    </row>
    <row r="5714" spans="1:20">
      <c r="A5714" s="1">
        <v>4250</v>
      </c>
      <c r="B5714" s="1">
        <v>24.152000000000001</v>
      </c>
      <c r="C5714" s="1">
        <v>24.138999999999999</v>
      </c>
      <c r="D5714" s="1">
        <v>24.132999999999999</v>
      </c>
      <c r="E5714" s="1">
        <v>24.126000000000001</v>
      </c>
      <c r="F5714" s="1">
        <v>24.12</v>
      </c>
      <c r="G5714" s="1">
        <v>24.114000000000001</v>
      </c>
      <c r="H5714" s="1">
        <v>24.100999999999999</v>
      </c>
      <c r="I5714" s="1">
        <v>24.088000000000001</v>
      </c>
      <c r="J5714" s="21">
        <v>300</v>
      </c>
      <c r="K5714" s="1"/>
      <c r="L5714" s="1"/>
      <c r="M5714" s="1"/>
      <c r="N5714" s="1"/>
      <c r="O5714" s="1"/>
      <c r="P5714" s="365"/>
      <c r="Q5714" s="1"/>
      <c r="R5714" s="1"/>
      <c r="S5714" s="1"/>
      <c r="T5714" s="1"/>
    </row>
    <row r="5715" spans="1:20">
      <c r="A5715" s="1">
        <v>4300</v>
      </c>
      <c r="B5715" s="1">
        <v>24.428000000000001</v>
      </c>
      <c r="C5715" s="1">
        <v>24.414999999999999</v>
      </c>
      <c r="D5715" s="1">
        <v>24.408999999999999</v>
      </c>
      <c r="E5715" s="1">
        <v>24.402000000000001</v>
      </c>
      <c r="F5715" s="1">
        <v>24.396000000000001</v>
      </c>
      <c r="G5715" s="1">
        <v>24.388999999999999</v>
      </c>
      <c r="H5715" s="1">
        <v>24.376000000000001</v>
      </c>
      <c r="I5715" s="1">
        <v>24.363</v>
      </c>
      <c r="J5715" s="21">
        <v>250</v>
      </c>
      <c r="K5715" s="1"/>
      <c r="L5715" s="1"/>
      <c r="M5715" s="1"/>
      <c r="N5715" s="1"/>
      <c r="O5715" s="1"/>
      <c r="P5715" s="365"/>
      <c r="Q5715" s="1"/>
      <c r="R5715" s="1"/>
      <c r="S5715" s="1"/>
      <c r="T5715" s="1"/>
    </row>
    <row r="5716" spans="1:20">
      <c r="A5716" s="1">
        <v>4350</v>
      </c>
      <c r="B5716" s="1">
        <v>24.71</v>
      </c>
      <c r="C5716" s="1">
        <v>24.696999999999999</v>
      </c>
      <c r="D5716" s="1">
        <v>24.69</v>
      </c>
      <c r="E5716" s="1">
        <v>24.684000000000001</v>
      </c>
      <c r="F5716" s="1">
        <v>24.677</v>
      </c>
      <c r="G5716" s="1">
        <v>24.670999999999999</v>
      </c>
      <c r="H5716" s="1">
        <v>24.658000000000001</v>
      </c>
      <c r="I5716" s="1">
        <v>24.645</v>
      </c>
      <c r="J5716" s="21">
        <v>200</v>
      </c>
      <c r="K5716" s="1"/>
      <c r="L5716" s="1"/>
      <c r="M5716" s="1"/>
      <c r="N5716" s="1"/>
      <c r="O5716" s="1"/>
      <c r="P5716" s="365"/>
      <c r="Q5716" s="1"/>
      <c r="R5716" s="1"/>
      <c r="S5716" s="1"/>
      <c r="T5716" s="1"/>
    </row>
    <row r="5717" spans="1:20">
      <c r="A5717" s="1">
        <v>4400</v>
      </c>
      <c r="B5717" s="1">
        <v>24.991</v>
      </c>
      <c r="C5717" s="1">
        <v>24.978000000000002</v>
      </c>
      <c r="D5717" s="1">
        <v>24.972000000000001</v>
      </c>
      <c r="E5717" s="1">
        <v>24.965</v>
      </c>
      <c r="F5717" s="1">
        <v>24.959</v>
      </c>
      <c r="G5717" s="1">
        <v>24.952000000000002</v>
      </c>
      <c r="H5717" s="1">
        <v>24.939</v>
      </c>
      <c r="I5717" s="1">
        <v>24.925999999999998</v>
      </c>
      <c r="J5717" s="21">
        <v>150</v>
      </c>
      <c r="K5717" s="1"/>
      <c r="L5717" s="1"/>
      <c r="M5717" s="1"/>
      <c r="N5717" s="1"/>
      <c r="O5717" s="1"/>
      <c r="P5717" s="365"/>
      <c r="Q5717" s="1"/>
      <c r="R5717" s="1"/>
      <c r="S5717" s="1"/>
      <c r="T5717" s="1"/>
    </row>
    <row r="5718" spans="1:20">
      <c r="A5718" s="1">
        <v>4450</v>
      </c>
      <c r="B5718" s="1">
        <v>25.271999999999998</v>
      </c>
      <c r="C5718" s="1">
        <v>25.259</v>
      </c>
      <c r="D5718" s="1">
        <v>25.253</v>
      </c>
      <c r="E5718" s="1">
        <v>25.245999999999999</v>
      </c>
      <c r="F5718" s="1">
        <v>25.24</v>
      </c>
      <c r="G5718" s="1">
        <v>25.233000000000001</v>
      </c>
      <c r="H5718" s="1">
        <v>25.221</v>
      </c>
      <c r="I5718" s="1">
        <v>25.207999999999998</v>
      </c>
      <c r="J5718" s="21">
        <v>100</v>
      </c>
      <c r="K5718" s="1"/>
      <c r="L5718" s="1"/>
      <c r="M5718" s="1"/>
      <c r="N5718" s="1"/>
      <c r="O5718" s="1"/>
      <c r="P5718" s="365"/>
      <c r="Q5718" s="1"/>
      <c r="R5718" s="1"/>
      <c r="S5718" s="1"/>
      <c r="T5718" s="1"/>
    </row>
    <row r="5719" spans="1:20">
      <c r="A5719" s="1">
        <v>4500</v>
      </c>
      <c r="B5719" s="1">
        <v>25.324000000000002</v>
      </c>
      <c r="C5719" s="1">
        <v>25.324000000000002</v>
      </c>
      <c r="D5719" s="1">
        <v>25.324000000000002</v>
      </c>
      <c r="E5719" s="1">
        <v>25.324000000000002</v>
      </c>
      <c r="F5719" s="1">
        <v>25.324000000000002</v>
      </c>
      <c r="G5719" s="1">
        <v>25.324000000000002</v>
      </c>
      <c r="H5719" s="1">
        <v>25.324000000000002</v>
      </c>
      <c r="I5719" s="1">
        <v>25.324000000000002</v>
      </c>
      <c r="J5719" s="21">
        <v>50</v>
      </c>
      <c r="K5719" s="1"/>
      <c r="L5719" s="1"/>
      <c r="M5719" s="1"/>
      <c r="N5719" s="1"/>
      <c r="O5719" s="1"/>
      <c r="P5719" s="365"/>
      <c r="Q5719" s="1"/>
      <c r="R5719" s="1"/>
      <c r="S5719" s="1"/>
      <c r="T5719" s="1"/>
    </row>
    <row r="5720" spans="1:20">
      <c r="A5720" s="1">
        <v>6004</v>
      </c>
      <c r="B5720" s="1">
        <v>25.324000000000002</v>
      </c>
      <c r="C5720" s="1">
        <v>25.324000000000002</v>
      </c>
      <c r="D5720" s="1">
        <v>25.324000000000002</v>
      </c>
      <c r="E5720" s="1">
        <v>25.324000000000002</v>
      </c>
      <c r="F5720" s="1">
        <v>25.324000000000002</v>
      </c>
      <c r="G5720" s="1">
        <v>25.324000000000002</v>
      </c>
      <c r="H5720" s="1">
        <v>25.324000000000002</v>
      </c>
      <c r="I5720" s="1">
        <v>25.324000000000002</v>
      </c>
      <c r="J5720" s="21">
        <v>0</v>
      </c>
      <c r="K5720" s="1"/>
      <c r="L5720" s="1"/>
      <c r="M5720" s="1"/>
      <c r="N5720" s="1"/>
      <c r="O5720" s="1"/>
      <c r="P5720" s="365"/>
      <c r="Q5720" s="1"/>
      <c r="R5720" s="1"/>
      <c r="S5720" s="1"/>
      <c r="T5720" s="1"/>
    </row>
    <row r="5721" spans="1:20">
      <c r="B5721" s="19"/>
      <c r="C5721" s="19"/>
      <c r="D5721" s="19"/>
      <c r="E5721" s="19"/>
      <c r="F5721" s="19"/>
      <c r="G5721" s="19"/>
      <c r="H5721" s="19"/>
      <c r="I5721" s="19"/>
      <c r="J5721" s="19"/>
      <c r="K5721" s="421"/>
      <c r="L5721" s="23"/>
      <c r="M5721" s="19"/>
      <c r="N5721" s="19"/>
      <c r="O5721" s="19"/>
      <c r="P5721" s="19"/>
      <c r="Q5721" s="19"/>
    </row>
    <row r="5722" spans="1:20">
      <c r="B5722" s="19"/>
      <c r="C5722" s="19"/>
      <c r="D5722" s="19"/>
      <c r="E5722" s="19"/>
      <c r="F5722" s="19"/>
      <c r="G5722" s="19"/>
      <c r="H5722" s="19"/>
      <c r="I5722" s="19"/>
      <c r="J5722" s="19"/>
      <c r="K5722" s="421"/>
      <c r="L5722" s="23"/>
      <c r="M5722" s="19"/>
      <c r="N5722" s="19"/>
      <c r="O5722" s="19"/>
      <c r="P5722" s="19"/>
      <c r="Q5722" s="19"/>
    </row>
    <row r="5723" spans="1:20">
      <c r="B5723" s="19"/>
      <c r="C5723" s="19"/>
      <c r="D5723" s="19"/>
      <c r="E5723" s="19"/>
      <c r="F5723" s="19"/>
      <c r="G5723" s="19"/>
      <c r="H5723" s="19"/>
      <c r="I5723" s="19"/>
      <c r="J5723" s="19"/>
      <c r="K5723" s="421"/>
      <c r="L5723" s="23"/>
      <c r="M5723" s="19"/>
      <c r="N5723" s="19"/>
      <c r="O5723" s="19"/>
      <c r="P5723" s="19"/>
      <c r="Q5723" s="19"/>
    </row>
    <row r="5724" spans="1:20">
      <c r="B5724" s="19"/>
      <c r="C5724" s="19"/>
      <c r="D5724" s="19"/>
      <c r="E5724" s="19"/>
      <c r="F5724" s="19"/>
      <c r="G5724" s="19"/>
      <c r="H5724" s="19"/>
      <c r="I5724" s="19"/>
      <c r="J5724" s="19"/>
      <c r="K5724" s="421"/>
      <c r="L5724" s="23"/>
      <c r="M5724" s="19"/>
      <c r="N5724" s="19"/>
      <c r="O5724" s="19"/>
      <c r="P5724" s="19"/>
      <c r="Q5724" s="19"/>
    </row>
    <row r="5725" spans="1:20">
      <c r="B5725" s="19"/>
      <c r="C5725" s="19"/>
      <c r="D5725" s="19"/>
      <c r="E5725" s="19"/>
      <c r="F5725" s="19"/>
      <c r="G5725" s="19"/>
      <c r="H5725" s="19"/>
      <c r="I5725" s="19"/>
      <c r="J5725" s="19"/>
      <c r="K5725" s="421"/>
      <c r="L5725" s="23"/>
      <c r="M5725" s="19"/>
      <c r="N5725" s="19"/>
      <c r="O5725" s="19"/>
      <c r="P5725" s="19"/>
      <c r="Q5725" s="19"/>
    </row>
    <row r="5726" spans="1:20">
      <c r="B5726" s="19"/>
      <c r="C5726" s="19"/>
      <c r="D5726" s="19"/>
      <c r="E5726" s="19"/>
      <c r="F5726" s="19"/>
      <c r="G5726" s="19"/>
      <c r="H5726" s="19"/>
      <c r="I5726" s="19"/>
      <c r="J5726" s="19"/>
      <c r="K5726" s="421"/>
      <c r="L5726" s="23"/>
      <c r="M5726" s="19"/>
      <c r="N5726" s="19"/>
      <c r="O5726" s="19"/>
      <c r="P5726" s="19"/>
      <c r="Q5726" s="19"/>
    </row>
    <row r="5727" spans="1:20">
      <c r="B5727" s="19"/>
      <c r="C5727" s="19"/>
      <c r="D5727" s="19"/>
      <c r="E5727" s="19"/>
      <c r="F5727" s="19"/>
      <c r="G5727" s="19"/>
      <c r="H5727" s="19"/>
      <c r="I5727" s="19"/>
      <c r="J5727" s="19"/>
      <c r="K5727" s="421"/>
      <c r="L5727" s="23"/>
      <c r="M5727" s="19"/>
      <c r="N5727" s="19"/>
      <c r="O5727" s="19"/>
      <c r="P5727" s="19"/>
      <c r="Q5727" s="19"/>
    </row>
    <row r="5728" spans="1:20">
      <c r="B5728" s="19"/>
      <c r="C5728" s="19"/>
      <c r="D5728" s="19"/>
      <c r="E5728" s="19"/>
      <c r="F5728" s="19"/>
      <c r="G5728" s="19"/>
      <c r="H5728" s="19"/>
      <c r="I5728" s="19"/>
      <c r="J5728" s="19"/>
      <c r="K5728" s="421"/>
      <c r="L5728" s="23"/>
      <c r="M5728" s="19"/>
      <c r="N5728" s="19"/>
      <c r="O5728" s="19"/>
      <c r="P5728" s="19"/>
      <c r="Q5728" s="19"/>
    </row>
    <row r="5729" spans="2:17">
      <c r="B5729" s="19"/>
      <c r="C5729" s="19"/>
      <c r="D5729" s="19"/>
      <c r="E5729" s="19"/>
      <c r="F5729" s="19"/>
      <c r="G5729" s="19"/>
      <c r="H5729" s="19"/>
      <c r="I5729" s="19"/>
      <c r="J5729" s="19"/>
      <c r="K5729" s="421"/>
      <c r="L5729" s="23"/>
      <c r="M5729" s="19"/>
      <c r="N5729" s="19"/>
      <c r="O5729" s="19"/>
      <c r="P5729" s="19"/>
      <c r="Q5729" s="19"/>
    </row>
    <row r="5730" spans="2:17">
      <c r="B5730" s="19"/>
      <c r="C5730" s="19"/>
      <c r="D5730" s="19"/>
      <c r="E5730" s="19"/>
      <c r="F5730" s="19"/>
      <c r="G5730" s="19"/>
      <c r="H5730" s="19"/>
      <c r="I5730" s="19"/>
      <c r="J5730" s="19"/>
      <c r="K5730" s="421"/>
      <c r="L5730" s="23"/>
      <c r="M5730" s="19"/>
      <c r="N5730" s="19"/>
      <c r="O5730" s="19"/>
      <c r="P5730" s="19"/>
      <c r="Q5730" s="19"/>
    </row>
    <row r="5731" spans="2:17">
      <c r="B5731" s="19"/>
      <c r="C5731" s="19"/>
      <c r="D5731" s="19"/>
      <c r="E5731" s="19"/>
      <c r="F5731" s="19"/>
      <c r="G5731" s="19"/>
      <c r="H5731" s="19"/>
      <c r="I5731" s="19"/>
      <c r="J5731" s="19"/>
      <c r="K5731" s="421"/>
      <c r="L5731" s="23"/>
      <c r="M5731" s="19"/>
      <c r="N5731" s="19"/>
      <c r="O5731" s="19"/>
      <c r="P5731" s="19"/>
      <c r="Q5731" s="19"/>
    </row>
    <row r="5732" spans="2:17">
      <c r="B5732" s="19"/>
      <c r="C5732" s="19"/>
      <c r="D5732" s="19"/>
      <c r="E5732" s="19"/>
      <c r="F5732" s="19"/>
      <c r="G5732" s="19"/>
      <c r="H5732" s="19"/>
      <c r="I5732" s="19"/>
      <c r="J5732" s="19"/>
      <c r="K5732" s="421"/>
      <c r="L5732" s="23"/>
      <c r="M5732" s="19"/>
      <c r="N5732" s="19"/>
      <c r="O5732" s="19"/>
      <c r="P5732" s="19"/>
      <c r="Q5732" s="19"/>
    </row>
    <row r="5733" spans="2:17">
      <c r="B5733" s="19"/>
      <c r="C5733" s="19"/>
      <c r="D5733" s="19"/>
      <c r="E5733" s="19"/>
      <c r="F5733" s="19"/>
      <c r="G5733" s="19"/>
      <c r="H5733" s="19"/>
      <c r="I5733" s="19"/>
      <c r="J5733" s="19"/>
      <c r="K5733" s="421"/>
      <c r="L5733" s="23"/>
      <c r="M5733" s="19"/>
      <c r="N5733" s="19"/>
      <c r="O5733" s="19"/>
      <c r="P5733" s="19"/>
      <c r="Q5733" s="19"/>
    </row>
    <row r="5734" spans="2:17">
      <c r="B5734" s="19"/>
      <c r="C5734" s="19"/>
      <c r="D5734" s="19"/>
      <c r="E5734" s="19"/>
      <c r="F5734" s="19"/>
      <c r="G5734" s="19"/>
      <c r="H5734" s="19"/>
      <c r="I5734" s="19"/>
      <c r="J5734" s="19"/>
      <c r="K5734" s="421"/>
      <c r="L5734" s="23"/>
      <c r="M5734" s="19"/>
      <c r="N5734" s="19"/>
      <c r="O5734" s="19"/>
      <c r="P5734" s="19"/>
      <c r="Q5734" s="19"/>
    </row>
    <row r="5735" spans="2:17">
      <c r="B5735" s="19"/>
      <c r="C5735" s="19"/>
      <c r="D5735" s="19"/>
      <c r="E5735" s="19"/>
      <c r="F5735" s="19"/>
      <c r="G5735" s="19"/>
      <c r="H5735" s="19"/>
      <c r="I5735" s="19"/>
      <c r="J5735" s="19"/>
      <c r="K5735" s="421"/>
      <c r="L5735" s="23"/>
      <c r="M5735" s="19"/>
      <c r="N5735" s="19"/>
      <c r="O5735" s="19"/>
      <c r="P5735" s="19"/>
      <c r="Q5735" s="19"/>
    </row>
    <row r="5736" spans="2:17">
      <c r="B5736" s="19"/>
      <c r="C5736" s="19"/>
      <c r="D5736" s="19"/>
      <c r="E5736" s="19"/>
      <c r="F5736" s="19"/>
      <c r="G5736" s="19"/>
      <c r="H5736" s="19"/>
      <c r="I5736" s="19"/>
      <c r="J5736" s="19"/>
      <c r="K5736" s="421"/>
      <c r="L5736" s="23"/>
      <c r="M5736" s="19"/>
      <c r="N5736" s="19"/>
      <c r="O5736" s="19"/>
      <c r="P5736" s="19"/>
      <c r="Q5736" s="19"/>
    </row>
    <row r="5737" spans="2:17">
      <c r="B5737" s="19"/>
      <c r="C5737" s="19"/>
      <c r="D5737" s="19"/>
      <c r="E5737" s="19"/>
      <c r="F5737" s="19"/>
      <c r="G5737" s="19"/>
      <c r="H5737" s="19"/>
      <c r="I5737" s="19"/>
      <c r="J5737" s="19"/>
      <c r="K5737" s="421"/>
      <c r="L5737" s="23"/>
      <c r="M5737" s="19"/>
      <c r="N5737" s="19"/>
      <c r="O5737" s="19"/>
      <c r="P5737" s="19"/>
      <c r="Q5737" s="19"/>
    </row>
    <row r="5738" spans="2:17">
      <c r="B5738" s="19"/>
      <c r="C5738" s="19"/>
      <c r="D5738" s="19"/>
      <c r="E5738" s="19"/>
      <c r="F5738" s="19"/>
      <c r="G5738" s="19"/>
      <c r="H5738" s="19"/>
      <c r="I5738" s="19"/>
      <c r="J5738" s="19"/>
      <c r="K5738" s="421"/>
      <c r="L5738" s="23"/>
      <c r="M5738" s="19"/>
      <c r="N5738" s="19"/>
      <c r="O5738" s="19"/>
      <c r="P5738" s="19"/>
      <c r="Q5738" s="19"/>
    </row>
    <row r="5739" spans="2:17">
      <c r="B5739" s="19"/>
      <c r="C5739" s="19"/>
      <c r="D5739" s="19"/>
      <c r="E5739" s="19"/>
      <c r="F5739" s="19"/>
      <c r="G5739" s="19"/>
      <c r="H5739" s="19"/>
      <c r="I5739" s="19"/>
      <c r="J5739" s="19"/>
      <c r="K5739" s="421"/>
      <c r="L5739" s="23"/>
      <c r="M5739" s="19"/>
      <c r="N5739" s="19"/>
      <c r="O5739" s="19"/>
      <c r="P5739" s="19"/>
      <c r="Q5739" s="19"/>
    </row>
    <row r="5740" spans="2:17">
      <c r="B5740" s="19"/>
      <c r="C5740" s="19"/>
      <c r="D5740" s="19"/>
      <c r="E5740" s="19"/>
      <c r="F5740" s="19"/>
      <c r="G5740" s="19"/>
      <c r="H5740" s="19"/>
      <c r="I5740" s="19"/>
      <c r="J5740" s="19"/>
      <c r="K5740" s="421"/>
      <c r="L5740" s="23"/>
      <c r="M5740" s="19"/>
      <c r="N5740" s="19"/>
      <c r="O5740" s="19"/>
      <c r="P5740" s="19"/>
      <c r="Q5740" s="19"/>
    </row>
    <row r="5741" spans="2:17">
      <c r="B5741" s="19"/>
      <c r="C5741" s="19"/>
      <c r="D5741" s="19"/>
      <c r="E5741" s="19"/>
      <c r="F5741" s="19"/>
      <c r="G5741" s="19"/>
      <c r="H5741" s="19"/>
      <c r="I5741" s="19"/>
      <c r="J5741" s="19"/>
      <c r="K5741" s="421"/>
      <c r="L5741" s="23"/>
      <c r="M5741" s="19"/>
      <c r="N5741" s="19"/>
      <c r="O5741" s="19"/>
      <c r="P5741" s="19"/>
      <c r="Q5741" s="19"/>
    </row>
    <row r="5742" spans="2:17">
      <c r="B5742" s="19"/>
      <c r="C5742" s="19"/>
      <c r="D5742" s="19"/>
      <c r="E5742" s="19"/>
      <c r="F5742" s="19"/>
      <c r="G5742" s="19"/>
      <c r="H5742" s="19"/>
      <c r="I5742" s="19"/>
      <c r="J5742" s="19"/>
      <c r="K5742" s="421"/>
      <c r="L5742" s="23"/>
      <c r="M5742" s="19"/>
      <c r="N5742" s="19"/>
      <c r="O5742" s="19"/>
      <c r="P5742" s="19"/>
      <c r="Q5742" s="19"/>
    </row>
    <row r="5743" spans="2:17">
      <c r="B5743" s="19"/>
      <c r="C5743" s="19"/>
      <c r="D5743" s="19"/>
      <c r="E5743" s="19"/>
      <c r="F5743" s="19"/>
      <c r="G5743" s="19"/>
      <c r="H5743" s="19"/>
      <c r="I5743" s="19"/>
      <c r="J5743" s="19"/>
      <c r="K5743" s="421"/>
      <c r="L5743" s="23"/>
      <c r="M5743" s="19"/>
      <c r="N5743" s="19"/>
      <c r="O5743" s="19"/>
      <c r="P5743" s="19"/>
      <c r="Q5743" s="19"/>
    </row>
    <row r="5744" spans="2:17">
      <c r="B5744" s="19"/>
      <c r="C5744" s="19"/>
      <c r="D5744" s="19"/>
      <c r="E5744" s="19"/>
      <c r="F5744" s="19"/>
      <c r="G5744" s="19"/>
      <c r="H5744" s="19"/>
      <c r="I5744" s="19"/>
      <c r="J5744" s="19"/>
      <c r="K5744" s="421"/>
      <c r="L5744" s="23"/>
      <c r="M5744" s="19"/>
      <c r="N5744" s="19"/>
      <c r="O5744" s="19"/>
      <c r="P5744" s="19"/>
      <c r="Q5744" s="19"/>
    </row>
    <row r="5745" spans="2:16372">
      <c r="B5745" s="19"/>
      <c r="C5745" s="19"/>
      <c r="D5745" s="19"/>
      <c r="E5745" s="19"/>
      <c r="F5745" s="19"/>
      <c r="G5745" s="19"/>
      <c r="H5745" s="19"/>
      <c r="I5745" s="19"/>
      <c r="J5745" s="19"/>
      <c r="K5745" s="421"/>
      <c r="L5745" s="23"/>
      <c r="M5745" s="19"/>
      <c r="N5745" s="19"/>
      <c r="O5745" s="19"/>
      <c r="P5745" s="19"/>
      <c r="Q5745" s="19"/>
    </row>
    <row r="5746" spans="2:16372">
      <c r="B5746" s="19"/>
      <c r="C5746" s="19"/>
      <c r="D5746" s="19"/>
      <c r="E5746" s="19"/>
      <c r="F5746" s="19"/>
      <c r="G5746" s="19"/>
      <c r="H5746" s="19"/>
      <c r="I5746" s="19"/>
      <c r="J5746" s="19"/>
      <c r="K5746" s="421"/>
      <c r="L5746" s="23"/>
      <c r="M5746" s="19"/>
      <c r="N5746" s="19"/>
      <c r="O5746" s="19"/>
      <c r="P5746" s="19"/>
      <c r="Q5746" s="19"/>
    </row>
    <row r="5747" spans="2:16372" ht="18.75">
      <c r="B5747" s="19"/>
      <c r="C5747" s="19"/>
      <c r="D5747" s="19"/>
      <c r="E5747" s="19"/>
      <c r="F5747" s="19"/>
      <c r="G5747" s="19"/>
      <c r="H5747" s="19"/>
      <c r="I5747" s="19"/>
      <c r="J5747" s="19"/>
      <c r="K5747" s="421"/>
      <c r="L5747" s="23"/>
      <c r="M5747" s="19"/>
      <c r="N5747" s="19"/>
      <c r="O5747" s="19"/>
      <c r="P5747" s="19"/>
      <c r="Q5747" s="19"/>
      <c r="AC5747" s="29"/>
      <c r="AD5747" s="29"/>
      <c r="AE5747" s="29"/>
      <c r="AF5747" s="29"/>
      <c r="AG5747" s="29"/>
      <c r="AH5747" s="29"/>
      <c r="AI5747" s="29"/>
      <c r="AJ5747" s="29"/>
      <c r="AK5747" s="29"/>
      <c r="AL5747" s="29"/>
      <c r="AM5747" s="29"/>
      <c r="AN5747" s="29"/>
      <c r="AO5747" s="29"/>
      <c r="AP5747" s="29"/>
      <c r="AQ5747" s="29"/>
      <c r="AR5747" s="29"/>
      <c r="AS5747" s="29"/>
      <c r="AT5747" s="29"/>
      <c r="AU5747" s="29"/>
      <c r="AV5747" s="29"/>
      <c r="AW5747" s="29"/>
      <c r="AX5747" s="29"/>
      <c r="AY5747" s="29"/>
      <c r="AZ5747" s="29"/>
      <c r="BA5747" s="917" t="s">
        <v>78</v>
      </c>
      <c r="BB5747" s="917"/>
      <c r="BC5747" s="917"/>
      <c r="BD5747" s="917"/>
      <c r="BE5747" s="917"/>
      <c r="BF5747" s="917"/>
      <c r="BG5747" s="917"/>
      <c r="BH5747" s="917"/>
      <c r="BI5747" s="917"/>
      <c r="BJ5747" s="917"/>
      <c r="BK5747" s="917"/>
      <c r="BL5747" s="917"/>
      <c r="BM5747" s="917"/>
      <c r="BN5747" s="917"/>
      <c r="BO5747" s="917"/>
      <c r="BP5747" s="917"/>
      <c r="BQ5747" s="917"/>
      <c r="BR5747" s="917"/>
      <c r="BS5747" s="917"/>
      <c r="BT5747" s="917"/>
      <c r="BU5747" s="917"/>
      <c r="BV5747" s="917"/>
      <c r="BW5747" s="917"/>
      <c r="BX5747" s="917"/>
      <c r="BY5747" s="917"/>
      <c r="BZ5747" s="917"/>
      <c r="CA5747" s="917"/>
      <c r="CB5747" s="917"/>
      <c r="CC5747" s="917"/>
      <c r="CD5747" s="917"/>
      <c r="CE5747" s="917"/>
      <c r="CF5747" s="917"/>
      <c r="CG5747" s="917" t="s">
        <v>78</v>
      </c>
      <c r="CH5747" s="917"/>
      <c r="CI5747" s="917"/>
      <c r="CJ5747" s="917"/>
      <c r="CK5747" s="917"/>
      <c r="CL5747" s="917"/>
      <c r="CM5747" s="917"/>
      <c r="CN5747" s="917"/>
      <c r="CO5747" s="917"/>
      <c r="CP5747" s="917"/>
      <c r="CQ5747" s="917"/>
      <c r="CR5747" s="917"/>
      <c r="CS5747" s="917"/>
      <c r="CT5747" s="917"/>
      <c r="CU5747" s="917"/>
      <c r="CV5747" s="917"/>
      <c r="CW5747" s="917"/>
      <c r="CX5747" s="917"/>
      <c r="CY5747" s="917"/>
      <c r="CZ5747" s="917"/>
      <c r="DA5747" s="917"/>
      <c r="DB5747" s="917"/>
      <c r="DC5747" s="917"/>
      <c r="DD5747" s="917"/>
      <c r="DE5747" s="917"/>
      <c r="DF5747" s="917"/>
      <c r="DG5747" s="917"/>
      <c r="DH5747" s="917"/>
      <c r="DI5747" s="917"/>
      <c r="DJ5747" s="917"/>
      <c r="DK5747" s="917"/>
      <c r="DL5747" s="917"/>
      <c r="DM5747" s="917" t="s">
        <v>78</v>
      </c>
      <c r="DN5747" s="917"/>
      <c r="DO5747" s="917"/>
      <c r="DP5747" s="917"/>
      <c r="DQ5747" s="917"/>
      <c r="DR5747" s="917"/>
      <c r="DS5747" s="917"/>
      <c r="DT5747" s="917"/>
      <c r="DU5747" s="917"/>
      <c r="DV5747" s="917"/>
      <c r="DW5747" s="917"/>
      <c r="DX5747" s="917"/>
      <c r="DY5747" s="917"/>
      <c r="DZ5747" s="917"/>
      <c r="EA5747" s="917"/>
      <c r="EB5747" s="917"/>
      <c r="EC5747" s="917"/>
      <c r="ED5747" s="917"/>
      <c r="EE5747" s="917"/>
      <c r="EF5747" s="917"/>
      <c r="EG5747" s="917"/>
      <c r="EH5747" s="917"/>
      <c r="EI5747" s="917"/>
      <c r="EJ5747" s="917"/>
      <c r="EK5747" s="917"/>
      <c r="EL5747" s="917"/>
      <c r="EM5747" s="917"/>
      <c r="EN5747" s="917"/>
      <c r="EO5747" s="917"/>
      <c r="EP5747" s="917"/>
      <c r="EQ5747" s="917"/>
      <c r="ER5747" s="917"/>
      <c r="ES5747" s="917" t="s">
        <v>78</v>
      </c>
      <c r="ET5747" s="917"/>
      <c r="EU5747" s="917"/>
      <c r="EV5747" s="917"/>
      <c r="EW5747" s="917"/>
      <c r="EX5747" s="917"/>
      <c r="EY5747" s="917"/>
      <c r="EZ5747" s="917"/>
      <c r="FA5747" s="917"/>
      <c r="FB5747" s="917"/>
      <c r="FC5747" s="917"/>
      <c r="FD5747" s="917"/>
      <c r="FE5747" s="917"/>
      <c r="FF5747" s="917"/>
      <c r="FG5747" s="917"/>
      <c r="FH5747" s="917"/>
      <c r="FI5747" s="917"/>
      <c r="FJ5747" s="917"/>
      <c r="FK5747" s="917"/>
      <c r="FL5747" s="917"/>
      <c r="FM5747" s="917"/>
      <c r="FN5747" s="917"/>
      <c r="FO5747" s="917"/>
      <c r="FP5747" s="917"/>
      <c r="FQ5747" s="917"/>
      <c r="FR5747" s="917"/>
      <c r="FS5747" s="917"/>
      <c r="FT5747" s="917"/>
      <c r="FU5747" s="917"/>
      <c r="FV5747" s="917"/>
      <c r="FW5747" s="917"/>
      <c r="FX5747" s="917"/>
      <c r="FY5747" s="917" t="s">
        <v>78</v>
      </c>
      <c r="FZ5747" s="917"/>
      <c r="GA5747" s="917"/>
      <c r="GB5747" s="917"/>
      <c r="GC5747" s="917"/>
      <c r="GD5747" s="917"/>
      <c r="GE5747" s="917"/>
      <c r="GF5747" s="917"/>
      <c r="GG5747" s="917"/>
      <c r="GH5747" s="917"/>
      <c r="GI5747" s="917"/>
      <c r="GJ5747" s="917"/>
      <c r="GK5747" s="917"/>
      <c r="GL5747" s="917"/>
      <c r="GM5747" s="917"/>
      <c r="GN5747" s="917"/>
      <c r="GO5747" s="917"/>
      <c r="GP5747" s="917"/>
      <c r="GQ5747" s="917"/>
      <c r="GR5747" s="917"/>
      <c r="GS5747" s="917"/>
      <c r="GT5747" s="917"/>
      <c r="GU5747" s="917"/>
      <c r="GV5747" s="917"/>
      <c r="GW5747" s="917"/>
      <c r="GX5747" s="917"/>
      <c r="GY5747" s="917"/>
      <c r="GZ5747" s="917"/>
      <c r="HA5747" s="917"/>
      <c r="HB5747" s="917"/>
      <c r="HC5747" s="917"/>
      <c r="HD5747" s="917"/>
      <c r="HE5747" s="917" t="s">
        <v>78</v>
      </c>
      <c r="HF5747" s="917"/>
      <c r="HG5747" s="917"/>
      <c r="HH5747" s="917"/>
      <c r="HI5747" s="917"/>
      <c r="HJ5747" s="917"/>
      <c r="HK5747" s="917"/>
      <c r="HL5747" s="917"/>
      <c r="HM5747" s="917"/>
      <c r="HN5747" s="917"/>
      <c r="HO5747" s="917"/>
      <c r="HP5747" s="917"/>
      <c r="HQ5747" s="917"/>
      <c r="HR5747" s="917"/>
      <c r="HS5747" s="917"/>
      <c r="HT5747" s="917"/>
      <c r="HU5747" s="917"/>
      <c r="HV5747" s="917"/>
      <c r="HW5747" s="917"/>
      <c r="HX5747" s="917"/>
      <c r="HY5747" s="917"/>
      <c r="HZ5747" s="917"/>
      <c r="IA5747" s="917"/>
      <c r="IB5747" s="917"/>
      <c r="IC5747" s="917"/>
      <c r="ID5747" s="917"/>
      <c r="IE5747" s="917"/>
      <c r="IF5747" s="917"/>
      <c r="IG5747" s="917"/>
      <c r="IH5747" s="917"/>
      <c r="II5747" s="917"/>
      <c r="IJ5747" s="917"/>
      <c r="IK5747" s="917" t="s">
        <v>78</v>
      </c>
      <c r="IL5747" s="917"/>
      <c r="IM5747" s="917"/>
      <c r="IN5747" s="917"/>
      <c r="IO5747" s="917"/>
      <c r="IP5747" s="917"/>
      <c r="IQ5747" s="917"/>
      <c r="IR5747" s="917"/>
      <c r="IS5747" s="917"/>
      <c r="IT5747" s="917"/>
      <c r="IU5747" s="917"/>
      <c r="IV5747" s="917"/>
      <c r="IW5747" s="917"/>
      <c r="IX5747" s="917"/>
      <c r="IY5747" s="917"/>
      <c r="IZ5747" s="917"/>
      <c r="JA5747" s="917"/>
      <c r="JB5747" s="917"/>
      <c r="JC5747" s="917"/>
      <c r="JD5747" s="917"/>
      <c r="JE5747" s="917"/>
      <c r="JF5747" s="917"/>
      <c r="JG5747" s="917"/>
      <c r="JH5747" s="917"/>
      <c r="JI5747" s="917"/>
      <c r="JJ5747" s="917"/>
      <c r="JK5747" s="917"/>
      <c r="JL5747" s="917"/>
      <c r="JM5747" s="917"/>
      <c r="JN5747" s="917"/>
      <c r="JO5747" s="917"/>
      <c r="JP5747" s="917"/>
      <c r="JQ5747" s="917" t="s">
        <v>78</v>
      </c>
      <c r="JR5747" s="917"/>
      <c r="JS5747" s="917"/>
      <c r="JT5747" s="917"/>
      <c r="JU5747" s="917"/>
      <c r="JV5747" s="917"/>
      <c r="JW5747" s="917"/>
      <c r="JX5747" s="917"/>
      <c r="JY5747" s="917"/>
      <c r="JZ5747" s="917"/>
      <c r="KA5747" s="917"/>
      <c r="KB5747" s="917"/>
      <c r="KC5747" s="917"/>
      <c r="KD5747" s="917"/>
      <c r="KE5747" s="917"/>
      <c r="KF5747" s="917"/>
      <c r="KG5747" s="917"/>
      <c r="KH5747" s="917"/>
      <c r="KI5747" s="917"/>
      <c r="KJ5747" s="917"/>
      <c r="KK5747" s="917"/>
      <c r="KL5747" s="917"/>
      <c r="KM5747" s="917"/>
      <c r="KN5747" s="917"/>
      <c r="KO5747" s="917"/>
      <c r="KP5747" s="917"/>
      <c r="KQ5747" s="917"/>
      <c r="KR5747" s="917"/>
      <c r="KS5747" s="917"/>
      <c r="KT5747" s="917"/>
      <c r="KU5747" s="917"/>
      <c r="KV5747" s="917"/>
      <c r="KW5747" s="917" t="s">
        <v>78</v>
      </c>
      <c r="KX5747" s="917"/>
      <c r="KY5747" s="917"/>
      <c r="KZ5747" s="917"/>
      <c r="LA5747" s="917"/>
      <c r="LB5747" s="917"/>
      <c r="LC5747" s="917"/>
      <c r="LD5747" s="917"/>
      <c r="LE5747" s="917"/>
      <c r="LF5747" s="917"/>
      <c r="LG5747" s="917"/>
      <c r="LH5747" s="917"/>
      <c r="LI5747" s="917"/>
      <c r="LJ5747" s="917"/>
      <c r="LK5747" s="917"/>
      <c r="LL5747" s="917"/>
      <c r="LM5747" s="917"/>
      <c r="LN5747" s="917"/>
      <c r="LO5747" s="917"/>
      <c r="LP5747" s="917"/>
      <c r="LQ5747" s="917"/>
      <c r="LR5747" s="917"/>
      <c r="LS5747" s="917"/>
      <c r="LT5747" s="917"/>
      <c r="LU5747" s="917"/>
      <c r="LV5747" s="917"/>
      <c r="LW5747" s="917"/>
      <c r="LX5747" s="917"/>
      <c r="LY5747" s="917"/>
      <c r="LZ5747" s="917"/>
      <c r="MA5747" s="917"/>
      <c r="MB5747" s="917"/>
      <c r="MC5747" s="917" t="s">
        <v>78</v>
      </c>
      <c r="MD5747" s="917"/>
      <c r="ME5747" s="917"/>
      <c r="MF5747" s="917"/>
      <c r="MG5747" s="917"/>
      <c r="MH5747" s="917"/>
      <c r="MI5747" s="917"/>
      <c r="MJ5747" s="917"/>
      <c r="MK5747" s="917"/>
      <c r="ML5747" s="917"/>
      <c r="MM5747" s="917"/>
      <c r="MN5747" s="917"/>
      <c r="MO5747" s="917"/>
      <c r="MP5747" s="917"/>
      <c r="MQ5747" s="917"/>
      <c r="MR5747" s="917"/>
      <c r="MS5747" s="917"/>
      <c r="MT5747" s="917"/>
      <c r="MU5747" s="917"/>
      <c r="MV5747" s="917"/>
      <c r="MW5747" s="917"/>
      <c r="MX5747" s="917"/>
      <c r="MY5747" s="917"/>
      <c r="MZ5747" s="917"/>
      <c r="NA5747" s="917"/>
      <c r="NB5747" s="917"/>
      <c r="NC5747" s="917"/>
      <c r="ND5747" s="917"/>
      <c r="NE5747" s="917"/>
      <c r="NF5747" s="917"/>
      <c r="NG5747" s="917"/>
      <c r="NH5747" s="917"/>
      <c r="NI5747" s="917" t="s">
        <v>78</v>
      </c>
      <c r="NJ5747" s="917"/>
      <c r="NK5747" s="917"/>
      <c r="NL5747" s="917"/>
      <c r="NM5747" s="917"/>
      <c r="NN5747" s="917"/>
      <c r="NO5747" s="917"/>
      <c r="NP5747" s="917"/>
      <c r="NQ5747" s="917"/>
      <c r="NR5747" s="917"/>
      <c r="NS5747" s="917"/>
      <c r="NT5747" s="917"/>
      <c r="NU5747" s="917"/>
      <c r="NV5747" s="917"/>
      <c r="NW5747" s="917"/>
      <c r="NX5747" s="917"/>
      <c r="NY5747" s="917"/>
      <c r="NZ5747" s="917"/>
      <c r="OA5747" s="917"/>
      <c r="OB5747" s="917"/>
      <c r="OC5747" s="917"/>
      <c r="OD5747" s="917"/>
      <c r="OE5747" s="917"/>
      <c r="OF5747" s="917"/>
      <c r="OG5747" s="917"/>
      <c r="OH5747" s="917"/>
      <c r="OI5747" s="917"/>
      <c r="OJ5747" s="917"/>
      <c r="OK5747" s="917"/>
      <c r="OL5747" s="917"/>
      <c r="OM5747" s="917"/>
      <c r="ON5747" s="917"/>
      <c r="OO5747" s="917" t="s">
        <v>78</v>
      </c>
      <c r="OP5747" s="917"/>
      <c r="OQ5747" s="917"/>
      <c r="OR5747" s="917"/>
      <c r="OS5747" s="917"/>
      <c r="OT5747" s="917"/>
      <c r="OU5747" s="917"/>
      <c r="OV5747" s="917"/>
      <c r="OW5747" s="917"/>
      <c r="OX5747" s="917"/>
      <c r="OY5747" s="917"/>
      <c r="OZ5747" s="917"/>
      <c r="PA5747" s="917"/>
      <c r="PB5747" s="917"/>
      <c r="PC5747" s="917"/>
      <c r="PD5747" s="917"/>
      <c r="PE5747" s="917"/>
      <c r="PF5747" s="917"/>
      <c r="PG5747" s="917"/>
      <c r="PH5747" s="917"/>
      <c r="PI5747" s="917"/>
      <c r="PJ5747" s="917"/>
      <c r="PK5747" s="917"/>
      <c r="PL5747" s="917"/>
      <c r="PM5747" s="917"/>
      <c r="PN5747" s="917"/>
      <c r="PO5747" s="917"/>
      <c r="PP5747" s="917"/>
      <c r="PQ5747" s="917"/>
      <c r="PR5747" s="917"/>
      <c r="PS5747" s="917"/>
      <c r="PT5747" s="917"/>
      <c r="PU5747" s="917" t="s">
        <v>78</v>
      </c>
      <c r="PV5747" s="917"/>
      <c r="PW5747" s="917"/>
      <c r="PX5747" s="917"/>
      <c r="PY5747" s="917"/>
      <c r="PZ5747" s="917"/>
      <c r="QA5747" s="917"/>
      <c r="QB5747" s="917"/>
      <c r="QC5747" s="917"/>
      <c r="QD5747" s="917"/>
      <c r="QE5747" s="917"/>
      <c r="QF5747" s="917"/>
      <c r="QG5747" s="917"/>
      <c r="QH5747" s="917"/>
      <c r="QI5747" s="917"/>
      <c r="QJ5747" s="917"/>
      <c r="QK5747" s="917"/>
      <c r="QL5747" s="917"/>
      <c r="QM5747" s="917"/>
      <c r="QN5747" s="917"/>
      <c r="QO5747" s="917"/>
      <c r="QP5747" s="917"/>
      <c r="QQ5747" s="917"/>
      <c r="QR5747" s="917"/>
      <c r="QS5747" s="917"/>
      <c r="QT5747" s="917"/>
      <c r="QU5747" s="917"/>
      <c r="QV5747" s="917"/>
      <c r="QW5747" s="917"/>
      <c r="QX5747" s="917"/>
      <c r="QY5747" s="917"/>
      <c r="QZ5747" s="917"/>
      <c r="RA5747" s="917" t="s">
        <v>78</v>
      </c>
      <c r="RB5747" s="917"/>
      <c r="RC5747" s="917"/>
      <c r="RD5747" s="917"/>
      <c r="RE5747" s="917"/>
      <c r="RF5747" s="917"/>
      <c r="RG5747" s="917"/>
      <c r="RH5747" s="917"/>
      <c r="RI5747" s="917"/>
      <c r="RJ5747" s="917"/>
      <c r="RK5747" s="917"/>
      <c r="RL5747" s="917"/>
      <c r="RM5747" s="917"/>
      <c r="RN5747" s="917"/>
      <c r="RO5747" s="917"/>
      <c r="RP5747" s="917"/>
      <c r="RQ5747" s="917"/>
      <c r="RR5747" s="917"/>
      <c r="RS5747" s="917"/>
      <c r="RT5747" s="917"/>
      <c r="RU5747" s="917"/>
      <c r="RV5747" s="917"/>
      <c r="RW5747" s="917"/>
      <c r="RX5747" s="917"/>
      <c r="RY5747" s="917"/>
      <c r="RZ5747" s="917"/>
      <c r="SA5747" s="917"/>
      <c r="SB5747" s="917"/>
      <c r="SC5747" s="917"/>
      <c r="SD5747" s="917"/>
      <c r="SE5747" s="917"/>
      <c r="SF5747" s="917"/>
      <c r="SG5747" s="917" t="s">
        <v>78</v>
      </c>
      <c r="SH5747" s="917"/>
      <c r="SI5747" s="917"/>
      <c r="SJ5747" s="917"/>
      <c r="SK5747" s="917"/>
      <c r="SL5747" s="917"/>
      <c r="SM5747" s="917"/>
      <c r="SN5747" s="917"/>
      <c r="SO5747" s="917"/>
      <c r="SP5747" s="917"/>
      <c r="SQ5747" s="917"/>
      <c r="SR5747" s="917"/>
      <c r="SS5747" s="917"/>
      <c r="ST5747" s="917"/>
      <c r="SU5747" s="917"/>
      <c r="SV5747" s="917"/>
      <c r="SW5747" s="917"/>
      <c r="SX5747" s="917"/>
      <c r="SY5747" s="917"/>
      <c r="SZ5747" s="917"/>
      <c r="TA5747" s="917"/>
      <c r="TB5747" s="917"/>
      <c r="TC5747" s="917"/>
      <c r="TD5747" s="917"/>
      <c r="TE5747" s="917"/>
      <c r="TF5747" s="917"/>
      <c r="TG5747" s="917"/>
      <c r="TH5747" s="917"/>
      <c r="TI5747" s="917"/>
      <c r="TJ5747" s="917"/>
      <c r="TK5747" s="917"/>
      <c r="TL5747" s="917"/>
      <c r="TM5747" s="917" t="s">
        <v>78</v>
      </c>
      <c r="TN5747" s="917"/>
      <c r="TO5747" s="917"/>
      <c r="TP5747" s="917"/>
      <c r="TQ5747" s="917"/>
      <c r="TR5747" s="917"/>
      <c r="TS5747" s="917"/>
      <c r="TT5747" s="917"/>
      <c r="TU5747" s="917"/>
      <c r="TV5747" s="917"/>
      <c r="TW5747" s="917"/>
      <c r="TX5747" s="917"/>
      <c r="TY5747" s="917"/>
      <c r="TZ5747" s="917"/>
      <c r="UA5747" s="917"/>
      <c r="UB5747" s="917"/>
      <c r="UC5747" s="917"/>
      <c r="UD5747" s="917"/>
      <c r="UE5747" s="917"/>
      <c r="UF5747" s="917"/>
      <c r="UG5747" s="917"/>
      <c r="UH5747" s="917"/>
      <c r="UI5747" s="917"/>
      <c r="UJ5747" s="917"/>
      <c r="UK5747" s="917"/>
      <c r="UL5747" s="917"/>
      <c r="UM5747" s="917"/>
      <c r="UN5747" s="917"/>
      <c r="UO5747" s="917"/>
      <c r="UP5747" s="917"/>
      <c r="UQ5747" s="917"/>
      <c r="UR5747" s="917"/>
      <c r="US5747" s="917" t="s">
        <v>78</v>
      </c>
      <c r="UT5747" s="917"/>
      <c r="UU5747" s="917"/>
      <c r="UV5747" s="917"/>
      <c r="UW5747" s="917"/>
      <c r="UX5747" s="917"/>
      <c r="UY5747" s="917"/>
      <c r="UZ5747" s="917"/>
      <c r="VA5747" s="917"/>
      <c r="VB5747" s="917"/>
      <c r="VC5747" s="917"/>
      <c r="VD5747" s="917"/>
      <c r="VE5747" s="917"/>
      <c r="VF5747" s="917"/>
      <c r="VG5747" s="917"/>
      <c r="VH5747" s="917"/>
      <c r="VI5747" s="917"/>
      <c r="VJ5747" s="917"/>
      <c r="VK5747" s="917"/>
      <c r="VL5747" s="917"/>
      <c r="VM5747" s="917"/>
      <c r="VN5747" s="917"/>
      <c r="VO5747" s="917"/>
      <c r="VP5747" s="917"/>
      <c r="VQ5747" s="917"/>
      <c r="VR5747" s="917"/>
      <c r="VS5747" s="917"/>
      <c r="VT5747" s="917"/>
      <c r="VU5747" s="917"/>
      <c r="VV5747" s="917"/>
      <c r="VW5747" s="917"/>
      <c r="VX5747" s="917"/>
      <c r="VY5747" s="917" t="s">
        <v>78</v>
      </c>
      <c r="VZ5747" s="917"/>
      <c r="WA5747" s="917"/>
      <c r="WB5747" s="917"/>
      <c r="WC5747" s="917"/>
      <c r="WD5747" s="917"/>
      <c r="WE5747" s="917"/>
      <c r="WF5747" s="917"/>
      <c r="WG5747" s="917"/>
      <c r="WH5747" s="917"/>
      <c r="WI5747" s="917"/>
      <c r="WJ5747" s="917"/>
      <c r="WK5747" s="917"/>
      <c r="WL5747" s="917"/>
      <c r="WM5747" s="917"/>
      <c r="WN5747" s="917"/>
      <c r="WO5747" s="917"/>
      <c r="WP5747" s="917"/>
      <c r="WQ5747" s="917"/>
      <c r="WR5747" s="917"/>
      <c r="WS5747" s="917"/>
      <c r="WT5747" s="917"/>
      <c r="WU5747" s="917"/>
      <c r="WV5747" s="917"/>
      <c r="WW5747" s="917"/>
      <c r="WX5747" s="917"/>
      <c r="WY5747" s="917"/>
      <c r="WZ5747" s="917"/>
      <c r="XA5747" s="917"/>
      <c r="XB5747" s="917"/>
      <c r="XC5747" s="917"/>
      <c r="XD5747" s="917"/>
      <c r="XE5747" s="917" t="s">
        <v>78</v>
      </c>
      <c r="XF5747" s="917"/>
      <c r="XG5747" s="917"/>
      <c r="XH5747" s="917"/>
      <c r="XI5747" s="917"/>
      <c r="XJ5747" s="917"/>
      <c r="XK5747" s="917"/>
      <c r="XL5747" s="917"/>
      <c r="XM5747" s="917"/>
      <c r="XN5747" s="917"/>
      <c r="XO5747" s="917"/>
      <c r="XP5747" s="917"/>
      <c r="XQ5747" s="917"/>
      <c r="XR5747" s="917"/>
      <c r="XS5747" s="917"/>
      <c r="XT5747" s="917"/>
      <c r="XU5747" s="917"/>
      <c r="XV5747" s="917"/>
      <c r="XW5747" s="917"/>
      <c r="XX5747" s="917"/>
      <c r="XY5747" s="917"/>
      <c r="XZ5747" s="917"/>
      <c r="YA5747" s="917"/>
      <c r="YB5747" s="917"/>
      <c r="YC5747" s="917"/>
      <c r="YD5747" s="917"/>
      <c r="YE5747" s="917"/>
      <c r="YF5747" s="917"/>
      <c r="YG5747" s="917"/>
      <c r="YH5747" s="917"/>
      <c r="YI5747" s="917"/>
      <c r="YJ5747" s="917"/>
      <c r="YK5747" s="917" t="s">
        <v>78</v>
      </c>
      <c r="YL5747" s="917"/>
      <c r="YM5747" s="917"/>
      <c r="YN5747" s="917"/>
      <c r="YO5747" s="917"/>
      <c r="YP5747" s="917"/>
      <c r="YQ5747" s="917"/>
      <c r="YR5747" s="917"/>
      <c r="YS5747" s="917"/>
      <c r="YT5747" s="917"/>
      <c r="YU5747" s="917"/>
      <c r="YV5747" s="917"/>
      <c r="YW5747" s="917"/>
      <c r="YX5747" s="917"/>
      <c r="YY5747" s="917"/>
      <c r="YZ5747" s="917"/>
      <c r="ZA5747" s="917"/>
      <c r="ZB5747" s="917"/>
      <c r="ZC5747" s="917"/>
      <c r="ZD5747" s="917"/>
      <c r="ZE5747" s="917"/>
      <c r="ZF5747" s="917"/>
      <c r="ZG5747" s="917"/>
      <c r="ZH5747" s="917"/>
      <c r="ZI5747" s="917"/>
      <c r="ZJ5747" s="917"/>
      <c r="ZK5747" s="917"/>
      <c r="ZL5747" s="917"/>
      <c r="ZM5747" s="917"/>
      <c r="ZN5747" s="917"/>
      <c r="ZO5747" s="917"/>
      <c r="ZP5747" s="917"/>
      <c r="ZQ5747" s="917" t="s">
        <v>78</v>
      </c>
      <c r="ZR5747" s="917"/>
      <c r="ZS5747" s="917"/>
      <c r="ZT5747" s="917"/>
      <c r="ZU5747" s="917"/>
      <c r="ZV5747" s="917"/>
      <c r="ZW5747" s="917"/>
      <c r="ZX5747" s="917"/>
      <c r="ZY5747" s="917"/>
      <c r="ZZ5747" s="917"/>
      <c r="AAA5747" s="917"/>
      <c r="AAB5747" s="917"/>
      <c r="AAC5747" s="917"/>
      <c r="AAD5747" s="917"/>
      <c r="AAE5747" s="917"/>
      <c r="AAF5747" s="917"/>
      <c r="AAG5747" s="917"/>
      <c r="AAH5747" s="917"/>
      <c r="AAI5747" s="917"/>
      <c r="AAJ5747" s="917"/>
      <c r="AAK5747" s="917"/>
      <c r="AAL5747" s="917"/>
      <c r="AAM5747" s="917"/>
      <c r="AAN5747" s="917"/>
      <c r="AAO5747" s="917"/>
      <c r="AAP5747" s="917"/>
      <c r="AAQ5747" s="917"/>
      <c r="AAR5747" s="917"/>
      <c r="AAS5747" s="917"/>
      <c r="AAT5747" s="917"/>
      <c r="AAU5747" s="917"/>
      <c r="AAV5747" s="917"/>
      <c r="AAW5747" s="917" t="s">
        <v>78</v>
      </c>
      <c r="AAX5747" s="917"/>
      <c r="AAY5747" s="917"/>
      <c r="AAZ5747" s="917"/>
      <c r="ABA5747" s="917"/>
      <c r="ABB5747" s="917"/>
      <c r="ABC5747" s="917"/>
      <c r="ABD5747" s="917"/>
      <c r="ABE5747" s="917"/>
      <c r="ABF5747" s="917"/>
      <c r="ABG5747" s="917"/>
      <c r="ABH5747" s="917"/>
      <c r="ABI5747" s="917"/>
      <c r="ABJ5747" s="917"/>
      <c r="ABK5747" s="917"/>
      <c r="ABL5747" s="917"/>
      <c r="ABM5747" s="917"/>
      <c r="ABN5747" s="917"/>
      <c r="ABO5747" s="917"/>
      <c r="ABP5747" s="917"/>
      <c r="ABQ5747" s="917"/>
      <c r="ABR5747" s="917"/>
      <c r="ABS5747" s="917"/>
      <c r="ABT5747" s="917"/>
      <c r="ABU5747" s="917"/>
      <c r="ABV5747" s="917"/>
      <c r="ABW5747" s="917"/>
      <c r="ABX5747" s="917"/>
      <c r="ABY5747" s="917"/>
      <c r="ABZ5747" s="917"/>
      <c r="ACA5747" s="917"/>
      <c r="ACB5747" s="917"/>
      <c r="ACC5747" s="917" t="s">
        <v>78</v>
      </c>
      <c r="ACD5747" s="917"/>
      <c r="ACE5747" s="917"/>
      <c r="ACF5747" s="917"/>
      <c r="ACG5747" s="917"/>
      <c r="ACH5747" s="917"/>
      <c r="ACI5747" s="917"/>
      <c r="ACJ5747" s="917"/>
      <c r="ACK5747" s="917"/>
      <c r="ACL5747" s="917"/>
      <c r="ACM5747" s="917"/>
      <c r="ACN5747" s="917"/>
      <c r="ACO5747" s="917"/>
      <c r="ACP5747" s="917"/>
      <c r="ACQ5747" s="917"/>
      <c r="ACR5747" s="917"/>
      <c r="ACS5747" s="917"/>
      <c r="ACT5747" s="917"/>
      <c r="ACU5747" s="917"/>
      <c r="ACV5747" s="917"/>
      <c r="ACW5747" s="917"/>
      <c r="ACX5747" s="917"/>
      <c r="ACY5747" s="917"/>
      <c r="ACZ5747" s="917"/>
      <c r="ADA5747" s="917"/>
      <c r="ADB5747" s="917"/>
      <c r="ADC5747" s="917"/>
      <c r="ADD5747" s="917"/>
      <c r="ADE5747" s="917"/>
      <c r="ADF5747" s="917"/>
      <c r="ADG5747" s="917"/>
      <c r="ADH5747" s="917"/>
      <c r="ADI5747" s="917" t="s">
        <v>78</v>
      </c>
      <c r="ADJ5747" s="917"/>
      <c r="ADK5747" s="917"/>
      <c r="ADL5747" s="917"/>
      <c r="ADM5747" s="917"/>
      <c r="ADN5747" s="917"/>
      <c r="ADO5747" s="917"/>
      <c r="ADP5747" s="917"/>
      <c r="ADQ5747" s="917"/>
      <c r="ADR5747" s="917"/>
      <c r="ADS5747" s="917"/>
      <c r="ADT5747" s="917"/>
      <c r="ADU5747" s="917"/>
      <c r="ADV5747" s="917"/>
      <c r="ADW5747" s="917"/>
      <c r="ADX5747" s="917"/>
      <c r="ADY5747" s="917"/>
      <c r="ADZ5747" s="917"/>
      <c r="AEA5747" s="917"/>
      <c r="AEB5747" s="917"/>
      <c r="AEC5747" s="917"/>
      <c r="AED5747" s="917"/>
      <c r="AEE5747" s="917"/>
      <c r="AEF5747" s="917"/>
      <c r="AEG5747" s="917"/>
      <c r="AEH5747" s="917"/>
      <c r="AEI5747" s="917"/>
      <c r="AEJ5747" s="917"/>
      <c r="AEK5747" s="917"/>
      <c r="AEL5747" s="917"/>
      <c r="AEM5747" s="917"/>
      <c r="AEN5747" s="917"/>
      <c r="AEO5747" s="917" t="s">
        <v>78</v>
      </c>
      <c r="AEP5747" s="917"/>
      <c r="AEQ5747" s="917"/>
      <c r="AER5747" s="917"/>
      <c r="AES5747" s="917"/>
      <c r="AET5747" s="917"/>
      <c r="AEU5747" s="917"/>
      <c r="AEV5747" s="917"/>
      <c r="AEW5747" s="917"/>
      <c r="AEX5747" s="917"/>
      <c r="AEY5747" s="917"/>
      <c r="AEZ5747" s="917"/>
      <c r="AFA5747" s="917"/>
      <c r="AFB5747" s="917"/>
      <c r="AFC5747" s="917"/>
      <c r="AFD5747" s="917"/>
      <c r="AFE5747" s="917"/>
      <c r="AFF5747" s="917"/>
      <c r="AFG5747" s="917"/>
      <c r="AFH5747" s="917"/>
      <c r="AFI5747" s="917"/>
      <c r="AFJ5747" s="917"/>
      <c r="AFK5747" s="917"/>
      <c r="AFL5747" s="917"/>
      <c r="AFM5747" s="917"/>
      <c r="AFN5747" s="917"/>
      <c r="AFO5747" s="917"/>
      <c r="AFP5747" s="917"/>
      <c r="AFQ5747" s="917"/>
      <c r="AFR5747" s="917"/>
      <c r="AFS5747" s="917"/>
      <c r="AFT5747" s="917"/>
      <c r="AFU5747" s="917" t="s">
        <v>78</v>
      </c>
      <c r="AFV5747" s="917"/>
      <c r="AFW5747" s="917"/>
      <c r="AFX5747" s="917"/>
      <c r="AFY5747" s="917"/>
      <c r="AFZ5747" s="917"/>
      <c r="AGA5747" s="917"/>
      <c r="AGB5747" s="917"/>
      <c r="AGC5747" s="917"/>
      <c r="AGD5747" s="917"/>
      <c r="AGE5747" s="917"/>
      <c r="AGF5747" s="917"/>
      <c r="AGG5747" s="917"/>
      <c r="AGH5747" s="917"/>
      <c r="AGI5747" s="917"/>
      <c r="AGJ5747" s="917"/>
      <c r="AGK5747" s="917"/>
      <c r="AGL5747" s="917"/>
      <c r="AGM5747" s="917"/>
      <c r="AGN5747" s="917"/>
      <c r="AGO5747" s="917"/>
      <c r="AGP5747" s="917"/>
      <c r="AGQ5747" s="917"/>
      <c r="AGR5747" s="917"/>
      <c r="AGS5747" s="917"/>
      <c r="AGT5747" s="917"/>
      <c r="AGU5747" s="917"/>
      <c r="AGV5747" s="917"/>
      <c r="AGW5747" s="917"/>
      <c r="AGX5747" s="917"/>
      <c r="AGY5747" s="917"/>
      <c r="AGZ5747" s="917"/>
      <c r="AHA5747" s="917" t="s">
        <v>78</v>
      </c>
      <c r="AHB5747" s="917"/>
      <c r="AHC5747" s="917"/>
      <c r="AHD5747" s="917"/>
      <c r="AHE5747" s="917"/>
      <c r="AHF5747" s="917"/>
      <c r="AHG5747" s="917"/>
      <c r="AHH5747" s="917"/>
      <c r="AHI5747" s="917"/>
      <c r="AHJ5747" s="917"/>
      <c r="AHK5747" s="917"/>
      <c r="AHL5747" s="917"/>
      <c r="AHM5747" s="917"/>
      <c r="AHN5747" s="917"/>
      <c r="AHO5747" s="917"/>
      <c r="AHP5747" s="917"/>
      <c r="AHQ5747" s="917"/>
      <c r="AHR5747" s="917"/>
      <c r="AHS5747" s="917"/>
      <c r="AHT5747" s="917"/>
      <c r="AHU5747" s="917"/>
      <c r="AHV5747" s="917"/>
      <c r="AHW5747" s="917"/>
      <c r="AHX5747" s="917"/>
      <c r="AHY5747" s="917"/>
      <c r="AHZ5747" s="917"/>
      <c r="AIA5747" s="917"/>
      <c r="AIB5747" s="917"/>
      <c r="AIC5747" s="917"/>
      <c r="AID5747" s="917"/>
      <c r="AIE5747" s="917"/>
      <c r="AIF5747" s="917"/>
      <c r="AIG5747" s="917" t="s">
        <v>78</v>
      </c>
      <c r="AIH5747" s="917"/>
      <c r="AII5747" s="917"/>
      <c r="AIJ5747" s="917"/>
      <c r="AIK5747" s="917"/>
      <c r="AIL5747" s="917"/>
      <c r="AIM5747" s="917"/>
      <c r="AIN5747" s="917"/>
      <c r="AIO5747" s="917"/>
      <c r="AIP5747" s="917"/>
      <c r="AIQ5747" s="917"/>
      <c r="AIR5747" s="917"/>
      <c r="AIS5747" s="917"/>
      <c r="AIT5747" s="917"/>
      <c r="AIU5747" s="917"/>
      <c r="AIV5747" s="917"/>
      <c r="AIW5747" s="917"/>
      <c r="AIX5747" s="917"/>
      <c r="AIY5747" s="917"/>
      <c r="AIZ5747" s="917"/>
      <c r="AJA5747" s="917"/>
      <c r="AJB5747" s="917"/>
      <c r="AJC5747" s="917"/>
      <c r="AJD5747" s="917"/>
      <c r="AJE5747" s="917"/>
      <c r="AJF5747" s="917"/>
      <c r="AJG5747" s="917"/>
      <c r="AJH5747" s="917"/>
      <c r="AJI5747" s="917"/>
      <c r="AJJ5747" s="917"/>
      <c r="AJK5747" s="917"/>
      <c r="AJL5747" s="917"/>
      <c r="AJM5747" s="917" t="s">
        <v>78</v>
      </c>
      <c r="AJN5747" s="917"/>
      <c r="AJO5747" s="917"/>
      <c r="AJP5747" s="917"/>
      <c r="AJQ5747" s="917"/>
      <c r="AJR5747" s="917"/>
      <c r="AJS5747" s="917"/>
      <c r="AJT5747" s="917"/>
      <c r="AJU5747" s="917"/>
      <c r="AJV5747" s="917"/>
      <c r="AJW5747" s="917"/>
      <c r="AJX5747" s="917"/>
      <c r="AJY5747" s="917"/>
      <c r="AJZ5747" s="917"/>
      <c r="AKA5747" s="917"/>
      <c r="AKB5747" s="917"/>
      <c r="AKC5747" s="917"/>
      <c r="AKD5747" s="917"/>
      <c r="AKE5747" s="917"/>
      <c r="AKF5747" s="917"/>
      <c r="AKG5747" s="917"/>
      <c r="AKH5747" s="917"/>
      <c r="AKI5747" s="917"/>
      <c r="AKJ5747" s="917"/>
      <c r="AKK5747" s="917"/>
      <c r="AKL5747" s="917"/>
      <c r="AKM5747" s="917"/>
      <c r="AKN5747" s="917"/>
      <c r="AKO5747" s="917"/>
      <c r="AKP5747" s="917"/>
      <c r="AKQ5747" s="917"/>
      <c r="AKR5747" s="917"/>
      <c r="AKS5747" s="917" t="s">
        <v>78</v>
      </c>
      <c r="AKT5747" s="917"/>
      <c r="AKU5747" s="917"/>
      <c r="AKV5747" s="917"/>
      <c r="AKW5747" s="917"/>
      <c r="AKX5747" s="917"/>
      <c r="AKY5747" s="917"/>
      <c r="AKZ5747" s="917"/>
      <c r="ALA5747" s="917"/>
      <c r="ALB5747" s="917"/>
      <c r="ALC5747" s="917"/>
      <c r="ALD5747" s="917"/>
      <c r="ALE5747" s="917"/>
      <c r="ALF5747" s="917"/>
      <c r="ALG5747" s="917"/>
      <c r="ALH5747" s="917"/>
      <c r="ALI5747" s="917"/>
      <c r="ALJ5747" s="917"/>
      <c r="ALK5747" s="917"/>
      <c r="ALL5747" s="917"/>
      <c r="ALM5747" s="917"/>
      <c r="ALN5747" s="917"/>
      <c r="ALO5747" s="917"/>
      <c r="ALP5747" s="917"/>
      <c r="ALQ5747" s="917"/>
      <c r="ALR5747" s="917"/>
      <c r="ALS5747" s="917"/>
      <c r="ALT5747" s="917"/>
      <c r="ALU5747" s="917"/>
      <c r="ALV5747" s="917"/>
      <c r="ALW5747" s="917"/>
      <c r="ALX5747" s="917"/>
      <c r="ALY5747" s="917" t="s">
        <v>78</v>
      </c>
      <c r="ALZ5747" s="917"/>
      <c r="AMA5747" s="917"/>
      <c r="AMB5747" s="917"/>
      <c r="AMC5747" s="917"/>
      <c r="AMD5747" s="917"/>
      <c r="AME5747" s="917"/>
      <c r="AMF5747" s="917"/>
      <c r="AMG5747" s="917"/>
      <c r="AMH5747" s="917"/>
      <c r="AMI5747" s="917"/>
      <c r="AMJ5747" s="917"/>
      <c r="AMK5747" s="917"/>
      <c r="AML5747" s="917"/>
      <c r="AMM5747" s="917"/>
      <c r="AMN5747" s="917"/>
      <c r="AMO5747" s="917"/>
      <c r="AMP5747" s="917"/>
      <c r="AMQ5747" s="917"/>
      <c r="AMR5747" s="917"/>
      <c r="AMS5747" s="917"/>
      <c r="AMT5747" s="917"/>
      <c r="AMU5747" s="917"/>
      <c r="AMV5747" s="917"/>
      <c r="AMW5747" s="917"/>
      <c r="AMX5747" s="917"/>
      <c r="AMY5747" s="917"/>
      <c r="AMZ5747" s="917"/>
      <c r="ANA5747" s="917"/>
      <c r="ANB5747" s="917"/>
      <c r="ANC5747" s="917"/>
      <c r="AND5747" s="917"/>
      <c r="ANE5747" s="917" t="s">
        <v>78</v>
      </c>
      <c r="ANF5747" s="917"/>
      <c r="ANG5747" s="917"/>
      <c r="ANH5747" s="917"/>
      <c r="ANI5747" s="917"/>
      <c r="ANJ5747" s="917"/>
      <c r="ANK5747" s="917"/>
      <c r="ANL5747" s="917"/>
      <c r="ANM5747" s="917"/>
      <c r="ANN5747" s="917"/>
      <c r="ANO5747" s="917"/>
      <c r="ANP5747" s="917"/>
      <c r="ANQ5747" s="917"/>
      <c r="ANR5747" s="917"/>
      <c r="ANS5747" s="917"/>
      <c r="ANT5747" s="917"/>
      <c r="ANU5747" s="917"/>
      <c r="ANV5747" s="917"/>
      <c r="ANW5747" s="917"/>
      <c r="ANX5747" s="917"/>
      <c r="ANY5747" s="917"/>
      <c r="ANZ5747" s="917"/>
      <c r="AOA5747" s="917"/>
      <c r="AOB5747" s="917"/>
      <c r="AOC5747" s="917"/>
      <c r="AOD5747" s="917"/>
      <c r="AOE5747" s="917"/>
      <c r="AOF5747" s="917"/>
      <c r="AOG5747" s="917"/>
      <c r="AOH5747" s="917"/>
      <c r="AOI5747" s="917"/>
      <c r="AOJ5747" s="917"/>
      <c r="AOK5747" s="917" t="s">
        <v>78</v>
      </c>
      <c r="AOL5747" s="917"/>
      <c r="AOM5747" s="917"/>
      <c r="AON5747" s="917"/>
      <c r="AOO5747" s="917"/>
      <c r="AOP5747" s="917"/>
      <c r="AOQ5747" s="917"/>
      <c r="AOR5747" s="917"/>
      <c r="AOS5747" s="917"/>
      <c r="AOT5747" s="917"/>
      <c r="AOU5747" s="917"/>
      <c r="AOV5747" s="917"/>
      <c r="AOW5747" s="917"/>
      <c r="AOX5747" s="917"/>
      <c r="AOY5747" s="917"/>
      <c r="AOZ5747" s="917"/>
      <c r="APA5747" s="917"/>
      <c r="APB5747" s="917"/>
      <c r="APC5747" s="917"/>
      <c r="APD5747" s="917"/>
      <c r="APE5747" s="917"/>
      <c r="APF5747" s="917"/>
      <c r="APG5747" s="917"/>
      <c r="APH5747" s="917"/>
      <c r="API5747" s="917"/>
      <c r="APJ5747" s="917"/>
      <c r="APK5747" s="917"/>
      <c r="APL5747" s="917"/>
      <c r="APM5747" s="917"/>
      <c r="APN5747" s="917"/>
      <c r="APO5747" s="917"/>
      <c r="APP5747" s="917"/>
      <c r="APQ5747" s="917" t="s">
        <v>78</v>
      </c>
      <c r="APR5747" s="917"/>
      <c r="APS5747" s="917"/>
      <c r="APT5747" s="917"/>
      <c r="APU5747" s="917"/>
      <c r="APV5747" s="917"/>
      <c r="APW5747" s="917"/>
      <c r="APX5747" s="917"/>
      <c r="APY5747" s="917"/>
      <c r="APZ5747" s="917"/>
      <c r="AQA5747" s="917"/>
      <c r="AQB5747" s="917"/>
      <c r="AQC5747" s="917"/>
      <c r="AQD5747" s="917"/>
      <c r="AQE5747" s="917"/>
      <c r="AQF5747" s="917"/>
      <c r="AQG5747" s="917"/>
      <c r="AQH5747" s="917"/>
      <c r="AQI5747" s="917"/>
      <c r="AQJ5747" s="917"/>
      <c r="AQK5747" s="917"/>
      <c r="AQL5747" s="917"/>
      <c r="AQM5747" s="917"/>
      <c r="AQN5747" s="917"/>
      <c r="AQO5747" s="917"/>
      <c r="AQP5747" s="917"/>
      <c r="AQQ5747" s="917"/>
      <c r="AQR5747" s="917"/>
      <c r="AQS5747" s="917"/>
      <c r="AQT5747" s="917"/>
      <c r="AQU5747" s="917"/>
      <c r="AQV5747" s="917"/>
      <c r="AQW5747" s="917" t="s">
        <v>78</v>
      </c>
      <c r="AQX5747" s="917"/>
      <c r="AQY5747" s="917"/>
      <c r="AQZ5747" s="917"/>
      <c r="ARA5747" s="917"/>
      <c r="ARB5747" s="917"/>
      <c r="ARC5747" s="917"/>
      <c r="ARD5747" s="917"/>
      <c r="ARE5747" s="917"/>
      <c r="ARF5747" s="917"/>
      <c r="ARG5747" s="917"/>
      <c r="ARH5747" s="917"/>
      <c r="ARI5747" s="917"/>
      <c r="ARJ5747" s="917"/>
      <c r="ARK5747" s="917"/>
      <c r="ARL5747" s="917"/>
      <c r="ARM5747" s="917"/>
      <c r="ARN5747" s="917"/>
      <c r="ARO5747" s="917"/>
      <c r="ARP5747" s="917"/>
      <c r="ARQ5747" s="917"/>
      <c r="ARR5747" s="917"/>
      <c r="ARS5747" s="917"/>
      <c r="ART5747" s="917"/>
      <c r="ARU5747" s="917"/>
      <c r="ARV5747" s="917"/>
      <c r="ARW5747" s="917"/>
      <c r="ARX5747" s="917"/>
      <c r="ARY5747" s="917"/>
      <c r="ARZ5747" s="917"/>
      <c r="ASA5747" s="917"/>
      <c r="ASB5747" s="917"/>
      <c r="ASC5747" s="917" t="s">
        <v>78</v>
      </c>
      <c r="ASD5747" s="917"/>
      <c r="ASE5747" s="917"/>
      <c r="ASF5747" s="917"/>
      <c r="ASG5747" s="917"/>
      <c r="ASH5747" s="917"/>
      <c r="ASI5747" s="917"/>
      <c r="ASJ5747" s="917"/>
      <c r="ASK5747" s="917"/>
      <c r="ASL5747" s="917"/>
      <c r="ASM5747" s="917"/>
      <c r="ASN5747" s="917"/>
      <c r="ASO5747" s="917"/>
      <c r="ASP5747" s="917"/>
      <c r="ASQ5747" s="917"/>
      <c r="ASR5747" s="917"/>
      <c r="ASS5747" s="917"/>
      <c r="AST5747" s="917"/>
      <c r="ASU5747" s="917"/>
      <c r="ASV5747" s="917"/>
      <c r="ASW5747" s="917"/>
      <c r="ASX5747" s="917"/>
      <c r="ASY5747" s="917"/>
      <c r="ASZ5747" s="917"/>
      <c r="ATA5747" s="917"/>
      <c r="ATB5747" s="917"/>
      <c r="ATC5747" s="917"/>
      <c r="ATD5747" s="917"/>
      <c r="ATE5747" s="917"/>
      <c r="ATF5747" s="917"/>
      <c r="ATG5747" s="917"/>
      <c r="ATH5747" s="917"/>
      <c r="ATI5747" s="917" t="s">
        <v>78</v>
      </c>
      <c r="ATJ5747" s="917"/>
      <c r="ATK5747" s="917"/>
      <c r="ATL5747" s="917"/>
      <c r="ATM5747" s="917"/>
      <c r="ATN5747" s="917"/>
      <c r="ATO5747" s="917"/>
      <c r="ATP5747" s="917"/>
      <c r="ATQ5747" s="917"/>
      <c r="ATR5747" s="917"/>
      <c r="ATS5747" s="917"/>
      <c r="ATT5747" s="917"/>
      <c r="ATU5747" s="917"/>
      <c r="ATV5747" s="917"/>
      <c r="ATW5747" s="917"/>
      <c r="ATX5747" s="917"/>
      <c r="ATY5747" s="917"/>
      <c r="ATZ5747" s="917"/>
      <c r="AUA5747" s="917"/>
      <c r="AUB5747" s="917"/>
      <c r="AUC5747" s="917"/>
      <c r="AUD5747" s="917"/>
      <c r="AUE5747" s="917"/>
      <c r="AUF5747" s="917"/>
      <c r="AUG5747" s="917"/>
      <c r="AUH5747" s="917"/>
      <c r="AUI5747" s="917"/>
      <c r="AUJ5747" s="917"/>
      <c r="AUK5747" s="917"/>
      <c r="AUL5747" s="917"/>
      <c r="AUM5747" s="917"/>
      <c r="AUN5747" s="917"/>
      <c r="AUO5747" s="917" t="s">
        <v>78</v>
      </c>
      <c r="AUP5747" s="917"/>
      <c r="AUQ5747" s="917"/>
      <c r="AUR5747" s="917"/>
      <c r="AUS5747" s="917"/>
      <c r="AUT5747" s="917"/>
      <c r="AUU5747" s="917"/>
      <c r="AUV5747" s="917"/>
      <c r="AUW5747" s="917"/>
      <c r="AUX5747" s="917"/>
      <c r="AUY5747" s="917"/>
      <c r="AUZ5747" s="917"/>
      <c r="AVA5747" s="917"/>
      <c r="AVB5747" s="917"/>
      <c r="AVC5747" s="917"/>
      <c r="AVD5747" s="917"/>
      <c r="AVE5747" s="917"/>
      <c r="AVF5747" s="917"/>
      <c r="AVG5747" s="917"/>
      <c r="AVH5747" s="917"/>
      <c r="AVI5747" s="917"/>
      <c r="AVJ5747" s="917"/>
      <c r="AVK5747" s="917"/>
      <c r="AVL5747" s="917"/>
      <c r="AVM5747" s="917"/>
      <c r="AVN5747" s="917"/>
      <c r="AVO5747" s="917"/>
      <c r="AVP5747" s="917"/>
      <c r="AVQ5747" s="917"/>
      <c r="AVR5747" s="917"/>
      <c r="AVS5747" s="917"/>
      <c r="AVT5747" s="917"/>
      <c r="AVU5747" s="917" t="s">
        <v>78</v>
      </c>
      <c r="AVV5747" s="917"/>
      <c r="AVW5747" s="917"/>
      <c r="AVX5747" s="917"/>
      <c r="AVY5747" s="917"/>
      <c r="AVZ5747" s="917"/>
      <c r="AWA5747" s="917"/>
      <c r="AWB5747" s="917"/>
      <c r="AWC5747" s="917"/>
      <c r="AWD5747" s="917"/>
      <c r="AWE5747" s="917"/>
      <c r="AWF5747" s="917"/>
      <c r="AWG5747" s="917"/>
      <c r="AWH5747" s="917"/>
      <c r="AWI5747" s="917"/>
      <c r="AWJ5747" s="917"/>
      <c r="AWK5747" s="917"/>
      <c r="AWL5747" s="917"/>
      <c r="AWM5747" s="917"/>
      <c r="AWN5747" s="917"/>
      <c r="AWO5747" s="917"/>
      <c r="AWP5747" s="917"/>
      <c r="AWQ5747" s="917"/>
      <c r="AWR5747" s="917"/>
      <c r="AWS5747" s="917"/>
      <c r="AWT5747" s="917"/>
      <c r="AWU5747" s="917"/>
      <c r="AWV5747" s="917"/>
      <c r="AWW5747" s="917"/>
      <c r="AWX5747" s="917"/>
      <c r="AWY5747" s="917"/>
      <c r="AWZ5747" s="917"/>
      <c r="AXA5747" s="917" t="s">
        <v>78</v>
      </c>
      <c r="AXB5747" s="917"/>
      <c r="AXC5747" s="917"/>
      <c r="AXD5747" s="917"/>
      <c r="AXE5747" s="917"/>
      <c r="AXF5747" s="917"/>
      <c r="AXG5747" s="917"/>
      <c r="AXH5747" s="917"/>
      <c r="AXI5747" s="917"/>
      <c r="AXJ5747" s="917"/>
      <c r="AXK5747" s="917"/>
      <c r="AXL5747" s="917"/>
      <c r="AXM5747" s="917"/>
      <c r="AXN5747" s="917"/>
      <c r="AXO5747" s="917"/>
      <c r="AXP5747" s="917"/>
      <c r="AXQ5747" s="917"/>
      <c r="AXR5747" s="917"/>
      <c r="AXS5747" s="917"/>
      <c r="AXT5747" s="917"/>
      <c r="AXU5747" s="917"/>
      <c r="AXV5747" s="917"/>
      <c r="AXW5747" s="917"/>
      <c r="AXX5747" s="917"/>
      <c r="AXY5747" s="917"/>
      <c r="AXZ5747" s="917"/>
      <c r="AYA5747" s="917"/>
      <c r="AYB5747" s="917"/>
      <c r="AYC5747" s="917"/>
      <c r="AYD5747" s="917"/>
      <c r="AYE5747" s="917"/>
      <c r="AYF5747" s="917"/>
      <c r="AYG5747" s="917" t="s">
        <v>78</v>
      </c>
      <c r="AYH5747" s="917"/>
      <c r="AYI5747" s="917"/>
      <c r="AYJ5747" s="917"/>
      <c r="AYK5747" s="917"/>
      <c r="AYL5747" s="917"/>
      <c r="AYM5747" s="917"/>
      <c r="AYN5747" s="917"/>
      <c r="AYO5747" s="917"/>
      <c r="AYP5747" s="917"/>
      <c r="AYQ5747" s="917"/>
      <c r="AYR5747" s="917"/>
      <c r="AYS5747" s="917"/>
      <c r="AYT5747" s="917"/>
      <c r="AYU5747" s="917"/>
      <c r="AYV5747" s="917"/>
      <c r="AYW5747" s="917"/>
      <c r="AYX5747" s="917"/>
      <c r="AYY5747" s="917"/>
      <c r="AYZ5747" s="917"/>
      <c r="AZA5747" s="917"/>
      <c r="AZB5747" s="917"/>
      <c r="AZC5747" s="917"/>
      <c r="AZD5747" s="917"/>
      <c r="AZE5747" s="917"/>
      <c r="AZF5747" s="917"/>
      <c r="AZG5747" s="917"/>
      <c r="AZH5747" s="917"/>
      <c r="AZI5747" s="917"/>
      <c r="AZJ5747" s="917"/>
      <c r="AZK5747" s="917"/>
      <c r="AZL5747" s="917"/>
      <c r="AZM5747" s="917" t="s">
        <v>78</v>
      </c>
      <c r="AZN5747" s="917"/>
      <c r="AZO5747" s="917"/>
      <c r="AZP5747" s="917"/>
      <c r="AZQ5747" s="917"/>
      <c r="AZR5747" s="917"/>
      <c r="AZS5747" s="917"/>
      <c r="AZT5747" s="917"/>
      <c r="AZU5747" s="917"/>
      <c r="AZV5747" s="917"/>
      <c r="AZW5747" s="917"/>
      <c r="AZX5747" s="917"/>
      <c r="AZY5747" s="917"/>
      <c r="AZZ5747" s="917"/>
      <c r="BAA5747" s="917"/>
      <c r="BAB5747" s="917"/>
      <c r="BAC5747" s="917"/>
      <c r="BAD5747" s="917"/>
      <c r="BAE5747" s="917"/>
      <c r="BAF5747" s="917"/>
      <c r="BAG5747" s="917"/>
      <c r="BAH5747" s="917"/>
      <c r="BAI5747" s="917"/>
      <c r="BAJ5747" s="917"/>
      <c r="BAK5747" s="917"/>
      <c r="BAL5747" s="917"/>
      <c r="BAM5747" s="917"/>
      <c r="BAN5747" s="917"/>
      <c r="BAO5747" s="917"/>
      <c r="BAP5747" s="917"/>
      <c r="BAQ5747" s="917"/>
      <c r="BAR5747" s="917"/>
      <c r="BAS5747" s="917" t="s">
        <v>78</v>
      </c>
      <c r="BAT5747" s="917"/>
      <c r="BAU5747" s="917"/>
      <c r="BAV5747" s="917"/>
      <c r="BAW5747" s="917"/>
      <c r="BAX5747" s="917"/>
      <c r="BAY5747" s="917"/>
      <c r="BAZ5747" s="917"/>
      <c r="BBA5747" s="917"/>
      <c r="BBB5747" s="917"/>
      <c r="BBC5747" s="917"/>
      <c r="BBD5747" s="917"/>
      <c r="BBE5747" s="917"/>
      <c r="BBF5747" s="917"/>
      <c r="BBG5747" s="917"/>
      <c r="BBH5747" s="917"/>
      <c r="BBI5747" s="917"/>
      <c r="BBJ5747" s="917"/>
      <c r="BBK5747" s="917"/>
      <c r="BBL5747" s="917"/>
      <c r="BBM5747" s="917"/>
      <c r="BBN5747" s="917"/>
      <c r="BBO5747" s="917"/>
      <c r="BBP5747" s="917"/>
      <c r="BBQ5747" s="917"/>
      <c r="BBR5747" s="917"/>
      <c r="BBS5747" s="917"/>
      <c r="BBT5747" s="917"/>
      <c r="BBU5747" s="917"/>
      <c r="BBV5747" s="917"/>
      <c r="BBW5747" s="917"/>
      <c r="BBX5747" s="917"/>
      <c r="BBY5747" s="917" t="s">
        <v>78</v>
      </c>
      <c r="BBZ5747" s="917"/>
      <c r="BCA5747" s="917"/>
      <c r="BCB5747" s="917"/>
      <c r="BCC5747" s="917"/>
      <c r="BCD5747" s="917"/>
      <c r="BCE5747" s="917"/>
      <c r="BCF5747" s="917"/>
      <c r="BCG5747" s="917"/>
      <c r="BCH5747" s="917"/>
      <c r="BCI5747" s="917"/>
      <c r="BCJ5747" s="917"/>
      <c r="BCK5747" s="917"/>
      <c r="BCL5747" s="917"/>
      <c r="BCM5747" s="917"/>
      <c r="BCN5747" s="917"/>
      <c r="BCO5747" s="917"/>
      <c r="BCP5747" s="917"/>
      <c r="BCQ5747" s="917"/>
      <c r="BCR5747" s="917"/>
      <c r="BCS5747" s="917"/>
      <c r="BCT5747" s="917"/>
      <c r="BCU5747" s="917"/>
      <c r="BCV5747" s="917"/>
      <c r="BCW5747" s="917"/>
      <c r="BCX5747" s="917"/>
      <c r="BCY5747" s="917"/>
      <c r="BCZ5747" s="917"/>
      <c r="BDA5747" s="917"/>
      <c r="BDB5747" s="917"/>
      <c r="BDC5747" s="917"/>
      <c r="BDD5747" s="917"/>
      <c r="BDE5747" s="917" t="s">
        <v>78</v>
      </c>
      <c r="BDF5747" s="917"/>
      <c r="BDG5747" s="917"/>
      <c r="BDH5747" s="917"/>
      <c r="BDI5747" s="917"/>
      <c r="BDJ5747" s="917"/>
      <c r="BDK5747" s="917"/>
      <c r="BDL5747" s="917"/>
      <c r="BDM5747" s="917"/>
      <c r="BDN5747" s="917"/>
      <c r="BDO5747" s="917"/>
      <c r="BDP5747" s="917"/>
      <c r="BDQ5747" s="917"/>
      <c r="BDR5747" s="917"/>
      <c r="BDS5747" s="917"/>
      <c r="BDT5747" s="917"/>
      <c r="BDU5747" s="917"/>
      <c r="BDV5747" s="917"/>
      <c r="BDW5747" s="917"/>
      <c r="BDX5747" s="917"/>
      <c r="BDY5747" s="917"/>
      <c r="BDZ5747" s="917"/>
      <c r="BEA5747" s="917"/>
      <c r="BEB5747" s="917"/>
      <c r="BEC5747" s="917"/>
      <c r="BED5747" s="917"/>
      <c r="BEE5747" s="917"/>
      <c r="BEF5747" s="917"/>
      <c r="BEG5747" s="917"/>
      <c r="BEH5747" s="917"/>
      <c r="BEI5747" s="917"/>
      <c r="BEJ5747" s="917"/>
      <c r="BEK5747" s="917" t="s">
        <v>78</v>
      </c>
      <c r="BEL5747" s="917"/>
      <c r="BEM5747" s="917"/>
      <c r="BEN5747" s="917"/>
      <c r="BEO5747" s="917"/>
      <c r="BEP5747" s="917"/>
      <c r="BEQ5747" s="917"/>
      <c r="BER5747" s="917"/>
      <c r="BES5747" s="917"/>
      <c r="BET5747" s="917"/>
      <c r="BEU5747" s="917"/>
      <c r="BEV5747" s="917"/>
      <c r="BEW5747" s="917"/>
      <c r="BEX5747" s="917"/>
      <c r="BEY5747" s="917"/>
      <c r="BEZ5747" s="917"/>
      <c r="BFA5747" s="917"/>
      <c r="BFB5747" s="917"/>
      <c r="BFC5747" s="917"/>
      <c r="BFD5747" s="917"/>
      <c r="BFE5747" s="917"/>
      <c r="BFF5747" s="917"/>
      <c r="BFG5747" s="917"/>
      <c r="BFH5747" s="917"/>
      <c r="BFI5747" s="917"/>
      <c r="BFJ5747" s="917"/>
      <c r="BFK5747" s="917"/>
      <c r="BFL5747" s="917"/>
      <c r="BFM5747" s="917"/>
      <c r="BFN5747" s="917"/>
      <c r="BFO5747" s="917"/>
      <c r="BFP5747" s="917"/>
      <c r="BFQ5747" s="917" t="s">
        <v>78</v>
      </c>
      <c r="BFR5747" s="917"/>
      <c r="BFS5747" s="917"/>
      <c r="BFT5747" s="917"/>
      <c r="BFU5747" s="917"/>
      <c r="BFV5747" s="917"/>
      <c r="BFW5747" s="917"/>
      <c r="BFX5747" s="917"/>
      <c r="BFY5747" s="917"/>
      <c r="BFZ5747" s="917"/>
      <c r="BGA5747" s="917"/>
      <c r="BGB5747" s="917"/>
      <c r="BGC5747" s="917"/>
      <c r="BGD5747" s="917"/>
      <c r="BGE5747" s="917"/>
      <c r="BGF5747" s="917"/>
      <c r="BGG5747" s="917"/>
      <c r="BGH5747" s="917"/>
      <c r="BGI5747" s="917"/>
      <c r="BGJ5747" s="917"/>
      <c r="BGK5747" s="917"/>
      <c r="BGL5747" s="917"/>
      <c r="BGM5747" s="917"/>
      <c r="BGN5747" s="917"/>
      <c r="BGO5747" s="917"/>
      <c r="BGP5747" s="917"/>
      <c r="BGQ5747" s="917"/>
      <c r="BGR5747" s="917"/>
      <c r="BGS5747" s="917"/>
      <c r="BGT5747" s="917"/>
      <c r="BGU5747" s="917"/>
      <c r="BGV5747" s="917"/>
      <c r="BGW5747" s="917" t="s">
        <v>78</v>
      </c>
      <c r="BGX5747" s="917"/>
      <c r="BGY5747" s="917"/>
      <c r="BGZ5747" s="917"/>
      <c r="BHA5747" s="917"/>
      <c r="BHB5747" s="917"/>
      <c r="BHC5747" s="917"/>
      <c r="BHD5747" s="917"/>
      <c r="BHE5747" s="917"/>
      <c r="BHF5747" s="917"/>
      <c r="BHG5747" s="917"/>
      <c r="BHH5747" s="917"/>
      <c r="BHI5747" s="917"/>
      <c r="BHJ5747" s="917"/>
      <c r="BHK5747" s="917"/>
      <c r="BHL5747" s="917"/>
      <c r="BHM5747" s="917"/>
      <c r="BHN5747" s="917"/>
      <c r="BHO5747" s="917"/>
      <c r="BHP5747" s="917"/>
      <c r="BHQ5747" s="917"/>
      <c r="BHR5747" s="917"/>
      <c r="BHS5747" s="917"/>
      <c r="BHT5747" s="917"/>
      <c r="BHU5747" s="917"/>
      <c r="BHV5747" s="917"/>
      <c r="BHW5747" s="917"/>
      <c r="BHX5747" s="917"/>
      <c r="BHY5747" s="917"/>
      <c r="BHZ5747" s="917"/>
      <c r="BIA5747" s="917"/>
      <c r="BIB5747" s="917"/>
      <c r="BIC5747" s="917" t="s">
        <v>78</v>
      </c>
      <c r="BID5747" s="917"/>
      <c r="BIE5747" s="917"/>
      <c r="BIF5747" s="917"/>
      <c r="BIG5747" s="917"/>
      <c r="BIH5747" s="917"/>
      <c r="BII5747" s="917"/>
      <c r="BIJ5747" s="917"/>
      <c r="BIK5747" s="917"/>
      <c r="BIL5747" s="917"/>
      <c r="BIM5747" s="917"/>
      <c r="BIN5747" s="917"/>
      <c r="BIO5747" s="917"/>
      <c r="BIP5747" s="917"/>
      <c r="BIQ5747" s="917"/>
      <c r="BIR5747" s="917"/>
      <c r="BIS5747" s="917"/>
      <c r="BIT5747" s="917"/>
      <c r="BIU5747" s="917"/>
      <c r="BIV5747" s="917"/>
      <c r="BIW5747" s="917"/>
      <c r="BIX5747" s="917"/>
      <c r="BIY5747" s="917"/>
      <c r="BIZ5747" s="917"/>
      <c r="BJA5747" s="917"/>
      <c r="BJB5747" s="917"/>
      <c r="BJC5747" s="917"/>
      <c r="BJD5747" s="917"/>
      <c r="BJE5747" s="917"/>
      <c r="BJF5747" s="917"/>
      <c r="BJG5747" s="917"/>
      <c r="BJH5747" s="917"/>
      <c r="BJI5747" s="917" t="s">
        <v>78</v>
      </c>
      <c r="BJJ5747" s="917"/>
      <c r="BJK5747" s="917"/>
      <c r="BJL5747" s="917"/>
      <c r="BJM5747" s="917"/>
      <c r="BJN5747" s="917"/>
      <c r="BJO5747" s="917"/>
      <c r="BJP5747" s="917"/>
      <c r="BJQ5747" s="917"/>
      <c r="BJR5747" s="917"/>
      <c r="BJS5747" s="917"/>
      <c r="BJT5747" s="917"/>
      <c r="BJU5747" s="917"/>
      <c r="BJV5747" s="917"/>
      <c r="BJW5747" s="917"/>
      <c r="BJX5747" s="917"/>
      <c r="BJY5747" s="917"/>
      <c r="BJZ5747" s="917"/>
      <c r="BKA5747" s="917"/>
      <c r="BKB5747" s="917"/>
      <c r="BKC5747" s="917"/>
      <c r="BKD5747" s="917"/>
      <c r="BKE5747" s="917"/>
      <c r="BKF5747" s="917"/>
      <c r="BKG5747" s="917"/>
      <c r="BKH5747" s="917"/>
      <c r="BKI5747" s="917"/>
      <c r="BKJ5747" s="917"/>
      <c r="BKK5747" s="917"/>
      <c r="BKL5747" s="917"/>
      <c r="BKM5747" s="917"/>
      <c r="BKN5747" s="917"/>
      <c r="BKO5747" s="917" t="s">
        <v>78</v>
      </c>
      <c r="BKP5747" s="917"/>
      <c r="BKQ5747" s="917"/>
      <c r="BKR5747" s="917"/>
      <c r="BKS5747" s="917"/>
      <c r="BKT5747" s="917"/>
      <c r="BKU5747" s="917"/>
      <c r="BKV5747" s="917"/>
      <c r="BKW5747" s="917"/>
      <c r="BKX5747" s="917"/>
      <c r="BKY5747" s="917"/>
      <c r="BKZ5747" s="917"/>
      <c r="BLA5747" s="917"/>
      <c r="BLB5747" s="917"/>
      <c r="BLC5747" s="917"/>
      <c r="BLD5747" s="917"/>
      <c r="BLE5747" s="917"/>
      <c r="BLF5747" s="917"/>
      <c r="BLG5747" s="917"/>
      <c r="BLH5747" s="917"/>
      <c r="BLI5747" s="917"/>
      <c r="BLJ5747" s="917"/>
      <c r="BLK5747" s="917"/>
      <c r="BLL5747" s="917"/>
      <c r="BLM5747" s="917"/>
      <c r="BLN5747" s="917"/>
      <c r="BLO5747" s="917"/>
      <c r="BLP5747" s="917"/>
      <c r="BLQ5747" s="917"/>
      <c r="BLR5747" s="917"/>
      <c r="BLS5747" s="917"/>
      <c r="BLT5747" s="917"/>
      <c r="BLU5747" s="917" t="s">
        <v>78</v>
      </c>
      <c r="BLV5747" s="917"/>
      <c r="BLW5747" s="917"/>
      <c r="BLX5747" s="917"/>
      <c r="BLY5747" s="917"/>
      <c r="BLZ5747" s="917"/>
      <c r="BMA5747" s="917"/>
      <c r="BMB5747" s="917"/>
      <c r="BMC5747" s="917"/>
      <c r="BMD5747" s="917"/>
      <c r="BME5747" s="917"/>
      <c r="BMF5747" s="917"/>
      <c r="BMG5747" s="917"/>
      <c r="BMH5747" s="917"/>
      <c r="BMI5747" s="917"/>
      <c r="BMJ5747" s="917"/>
      <c r="BMK5747" s="917"/>
      <c r="BML5747" s="917"/>
      <c r="BMM5747" s="917"/>
      <c r="BMN5747" s="917"/>
      <c r="BMO5747" s="917"/>
      <c r="BMP5747" s="917"/>
      <c r="BMQ5747" s="917"/>
      <c r="BMR5747" s="917"/>
      <c r="BMS5747" s="917"/>
      <c r="BMT5747" s="917"/>
      <c r="BMU5747" s="917"/>
      <c r="BMV5747" s="917"/>
      <c r="BMW5747" s="917"/>
      <c r="BMX5747" s="917"/>
      <c r="BMY5747" s="917"/>
      <c r="BMZ5747" s="917"/>
      <c r="BNA5747" s="917" t="s">
        <v>78</v>
      </c>
      <c r="BNB5747" s="917"/>
      <c r="BNC5747" s="917"/>
      <c r="BND5747" s="917"/>
      <c r="BNE5747" s="917"/>
      <c r="BNF5747" s="917"/>
      <c r="BNG5747" s="917"/>
      <c r="BNH5747" s="917"/>
      <c r="BNI5747" s="917"/>
      <c r="BNJ5747" s="917"/>
      <c r="BNK5747" s="917"/>
      <c r="BNL5747" s="917"/>
      <c r="BNM5747" s="917"/>
      <c r="BNN5747" s="917"/>
      <c r="BNO5747" s="917"/>
      <c r="BNP5747" s="917"/>
      <c r="BNQ5747" s="917"/>
      <c r="BNR5747" s="917"/>
      <c r="BNS5747" s="917"/>
      <c r="BNT5747" s="917"/>
      <c r="BNU5747" s="917"/>
      <c r="BNV5747" s="917"/>
      <c r="BNW5747" s="917"/>
      <c r="BNX5747" s="917"/>
      <c r="BNY5747" s="917"/>
      <c r="BNZ5747" s="917"/>
      <c r="BOA5747" s="917"/>
      <c r="BOB5747" s="917"/>
      <c r="BOC5747" s="917"/>
      <c r="BOD5747" s="917"/>
      <c r="BOE5747" s="917"/>
      <c r="BOF5747" s="917"/>
      <c r="BOG5747" s="917" t="s">
        <v>78</v>
      </c>
      <c r="BOH5747" s="917"/>
      <c r="BOI5747" s="917"/>
      <c r="BOJ5747" s="917"/>
      <c r="BOK5747" s="917"/>
      <c r="BOL5747" s="917"/>
      <c r="BOM5747" s="917"/>
      <c r="BON5747" s="917"/>
      <c r="BOO5747" s="917"/>
      <c r="BOP5747" s="917"/>
      <c r="BOQ5747" s="917"/>
      <c r="BOR5747" s="917"/>
      <c r="BOS5747" s="917"/>
      <c r="BOT5747" s="917"/>
      <c r="BOU5747" s="917"/>
      <c r="BOV5747" s="917"/>
      <c r="BOW5747" s="917"/>
      <c r="BOX5747" s="917"/>
      <c r="BOY5747" s="917"/>
      <c r="BOZ5747" s="917"/>
      <c r="BPA5747" s="917"/>
      <c r="BPB5747" s="917"/>
      <c r="BPC5747" s="917"/>
      <c r="BPD5747" s="917"/>
      <c r="BPE5747" s="917"/>
      <c r="BPF5747" s="917"/>
      <c r="BPG5747" s="917"/>
      <c r="BPH5747" s="917"/>
      <c r="BPI5747" s="917"/>
      <c r="BPJ5747" s="917"/>
      <c r="BPK5747" s="917"/>
      <c r="BPL5747" s="917"/>
      <c r="BPM5747" s="917" t="s">
        <v>78</v>
      </c>
      <c r="BPN5747" s="917"/>
      <c r="BPO5747" s="917"/>
      <c r="BPP5747" s="917"/>
      <c r="BPQ5747" s="917"/>
      <c r="BPR5747" s="917"/>
      <c r="BPS5747" s="917"/>
      <c r="BPT5747" s="917"/>
      <c r="BPU5747" s="917"/>
      <c r="BPV5747" s="917"/>
      <c r="BPW5747" s="917"/>
      <c r="BPX5747" s="917"/>
      <c r="BPY5747" s="917"/>
      <c r="BPZ5747" s="917"/>
      <c r="BQA5747" s="917"/>
      <c r="BQB5747" s="917"/>
      <c r="BQC5747" s="917"/>
      <c r="BQD5747" s="917"/>
      <c r="BQE5747" s="917"/>
      <c r="BQF5747" s="917"/>
      <c r="BQG5747" s="917"/>
      <c r="BQH5747" s="917"/>
      <c r="BQI5747" s="917"/>
      <c r="BQJ5747" s="917"/>
      <c r="BQK5747" s="917"/>
      <c r="BQL5747" s="917"/>
      <c r="BQM5747" s="917"/>
      <c r="BQN5747" s="917"/>
      <c r="BQO5747" s="917"/>
      <c r="BQP5747" s="917"/>
      <c r="BQQ5747" s="917"/>
      <c r="BQR5747" s="917"/>
      <c r="BQS5747" s="917" t="s">
        <v>78</v>
      </c>
      <c r="BQT5747" s="917"/>
      <c r="BQU5747" s="917"/>
      <c r="BQV5747" s="917"/>
      <c r="BQW5747" s="917"/>
      <c r="BQX5747" s="917"/>
      <c r="BQY5747" s="917"/>
      <c r="BQZ5747" s="917"/>
      <c r="BRA5747" s="917"/>
      <c r="BRB5747" s="917"/>
      <c r="BRC5747" s="917"/>
      <c r="BRD5747" s="917"/>
      <c r="BRE5747" s="917"/>
      <c r="BRF5747" s="917"/>
      <c r="BRG5747" s="917"/>
      <c r="BRH5747" s="917"/>
      <c r="BRI5747" s="917"/>
      <c r="BRJ5747" s="917"/>
      <c r="BRK5747" s="917"/>
      <c r="BRL5747" s="917"/>
      <c r="BRM5747" s="917"/>
      <c r="BRN5747" s="917"/>
      <c r="BRO5747" s="917"/>
      <c r="BRP5747" s="917"/>
      <c r="BRQ5747" s="917"/>
      <c r="BRR5747" s="917"/>
      <c r="BRS5747" s="917"/>
      <c r="BRT5747" s="917"/>
      <c r="BRU5747" s="917"/>
      <c r="BRV5747" s="917"/>
      <c r="BRW5747" s="917"/>
      <c r="BRX5747" s="917"/>
      <c r="BRY5747" s="917" t="s">
        <v>78</v>
      </c>
      <c r="BRZ5747" s="917"/>
      <c r="BSA5747" s="917"/>
      <c r="BSB5747" s="917"/>
      <c r="BSC5747" s="917"/>
      <c r="BSD5747" s="917"/>
      <c r="BSE5747" s="917"/>
      <c r="BSF5747" s="917"/>
      <c r="BSG5747" s="917"/>
      <c r="BSH5747" s="917"/>
      <c r="BSI5747" s="917"/>
      <c r="BSJ5747" s="917"/>
      <c r="BSK5747" s="917"/>
      <c r="BSL5747" s="917"/>
      <c r="BSM5747" s="917"/>
      <c r="BSN5747" s="917"/>
      <c r="BSO5747" s="917"/>
      <c r="BSP5747" s="917"/>
      <c r="BSQ5747" s="917"/>
      <c r="BSR5747" s="917"/>
      <c r="BSS5747" s="917"/>
      <c r="BST5747" s="917"/>
      <c r="BSU5747" s="917"/>
      <c r="BSV5747" s="917"/>
      <c r="BSW5747" s="917"/>
      <c r="BSX5747" s="917"/>
      <c r="BSY5747" s="917"/>
      <c r="BSZ5747" s="917"/>
      <c r="BTA5747" s="917"/>
      <c r="BTB5747" s="917"/>
      <c r="BTC5747" s="917"/>
      <c r="BTD5747" s="917"/>
      <c r="BTE5747" s="917" t="s">
        <v>78</v>
      </c>
      <c r="BTF5747" s="917"/>
      <c r="BTG5747" s="917"/>
      <c r="BTH5747" s="917"/>
      <c r="BTI5747" s="917"/>
      <c r="BTJ5747" s="917"/>
      <c r="BTK5747" s="917"/>
      <c r="BTL5747" s="917"/>
      <c r="BTM5747" s="917"/>
      <c r="BTN5747" s="917"/>
      <c r="BTO5747" s="917"/>
      <c r="BTP5747" s="917"/>
      <c r="BTQ5747" s="917"/>
      <c r="BTR5747" s="917"/>
      <c r="BTS5747" s="917"/>
      <c r="BTT5747" s="917"/>
      <c r="BTU5747" s="917"/>
      <c r="BTV5747" s="917"/>
      <c r="BTW5747" s="917"/>
      <c r="BTX5747" s="917"/>
      <c r="BTY5747" s="917"/>
      <c r="BTZ5747" s="917"/>
      <c r="BUA5747" s="917"/>
      <c r="BUB5747" s="917"/>
      <c r="BUC5747" s="917"/>
      <c r="BUD5747" s="917"/>
      <c r="BUE5747" s="917"/>
      <c r="BUF5747" s="917"/>
      <c r="BUG5747" s="917"/>
      <c r="BUH5747" s="917"/>
      <c r="BUI5747" s="917"/>
      <c r="BUJ5747" s="917"/>
      <c r="BUK5747" s="917" t="s">
        <v>78</v>
      </c>
      <c r="BUL5747" s="917"/>
      <c r="BUM5747" s="917"/>
      <c r="BUN5747" s="917"/>
      <c r="BUO5747" s="917"/>
      <c r="BUP5747" s="917"/>
      <c r="BUQ5747" s="917"/>
      <c r="BUR5747" s="917"/>
      <c r="BUS5747" s="917"/>
      <c r="BUT5747" s="917"/>
      <c r="BUU5747" s="917"/>
      <c r="BUV5747" s="917"/>
      <c r="BUW5747" s="917"/>
      <c r="BUX5747" s="917"/>
      <c r="BUY5747" s="917"/>
      <c r="BUZ5747" s="917"/>
      <c r="BVA5747" s="917"/>
      <c r="BVB5747" s="917"/>
      <c r="BVC5747" s="917"/>
      <c r="BVD5747" s="917"/>
      <c r="BVE5747" s="917"/>
      <c r="BVF5747" s="917"/>
      <c r="BVG5747" s="917"/>
      <c r="BVH5747" s="917"/>
      <c r="BVI5747" s="917"/>
      <c r="BVJ5747" s="917"/>
      <c r="BVK5747" s="917"/>
      <c r="BVL5747" s="917"/>
      <c r="BVM5747" s="917"/>
      <c r="BVN5747" s="917"/>
      <c r="BVO5747" s="917"/>
      <c r="BVP5747" s="917"/>
      <c r="BVQ5747" s="917" t="s">
        <v>78</v>
      </c>
      <c r="BVR5747" s="917"/>
      <c r="BVS5747" s="917"/>
      <c r="BVT5747" s="917"/>
      <c r="BVU5747" s="917"/>
      <c r="BVV5747" s="917"/>
      <c r="BVW5747" s="917"/>
      <c r="BVX5747" s="917"/>
      <c r="BVY5747" s="917"/>
      <c r="BVZ5747" s="917"/>
      <c r="BWA5747" s="917"/>
      <c r="BWB5747" s="917"/>
      <c r="BWC5747" s="917"/>
      <c r="BWD5747" s="917"/>
      <c r="BWE5747" s="917"/>
      <c r="BWF5747" s="917"/>
      <c r="BWG5747" s="917"/>
      <c r="BWH5747" s="917"/>
      <c r="BWI5747" s="917"/>
      <c r="BWJ5747" s="917"/>
      <c r="BWK5747" s="917"/>
      <c r="BWL5747" s="917"/>
      <c r="BWM5747" s="917"/>
      <c r="BWN5747" s="917"/>
      <c r="BWO5747" s="917"/>
      <c r="BWP5747" s="917"/>
      <c r="BWQ5747" s="917"/>
      <c r="BWR5747" s="917"/>
      <c r="BWS5747" s="917"/>
      <c r="BWT5747" s="917"/>
      <c r="BWU5747" s="917"/>
      <c r="BWV5747" s="917"/>
      <c r="BWW5747" s="917" t="s">
        <v>78</v>
      </c>
      <c r="BWX5747" s="917"/>
      <c r="BWY5747" s="917"/>
      <c r="BWZ5747" s="917"/>
      <c r="BXA5747" s="917"/>
      <c r="BXB5747" s="917"/>
      <c r="BXC5747" s="917"/>
      <c r="BXD5747" s="917"/>
      <c r="BXE5747" s="917"/>
      <c r="BXF5747" s="917"/>
      <c r="BXG5747" s="917"/>
      <c r="BXH5747" s="917"/>
      <c r="BXI5747" s="917"/>
      <c r="BXJ5747" s="917"/>
      <c r="BXK5747" s="917"/>
      <c r="BXL5747" s="917"/>
      <c r="BXM5747" s="917"/>
      <c r="BXN5747" s="917"/>
      <c r="BXO5747" s="917"/>
      <c r="BXP5747" s="917"/>
      <c r="BXQ5747" s="917"/>
      <c r="BXR5747" s="917"/>
      <c r="BXS5747" s="917"/>
      <c r="BXT5747" s="917"/>
      <c r="BXU5747" s="917"/>
      <c r="BXV5747" s="917"/>
      <c r="BXW5747" s="917"/>
      <c r="BXX5747" s="917"/>
      <c r="BXY5747" s="917"/>
      <c r="BXZ5747" s="917"/>
      <c r="BYA5747" s="917"/>
      <c r="BYB5747" s="917"/>
      <c r="BYC5747" s="917" t="s">
        <v>78</v>
      </c>
      <c r="BYD5747" s="917"/>
      <c r="BYE5747" s="917"/>
      <c r="BYF5747" s="917"/>
      <c r="BYG5747" s="917"/>
      <c r="BYH5747" s="917"/>
      <c r="BYI5747" s="917"/>
      <c r="BYJ5747" s="917"/>
      <c r="BYK5747" s="917"/>
      <c r="BYL5747" s="917"/>
      <c r="BYM5747" s="917"/>
      <c r="BYN5747" s="917"/>
      <c r="BYO5747" s="917"/>
      <c r="BYP5747" s="917"/>
      <c r="BYQ5747" s="917"/>
      <c r="BYR5747" s="917"/>
      <c r="BYS5747" s="917"/>
      <c r="BYT5747" s="917"/>
      <c r="BYU5747" s="917"/>
      <c r="BYV5747" s="917"/>
      <c r="BYW5747" s="917"/>
      <c r="BYX5747" s="917"/>
      <c r="BYY5747" s="917"/>
      <c r="BYZ5747" s="917"/>
      <c r="BZA5747" s="917"/>
      <c r="BZB5747" s="917"/>
      <c r="BZC5747" s="917"/>
      <c r="BZD5747" s="917"/>
      <c r="BZE5747" s="917"/>
      <c r="BZF5747" s="917"/>
      <c r="BZG5747" s="917"/>
      <c r="BZH5747" s="917"/>
      <c r="BZI5747" s="917" t="s">
        <v>78</v>
      </c>
      <c r="BZJ5747" s="917"/>
      <c r="BZK5747" s="917"/>
      <c r="BZL5747" s="917"/>
      <c r="BZM5747" s="917"/>
      <c r="BZN5747" s="917"/>
      <c r="BZO5747" s="917"/>
      <c r="BZP5747" s="917"/>
      <c r="BZQ5747" s="917"/>
      <c r="BZR5747" s="917"/>
      <c r="BZS5747" s="917"/>
      <c r="BZT5747" s="917"/>
      <c r="BZU5747" s="917"/>
      <c r="BZV5747" s="917"/>
      <c r="BZW5747" s="917"/>
      <c r="BZX5747" s="917"/>
      <c r="BZY5747" s="917"/>
      <c r="BZZ5747" s="917"/>
      <c r="CAA5747" s="917"/>
      <c r="CAB5747" s="917"/>
      <c r="CAC5747" s="917"/>
      <c r="CAD5747" s="917"/>
      <c r="CAE5747" s="917"/>
      <c r="CAF5747" s="917"/>
      <c r="CAG5747" s="917"/>
      <c r="CAH5747" s="917"/>
      <c r="CAI5747" s="917"/>
      <c r="CAJ5747" s="917"/>
      <c r="CAK5747" s="917"/>
      <c r="CAL5747" s="917"/>
      <c r="CAM5747" s="917"/>
      <c r="CAN5747" s="917"/>
      <c r="CAO5747" s="917" t="s">
        <v>78</v>
      </c>
      <c r="CAP5747" s="917"/>
      <c r="CAQ5747" s="917"/>
      <c r="CAR5747" s="917"/>
      <c r="CAS5747" s="917"/>
      <c r="CAT5747" s="917"/>
      <c r="CAU5747" s="917"/>
      <c r="CAV5747" s="917"/>
      <c r="CAW5747" s="917"/>
      <c r="CAX5747" s="917"/>
      <c r="CAY5747" s="917"/>
      <c r="CAZ5747" s="917"/>
      <c r="CBA5747" s="917"/>
      <c r="CBB5747" s="917"/>
      <c r="CBC5747" s="917"/>
      <c r="CBD5747" s="917"/>
      <c r="CBE5747" s="917"/>
      <c r="CBF5747" s="917"/>
      <c r="CBG5747" s="917"/>
      <c r="CBH5747" s="917"/>
      <c r="CBI5747" s="917"/>
      <c r="CBJ5747" s="917"/>
      <c r="CBK5747" s="917"/>
      <c r="CBL5747" s="917"/>
      <c r="CBM5747" s="917"/>
      <c r="CBN5747" s="917"/>
      <c r="CBO5747" s="917"/>
      <c r="CBP5747" s="917"/>
      <c r="CBQ5747" s="917"/>
      <c r="CBR5747" s="917"/>
      <c r="CBS5747" s="917"/>
      <c r="CBT5747" s="917"/>
      <c r="CBU5747" s="917" t="s">
        <v>78</v>
      </c>
      <c r="CBV5747" s="917"/>
      <c r="CBW5747" s="917"/>
      <c r="CBX5747" s="917"/>
      <c r="CBY5747" s="917"/>
      <c r="CBZ5747" s="917"/>
      <c r="CCA5747" s="917"/>
      <c r="CCB5747" s="917"/>
      <c r="CCC5747" s="917"/>
      <c r="CCD5747" s="917"/>
      <c r="CCE5747" s="917"/>
      <c r="CCF5747" s="917"/>
      <c r="CCG5747" s="917"/>
      <c r="CCH5747" s="917"/>
      <c r="CCI5747" s="917"/>
      <c r="CCJ5747" s="917"/>
      <c r="CCK5747" s="917"/>
      <c r="CCL5747" s="917"/>
      <c r="CCM5747" s="917"/>
      <c r="CCN5747" s="917"/>
      <c r="CCO5747" s="917"/>
      <c r="CCP5747" s="917"/>
      <c r="CCQ5747" s="917"/>
      <c r="CCR5747" s="917"/>
      <c r="CCS5747" s="917"/>
      <c r="CCT5747" s="917"/>
      <c r="CCU5747" s="917"/>
      <c r="CCV5747" s="917"/>
      <c r="CCW5747" s="917"/>
      <c r="CCX5747" s="917"/>
      <c r="CCY5747" s="917"/>
      <c r="CCZ5747" s="917"/>
      <c r="CDA5747" s="917" t="s">
        <v>78</v>
      </c>
      <c r="CDB5747" s="917"/>
      <c r="CDC5747" s="917"/>
      <c r="CDD5747" s="917"/>
      <c r="CDE5747" s="917"/>
      <c r="CDF5747" s="917"/>
      <c r="CDG5747" s="917"/>
      <c r="CDH5747" s="917"/>
      <c r="CDI5747" s="917"/>
      <c r="CDJ5747" s="917"/>
      <c r="CDK5747" s="917"/>
      <c r="CDL5747" s="917"/>
      <c r="CDM5747" s="917"/>
      <c r="CDN5747" s="917"/>
      <c r="CDO5747" s="917"/>
      <c r="CDP5747" s="917"/>
      <c r="CDQ5747" s="917"/>
      <c r="CDR5747" s="917"/>
      <c r="CDS5747" s="917"/>
      <c r="CDT5747" s="917"/>
      <c r="CDU5747" s="917"/>
      <c r="CDV5747" s="917"/>
      <c r="CDW5747" s="917"/>
      <c r="CDX5747" s="917"/>
      <c r="CDY5747" s="917"/>
      <c r="CDZ5747" s="917"/>
      <c r="CEA5747" s="917"/>
      <c r="CEB5747" s="917"/>
      <c r="CEC5747" s="917"/>
      <c r="CED5747" s="917"/>
      <c r="CEE5747" s="917"/>
      <c r="CEF5747" s="917"/>
      <c r="CEG5747" s="917" t="s">
        <v>78</v>
      </c>
      <c r="CEH5747" s="917"/>
      <c r="CEI5747" s="917"/>
      <c r="CEJ5747" s="917"/>
      <c r="CEK5747" s="917"/>
      <c r="CEL5747" s="917"/>
      <c r="CEM5747" s="917"/>
      <c r="CEN5747" s="917"/>
      <c r="CEO5747" s="917"/>
      <c r="CEP5747" s="917"/>
      <c r="CEQ5747" s="917"/>
      <c r="CER5747" s="917"/>
      <c r="CES5747" s="917"/>
      <c r="CET5747" s="917"/>
      <c r="CEU5747" s="917"/>
      <c r="CEV5747" s="917"/>
      <c r="CEW5747" s="917"/>
      <c r="CEX5747" s="917"/>
      <c r="CEY5747" s="917"/>
      <c r="CEZ5747" s="917"/>
      <c r="CFA5747" s="917"/>
      <c r="CFB5747" s="917"/>
      <c r="CFC5747" s="917"/>
      <c r="CFD5747" s="917"/>
      <c r="CFE5747" s="917"/>
      <c r="CFF5747" s="917"/>
      <c r="CFG5747" s="917"/>
      <c r="CFH5747" s="917"/>
      <c r="CFI5747" s="917"/>
      <c r="CFJ5747" s="917"/>
      <c r="CFK5747" s="917"/>
      <c r="CFL5747" s="917"/>
      <c r="CFM5747" s="917" t="s">
        <v>78</v>
      </c>
      <c r="CFN5747" s="917"/>
      <c r="CFO5747" s="917"/>
      <c r="CFP5747" s="917"/>
      <c r="CFQ5747" s="917"/>
      <c r="CFR5747" s="917"/>
      <c r="CFS5747" s="917"/>
      <c r="CFT5747" s="917"/>
      <c r="CFU5747" s="917"/>
      <c r="CFV5747" s="917"/>
      <c r="CFW5747" s="917"/>
      <c r="CFX5747" s="917"/>
      <c r="CFY5747" s="917"/>
      <c r="CFZ5747" s="917"/>
      <c r="CGA5747" s="917"/>
      <c r="CGB5747" s="917"/>
      <c r="CGC5747" s="917"/>
      <c r="CGD5747" s="917"/>
      <c r="CGE5747" s="917"/>
      <c r="CGF5747" s="917"/>
      <c r="CGG5747" s="917"/>
      <c r="CGH5747" s="917"/>
      <c r="CGI5747" s="917"/>
      <c r="CGJ5747" s="917"/>
      <c r="CGK5747" s="917"/>
      <c r="CGL5747" s="917"/>
      <c r="CGM5747" s="917"/>
      <c r="CGN5747" s="917"/>
      <c r="CGO5747" s="917"/>
      <c r="CGP5747" s="917"/>
      <c r="CGQ5747" s="917"/>
      <c r="CGR5747" s="917"/>
      <c r="CGS5747" s="917" t="s">
        <v>78</v>
      </c>
      <c r="CGT5747" s="917"/>
      <c r="CGU5747" s="917"/>
      <c r="CGV5747" s="917"/>
      <c r="CGW5747" s="917"/>
      <c r="CGX5747" s="917"/>
      <c r="CGY5747" s="917"/>
      <c r="CGZ5747" s="917"/>
      <c r="CHA5747" s="917"/>
      <c r="CHB5747" s="917"/>
      <c r="CHC5747" s="917"/>
      <c r="CHD5747" s="917"/>
      <c r="CHE5747" s="917"/>
      <c r="CHF5747" s="917"/>
      <c r="CHG5747" s="917"/>
      <c r="CHH5747" s="917"/>
      <c r="CHI5747" s="917"/>
      <c r="CHJ5747" s="917"/>
      <c r="CHK5747" s="917"/>
      <c r="CHL5747" s="917"/>
      <c r="CHM5747" s="917"/>
      <c r="CHN5747" s="917"/>
      <c r="CHO5747" s="917"/>
      <c r="CHP5747" s="917"/>
      <c r="CHQ5747" s="917"/>
      <c r="CHR5747" s="917"/>
      <c r="CHS5747" s="917"/>
      <c r="CHT5747" s="917"/>
      <c r="CHU5747" s="917"/>
      <c r="CHV5747" s="917"/>
      <c r="CHW5747" s="917"/>
      <c r="CHX5747" s="917"/>
      <c r="CHY5747" s="917" t="s">
        <v>78</v>
      </c>
      <c r="CHZ5747" s="917"/>
      <c r="CIA5747" s="917"/>
      <c r="CIB5747" s="917"/>
      <c r="CIC5747" s="917"/>
      <c r="CID5747" s="917"/>
      <c r="CIE5747" s="917"/>
      <c r="CIF5747" s="917"/>
      <c r="CIG5747" s="917"/>
      <c r="CIH5747" s="917"/>
      <c r="CII5747" s="917"/>
      <c r="CIJ5747" s="917"/>
      <c r="CIK5747" s="917"/>
      <c r="CIL5747" s="917"/>
      <c r="CIM5747" s="917"/>
      <c r="CIN5747" s="917"/>
      <c r="CIO5747" s="917"/>
      <c r="CIP5747" s="917"/>
      <c r="CIQ5747" s="917"/>
      <c r="CIR5747" s="917"/>
      <c r="CIS5747" s="917"/>
      <c r="CIT5747" s="917"/>
      <c r="CIU5747" s="917"/>
      <c r="CIV5747" s="917"/>
      <c r="CIW5747" s="917"/>
      <c r="CIX5747" s="917"/>
      <c r="CIY5747" s="917"/>
      <c r="CIZ5747" s="917"/>
      <c r="CJA5747" s="917"/>
      <c r="CJB5747" s="917"/>
      <c r="CJC5747" s="917"/>
      <c r="CJD5747" s="917"/>
      <c r="CJE5747" s="917" t="s">
        <v>78</v>
      </c>
      <c r="CJF5747" s="917"/>
      <c r="CJG5747" s="917"/>
      <c r="CJH5747" s="917"/>
      <c r="CJI5747" s="917"/>
      <c r="CJJ5747" s="917"/>
      <c r="CJK5747" s="917"/>
      <c r="CJL5747" s="917"/>
      <c r="CJM5747" s="917"/>
      <c r="CJN5747" s="917"/>
      <c r="CJO5747" s="917"/>
      <c r="CJP5747" s="917"/>
      <c r="CJQ5747" s="917"/>
      <c r="CJR5747" s="917"/>
      <c r="CJS5747" s="917"/>
      <c r="CJT5747" s="917"/>
      <c r="CJU5747" s="917"/>
      <c r="CJV5747" s="917"/>
      <c r="CJW5747" s="917"/>
      <c r="CJX5747" s="917"/>
      <c r="CJY5747" s="917"/>
      <c r="CJZ5747" s="917"/>
      <c r="CKA5747" s="917"/>
      <c r="CKB5747" s="917"/>
      <c r="CKC5747" s="917"/>
      <c r="CKD5747" s="917"/>
      <c r="CKE5747" s="917"/>
      <c r="CKF5747" s="917"/>
      <c r="CKG5747" s="917"/>
      <c r="CKH5747" s="917"/>
      <c r="CKI5747" s="917"/>
      <c r="CKJ5747" s="917"/>
      <c r="CKK5747" s="917" t="s">
        <v>78</v>
      </c>
      <c r="CKL5747" s="917"/>
      <c r="CKM5747" s="917"/>
      <c r="CKN5747" s="917"/>
      <c r="CKO5747" s="917"/>
      <c r="CKP5747" s="917"/>
      <c r="CKQ5747" s="917"/>
      <c r="CKR5747" s="917"/>
      <c r="CKS5747" s="917"/>
      <c r="CKT5747" s="917"/>
      <c r="CKU5747" s="917"/>
      <c r="CKV5747" s="917"/>
      <c r="CKW5747" s="917"/>
      <c r="CKX5747" s="917"/>
      <c r="CKY5747" s="917"/>
      <c r="CKZ5747" s="917"/>
      <c r="CLA5747" s="917"/>
      <c r="CLB5747" s="917"/>
      <c r="CLC5747" s="917"/>
      <c r="CLD5747" s="917"/>
      <c r="CLE5747" s="917"/>
      <c r="CLF5747" s="917"/>
      <c r="CLG5747" s="917"/>
      <c r="CLH5747" s="917"/>
      <c r="CLI5747" s="917"/>
      <c r="CLJ5747" s="917"/>
      <c r="CLK5747" s="917"/>
      <c r="CLL5747" s="917"/>
      <c r="CLM5747" s="917"/>
      <c r="CLN5747" s="917"/>
      <c r="CLO5747" s="917"/>
      <c r="CLP5747" s="917"/>
      <c r="CLQ5747" s="917" t="s">
        <v>78</v>
      </c>
      <c r="CLR5747" s="917"/>
      <c r="CLS5747" s="917"/>
      <c r="CLT5747" s="917"/>
      <c r="CLU5747" s="917"/>
      <c r="CLV5747" s="917"/>
      <c r="CLW5747" s="917"/>
      <c r="CLX5747" s="917"/>
      <c r="CLY5747" s="917"/>
      <c r="CLZ5747" s="917"/>
      <c r="CMA5747" s="917"/>
      <c r="CMB5747" s="917"/>
      <c r="CMC5747" s="917"/>
      <c r="CMD5747" s="917"/>
      <c r="CME5747" s="917"/>
      <c r="CMF5747" s="917"/>
      <c r="CMG5747" s="917"/>
      <c r="CMH5747" s="917"/>
      <c r="CMI5747" s="917"/>
      <c r="CMJ5747" s="917"/>
      <c r="CMK5747" s="917"/>
      <c r="CML5747" s="917"/>
      <c r="CMM5747" s="917"/>
      <c r="CMN5747" s="917"/>
      <c r="CMO5747" s="917"/>
      <c r="CMP5747" s="917"/>
      <c r="CMQ5747" s="917"/>
      <c r="CMR5747" s="917"/>
      <c r="CMS5747" s="917"/>
      <c r="CMT5747" s="917"/>
      <c r="CMU5747" s="917"/>
      <c r="CMV5747" s="917"/>
      <c r="CMW5747" s="917" t="s">
        <v>78</v>
      </c>
      <c r="CMX5747" s="917"/>
      <c r="CMY5747" s="917"/>
      <c r="CMZ5747" s="917"/>
      <c r="CNA5747" s="917"/>
      <c r="CNB5747" s="917"/>
      <c r="CNC5747" s="917"/>
      <c r="CND5747" s="917"/>
      <c r="CNE5747" s="917"/>
      <c r="CNF5747" s="917"/>
      <c r="CNG5747" s="917"/>
      <c r="CNH5747" s="917"/>
      <c r="CNI5747" s="917"/>
      <c r="CNJ5747" s="917"/>
      <c r="CNK5747" s="917"/>
      <c r="CNL5747" s="917"/>
      <c r="CNM5747" s="917"/>
      <c r="CNN5747" s="917"/>
      <c r="CNO5747" s="917"/>
      <c r="CNP5747" s="917"/>
      <c r="CNQ5747" s="917"/>
      <c r="CNR5747" s="917"/>
      <c r="CNS5747" s="917"/>
      <c r="CNT5747" s="917"/>
      <c r="CNU5747" s="917"/>
      <c r="CNV5747" s="917"/>
      <c r="CNW5747" s="917"/>
      <c r="CNX5747" s="917"/>
      <c r="CNY5747" s="917"/>
      <c r="CNZ5747" s="917"/>
      <c r="COA5747" s="917"/>
      <c r="COB5747" s="917"/>
      <c r="COC5747" s="917" t="s">
        <v>78</v>
      </c>
      <c r="COD5747" s="917"/>
      <c r="COE5747" s="917"/>
      <c r="COF5747" s="917"/>
      <c r="COG5747" s="917"/>
      <c r="COH5747" s="917"/>
      <c r="COI5747" s="917"/>
      <c r="COJ5747" s="917"/>
      <c r="COK5747" s="917"/>
      <c r="COL5747" s="917"/>
      <c r="COM5747" s="917"/>
      <c r="CON5747" s="917"/>
      <c r="COO5747" s="917"/>
      <c r="COP5747" s="917"/>
      <c r="COQ5747" s="917"/>
      <c r="COR5747" s="917"/>
      <c r="COS5747" s="917"/>
      <c r="COT5747" s="917"/>
      <c r="COU5747" s="917"/>
      <c r="COV5747" s="917"/>
      <c r="COW5747" s="917"/>
      <c r="COX5747" s="917"/>
      <c r="COY5747" s="917"/>
      <c r="COZ5747" s="917"/>
      <c r="CPA5747" s="917"/>
      <c r="CPB5747" s="917"/>
      <c r="CPC5747" s="917"/>
      <c r="CPD5747" s="917"/>
      <c r="CPE5747" s="917"/>
      <c r="CPF5747" s="917"/>
      <c r="CPG5747" s="917"/>
      <c r="CPH5747" s="917"/>
      <c r="CPI5747" s="917" t="s">
        <v>78</v>
      </c>
      <c r="CPJ5747" s="917"/>
      <c r="CPK5747" s="917"/>
      <c r="CPL5747" s="917"/>
      <c r="CPM5747" s="917"/>
      <c r="CPN5747" s="917"/>
      <c r="CPO5747" s="917"/>
      <c r="CPP5747" s="917"/>
      <c r="CPQ5747" s="917"/>
      <c r="CPR5747" s="917"/>
      <c r="CPS5747" s="917"/>
      <c r="CPT5747" s="917"/>
      <c r="CPU5747" s="917"/>
      <c r="CPV5747" s="917"/>
      <c r="CPW5747" s="917"/>
      <c r="CPX5747" s="917"/>
      <c r="CPY5747" s="917"/>
      <c r="CPZ5747" s="917"/>
      <c r="CQA5747" s="917"/>
      <c r="CQB5747" s="917"/>
      <c r="CQC5747" s="917"/>
      <c r="CQD5747" s="917"/>
      <c r="CQE5747" s="917"/>
      <c r="CQF5747" s="917"/>
      <c r="CQG5747" s="917"/>
      <c r="CQH5747" s="917"/>
      <c r="CQI5747" s="917"/>
      <c r="CQJ5747" s="917"/>
      <c r="CQK5747" s="917"/>
      <c r="CQL5747" s="917"/>
      <c r="CQM5747" s="917"/>
      <c r="CQN5747" s="917"/>
      <c r="CQO5747" s="917" t="s">
        <v>78</v>
      </c>
      <c r="CQP5747" s="917"/>
      <c r="CQQ5747" s="917"/>
      <c r="CQR5747" s="917"/>
      <c r="CQS5747" s="917"/>
      <c r="CQT5747" s="917"/>
      <c r="CQU5747" s="917"/>
      <c r="CQV5747" s="917"/>
      <c r="CQW5747" s="917"/>
      <c r="CQX5747" s="917"/>
      <c r="CQY5747" s="917"/>
      <c r="CQZ5747" s="917"/>
      <c r="CRA5747" s="917"/>
      <c r="CRB5747" s="917"/>
      <c r="CRC5747" s="917"/>
      <c r="CRD5747" s="917"/>
      <c r="CRE5747" s="917"/>
      <c r="CRF5747" s="917"/>
      <c r="CRG5747" s="917"/>
      <c r="CRH5747" s="917"/>
      <c r="CRI5747" s="917"/>
      <c r="CRJ5747" s="917"/>
      <c r="CRK5747" s="917"/>
      <c r="CRL5747" s="917"/>
      <c r="CRM5747" s="917"/>
      <c r="CRN5747" s="917"/>
      <c r="CRO5747" s="917"/>
      <c r="CRP5747" s="917"/>
      <c r="CRQ5747" s="917"/>
      <c r="CRR5747" s="917"/>
      <c r="CRS5747" s="917"/>
      <c r="CRT5747" s="917"/>
      <c r="CRU5747" s="917" t="s">
        <v>78</v>
      </c>
      <c r="CRV5747" s="917"/>
      <c r="CRW5747" s="917"/>
      <c r="CRX5747" s="917"/>
      <c r="CRY5747" s="917"/>
      <c r="CRZ5747" s="917"/>
      <c r="CSA5747" s="917"/>
      <c r="CSB5747" s="917"/>
      <c r="CSC5747" s="917"/>
      <c r="CSD5747" s="917"/>
      <c r="CSE5747" s="917"/>
      <c r="CSF5747" s="917"/>
      <c r="CSG5747" s="917"/>
      <c r="CSH5747" s="917"/>
      <c r="CSI5747" s="917"/>
      <c r="CSJ5747" s="917"/>
      <c r="CSK5747" s="917"/>
      <c r="CSL5747" s="917"/>
      <c r="CSM5747" s="917"/>
      <c r="CSN5747" s="917"/>
      <c r="CSO5747" s="917"/>
      <c r="CSP5747" s="917"/>
      <c r="CSQ5747" s="917"/>
      <c r="CSR5747" s="917"/>
      <c r="CSS5747" s="917"/>
      <c r="CST5747" s="917"/>
      <c r="CSU5747" s="917"/>
      <c r="CSV5747" s="917"/>
      <c r="CSW5747" s="917"/>
      <c r="CSX5747" s="917"/>
      <c r="CSY5747" s="917"/>
      <c r="CSZ5747" s="917"/>
      <c r="CTA5747" s="917" t="s">
        <v>78</v>
      </c>
      <c r="CTB5747" s="917"/>
      <c r="CTC5747" s="917"/>
      <c r="CTD5747" s="917"/>
      <c r="CTE5747" s="917"/>
      <c r="CTF5747" s="917"/>
      <c r="CTG5747" s="917"/>
      <c r="CTH5747" s="917"/>
      <c r="CTI5747" s="917"/>
      <c r="CTJ5747" s="917"/>
      <c r="CTK5747" s="917"/>
      <c r="CTL5747" s="917"/>
      <c r="CTM5747" s="917"/>
      <c r="CTN5747" s="917"/>
      <c r="CTO5747" s="917"/>
      <c r="CTP5747" s="917"/>
      <c r="CTQ5747" s="917"/>
      <c r="CTR5747" s="917"/>
      <c r="CTS5747" s="917"/>
      <c r="CTT5747" s="917"/>
      <c r="CTU5747" s="917"/>
      <c r="CTV5747" s="917"/>
      <c r="CTW5747" s="917"/>
      <c r="CTX5747" s="917"/>
      <c r="CTY5747" s="917"/>
      <c r="CTZ5747" s="917"/>
      <c r="CUA5747" s="917"/>
      <c r="CUB5747" s="917"/>
      <c r="CUC5747" s="917"/>
      <c r="CUD5747" s="917"/>
      <c r="CUE5747" s="917"/>
      <c r="CUF5747" s="917"/>
      <c r="CUG5747" s="917" t="s">
        <v>78</v>
      </c>
      <c r="CUH5747" s="917"/>
      <c r="CUI5747" s="917"/>
      <c r="CUJ5747" s="917"/>
      <c r="CUK5747" s="917"/>
      <c r="CUL5747" s="917"/>
      <c r="CUM5747" s="917"/>
      <c r="CUN5747" s="917"/>
      <c r="CUO5747" s="917"/>
      <c r="CUP5747" s="917"/>
      <c r="CUQ5747" s="917"/>
      <c r="CUR5747" s="917"/>
      <c r="CUS5747" s="917"/>
      <c r="CUT5747" s="917"/>
      <c r="CUU5747" s="917"/>
      <c r="CUV5747" s="917"/>
      <c r="CUW5747" s="917"/>
      <c r="CUX5747" s="917"/>
      <c r="CUY5747" s="917"/>
      <c r="CUZ5747" s="917"/>
      <c r="CVA5747" s="917"/>
      <c r="CVB5747" s="917"/>
      <c r="CVC5747" s="917"/>
      <c r="CVD5747" s="917"/>
      <c r="CVE5747" s="917"/>
      <c r="CVF5747" s="917"/>
      <c r="CVG5747" s="917"/>
      <c r="CVH5747" s="917"/>
      <c r="CVI5747" s="917"/>
      <c r="CVJ5747" s="917"/>
      <c r="CVK5747" s="917"/>
      <c r="CVL5747" s="917"/>
      <c r="CVM5747" s="917" t="s">
        <v>78</v>
      </c>
      <c r="CVN5747" s="917"/>
      <c r="CVO5747" s="917"/>
      <c r="CVP5747" s="917"/>
      <c r="CVQ5747" s="917"/>
      <c r="CVR5747" s="917"/>
      <c r="CVS5747" s="917"/>
      <c r="CVT5747" s="917"/>
      <c r="CVU5747" s="917"/>
      <c r="CVV5747" s="917"/>
      <c r="CVW5747" s="917"/>
      <c r="CVX5747" s="917"/>
      <c r="CVY5747" s="917"/>
      <c r="CVZ5747" s="917"/>
      <c r="CWA5747" s="917"/>
      <c r="CWB5747" s="917"/>
      <c r="CWC5747" s="917"/>
      <c r="CWD5747" s="917"/>
      <c r="CWE5747" s="917"/>
      <c r="CWF5747" s="917"/>
      <c r="CWG5747" s="917"/>
      <c r="CWH5747" s="917"/>
      <c r="CWI5747" s="917"/>
      <c r="CWJ5747" s="917"/>
      <c r="CWK5747" s="917"/>
      <c r="CWL5747" s="917"/>
      <c r="CWM5747" s="917"/>
      <c r="CWN5747" s="917"/>
      <c r="CWO5747" s="917"/>
      <c r="CWP5747" s="917"/>
      <c r="CWQ5747" s="917"/>
      <c r="CWR5747" s="917"/>
      <c r="CWS5747" s="917" t="s">
        <v>78</v>
      </c>
      <c r="CWT5747" s="917"/>
      <c r="CWU5747" s="917"/>
      <c r="CWV5747" s="917"/>
      <c r="CWW5747" s="917"/>
      <c r="CWX5747" s="917"/>
      <c r="CWY5747" s="917"/>
      <c r="CWZ5747" s="917"/>
      <c r="CXA5747" s="917"/>
      <c r="CXB5747" s="917"/>
      <c r="CXC5747" s="917"/>
      <c r="CXD5747" s="917"/>
      <c r="CXE5747" s="917"/>
      <c r="CXF5747" s="917"/>
      <c r="CXG5747" s="917"/>
      <c r="CXH5747" s="917"/>
      <c r="CXI5747" s="917"/>
      <c r="CXJ5747" s="917"/>
      <c r="CXK5747" s="917"/>
      <c r="CXL5747" s="917"/>
      <c r="CXM5747" s="917"/>
      <c r="CXN5747" s="917"/>
      <c r="CXO5747" s="917"/>
      <c r="CXP5747" s="917"/>
      <c r="CXQ5747" s="917"/>
      <c r="CXR5747" s="917"/>
      <c r="CXS5747" s="917"/>
      <c r="CXT5747" s="917"/>
      <c r="CXU5747" s="917"/>
      <c r="CXV5747" s="917"/>
      <c r="CXW5747" s="917"/>
      <c r="CXX5747" s="917"/>
      <c r="CXY5747" s="917" t="s">
        <v>78</v>
      </c>
      <c r="CXZ5747" s="917"/>
      <c r="CYA5747" s="917"/>
      <c r="CYB5747" s="917"/>
      <c r="CYC5747" s="917"/>
      <c r="CYD5747" s="917"/>
      <c r="CYE5747" s="917"/>
      <c r="CYF5747" s="917"/>
      <c r="CYG5747" s="917"/>
      <c r="CYH5747" s="917"/>
      <c r="CYI5747" s="917"/>
      <c r="CYJ5747" s="917"/>
      <c r="CYK5747" s="917"/>
      <c r="CYL5747" s="917"/>
      <c r="CYM5747" s="917"/>
      <c r="CYN5747" s="917"/>
      <c r="CYO5747" s="917"/>
      <c r="CYP5747" s="917"/>
      <c r="CYQ5747" s="917"/>
      <c r="CYR5747" s="917"/>
      <c r="CYS5747" s="917"/>
      <c r="CYT5747" s="917"/>
      <c r="CYU5747" s="917"/>
      <c r="CYV5747" s="917"/>
      <c r="CYW5747" s="917"/>
      <c r="CYX5747" s="917"/>
      <c r="CYY5747" s="917"/>
      <c r="CYZ5747" s="917"/>
      <c r="CZA5747" s="917"/>
      <c r="CZB5747" s="917"/>
      <c r="CZC5747" s="917"/>
      <c r="CZD5747" s="917"/>
      <c r="CZE5747" s="917" t="s">
        <v>78</v>
      </c>
      <c r="CZF5747" s="917"/>
      <c r="CZG5747" s="917"/>
      <c r="CZH5747" s="917"/>
      <c r="CZI5747" s="917"/>
      <c r="CZJ5747" s="917"/>
      <c r="CZK5747" s="917"/>
      <c r="CZL5747" s="917"/>
      <c r="CZM5747" s="917"/>
      <c r="CZN5747" s="917"/>
      <c r="CZO5747" s="917"/>
      <c r="CZP5747" s="917"/>
      <c r="CZQ5747" s="917"/>
      <c r="CZR5747" s="917"/>
      <c r="CZS5747" s="917"/>
      <c r="CZT5747" s="917"/>
      <c r="CZU5747" s="917"/>
      <c r="CZV5747" s="917"/>
      <c r="CZW5747" s="917"/>
      <c r="CZX5747" s="917"/>
      <c r="CZY5747" s="917"/>
      <c r="CZZ5747" s="917"/>
      <c r="DAA5747" s="917"/>
      <c r="DAB5747" s="917"/>
      <c r="DAC5747" s="917"/>
      <c r="DAD5747" s="917"/>
      <c r="DAE5747" s="917"/>
      <c r="DAF5747" s="917"/>
      <c r="DAG5747" s="917"/>
      <c r="DAH5747" s="917"/>
      <c r="DAI5747" s="917"/>
      <c r="DAJ5747" s="917"/>
      <c r="DAK5747" s="917" t="s">
        <v>78</v>
      </c>
      <c r="DAL5747" s="917"/>
      <c r="DAM5747" s="917"/>
      <c r="DAN5747" s="917"/>
      <c r="DAO5747" s="917"/>
      <c r="DAP5747" s="917"/>
      <c r="DAQ5747" s="917"/>
      <c r="DAR5747" s="917"/>
      <c r="DAS5747" s="917"/>
      <c r="DAT5747" s="917"/>
      <c r="DAU5747" s="917"/>
      <c r="DAV5747" s="917"/>
      <c r="DAW5747" s="917"/>
      <c r="DAX5747" s="917"/>
      <c r="DAY5747" s="917"/>
      <c r="DAZ5747" s="917"/>
      <c r="DBA5747" s="917"/>
      <c r="DBB5747" s="917"/>
      <c r="DBC5747" s="917"/>
      <c r="DBD5747" s="917"/>
      <c r="DBE5747" s="917"/>
      <c r="DBF5747" s="917"/>
      <c r="DBG5747" s="917"/>
      <c r="DBH5747" s="917"/>
      <c r="DBI5747" s="917"/>
      <c r="DBJ5747" s="917"/>
      <c r="DBK5747" s="917"/>
      <c r="DBL5747" s="917"/>
      <c r="DBM5747" s="917"/>
      <c r="DBN5747" s="917"/>
      <c r="DBO5747" s="917"/>
      <c r="DBP5747" s="917"/>
      <c r="DBQ5747" s="917" t="s">
        <v>78</v>
      </c>
      <c r="DBR5747" s="917"/>
      <c r="DBS5747" s="917"/>
      <c r="DBT5747" s="917"/>
      <c r="DBU5747" s="917"/>
      <c r="DBV5747" s="917"/>
      <c r="DBW5747" s="917"/>
      <c r="DBX5747" s="917"/>
      <c r="DBY5747" s="917"/>
      <c r="DBZ5747" s="917"/>
      <c r="DCA5747" s="917"/>
      <c r="DCB5747" s="917"/>
      <c r="DCC5747" s="917"/>
      <c r="DCD5747" s="917"/>
      <c r="DCE5747" s="917"/>
      <c r="DCF5747" s="917"/>
      <c r="DCG5747" s="917"/>
      <c r="DCH5747" s="917"/>
      <c r="DCI5747" s="917"/>
      <c r="DCJ5747" s="917"/>
      <c r="DCK5747" s="917"/>
      <c r="DCL5747" s="917"/>
      <c r="DCM5747" s="917"/>
      <c r="DCN5747" s="917"/>
      <c r="DCO5747" s="917"/>
      <c r="DCP5747" s="917"/>
      <c r="DCQ5747" s="917"/>
      <c r="DCR5747" s="917"/>
      <c r="DCS5747" s="917"/>
      <c r="DCT5747" s="917"/>
      <c r="DCU5747" s="917"/>
      <c r="DCV5747" s="917"/>
      <c r="DCW5747" s="917" t="s">
        <v>78</v>
      </c>
      <c r="DCX5747" s="917"/>
      <c r="DCY5747" s="917"/>
      <c r="DCZ5747" s="917"/>
      <c r="DDA5747" s="917"/>
      <c r="DDB5747" s="917"/>
      <c r="DDC5747" s="917"/>
      <c r="DDD5747" s="917"/>
      <c r="DDE5747" s="917"/>
      <c r="DDF5747" s="917"/>
      <c r="DDG5747" s="917"/>
      <c r="DDH5747" s="917"/>
      <c r="DDI5747" s="917"/>
      <c r="DDJ5747" s="917"/>
      <c r="DDK5747" s="917"/>
      <c r="DDL5747" s="917"/>
      <c r="DDM5747" s="917"/>
      <c r="DDN5747" s="917"/>
      <c r="DDO5747" s="917"/>
      <c r="DDP5747" s="917"/>
      <c r="DDQ5747" s="917"/>
      <c r="DDR5747" s="917"/>
      <c r="DDS5747" s="917"/>
      <c r="DDT5747" s="917"/>
      <c r="DDU5747" s="917"/>
      <c r="DDV5747" s="917"/>
      <c r="DDW5747" s="917"/>
      <c r="DDX5747" s="917"/>
      <c r="DDY5747" s="917"/>
      <c r="DDZ5747" s="917"/>
      <c r="DEA5747" s="917"/>
      <c r="DEB5747" s="917"/>
      <c r="DEC5747" s="917" t="s">
        <v>78</v>
      </c>
      <c r="DED5747" s="917"/>
      <c r="DEE5747" s="917"/>
      <c r="DEF5747" s="917"/>
      <c r="DEG5747" s="917"/>
      <c r="DEH5747" s="917"/>
      <c r="DEI5747" s="917"/>
      <c r="DEJ5747" s="917"/>
      <c r="DEK5747" s="917"/>
      <c r="DEL5747" s="917"/>
      <c r="DEM5747" s="917"/>
      <c r="DEN5747" s="917"/>
      <c r="DEO5747" s="917"/>
      <c r="DEP5747" s="917"/>
      <c r="DEQ5747" s="917"/>
      <c r="DER5747" s="917"/>
      <c r="DES5747" s="917"/>
      <c r="DET5747" s="917"/>
      <c r="DEU5747" s="917"/>
      <c r="DEV5747" s="917"/>
      <c r="DEW5747" s="917"/>
      <c r="DEX5747" s="917"/>
      <c r="DEY5747" s="917"/>
      <c r="DEZ5747" s="917"/>
      <c r="DFA5747" s="917"/>
      <c r="DFB5747" s="917"/>
      <c r="DFC5747" s="917"/>
      <c r="DFD5747" s="917"/>
      <c r="DFE5747" s="917"/>
      <c r="DFF5747" s="917"/>
      <c r="DFG5747" s="917"/>
      <c r="DFH5747" s="917"/>
      <c r="DFI5747" s="917" t="s">
        <v>78</v>
      </c>
      <c r="DFJ5747" s="917"/>
      <c r="DFK5747" s="917"/>
      <c r="DFL5747" s="917"/>
      <c r="DFM5747" s="917"/>
      <c r="DFN5747" s="917"/>
      <c r="DFO5747" s="917"/>
      <c r="DFP5747" s="917"/>
      <c r="DFQ5747" s="917"/>
      <c r="DFR5747" s="917"/>
      <c r="DFS5747" s="917"/>
      <c r="DFT5747" s="917"/>
      <c r="DFU5747" s="917"/>
      <c r="DFV5747" s="917"/>
      <c r="DFW5747" s="917"/>
      <c r="DFX5747" s="917"/>
      <c r="DFY5747" s="917"/>
      <c r="DFZ5747" s="917"/>
      <c r="DGA5747" s="917"/>
      <c r="DGB5747" s="917"/>
      <c r="DGC5747" s="917"/>
      <c r="DGD5747" s="917"/>
      <c r="DGE5747" s="917"/>
      <c r="DGF5747" s="917"/>
      <c r="DGG5747" s="917"/>
      <c r="DGH5747" s="917"/>
      <c r="DGI5747" s="917"/>
      <c r="DGJ5747" s="917"/>
      <c r="DGK5747" s="917"/>
      <c r="DGL5747" s="917"/>
      <c r="DGM5747" s="917"/>
      <c r="DGN5747" s="917"/>
      <c r="DGO5747" s="917" t="s">
        <v>78</v>
      </c>
      <c r="DGP5747" s="917"/>
      <c r="DGQ5747" s="917"/>
      <c r="DGR5747" s="917"/>
      <c r="DGS5747" s="917"/>
      <c r="DGT5747" s="917"/>
      <c r="DGU5747" s="917"/>
      <c r="DGV5747" s="917"/>
      <c r="DGW5747" s="917"/>
      <c r="DGX5747" s="917"/>
      <c r="DGY5747" s="917"/>
      <c r="DGZ5747" s="917"/>
      <c r="DHA5747" s="917"/>
      <c r="DHB5747" s="917"/>
      <c r="DHC5747" s="917"/>
      <c r="DHD5747" s="917"/>
      <c r="DHE5747" s="917"/>
      <c r="DHF5747" s="917"/>
      <c r="DHG5747" s="917"/>
      <c r="DHH5747" s="917"/>
      <c r="DHI5747" s="917"/>
      <c r="DHJ5747" s="917"/>
      <c r="DHK5747" s="917"/>
      <c r="DHL5747" s="917"/>
      <c r="DHM5747" s="917"/>
      <c r="DHN5747" s="917"/>
      <c r="DHO5747" s="917"/>
      <c r="DHP5747" s="917"/>
      <c r="DHQ5747" s="917"/>
      <c r="DHR5747" s="917"/>
      <c r="DHS5747" s="917"/>
      <c r="DHT5747" s="917"/>
      <c r="DHU5747" s="917" t="s">
        <v>78</v>
      </c>
      <c r="DHV5747" s="917"/>
      <c r="DHW5747" s="917"/>
      <c r="DHX5747" s="917"/>
      <c r="DHY5747" s="917"/>
      <c r="DHZ5747" s="917"/>
      <c r="DIA5747" s="917"/>
      <c r="DIB5747" s="917"/>
      <c r="DIC5747" s="917"/>
      <c r="DID5747" s="917"/>
      <c r="DIE5747" s="917"/>
      <c r="DIF5747" s="917"/>
      <c r="DIG5747" s="917"/>
      <c r="DIH5747" s="917"/>
      <c r="DII5747" s="917"/>
      <c r="DIJ5747" s="917"/>
      <c r="DIK5747" s="917"/>
      <c r="DIL5747" s="917"/>
      <c r="DIM5747" s="917"/>
      <c r="DIN5747" s="917"/>
      <c r="DIO5747" s="917"/>
      <c r="DIP5747" s="917"/>
      <c r="DIQ5747" s="917"/>
      <c r="DIR5747" s="917"/>
      <c r="DIS5747" s="917"/>
      <c r="DIT5747" s="917"/>
      <c r="DIU5747" s="917"/>
      <c r="DIV5747" s="917"/>
      <c r="DIW5747" s="917"/>
      <c r="DIX5747" s="917"/>
      <c r="DIY5747" s="917"/>
      <c r="DIZ5747" s="917"/>
      <c r="DJA5747" s="917" t="s">
        <v>78</v>
      </c>
      <c r="DJB5747" s="917"/>
      <c r="DJC5747" s="917"/>
      <c r="DJD5747" s="917"/>
      <c r="DJE5747" s="917"/>
      <c r="DJF5747" s="917"/>
      <c r="DJG5747" s="917"/>
      <c r="DJH5747" s="917"/>
      <c r="DJI5747" s="917"/>
      <c r="DJJ5747" s="917"/>
      <c r="DJK5747" s="917"/>
      <c r="DJL5747" s="917"/>
      <c r="DJM5747" s="917"/>
      <c r="DJN5747" s="917"/>
      <c r="DJO5747" s="917"/>
      <c r="DJP5747" s="917"/>
      <c r="DJQ5747" s="917"/>
      <c r="DJR5747" s="917"/>
      <c r="DJS5747" s="917"/>
      <c r="DJT5747" s="917"/>
      <c r="DJU5747" s="917"/>
      <c r="DJV5747" s="917"/>
      <c r="DJW5747" s="917"/>
      <c r="DJX5747" s="917"/>
      <c r="DJY5747" s="917"/>
      <c r="DJZ5747" s="917"/>
      <c r="DKA5747" s="917"/>
      <c r="DKB5747" s="917"/>
      <c r="DKC5747" s="917"/>
      <c r="DKD5747" s="917"/>
      <c r="DKE5747" s="917"/>
      <c r="DKF5747" s="917"/>
      <c r="DKG5747" s="917" t="s">
        <v>78</v>
      </c>
      <c r="DKH5747" s="917"/>
      <c r="DKI5747" s="917"/>
      <c r="DKJ5747" s="917"/>
      <c r="DKK5747" s="917"/>
      <c r="DKL5747" s="917"/>
      <c r="DKM5747" s="917"/>
      <c r="DKN5747" s="917"/>
      <c r="DKO5747" s="917"/>
      <c r="DKP5747" s="917"/>
      <c r="DKQ5747" s="917"/>
      <c r="DKR5747" s="917"/>
      <c r="DKS5747" s="917"/>
      <c r="DKT5747" s="917"/>
      <c r="DKU5747" s="917"/>
      <c r="DKV5747" s="917"/>
      <c r="DKW5747" s="917"/>
      <c r="DKX5747" s="917"/>
      <c r="DKY5747" s="917"/>
      <c r="DKZ5747" s="917"/>
      <c r="DLA5747" s="917"/>
      <c r="DLB5747" s="917"/>
      <c r="DLC5747" s="917"/>
      <c r="DLD5747" s="917"/>
      <c r="DLE5747" s="917"/>
      <c r="DLF5747" s="917"/>
      <c r="DLG5747" s="917"/>
      <c r="DLH5747" s="917"/>
      <c r="DLI5747" s="917"/>
      <c r="DLJ5747" s="917"/>
      <c r="DLK5747" s="917"/>
      <c r="DLL5747" s="917"/>
      <c r="DLM5747" s="917" t="s">
        <v>78</v>
      </c>
      <c r="DLN5747" s="917"/>
      <c r="DLO5747" s="917"/>
      <c r="DLP5747" s="917"/>
      <c r="DLQ5747" s="917"/>
      <c r="DLR5747" s="917"/>
      <c r="DLS5747" s="917"/>
      <c r="DLT5747" s="917"/>
      <c r="DLU5747" s="917"/>
      <c r="DLV5747" s="917"/>
      <c r="DLW5747" s="917"/>
      <c r="DLX5747" s="917"/>
      <c r="DLY5747" s="917"/>
      <c r="DLZ5747" s="917"/>
      <c r="DMA5747" s="917"/>
      <c r="DMB5747" s="917"/>
      <c r="DMC5747" s="917"/>
      <c r="DMD5747" s="917"/>
      <c r="DME5747" s="917"/>
      <c r="DMF5747" s="917"/>
      <c r="DMG5747" s="917"/>
      <c r="DMH5747" s="917"/>
      <c r="DMI5747" s="917"/>
      <c r="DMJ5747" s="917"/>
      <c r="DMK5747" s="917"/>
      <c r="DML5747" s="917"/>
      <c r="DMM5747" s="917"/>
      <c r="DMN5747" s="917"/>
      <c r="DMO5747" s="917"/>
      <c r="DMP5747" s="917"/>
      <c r="DMQ5747" s="917"/>
      <c r="DMR5747" s="917"/>
      <c r="DMS5747" s="917" t="s">
        <v>78</v>
      </c>
      <c r="DMT5747" s="917"/>
      <c r="DMU5747" s="917"/>
      <c r="DMV5747" s="917"/>
      <c r="DMW5747" s="917"/>
      <c r="DMX5747" s="917"/>
      <c r="DMY5747" s="917"/>
      <c r="DMZ5747" s="917"/>
      <c r="DNA5747" s="917"/>
      <c r="DNB5747" s="917"/>
      <c r="DNC5747" s="917"/>
      <c r="DND5747" s="917"/>
      <c r="DNE5747" s="917"/>
      <c r="DNF5747" s="917"/>
      <c r="DNG5747" s="917"/>
      <c r="DNH5747" s="917"/>
      <c r="DNI5747" s="917"/>
      <c r="DNJ5747" s="917"/>
      <c r="DNK5747" s="917"/>
      <c r="DNL5747" s="917"/>
      <c r="DNM5747" s="917"/>
      <c r="DNN5747" s="917"/>
      <c r="DNO5747" s="917"/>
      <c r="DNP5747" s="917"/>
      <c r="DNQ5747" s="917"/>
      <c r="DNR5747" s="917"/>
      <c r="DNS5747" s="917"/>
      <c r="DNT5747" s="917"/>
      <c r="DNU5747" s="917"/>
      <c r="DNV5747" s="917"/>
      <c r="DNW5747" s="917"/>
      <c r="DNX5747" s="917"/>
      <c r="DNY5747" s="917" t="s">
        <v>78</v>
      </c>
      <c r="DNZ5747" s="917"/>
      <c r="DOA5747" s="917"/>
      <c r="DOB5747" s="917"/>
      <c r="DOC5747" s="917"/>
      <c r="DOD5747" s="917"/>
      <c r="DOE5747" s="917"/>
      <c r="DOF5747" s="917"/>
      <c r="DOG5747" s="917"/>
      <c r="DOH5747" s="917"/>
      <c r="DOI5747" s="917"/>
      <c r="DOJ5747" s="917"/>
      <c r="DOK5747" s="917"/>
      <c r="DOL5747" s="917"/>
      <c r="DOM5747" s="917"/>
      <c r="DON5747" s="917"/>
      <c r="DOO5747" s="917"/>
      <c r="DOP5747" s="917"/>
      <c r="DOQ5747" s="917"/>
      <c r="DOR5747" s="917"/>
      <c r="DOS5747" s="917"/>
      <c r="DOT5747" s="917"/>
      <c r="DOU5747" s="917"/>
      <c r="DOV5747" s="917"/>
      <c r="DOW5747" s="917"/>
      <c r="DOX5747" s="917"/>
      <c r="DOY5747" s="917"/>
      <c r="DOZ5747" s="917"/>
      <c r="DPA5747" s="917"/>
      <c r="DPB5747" s="917"/>
      <c r="DPC5747" s="917"/>
      <c r="DPD5747" s="917"/>
      <c r="DPE5747" s="917" t="s">
        <v>78</v>
      </c>
      <c r="DPF5747" s="917"/>
      <c r="DPG5747" s="917"/>
      <c r="DPH5747" s="917"/>
      <c r="DPI5747" s="917"/>
      <c r="DPJ5747" s="917"/>
      <c r="DPK5747" s="917"/>
      <c r="DPL5747" s="917"/>
      <c r="DPM5747" s="917"/>
      <c r="DPN5747" s="917"/>
      <c r="DPO5747" s="917"/>
      <c r="DPP5747" s="917"/>
      <c r="DPQ5747" s="917"/>
      <c r="DPR5747" s="917"/>
      <c r="DPS5747" s="917"/>
      <c r="DPT5747" s="917"/>
      <c r="DPU5747" s="917"/>
      <c r="DPV5747" s="917"/>
      <c r="DPW5747" s="917"/>
      <c r="DPX5747" s="917"/>
      <c r="DPY5747" s="917"/>
      <c r="DPZ5747" s="917"/>
      <c r="DQA5747" s="917"/>
      <c r="DQB5747" s="917"/>
      <c r="DQC5747" s="917"/>
      <c r="DQD5747" s="917"/>
      <c r="DQE5747" s="917"/>
      <c r="DQF5747" s="917"/>
      <c r="DQG5747" s="917"/>
      <c r="DQH5747" s="917"/>
      <c r="DQI5747" s="917"/>
      <c r="DQJ5747" s="917"/>
      <c r="DQK5747" s="917" t="s">
        <v>78</v>
      </c>
      <c r="DQL5747" s="917"/>
      <c r="DQM5747" s="917"/>
      <c r="DQN5747" s="917"/>
      <c r="DQO5747" s="917"/>
      <c r="DQP5747" s="917"/>
      <c r="DQQ5747" s="917"/>
      <c r="DQR5747" s="917"/>
      <c r="DQS5747" s="917"/>
      <c r="DQT5747" s="917"/>
      <c r="DQU5747" s="917"/>
      <c r="DQV5747" s="917"/>
      <c r="DQW5747" s="917"/>
      <c r="DQX5747" s="917"/>
      <c r="DQY5747" s="917"/>
      <c r="DQZ5747" s="917"/>
      <c r="DRA5747" s="917"/>
      <c r="DRB5747" s="917"/>
      <c r="DRC5747" s="917"/>
      <c r="DRD5747" s="917"/>
      <c r="DRE5747" s="917"/>
      <c r="DRF5747" s="917"/>
      <c r="DRG5747" s="917"/>
      <c r="DRH5747" s="917"/>
      <c r="DRI5747" s="917"/>
      <c r="DRJ5747" s="917"/>
      <c r="DRK5747" s="917"/>
      <c r="DRL5747" s="917"/>
      <c r="DRM5747" s="917"/>
      <c r="DRN5747" s="917"/>
      <c r="DRO5747" s="917"/>
      <c r="DRP5747" s="917"/>
      <c r="DRQ5747" s="917" t="s">
        <v>78</v>
      </c>
      <c r="DRR5747" s="917"/>
      <c r="DRS5747" s="917"/>
      <c r="DRT5747" s="917"/>
      <c r="DRU5747" s="917"/>
      <c r="DRV5747" s="917"/>
      <c r="DRW5747" s="917"/>
      <c r="DRX5747" s="917"/>
      <c r="DRY5747" s="917"/>
      <c r="DRZ5747" s="917"/>
      <c r="DSA5747" s="917"/>
      <c r="DSB5747" s="917"/>
      <c r="DSC5747" s="917"/>
      <c r="DSD5747" s="917"/>
      <c r="DSE5747" s="917"/>
      <c r="DSF5747" s="917"/>
      <c r="DSG5747" s="917"/>
      <c r="DSH5747" s="917"/>
      <c r="DSI5747" s="917"/>
      <c r="DSJ5747" s="917"/>
      <c r="DSK5747" s="917"/>
      <c r="DSL5747" s="917"/>
      <c r="DSM5747" s="917"/>
      <c r="DSN5747" s="917"/>
      <c r="DSO5747" s="917"/>
      <c r="DSP5747" s="917"/>
      <c r="DSQ5747" s="917"/>
      <c r="DSR5747" s="917"/>
      <c r="DSS5747" s="917"/>
      <c r="DST5747" s="917"/>
      <c r="DSU5747" s="917"/>
      <c r="DSV5747" s="917"/>
      <c r="DSW5747" s="917" t="s">
        <v>78</v>
      </c>
      <c r="DSX5747" s="917"/>
      <c r="DSY5747" s="917"/>
      <c r="DSZ5747" s="917"/>
      <c r="DTA5747" s="917"/>
      <c r="DTB5747" s="917"/>
      <c r="DTC5747" s="917"/>
      <c r="DTD5747" s="917"/>
      <c r="DTE5747" s="917"/>
      <c r="DTF5747" s="917"/>
      <c r="DTG5747" s="917"/>
      <c r="DTH5747" s="917"/>
      <c r="DTI5747" s="917"/>
      <c r="DTJ5747" s="917"/>
      <c r="DTK5747" s="917"/>
      <c r="DTL5747" s="917"/>
      <c r="DTM5747" s="917"/>
      <c r="DTN5747" s="917"/>
      <c r="DTO5747" s="917"/>
      <c r="DTP5747" s="917"/>
      <c r="DTQ5747" s="917"/>
      <c r="DTR5747" s="917"/>
      <c r="DTS5747" s="917"/>
      <c r="DTT5747" s="917"/>
      <c r="DTU5747" s="917"/>
      <c r="DTV5747" s="917"/>
      <c r="DTW5747" s="917"/>
      <c r="DTX5747" s="917"/>
      <c r="DTY5747" s="917"/>
      <c r="DTZ5747" s="917"/>
      <c r="DUA5747" s="917"/>
      <c r="DUB5747" s="917"/>
      <c r="DUC5747" s="917" t="s">
        <v>78</v>
      </c>
      <c r="DUD5747" s="917"/>
      <c r="DUE5747" s="917"/>
      <c r="DUF5747" s="917"/>
      <c r="DUG5747" s="917"/>
      <c r="DUH5747" s="917"/>
      <c r="DUI5747" s="917"/>
      <c r="DUJ5747" s="917"/>
      <c r="DUK5747" s="917"/>
      <c r="DUL5747" s="917"/>
      <c r="DUM5747" s="917"/>
      <c r="DUN5747" s="917"/>
      <c r="DUO5747" s="917"/>
      <c r="DUP5747" s="917"/>
      <c r="DUQ5747" s="917"/>
      <c r="DUR5747" s="917"/>
      <c r="DUS5747" s="917"/>
      <c r="DUT5747" s="917"/>
      <c r="DUU5747" s="917"/>
      <c r="DUV5747" s="917"/>
      <c r="DUW5747" s="917"/>
      <c r="DUX5747" s="917"/>
      <c r="DUY5747" s="917"/>
      <c r="DUZ5747" s="917"/>
      <c r="DVA5747" s="917"/>
      <c r="DVB5747" s="917"/>
      <c r="DVC5747" s="917"/>
      <c r="DVD5747" s="917"/>
      <c r="DVE5747" s="917"/>
      <c r="DVF5747" s="917"/>
      <c r="DVG5747" s="917"/>
      <c r="DVH5747" s="917"/>
      <c r="DVI5747" s="917" t="s">
        <v>78</v>
      </c>
      <c r="DVJ5747" s="917"/>
      <c r="DVK5747" s="917"/>
      <c r="DVL5747" s="917"/>
      <c r="DVM5747" s="917"/>
      <c r="DVN5747" s="917"/>
      <c r="DVO5747" s="917"/>
      <c r="DVP5747" s="917"/>
      <c r="DVQ5747" s="917"/>
      <c r="DVR5747" s="917"/>
      <c r="DVS5747" s="917"/>
      <c r="DVT5747" s="917"/>
      <c r="DVU5747" s="917"/>
      <c r="DVV5747" s="917"/>
      <c r="DVW5747" s="917"/>
      <c r="DVX5747" s="917"/>
      <c r="DVY5747" s="917"/>
      <c r="DVZ5747" s="917"/>
      <c r="DWA5747" s="917"/>
      <c r="DWB5747" s="917"/>
      <c r="DWC5747" s="917"/>
      <c r="DWD5747" s="917"/>
      <c r="DWE5747" s="917"/>
      <c r="DWF5747" s="917"/>
      <c r="DWG5747" s="917"/>
      <c r="DWH5747" s="917"/>
      <c r="DWI5747" s="917"/>
      <c r="DWJ5747" s="917"/>
      <c r="DWK5747" s="917"/>
      <c r="DWL5747" s="917"/>
      <c r="DWM5747" s="917"/>
      <c r="DWN5747" s="917"/>
      <c r="DWO5747" s="917" t="s">
        <v>78</v>
      </c>
      <c r="DWP5747" s="917"/>
      <c r="DWQ5747" s="917"/>
      <c r="DWR5747" s="917"/>
      <c r="DWS5747" s="917"/>
      <c r="DWT5747" s="917"/>
      <c r="DWU5747" s="917"/>
      <c r="DWV5747" s="917"/>
      <c r="DWW5747" s="917"/>
      <c r="DWX5747" s="917"/>
      <c r="DWY5747" s="917"/>
      <c r="DWZ5747" s="917"/>
      <c r="DXA5747" s="917"/>
      <c r="DXB5747" s="917"/>
      <c r="DXC5747" s="917"/>
      <c r="DXD5747" s="917"/>
      <c r="DXE5747" s="917"/>
      <c r="DXF5747" s="917"/>
      <c r="DXG5747" s="917"/>
      <c r="DXH5747" s="917"/>
      <c r="DXI5747" s="917"/>
      <c r="DXJ5747" s="917"/>
      <c r="DXK5747" s="917"/>
      <c r="DXL5747" s="917"/>
      <c r="DXM5747" s="917"/>
      <c r="DXN5747" s="917"/>
      <c r="DXO5747" s="917"/>
      <c r="DXP5747" s="917"/>
      <c r="DXQ5747" s="917"/>
      <c r="DXR5747" s="917"/>
      <c r="DXS5747" s="917"/>
      <c r="DXT5747" s="917"/>
      <c r="DXU5747" s="917" t="s">
        <v>78</v>
      </c>
      <c r="DXV5747" s="917"/>
      <c r="DXW5747" s="917"/>
      <c r="DXX5747" s="917"/>
      <c r="DXY5747" s="917"/>
      <c r="DXZ5747" s="917"/>
      <c r="DYA5747" s="917"/>
      <c r="DYB5747" s="917"/>
      <c r="DYC5747" s="917"/>
      <c r="DYD5747" s="917"/>
      <c r="DYE5747" s="917"/>
      <c r="DYF5747" s="917"/>
      <c r="DYG5747" s="917"/>
      <c r="DYH5747" s="917"/>
      <c r="DYI5747" s="917"/>
      <c r="DYJ5747" s="917"/>
      <c r="DYK5747" s="917"/>
      <c r="DYL5747" s="917"/>
      <c r="DYM5747" s="917"/>
      <c r="DYN5747" s="917"/>
      <c r="DYO5747" s="917"/>
      <c r="DYP5747" s="917"/>
      <c r="DYQ5747" s="917"/>
      <c r="DYR5747" s="917"/>
      <c r="DYS5747" s="917"/>
      <c r="DYT5747" s="917"/>
      <c r="DYU5747" s="917"/>
      <c r="DYV5747" s="917"/>
      <c r="DYW5747" s="917"/>
      <c r="DYX5747" s="917"/>
      <c r="DYY5747" s="917"/>
      <c r="DYZ5747" s="917"/>
      <c r="DZA5747" s="917" t="s">
        <v>78</v>
      </c>
      <c r="DZB5747" s="917"/>
      <c r="DZC5747" s="917"/>
      <c r="DZD5747" s="917"/>
      <c r="DZE5747" s="917"/>
      <c r="DZF5747" s="917"/>
      <c r="DZG5747" s="917"/>
      <c r="DZH5747" s="917"/>
      <c r="DZI5747" s="917"/>
      <c r="DZJ5747" s="917"/>
      <c r="DZK5747" s="917"/>
      <c r="DZL5747" s="917"/>
      <c r="DZM5747" s="917"/>
      <c r="DZN5747" s="917"/>
      <c r="DZO5747" s="917"/>
      <c r="DZP5747" s="917"/>
      <c r="DZQ5747" s="917"/>
      <c r="DZR5747" s="917"/>
      <c r="DZS5747" s="917"/>
      <c r="DZT5747" s="917"/>
      <c r="DZU5747" s="917"/>
      <c r="DZV5747" s="917"/>
      <c r="DZW5747" s="917"/>
      <c r="DZX5747" s="917"/>
      <c r="DZY5747" s="917"/>
      <c r="DZZ5747" s="917"/>
      <c r="EAA5747" s="917"/>
      <c r="EAB5747" s="917"/>
      <c r="EAC5747" s="917"/>
      <c r="EAD5747" s="917"/>
      <c r="EAE5747" s="917"/>
      <c r="EAF5747" s="917"/>
      <c r="EAG5747" s="917" t="s">
        <v>78</v>
      </c>
      <c r="EAH5747" s="917"/>
      <c r="EAI5747" s="917"/>
      <c r="EAJ5747" s="917"/>
      <c r="EAK5747" s="917"/>
      <c r="EAL5747" s="917"/>
      <c r="EAM5747" s="917"/>
      <c r="EAN5747" s="917"/>
      <c r="EAO5747" s="917"/>
      <c r="EAP5747" s="917"/>
      <c r="EAQ5747" s="917"/>
      <c r="EAR5747" s="917"/>
      <c r="EAS5747" s="917"/>
      <c r="EAT5747" s="917"/>
      <c r="EAU5747" s="917"/>
      <c r="EAV5747" s="917"/>
      <c r="EAW5747" s="917"/>
      <c r="EAX5747" s="917"/>
      <c r="EAY5747" s="917"/>
      <c r="EAZ5747" s="917"/>
      <c r="EBA5747" s="917"/>
      <c r="EBB5747" s="917"/>
      <c r="EBC5747" s="917"/>
      <c r="EBD5747" s="917"/>
      <c r="EBE5747" s="917"/>
      <c r="EBF5747" s="917"/>
      <c r="EBG5747" s="917"/>
      <c r="EBH5747" s="917"/>
      <c r="EBI5747" s="917"/>
      <c r="EBJ5747" s="917"/>
      <c r="EBK5747" s="917"/>
      <c r="EBL5747" s="917"/>
      <c r="EBM5747" s="917" t="s">
        <v>78</v>
      </c>
      <c r="EBN5747" s="917"/>
      <c r="EBO5747" s="917"/>
      <c r="EBP5747" s="917"/>
      <c r="EBQ5747" s="917"/>
      <c r="EBR5747" s="917"/>
      <c r="EBS5747" s="917"/>
      <c r="EBT5747" s="917"/>
      <c r="EBU5747" s="917"/>
      <c r="EBV5747" s="917"/>
      <c r="EBW5747" s="917"/>
      <c r="EBX5747" s="917"/>
      <c r="EBY5747" s="917"/>
      <c r="EBZ5747" s="917"/>
      <c r="ECA5747" s="917"/>
      <c r="ECB5747" s="917"/>
      <c r="ECC5747" s="917"/>
      <c r="ECD5747" s="917"/>
      <c r="ECE5747" s="917"/>
      <c r="ECF5747" s="917"/>
      <c r="ECG5747" s="917"/>
      <c r="ECH5747" s="917"/>
      <c r="ECI5747" s="917"/>
      <c r="ECJ5747" s="917"/>
      <c r="ECK5747" s="917"/>
      <c r="ECL5747" s="917"/>
      <c r="ECM5747" s="917"/>
      <c r="ECN5747" s="917"/>
      <c r="ECO5747" s="917"/>
      <c r="ECP5747" s="917"/>
      <c r="ECQ5747" s="917"/>
      <c r="ECR5747" s="917"/>
      <c r="ECS5747" s="917" t="s">
        <v>78</v>
      </c>
      <c r="ECT5747" s="917"/>
      <c r="ECU5747" s="917"/>
      <c r="ECV5747" s="917"/>
      <c r="ECW5747" s="917"/>
      <c r="ECX5747" s="917"/>
      <c r="ECY5747" s="917"/>
      <c r="ECZ5747" s="917"/>
      <c r="EDA5747" s="917"/>
      <c r="EDB5747" s="917"/>
      <c r="EDC5747" s="917"/>
      <c r="EDD5747" s="917"/>
      <c r="EDE5747" s="917"/>
      <c r="EDF5747" s="917"/>
      <c r="EDG5747" s="917"/>
      <c r="EDH5747" s="917"/>
      <c r="EDI5747" s="917"/>
      <c r="EDJ5747" s="917"/>
      <c r="EDK5747" s="917"/>
      <c r="EDL5747" s="917"/>
      <c r="EDM5747" s="917"/>
      <c r="EDN5747" s="917"/>
      <c r="EDO5747" s="917"/>
      <c r="EDP5747" s="917"/>
      <c r="EDQ5747" s="917"/>
      <c r="EDR5747" s="917"/>
      <c r="EDS5747" s="917"/>
      <c r="EDT5747" s="917"/>
      <c r="EDU5747" s="917"/>
      <c r="EDV5747" s="917"/>
      <c r="EDW5747" s="917"/>
      <c r="EDX5747" s="917"/>
      <c r="EDY5747" s="917" t="s">
        <v>78</v>
      </c>
      <c r="EDZ5747" s="917"/>
      <c r="EEA5747" s="917"/>
      <c r="EEB5747" s="917"/>
      <c r="EEC5747" s="917"/>
      <c r="EED5747" s="917"/>
      <c r="EEE5747" s="917"/>
      <c r="EEF5747" s="917"/>
      <c r="EEG5747" s="917"/>
      <c r="EEH5747" s="917"/>
      <c r="EEI5747" s="917"/>
      <c r="EEJ5747" s="917"/>
      <c r="EEK5747" s="917"/>
      <c r="EEL5747" s="917"/>
      <c r="EEM5747" s="917"/>
      <c r="EEN5747" s="917"/>
      <c r="EEO5747" s="917"/>
      <c r="EEP5747" s="917"/>
      <c r="EEQ5747" s="917"/>
      <c r="EER5747" s="917"/>
      <c r="EES5747" s="917"/>
      <c r="EET5747" s="917"/>
      <c r="EEU5747" s="917"/>
      <c r="EEV5747" s="917"/>
      <c r="EEW5747" s="917"/>
      <c r="EEX5747" s="917"/>
      <c r="EEY5747" s="917"/>
      <c r="EEZ5747" s="917"/>
      <c r="EFA5747" s="917"/>
      <c r="EFB5747" s="917"/>
      <c r="EFC5747" s="917"/>
      <c r="EFD5747" s="917"/>
      <c r="EFE5747" s="917" t="s">
        <v>78</v>
      </c>
      <c r="EFF5747" s="917"/>
      <c r="EFG5747" s="917"/>
      <c r="EFH5747" s="917"/>
      <c r="EFI5747" s="917"/>
      <c r="EFJ5747" s="917"/>
      <c r="EFK5747" s="917"/>
      <c r="EFL5747" s="917"/>
      <c r="EFM5747" s="917"/>
      <c r="EFN5747" s="917"/>
      <c r="EFO5747" s="917"/>
      <c r="EFP5747" s="917"/>
      <c r="EFQ5747" s="917"/>
      <c r="EFR5747" s="917"/>
      <c r="EFS5747" s="917"/>
      <c r="EFT5747" s="917"/>
      <c r="EFU5747" s="917"/>
      <c r="EFV5747" s="917"/>
      <c r="EFW5747" s="917"/>
      <c r="EFX5747" s="917"/>
      <c r="EFY5747" s="917"/>
      <c r="EFZ5747" s="917"/>
      <c r="EGA5747" s="917"/>
      <c r="EGB5747" s="917"/>
      <c r="EGC5747" s="917"/>
      <c r="EGD5747" s="917"/>
      <c r="EGE5747" s="917"/>
      <c r="EGF5747" s="917"/>
      <c r="EGG5747" s="917"/>
      <c r="EGH5747" s="917"/>
      <c r="EGI5747" s="917"/>
      <c r="EGJ5747" s="917"/>
      <c r="EGK5747" s="917" t="s">
        <v>78</v>
      </c>
      <c r="EGL5747" s="917"/>
      <c r="EGM5747" s="917"/>
      <c r="EGN5747" s="917"/>
      <c r="EGO5747" s="917"/>
      <c r="EGP5747" s="917"/>
      <c r="EGQ5747" s="917"/>
      <c r="EGR5747" s="917"/>
      <c r="EGS5747" s="917"/>
      <c r="EGT5747" s="917"/>
      <c r="EGU5747" s="917"/>
      <c r="EGV5747" s="917"/>
      <c r="EGW5747" s="917"/>
      <c r="EGX5747" s="917"/>
      <c r="EGY5747" s="917"/>
      <c r="EGZ5747" s="917"/>
      <c r="EHA5747" s="917"/>
      <c r="EHB5747" s="917"/>
      <c r="EHC5747" s="917"/>
      <c r="EHD5747" s="917"/>
      <c r="EHE5747" s="917"/>
      <c r="EHF5747" s="917"/>
      <c r="EHG5747" s="917"/>
      <c r="EHH5747" s="917"/>
      <c r="EHI5747" s="917"/>
      <c r="EHJ5747" s="917"/>
      <c r="EHK5747" s="917"/>
      <c r="EHL5747" s="917"/>
      <c r="EHM5747" s="917"/>
      <c r="EHN5747" s="917"/>
      <c r="EHO5747" s="917"/>
      <c r="EHP5747" s="917"/>
      <c r="EHQ5747" s="917" t="s">
        <v>78</v>
      </c>
      <c r="EHR5747" s="917"/>
      <c r="EHS5747" s="917"/>
      <c r="EHT5747" s="917"/>
      <c r="EHU5747" s="917"/>
      <c r="EHV5747" s="917"/>
      <c r="EHW5747" s="917"/>
      <c r="EHX5747" s="917"/>
      <c r="EHY5747" s="917"/>
      <c r="EHZ5747" s="917"/>
      <c r="EIA5747" s="917"/>
      <c r="EIB5747" s="917"/>
      <c r="EIC5747" s="917"/>
      <c r="EID5747" s="917"/>
      <c r="EIE5747" s="917"/>
      <c r="EIF5747" s="917"/>
      <c r="EIG5747" s="917"/>
      <c r="EIH5747" s="917"/>
      <c r="EII5747" s="917"/>
      <c r="EIJ5747" s="917"/>
      <c r="EIK5747" s="917"/>
      <c r="EIL5747" s="917"/>
      <c r="EIM5747" s="917"/>
      <c r="EIN5747" s="917"/>
      <c r="EIO5747" s="917"/>
      <c r="EIP5747" s="917"/>
      <c r="EIQ5747" s="917"/>
      <c r="EIR5747" s="917"/>
      <c r="EIS5747" s="917"/>
      <c r="EIT5747" s="917"/>
      <c r="EIU5747" s="917"/>
      <c r="EIV5747" s="917"/>
      <c r="EIW5747" s="917" t="s">
        <v>78</v>
      </c>
      <c r="EIX5747" s="917"/>
      <c r="EIY5747" s="917"/>
      <c r="EIZ5747" s="917"/>
      <c r="EJA5747" s="917"/>
      <c r="EJB5747" s="917"/>
      <c r="EJC5747" s="917"/>
      <c r="EJD5747" s="917"/>
      <c r="EJE5747" s="917"/>
      <c r="EJF5747" s="917"/>
      <c r="EJG5747" s="917"/>
      <c r="EJH5747" s="917"/>
      <c r="EJI5747" s="917"/>
      <c r="EJJ5747" s="917"/>
      <c r="EJK5747" s="917"/>
      <c r="EJL5747" s="917"/>
      <c r="EJM5747" s="917"/>
      <c r="EJN5747" s="917"/>
      <c r="EJO5747" s="917"/>
      <c r="EJP5747" s="917"/>
      <c r="EJQ5747" s="917"/>
      <c r="EJR5747" s="917"/>
      <c r="EJS5747" s="917"/>
      <c r="EJT5747" s="917"/>
      <c r="EJU5747" s="917"/>
      <c r="EJV5747" s="917"/>
      <c r="EJW5747" s="917"/>
      <c r="EJX5747" s="917"/>
      <c r="EJY5747" s="917"/>
      <c r="EJZ5747" s="917"/>
      <c r="EKA5747" s="917"/>
      <c r="EKB5747" s="917"/>
      <c r="EKC5747" s="917" t="s">
        <v>78</v>
      </c>
      <c r="EKD5747" s="917"/>
      <c r="EKE5747" s="917"/>
      <c r="EKF5747" s="917"/>
      <c r="EKG5747" s="917"/>
      <c r="EKH5747" s="917"/>
      <c r="EKI5747" s="917"/>
      <c r="EKJ5747" s="917"/>
      <c r="EKK5747" s="917"/>
      <c r="EKL5747" s="917"/>
      <c r="EKM5747" s="917"/>
      <c r="EKN5747" s="917"/>
      <c r="EKO5747" s="917"/>
      <c r="EKP5747" s="917"/>
      <c r="EKQ5747" s="917"/>
      <c r="EKR5747" s="917"/>
      <c r="EKS5747" s="917"/>
      <c r="EKT5747" s="917"/>
      <c r="EKU5747" s="917"/>
      <c r="EKV5747" s="917"/>
      <c r="EKW5747" s="917"/>
      <c r="EKX5747" s="917"/>
      <c r="EKY5747" s="917"/>
      <c r="EKZ5747" s="917"/>
      <c r="ELA5747" s="917"/>
      <c r="ELB5747" s="917"/>
      <c r="ELC5747" s="917"/>
      <c r="ELD5747" s="917"/>
      <c r="ELE5747" s="917"/>
      <c r="ELF5747" s="917"/>
      <c r="ELG5747" s="917"/>
      <c r="ELH5747" s="917"/>
      <c r="ELI5747" s="917" t="s">
        <v>78</v>
      </c>
      <c r="ELJ5747" s="917"/>
      <c r="ELK5747" s="917"/>
      <c r="ELL5747" s="917"/>
      <c r="ELM5747" s="917"/>
      <c r="ELN5747" s="917"/>
      <c r="ELO5747" s="917"/>
      <c r="ELP5747" s="917"/>
      <c r="ELQ5747" s="917"/>
      <c r="ELR5747" s="917"/>
      <c r="ELS5747" s="917"/>
      <c r="ELT5747" s="917"/>
      <c r="ELU5747" s="917"/>
      <c r="ELV5747" s="917"/>
      <c r="ELW5747" s="917"/>
      <c r="ELX5747" s="917"/>
      <c r="ELY5747" s="917"/>
      <c r="ELZ5747" s="917"/>
      <c r="EMA5747" s="917"/>
      <c r="EMB5747" s="917"/>
      <c r="EMC5747" s="917"/>
      <c r="EMD5747" s="917"/>
      <c r="EME5747" s="917"/>
      <c r="EMF5747" s="917"/>
      <c r="EMG5747" s="917"/>
      <c r="EMH5747" s="917"/>
      <c r="EMI5747" s="917"/>
      <c r="EMJ5747" s="917"/>
      <c r="EMK5747" s="917"/>
      <c r="EML5747" s="917"/>
      <c r="EMM5747" s="917"/>
      <c r="EMN5747" s="917"/>
      <c r="EMO5747" s="917" t="s">
        <v>78</v>
      </c>
      <c r="EMP5747" s="917"/>
      <c r="EMQ5747" s="917"/>
      <c r="EMR5747" s="917"/>
      <c r="EMS5747" s="917"/>
      <c r="EMT5747" s="917"/>
      <c r="EMU5747" s="917"/>
      <c r="EMV5747" s="917"/>
      <c r="EMW5747" s="917"/>
      <c r="EMX5747" s="917"/>
      <c r="EMY5747" s="917"/>
      <c r="EMZ5747" s="917"/>
      <c r="ENA5747" s="917"/>
      <c r="ENB5747" s="917"/>
      <c r="ENC5747" s="917"/>
      <c r="END5747" s="917"/>
      <c r="ENE5747" s="917"/>
      <c r="ENF5747" s="917"/>
      <c r="ENG5747" s="917"/>
      <c r="ENH5747" s="917"/>
      <c r="ENI5747" s="917"/>
      <c r="ENJ5747" s="917"/>
      <c r="ENK5747" s="917"/>
      <c r="ENL5747" s="917"/>
      <c r="ENM5747" s="917"/>
      <c r="ENN5747" s="917"/>
      <c r="ENO5747" s="917"/>
      <c r="ENP5747" s="917"/>
      <c r="ENQ5747" s="917"/>
      <c r="ENR5747" s="917"/>
      <c r="ENS5747" s="917"/>
      <c r="ENT5747" s="917"/>
      <c r="ENU5747" s="917" t="s">
        <v>78</v>
      </c>
      <c r="ENV5747" s="917"/>
      <c r="ENW5747" s="917"/>
      <c r="ENX5747" s="917"/>
      <c r="ENY5747" s="917"/>
      <c r="ENZ5747" s="917"/>
      <c r="EOA5747" s="917"/>
      <c r="EOB5747" s="917"/>
      <c r="EOC5747" s="917"/>
      <c r="EOD5747" s="917"/>
      <c r="EOE5747" s="917"/>
      <c r="EOF5747" s="917"/>
      <c r="EOG5747" s="917"/>
      <c r="EOH5747" s="917"/>
      <c r="EOI5747" s="917"/>
      <c r="EOJ5747" s="917"/>
      <c r="EOK5747" s="917"/>
      <c r="EOL5747" s="917"/>
      <c r="EOM5747" s="917"/>
      <c r="EON5747" s="917"/>
      <c r="EOO5747" s="917"/>
      <c r="EOP5747" s="917"/>
      <c r="EOQ5747" s="917"/>
      <c r="EOR5747" s="917"/>
      <c r="EOS5747" s="917"/>
      <c r="EOT5747" s="917"/>
      <c r="EOU5747" s="917"/>
      <c r="EOV5747" s="917"/>
      <c r="EOW5747" s="917"/>
      <c r="EOX5747" s="917"/>
      <c r="EOY5747" s="917"/>
      <c r="EOZ5747" s="917"/>
      <c r="EPA5747" s="917" t="s">
        <v>78</v>
      </c>
      <c r="EPB5747" s="917"/>
      <c r="EPC5747" s="917"/>
      <c r="EPD5747" s="917"/>
      <c r="EPE5747" s="917"/>
      <c r="EPF5747" s="917"/>
      <c r="EPG5747" s="917"/>
      <c r="EPH5747" s="917"/>
      <c r="EPI5747" s="917"/>
      <c r="EPJ5747" s="917"/>
      <c r="EPK5747" s="917"/>
      <c r="EPL5747" s="917"/>
      <c r="EPM5747" s="917"/>
      <c r="EPN5747" s="917"/>
      <c r="EPO5747" s="917"/>
      <c r="EPP5747" s="917"/>
      <c r="EPQ5747" s="917"/>
      <c r="EPR5747" s="917"/>
      <c r="EPS5747" s="917"/>
      <c r="EPT5747" s="917"/>
      <c r="EPU5747" s="917"/>
      <c r="EPV5747" s="917"/>
      <c r="EPW5747" s="917"/>
      <c r="EPX5747" s="917"/>
      <c r="EPY5747" s="917"/>
      <c r="EPZ5747" s="917"/>
      <c r="EQA5747" s="917"/>
      <c r="EQB5747" s="917"/>
      <c r="EQC5747" s="917"/>
      <c r="EQD5747" s="917"/>
      <c r="EQE5747" s="917"/>
      <c r="EQF5747" s="917"/>
      <c r="EQG5747" s="917" t="s">
        <v>78</v>
      </c>
      <c r="EQH5747" s="917"/>
      <c r="EQI5747" s="917"/>
      <c r="EQJ5747" s="917"/>
      <c r="EQK5747" s="917"/>
      <c r="EQL5747" s="917"/>
      <c r="EQM5747" s="917"/>
      <c r="EQN5747" s="917"/>
      <c r="EQO5747" s="917"/>
      <c r="EQP5747" s="917"/>
      <c r="EQQ5747" s="917"/>
      <c r="EQR5747" s="917"/>
      <c r="EQS5747" s="917"/>
      <c r="EQT5747" s="917"/>
      <c r="EQU5747" s="917"/>
      <c r="EQV5747" s="917"/>
      <c r="EQW5747" s="917"/>
      <c r="EQX5747" s="917"/>
      <c r="EQY5747" s="917"/>
      <c r="EQZ5747" s="917"/>
      <c r="ERA5747" s="917"/>
      <c r="ERB5747" s="917"/>
      <c r="ERC5747" s="917"/>
      <c r="ERD5747" s="917"/>
      <c r="ERE5747" s="917"/>
      <c r="ERF5747" s="917"/>
      <c r="ERG5747" s="917"/>
      <c r="ERH5747" s="917"/>
      <c r="ERI5747" s="917"/>
      <c r="ERJ5747" s="917"/>
      <c r="ERK5747" s="917"/>
      <c r="ERL5747" s="917"/>
      <c r="ERM5747" s="917" t="s">
        <v>78</v>
      </c>
      <c r="ERN5747" s="917"/>
      <c r="ERO5747" s="917"/>
      <c r="ERP5747" s="917"/>
      <c r="ERQ5747" s="917"/>
      <c r="ERR5747" s="917"/>
      <c r="ERS5747" s="917"/>
      <c r="ERT5747" s="917"/>
      <c r="ERU5747" s="917"/>
      <c r="ERV5747" s="917"/>
      <c r="ERW5747" s="917"/>
      <c r="ERX5747" s="917"/>
      <c r="ERY5747" s="917"/>
      <c r="ERZ5747" s="917"/>
      <c r="ESA5747" s="917"/>
      <c r="ESB5747" s="917"/>
      <c r="ESC5747" s="917"/>
      <c r="ESD5747" s="917"/>
      <c r="ESE5747" s="917"/>
      <c r="ESF5747" s="917"/>
      <c r="ESG5747" s="917"/>
      <c r="ESH5747" s="917"/>
      <c r="ESI5747" s="917"/>
      <c r="ESJ5747" s="917"/>
      <c r="ESK5747" s="917"/>
      <c r="ESL5747" s="917"/>
      <c r="ESM5747" s="917"/>
      <c r="ESN5747" s="917"/>
      <c r="ESO5747" s="917"/>
      <c r="ESP5747" s="917"/>
      <c r="ESQ5747" s="917"/>
      <c r="ESR5747" s="917"/>
      <c r="ESS5747" s="917" t="s">
        <v>78</v>
      </c>
      <c r="EST5747" s="917"/>
      <c r="ESU5747" s="917"/>
      <c r="ESV5747" s="917"/>
      <c r="ESW5747" s="917"/>
      <c r="ESX5747" s="917"/>
      <c r="ESY5747" s="917"/>
      <c r="ESZ5747" s="917"/>
      <c r="ETA5747" s="917"/>
      <c r="ETB5747" s="917"/>
      <c r="ETC5747" s="917"/>
      <c r="ETD5747" s="917"/>
      <c r="ETE5747" s="917"/>
      <c r="ETF5747" s="917"/>
      <c r="ETG5747" s="917"/>
      <c r="ETH5747" s="917"/>
      <c r="ETI5747" s="917"/>
      <c r="ETJ5747" s="917"/>
      <c r="ETK5747" s="917"/>
      <c r="ETL5747" s="917"/>
      <c r="ETM5747" s="917"/>
      <c r="ETN5747" s="917"/>
      <c r="ETO5747" s="917"/>
      <c r="ETP5747" s="917"/>
      <c r="ETQ5747" s="917"/>
      <c r="ETR5747" s="917"/>
      <c r="ETS5747" s="917"/>
      <c r="ETT5747" s="917"/>
      <c r="ETU5747" s="917"/>
      <c r="ETV5747" s="917"/>
      <c r="ETW5747" s="917"/>
      <c r="ETX5747" s="917"/>
      <c r="ETY5747" s="917" t="s">
        <v>78</v>
      </c>
      <c r="ETZ5747" s="917"/>
      <c r="EUA5747" s="917"/>
      <c r="EUB5747" s="917"/>
      <c r="EUC5747" s="917"/>
      <c r="EUD5747" s="917"/>
      <c r="EUE5747" s="917"/>
      <c r="EUF5747" s="917"/>
      <c r="EUG5747" s="917"/>
      <c r="EUH5747" s="917"/>
      <c r="EUI5747" s="917"/>
      <c r="EUJ5747" s="917"/>
      <c r="EUK5747" s="917"/>
      <c r="EUL5747" s="917"/>
      <c r="EUM5747" s="917"/>
      <c r="EUN5747" s="917"/>
      <c r="EUO5747" s="917"/>
      <c r="EUP5747" s="917"/>
      <c r="EUQ5747" s="917"/>
      <c r="EUR5747" s="917"/>
      <c r="EUS5747" s="917"/>
      <c r="EUT5747" s="917"/>
      <c r="EUU5747" s="917"/>
      <c r="EUV5747" s="917"/>
      <c r="EUW5747" s="917"/>
      <c r="EUX5747" s="917"/>
      <c r="EUY5747" s="917"/>
      <c r="EUZ5747" s="917"/>
      <c r="EVA5747" s="917"/>
      <c r="EVB5747" s="917"/>
      <c r="EVC5747" s="917"/>
      <c r="EVD5747" s="917"/>
      <c r="EVE5747" s="917" t="s">
        <v>78</v>
      </c>
      <c r="EVF5747" s="917"/>
      <c r="EVG5747" s="917"/>
      <c r="EVH5747" s="917"/>
      <c r="EVI5747" s="917"/>
      <c r="EVJ5747" s="917"/>
      <c r="EVK5747" s="917"/>
      <c r="EVL5747" s="917"/>
      <c r="EVM5747" s="917"/>
      <c r="EVN5747" s="917"/>
      <c r="EVO5747" s="917"/>
      <c r="EVP5747" s="917"/>
      <c r="EVQ5747" s="917"/>
      <c r="EVR5747" s="917"/>
      <c r="EVS5747" s="917"/>
      <c r="EVT5747" s="917"/>
      <c r="EVU5747" s="917"/>
      <c r="EVV5747" s="917"/>
      <c r="EVW5747" s="917"/>
      <c r="EVX5747" s="917"/>
      <c r="EVY5747" s="917"/>
      <c r="EVZ5747" s="917"/>
      <c r="EWA5747" s="917"/>
      <c r="EWB5747" s="917"/>
      <c r="EWC5747" s="917"/>
      <c r="EWD5747" s="917"/>
      <c r="EWE5747" s="917"/>
      <c r="EWF5747" s="917"/>
      <c r="EWG5747" s="917"/>
      <c r="EWH5747" s="917"/>
      <c r="EWI5747" s="917"/>
      <c r="EWJ5747" s="917"/>
      <c r="EWK5747" s="917" t="s">
        <v>78</v>
      </c>
      <c r="EWL5747" s="917"/>
      <c r="EWM5747" s="917"/>
      <c r="EWN5747" s="917"/>
      <c r="EWO5747" s="917"/>
      <c r="EWP5747" s="917"/>
      <c r="EWQ5747" s="917"/>
      <c r="EWR5747" s="917"/>
      <c r="EWS5747" s="917"/>
      <c r="EWT5747" s="917"/>
      <c r="EWU5747" s="917"/>
      <c r="EWV5747" s="917"/>
      <c r="EWW5747" s="917"/>
      <c r="EWX5747" s="917"/>
      <c r="EWY5747" s="917"/>
      <c r="EWZ5747" s="917"/>
      <c r="EXA5747" s="917"/>
      <c r="EXB5747" s="917"/>
      <c r="EXC5747" s="917"/>
      <c r="EXD5747" s="917"/>
      <c r="EXE5747" s="917"/>
      <c r="EXF5747" s="917"/>
      <c r="EXG5747" s="917"/>
      <c r="EXH5747" s="917"/>
      <c r="EXI5747" s="917"/>
      <c r="EXJ5747" s="917"/>
      <c r="EXK5747" s="917"/>
      <c r="EXL5747" s="917"/>
      <c r="EXM5747" s="917"/>
      <c r="EXN5747" s="917"/>
      <c r="EXO5747" s="917"/>
      <c r="EXP5747" s="917"/>
      <c r="EXQ5747" s="917" t="s">
        <v>78</v>
      </c>
      <c r="EXR5747" s="917"/>
      <c r="EXS5747" s="917"/>
      <c r="EXT5747" s="917"/>
      <c r="EXU5747" s="917"/>
      <c r="EXV5747" s="917"/>
      <c r="EXW5747" s="917"/>
      <c r="EXX5747" s="917"/>
      <c r="EXY5747" s="917"/>
      <c r="EXZ5747" s="917"/>
      <c r="EYA5747" s="917"/>
      <c r="EYB5747" s="917"/>
      <c r="EYC5747" s="917"/>
      <c r="EYD5747" s="917"/>
      <c r="EYE5747" s="917"/>
      <c r="EYF5747" s="917"/>
      <c r="EYG5747" s="917"/>
      <c r="EYH5747" s="917"/>
      <c r="EYI5747" s="917"/>
      <c r="EYJ5747" s="917"/>
      <c r="EYK5747" s="917"/>
      <c r="EYL5747" s="917"/>
      <c r="EYM5747" s="917"/>
      <c r="EYN5747" s="917"/>
      <c r="EYO5747" s="917"/>
      <c r="EYP5747" s="917"/>
      <c r="EYQ5747" s="917"/>
      <c r="EYR5747" s="917"/>
      <c r="EYS5747" s="917"/>
      <c r="EYT5747" s="917"/>
      <c r="EYU5747" s="917"/>
      <c r="EYV5747" s="917"/>
      <c r="EYW5747" s="917" t="s">
        <v>78</v>
      </c>
      <c r="EYX5747" s="917"/>
      <c r="EYY5747" s="917"/>
      <c r="EYZ5747" s="917"/>
      <c r="EZA5747" s="917"/>
      <c r="EZB5747" s="917"/>
      <c r="EZC5747" s="917"/>
      <c r="EZD5747" s="917"/>
      <c r="EZE5747" s="917"/>
      <c r="EZF5747" s="917"/>
      <c r="EZG5747" s="917"/>
      <c r="EZH5747" s="917"/>
      <c r="EZI5747" s="917"/>
      <c r="EZJ5747" s="917"/>
      <c r="EZK5747" s="917"/>
      <c r="EZL5747" s="917"/>
      <c r="EZM5747" s="917"/>
      <c r="EZN5747" s="917"/>
      <c r="EZO5747" s="917"/>
      <c r="EZP5747" s="917"/>
      <c r="EZQ5747" s="917"/>
      <c r="EZR5747" s="917"/>
      <c r="EZS5747" s="917"/>
      <c r="EZT5747" s="917"/>
      <c r="EZU5747" s="917"/>
      <c r="EZV5747" s="917"/>
      <c r="EZW5747" s="917"/>
      <c r="EZX5747" s="917"/>
      <c r="EZY5747" s="917"/>
      <c r="EZZ5747" s="917"/>
      <c r="FAA5747" s="917"/>
      <c r="FAB5747" s="917"/>
      <c r="FAC5747" s="917" t="s">
        <v>78</v>
      </c>
      <c r="FAD5747" s="917"/>
      <c r="FAE5747" s="917"/>
      <c r="FAF5747" s="917"/>
      <c r="FAG5747" s="917"/>
      <c r="FAH5747" s="917"/>
      <c r="FAI5747" s="917"/>
      <c r="FAJ5747" s="917"/>
      <c r="FAK5747" s="917"/>
      <c r="FAL5747" s="917"/>
      <c r="FAM5747" s="917"/>
      <c r="FAN5747" s="917"/>
      <c r="FAO5747" s="917"/>
      <c r="FAP5747" s="917"/>
      <c r="FAQ5747" s="917"/>
      <c r="FAR5747" s="917"/>
      <c r="FAS5747" s="917"/>
      <c r="FAT5747" s="917"/>
      <c r="FAU5747" s="917"/>
      <c r="FAV5747" s="917"/>
      <c r="FAW5747" s="917"/>
      <c r="FAX5747" s="917"/>
      <c r="FAY5747" s="917"/>
      <c r="FAZ5747" s="917"/>
      <c r="FBA5747" s="917"/>
      <c r="FBB5747" s="917"/>
      <c r="FBC5747" s="917"/>
      <c r="FBD5747" s="917"/>
      <c r="FBE5747" s="917"/>
      <c r="FBF5747" s="917"/>
      <c r="FBG5747" s="917"/>
      <c r="FBH5747" s="917"/>
      <c r="FBI5747" s="917" t="s">
        <v>78</v>
      </c>
      <c r="FBJ5747" s="917"/>
      <c r="FBK5747" s="917"/>
      <c r="FBL5747" s="917"/>
      <c r="FBM5747" s="917"/>
      <c r="FBN5747" s="917"/>
      <c r="FBO5747" s="917"/>
      <c r="FBP5747" s="917"/>
      <c r="FBQ5747" s="917"/>
      <c r="FBR5747" s="917"/>
      <c r="FBS5747" s="917"/>
      <c r="FBT5747" s="917"/>
      <c r="FBU5747" s="917"/>
      <c r="FBV5747" s="917"/>
      <c r="FBW5747" s="917"/>
      <c r="FBX5747" s="917"/>
      <c r="FBY5747" s="917"/>
      <c r="FBZ5747" s="917"/>
      <c r="FCA5747" s="917"/>
      <c r="FCB5747" s="917"/>
      <c r="FCC5747" s="917"/>
      <c r="FCD5747" s="917"/>
      <c r="FCE5747" s="917"/>
      <c r="FCF5747" s="917"/>
      <c r="FCG5747" s="917"/>
      <c r="FCH5747" s="917"/>
      <c r="FCI5747" s="917"/>
      <c r="FCJ5747" s="917"/>
      <c r="FCK5747" s="917"/>
      <c r="FCL5747" s="917"/>
      <c r="FCM5747" s="917"/>
      <c r="FCN5747" s="917"/>
      <c r="FCO5747" s="917" t="s">
        <v>78</v>
      </c>
      <c r="FCP5747" s="917"/>
      <c r="FCQ5747" s="917"/>
      <c r="FCR5747" s="917"/>
      <c r="FCS5747" s="917"/>
      <c r="FCT5747" s="917"/>
      <c r="FCU5747" s="917"/>
      <c r="FCV5747" s="917"/>
      <c r="FCW5747" s="917"/>
      <c r="FCX5747" s="917"/>
      <c r="FCY5747" s="917"/>
      <c r="FCZ5747" s="917"/>
      <c r="FDA5747" s="917"/>
      <c r="FDB5747" s="917"/>
      <c r="FDC5747" s="917"/>
      <c r="FDD5747" s="917"/>
      <c r="FDE5747" s="917"/>
      <c r="FDF5747" s="917"/>
      <c r="FDG5747" s="917"/>
      <c r="FDH5747" s="917"/>
      <c r="FDI5747" s="917"/>
      <c r="FDJ5747" s="917"/>
      <c r="FDK5747" s="917"/>
      <c r="FDL5747" s="917"/>
      <c r="FDM5747" s="917"/>
      <c r="FDN5747" s="917"/>
      <c r="FDO5747" s="917"/>
      <c r="FDP5747" s="917"/>
      <c r="FDQ5747" s="917"/>
      <c r="FDR5747" s="917"/>
      <c r="FDS5747" s="917"/>
      <c r="FDT5747" s="917"/>
      <c r="FDU5747" s="917" t="s">
        <v>78</v>
      </c>
      <c r="FDV5747" s="917"/>
      <c r="FDW5747" s="917"/>
      <c r="FDX5747" s="917"/>
      <c r="FDY5747" s="917"/>
      <c r="FDZ5747" s="917"/>
      <c r="FEA5747" s="917"/>
      <c r="FEB5747" s="917"/>
      <c r="FEC5747" s="917"/>
      <c r="FED5747" s="917"/>
      <c r="FEE5747" s="917"/>
      <c r="FEF5747" s="917"/>
      <c r="FEG5747" s="917"/>
      <c r="FEH5747" s="917"/>
      <c r="FEI5747" s="917"/>
      <c r="FEJ5747" s="917"/>
      <c r="FEK5747" s="917"/>
      <c r="FEL5747" s="917"/>
      <c r="FEM5747" s="917"/>
      <c r="FEN5747" s="917"/>
      <c r="FEO5747" s="917"/>
      <c r="FEP5747" s="917"/>
      <c r="FEQ5747" s="917"/>
      <c r="FER5747" s="917"/>
      <c r="FES5747" s="917"/>
      <c r="FET5747" s="917"/>
      <c r="FEU5747" s="917"/>
      <c r="FEV5747" s="917"/>
      <c r="FEW5747" s="917"/>
      <c r="FEX5747" s="917"/>
      <c r="FEY5747" s="917"/>
      <c r="FEZ5747" s="917"/>
      <c r="FFA5747" s="917" t="s">
        <v>78</v>
      </c>
      <c r="FFB5747" s="917"/>
      <c r="FFC5747" s="917"/>
      <c r="FFD5747" s="917"/>
      <c r="FFE5747" s="917"/>
      <c r="FFF5747" s="917"/>
      <c r="FFG5747" s="917"/>
      <c r="FFH5747" s="917"/>
      <c r="FFI5747" s="917"/>
      <c r="FFJ5747" s="917"/>
      <c r="FFK5747" s="917"/>
      <c r="FFL5747" s="917"/>
      <c r="FFM5747" s="917"/>
      <c r="FFN5747" s="917"/>
      <c r="FFO5747" s="917"/>
      <c r="FFP5747" s="917"/>
      <c r="FFQ5747" s="917"/>
      <c r="FFR5747" s="917"/>
      <c r="FFS5747" s="917"/>
      <c r="FFT5747" s="917"/>
      <c r="FFU5747" s="917"/>
      <c r="FFV5747" s="917"/>
      <c r="FFW5747" s="917"/>
      <c r="FFX5747" s="917"/>
      <c r="FFY5747" s="917"/>
      <c r="FFZ5747" s="917"/>
      <c r="FGA5747" s="917"/>
      <c r="FGB5747" s="917"/>
      <c r="FGC5747" s="917"/>
      <c r="FGD5747" s="917"/>
      <c r="FGE5747" s="917"/>
      <c r="FGF5747" s="917"/>
      <c r="FGG5747" s="917" t="s">
        <v>78</v>
      </c>
      <c r="FGH5747" s="917"/>
      <c r="FGI5747" s="917"/>
      <c r="FGJ5747" s="917"/>
      <c r="FGK5747" s="917"/>
      <c r="FGL5747" s="917"/>
      <c r="FGM5747" s="917"/>
      <c r="FGN5747" s="917"/>
      <c r="FGO5747" s="917"/>
      <c r="FGP5747" s="917"/>
      <c r="FGQ5747" s="917"/>
      <c r="FGR5747" s="917"/>
      <c r="FGS5747" s="917"/>
      <c r="FGT5747" s="917"/>
      <c r="FGU5747" s="917"/>
      <c r="FGV5747" s="917"/>
      <c r="FGW5747" s="917"/>
      <c r="FGX5747" s="917"/>
      <c r="FGY5747" s="917"/>
      <c r="FGZ5747" s="917"/>
      <c r="FHA5747" s="917"/>
      <c r="FHB5747" s="917"/>
      <c r="FHC5747" s="917"/>
      <c r="FHD5747" s="917"/>
      <c r="FHE5747" s="917"/>
      <c r="FHF5747" s="917"/>
      <c r="FHG5747" s="917"/>
      <c r="FHH5747" s="917"/>
      <c r="FHI5747" s="917"/>
      <c r="FHJ5747" s="917"/>
      <c r="FHK5747" s="917"/>
      <c r="FHL5747" s="917"/>
      <c r="FHM5747" s="917" t="s">
        <v>78</v>
      </c>
      <c r="FHN5747" s="917"/>
      <c r="FHO5747" s="917"/>
      <c r="FHP5747" s="917"/>
      <c r="FHQ5747" s="917"/>
      <c r="FHR5747" s="917"/>
      <c r="FHS5747" s="917"/>
      <c r="FHT5747" s="917"/>
      <c r="FHU5747" s="917"/>
      <c r="FHV5747" s="917"/>
      <c r="FHW5747" s="917"/>
      <c r="FHX5747" s="917"/>
      <c r="FHY5747" s="917"/>
      <c r="FHZ5747" s="917"/>
      <c r="FIA5747" s="917"/>
      <c r="FIB5747" s="917"/>
      <c r="FIC5747" s="917"/>
      <c r="FID5747" s="917"/>
      <c r="FIE5747" s="917"/>
      <c r="FIF5747" s="917"/>
      <c r="FIG5747" s="917"/>
      <c r="FIH5747" s="917"/>
      <c r="FII5747" s="917"/>
      <c r="FIJ5747" s="917"/>
      <c r="FIK5747" s="917"/>
      <c r="FIL5747" s="917"/>
      <c r="FIM5747" s="917"/>
      <c r="FIN5747" s="917"/>
      <c r="FIO5747" s="917"/>
      <c r="FIP5747" s="917"/>
      <c r="FIQ5747" s="917"/>
      <c r="FIR5747" s="917"/>
      <c r="FIS5747" s="917" t="s">
        <v>78</v>
      </c>
      <c r="FIT5747" s="917"/>
      <c r="FIU5747" s="917"/>
      <c r="FIV5747" s="917"/>
      <c r="FIW5747" s="917"/>
      <c r="FIX5747" s="917"/>
      <c r="FIY5747" s="917"/>
      <c r="FIZ5747" s="917"/>
      <c r="FJA5747" s="917"/>
      <c r="FJB5747" s="917"/>
      <c r="FJC5747" s="917"/>
      <c r="FJD5747" s="917"/>
      <c r="FJE5747" s="917"/>
      <c r="FJF5747" s="917"/>
      <c r="FJG5747" s="917"/>
      <c r="FJH5747" s="917"/>
      <c r="FJI5747" s="917"/>
      <c r="FJJ5747" s="917"/>
      <c r="FJK5747" s="917"/>
      <c r="FJL5747" s="917"/>
      <c r="FJM5747" s="917"/>
      <c r="FJN5747" s="917"/>
      <c r="FJO5747" s="917"/>
      <c r="FJP5747" s="917"/>
      <c r="FJQ5747" s="917"/>
      <c r="FJR5747" s="917"/>
      <c r="FJS5747" s="917"/>
      <c r="FJT5747" s="917"/>
      <c r="FJU5747" s="917"/>
      <c r="FJV5747" s="917"/>
      <c r="FJW5747" s="917"/>
      <c r="FJX5747" s="917"/>
      <c r="FJY5747" s="917" t="s">
        <v>78</v>
      </c>
      <c r="FJZ5747" s="917"/>
      <c r="FKA5747" s="917"/>
      <c r="FKB5747" s="917"/>
      <c r="FKC5747" s="917"/>
      <c r="FKD5747" s="917"/>
      <c r="FKE5747" s="917"/>
      <c r="FKF5747" s="917"/>
      <c r="FKG5747" s="917"/>
      <c r="FKH5747" s="917"/>
      <c r="FKI5747" s="917"/>
      <c r="FKJ5747" s="917"/>
      <c r="FKK5747" s="917"/>
      <c r="FKL5747" s="917"/>
      <c r="FKM5747" s="917"/>
      <c r="FKN5747" s="917"/>
      <c r="FKO5747" s="917"/>
      <c r="FKP5747" s="917"/>
      <c r="FKQ5747" s="917"/>
      <c r="FKR5747" s="917"/>
      <c r="FKS5747" s="917"/>
      <c r="FKT5747" s="917"/>
      <c r="FKU5747" s="917"/>
      <c r="FKV5747" s="917"/>
      <c r="FKW5747" s="917"/>
      <c r="FKX5747" s="917"/>
      <c r="FKY5747" s="917"/>
      <c r="FKZ5747" s="917"/>
      <c r="FLA5747" s="917"/>
      <c r="FLB5747" s="917"/>
      <c r="FLC5747" s="917"/>
      <c r="FLD5747" s="917"/>
      <c r="FLE5747" s="917" t="s">
        <v>78</v>
      </c>
      <c r="FLF5747" s="917"/>
      <c r="FLG5747" s="917"/>
      <c r="FLH5747" s="917"/>
      <c r="FLI5747" s="917"/>
      <c r="FLJ5747" s="917"/>
      <c r="FLK5747" s="917"/>
      <c r="FLL5747" s="917"/>
      <c r="FLM5747" s="917"/>
      <c r="FLN5747" s="917"/>
      <c r="FLO5747" s="917"/>
      <c r="FLP5747" s="917"/>
      <c r="FLQ5747" s="917"/>
      <c r="FLR5747" s="917"/>
      <c r="FLS5747" s="917"/>
      <c r="FLT5747" s="917"/>
      <c r="FLU5747" s="917"/>
      <c r="FLV5747" s="917"/>
      <c r="FLW5747" s="917"/>
      <c r="FLX5747" s="917"/>
      <c r="FLY5747" s="917"/>
      <c r="FLZ5747" s="917"/>
      <c r="FMA5747" s="917"/>
      <c r="FMB5747" s="917"/>
      <c r="FMC5747" s="917"/>
      <c r="FMD5747" s="917"/>
      <c r="FME5747" s="917"/>
      <c r="FMF5747" s="917"/>
      <c r="FMG5747" s="917"/>
      <c r="FMH5747" s="917"/>
      <c r="FMI5747" s="917"/>
      <c r="FMJ5747" s="917"/>
      <c r="FMK5747" s="917" t="s">
        <v>78</v>
      </c>
      <c r="FML5747" s="917"/>
      <c r="FMM5747" s="917"/>
      <c r="FMN5747" s="917"/>
      <c r="FMO5747" s="917"/>
      <c r="FMP5747" s="917"/>
      <c r="FMQ5747" s="917"/>
      <c r="FMR5747" s="917"/>
      <c r="FMS5747" s="917"/>
      <c r="FMT5747" s="917"/>
      <c r="FMU5747" s="917"/>
      <c r="FMV5747" s="917"/>
      <c r="FMW5747" s="917"/>
      <c r="FMX5747" s="917"/>
      <c r="FMY5747" s="917"/>
      <c r="FMZ5747" s="917"/>
      <c r="FNA5747" s="917"/>
      <c r="FNB5747" s="917"/>
      <c r="FNC5747" s="917"/>
      <c r="FND5747" s="917"/>
      <c r="FNE5747" s="917"/>
      <c r="FNF5747" s="917"/>
      <c r="FNG5747" s="917"/>
      <c r="FNH5747" s="917"/>
      <c r="FNI5747" s="917"/>
      <c r="FNJ5747" s="917"/>
      <c r="FNK5747" s="917"/>
      <c r="FNL5747" s="917"/>
      <c r="FNM5747" s="917"/>
      <c r="FNN5747" s="917"/>
      <c r="FNO5747" s="917"/>
      <c r="FNP5747" s="917"/>
      <c r="FNQ5747" s="917" t="s">
        <v>78</v>
      </c>
      <c r="FNR5747" s="917"/>
      <c r="FNS5747" s="917"/>
      <c r="FNT5747" s="917"/>
      <c r="FNU5747" s="917"/>
      <c r="FNV5747" s="917"/>
      <c r="FNW5747" s="917"/>
      <c r="FNX5747" s="917"/>
      <c r="FNY5747" s="917"/>
      <c r="FNZ5747" s="917"/>
      <c r="FOA5747" s="917"/>
      <c r="FOB5747" s="917"/>
      <c r="FOC5747" s="917"/>
      <c r="FOD5747" s="917"/>
      <c r="FOE5747" s="917"/>
      <c r="FOF5747" s="917"/>
      <c r="FOG5747" s="917"/>
      <c r="FOH5747" s="917"/>
      <c r="FOI5747" s="917"/>
      <c r="FOJ5747" s="917"/>
      <c r="FOK5747" s="917"/>
      <c r="FOL5747" s="917"/>
      <c r="FOM5747" s="917"/>
      <c r="FON5747" s="917"/>
      <c r="FOO5747" s="917"/>
      <c r="FOP5747" s="917"/>
      <c r="FOQ5747" s="917"/>
      <c r="FOR5747" s="917"/>
      <c r="FOS5747" s="917"/>
      <c r="FOT5747" s="917"/>
      <c r="FOU5747" s="917"/>
      <c r="FOV5747" s="917"/>
      <c r="FOW5747" s="917" t="s">
        <v>78</v>
      </c>
      <c r="FOX5747" s="917"/>
      <c r="FOY5747" s="917"/>
      <c r="FOZ5747" s="917"/>
      <c r="FPA5747" s="917"/>
      <c r="FPB5747" s="917"/>
      <c r="FPC5747" s="917"/>
      <c r="FPD5747" s="917"/>
      <c r="FPE5747" s="917"/>
      <c r="FPF5747" s="917"/>
      <c r="FPG5747" s="917"/>
      <c r="FPH5747" s="917"/>
      <c r="FPI5747" s="917"/>
      <c r="FPJ5747" s="917"/>
      <c r="FPK5747" s="917"/>
      <c r="FPL5747" s="917"/>
      <c r="FPM5747" s="917"/>
      <c r="FPN5747" s="917"/>
      <c r="FPO5747" s="917"/>
      <c r="FPP5747" s="917"/>
      <c r="FPQ5747" s="917"/>
      <c r="FPR5747" s="917"/>
      <c r="FPS5747" s="917"/>
      <c r="FPT5747" s="917"/>
      <c r="FPU5747" s="917"/>
      <c r="FPV5747" s="917"/>
      <c r="FPW5747" s="917"/>
      <c r="FPX5747" s="917"/>
      <c r="FPY5747" s="917"/>
      <c r="FPZ5747" s="917"/>
      <c r="FQA5747" s="917"/>
      <c r="FQB5747" s="917"/>
      <c r="FQC5747" s="917" t="s">
        <v>78</v>
      </c>
      <c r="FQD5747" s="917"/>
      <c r="FQE5747" s="917"/>
      <c r="FQF5747" s="917"/>
      <c r="FQG5747" s="917"/>
      <c r="FQH5747" s="917"/>
      <c r="FQI5747" s="917"/>
      <c r="FQJ5747" s="917"/>
      <c r="FQK5747" s="917"/>
      <c r="FQL5747" s="917"/>
      <c r="FQM5747" s="917"/>
      <c r="FQN5747" s="917"/>
      <c r="FQO5747" s="917"/>
      <c r="FQP5747" s="917"/>
      <c r="FQQ5747" s="917"/>
      <c r="FQR5747" s="917"/>
      <c r="FQS5747" s="917"/>
      <c r="FQT5747" s="917"/>
      <c r="FQU5747" s="917"/>
      <c r="FQV5747" s="917"/>
      <c r="FQW5747" s="917"/>
      <c r="FQX5747" s="917"/>
      <c r="FQY5747" s="917"/>
      <c r="FQZ5747" s="917"/>
      <c r="FRA5747" s="917"/>
      <c r="FRB5747" s="917"/>
      <c r="FRC5747" s="917"/>
      <c r="FRD5747" s="917"/>
      <c r="FRE5747" s="917"/>
      <c r="FRF5747" s="917"/>
      <c r="FRG5747" s="917"/>
      <c r="FRH5747" s="917"/>
      <c r="FRI5747" s="917" t="s">
        <v>78</v>
      </c>
      <c r="FRJ5747" s="917"/>
      <c r="FRK5747" s="917"/>
      <c r="FRL5747" s="917"/>
      <c r="FRM5747" s="917"/>
      <c r="FRN5747" s="917"/>
      <c r="FRO5747" s="917"/>
      <c r="FRP5747" s="917"/>
      <c r="FRQ5747" s="917"/>
      <c r="FRR5747" s="917"/>
      <c r="FRS5747" s="917"/>
      <c r="FRT5747" s="917"/>
      <c r="FRU5747" s="917"/>
      <c r="FRV5747" s="917"/>
      <c r="FRW5747" s="917"/>
      <c r="FRX5747" s="917"/>
      <c r="FRY5747" s="917"/>
      <c r="FRZ5747" s="917"/>
      <c r="FSA5747" s="917"/>
      <c r="FSB5747" s="917"/>
      <c r="FSC5747" s="917"/>
      <c r="FSD5747" s="917"/>
      <c r="FSE5747" s="917"/>
      <c r="FSF5747" s="917"/>
      <c r="FSG5747" s="917"/>
      <c r="FSH5747" s="917"/>
      <c r="FSI5747" s="917"/>
      <c r="FSJ5747" s="917"/>
      <c r="FSK5747" s="917"/>
      <c r="FSL5747" s="917"/>
      <c r="FSM5747" s="917"/>
      <c r="FSN5747" s="917"/>
      <c r="FSO5747" s="917" t="s">
        <v>78</v>
      </c>
      <c r="FSP5747" s="917"/>
      <c r="FSQ5747" s="917"/>
      <c r="FSR5747" s="917"/>
      <c r="FSS5747" s="917"/>
      <c r="FST5747" s="917"/>
      <c r="FSU5747" s="917"/>
      <c r="FSV5747" s="917"/>
      <c r="FSW5747" s="917"/>
      <c r="FSX5747" s="917"/>
      <c r="FSY5747" s="917"/>
      <c r="FSZ5747" s="917"/>
      <c r="FTA5747" s="917"/>
      <c r="FTB5747" s="917"/>
      <c r="FTC5747" s="917"/>
      <c r="FTD5747" s="917"/>
      <c r="FTE5747" s="917"/>
      <c r="FTF5747" s="917"/>
      <c r="FTG5747" s="917"/>
      <c r="FTH5747" s="917"/>
      <c r="FTI5747" s="917"/>
      <c r="FTJ5747" s="917"/>
      <c r="FTK5747" s="917"/>
      <c r="FTL5747" s="917"/>
      <c r="FTM5747" s="917"/>
      <c r="FTN5747" s="917"/>
      <c r="FTO5747" s="917"/>
      <c r="FTP5747" s="917"/>
      <c r="FTQ5747" s="917"/>
      <c r="FTR5747" s="917"/>
      <c r="FTS5747" s="917"/>
      <c r="FTT5747" s="917"/>
      <c r="FTU5747" s="917" t="s">
        <v>78</v>
      </c>
      <c r="FTV5747" s="917"/>
      <c r="FTW5747" s="917"/>
      <c r="FTX5747" s="917"/>
      <c r="FTY5747" s="917"/>
      <c r="FTZ5747" s="917"/>
      <c r="FUA5747" s="917"/>
      <c r="FUB5747" s="917"/>
      <c r="FUC5747" s="917"/>
      <c r="FUD5747" s="917"/>
      <c r="FUE5747" s="917"/>
      <c r="FUF5747" s="917"/>
      <c r="FUG5747" s="917"/>
      <c r="FUH5747" s="917"/>
      <c r="FUI5747" s="917"/>
      <c r="FUJ5747" s="917"/>
      <c r="FUK5747" s="917"/>
      <c r="FUL5747" s="917"/>
      <c r="FUM5747" s="917"/>
      <c r="FUN5747" s="917"/>
      <c r="FUO5747" s="917"/>
      <c r="FUP5747" s="917"/>
      <c r="FUQ5747" s="917"/>
      <c r="FUR5747" s="917"/>
      <c r="FUS5747" s="917"/>
      <c r="FUT5747" s="917"/>
      <c r="FUU5747" s="917"/>
      <c r="FUV5747" s="917"/>
      <c r="FUW5747" s="917"/>
      <c r="FUX5747" s="917"/>
      <c r="FUY5747" s="917"/>
      <c r="FUZ5747" s="917"/>
      <c r="FVA5747" s="917" t="s">
        <v>78</v>
      </c>
      <c r="FVB5747" s="917"/>
      <c r="FVC5747" s="917"/>
      <c r="FVD5747" s="917"/>
      <c r="FVE5747" s="917"/>
      <c r="FVF5747" s="917"/>
      <c r="FVG5747" s="917"/>
      <c r="FVH5747" s="917"/>
      <c r="FVI5747" s="917"/>
      <c r="FVJ5747" s="917"/>
      <c r="FVK5747" s="917"/>
      <c r="FVL5747" s="917"/>
      <c r="FVM5747" s="917"/>
      <c r="FVN5747" s="917"/>
      <c r="FVO5747" s="917"/>
      <c r="FVP5747" s="917"/>
      <c r="FVQ5747" s="917"/>
      <c r="FVR5747" s="917"/>
      <c r="FVS5747" s="917"/>
      <c r="FVT5747" s="917"/>
      <c r="FVU5747" s="917"/>
      <c r="FVV5747" s="917"/>
      <c r="FVW5747" s="917"/>
      <c r="FVX5747" s="917"/>
      <c r="FVY5747" s="917"/>
      <c r="FVZ5747" s="917"/>
      <c r="FWA5747" s="917"/>
      <c r="FWB5747" s="917"/>
      <c r="FWC5747" s="917"/>
      <c r="FWD5747" s="917"/>
      <c r="FWE5747" s="917"/>
      <c r="FWF5747" s="917"/>
      <c r="FWG5747" s="917" t="s">
        <v>78</v>
      </c>
      <c r="FWH5747" s="917"/>
      <c r="FWI5747" s="917"/>
      <c r="FWJ5747" s="917"/>
      <c r="FWK5747" s="917"/>
      <c r="FWL5747" s="917"/>
      <c r="FWM5747" s="917"/>
      <c r="FWN5747" s="917"/>
      <c r="FWO5747" s="917"/>
      <c r="FWP5747" s="917"/>
      <c r="FWQ5747" s="917"/>
      <c r="FWR5747" s="917"/>
      <c r="FWS5747" s="917"/>
      <c r="FWT5747" s="917"/>
      <c r="FWU5747" s="917"/>
      <c r="FWV5747" s="917"/>
      <c r="FWW5747" s="917"/>
      <c r="FWX5747" s="917"/>
      <c r="FWY5747" s="917"/>
      <c r="FWZ5747" s="917"/>
      <c r="FXA5747" s="917"/>
      <c r="FXB5747" s="917"/>
      <c r="FXC5747" s="917"/>
      <c r="FXD5747" s="917"/>
      <c r="FXE5747" s="917"/>
      <c r="FXF5747" s="917"/>
      <c r="FXG5747" s="917"/>
      <c r="FXH5747" s="917"/>
      <c r="FXI5747" s="917"/>
      <c r="FXJ5747" s="917"/>
      <c r="FXK5747" s="917"/>
      <c r="FXL5747" s="917"/>
      <c r="FXM5747" s="917" t="s">
        <v>78</v>
      </c>
      <c r="FXN5747" s="917"/>
      <c r="FXO5747" s="917"/>
      <c r="FXP5747" s="917"/>
      <c r="FXQ5747" s="917"/>
      <c r="FXR5747" s="917"/>
      <c r="FXS5747" s="917"/>
      <c r="FXT5747" s="917"/>
      <c r="FXU5747" s="917"/>
      <c r="FXV5747" s="917"/>
      <c r="FXW5747" s="917"/>
      <c r="FXX5747" s="917"/>
      <c r="FXY5747" s="917"/>
      <c r="FXZ5747" s="917"/>
      <c r="FYA5747" s="917"/>
      <c r="FYB5747" s="917"/>
      <c r="FYC5747" s="917"/>
      <c r="FYD5747" s="917"/>
      <c r="FYE5747" s="917"/>
      <c r="FYF5747" s="917"/>
      <c r="FYG5747" s="917"/>
      <c r="FYH5747" s="917"/>
      <c r="FYI5747" s="917"/>
      <c r="FYJ5747" s="917"/>
      <c r="FYK5747" s="917"/>
      <c r="FYL5747" s="917"/>
      <c r="FYM5747" s="917"/>
      <c r="FYN5747" s="917"/>
      <c r="FYO5747" s="917"/>
      <c r="FYP5747" s="917"/>
      <c r="FYQ5747" s="917"/>
      <c r="FYR5747" s="917"/>
      <c r="FYS5747" s="917" t="s">
        <v>78</v>
      </c>
      <c r="FYT5747" s="917"/>
      <c r="FYU5747" s="917"/>
      <c r="FYV5747" s="917"/>
      <c r="FYW5747" s="917"/>
      <c r="FYX5747" s="917"/>
      <c r="FYY5747" s="917"/>
      <c r="FYZ5747" s="917"/>
      <c r="FZA5747" s="917"/>
      <c r="FZB5747" s="917"/>
      <c r="FZC5747" s="917"/>
      <c r="FZD5747" s="917"/>
      <c r="FZE5747" s="917"/>
      <c r="FZF5747" s="917"/>
      <c r="FZG5747" s="917"/>
      <c r="FZH5747" s="917"/>
      <c r="FZI5747" s="917"/>
      <c r="FZJ5747" s="917"/>
      <c r="FZK5747" s="917"/>
      <c r="FZL5747" s="917"/>
      <c r="FZM5747" s="917"/>
      <c r="FZN5747" s="917"/>
      <c r="FZO5747" s="917"/>
      <c r="FZP5747" s="917"/>
      <c r="FZQ5747" s="917"/>
      <c r="FZR5747" s="917"/>
      <c r="FZS5747" s="917"/>
      <c r="FZT5747" s="917"/>
      <c r="FZU5747" s="917"/>
      <c r="FZV5747" s="917"/>
      <c r="FZW5747" s="917"/>
      <c r="FZX5747" s="917"/>
      <c r="FZY5747" s="917" t="s">
        <v>78</v>
      </c>
      <c r="FZZ5747" s="917"/>
      <c r="GAA5747" s="917"/>
      <c r="GAB5747" s="917"/>
      <c r="GAC5747" s="917"/>
      <c r="GAD5747" s="917"/>
      <c r="GAE5747" s="917"/>
      <c r="GAF5747" s="917"/>
      <c r="GAG5747" s="917"/>
      <c r="GAH5747" s="917"/>
      <c r="GAI5747" s="917"/>
      <c r="GAJ5747" s="917"/>
      <c r="GAK5747" s="917"/>
      <c r="GAL5747" s="917"/>
      <c r="GAM5747" s="917"/>
      <c r="GAN5747" s="917"/>
      <c r="GAO5747" s="917"/>
      <c r="GAP5747" s="917"/>
      <c r="GAQ5747" s="917"/>
      <c r="GAR5747" s="917"/>
      <c r="GAS5747" s="917"/>
      <c r="GAT5747" s="917"/>
      <c r="GAU5747" s="917"/>
      <c r="GAV5747" s="917"/>
      <c r="GAW5747" s="917"/>
      <c r="GAX5747" s="917"/>
      <c r="GAY5747" s="917"/>
      <c r="GAZ5747" s="917"/>
      <c r="GBA5747" s="917"/>
      <c r="GBB5747" s="917"/>
      <c r="GBC5747" s="917"/>
      <c r="GBD5747" s="917"/>
      <c r="GBE5747" s="917" t="s">
        <v>78</v>
      </c>
      <c r="GBF5747" s="917"/>
      <c r="GBG5747" s="917"/>
      <c r="GBH5747" s="917"/>
      <c r="GBI5747" s="917"/>
      <c r="GBJ5747" s="917"/>
      <c r="GBK5747" s="917"/>
      <c r="GBL5747" s="917"/>
      <c r="GBM5747" s="917"/>
      <c r="GBN5747" s="917"/>
      <c r="GBO5747" s="917"/>
      <c r="GBP5747" s="917"/>
      <c r="GBQ5747" s="917"/>
      <c r="GBR5747" s="917"/>
      <c r="GBS5747" s="917"/>
      <c r="GBT5747" s="917"/>
      <c r="GBU5747" s="917"/>
      <c r="GBV5747" s="917"/>
      <c r="GBW5747" s="917"/>
      <c r="GBX5747" s="917"/>
      <c r="GBY5747" s="917"/>
      <c r="GBZ5747" s="917"/>
      <c r="GCA5747" s="917"/>
      <c r="GCB5747" s="917"/>
      <c r="GCC5747" s="917"/>
      <c r="GCD5747" s="917"/>
      <c r="GCE5747" s="917"/>
      <c r="GCF5747" s="917"/>
      <c r="GCG5747" s="917"/>
      <c r="GCH5747" s="917"/>
      <c r="GCI5747" s="917"/>
      <c r="GCJ5747" s="917"/>
      <c r="GCK5747" s="917" t="s">
        <v>78</v>
      </c>
      <c r="GCL5747" s="917"/>
      <c r="GCM5747" s="917"/>
      <c r="GCN5747" s="917"/>
      <c r="GCO5747" s="917"/>
      <c r="GCP5747" s="917"/>
      <c r="GCQ5747" s="917"/>
      <c r="GCR5747" s="917"/>
      <c r="GCS5747" s="917"/>
      <c r="GCT5747" s="917"/>
      <c r="GCU5747" s="917"/>
      <c r="GCV5747" s="917"/>
      <c r="GCW5747" s="917"/>
      <c r="GCX5747" s="917"/>
      <c r="GCY5747" s="917"/>
      <c r="GCZ5747" s="917"/>
      <c r="GDA5747" s="917"/>
      <c r="GDB5747" s="917"/>
      <c r="GDC5747" s="917"/>
      <c r="GDD5747" s="917"/>
      <c r="GDE5747" s="917"/>
      <c r="GDF5747" s="917"/>
      <c r="GDG5747" s="917"/>
      <c r="GDH5747" s="917"/>
      <c r="GDI5747" s="917"/>
      <c r="GDJ5747" s="917"/>
      <c r="GDK5747" s="917"/>
      <c r="GDL5747" s="917"/>
      <c r="GDM5747" s="917"/>
      <c r="GDN5747" s="917"/>
      <c r="GDO5747" s="917"/>
      <c r="GDP5747" s="917"/>
      <c r="GDQ5747" s="917" t="s">
        <v>78</v>
      </c>
      <c r="GDR5747" s="917"/>
      <c r="GDS5747" s="917"/>
      <c r="GDT5747" s="917"/>
      <c r="GDU5747" s="917"/>
      <c r="GDV5747" s="917"/>
      <c r="GDW5747" s="917"/>
      <c r="GDX5747" s="917"/>
      <c r="GDY5747" s="917"/>
      <c r="GDZ5747" s="917"/>
      <c r="GEA5747" s="917"/>
      <c r="GEB5747" s="917"/>
      <c r="GEC5747" s="917"/>
      <c r="GED5747" s="917"/>
      <c r="GEE5747" s="917"/>
      <c r="GEF5747" s="917"/>
      <c r="GEG5747" s="917"/>
      <c r="GEH5747" s="917"/>
      <c r="GEI5747" s="917"/>
      <c r="GEJ5747" s="917"/>
      <c r="GEK5747" s="917"/>
      <c r="GEL5747" s="917"/>
      <c r="GEM5747" s="917"/>
      <c r="GEN5747" s="917"/>
      <c r="GEO5747" s="917"/>
      <c r="GEP5747" s="917"/>
      <c r="GEQ5747" s="917"/>
      <c r="GER5747" s="917"/>
      <c r="GES5747" s="917"/>
      <c r="GET5747" s="917"/>
      <c r="GEU5747" s="917"/>
      <c r="GEV5747" s="917"/>
      <c r="GEW5747" s="917" t="s">
        <v>78</v>
      </c>
      <c r="GEX5747" s="917"/>
      <c r="GEY5747" s="917"/>
      <c r="GEZ5747" s="917"/>
      <c r="GFA5747" s="917"/>
      <c r="GFB5747" s="917"/>
      <c r="GFC5747" s="917"/>
      <c r="GFD5747" s="917"/>
      <c r="GFE5747" s="917"/>
      <c r="GFF5747" s="917"/>
      <c r="GFG5747" s="917"/>
      <c r="GFH5747" s="917"/>
      <c r="GFI5747" s="917"/>
      <c r="GFJ5747" s="917"/>
      <c r="GFK5747" s="917"/>
      <c r="GFL5747" s="917"/>
      <c r="GFM5747" s="917"/>
      <c r="GFN5747" s="917"/>
      <c r="GFO5747" s="917"/>
      <c r="GFP5747" s="917"/>
      <c r="GFQ5747" s="917"/>
      <c r="GFR5747" s="917"/>
      <c r="GFS5747" s="917"/>
      <c r="GFT5747" s="917"/>
      <c r="GFU5747" s="917"/>
      <c r="GFV5747" s="917"/>
      <c r="GFW5747" s="917"/>
      <c r="GFX5747" s="917"/>
      <c r="GFY5747" s="917"/>
      <c r="GFZ5747" s="917"/>
      <c r="GGA5747" s="917"/>
      <c r="GGB5747" s="917"/>
      <c r="GGC5747" s="917" t="s">
        <v>78</v>
      </c>
      <c r="GGD5747" s="917"/>
      <c r="GGE5747" s="917"/>
      <c r="GGF5747" s="917"/>
      <c r="GGG5747" s="917"/>
      <c r="GGH5747" s="917"/>
      <c r="GGI5747" s="917"/>
      <c r="GGJ5747" s="917"/>
      <c r="GGK5747" s="917"/>
      <c r="GGL5747" s="917"/>
      <c r="GGM5747" s="917"/>
      <c r="GGN5747" s="917"/>
      <c r="GGO5747" s="917"/>
      <c r="GGP5747" s="917"/>
      <c r="GGQ5747" s="917"/>
      <c r="GGR5747" s="917"/>
      <c r="GGS5747" s="917"/>
      <c r="GGT5747" s="917"/>
      <c r="GGU5747" s="917"/>
      <c r="GGV5747" s="917"/>
      <c r="GGW5747" s="917"/>
      <c r="GGX5747" s="917"/>
      <c r="GGY5747" s="917"/>
      <c r="GGZ5747" s="917"/>
      <c r="GHA5747" s="917"/>
      <c r="GHB5747" s="917"/>
      <c r="GHC5747" s="917"/>
      <c r="GHD5747" s="917"/>
      <c r="GHE5747" s="917"/>
      <c r="GHF5747" s="917"/>
      <c r="GHG5747" s="917"/>
      <c r="GHH5747" s="917"/>
      <c r="GHI5747" s="917" t="s">
        <v>78</v>
      </c>
      <c r="GHJ5747" s="917"/>
      <c r="GHK5747" s="917"/>
      <c r="GHL5747" s="917"/>
      <c r="GHM5747" s="917"/>
      <c r="GHN5747" s="917"/>
      <c r="GHO5747" s="917"/>
      <c r="GHP5747" s="917"/>
      <c r="GHQ5747" s="917"/>
      <c r="GHR5747" s="917"/>
      <c r="GHS5747" s="917"/>
      <c r="GHT5747" s="917"/>
      <c r="GHU5747" s="917"/>
      <c r="GHV5747" s="917"/>
      <c r="GHW5747" s="917"/>
      <c r="GHX5747" s="917"/>
      <c r="GHY5747" s="917"/>
      <c r="GHZ5747" s="917"/>
      <c r="GIA5747" s="917"/>
      <c r="GIB5747" s="917"/>
      <c r="GIC5747" s="917"/>
      <c r="GID5747" s="917"/>
      <c r="GIE5747" s="917"/>
      <c r="GIF5747" s="917"/>
      <c r="GIG5747" s="917"/>
      <c r="GIH5747" s="917"/>
      <c r="GII5747" s="917"/>
      <c r="GIJ5747" s="917"/>
      <c r="GIK5747" s="917"/>
      <c r="GIL5747" s="917"/>
      <c r="GIM5747" s="917"/>
      <c r="GIN5747" s="917"/>
      <c r="GIO5747" s="917" t="s">
        <v>78</v>
      </c>
      <c r="GIP5747" s="917"/>
      <c r="GIQ5747" s="917"/>
      <c r="GIR5747" s="917"/>
      <c r="GIS5747" s="917"/>
      <c r="GIT5747" s="917"/>
      <c r="GIU5747" s="917"/>
      <c r="GIV5747" s="917"/>
      <c r="GIW5747" s="917"/>
      <c r="GIX5747" s="917"/>
      <c r="GIY5747" s="917"/>
      <c r="GIZ5747" s="917"/>
      <c r="GJA5747" s="917"/>
      <c r="GJB5747" s="917"/>
      <c r="GJC5747" s="917"/>
      <c r="GJD5747" s="917"/>
      <c r="GJE5747" s="917"/>
      <c r="GJF5747" s="917"/>
      <c r="GJG5747" s="917"/>
      <c r="GJH5747" s="917"/>
      <c r="GJI5747" s="917"/>
      <c r="GJJ5747" s="917"/>
      <c r="GJK5747" s="917"/>
      <c r="GJL5747" s="917"/>
      <c r="GJM5747" s="917"/>
      <c r="GJN5747" s="917"/>
      <c r="GJO5747" s="917"/>
      <c r="GJP5747" s="917"/>
      <c r="GJQ5747" s="917"/>
      <c r="GJR5747" s="917"/>
      <c r="GJS5747" s="917"/>
      <c r="GJT5747" s="917"/>
      <c r="GJU5747" s="917" t="s">
        <v>78</v>
      </c>
      <c r="GJV5747" s="917"/>
      <c r="GJW5747" s="917"/>
      <c r="GJX5747" s="917"/>
      <c r="GJY5747" s="917"/>
      <c r="GJZ5747" s="917"/>
      <c r="GKA5747" s="917"/>
      <c r="GKB5747" s="917"/>
      <c r="GKC5747" s="917"/>
      <c r="GKD5747" s="917"/>
      <c r="GKE5747" s="917"/>
      <c r="GKF5747" s="917"/>
      <c r="GKG5747" s="917"/>
      <c r="GKH5747" s="917"/>
      <c r="GKI5747" s="917"/>
      <c r="GKJ5747" s="917"/>
      <c r="GKK5747" s="917"/>
      <c r="GKL5747" s="917"/>
      <c r="GKM5747" s="917"/>
      <c r="GKN5747" s="917"/>
      <c r="GKO5747" s="917"/>
      <c r="GKP5747" s="917"/>
      <c r="GKQ5747" s="917"/>
      <c r="GKR5747" s="917"/>
      <c r="GKS5747" s="917"/>
      <c r="GKT5747" s="917"/>
      <c r="GKU5747" s="917"/>
      <c r="GKV5747" s="917"/>
      <c r="GKW5747" s="917"/>
      <c r="GKX5747" s="917"/>
      <c r="GKY5747" s="917"/>
      <c r="GKZ5747" s="917"/>
      <c r="GLA5747" s="917" t="s">
        <v>78</v>
      </c>
      <c r="GLB5747" s="917"/>
      <c r="GLC5747" s="917"/>
      <c r="GLD5747" s="917"/>
      <c r="GLE5747" s="917"/>
      <c r="GLF5747" s="917"/>
      <c r="GLG5747" s="917"/>
      <c r="GLH5747" s="917"/>
      <c r="GLI5747" s="917"/>
      <c r="GLJ5747" s="917"/>
      <c r="GLK5747" s="917"/>
      <c r="GLL5747" s="917"/>
      <c r="GLM5747" s="917"/>
      <c r="GLN5747" s="917"/>
      <c r="GLO5747" s="917"/>
      <c r="GLP5747" s="917"/>
      <c r="GLQ5747" s="917"/>
      <c r="GLR5747" s="917"/>
      <c r="GLS5747" s="917"/>
      <c r="GLT5747" s="917"/>
      <c r="GLU5747" s="917"/>
      <c r="GLV5747" s="917"/>
      <c r="GLW5747" s="917"/>
      <c r="GLX5747" s="917"/>
      <c r="GLY5747" s="917"/>
      <c r="GLZ5747" s="917"/>
      <c r="GMA5747" s="917"/>
      <c r="GMB5747" s="917"/>
      <c r="GMC5747" s="917"/>
      <c r="GMD5747" s="917"/>
      <c r="GME5747" s="917"/>
      <c r="GMF5747" s="917"/>
      <c r="GMG5747" s="917" t="s">
        <v>78</v>
      </c>
      <c r="GMH5747" s="917"/>
      <c r="GMI5747" s="917"/>
      <c r="GMJ5747" s="917"/>
      <c r="GMK5747" s="917"/>
      <c r="GML5747" s="917"/>
      <c r="GMM5747" s="917"/>
      <c r="GMN5747" s="917"/>
      <c r="GMO5747" s="917"/>
      <c r="GMP5747" s="917"/>
      <c r="GMQ5747" s="917"/>
      <c r="GMR5747" s="917"/>
      <c r="GMS5747" s="917"/>
      <c r="GMT5747" s="917"/>
      <c r="GMU5747" s="917"/>
      <c r="GMV5747" s="917"/>
      <c r="GMW5747" s="917"/>
      <c r="GMX5747" s="917"/>
      <c r="GMY5747" s="917"/>
      <c r="GMZ5747" s="917"/>
      <c r="GNA5747" s="917"/>
      <c r="GNB5747" s="917"/>
      <c r="GNC5747" s="917"/>
      <c r="GND5747" s="917"/>
      <c r="GNE5747" s="917"/>
      <c r="GNF5747" s="917"/>
      <c r="GNG5747" s="917"/>
      <c r="GNH5747" s="917"/>
      <c r="GNI5747" s="917"/>
      <c r="GNJ5747" s="917"/>
      <c r="GNK5747" s="917"/>
      <c r="GNL5747" s="917"/>
      <c r="GNM5747" s="917" t="s">
        <v>78</v>
      </c>
      <c r="GNN5747" s="917"/>
      <c r="GNO5747" s="917"/>
      <c r="GNP5747" s="917"/>
      <c r="GNQ5747" s="917"/>
      <c r="GNR5747" s="917"/>
      <c r="GNS5747" s="917"/>
      <c r="GNT5747" s="917"/>
      <c r="GNU5747" s="917"/>
      <c r="GNV5747" s="917"/>
      <c r="GNW5747" s="917"/>
      <c r="GNX5747" s="917"/>
      <c r="GNY5747" s="917"/>
      <c r="GNZ5747" s="917"/>
      <c r="GOA5747" s="917"/>
      <c r="GOB5747" s="917"/>
      <c r="GOC5747" s="917"/>
      <c r="GOD5747" s="917"/>
      <c r="GOE5747" s="917"/>
      <c r="GOF5747" s="917"/>
      <c r="GOG5747" s="917"/>
      <c r="GOH5747" s="917"/>
      <c r="GOI5747" s="917"/>
      <c r="GOJ5747" s="917"/>
      <c r="GOK5747" s="917"/>
      <c r="GOL5747" s="917"/>
      <c r="GOM5747" s="917"/>
      <c r="GON5747" s="917"/>
      <c r="GOO5747" s="917"/>
      <c r="GOP5747" s="917"/>
      <c r="GOQ5747" s="917"/>
      <c r="GOR5747" s="917"/>
      <c r="GOS5747" s="917" t="s">
        <v>78</v>
      </c>
      <c r="GOT5747" s="917"/>
      <c r="GOU5747" s="917"/>
      <c r="GOV5747" s="917"/>
      <c r="GOW5747" s="917"/>
      <c r="GOX5747" s="917"/>
      <c r="GOY5747" s="917"/>
      <c r="GOZ5747" s="917"/>
      <c r="GPA5747" s="917"/>
      <c r="GPB5747" s="917"/>
      <c r="GPC5747" s="917"/>
      <c r="GPD5747" s="917"/>
      <c r="GPE5747" s="917"/>
      <c r="GPF5747" s="917"/>
      <c r="GPG5747" s="917"/>
      <c r="GPH5747" s="917"/>
      <c r="GPI5747" s="917"/>
      <c r="GPJ5747" s="917"/>
      <c r="GPK5747" s="917"/>
      <c r="GPL5747" s="917"/>
      <c r="GPM5747" s="917"/>
      <c r="GPN5747" s="917"/>
      <c r="GPO5747" s="917"/>
      <c r="GPP5747" s="917"/>
      <c r="GPQ5747" s="917"/>
      <c r="GPR5747" s="917"/>
      <c r="GPS5747" s="917"/>
      <c r="GPT5747" s="917"/>
      <c r="GPU5747" s="917"/>
      <c r="GPV5747" s="917"/>
      <c r="GPW5747" s="917"/>
      <c r="GPX5747" s="917"/>
      <c r="GPY5747" s="917" t="s">
        <v>78</v>
      </c>
      <c r="GPZ5747" s="917"/>
      <c r="GQA5747" s="917"/>
      <c r="GQB5747" s="917"/>
      <c r="GQC5747" s="917"/>
      <c r="GQD5747" s="917"/>
      <c r="GQE5747" s="917"/>
      <c r="GQF5747" s="917"/>
      <c r="GQG5747" s="917"/>
      <c r="GQH5747" s="917"/>
      <c r="GQI5747" s="917"/>
      <c r="GQJ5747" s="917"/>
      <c r="GQK5747" s="917"/>
      <c r="GQL5747" s="917"/>
      <c r="GQM5747" s="917"/>
      <c r="GQN5747" s="917"/>
      <c r="GQO5747" s="917"/>
      <c r="GQP5747" s="917"/>
      <c r="GQQ5747" s="917"/>
      <c r="GQR5747" s="917"/>
      <c r="GQS5747" s="917"/>
      <c r="GQT5747" s="917"/>
      <c r="GQU5747" s="917"/>
      <c r="GQV5747" s="917"/>
      <c r="GQW5747" s="917"/>
      <c r="GQX5747" s="917"/>
      <c r="GQY5747" s="917"/>
      <c r="GQZ5747" s="917"/>
      <c r="GRA5747" s="917"/>
      <c r="GRB5747" s="917"/>
      <c r="GRC5747" s="917"/>
      <c r="GRD5747" s="917"/>
      <c r="GRE5747" s="917" t="s">
        <v>78</v>
      </c>
      <c r="GRF5747" s="917"/>
      <c r="GRG5747" s="917"/>
      <c r="GRH5747" s="917"/>
      <c r="GRI5747" s="917"/>
      <c r="GRJ5747" s="917"/>
      <c r="GRK5747" s="917"/>
      <c r="GRL5747" s="917"/>
      <c r="GRM5747" s="917"/>
      <c r="GRN5747" s="917"/>
      <c r="GRO5747" s="917"/>
      <c r="GRP5747" s="917"/>
      <c r="GRQ5747" s="917"/>
      <c r="GRR5747" s="917"/>
      <c r="GRS5747" s="917"/>
      <c r="GRT5747" s="917"/>
      <c r="GRU5747" s="917"/>
      <c r="GRV5747" s="917"/>
      <c r="GRW5747" s="917"/>
      <c r="GRX5747" s="917"/>
      <c r="GRY5747" s="917"/>
      <c r="GRZ5747" s="917"/>
      <c r="GSA5747" s="917"/>
      <c r="GSB5747" s="917"/>
      <c r="GSC5747" s="917"/>
      <c r="GSD5747" s="917"/>
      <c r="GSE5747" s="917"/>
      <c r="GSF5747" s="917"/>
      <c r="GSG5747" s="917"/>
      <c r="GSH5747" s="917"/>
      <c r="GSI5747" s="917"/>
      <c r="GSJ5747" s="917"/>
      <c r="GSK5747" s="917" t="s">
        <v>78</v>
      </c>
      <c r="GSL5747" s="917"/>
      <c r="GSM5747" s="917"/>
      <c r="GSN5747" s="917"/>
      <c r="GSO5747" s="917"/>
      <c r="GSP5747" s="917"/>
      <c r="GSQ5747" s="917"/>
      <c r="GSR5747" s="917"/>
      <c r="GSS5747" s="917"/>
      <c r="GST5747" s="917"/>
      <c r="GSU5747" s="917"/>
      <c r="GSV5747" s="917"/>
      <c r="GSW5747" s="917"/>
      <c r="GSX5747" s="917"/>
      <c r="GSY5747" s="917"/>
      <c r="GSZ5747" s="917"/>
      <c r="GTA5747" s="917"/>
      <c r="GTB5747" s="917"/>
      <c r="GTC5747" s="917"/>
      <c r="GTD5747" s="917"/>
      <c r="GTE5747" s="917"/>
      <c r="GTF5747" s="917"/>
      <c r="GTG5747" s="917"/>
      <c r="GTH5747" s="917"/>
      <c r="GTI5747" s="917"/>
      <c r="GTJ5747" s="917"/>
      <c r="GTK5747" s="917"/>
      <c r="GTL5747" s="917"/>
      <c r="GTM5747" s="917"/>
      <c r="GTN5747" s="917"/>
      <c r="GTO5747" s="917"/>
      <c r="GTP5747" s="917"/>
      <c r="GTQ5747" s="917" t="s">
        <v>78</v>
      </c>
      <c r="GTR5747" s="917"/>
      <c r="GTS5747" s="917"/>
      <c r="GTT5747" s="917"/>
      <c r="GTU5747" s="917"/>
      <c r="GTV5747" s="917"/>
      <c r="GTW5747" s="917"/>
      <c r="GTX5747" s="917"/>
      <c r="GTY5747" s="917"/>
      <c r="GTZ5747" s="917"/>
      <c r="GUA5747" s="917"/>
      <c r="GUB5747" s="917"/>
      <c r="GUC5747" s="917"/>
      <c r="GUD5747" s="917"/>
      <c r="GUE5747" s="917"/>
      <c r="GUF5747" s="917"/>
      <c r="GUG5747" s="917"/>
      <c r="GUH5747" s="917"/>
      <c r="GUI5747" s="917"/>
      <c r="GUJ5747" s="917"/>
      <c r="GUK5747" s="917"/>
      <c r="GUL5747" s="917"/>
      <c r="GUM5747" s="917"/>
      <c r="GUN5747" s="917"/>
      <c r="GUO5747" s="917"/>
      <c r="GUP5747" s="917"/>
      <c r="GUQ5747" s="917"/>
      <c r="GUR5747" s="917"/>
      <c r="GUS5747" s="917"/>
      <c r="GUT5747" s="917"/>
      <c r="GUU5747" s="917"/>
      <c r="GUV5747" s="917"/>
      <c r="GUW5747" s="917" t="s">
        <v>78</v>
      </c>
      <c r="GUX5747" s="917"/>
      <c r="GUY5747" s="917"/>
      <c r="GUZ5747" s="917"/>
      <c r="GVA5747" s="917"/>
      <c r="GVB5747" s="917"/>
      <c r="GVC5747" s="917"/>
      <c r="GVD5747" s="917"/>
      <c r="GVE5747" s="917"/>
      <c r="GVF5747" s="917"/>
      <c r="GVG5747" s="917"/>
      <c r="GVH5747" s="917"/>
      <c r="GVI5747" s="917"/>
      <c r="GVJ5747" s="917"/>
      <c r="GVK5747" s="917"/>
      <c r="GVL5747" s="917"/>
      <c r="GVM5747" s="917"/>
      <c r="GVN5747" s="917"/>
      <c r="GVO5747" s="917"/>
      <c r="GVP5747" s="917"/>
      <c r="GVQ5747" s="917"/>
      <c r="GVR5747" s="917"/>
      <c r="GVS5747" s="917"/>
      <c r="GVT5747" s="917"/>
      <c r="GVU5747" s="917"/>
      <c r="GVV5747" s="917"/>
      <c r="GVW5747" s="917"/>
      <c r="GVX5747" s="917"/>
      <c r="GVY5747" s="917"/>
      <c r="GVZ5747" s="917"/>
      <c r="GWA5747" s="917"/>
      <c r="GWB5747" s="917"/>
      <c r="GWC5747" s="917" t="s">
        <v>78</v>
      </c>
      <c r="GWD5747" s="917"/>
      <c r="GWE5747" s="917"/>
      <c r="GWF5747" s="917"/>
      <c r="GWG5747" s="917"/>
      <c r="GWH5747" s="917"/>
      <c r="GWI5747" s="917"/>
      <c r="GWJ5747" s="917"/>
      <c r="GWK5747" s="917"/>
      <c r="GWL5747" s="917"/>
      <c r="GWM5747" s="917"/>
      <c r="GWN5747" s="917"/>
      <c r="GWO5747" s="917"/>
      <c r="GWP5747" s="917"/>
      <c r="GWQ5747" s="917"/>
      <c r="GWR5747" s="917"/>
      <c r="GWS5747" s="917"/>
      <c r="GWT5747" s="917"/>
      <c r="GWU5747" s="917"/>
      <c r="GWV5747" s="917"/>
      <c r="GWW5747" s="917"/>
      <c r="GWX5747" s="917"/>
      <c r="GWY5747" s="917"/>
      <c r="GWZ5747" s="917"/>
      <c r="GXA5747" s="917"/>
      <c r="GXB5747" s="917"/>
      <c r="GXC5747" s="917"/>
      <c r="GXD5747" s="917"/>
      <c r="GXE5747" s="917"/>
      <c r="GXF5747" s="917"/>
      <c r="GXG5747" s="917"/>
      <c r="GXH5747" s="917"/>
      <c r="GXI5747" s="917" t="s">
        <v>78</v>
      </c>
      <c r="GXJ5747" s="917"/>
      <c r="GXK5747" s="917"/>
      <c r="GXL5747" s="917"/>
      <c r="GXM5747" s="917"/>
      <c r="GXN5747" s="917"/>
      <c r="GXO5747" s="917"/>
      <c r="GXP5747" s="917"/>
      <c r="GXQ5747" s="917"/>
      <c r="GXR5747" s="917"/>
      <c r="GXS5747" s="917"/>
      <c r="GXT5747" s="917"/>
      <c r="GXU5747" s="917"/>
      <c r="GXV5747" s="917"/>
      <c r="GXW5747" s="917"/>
      <c r="GXX5747" s="917"/>
      <c r="GXY5747" s="917"/>
      <c r="GXZ5747" s="917"/>
      <c r="GYA5747" s="917"/>
      <c r="GYB5747" s="917"/>
      <c r="GYC5747" s="917"/>
      <c r="GYD5747" s="917"/>
      <c r="GYE5747" s="917"/>
      <c r="GYF5747" s="917"/>
      <c r="GYG5747" s="917"/>
      <c r="GYH5747" s="917"/>
      <c r="GYI5747" s="917"/>
      <c r="GYJ5747" s="917"/>
      <c r="GYK5747" s="917"/>
      <c r="GYL5747" s="917"/>
      <c r="GYM5747" s="917"/>
      <c r="GYN5747" s="917"/>
      <c r="GYO5747" s="917" t="s">
        <v>78</v>
      </c>
      <c r="GYP5747" s="917"/>
      <c r="GYQ5747" s="917"/>
      <c r="GYR5747" s="917"/>
      <c r="GYS5747" s="917"/>
      <c r="GYT5747" s="917"/>
      <c r="GYU5747" s="917"/>
      <c r="GYV5747" s="917"/>
      <c r="GYW5747" s="917"/>
      <c r="GYX5747" s="917"/>
      <c r="GYY5747" s="917"/>
      <c r="GYZ5747" s="917"/>
      <c r="GZA5747" s="917"/>
      <c r="GZB5747" s="917"/>
      <c r="GZC5747" s="917"/>
      <c r="GZD5747" s="917"/>
      <c r="GZE5747" s="917"/>
      <c r="GZF5747" s="917"/>
      <c r="GZG5747" s="917"/>
      <c r="GZH5747" s="917"/>
      <c r="GZI5747" s="917"/>
      <c r="GZJ5747" s="917"/>
      <c r="GZK5747" s="917"/>
      <c r="GZL5747" s="917"/>
      <c r="GZM5747" s="917"/>
      <c r="GZN5747" s="917"/>
      <c r="GZO5747" s="917"/>
      <c r="GZP5747" s="917"/>
      <c r="GZQ5747" s="917"/>
      <c r="GZR5747" s="917"/>
      <c r="GZS5747" s="917"/>
      <c r="GZT5747" s="917"/>
      <c r="GZU5747" s="917" t="s">
        <v>78</v>
      </c>
      <c r="GZV5747" s="917"/>
      <c r="GZW5747" s="917"/>
      <c r="GZX5747" s="917"/>
      <c r="GZY5747" s="917"/>
      <c r="GZZ5747" s="917"/>
      <c r="HAA5747" s="917"/>
      <c r="HAB5747" s="917"/>
      <c r="HAC5747" s="917"/>
      <c r="HAD5747" s="917"/>
      <c r="HAE5747" s="917"/>
      <c r="HAF5747" s="917"/>
      <c r="HAG5747" s="917"/>
      <c r="HAH5747" s="917"/>
      <c r="HAI5747" s="917"/>
      <c r="HAJ5747" s="917"/>
      <c r="HAK5747" s="917"/>
      <c r="HAL5747" s="917"/>
      <c r="HAM5747" s="917"/>
      <c r="HAN5747" s="917"/>
      <c r="HAO5747" s="917"/>
      <c r="HAP5747" s="917"/>
      <c r="HAQ5747" s="917"/>
      <c r="HAR5747" s="917"/>
      <c r="HAS5747" s="917"/>
      <c r="HAT5747" s="917"/>
      <c r="HAU5747" s="917"/>
      <c r="HAV5747" s="917"/>
      <c r="HAW5747" s="917"/>
      <c r="HAX5747" s="917"/>
      <c r="HAY5747" s="917"/>
      <c r="HAZ5747" s="917"/>
      <c r="HBA5747" s="917" t="s">
        <v>78</v>
      </c>
      <c r="HBB5747" s="917"/>
      <c r="HBC5747" s="917"/>
      <c r="HBD5747" s="917"/>
      <c r="HBE5747" s="917"/>
      <c r="HBF5747" s="917"/>
      <c r="HBG5747" s="917"/>
      <c r="HBH5747" s="917"/>
      <c r="HBI5747" s="917"/>
      <c r="HBJ5747" s="917"/>
      <c r="HBK5747" s="917"/>
      <c r="HBL5747" s="917"/>
      <c r="HBM5747" s="917"/>
      <c r="HBN5747" s="917"/>
      <c r="HBO5747" s="917"/>
      <c r="HBP5747" s="917"/>
      <c r="HBQ5747" s="917"/>
      <c r="HBR5747" s="917"/>
      <c r="HBS5747" s="917"/>
      <c r="HBT5747" s="917"/>
      <c r="HBU5747" s="917"/>
      <c r="HBV5747" s="917"/>
      <c r="HBW5747" s="917"/>
      <c r="HBX5747" s="917"/>
      <c r="HBY5747" s="917"/>
      <c r="HBZ5747" s="917"/>
      <c r="HCA5747" s="917"/>
      <c r="HCB5747" s="917"/>
      <c r="HCC5747" s="917"/>
      <c r="HCD5747" s="917"/>
      <c r="HCE5747" s="917"/>
      <c r="HCF5747" s="917"/>
      <c r="HCG5747" s="917" t="s">
        <v>78</v>
      </c>
      <c r="HCH5747" s="917"/>
      <c r="HCI5747" s="917"/>
      <c r="HCJ5747" s="917"/>
      <c r="HCK5747" s="917"/>
      <c r="HCL5747" s="917"/>
      <c r="HCM5747" s="917"/>
      <c r="HCN5747" s="917"/>
      <c r="HCO5747" s="917"/>
      <c r="HCP5747" s="917"/>
      <c r="HCQ5747" s="917"/>
      <c r="HCR5747" s="917"/>
      <c r="HCS5747" s="917"/>
      <c r="HCT5747" s="917"/>
      <c r="HCU5747" s="917"/>
      <c r="HCV5747" s="917"/>
      <c r="HCW5747" s="917"/>
      <c r="HCX5747" s="917"/>
      <c r="HCY5747" s="917"/>
      <c r="HCZ5747" s="917"/>
      <c r="HDA5747" s="917"/>
      <c r="HDB5747" s="917"/>
      <c r="HDC5747" s="917"/>
      <c r="HDD5747" s="917"/>
      <c r="HDE5747" s="917"/>
      <c r="HDF5747" s="917"/>
      <c r="HDG5747" s="917"/>
      <c r="HDH5747" s="917"/>
      <c r="HDI5747" s="917"/>
      <c r="HDJ5747" s="917"/>
      <c r="HDK5747" s="917"/>
      <c r="HDL5747" s="917"/>
      <c r="HDM5747" s="917" t="s">
        <v>78</v>
      </c>
      <c r="HDN5747" s="917"/>
      <c r="HDO5747" s="917"/>
      <c r="HDP5747" s="917"/>
      <c r="HDQ5747" s="917"/>
      <c r="HDR5747" s="917"/>
      <c r="HDS5747" s="917"/>
      <c r="HDT5747" s="917"/>
      <c r="HDU5747" s="917"/>
      <c r="HDV5747" s="917"/>
      <c r="HDW5747" s="917"/>
      <c r="HDX5747" s="917"/>
      <c r="HDY5747" s="917"/>
      <c r="HDZ5747" s="917"/>
      <c r="HEA5747" s="917"/>
      <c r="HEB5747" s="917"/>
      <c r="HEC5747" s="917"/>
      <c r="HED5747" s="917"/>
      <c r="HEE5747" s="917"/>
      <c r="HEF5747" s="917"/>
      <c r="HEG5747" s="917"/>
      <c r="HEH5747" s="917"/>
      <c r="HEI5747" s="917"/>
      <c r="HEJ5747" s="917"/>
      <c r="HEK5747" s="917"/>
      <c r="HEL5747" s="917"/>
      <c r="HEM5747" s="917"/>
      <c r="HEN5747" s="917"/>
      <c r="HEO5747" s="917"/>
      <c r="HEP5747" s="917"/>
      <c r="HEQ5747" s="917"/>
      <c r="HER5747" s="917"/>
      <c r="HES5747" s="917" t="s">
        <v>78</v>
      </c>
      <c r="HET5747" s="917"/>
      <c r="HEU5747" s="917"/>
      <c r="HEV5747" s="917"/>
      <c r="HEW5747" s="917"/>
      <c r="HEX5747" s="917"/>
      <c r="HEY5747" s="917"/>
      <c r="HEZ5747" s="917"/>
      <c r="HFA5747" s="917"/>
      <c r="HFB5747" s="917"/>
      <c r="HFC5747" s="917"/>
      <c r="HFD5747" s="917"/>
      <c r="HFE5747" s="917"/>
      <c r="HFF5747" s="917"/>
      <c r="HFG5747" s="917"/>
      <c r="HFH5747" s="917"/>
      <c r="HFI5747" s="917"/>
      <c r="HFJ5747" s="917"/>
      <c r="HFK5747" s="917"/>
      <c r="HFL5747" s="917"/>
      <c r="HFM5747" s="917"/>
      <c r="HFN5747" s="917"/>
      <c r="HFO5747" s="917"/>
      <c r="HFP5747" s="917"/>
      <c r="HFQ5747" s="917"/>
      <c r="HFR5747" s="917"/>
      <c r="HFS5747" s="917"/>
      <c r="HFT5747" s="917"/>
      <c r="HFU5747" s="917"/>
      <c r="HFV5747" s="917"/>
      <c r="HFW5747" s="917"/>
      <c r="HFX5747" s="917"/>
      <c r="HFY5747" s="917" t="s">
        <v>78</v>
      </c>
      <c r="HFZ5747" s="917"/>
      <c r="HGA5747" s="917"/>
      <c r="HGB5747" s="917"/>
      <c r="HGC5747" s="917"/>
      <c r="HGD5747" s="917"/>
      <c r="HGE5747" s="917"/>
      <c r="HGF5747" s="917"/>
      <c r="HGG5747" s="917"/>
      <c r="HGH5747" s="917"/>
      <c r="HGI5747" s="917"/>
      <c r="HGJ5747" s="917"/>
      <c r="HGK5747" s="917"/>
      <c r="HGL5747" s="917"/>
      <c r="HGM5747" s="917"/>
      <c r="HGN5747" s="917"/>
      <c r="HGO5747" s="917"/>
      <c r="HGP5747" s="917"/>
      <c r="HGQ5747" s="917"/>
      <c r="HGR5747" s="917"/>
      <c r="HGS5747" s="917"/>
      <c r="HGT5747" s="917"/>
      <c r="HGU5747" s="917"/>
      <c r="HGV5747" s="917"/>
      <c r="HGW5747" s="917"/>
      <c r="HGX5747" s="917"/>
      <c r="HGY5747" s="917"/>
      <c r="HGZ5747" s="917"/>
      <c r="HHA5747" s="917"/>
      <c r="HHB5747" s="917"/>
      <c r="HHC5747" s="917"/>
      <c r="HHD5747" s="917"/>
      <c r="HHE5747" s="917" t="s">
        <v>78</v>
      </c>
      <c r="HHF5747" s="917"/>
      <c r="HHG5747" s="917"/>
      <c r="HHH5747" s="917"/>
      <c r="HHI5747" s="917"/>
      <c r="HHJ5747" s="917"/>
      <c r="HHK5747" s="917"/>
      <c r="HHL5747" s="917"/>
      <c r="HHM5747" s="917"/>
      <c r="HHN5747" s="917"/>
      <c r="HHO5747" s="917"/>
      <c r="HHP5747" s="917"/>
      <c r="HHQ5747" s="917"/>
      <c r="HHR5747" s="917"/>
      <c r="HHS5747" s="917"/>
      <c r="HHT5747" s="917"/>
      <c r="HHU5747" s="917"/>
      <c r="HHV5747" s="917"/>
      <c r="HHW5747" s="917"/>
      <c r="HHX5747" s="917"/>
      <c r="HHY5747" s="917"/>
      <c r="HHZ5747" s="917"/>
      <c r="HIA5747" s="917"/>
      <c r="HIB5747" s="917"/>
      <c r="HIC5747" s="917"/>
      <c r="HID5747" s="917"/>
      <c r="HIE5747" s="917"/>
      <c r="HIF5747" s="917"/>
      <c r="HIG5747" s="917"/>
      <c r="HIH5747" s="917"/>
      <c r="HII5747" s="917"/>
      <c r="HIJ5747" s="917"/>
      <c r="HIK5747" s="917" t="s">
        <v>78</v>
      </c>
      <c r="HIL5747" s="917"/>
      <c r="HIM5747" s="917"/>
      <c r="HIN5747" s="917"/>
      <c r="HIO5747" s="917"/>
      <c r="HIP5747" s="917"/>
      <c r="HIQ5747" s="917"/>
      <c r="HIR5747" s="917"/>
      <c r="HIS5747" s="917"/>
      <c r="HIT5747" s="917"/>
      <c r="HIU5747" s="917"/>
      <c r="HIV5747" s="917"/>
      <c r="HIW5747" s="917"/>
      <c r="HIX5747" s="917"/>
      <c r="HIY5747" s="917"/>
      <c r="HIZ5747" s="917"/>
      <c r="HJA5747" s="917"/>
      <c r="HJB5747" s="917"/>
      <c r="HJC5747" s="917"/>
      <c r="HJD5747" s="917"/>
      <c r="HJE5747" s="917"/>
      <c r="HJF5747" s="917"/>
      <c r="HJG5747" s="917"/>
      <c r="HJH5747" s="917"/>
      <c r="HJI5747" s="917"/>
      <c r="HJJ5747" s="917"/>
      <c r="HJK5747" s="917"/>
      <c r="HJL5747" s="917"/>
      <c r="HJM5747" s="917"/>
      <c r="HJN5747" s="917"/>
      <c r="HJO5747" s="917"/>
      <c r="HJP5747" s="917"/>
      <c r="HJQ5747" s="917" t="s">
        <v>78</v>
      </c>
      <c r="HJR5747" s="917"/>
      <c r="HJS5747" s="917"/>
      <c r="HJT5747" s="917"/>
      <c r="HJU5747" s="917"/>
      <c r="HJV5747" s="917"/>
      <c r="HJW5747" s="917"/>
      <c r="HJX5747" s="917"/>
      <c r="HJY5747" s="917"/>
      <c r="HJZ5747" s="917"/>
      <c r="HKA5747" s="917"/>
      <c r="HKB5747" s="917"/>
      <c r="HKC5747" s="917"/>
      <c r="HKD5747" s="917"/>
      <c r="HKE5747" s="917"/>
      <c r="HKF5747" s="917"/>
      <c r="HKG5747" s="917"/>
      <c r="HKH5747" s="917"/>
      <c r="HKI5747" s="917"/>
      <c r="HKJ5747" s="917"/>
      <c r="HKK5747" s="917"/>
      <c r="HKL5747" s="917"/>
      <c r="HKM5747" s="917"/>
      <c r="HKN5747" s="917"/>
      <c r="HKO5747" s="917"/>
      <c r="HKP5747" s="917"/>
      <c r="HKQ5747" s="917"/>
      <c r="HKR5747" s="917"/>
      <c r="HKS5747" s="917"/>
      <c r="HKT5747" s="917"/>
      <c r="HKU5747" s="917"/>
      <c r="HKV5747" s="917"/>
      <c r="HKW5747" s="917" t="s">
        <v>78</v>
      </c>
      <c r="HKX5747" s="917"/>
      <c r="HKY5747" s="917"/>
      <c r="HKZ5747" s="917"/>
      <c r="HLA5747" s="917"/>
      <c r="HLB5747" s="917"/>
      <c r="HLC5747" s="917"/>
      <c r="HLD5747" s="917"/>
      <c r="HLE5747" s="917"/>
      <c r="HLF5747" s="917"/>
      <c r="HLG5747" s="917"/>
      <c r="HLH5747" s="917"/>
      <c r="HLI5747" s="917"/>
      <c r="HLJ5747" s="917"/>
      <c r="HLK5747" s="917"/>
      <c r="HLL5747" s="917"/>
      <c r="HLM5747" s="917"/>
      <c r="HLN5747" s="917"/>
      <c r="HLO5747" s="917"/>
      <c r="HLP5747" s="917"/>
      <c r="HLQ5747" s="917"/>
      <c r="HLR5747" s="917"/>
      <c r="HLS5747" s="917"/>
      <c r="HLT5747" s="917"/>
      <c r="HLU5747" s="917"/>
      <c r="HLV5747" s="917"/>
      <c r="HLW5747" s="917"/>
      <c r="HLX5747" s="917"/>
      <c r="HLY5747" s="917"/>
      <c r="HLZ5747" s="917"/>
      <c r="HMA5747" s="917"/>
      <c r="HMB5747" s="917"/>
      <c r="HMC5747" s="917" t="s">
        <v>78</v>
      </c>
      <c r="HMD5747" s="917"/>
      <c r="HME5747" s="917"/>
      <c r="HMF5747" s="917"/>
      <c r="HMG5747" s="917"/>
      <c r="HMH5747" s="917"/>
      <c r="HMI5747" s="917"/>
      <c r="HMJ5747" s="917"/>
      <c r="HMK5747" s="917"/>
      <c r="HML5747" s="917"/>
      <c r="HMM5747" s="917"/>
      <c r="HMN5747" s="917"/>
      <c r="HMO5747" s="917"/>
      <c r="HMP5747" s="917"/>
      <c r="HMQ5747" s="917"/>
      <c r="HMR5747" s="917"/>
      <c r="HMS5747" s="917"/>
      <c r="HMT5747" s="917"/>
      <c r="HMU5747" s="917"/>
      <c r="HMV5747" s="917"/>
      <c r="HMW5747" s="917"/>
      <c r="HMX5747" s="917"/>
      <c r="HMY5747" s="917"/>
      <c r="HMZ5747" s="917"/>
      <c r="HNA5747" s="917"/>
      <c r="HNB5747" s="917"/>
      <c r="HNC5747" s="917"/>
      <c r="HND5747" s="917"/>
      <c r="HNE5747" s="917"/>
      <c r="HNF5747" s="917"/>
      <c r="HNG5747" s="917"/>
      <c r="HNH5747" s="917"/>
      <c r="HNI5747" s="917" t="s">
        <v>78</v>
      </c>
      <c r="HNJ5747" s="917"/>
      <c r="HNK5747" s="917"/>
      <c r="HNL5747" s="917"/>
      <c r="HNM5747" s="917"/>
      <c r="HNN5747" s="917"/>
      <c r="HNO5747" s="917"/>
      <c r="HNP5747" s="917"/>
      <c r="HNQ5747" s="917"/>
      <c r="HNR5747" s="917"/>
      <c r="HNS5747" s="917"/>
      <c r="HNT5747" s="917"/>
      <c r="HNU5747" s="917"/>
      <c r="HNV5747" s="917"/>
      <c r="HNW5747" s="917"/>
      <c r="HNX5747" s="917"/>
      <c r="HNY5747" s="917"/>
      <c r="HNZ5747" s="917"/>
      <c r="HOA5747" s="917"/>
      <c r="HOB5747" s="917"/>
      <c r="HOC5747" s="917"/>
      <c r="HOD5747" s="917"/>
      <c r="HOE5747" s="917"/>
      <c r="HOF5747" s="917"/>
      <c r="HOG5747" s="917"/>
      <c r="HOH5747" s="917"/>
      <c r="HOI5747" s="917"/>
      <c r="HOJ5747" s="917"/>
      <c r="HOK5747" s="917"/>
      <c r="HOL5747" s="917"/>
      <c r="HOM5747" s="917"/>
      <c r="HON5747" s="917"/>
      <c r="HOO5747" s="917" t="s">
        <v>78</v>
      </c>
      <c r="HOP5747" s="917"/>
      <c r="HOQ5747" s="917"/>
      <c r="HOR5747" s="917"/>
      <c r="HOS5747" s="917"/>
      <c r="HOT5747" s="917"/>
      <c r="HOU5747" s="917"/>
      <c r="HOV5747" s="917"/>
      <c r="HOW5747" s="917"/>
      <c r="HOX5747" s="917"/>
      <c r="HOY5747" s="917"/>
      <c r="HOZ5747" s="917"/>
      <c r="HPA5747" s="917"/>
      <c r="HPB5747" s="917"/>
      <c r="HPC5747" s="917"/>
      <c r="HPD5747" s="917"/>
      <c r="HPE5747" s="917"/>
      <c r="HPF5747" s="917"/>
      <c r="HPG5747" s="917"/>
      <c r="HPH5747" s="917"/>
      <c r="HPI5747" s="917"/>
      <c r="HPJ5747" s="917"/>
      <c r="HPK5747" s="917"/>
      <c r="HPL5747" s="917"/>
      <c r="HPM5747" s="917"/>
      <c r="HPN5747" s="917"/>
      <c r="HPO5747" s="917"/>
      <c r="HPP5747" s="917"/>
      <c r="HPQ5747" s="917"/>
      <c r="HPR5747" s="917"/>
      <c r="HPS5747" s="917"/>
      <c r="HPT5747" s="917"/>
      <c r="HPU5747" s="917" t="s">
        <v>78</v>
      </c>
      <c r="HPV5747" s="917"/>
      <c r="HPW5747" s="917"/>
      <c r="HPX5747" s="917"/>
      <c r="HPY5747" s="917"/>
      <c r="HPZ5747" s="917"/>
      <c r="HQA5747" s="917"/>
      <c r="HQB5747" s="917"/>
      <c r="HQC5747" s="917"/>
      <c r="HQD5747" s="917"/>
      <c r="HQE5747" s="917"/>
      <c r="HQF5747" s="917"/>
      <c r="HQG5747" s="917"/>
      <c r="HQH5747" s="917"/>
      <c r="HQI5747" s="917"/>
      <c r="HQJ5747" s="917"/>
      <c r="HQK5747" s="917"/>
      <c r="HQL5747" s="917"/>
      <c r="HQM5747" s="917"/>
      <c r="HQN5747" s="917"/>
      <c r="HQO5747" s="917"/>
      <c r="HQP5747" s="917"/>
      <c r="HQQ5747" s="917"/>
      <c r="HQR5747" s="917"/>
      <c r="HQS5747" s="917"/>
      <c r="HQT5747" s="917"/>
      <c r="HQU5747" s="917"/>
      <c r="HQV5747" s="917"/>
      <c r="HQW5747" s="917"/>
      <c r="HQX5747" s="917"/>
      <c r="HQY5747" s="917"/>
      <c r="HQZ5747" s="917"/>
      <c r="HRA5747" s="917" t="s">
        <v>78</v>
      </c>
      <c r="HRB5747" s="917"/>
      <c r="HRC5747" s="917"/>
      <c r="HRD5747" s="917"/>
      <c r="HRE5747" s="917"/>
      <c r="HRF5747" s="917"/>
      <c r="HRG5747" s="917"/>
      <c r="HRH5747" s="917"/>
      <c r="HRI5747" s="917"/>
      <c r="HRJ5747" s="917"/>
      <c r="HRK5747" s="917"/>
      <c r="HRL5747" s="917"/>
      <c r="HRM5747" s="917"/>
      <c r="HRN5747" s="917"/>
      <c r="HRO5747" s="917"/>
      <c r="HRP5747" s="917"/>
      <c r="HRQ5747" s="917"/>
      <c r="HRR5747" s="917"/>
      <c r="HRS5747" s="917"/>
      <c r="HRT5747" s="917"/>
      <c r="HRU5747" s="917"/>
      <c r="HRV5747" s="917"/>
      <c r="HRW5747" s="917"/>
      <c r="HRX5747" s="917"/>
      <c r="HRY5747" s="917"/>
      <c r="HRZ5747" s="917"/>
      <c r="HSA5747" s="917"/>
      <c r="HSB5747" s="917"/>
      <c r="HSC5747" s="917"/>
      <c r="HSD5747" s="917"/>
      <c r="HSE5747" s="917"/>
      <c r="HSF5747" s="917"/>
      <c r="HSG5747" s="917" t="s">
        <v>78</v>
      </c>
      <c r="HSH5747" s="917"/>
      <c r="HSI5747" s="917"/>
      <c r="HSJ5747" s="917"/>
      <c r="HSK5747" s="917"/>
      <c r="HSL5747" s="917"/>
      <c r="HSM5747" s="917"/>
      <c r="HSN5747" s="917"/>
      <c r="HSO5747" s="917"/>
      <c r="HSP5747" s="917"/>
      <c r="HSQ5747" s="917"/>
      <c r="HSR5747" s="917"/>
      <c r="HSS5747" s="917"/>
      <c r="HST5747" s="917"/>
      <c r="HSU5747" s="917"/>
      <c r="HSV5747" s="917"/>
      <c r="HSW5747" s="917"/>
      <c r="HSX5747" s="917"/>
      <c r="HSY5747" s="917"/>
      <c r="HSZ5747" s="917"/>
      <c r="HTA5747" s="917"/>
      <c r="HTB5747" s="917"/>
      <c r="HTC5747" s="917"/>
      <c r="HTD5747" s="917"/>
      <c r="HTE5747" s="917"/>
      <c r="HTF5747" s="917"/>
      <c r="HTG5747" s="917"/>
      <c r="HTH5747" s="917"/>
      <c r="HTI5747" s="917"/>
      <c r="HTJ5747" s="917"/>
      <c r="HTK5747" s="917"/>
      <c r="HTL5747" s="917"/>
      <c r="HTM5747" s="917" t="s">
        <v>78</v>
      </c>
      <c r="HTN5747" s="917"/>
      <c r="HTO5747" s="917"/>
      <c r="HTP5747" s="917"/>
      <c r="HTQ5747" s="917"/>
      <c r="HTR5747" s="917"/>
      <c r="HTS5747" s="917"/>
      <c r="HTT5747" s="917"/>
      <c r="HTU5747" s="917"/>
      <c r="HTV5747" s="917"/>
      <c r="HTW5747" s="917"/>
      <c r="HTX5747" s="917"/>
      <c r="HTY5747" s="917"/>
      <c r="HTZ5747" s="917"/>
      <c r="HUA5747" s="917"/>
      <c r="HUB5747" s="917"/>
      <c r="HUC5747" s="917"/>
      <c r="HUD5747" s="917"/>
      <c r="HUE5747" s="917"/>
      <c r="HUF5747" s="917"/>
      <c r="HUG5747" s="917"/>
      <c r="HUH5747" s="917"/>
      <c r="HUI5747" s="917"/>
      <c r="HUJ5747" s="917"/>
      <c r="HUK5747" s="917"/>
      <c r="HUL5747" s="917"/>
      <c r="HUM5747" s="917"/>
      <c r="HUN5747" s="917"/>
      <c r="HUO5747" s="917"/>
      <c r="HUP5747" s="917"/>
      <c r="HUQ5747" s="917"/>
      <c r="HUR5747" s="917"/>
      <c r="HUS5747" s="917" t="s">
        <v>78</v>
      </c>
      <c r="HUT5747" s="917"/>
      <c r="HUU5747" s="917"/>
      <c r="HUV5747" s="917"/>
      <c r="HUW5747" s="917"/>
      <c r="HUX5747" s="917"/>
      <c r="HUY5747" s="917"/>
      <c r="HUZ5747" s="917"/>
      <c r="HVA5747" s="917"/>
      <c r="HVB5747" s="917"/>
      <c r="HVC5747" s="917"/>
      <c r="HVD5747" s="917"/>
      <c r="HVE5747" s="917"/>
      <c r="HVF5747" s="917"/>
      <c r="HVG5747" s="917"/>
      <c r="HVH5747" s="917"/>
      <c r="HVI5747" s="917"/>
      <c r="HVJ5747" s="917"/>
      <c r="HVK5747" s="917"/>
      <c r="HVL5747" s="917"/>
      <c r="HVM5747" s="917"/>
      <c r="HVN5747" s="917"/>
      <c r="HVO5747" s="917"/>
      <c r="HVP5747" s="917"/>
      <c r="HVQ5747" s="917"/>
      <c r="HVR5747" s="917"/>
      <c r="HVS5747" s="917"/>
      <c r="HVT5747" s="917"/>
      <c r="HVU5747" s="917"/>
      <c r="HVV5747" s="917"/>
      <c r="HVW5747" s="917"/>
      <c r="HVX5747" s="917"/>
      <c r="HVY5747" s="917" t="s">
        <v>78</v>
      </c>
      <c r="HVZ5747" s="917"/>
      <c r="HWA5747" s="917"/>
      <c r="HWB5747" s="917"/>
      <c r="HWC5747" s="917"/>
      <c r="HWD5747" s="917"/>
      <c r="HWE5747" s="917"/>
      <c r="HWF5747" s="917"/>
      <c r="HWG5747" s="917"/>
      <c r="HWH5747" s="917"/>
      <c r="HWI5747" s="917"/>
      <c r="HWJ5747" s="917"/>
      <c r="HWK5747" s="917"/>
      <c r="HWL5747" s="917"/>
      <c r="HWM5747" s="917"/>
      <c r="HWN5747" s="917"/>
      <c r="HWO5747" s="917"/>
      <c r="HWP5747" s="917"/>
      <c r="HWQ5747" s="917"/>
      <c r="HWR5747" s="917"/>
      <c r="HWS5747" s="917"/>
      <c r="HWT5747" s="917"/>
      <c r="HWU5747" s="917"/>
      <c r="HWV5747" s="917"/>
      <c r="HWW5747" s="917"/>
      <c r="HWX5747" s="917"/>
      <c r="HWY5747" s="917"/>
      <c r="HWZ5747" s="917"/>
      <c r="HXA5747" s="917"/>
      <c r="HXB5747" s="917"/>
      <c r="HXC5747" s="917"/>
      <c r="HXD5747" s="917"/>
      <c r="HXE5747" s="917" t="s">
        <v>78</v>
      </c>
      <c r="HXF5747" s="917"/>
      <c r="HXG5747" s="917"/>
      <c r="HXH5747" s="917"/>
      <c r="HXI5747" s="917"/>
      <c r="HXJ5747" s="917"/>
      <c r="HXK5747" s="917"/>
      <c r="HXL5747" s="917"/>
      <c r="HXM5747" s="917"/>
      <c r="HXN5747" s="917"/>
      <c r="HXO5747" s="917"/>
      <c r="HXP5747" s="917"/>
      <c r="HXQ5747" s="917"/>
      <c r="HXR5747" s="917"/>
      <c r="HXS5747" s="917"/>
      <c r="HXT5747" s="917"/>
      <c r="HXU5747" s="917"/>
      <c r="HXV5747" s="917"/>
      <c r="HXW5747" s="917"/>
      <c r="HXX5747" s="917"/>
      <c r="HXY5747" s="917"/>
      <c r="HXZ5747" s="917"/>
      <c r="HYA5747" s="917"/>
      <c r="HYB5747" s="917"/>
      <c r="HYC5747" s="917"/>
      <c r="HYD5747" s="917"/>
      <c r="HYE5747" s="917"/>
      <c r="HYF5747" s="917"/>
      <c r="HYG5747" s="917"/>
      <c r="HYH5747" s="917"/>
      <c r="HYI5747" s="917"/>
      <c r="HYJ5747" s="917"/>
      <c r="HYK5747" s="917" t="s">
        <v>78</v>
      </c>
      <c r="HYL5747" s="917"/>
      <c r="HYM5747" s="917"/>
      <c r="HYN5747" s="917"/>
      <c r="HYO5747" s="917"/>
      <c r="HYP5747" s="917"/>
      <c r="HYQ5747" s="917"/>
      <c r="HYR5747" s="917"/>
      <c r="HYS5747" s="917"/>
      <c r="HYT5747" s="917"/>
      <c r="HYU5747" s="917"/>
      <c r="HYV5747" s="917"/>
      <c r="HYW5747" s="917"/>
      <c r="HYX5747" s="917"/>
      <c r="HYY5747" s="917"/>
      <c r="HYZ5747" s="917"/>
      <c r="HZA5747" s="917"/>
      <c r="HZB5747" s="917"/>
      <c r="HZC5747" s="917"/>
      <c r="HZD5747" s="917"/>
      <c r="HZE5747" s="917"/>
      <c r="HZF5747" s="917"/>
      <c r="HZG5747" s="917"/>
      <c r="HZH5747" s="917"/>
      <c r="HZI5747" s="917"/>
      <c r="HZJ5747" s="917"/>
      <c r="HZK5747" s="917"/>
      <c r="HZL5747" s="917"/>
      <c r="HZM5747" s="917"/>
      <c r="HZN5747" s="917"/>
      <c r="HZO5747" s="917"/>
      <c r="HZP5747" s="917"/>
      <c r="HZQ5747" s="917" t="s">
        <v>78</v>
      </c>
      <c r="HZR5747" s="917"/>
      <c r="HZS5747" s="917"/>
      <c r="HZT5747" s="917"/>
      <c r="HZU5747" s="917"/>
      <c r="HZV5747" s="917"/>
      <c r="HZW5747" s="917"/>
      <c r="HZX5747" s="917"/>
      <c r="HZY5747" s="917"/>
      <c r="HZZ5747" s="917"/>
      <c r="IAA5747" s="917"/>
      <c r="IAB5747" s="917"/>
      <c r="IAC5747" s="917"/>
      <c r="IAD5747" s="917"/>
      <c r="IAE5747" s="917"/>
      <c r="IAF5747" s="917"/>
      <c r="IAG5747" s="917"/>
      <c r="IAH5747" s="917"/>
      <c r="IAI5747" s="917"/>
      <c r="IAJ5747" s="917"/>
      <c r="IAK5747" s="917"/>
      <c r="IAL5747" s="917"/>
      <c r="IAM5747" s="917"/>
      <c r="IAN5747" s="917"/>
      <c r="IAO5747" s="917"/>
      <c r="IAP5747" s="917"/>
      <c r="IAQ5747" s="917"/>
      <c r="IAR5747" s="917"/>
      <c r="IAS5747" s="917"/>
      <c r="IAT5747" s="917"/>
      <c r="IAU5747" s="917"/>
      <c r="IAV5747" s="917"/>
      <c r="IAW5747" s="917" t="s">
        <v>78</v>
      </c>
      <c r="IAX5747" s="917"/>
      <c r="IAY5747" s="917"/>
      <c r="IAZ5747" s="917"/>
      <c r="IBA5747" s="917"/>
      <c r="IBB5747" s="917"/>
      <c r="IBC5747" s="917"/>
      <c r="IBD5747" s="917"/>
      <c r="IBE5747" s="917"/>
      <c r="IBF5747" s="917"/>
      <c r="IBG5747" s="917"/>
      <c r="IBH5747" s="917"/>
      <c r="IBI5747" s="917"/>
      <c r="IBJ5747" s="917"/>
      <c r="IBK5747" s="917"/>
      <c r="IBL5747" s="917"/>
      <c r="IBM5747" s="917"/>
      <c r="IBN5747" s="917"/>
      <c r="IBO5747" s="917"/>
      <c r="IBP5747" s="917"/>
      <c r="IBQ5747" s="917"/>
      <c r="IBR5747" s="917"/>
      <c r="IBS5747" s="917"/>
      <c r="IBT5747" s="917"/>
      <c r="IBU5747" s="917"/>
      <c r="IBV5747" s="917"/>
      <c r="IBW5747" s="917"/>
      <c r="IBX5747" s="917"/>
      <c r="IBY5747" s="917"/>
      <c r="IBZ5747" s="917"/>
      <c r="ICA5747" s="917"/>
      <c r="ICB5747" s="917"/>
      <c r="ICC5747" s="917" t="s">
        <v>78</v>
      </c>
      <c r="ICD5747" s="917"/>
      <c r="ICE5747" s="917"/>
      <c r="ICF5747" s="917"/>
      <c r="ICG5747" s="917"/>
      <c r="ICH5747" s="917"/>
      <c r="ICI5747" s="917"/>
      <c r="ICJ5747" s="917"/>
      <c r="ICK5747" s="917"/>
      <c r="ICL5747" s="917"/>
      <c r="ICM5747" s="917"/>
      <c r="ICN5747" s="917"/>
      <c r="ICO5747" s="917"/>
      <c r="ICP5747" s="917"/>
      <c r="ICQ5747" s="917"/>
      <c r="ICR5747" s="917"/>
      <c r="ICS5747" s="917"/>
      <c r="ICT5747" s="917"/>
      <c r="ICU5747" s="917"/>
      <c r="ICV5747" s="917"/>
      <c r="ICW5747" s="917"/>
      <c r="ICX5747" s="917"/>
      <c r="ICY5747" s="917"/>
      <c r="ICZ5747" s="917"/>
      <c r="IDA5747" s="917"/>
      <c r="IDB5747" s="917"/>
      <c r="IDC5747" s="917"/>
      <c r="IDD5747" s="917"/>
      <c r="IDE5747" s="917"/>
      <c r="IDF5747" s="917"/>
      <c r="IDG5747" s="917"/>
      <c r="IDH5747" s="917"/>
      <c r="IDI5747" s="917" t="s">
        <v>78</v>
      </c>
      <c r="IDJ5747" s="917"/>
      <c r="IDK5747" s="917"/>
      <c r="IDL5747" s="917"/>
      <c r="IDM5747" s="917"/>
      <c r="IDN5747" s="917"/>
      <c r="IDO5747" s="917"/>
      <c r="IDP5747" s="917"/>
      <c r="IDQ5747" s="917"/>
      <c r="IDR5747" s="917"/>
      <c r="IDS5747" s="917"/>
      <c r="IDT5747" s="917"/>
      <c r="IDU5747" s="917"/>
      <c r="IDV5747" s="917"/>
      <c r="IDW5747" s="917"/>
      <c r="IDX5747" s="917"/>
      <c r="IDY5747" s="917"/>
      <c r="IDZ5747" s="917"/>
      <c r="IEA5747" s="917"/>
      <c r="IEB5747" s="917"/>
      <c r="IEC5747" s="917"/>
      <c r="IED5747" s="917"/>
      <c r="IEE5747" s="917"/>
      <c r="IEF5747" s="917"/>
      <c r="IEG5747" s="917"/>
      <c r="IEH5747" s="917"/>
      <c r="IEI5747" s="917"/>
      <c r="IEJ5747" s="917"/>
      <c r="IEK5747" s="917"/>
      <c r="IEL5747" s="917"/>
      <c r="IEM5747" s="917"/>
      <c r="IEN5747" s="917"/>
      <c r="IEO5747" s="917" t="s">
        <v>78</v>
      </c>
      <c r="IEP5747" s="917"/>
      <c r="IEQ5747" s="917"/>
      <c r="IER5747" s="917"/>
      <c r="IES5747" s="917"/>
      <c r="IET5747" s="917"/>
      <c r="IEU5747" s="917"/>
      <c r="IEV5747" s="917"/>
      <c r="IEW5747" s="917"/>
      <c r="IEX5747" s="917"/>
      <c r="IEY5747" s="917"/>
      <c r="IEZ5747" s="917"/>
      <c r="IFA5747" s="917"/>
      <c r="IFB5747" s="917"/>
      <c r="IFC5747" s="917"/>
      <c r="IFD5747" s="917"/>
      <c r="IFE5747" s="917"/>
      <c r="IFF5747" s="917"/>
      <c r="IFG5747" s="917"/>
      <c r="IFH5747" s="917"/>
      <c r="IFI5747" s="917"/>
      <c r="IFJ5747" s="917"/>
      <c r="IFK5747" s="917"/>
      <c r="IFL5747" s="917"/>
      <c r="IFM5747" s="917"/>
      <c r="IFN5747" s="917"/>
      <c r="IFO5747" s="917"/>
      <c r="IFP5747" s="917"/>
      <c r="IFQ5747" s="917"/>
      <c r="IFR5747" s="917"/>
      <c r="IFS5747" s="917"/>
      <c r="IFT5747" s="917"/>
      <c r="IFU5747" s="917" t="s">
        <v>78</v>
      </c>
      <c r="IFV5747" s="917"/>
      <c r="IFW5747" s="917"/>
      <c r="IFX5747" s="917"/>
      <c r="IFY5747" s="917"/>
      <c r="IFZ5747" s="917"/>
      <c r="IGA5747" s="917"/>
      <c r="IGB5747" s="917"/>
      <c r="IGC5747" s="917"/>
      <c r="IGD5747" s="917"/>
      <c r="IGE5747" s="917"/>
      <c r="IGF5747" s="917"/>
      <c r="IGG5747" s="917"/>
      <c r="IGH5747" s="917"/>
      <c r="IGI5747" s="917"/>
      <c r="IGJ5747" s="917"/>
      <c r="IGK5747" s="917"/>
      <c r="IGL5747" s="917"/>
      <c r="IGM5747" s="917"/>
      <c r="IGN5747" s="917"/>
      <c r="IGO5747" s="917"/>
      <c r="IGP5747" s="917"/>
      <c r="IGQ5747" s="917"/>
      <c r="IGR5747" s="917"/>
      <c r="IGS5747" s="917"/>
      <c r="IGT5747" s="917"/>
      <c r="IGU5747" s="917"/>
      <c r="IGV5747" s="917"/>
      <c r="IGW5747" s="917"/>
      <c r="IGX5747" s="917"/>
      <c r="IGY5747" s="917"/>
      <c r="IGZ5747" s="917"/>
      <c r="IHA5747" s="917" t="s">
        <v>78</v>
      </c>
      <c r="IHB5747" s="917"/>
      <c r="IHC5747" s="917"/>
      <c r="IHD5747" s="917"/>
      <c r="IHE5747" s="917"/>
      <c r="IHF5747" s="917"/>
      <c r="IHG5747" s="917"/>
      <c r="IHH5747" s="917"/>
      <c r="IHI5747" s="917"/>
      <c r="IHJ5747" s="917"/>
      <c r="IHK5747" s="917"/>
      <c r="IHL5747" s="917"/>
      <c r="IHM5747" s="917"/>
      <c r="IHN5747" s="917"/>
      <c r="IHO5747" s="917"/>
      <c r="IHP5747" s="917"/>
      <c r="IHQ5747" s="917"/>
      <c r="IHR5747" s="917"/>
      <c r="IHS5747" s="917"/>
      <c r="IHT5747" s="917"/>
      <c r="IHU5747" s="917"/>
      <c r="IHV5747" s="917"/>
      <c r="IHW5747" s="917"/>
      <c r="IHX5747" s="917"/>
      <c r="IHY5747" s="917"/>
      <c r="IHZ5747" s="917"/>
      <c r="IIA5747" s="917"/>
      <c r="IIB5747" s="917"/>
      <c r="IIC5747" s="917"/>
      <c r="IID5747" s="917"/>
      <c r="IIE5747" s="917"/>
      <c r="IIF5747" s="917"/>
      <c r="IIG5747" s="917" t="s">
        <v>78</v>
      </c>
      <c r="IIH5747" s="917"/>
      <c r="III5747" s="917"/>
      <c r="IIJ5747" s="917"/>
      <c r="IIK5747" s="917"/>
      <c r="IIL5747" s="917"/>
      <c r="IIM5747" s="917"/>
      <c r="IIN5747" s="917"/>
      <c r="IIO5747" s="917"/>
      <c r="IIP5747" s="917"/>
      <c r="IIQ5747" s="917"/>
      <c r="IIR5747" s="917"/>
      <c r="IIS5747" s="917"/>
      <c r="IIT5747" s="917"/>
      <c r="IIU5747" s="917"/>
      <c r="IIV5747" s="917"/>
      <c r="IIW5747" s="917"/>
      <c r="IIX5747" s="917"/>
      <c r="IIY5747" s="917"/>
      <c r="IIZ5747" s="917"/>
      <c r="IJA5747" s="917"/>
      <c r="IJB5747" s="917"/>
      <c r="IJC5747" s="917"/>
      <c r="IJD5747" s="917"/>
      <c r="IJE5747" s="917"/>
      <c r="IJF5747" s="917"/>
      <c r="IJG5747" s="917"/>
      <c r="IJH5747" s="917"/>
      <c r="IJI5747" s="917"/>
      <c r="IJJ5747" s="917"/>
      <c r="IJK5747" s="917"/>
      <c r="IJL5747" s="917"/>
      <c r="IJM5747" s="917" t="s">
        <v>78</v>
      </c>
      <c r="IJN5747" s="917"/>
      <c r="IJO5747" s="917"/>
      <c r="IJP5747" s="917"/>
      <c r="IJQ5747" s="917"/>
      <c r="IJR5747" s="917"/>
      <c r="IJS5747" s="917"/>
      <c r="IJT5747" s="917"/>
      <c r="IJU5747" s="917"/>
      <c r="IJV5747" s="917"/>
      <c r="IJW5747" s="917"/>
      <c r="IJX5747" s="917"/>
      <c r="IJY5747" s="917"/>
      <c r="IJZ5747" s="917"/>
      <c r="IKA5747" s="917"/>
      <c r="IKB5747" s="917"/>
      <c r="IKC5747" s="917"/>
      <c r="IKD5747" s="917"/>
      <c r="IKE5747" s="917"/>
      <c r="IKF5747" s="917"/>
      <c r="IKG5747" s="917"/>
      <c r="IKH5747" s="917"/>
      <c r="IKI5747" s="917"/>
      <c r="IKJ5747" s="917"/>
      <c r="IKK5747" s="917"/>
      <c r="IKL5747" s="917"/>
      <c r="IKM5747" s="917"/>
      <c r="IKN5747" s="917"/>
      <c r="IKO5747" s="917"/>
      <c r="IKP5747" s="917"/>
      <c r="IKQ5747" s="917"/>
      <c r="IKR5747" s="917"/>
      <c r="IKS5747" s="917" t="s">
        <v>78</v>
      </c>
      <c r="IKT5747" s="917"/>
      <c r="IKU5747" s="917"/>
      <c r="IKV5747" s="917"/>
      <c r="IKW5747" s="917"/>
      <c r="IKX5747" s="917"/>
      <c r="IKY5747" s="917"/>
      <c r="IKZ5747" s="917"/>
      <c r="ILA5747" s="917"/>
      <c r="ILB5747" s="917"/>
      <c r="ILC5747" s="917"/>
      <c r="ILD5747" s="917"/>
      <c r="ILE5747" s="917"/>
      <c r="ILF5747" s="917"/>
      <c r="ILG5747" s="917"/>
      <c r="ILH5747" s="917"/>
      <c r="ILI5747" s="917"/>
      <c r="ILJ5747" s="917"/>
      <c r="ILK5747" s="917"/>
      <c r="ILL5747" s="917"/>
      <c r="ILM5747" s="917"/>
      <c r="ILN5747" s="917"/>
      <c r="ILO5747" s="917"/>
      <c r="ILP5747" s="917"/>
      <c r="ILQ5747" s="917"/>
      <c r="ILR5747" s="917"/>
      <c r="ILS5747" s="917"/>
      <c r="ILT5747" s="917"/>
      <c r="ILU5747" s="917"/>
      <c r="ILV5747" s="917"/>
      <c r="ILW5747" s="917"/>
      <c r="ILX5747" s="917"/>
      <c r="ILY5747" s="917" t="s">
        <v>78</v>
      </c>
      <c r="ILZ5747" s="917"/>
      <c r="IMA5747" s="917"/>
      <c r="IMB5747" s="917"/>
      <c r="IMC5747" s="917"/>
      <c r="IMD5747" s="917"/>
      <c r="IME5747" s="917"/>
      <c r="IMF5747" s="917"/>
      <c r="IMG5747" s="917"/>
      <c r="IMH5747" s="917"/>
      <c r="IMI5747" s="917"/>
      <c r="IMJ5747" s="917"/>
      <c r="IMK5747" s="917"/>
      <c r="IML5747" s="917"/>
      <c r="IMM5747" s="917"/>
      <c r="IMN5747" s="917"/>
      <c r="IMO5747" s="917"/>
      <c r="IMP5747" s="917"/>
      <c r="IMQ5747" s="917"/>
      <c r="IMR5747" s="917"/>
      <c r="IMS5747" s="917"/>
      <c r="IMT5747" s="917"/>
      <c r="IMU5747" s="917"/>
      <c r="IMV5747" s="917"/>
      <c r="IMW5747" s="917"/>
      <c r="IMX5747" s="917"/>
      <c r="IMY5747" s="917"/>
      <c r="IMZ5747" s="917"/>
      <c r="INA5747" s="917"/>
      <c r="INB5747" s="917"/>
      <c r="INC5747" s="917"/>
      <c r="IND5747" s="917"/>
      <c r="INE5747" s="917" t="s">
        <v>78</v>
      </c>
      <c r="INF5747" s="917"/>
      <c r="ING5747" s="917"/>
      <c r="INH5747" s="917"/>
      <c r="INI5747" s="917"/>
      <c r="INJ5747" s="917"/>
      <c r="INK5747" s="917"/>
      <c r="INL5747" s="917"/>
      <c r="INM5747" s="917"/>
      <c r="INN5747" s="917"/>
      <c r="INO5747" s="917"/>
      <c r="INP5747" s="917"/>
      <c r="INQ5747" s="917"/>
      <c r="INR5747" s="917"/>
      <c r="INS5747" s="917"/>
      <c r="INT5747" s="917"/>
      <c r="INU5747" s="917"/>
      <c r="INV5747" s="917"/>
      <c r="INW5747" s="917"/>
      <c r="INX5747" s="917"/>
      <c r="INY5747" s="917"/>
      <c r="INZ5747" s="917"/>
      <c r="IOA5747" s="917"/>
      <c r="IOB5747" s="917"/>
      <c r="IOC5747" s="917"/>
      <c r="IOD5747" s="917"/>
      <c r="IOE5747" s="917"/>
      <c r="IOF5747" s="917"/>
      <c r="IOG5747" s="917"/>
      <c r="IOH5747" s="917"/>
      <c r="IOI5747" s="917"/>
      <c r="IOJ5747" s="917"/>
      <c r="IOK5747" s="917" t="s">
        <v>78</v>
      </c>
      <c r="IOL5747" s="917"/>
      <c r="IOM5747" s="917"/>
      <c r="ION5747" s="917"/>
      <c r="IOO5747" s="917"/>
      <c r="IOP5747" s="917"/>
      <c r="IOQ5747" s="917"/>
      <c r="IOR5747" s="917"/>
      <c r="IOS5747" s="917"/>
      <c r="IOT5747" s="917"/>
      <c r="IOU5747" s="917"/>
      <c r="IOV5747" s="917"/>
      <c r="IOW5747" s="917"/>
      <c r="IOX5747" s="917"/>
      <c r="IOY5747" s="917"/>
      <c r="IOZ5747" s="917"/>
      <c r="IPA5747" s="917"/>
      <c r="IPB5747" s="917"/>
      <c r="IPC5747" s="917"/>
      <c r="IPD5747" s="917"/>
      <c r="IPE5747" s="917"/>
      <c r="IPF5747" s="917"/>
      <c r="IPG5747" s="917"/>
      <c r="IPH5747" s="917"/>
      <c r="IPI5747" s="917"/>
      <c r="IPJ5747" s="917"/>
      <c r="IPK5747" s="917"/>
      <c r="IPL5747" s="917"/>
      <c r="IPM5747" s="917"/>
      <c r="IPN5747" s="917"/>
      <c r="IPO5747" s="917"/>
      <c r="IPP5747" s="917"/>
      <c r="IPQ5747" s="917" t="s">
        <v>78</v>
      </c>
      <c r="IPR5747" s="917"/>
      <c r="IPS5747" s="917"/>
      <c r="IPT5747" s="917"/>
      <c r="IPU5747" s="917"/>
      <c r="IPV5747" s="917"/>
      <c r="IPW5747" s="917"/>
      <c r="IPX5747" s="917"/>
      <c r="IPY5747" s="917"/>
      <c r="IPZ5747" s="917"/>
      <c r="IQA5747" s="917"/>
      <c r="IQB5747" s="917"/>
      <c r="IQC5747" s="917"/>
      <c r="IQD5747" s="917"/>
      <c r="IQE5747" s="917"/>
      <c r="IQF5747" s="917"/>
      <c r="IQG5747" s="917"/>
      <c r="IQH5747" s="917"/>
      <c r="IQI5747" s="917"/>
      <c r="IQJ5747" s="917"/>
      <c r="IQK5747" s="917"/>
      <c r="IQL5747" s="917"/>
      <c r="IQM5747" s="917"/>
      <c r="IQN5747" s="917"/>
      <c r="IQO5747" s="917"/>
      <c r="IQP5747" s="917"/>
      <c r="IQQ5747" s="917"/>
      <c r="IQR5747" s="917"/>
      <c r="IQS5747" s="917"/>
      <c r="IQT5747" s="917"/>
      <c r="IQU5747" s="917"/>
      <c r="IQV5747" s="917"/>
      <c r="IQW5747" s="917" t="s">
        <v>78</v>
      </c>
      <c r="IQX5747" s="917"/>
      <c r="IQY5747" s="917"/>
      <c r="IQZ5747" s="917"/>
      <c r="IRA5747" s="917"/>
      <c r="IRB5747" s="917"/>
      <c r="IRC5747" s="917"/>
      <c r="IRD5747" s="917"/>
      <c r="IRE5747" s="917"/>
      <c r="IRF5747" s="917"/>
      <c r="IRG5747" s="917"/>
      <c r="IRH5747" s="917"/>
      <c r="IRI5747" s="917"/>
      <c r="IRJ5747" s="917"/>
      <c r="IRK5747" s="917"/>
      <c r="IRL5747" s="917"/>
      <c r="IRM5747" s="917"/>
      <c r="IRN5747" s="917"/>
      <c r="IRO5747" s="917"/>
      <c r="IRP5747" s="917"/>
      <c r="IRQ5747" s="917"/>
      <c r="IRR5747" s="917"/>
      <c r="IRS5747" s="917"/>
      <c r="IRT5747" s="917"/>
      <c r="IRU5747" s="917"/>
      <c r="IRV5747" s="917"/>
      <c r="IRW5747" s="917"/>
      <c r="IRX5747" s="917"/>
      <c r="IRY5747" s="917"/>
      <c r="IRZ5747" s="917"/>
      <c r="ISA5747" s="917"/>
      <c r="ISB5747" s="917"/>
      <c r="ISC5747" s="917" t="s">
        <v>78</v>
      </c>
      <c r="ISD5747" s="917"/>
      <c r="ISE5747" s="917"/>
      <c r="ISF5747" s="917"/>
      <c r="ISG5747" s="917"/>
      <c r="ISH5747" s="917"/>
      <c r="ISI5747" s="917"/>
      <c r="ISJ5747" s="917"/>
      <c r="ISK5747" s="917"/>
      <c r="ISL5747" s="917"/>
      <c r="ISM5747" s="917"/>
      <c r="ISN5747" s="917"/>
      <c r="ISO5747" s="917"/>
      <c r="ISP5747" s="917"/>
      <c r="ISQ5747" s="917"/>
      <c r="ISR5747" s="917"/>
      <c r="ISS5747" s="917"/>
      <c r="IST5747" s="917"/>
      <c r="ISU5747" s="917"/>
      <c r="ISV5747" s="917"/>
      <c r="ISW5747" s="917"/>
      <c r="ISX5747" s="917"/>
      <c r="ISY5747" s="917"/>
      <c r="ISZ5747" s="917"/>
      <c r="ITA5747" s="917"/>
      <c r="ITB5747" s="917"/>
      <c r="ITC5747" s="917"/>
      <c r="ITD5747" s="917"/>
      <c r="ITE5747" s="917"/>
      <c r="ITF5747" s="917"/>
      <c r="ITG5747" s="917"/>
      <c r="ITH5747" s="917"/>
      <c r="ITI5747" s="917" t="s">
        <v>78</v>
      </c>
      <c r="ITJ5747" s="917"/>
      <c r="ITK5747" s="917"/>
      <c r="ITL5747" s="917"/>
      <c r="ITM5747" s="917"/>
      <c r="ITN5747" s="917"/>
      <c r="ITO5747" s="917"/>
      <c r="ITP5747" s="917"/>
      <c r="ITQ5747" s="917"/>
      <c r="ITR5747" s="917"/>
      <c r="ITS5747" s="917"/>
      <c r="ITT5747" s="917"/>
      <c r="ITU5747" s="917"/>
      <c r="ITV5747" s="917"/>
      <c r="ITW5747" s="917"/>
      <c r="ITX5747" s="917"/>
      <c r="ITY5747" s="917"/>
      <c r="ITZ5747" s="917"/>
      <c r="IUA5747" s="917"/>
      <c r="IUB5747" s="917"/>
      <c r="IUC5747" s="917"/>
      <c r="IUD5747" s="917"/>
      <c r="IUE5747" s="917"/>
      <c r="IUF5747" s="917"/>
      <c r="IUG5747" s="917"/>
      <c r="IUH5747" s="917"/>
      <c r="IUI5747" s="917"/>
      <c r="IUJ5747" s="917"/>
      <c r="IUK5747" s="917"/>
      <c r="IUL5747" s="917"/>
      <c r="IUM5747" s="917"/>
      <c r="IUN5747" s="917"/>
      <c r="IUO5747" s="917" t="s">
        <v>78</v>
      </c>
      <c r="IUP5747" s="917"/>
      <c r="IUQ5747" s="917"/>
      <c r="IUR5747" s="917"/>
      <c r="IUS5747" s="917"/>
      <c r="IUT5747" s="917"/>
      <c r="IUU5747" s="917"/>
      <c r="IUV5747" s="917"/>
      <c r="IUW5747" s="917"/>
      <c r="IUX5747" s="917"/>
      <c r="IUY5747" s="917"/>
      <c r="IUZ5747" s="917"/>
      <c r="IVA5747" s="917"/>
      <c r="IVB5747" s="917"/>
      <c r="IVC5747" s="917"/>
      <c r="IVD5747" s="917"/>
      <c r="IVE5747" s="917"/>
      <c r="IVF5747" s="917"/>
      <c r="IVG5747" s="917"/>
      <c r="IVH5747" s="917"/>
      <c r="IVI5747" s="917"/>
      <c r="IVJ5747" s="917"/>
      <c r="IVK5747" s="917"/>
      <c r="IVL5747" s="917"/>
      <c r="IVM5747" s="917"/>
      <c r="IVN5747" s="917"/>
      <c r="IVO5747" s="917"/>
      <c r="IVP5747" s="917"/>
      <c r="IVQ5747" s="917"/>
      <c r="IVR5747" s="917"/>
      <c r="IVS5747" s="917"/>
      <c r="IVT5747" s="917"/>
      <c r="IVU5747" s="917" t="s">
        <v>78</v>
      </c>
      <c r="IVV5747" s="917"/>
      <c r="IVW5747" s="917"/>
      <c r="IVX5747" s="917"/>
      <c r="IVY5747" s="917"/>
      <c r="IVZ5747" s="917"/>
      <c r="IWA5747" s="917"/>
      <c r="IWB5747" s="917"/>
      <c r="IWC5747" s="917"/>
      <c r="IWD5747" s="917"/>
      <c r="IWE5747" s="917"/>
      <c r="IWF5747" s="917"/>
      <c r="IWG5747" s="917"/>
      <c r="IWH5747" s="917"/>
      <c r="IWI5747" s="917"/>
      <c r="IWJ5747" s="917"/>
      <c r="IWK5747" s="917"/>
      <c r="IWL5747" s="917"/>
      <c r="IWM5747" s="917"/>
      <c r="IWN5747" s="917"/>
      <c r="IWO5747" s="917"/>
      <c r="IWP5747" s="917"/>
      <c r="IWQ5747" s="917"/>
      <c r="IWR5747" s="917"/>
      <c r="IWS5747" s="917"/>
      <c r="IWT5747" s="917"/>
      <c r="IWU5747" s="917"/>
      <c r="IWV5747" s="917"/>
      <c r="IWW5747" s="917"/>
      <c r="IWX5747" s="917"/>
      <c r="IWY5747" s="917"/>
      <c r="IWZ5747" s="917"/>
      <c r="IXA5747" s="917" t="s">
        <v>78</v>
      </c>
      <c r="IXB5747" s="917"/>
      <c r="IXC5747" s="917"/>
      <c r="IXD5747" s="917"/>
      <c r="IXE5747" s="917"/>
      <c r="IXF5747" s="917"/>
      <c r="IXG5747" s="917"/>
      <c r="IXH5747" s="917"/>
      <c r="IXI5747" s="917"/>
      <c r="IXJ5747" s="917"/>
      <c r="IXK5747" s="917"/>
      <c r="IXL5747" s="917"/>
      <c r="IXM5747" s="917"/>
      <c r="IXN5747" s="917"/>
      <c r="IXO5747" s="917"/>
      <c r="IXP5747" s="917"/>
      <c r="IXQ5747" s="917"/>
      <c r="IXR5747" s="917"/>
      <c r="IXS5747" s="917"/>
      <c r="IXT5747" s="917"/>
      <c r="IXU5747" s="917"/>
      <c r="IXV5747" s="917"/>
      <c r="IXW5747" s="917"/>
      <c r="IXX5747" s="917"/>
      <c r="IXY5747" s="917"/>
      <c r="IXZ5747" s="917"/>
      <c r="IYA5747" s="917"/>
      <c r="IYB5747" s="917"/>
      <c r="IYC5747" s="917"/>
      <c r="IYD5747" s="917"/>
      <c r="IYE5747" s="917"/>
      <c r="IYF5747" s="917"/>
      <c r="IYG5747" s="917" t="s">
        <v>78</v>
      </c>
      <c r="IYH5747" s="917"/>
      <c r="IYI5747" s="917"/>
      <c r="IYJ5747" s="917"/>
      <c r="IYK5747" s="917"/>
      <c r="IYL5747" s="917"/>
      <c r="IYM5747" s="917"/>
      <c r="IYN5747" s="917"/>
      <c r="IYO5747" s="917"/>
      <c r="IYP5747" s="917"/>
      <c r="IYQ5747" s="917"/>
      <c r="IYR5747" s="917"/>
      <c r="IYS5747" s="917"/>
      <c r="IYT5747" s="917"/>
      <c r="IYU5747" s="917"/>
      <c r="IYV5747" s="917"/>
      <c r="IYW5747" s="917"/>
      <c r="IYX5747" s="917"/>
      <c r="IYY5747" s="917"/>
      <c r="IYZ5747" s="917"/>
      <c r="IZA5747" s="917"/>
      <c r="IZB5747" s="917"/>
      <c r="IZC5747" s="917"/>
      <c r="IZD5747" s="917"/>
      <c r="IZE5747" s="917"/>
      <c r="IZF5747" s="917"/>
      <c r="IZG5747" s="917"/>
      <c r="IZH5747" s="917"/>
      <c r="IZI5747" s="917"/>
      <c r="IZJ5747" s="917"/>
      <c r="IZK5747" s="917"/>
      <c r="IZL5747" s="917"/>
      <c r="IZM5747" s="917" t="s">
        <v>78</v>
      </c>
      <c r="IZN5747" s="917"/>
      <c r="IZO5747" s="917"/>
      <c r="IZP5747" s="917"/>
      <c r="IZQ5747" s="917"/>
      <c r="IZR5747" s="917"/>
      <c r="IZS5747" s="917"/>
      <c r="IZT5747" s="917"/>
      <c r="IZU5747" s="917"/>
      <c r="IZV5747" s="917"/>
      <c r="IZW5747" s="917"/>
      <c r="IZX5747" s="917"/>
      <c r="IZY5747" s="917"/>
      <c r="IZZ5747" s="917"/>
      <c r="JAA5747" s="917"/>
      <c r="JAB5747" s="917"/>
      <c r="JAC5747" s="917"/>
      <c r="JAD5747" s="917"/>
      <c r="JAE5747" s="917"/>
      <c r="JAF5747" s="917"/>
      <c r="JAG5747" s="917"/>
      <c r="JAH5747" s="917"/>
      <c r="JAI5747" s="917"/>
      <c r="JAJ5747" s="917"/>
      <c r="JAK5747" s="917"/>
      <c r="JAL5747" s="917"/>
      <c r="JAM5747" s="917"/>
      <c r="JAN5747" s="917"/>
      <c r="JAO5747" s="917"/>
      <c r="JAP5747" s="917"/>
      <c r="JAQ5747" s="917"/>
      <c r="JAR5747" s="917"/>
      <c r="JAS5747" s="917" t="s">
        <v>78</v>
      </c>
      <c r="JAT5747" s="917"/>
      <c r="JAU5747" s="917"/>
      <c r="JAV5747" s="917"/>
      <c r="JAW5747" s="917"/>
      <c r="JAX5747" s="917"/>
      <c r="JAY5747" s="917"/>
      <c r="JAZ5747" s="917"/>
      <c r="JBA5747" s="917"/>
      <c r="JBB5747" s="917"/>
      <c r="JBC5747" s="917"/>
      <c r="JBD5747" s="917"/>
      <c r="JBE5747" s="917"/>
      <c r="JBF5747" s="917"/>
      <c r="JBG5747" s="917"/>
      <c r="JBH5747" s="917"/>
      <c r="JBI5747" s="917"/>
      <c r="JBJ5747" s="917"/>
      <c r="JBK5747" s="917"/>
      <c r="JBL5747" s="917"/>
      <c r="JBM5747" s="917"/>
      <c r="JBN5747" s="917"/>
      <c r="JBO5747" s="917"/>
      <c r="JBP5747" s="917"/>
      <c r="JBQ5747" s="917"/>
      <c r="JBR5747" s="917"/>
      <c r="JBS5747" s="917"/>
      <c r="JBT5747" s="917"/>
      <c r="JBU5747" s="917"/>
      <c r="JBV5747" s="917"/>
      <c r="JBW5747" s="917"/>
      <c r="JBX5747" s="917"/>
      <c r="JBY5747" s="917" t="s">
        <v>78</v>
      </c>
      <c r="JBZ5747" s="917"/>
      <c r="JCA5747" s="917"/>
      <c r="JCB5747" s="917"/>
      <c r="JCC5747" s="917"/>
      <c r="JCD5747" s="917"/>
      <c r="JCE5747" s="917"/>
      <c r="JCF5747" s="917"/>
      <c r="JCG5747" s="917"/>
      <c r="JCH5747" s="917"/>
      <c r="JCI5747" s="917"/>
      <c r="JCJ5747" s="917"/>
      <c r="JCK5747" s="917"/>
      <c r="JCL5747" s="917"/>
      <c r="JCM5747" s="917"/>
      <c r="JCN5747" s="917"/>
      <c r="JCO5747" s="917"/>
      <c r="JCP5747" s="917"/>
      <c r="JCQ5747" s="917"/>
      <c r="JCR5747" s="917"/>
      <c r="JCS5747" s="917"/>
      <c r="JCT5747" s="917"/>
      <c r="JCU5747" s="917"/>
      <c r="JCV5747" s="917"/>
      <c r="JCW5747" s="917"/>
      <c r="JCX5747" s="917"/>
      <c r="JCY5747" s="917"/>
      <c r="JCZ5747" s="917"/>
      <c r="JDA5747" s="917"/>
      <c r="JDB5747" s="917"/>
      <c r="JDC5747" s="917"/>
      <c r="JDD5747" s="917"/>
      <c r="JDE5747" s="917" t="s">
        <v>78</v>
      </c>
      <c r="JDF5747" s="917"/>
      <c r="JDG5747" s="917"/>
      <c r="JDH5747" s="917"/>
      <c r="JDI5747" s="917"/>
      <c r="JDJ5747" s="917"/>
      <c r="JDK5747" s="917"/>
      <c r="JDL5747" s="917"/>
      <c r="JDM5747" s="917"/>
      <c r="JDN5747" s="917"/>
      <c r="JDO5747" s="917"/>
      <c r="JDP5747" s="917"/>
      <c r="JDQ5747" s="917"/>
      <c r="JDR5747" s="917"/>
      <c r="JDS5747" s="917"/>
      <c r="JDT5747" s="917"/>
      <c r="JDU5747" s="917"/>
      <c r="JDV5747" s="917"/>
      <c r="JDW5747" s="917"/>
      <c r="JDX5747" s="917"/>
      <c r="JDY5747" s="917"/>
      <c r="JDZ5747" s="917"/>
      <c r="JEA5747" s="917"/>
      <c r="JEB5747" s="917"/>
      <c r="JEC5747" s="917"/>
      <c r="JED5747" s="917"/>
      <c r="JEE5747" s="917"/>
      <c r="JEF5747" s="917"/>
      <c r="JEG5747" s="917"/>
      <c r="JEH5747" s="917"/>
      <c r="JEI5747" s="917"/>
      <c r="JEJ5747" s="917"/>
      <c r="JEK5747" s="917" t="s">
        <v>78</v>
      </c>
      <c r="JEL5747" s="917"/>
      <c r="JEM5747" s="917"/>
      <c r="JEN5747" s="917"/>
      <c r="JEO5747" s="917"/>
      <c r="JEP5747" s="917"/>
      <c r="JEQ5747" s="917"/>
      <c r="JER5747" s="917"/>
      <c r="JES5747" s="917"/>
      <c r="JET5747" s="917"/>
      <c r="JEU5747" s="917"/>
      <c r="JEV5747" s="917"/>
      <c r="JEW5747" s="917"/>
      <c r="JEX5747" s="917"/>
      <c r="JEY5747" s="917"/>
      <c r="JEZ5747" s="917"/>
      <c r="JFA5747" s="917"/>
      <c r="JFB5747" s="917"/>
      <c r="JFC5747" s="917"/>
      <c r="JFD5747" s="917"/>
      <c r="JFE5747" s="917"/>
      <c r="JFF5747" s="917"/>
      <c r="JFG5747" s="917"/>
      <c r="JFH5747" s="917"/>
      <c r="JFI5747" s="917"/>
      <c r="JFJ5747" s="917"/>
      <c r="JFK5747" s="917"/>
      <c r="JFL5747" s="917"/>
      <c r="JFM5747" s="917"/>
      <c r="JFN5747" s="917"/>
      <c r="JFO5747" s="917"/>
      <c r="JFP5747" s="917"/>
      <c r="JFQ5747" s="917" t="s">
        <v>78</v>
      </c>
      <c r="JFR5747" s="917"/>
      <c r="JFS5747" s="917"/>
      <c r="JFT5747" s="917"/>
      <c r="JFU5747" s="917"/>
      <c r="JFV5747" s="917"/>
      <c r="JFW5747" s="917"/>
      <c r="JFX5747" s="917"/>
      <c r="JFY5747" s="917"/>
      <c r="JFZ5747" s="917"/>
      <c r="JGA5747" s="917"/>
      <c r="JGB5747" s="917"/>
      <c r="JGC5747" s="917"/>
      <c r="JGD5747" s="917"/>
      <c r="JGE5747" s="917"/>
      <c r="JGF5747" s="917"/>
      <c r="JGG5747" s="917"/>
      <c r="JGH5747" s="917"/>
      <c r="JGI5747" s="917"/>
      <c r="JGJ5747" s="917"/>
      <c r="JGK5747" s="917"/>
      <c r="JGL5747" s="917"/>
      <c r="JGM5747" s="917"/>
      <c r="JGN5747" s="917"/>
      <c r="JGO5747" s="917"/>
      <c r="JGP5747" s="917"/>
      <c r="JGQ5747" s="917"/>
      <c r="JGR5747" s="917"/>
      <c r="JGS5747" s="917"/>
      <c r="JGT5747" s="917"/>
      <c r="JGU5747" s="917"/>
      <c r="JGV5747" s="917"/>
      <c r="JGW5747" s="917" t="s">
        <v>78</v>
      </c>
      <c r="JGX5747" s="917"/>
      <c r="JGY5747" s="917"/>
      <c r="JGZ5747" s="917"/>
      <c r="JHA5747" s="917"/>
      <c r="JHB5747" s="917"/>
      <c r="JHC5747" s="917"/>
      <c r="JHD5747" s="917"/>
      <c r="JHE5747" s="917"/>
      <c r="JHF5747" s="917"/>
      <c r="JHG5747" s="917"/>
      <c r="JHH5747" s="917"/>
      <c r="JHI5747" s="917"/>
      <c r="JHJ5747" s="917"/>
      <c r="JHK5747" s="917"/>
      <c r="JHL5747" s="917"/>
      <c r="JHM5747" s="917"/>
      <c r="JHN5747" s="917"/>
      <c r="JHO5747" s="917"/>
      <c r="JHP5747" s="917"/>
      <c r="JHQ5747" s="917"/>
      <c r="JHR5747" s="917"/>
      <c r="JHS5747" s="917"/>
      <c r="JHT5747" s="917"/>
      <c r="JHU5747" s="917"/>
      <c r="JHV5747" s="917"/>
      <c r="JHW5747" s="917"/>
      <c r="JHX5747" s="917"/>
      <c r="JHY5747" s="917"/>
      <c r="JHZ5747" s="917"/>
      <c r="JIA5747" s="917"/>
      <c r="JIB5747" s="917"/>
      <c r="JIC5747" s="917" t="s">
        <v>78</v>
      </c>
      <c r="JID5747" s="917"/>
      <c r="JIE5747" s="917"/>
      <c r="JIF5747" s="917"/>
      <c r="JIG5747" s="917"/>
      <c r="JIH5747" s="917"/>
      <c r="JII5747" s="917"/>
      <c r="JIJ5747" s="917"/>
      <c r="JIK5747" s="917"/>
      <c r="JIL5747" s="917"/>
      <c r="JIM5747" s="917"/>
      <c r="JIN5747" s="917"/>
      <c r="JIO5747" s="917"/>
      <c r="JIP5747" s="917"/>
      <c r="JIQ5747" s="917"/>
      <c r="JIR5747" s="917"/>
      <c r="JIS5747" s="917"/>
      <c r="JIT5747" s="917"/>
      <c r="JIU5747" s="917"/>
      <c r="JIV5747" s="917"/>
      <c r="JIW5747" s="917"/>
      <c r="JIX5747" s="917"/>
      <c r="JIY5747" s="917"/>
      <c r="JIZ5747" s="917"/>
      <c r="JJA5747" s="917"/>
      <c r="JJB5747" s="917"/>
      <c r="JJC5747" s="917"/>
      <c r="JJD5747" s="917"/>
      <c r="JJE5747" s="917"/>
      <c r="JJF5747" s="917"/>
      <c r="JJG5747" s="917"/>
      <c r="JJH5747" s="917"/>
      <c r="JJI5747" s="917" t="s">
        <v>78</v>
      </c>
      <c r="JJJ5747" s="917"/>
      <c r="JJK5747" s="917"/>
      <c r="JJL5747" s="917"/>
      <c r="JJM5747" s="917"/>
      <c r="JJN5747" s="917"/>
      <c r="JJO5747" s="917"/>
      <c r="JJP5747" s="917"/>
      <c r="JJQ5747" s="917"/>
      <c r="JJR5747" s="917"/>
      <c r="JJS5747" s="917"/>
      <c r="JJT5747" s="917"/>
      <c r="JJU5747" s="917"/>
      <c r="JJV5747" s="917"/>
      <c r="JJW5747" s="917"/>
      <c r="JJX5747" s="917"/>
      <c r="JJY5747" s="917"/>
      <c r="JJZ5747" s="917"/>
      <c r="JKA5747" s="917"/>
      <c r="JKB5747" s="917"/>
      <c r="JKC5747" s="917"/>
      <c r="JKD5747" s="917"/>
      <c r="JKE5747" s="917"/>
      <c r="JKF5747" s="917"/>
      <c r="JKG5747" s="917"/>
      <c r="JKH5747" s="917"/>
      <c r="JKI5747" s="917"/>
      <c r="JKJ5747" s="917"/>
      <c r="JKK5747" s="917"/>
      <c r="JKL5747" s="917"/>
      <c r="JKM5747" s="917"/>
      <c r="JKN5747" s="917"/>
      <c r="JKO5747" s="917" t="s">
        <v>78</v>
      </c>
      <c r="JKP5747" s="917"/>
      <c r="JKQ5747" s="917"/>
      <c r="JKR5747" s="917"/>
      <c r="JKS5747" s="917"/>
      <c r="JKT5747" s="917"/>
      <c r="JKU5747" s="917"/>
      <c r="JKV5747" s="917"/>
      <c r="JKW5747" s="917"/>
      <c r="JKX5747" s="917"/>
      <c r="JKY5747" s="917"/>
      <c r="JKZ5747" s="917"/>
      <c r="JLA5747" s="917"/>
      <c r="JLB5747" s="917"/>
      <c r="JLC5747" s="917"/>
      <c r="JLD5747" s="917"/>
      <c r="JLE5747" s="917"/>
      <c r="JLF5747" s="917"/>
      <c r="JLG5747" s="917"/>
      <c r="JLH5747" s="917"/>
      <c r="JLI5747" s="917"/>
      <c r="JLJ5747" s="917"/>
      <c r="JLK5747" s="917"/>
      <c r="JLL5747" s="917"/>
      <c r="JLM5747" s="917"/>
      <c r="JLN5747" s="917"/>
      <c r="JLO5747" s="917"/>
      <c r="JLP5747" s="917"/>
      <c r="JLQ5747" s="917"/>
      <c r="JLR5747" s="917"/>
      <c r="JLS5747" s="917"/>
      <c r="JLT5747" s="917"/>
      <c r="JLU5747" s="917" t="s">
        <v>78</v>
      </c>
      <c r="JLV5747" s="917"/>
      <c r="JLW5747" s="917"/>
      <c r="JLX5747" s="917"/>
      <c r="JLY5747" s="917"/>
      <c r="JLZ5747" s="917"/>
      <c r="JMA5747" s="917"/>
      <c r="JMB5747" s="917"/>
      <c r="JMC5747" s="917"/>
      <c r="JMD5747" s="917"/>
      <c r="JME5747" s="917"/>
      <c r="JMF5747" s="917"/>
      <c r="JMG5747" s="917"/>
      <c r="JMH5747" s="917"/>
      <c r="JMI5747" s="917"/>
      <c r="JMJ5747" s="917"/>
      <c r="JMK5747" s="917"/>
      <c r="JML5747" s="917"/>
      <c r="JMM5747" s="917"/>
      <c r="JMN5747" s="917"/>
      <c r="JMO5747" s="917"/>
      <c r="JMP5747" s="917"/>
      <c r="JMQ5747" s="917"/>
      <c r="JMR5747" s="917"/>
      <c r="JMS5747" s="917"/>
      <c r="JMT5747" s="917"/>
      <c r="JMU5747" s="917"/>
      <c r="JMV5747" s="917"/>
      <c r="JMW5747" s="917"/>
      <c r="JMX5747" s="917"/>
      <c r="JMY5747" s="917"/>
      <c r="JMZ5747" s="917"/>
      <c r="JNA5747" s="917" t="s">
        <v>78</v>
      </c>
      <c r="JNB5747" s="917"/>
      <c r="JNC5747" s="917"/>
      <c r="JND5747" s="917"/>
      <c r="JNE5747" s="917"/>
      <c r="JNF5747" s="917"/>
      <c r="JNG5747" s="917"/>
      <c r="JNH5747" s="917"/>
      <c r="JNI5747" s="917"/>
      <c r="JNJ5747" s="917"/>
      <c r="JNK5747" s="917"/>
      <c r="JNL5747" s="917"/>
      <c r="JNM5747" s="917"/>
      <c r="JNN5747" s="917"/>
      <c r="JNO5747" s="917"/>
      <c r="JNP5747" s="917"/>
      <c r="JNQ5747" s="917"/>
      <c r="JNR5747" s="917"/>
      <c r="JNS5747" s="917"/>
      <c r="JNT5747" s="917"/>
      <c r="JNU5747" s="917"/>
      <c r="JNV5747" s="917"/>
      <c r="JNW5747" s="917"/>
      <c r="JNX5747" s="917"/>
      <c r="JNY5747" s="917"/>
      <c r="JNZ5747" s="917"/>
      <c r="JOA5747" s="917"/>
      <c r="JOB5747" s="917"/>
      <c r="JOC5747" s="917"/>
      <c r="JOD5747" s="917"/>
      <c r="JOE5747" s="917"/>
      <c r="JOF5747" s="917"/>
      <c r="JOG5747" s="917" t="s">
        <v>78</v>
      </c>
      <c r="JOH5747" s="917"/>
      <c r="JOI5747" s="917"/>
      <c r="JOJ5747" s="917"/>
      <c r="JOK5747" s="917"/>
      <c r="JOL5747" s="917"/>
      <c r="JOM5747" s="917"/>
      <c r="JON5747" s="917"/>
      <c r="JOO5747" s="917"/>
      <c r="JOP5747" s="917"/>
      <c r="JOQ5747" s="917"/>
      <c r="JOR5747" s="917"/>
      <c r="JOS5747" s="917"/>
      <c r="JOT5747" s="917"/>
      <c r="JOU5747" s="917"/>
      <c r="JOV5747" s="917"/>
      <c r="JOW5747" s="917"/>
      <c r="JOX5747" s="917"/>
      <c r="JOY5747" s="917"/>
      <c r="JOZ5747" s="917"/>
      <c r="JPA5747" s="917"/>
      <c r="JPB5747" s="917"/>
      <c r="JPC5747" s="917"/>
      <c r="JPD5747" s="917"/>
      <c r="JPE5747" s="917"/>
      <c r="JPF5747" s="917"/>
      <c r="JPG5747" s="917"/>
      <c r="JPH5747" s="917"/>
      <c r="JPI5747" s="917"/>
      <c r="JPJ5747" s="917"/>
      <c r="JPK5747" s="917"/>
      <c r="JPL5747" s="917"/>
      <c r="JPM5747" s="917" t="s">
        <v>78</v>
      </c>
      <c r="JPN5747" s="917"/>
      <c r="JPO5747" s="917"/>
      <c r="JPP5747" s="917"/>
      <c r="JPQ5747" s="917"/>
      <c r="JPR5747" s="917"/>
      <c r="JPS5747" s="917"/>
      <c r="JPT5747" s="917"/>
      <c r="JPU5747" s="917"/>
      <c r="JPV5747" s="917"/>
      <c r="JPW5747" s="917"/>
      <c r="JPX5747" s="917"/>
      <c r="JPY5747" s="917"/>
      <c r="JPZ5747" s="917"/>
      <c r="JQA5747" s="917"/>
      <c r="JQB5747" s="917"/>
      <c r="JQC5747" s="917"/>
      <c r="JQD5747" s="917"/>
      <c r="JQE5747" s="917"/>
      <c r="JQF5747" s="917"/>
      <c r="JQG5747" s="917"/>
      <c r="JQH5747" s="917"/>
      <c r="JQI5747" s="917"/>
      <c r="JQJ5747" s="917"/>
      <c r="JQK5747" s="917"/>
      <c r="JQL5747" s="917"/>
      <c r="JQM5747" s="917"/>
      <c r="JQN5747" s="917"/>
      <c r="JQO5747" s="917"/>
      <c r="JQP5747" s="917"/>
      <c r="JQQ5747" s="917"/>
      <c r="JQR5747" s="917"/>
      <c r="JQS5747" s="917" t="s">
        <v>78</v>
      </c>
      <c r="JQT5747" s="917"/>
      <c r="JQU5747" s="917"/>
      <c r="JQV5747" s="917"/>
      <c r="JQW5747" s="917"/>
      <c r="JQX5747" s="917"/>
      <c r="JQY5747" s="917"/>
      <c r="JQZ5747" s="917"/>
      <c r="JRA5747" s="917"/>
      <c r="JRB5747" s="917"/>
      <c r="JRC5747" s="917"/>
      <c r="JRD5747" s="917"/>
      <c r="JRE5747" s="917"/>
      <c r="JRF5747" s="917"/>
      <c r="JRG5747" s="917"/>
      <c r="JRH5747" s="917"/>
      <c r="JRI5747" s="917"/>
      <c r="JRJ5747" s="917"/>
      <c r="JRK5747" s="917"/>
      <c r="JRL5747" s="917"/>
      <c r="JRM5747" s="917"/>
      <c r="JRN5747" s="917"/>
      <c r="JRO5747" s="917"/>
      <c r="JRP5747" s="917"/>
      <c r="JRQ5747" s="917"/>
      <c r="JRR5747" s="917"/>
      <c r="JRS5747" s="917"/>
      <c r="JRT5747" s="917"/>
      <c r="JRU5747" s="917"/>
      <c r="JRV5747" s="917"/>
      <c r="JRW5747" s="917"/>
      <c r="JRX5747" s="917"/>
      <c r="JRY5747" s="917" t="s">
        <v>78</v>
      </c>
      <c r="JRZ5747" s="917"/>
      <c r="JSA5747" s="917"/>
      <c r="JSB5747" s="917"/>
      <c r="JSC5747" s="917"/>
      <c r="JSD5747" s="917"/>
      <c r="JSE5747" s="917"/>
      <c r="JSF5747" s="917"/>
      <c r="JSG5747" s="917"/>
      <c r="JSH5747" s="917"/>
      <c r="JSI5747" s="917"/>
      <c r="JSJ5747" s="917"/>
      <c r="JSK5747" s="917"/>
      <c r="JSL5747" s="917"/>
      <c r="JSM5747" s="917"/>
      <c r="JSN5747" s="917"/>
      <c r="JSO5747" s="917"/>
      <c r="JSP5747" s="917"/>
      <c r="JSQ5747" s="917"/>
      <c r="JSR5747" s="917"/>
      <c r="JSS5747" s="917"/>
      <c r="JST5747" s="917"/>
      <c r="JSU5747" s="917"/>
      <c r="JSV5747" s="917"/>
      <c r="JSW5747" s="917"/>
      <c r="JSX5747" s="917"/>
      <c r="JSY5747" s="917"/>
      <c r="JSZ5747" s="917"/>
      <c r="JTA5747" s="917"/>
      <c r="JTB5747" s="917"/>
      <c r="JTC5747" s="917"/>
      <c r="JTD5747" s="917"/>
      <c r="JTE5747" s="917" t="s">
        <v>78</v>
      </c>
      <c r="JTF5747" s="917"/>
      <c r="JTG5747" s="917"/>
      <c r="JTH5747" s="917"/>
      <c r="JTI5747" s="917"/>
      <c r="JTJ5747" s="917"/>
      <c r="JTK5747" s="917"/>
      <c r="JTL5747" s="917"/>
      <c r="JTM5747" s="917"/>
      <c r="JTN5747" s="917"/>
      <c r="JTO5747" s="917"/>
      <c r="JTP5747" s="917"/>
      <c r="JTQ5747" s="917"/>
      <c r="JTR5747" s="917"/>
      <c r="JTS5747" s="917"/>
      <c r="JTT5747" s="917"/>
      <c r="JTU5747" s="917"/>
      <c r="JTV5747" s="917"/>
      <c r="JTW5747" s="917"/>
      <c r="JTX5747" s="917"/>
      <c r="JTY5747" s="917"/>
      <c r="JTZ5747" s="917"/>
      <c r="JUA5747" s="917"/>
      <c r="JUB5747" s="917"/>
      <c r="JUC5747" s="917"/>
      <c r="JUD5747" s="917"/>
      <c r="JUE5747" s="917"/>
      <c r="JUF5747" s="917"/>
      <c r="JUG5747" s="917"/>
      <c r="JUH5747" s="917"/>
      <c r="JUI5747" s="917"/>
      <c r="JUJ5747" s="917"/>
      <c r="JUK5747" s="917" t="s">
        <v>78</v>
      </c>
      <c r="JUL5747" s="917"/>
      <c r="JUM5747" s="917"/>
      <c r="JUN5747" s="917"/>
      <c r="JUO5747" s="917"/>
      <c r="JUP5747" s="917"/>
      <c r="JUQ5747" s="917"/>
      <c r="JUR5747" s="917"/>
      <c r="JUS5747" s="917"/>
      <c r="JUT5747" s="917"/>
      <c r="JUU5747" s="917"/>
      <c r="JUV5747" s="917"/>
      <c r="JUW5747" s="917"/>
      <c r="JUX5747" s="917"/>
      <c r="JUY5747" s="917"/>
      <c r="JUZ5747" s="917"/>
      <c r="JVA5747" s="917"/>
      <c r="JVB5747" s="917"/>
      <c r="JVC5747" s="917"/>
      <c r="JVD5747" s="917"/>
      <c r="JVE5747" s="917"/>
      <c r="JVF5747" s="917"/>
      <c r="JVG5747" s="917"/>
      <c r="JVH5747" s="917"/>
      <c r="JVI5747" s="917"/>
      <c r="JVJ5747" s="917"/>
      <c r="JVK5747" s="917"/>
      <c r="JVL5747" s="917"/>
      <c r="JVM5747" s="917"/>
      <c r="JVN5747" s="917"/>
      <c r="JVO5747" s="917"/>
      <c r="JVP5747" s="917"/>
      <c r="JVQ5747" s="917" t="s">
        <v>78</v>
      </c>
      <c r="JVR5747" s="917"/>
      <c r="JVS5747" s="917"/>
      <c r="JVT5747" s="917"/>
      <c r="JVU5747" s="917"/>
      <c r="JVV5747" s="917"/>
      <c r="JVW5747" s="917"/>
      <c r="JVX5747" s="917"/>
      <c r="JVY5747" s="917"/>
      <c r="JVZ5747" s="917"/>
      <c r="JWA5747" s="917"/>
      <c r="JWB5747" s="917"/>
      <c r="JWC5747" s="917"/>
      <c r="JWD5747" s="917"/>
      <c r="JWE5747" s="917"/>
      <c r="JWF5747" s="917"/>
      <c r="JWG5747" s="917"/>
      <c r="JWH5747" s="917"/>
      <c r="JWI5747" s="917"/>
      <c r="JWJ5747" s="917"/>
      <c r="JWK5747" s="917"/>
      <c r="JWL5747" s="917"/>
      <c r="JWM5747" s="917"/>
      <c r="JWN5747" s="917"/>
      <c r="JWO5747" s="917"/>
      <c r="JWP5747" s="917"/>
      <c r="JWQ5747" s="917"/>
      <c r="JWR5747" s="917"/>
      <c r="JWS5747" s="917"/>
      <c r="JWT5747" s="917"/>
      <c r="JWU5747" s="917"/>
      <c r="JWV5747" s="917"/>
      <c r="JWW5747" s="917" t="s">
        <v>78</v>
      </c>
      <c r="JWX5747" s="917"/>
      <c r="JWY5747" s="917"/>
      <c r="JWZ5747" s="917"/>
      <c r="JXA5747" s="917"/>
      <c r="JXB5747" s="917"/>
      <c r="JXC5747" s="917"/>
      <c r="JXD5747" s="917"/>
      <c r="JXE5747" s="917"/>
      <c r="JXF5747" s="917"/>
      <c r="JXG5747" s="917"/>
      <c r="JXH5747" s="917"/>
      <c r="JXI5747" s="917"/>
      <c r="JXJ5747" s="917"/>
      <c r="JXK5747" s="917"/>
      <c r="JXL5747" s="917"/>
      <c r="JXM5747" s="917"/>
      <c r="JXN5747" s="917"/>
      <c r="JXO5747" s="917"/>
      <c r="JXP5747" s="917"/>
      <c r="JXQ5747" s="917"/>
      <c r="JXR5747" s="917"/>
      <c r="JXS5747" s="917"/>
      <c r="JXT5747" s="917"/>
      <c r="JXU5747" s="917"/>
      <c r="JXV5747" s="917"/>
      <c r="JXW5747" s="917"/>
      <c r="JXX5747" s="917"/>
      <c r="JXY5747" s="917"/>
      <c r="JXZ5747" s="917"/>
      <c r="JYA5747" s="917"/>
      <c r="JYB5747" s="917"/>
      <c r="JYC5747" s="917" t="s">
        <v>78</v>
      </c>
      <c r="JYD5747" s="917"/>
      <c r="JYE5747" s="917"/>
      <c r="JYF5747" s="917"/>
      <c r="JYG5747" s="917"/>
      <c r="JYH5747" s="917"/>
      <c r="JYI5747" s="917"/>
      <c r="JYJ5747" s="917"/>
      <c r="JYK5747" s="917"/>
      <c r="JYL5747" s="917"/>
      <c r="JYM5747" s="917"/>
      <c r="JYN5747" s="917"/>
      <c r="JYO5747" s="917"/>
      <c r="JYP5747" s="917"/>
      <c r="JYQ5747" s="917"/>
      <c r="JYR5747" s="917"/>
      <c r="JYS5747" s="917"/>
      <c r="JYT5747" s="917"/>
      <c r="JYU5747" s="917"/>
      <c r="JYV5747" s="917"/>
      <c r="JYW5747" s="917"/>
      <c r="JYX5747" s="917"/>
      <c r="JYY5747" s="917"/>
      <c r="JYZ5747" s="917"/>
      <c r="JZA5747" s="917"/>
      <c r="JZB5747" s="917"/>
      <c r="JZC5747" s="917"/>
      <c r="JZD5747" s="917"/>
      <c r="JZE5747" s="917"/>
      <c r="JZF5747" s="917"/>
      <c r="JZG5747" s="917"/>
      <c r="JZH5747" s="917"/>
      <c r="JZI5747" s="917" t="s">
        <v>78</v>
      </c>
      <c r="JZJ5747" s="917"/>
      <c r="JZK5747" s="917"/>
      <c r="JZL5747" s="917"/>
      <c r="JZM5747" s="917"/>
      <c r="JZN5747" s="917"/>
      <c r="JZO5747" s="917"/>
      <c r="JZP5747" s="917"/>
      <c r="JZQ5747" s="917"/>
      <c r="JZR5747" s="917"/>
      <c r="JZS5747" s="917"/>
      <c r="JZT5747" s="917"/>
      <c r="JZU5747" s="917"/>
      <c r="JZV5747" s="917"/>
      <c r="JZW5747" s="917"/>
      <c r="JZX5747" s="917"/>
      <c r="JZY5747" s="917"/>
      <c r="JZZ5747" s="917"/>
      <c r="KAA5747" s="917"/>
      <c r="KAB5747" s="917"/>
      <c r="KAC5747" s="917"/>
      <c r="KAD5747" s="917"/>
      <c r="KAE5747" s="917"/>
      <c r="KAF5747" s="917"/>
      <c r="KAG5747" s="917"/>
      <c r="KAH5747" s="917"/>
      <c r="KAI5747" s="917"/>
      <c r="KAJ5747" s="917"/>
      <c r="KAK5747" s="917"/>
      <c r="KAL5747" s="917"/>
      <c r="KAM5747" s="917"/>
      <c r="KAN5747" s="917"/>
      <c r="KAO5747" s="917" t="s">
        <v>78</v>
      </c>
      <c r="KAP5747" s="917"/>
      <c r="KAQ5747" s="917"/>
      <c r="KAR5747" s="917"/>
      <c r="KAS5747" s="917"/>
      <c r="KAT5747" s="917"/>
      <c r="KAU5747" s="917"/>
      <c r="KAV5747" s="917"/>
      <c r="KAW5747" s="917"/>
      <c r="KAX5747" s="917"/>
      <c r="KAY5747" s="917"/>
      <c r="KAZ5747" s="917"/>
      <c r="KBA5747" s="917"/>
      <c r="KBB5747" s="917"/>
      <c r="KBC5747" s="917"/>
      <c r="KBD5747" s="917"/>
      <c r="KBE5747" s="917"/>
      <c r="KBF5747" s="917"/>
      <c r="KBG5747" s="917"/>
      <c r="KBH5747" s="917"/>
      <c r="KBI5747" s="917"/>
      <c r="KBJ5747" s="917"/>
      <c r="KBK5747" s="917"/>
      <c r="KBL5747" s="917"/>
      <c r="KBM5747" s="917"/>
      <c r="KBN5747" s="917"/>
      <c r="KBO5747" s="917"/>
      <c r="KBP5747" s="917"/>
      <c r="KBQ5747" s="917"/>
      <c r="KBR5747" s="917"/>
      <c r="KBS5747" s="917"/>
      <c r="KBT5747" s="917"/>
      <c r="KBU5747" s="917" t="s">
        <v>78</v>
      </c>
      <c r="KBV5747" s="917"/>
      <c r="KBW5747" s="917"/>
      <c r="KBX5747" s="917"/>
      <c r="KBY5747" s="917"/>
      <c r="KBZ5747" s="917"/>
      <c r="KCA5747" s="917"/>
      <c r="KCB5747" s="917"/>
      <c r="KCC5747" s="917"/>
      <c r="KCD5747" s="917"/>
      <c r="KCE5747" s="917"/>
      <c r="KCF5747" s="917"/>
      <c r="KCG5747" s="917"/>
      <c r="KCH5747" s="917"/>
      <c r="KCI5747" s="917"/>
      <c r="KCJ5747" s="917"/>
      <c r="KCK5747" s="917"/>
      <c r="KCL5747" s="917"/>
      <c r="KCM5747" s="917"/>
      <c r="KCN5747" s="917"/>
      <c r="KCO5747" s="917"/>
      <c r="KCP5747" s="917"/>
      <c r="KCQ5747" s="917"/>
      <c r="KCR5747" s="917"/>
      <c r="KCS5747" s="917"/>
      <c r="KCT5747" s="917"/>
      <c r="KCU5747" s="917"/>
      <c r="KCV5747" s="917"/>
      <c r="KCW5747" s="917"/>
      <c r="KCX5747" s="917"/>
      <c r="KCY5747" s="917"/>
      <c r="KCZ5747" s="917"/>
      <c r="KDA5747" s="917" t="s">
        <v>78</v>
      </c>
      <c r="KDB5747" s="917"/>
      <c r="KDC5747" s="917"/>
      <c r="KDD5747" s="917"/>
      <c r="KDE5747" s="917"/>
      <c r="KDF5747" s="917"/>
      <c r="KDG5747" s="917"/>
      <c r="KDH5747" s="917"/>
      <c r="KDI5747" s="917"/>
      <c r="KDJ5747" s="917"/>
      <c r="KDK5747" s="917"/>
      <c r="KDL5747" s="917"/>
      <c r="KDM5747" s="917"/>
      <c r="KDN5747" s="917"/>
      <c r="KDO5747" s="917"/>
      <c r="KDP5747" s="917"/>
      <c r="KDQ5747" s="917"/>
      <c r="KDR5747" s="917"/>
      <c r="KDS5747" s="917"/>
      <c r="KDT5747" s="917"/>
      <c r="KDU5747" s="917"/>
      <c r="KDV5747" s="917"/>
      <c r="KDW5747" s="917"/>
      <c r="KDX5747" s="917"/>
      <c r="KDY5747" s="917"/>
      <c r="KDZ5747" s="917"/>
      <c r="KEA5747" s="917"/>
      <c r="KEB5747" s="917"/>
      <c r="KEC5747" s="917"/>
      <c r="KED5747" s="917"/>
      <c r="KEE5747" s="917"/>
      <c r="KEF5747" s="917"/>
      <c r="KEG5747" s="917" t="s">
        <v>78</v>
      </c>
      <c r="KEH5747" s="917"/>
      <c r="KEI5747" s="917"/>
      <c r="KEJ5747" s="917"/>
      <c r="KEK5747" s="917"/>
      <c r="KEL5747" s="917"/>
      <c r="KEM5747" s="917"/>
      <c r="KEN5747" s="917"/>
      <c r="KEO5747" s="917"/>
      <c r="KEP5747" s="917"/>
      <c r="KEQ5747" s="917"/>
      <c r="KER5747" s="917"/>
      <c r="KES5747" s="917"/>
      <c r="KET5747" s="917"/>
      <c r="KEU5747" s="917"/>
      <c r="KEV5747" s="917"/>
      <c r="KEW5747" s="917"/>
      <c r="KEX5747" s="917"/>
      <c r="KEY5747" s="917"/>
      <c r="KEZ5747" s="917"/>
      <c r="KFA5747" s="917"/>
      <c r="KFB5747" s="917"/>
      <c r="KFC5747" s="917"/>
      <c r="KFD5747" s="917"/>
      <c r="KFE5747" s="917"/>
      <c r="KFF5747" s="917"/>
      <c r="KFG5747" s="917"/>
      <c r="KFH5747" s="917"/>
      <c r="KFI5747" s="917"/>
      <c r="KFJ5747" s="917"/>
      <c r="KFK5747" s="917"/>
      <c r="KFL5747" s="917"/>
      <c r="KFM5747" s="917" t="s">
        <v>78</v>
      </c>
      <c r="KFN5747" s="917"/>
      <c r="KFO5747" s="917"/>
      <c r="KFP5747" s="917"/>
      <c r="KFQ5747" s="917"/>
      <c r="KFR5747" s="917"/>
      <c r="KFS5747" s="917"/>
      <c r="KFT5747" s="917"/>
      <c r="KFU5747" s="917"/>
      <c r="KFV5747" s="917"/>
      <c r="KFW5747" s="917"/>
      <c r="KFX5747" s="917"/>
      <c r="KFY5747" s="917"/>
      <c r="KFZ5747" s="917"/>
      <c r="KGA5747" s="917"/>
      <c r="KGB5747" s="917"/>
      <c r="KGC5747" s="917"/>
      <c r="KGD5747" s="917"/>
      <c r="KGE5747" s="917"/>
      <c r="KGF5747" s="917"/>
      <c r="KGG5747" s="917"/>
      <c r="KGH5747" s="917"/>
      <c r="KGI5747" s="917"/>
      <c r="KGJ5747" s="917"/>
      <c r="KGK5747" s="917"/>
      <c r="KGL5747" s="917"/>
      <c r="KGM5747" s="917"/>
      <c r="KGN5747" s="917"/>
      <c r="KGO5747" s="917"/>
      <c r="KGP5747" s="917"/>
      <c r="KGQ5747" s="917"/>
      <c r="KGR5747" s="917"/>
      <c r="KGS5747" s="917" t="s">
        <v>78</v>
      </c>
      <c r="KGT5747" s="917"/>
      <c r="KGU5747" s="917"/>
      <c r="KGV5747" s="917"/>
      <c r="KGW5747" s="917"/>
      <c r="KGX5747" s="917"/>
      <c r="KGY5747" s="917"/>
      <c r="KGZ5747" s="917"/>
      <c r="KHA5747" s="917"/>
      <c r="KHB5747" s="917"/>
      <c r="KHC5747" s="917"/>
      <c r="KHD5747" s="917"/>
      <c r="KHE5747" s="917"/>
      <c r="KHF5747" s="917"/>
      <c r="KHG5747" s="917"/>
      <c r="KHH5747" s="917"/>
      <c r="KHI5747" s="917"/>
      <c r="KHJ5747" s="917"/>
      <c r="KHK5747" s="917"/>
      <c r="KHL5747" s="917"/>
      <c r="KHM5747" s="917"/>
      <c r="KHN5747" s="917"/>
      <c r="KHO5747" s="917"/>
      <c r="KHP5747" s="917"/>
      <c r="KHQ5747" s="917"/>
      <c r="KHR5747" s="917"/>
      <c r="KHS5747" s="917"/>
      <c r="KHT5747" s="917"/>
      <c r="KHU5747" s="917"/>
      <c r="KHV5747" s="917"/>
      <c r="KHW5747" s="917"/>
      <c r="KHX5747" s="917"/>
      <c r="KHY5747" s="917" t="s">
        <v>78</v>
      </c>
      <c r="KHZ5747" s="917"/>
      <c r="KIA5747" s="917"/>
      <c r="KIB5747" s="917"/>
      <c r="KIC5747" s="917"/>
      <c r="KID5747" s="917"/>
      <c r="KIE5747" s="917"/>
      <c r="KIF5747" s="917"/>
      <c r="KIG5747" s="917"/>
      <c r="KIH5747" s="917"/>
      <c r="KII5747" s="917"/>
      <c r="KIJ5747" s="917"/>
      <c r="KIK5747" s="917"/>
      <c r="KIL5747" s="917"/>
      <c r="KIM5747" s="917"/>
      <c r="KIN5747" s="917"/>
      <c r="KIO5747" s="917"/>
      <c r="KIP5747" s="917"/>
      <c r="KIQ5747" s="917"/>
      <c r="KIR5747" s="917"/>
      <c r="KIS5747" s="917"/>
      <c r="KIT5747" s="917"/>
      <c r="KIU5747" s="917"/>
      <c r="KIV5747" s="917"/>
      <c r="KIW5747" s="917"/>
      <c r="KIX5747" s="917"/>
      <c r="KIY5747" s="917"/>
      <c r="KIZ5747" s="917"/>
      <c r="KJA5747" s="917"/>
      <c r="KJB5747" s="917"/>
      <c r="KJC5747" s="917"/>
      <c r="KJD5747" s="917"/>
      <c r="KJE5747" s="917" t="s">
        <v>78</v>
      </c>
      <c r="KJF5747" s="917"/>
      <c r="KJG5747" s="917"/>
      <c r="KJH5747" s="917"/>
      <c r="KJI5747" s="917"/>
      <c r="KJJ5747" s="917"/>
      <c r="KJK5747" s="917"/>
      <c r="KJL5747" s="917"/>
      <c r="KJM5747" s="917"/>
      <c r="KJN5747" s="917"/>
      <c r="KJO5747" s="917"/>
      <c r="KJP5747" s="917"/>
      <c r="KJQ5747" s="917"/>
      <c r="KJR5747" s="917"/>
      <c r="KJS5747" s="917"/>
      <c r="KJT5747" s="917"/>
      <c r="KJU5747" s="917"/>
      <c r="KJV5747" s="917"/>
      <c r="KJW5747" s="917"/>
      <c r="KJX5747" s="917"/>
      <c r="KJY5747" s="917"/>
      <c r="KJZ5747" s="917"/>
      <c r="KKA5747" s="917"/>
      <c r="KKB5747" s="917"/>
      <c r="KKC5747" s="917"/>
      <c r="KKD5747" s="917"/>
      <c r="KKE5747" s="917"/>
      <c r="KKF5747" s="917"/>
      <c r="KKG5747" s="917"/>
      <c r="KKH5747" s="917"/>
      <c r="KKI5747" s="917"/>
      <c r="KKJ5747" s="917"/>
      <c r="KKK5747" s="917" t="s">
        <v>78</v>
      </c>
      <c r="KKL5747" s="917"/>
      <c r="KKM5747" s="917"/>
      <c r="KKN5747" s="917"/>
      <c r="KKO5747" s="917"/>
      <c r="KKP5747" s="917"/>
      <c r="KKQ5747" s="917"/>
      <c r="KKR5747" s="917"/>
      <c r="KKS5747" s="917"/>
      <c r="KKT5747" s="917"/>
      <c r="KKU5747" s="917"/>
      <c r="KKV5747" s="917"/>
      <c r="KKW5747" s="917"/>
      <c r="KKX5747" s="917"/>
      <c r="KKY5747" s="917"/>
      <c r="KKZ5747" s="917"/>
      <c r="KLA5747" s="917"/>
      <c r="KLB5747" s="917"/>
      <c r="KLC5747" s="917"/>
      <c r="KLD5747" s="917"/>
      <c r="KLE5747" s="917"/>
      <c r="KLF5747" s="917"/>
      <c r="KLG5747" s="917"/>
      <c r="KLH5747" s="917"/>
      <c r="KLI5747" s="917"/>
      <c r="KLJ5747" s="917"/>
      <c r="KLK5747" s="917"/>
      <c r="KLL5747" s="917"/>
      <c r="KLM5747" s="917"/>
      <c r="KLN5747" s="917"/>
      <c r="KLO5747" s="917"/>
      <c r="KLP5747" s="917"/>
      <c r="KLQ5747" s="917" t="s">
        <v>78</v>
      </c>
      <c r="KLR5747" s="917"/>
      <c r="KLS5747" s="917"/>
      <c r="KLT5747" s="917"/>
      <c r="KLU5747" s="917"/>
      <c r="KLV5747" s="917"/>
      <c r="KLW5747" s="917"/>
      <c r="KLX5747" s="917"/>
      <c r="KLY5747" s="917"/>
      <c r="KLZ5747" s="917"/>
      <c r="KMA5747" s="917"/>
      <c r="KMB5747" s="917"/>
      <c r="KMC5747" s="917"/>
      <c r="KMD5747" s="917"/>
      <c r="KME5747" s="917"/>
      <c r="KMF5747" s="917"/>
      <c r="KMG5747" s="917"/>
      <c r="KMH5747" s="917"/>
      <c r="KMI5747" s="917"/>
      <c r="KMJ5747" s="917"/>
      <c r="KMK5747" s="917"/>
      <c r="KML5747" s="917"/>
      <c r="KMM5747" s="917"/>
      <c r="KMN5747" s="917"/>
      <c r="KMO5747" s="917"/>
      <c r="KMP5747" s="917"/>
      <c r="KMQ5747" s="917"/>
      <c r="KMR5747" s="917"/>
      <c r="KMS5747" s="917"/>
      <c r="KMT5747" s="917"/>
      <c r="KMU5747" s="917"/>
      <c r="KMV5747" s="917"/>
      <c r="KMW5747" s="917" t="s">
        <v>78</v>
      </c>
      <c r="KMX5747" s="917"/>
      <c r="KMY5747" s="917"/>
      <c r="KMZ5747" s="917"/>
      <c r="KNA5747" s="917"/>
      <c r="KNB5747" s="917"/>
      <c r="KNC5747" s="917"/>
      <c r="KND5747" s="917"/>
      <c r="KNE5747" s="917"/>
      <c r="KNF5747" s="917"/>
      <c r="KNG5747" s="917"/>
      <c r="KNH5747" s="917"/>
      <c r="KNI5747" s="917"/>
      <c r="KNJ5747" s="917"/>
      <c r="KNK5747" s="917"/>
      <c r="KNL5747" s="917"/>
      <c r="KNM5747" s="917"/>
      <c r="KNN5747" s="917"/>
      <c r="KNO5747" s="917"/>
      <c r="KNP5747" s="917"/>
      <c r="KNQ5747" s="917"/>
      <c r="KNR5747" s="917"/>
      <c r="KNS5747" s="917"/>
      <c r="KNT5747" s="917"/>
      <c r="KNU5747" s="917"/>
      <c r="KNV5747" s="917"/>
      <c r="KNW5747" s="917"/>
      <c r="KNX5747" s="917"/>
      <c r="KNY5747" s="917"/>
      <c r="KNZ5747" s="917"/>
      <c r="KOA5747" s="917"/>
      <c r="KOB5747" s="917"/>
      <c r="KOC5747" s="917" t="s">
        <v>78</v>
      </c>
      <c r="KOD5747" s="917"/>
      <c r="KOE5747" s="917"/>
      <c r="KOF5747" s="917"/>
      <c r="KOG5747" s="917"/>
      <c r="KOH5747" s="917"/>
      <c r="KOI5747" s="917"/>
      <c r="KOJ5747" s="917"/>
      <c r="KOK5747" s="917"/>
      <c r="KOL5747" s="917"/>
      <c r="KOM5747" s="917"/>
      <c r="KON5747" s="917"/>
      <c r="KOO5747" s="917"/>
      <c r="KOP5747" s="917"/>
      <c r="KOQ5747" s="917"/>
      <c r="KOR5747" s="917"/>
      <c r="KOS5747" s="917"/>
      <c r="KOT5747" s="917"/>
      <c r="KOU5747" s="917"/>
      <c r="KOV5747" s="917"/>
      <c r="KOW5747" s="917"/>
      <c r="KOX5747" s="917"/>
      <c r="KOY5747" s="917"/>
      <c r="KOZ5747" s="917"/>
      <c r="KPA5747" s="917"/>
      <c r="KPB5747" s="917"/>
      <c r="KPC5747" s="917"/>
      <c r="KPD5747" s="917"/>
      <c r="KPE5747" s="917"/>
      <c r="KPF5747" s="917"/>
      <c r="KPG5747" s="917"/>
      <c r="KPH5747" s="917"/>
      <c r="KPI5747" s="917" t="s">
        <v>78</v>
      </c>
      <c r="KPJ5747" s="917"/>
      <c r="KPK5747" s="917"/>
      <c r="KPL5747" s="917"/>
      <c r="KPM5747" s="917"/>
      <c r="KPN5747" s="917"/>
      <c r="KPO5747" s="917"/>
      <c r="KPP5747" s="917"/>
      <c r="KPQ5747" s="917"/>
      <c r="KPR5747" s="917"/>
      <c r="KPS5747" s="917"/>
      <c r="KPT5747" s="917"/>
      <c r="KPU5747" s="917"/>
      <c r="KPV5747" s="917"/>
      <c r="KPW5747" s="917"/>
      <c r="KPX5747" s="917"/>
      <c r="KPY5747" s="917"/>
      <c r="KPZ5747" s="917"/>
      <c r="KQA5747" s="917"/>
      <c r="KQB5747" s="917"/>
      <c r="KQC5747" s="917"/>
      <c r="KQD5747" s="917"/>
      <c r="KQE5747" s="917"/>
      <c r="KQF5747" s="917"/>
      <c r="KQG5747" s="917"/>
      <c r="KQH5747" s="917"/>
      <c r="KQI5747" s="917"/>
      <c r="KQJ5747" s="917"/>
      <c r="KQK5747" s="917"/>
      <c r="KQL5747" s="917"/>
      <c r="KQM5747" s="917"/>
      <c r="KQN5747" s="917"/>
      <c r="KQO5747" s="917" t="s">
        <v>78</v>
      </c>
      <c r="KQP5747" s="917"/>
      <c r="KQQ5747" s="917"/>
      <c r="KQR5747" s="917"/>
      <c r="KQS5747" s="917"/>
      <c r="KQT5747" s="917"/>
      <c r="KQU5747" s="917"/>
      <c r="KQV5747" s="917"/>
      <c r="KQW5747" s="917"/>
      <c r="KQX5747" s="917"/>
      <c r="KQY5747" s="917"/>
      <c r="KQZ5747" s="917"/>
      <c r="KRA5747" s="917"/>
      <c r="KRB5747" s="917"/>
      <c r="KRC5747" s="917"/>
      <c r="KRD5747" s="917"/>
      <c r="KRE5747" s="917"/>
      <c r="KRF5747" s="917"/>
      <c r="KRG5747" s="917"/>
      <c r="KRH5747" s="917"/>
      <c r="KRI5747" s="917"/>
      <c r="KRJ5747" s="917"/>
      <c r="KRK5747" s="917"/>
      <c r="KRL5747" s="917"/>
      <c r="KRM5747" s="917"/>
      <c r="KRN5747" s="917"/>
      <c r="KRO5747" s="917"/>
      <c r="KRP5747" s="917"/>
      <c r="KRQ5747" s="917"/>
      <c r="KRR5747" s="917"/>
      <c r="KRS5747" s="917"/>
      <c r="KRT5747" s="917"/>
      <c r="KRU5747" s="917" t="s">
        <v>78</v>
      </c>
      <c r="KRV5747" s="917"/>
      <c r="KRW5747" s="917"/>
      <c r="KRX5747" s="917"/>
      <c r="KRY5747" s="917"/>
      <c r="KRZ5747" s="917"/>
      <c r="KSA5747" s="917"/>
      <c r="KSB5747" s="917"/>
      <c r="KSC5747" s="917"/>
      <c r="KSD5747" s="917"/>
      <c r="KSE5747" s="917"/>
      <c r="KSF5747" s="917"/>
      <c r="KSG5747" s="917"/>
      <c r="KSH5747" s="917"/>
      <c r="KSI5747" s="917"/>
      <c r="KSJ5747" s="917"/>
      <c r="KSK5747" s="917"/>
      <c r="KSL5747" s="917"/>
      <c r="KSM5747" s="917"/>
      <c r="KSN5747" s="917"/>
      <c r="KSO5747" s="917"/>
      <c r="KSP5747" s="917"/>
      <c r="KSQ5747" s="917"/>
      <c r="KSR5747" s="917"/>
      <c r="KSS5747" s="917"/>
      <c r="KST5747" s="917"/>
      <c r="KSU5747" s="917"/>
      <c r="KSV5747" s="917"/>
      <c r="KSW5747" s="917"/>
      <c r="KSX5747" s="917"/>
      <c r="KSY5747" s="917"/>
      <c r="KSZ5747" s="917"/>
      <c r="KTA5747" s="917" t="s">
        <v>78</v>
      </c>
      <c r="KTB5747" s="917"/>
      <c r="KTC5747" s="917"/>
      <c r="KTD5747" s="917"/>
      <c r="KTE5747" s="917"/>
      <c r="KTF5747" s="917"/>
      <c r="KTG5747" s="917"/>
      <c r="KTH5747" s="917"/>
      <c r="KTI5747" s="917"/>
      <c r="KTJ5747" s="917"/>
      <c r="KTK5747" s="917"/>
      <c r="KTL5747" s="917"/>
      <c r="KTM5747" s="917"/>
      <c r="KTN5747" s="917"/>
      <c r="KTO5747" s="917"/>
      <c r="KTP5747" s="917"/>
      <c r="KTQ5747" s="917"/>
      <c r="KTR5747" s="917"/>
      <c r="KTS5747" s="917"/>
      <c r="KTT5747" s="917"/>
      <c r="KTU5747" s="917"/>
      <c r="KTV5747" s="917"/>
      <c r="KTW5747" s="917"/>
      <c r="KTX5747" s="917"/>
      <c r="KTY5747" s="917"/>
      <c r="KTZ5747" s="917"/>
      <c r="KUA5747" s="917"/>
      <c r="KUB5747" s="917"/>
      <c r="KUC5747" s="917"/>
      <c r="KUD5747" s="917"/>
      <c r="KUE5747" s="917"/>
      <c r="KUF5747" s="917"/>
      <c r="KUG5747" s="917" t="s">
        <v>78</v>
      </c>
      <c r="KUH5747" s="917"/>
      <c r="KUI5747" s="917"/>
      <c r="KUJ5747" s="917"/>
      <c r="KUK5747" s="917"/>
      <c r="KUL5747" s="917"/>
      <c r="KUM5747" s="917"/>
      <c r="KUN5747" s="917"/>
      <c r="KUO5747" s="917"/>
      <c r="KUP5747" s="917"/>
      <c r="KUQ5747" s="917"/>
      <c r="KUR5747" s="917"/>
      <c r="KUS5747" s="917"/>
      <c r="KUT5747" s="917"/>
      <c r="KUU5747" s="917"/>
      <c r="KUV5747" s="917"/>
      <c r="KUW5747" s="917"/>
      <c r="KUX5747" s="917"/>
      <c r="KUY5747" s="917"/>
      <c r="KUZ5747" s="917"/>
      <c r="KVA5747" s="917"/>
      <c r="KVB5747" s="917"/>
      <c r="KVC5747" s="917"/>
      <c r="KVD5747" s="917"/>
      <c r="KVE5747" s="917"/>
      <c r="KVF5747" s="917"/>
      <c r="KVG5747" s="917"/>
      <c r="KVH5747" s="917"/>
      <c r="KVI5747" s="917"/>
      <c r="KVJ5747" s="917"/>
      <c r="KVK5747" s="917"/>
      <c r="KVL5747" s="917"/>
      <c r="KVM5747" s="917" t="s">
        <v>78</v>
      </c>
      <c r="KVN5747" s="917"/>
      <c r="KVO5747" s="917"/>
      <c r="KVP5747" s="917"/>
      <c r="KVQ5747" s="917"/>
      <c r="KVR5747" s="917"/>
      <c r="KVS5747" s="917"/>
      <c r="KVT5747" s="917"/>
      <c r="KVU5747" s="917"/>
      <c r="KVV5747" s="917"/>
      <c r="KVW5747" s="917"/>
      <c r="KVX5747" s="917"/>
      <c r="KVY5747" s="917"/>
      <c r="KVZ5747" s="917"/>
      <c r="KWA5747" s="917"/>
      <c r="KWB5747" s="917"/>
      <c r="KWC5747" s="917"/>
      <c r="KWD5747" s="917"/>
      <c r="KWE5747" s="917"/>
      <c r="KWF5747" s="917"/>
      <c r="KWG5747" s="917"/>
      <c r="KWH5747" s="917"/>
      <c r="KWI5747" s="917"/>
      <c r="KWJ5747" s="917"/>
      <c r="KWK5747" s="917"/>
      <c r="KWL5747" s="917"/>
      <c r="KWM5747" s="917"/>
      <c r="KWN5747" s="917"/>
      <c r="KWO5747" s="917"/>
      <c r="KWP5747" s="917"/>
      <c r="KWQ5747" s="917"/>
      <c r="KWR5747" s="917"/>
      <c r="KWS5747" s="917" t="s">
        <v>78</v>
      </c>
      <c r="KWT5747" s="917"/>
      <c r="KWU5747" s="917"/>
      <c r="KWV5747" s="917"/>
      <c r="KWW5747" s="917"/>
      <c r="KWX5747" s="917"/>
      <c r="KWY5747" s="917"/>
      <c r="KWZ5747" s="917"/>
      <c r="KXA5747" s="917"/>
      <c r="KXB5747" s="917"/>
      <c r="KXC5747" s="917"/>
      <c r="KXD5747" s="917"/>
      <c r="KXE5747" s="917"/>
      <c r="KXF5747" s="917"/>
      <c r="KXG5747" s="917"/>
      <c r="KXH5747" s="917"/>
      <c r="KXI5747" s="917"/>
      <c r="KXJ5747" s="917"/>
      <c r="KXK5747" s="917"/>
      <c r="KXL5747" s="917"/>
      <c r="KXM5747" s="917"/>
      <c r="KXN5747" s="917"/>
      <c r="KXO5747" s="917"/>
      <c r="KXP5747" s="917"/>
      <c r="KXQ5747" s="917"/>
      <c r="KXR5747" s="917"/>
      <c r="KXS5747" s="917"/>
      <c r="KXT5747" s="917"/>
      <c r="KXU5747" s="917"/>
      <c r="KXV5747" s="917"/>
      <c r="KXW5747" s="917"/>
      <c r="KXX5747" s="917"/>
      <c r="KXY5747" s="917" t="s">
        <v>78</v>
      </c>
      <c r="KXZ5747" s="917"/>
      <c r="KYA5747" s="917"/>
      <c r="KYB5747" s="917"/>
      <c r="KYC5747" s="917"/>
      <c r="KYD5747" s="917"/>
      <c r="KYE5747" s="917"/>
      <c r="KYF5747" s="917"/>
      <c r="KYG5747" s="917"/>
      <c r="KYH5747" s="917"/>
      <c r="KYI5747" s="917"/>
      <c r="KYJ5747" s="917"/>
      <c r="KYK5747" s="917"/>
      <c r="KYL5747" s="917"/>
      <c r="KYM5747" s="917"/>
      <c r="KYN5747" s="917"/>
      <c r="KYO5747" s="917"/>
      <c r="KYP5747" s="917"/>
      <c r="KYQ5747" s="917"/>
      <c r="KYR5747" s="917"/>
      <c r="KYS5747" s="917"/>
      <c r="KYT5747" s="917"/>
      <c r="KYU5747" s="917"/>
      <c r="KYV5747" s="917"/>
      <c r="KYW5747" s="917"/>
      <c r="KYX5747" s="917"/>
      <c r="KYY5747" s="917"/>
      <c r="KYZ5747" s="917"/>
      <c r="KZA5747" s="917"/>
      <c r="KZB5747" s="917"/>
      <c r="KZC5747" s="917"/>
      <c r="KZD5747" s="917"/>
      <c r="KZE5747" s="917" t="s">
        <v>78</v>
      </c>
      <c r="KZF5747" s="917"/>
      <c r="KZG5747" s="917"/>
      <c r="KZH5747" s="917"/>
      <c r="KZI5747" s="917"/>
      <c r="KZJ5747" s="917"/>
      <c r="KZK5747" s="917"/>
      <c r="KZL5747" s="917"/>
      <c r="KZM5747" s="917"/>
      <c r="KZN5747" s="917"/>
      <c r="KZO5747" s="917"/>
      <c r="KZP5747" s="917"/>
      <c r="KZQ5747" s="917"/>
      <c r="KZR5747" s="917"/>
      <c r="KZS5747" s="917"/>
      <c r="KZT5747" s="917"/>
      <c r="KZU5747" s="917"/>
      <c r="KZV5747" s="917"/>
      <c r="KZW5747" s="917"/>
      <c r="KZX5747" s="917"/>
      <c r="KZY5747" s="917"/>
      <c r="KZZ5747" s="917"/>
      <c r="LAA5747" s="917"/>
      <c r="LAB5747" s="917"/>
      <c r="LAC5747" s="917"/>
      <c r="LAD5747" s="917"/>
      <c r="LAE5747" s="917"/>
      <c r="LAF5747" s="917"/>
      <c r="LAG5747" s="917"/>
      <c r="LAH5747" s="917"/>
      <c r="LAI5747" s="917"/>
      <c r="LAJ5747" s="917"/>
      <c r="LAK5747" s="917" t="s">
        <v>78</v>
      </c>
      <c r="LAL5747" s="917"/>
      <c r="LAM5747" s="917"/>
      <c r="LAN5747" s="917"/>
      <c r="LAO5747" s="917"/>
      <c r="LAP5747" s="917"/>
      <c r="LAQ5747" s="917"/>
      <c r="LAR5747" s="917"/>
      <c r="LAS5747" s="917"/>
      <c r="LAT5747" s="917"/>
      <c r="LAU5747" s="917"/>
      <c r="LAV5747" s="917"/>
      <c r="LAW5747" s="917"/>
      <c r="LAX5747" s="917"/>
      <c r="LAY5747" s="917"/>
      <c r="LAZ5747" s="917"/>
      <c r="LBA5747" s="917"/>
      <c r="LBB5747" s="917"/>
      <c r="LBC5747" s="917"/>
      <c r="LBD5747" s="917"/>
      <c r="LBE5747" s="917"/>
      <c r="LBF5747" s="917"/>
      <c r="LBG5747" s="917"/>
      <c r="LBH5747" s="917"/>
      <c r="LBI5747" s="917"/>
      <c r="LBJ5747" s="917"/>
      <c r="LBK5747" s="917"/>
      <c r="LBL5747" s="917"/>
      <c r="LBM5747" s="917"/>
      <c r="LBN5747" s="917"/>
      <c r="LBO5747" s="917"/>
      <c r="LBP5747" s="917"/>
      <c r="LBQ5747" s="917" t="s">
        <v>78</v>
      </c>
      <c r="LBR5747" s="917"/>
      <c r="LBS5747" s="917"/>
      <c r="LBT5747" s="917"/>
      <c r="LBU5747" s="917"/>
      <c r="LBV5747" s="917"/>
      <c r="LBW5747" s="917"/>
      <c r="LBX5747" s="917"/>
      <c r="LBY5747" s="917"/>
      <c r="LBZ5747" s="917"/>
      <c r="LCA5747" s="917"/>
      <c r="LCB5747" s="917"/>
      <c r="LCC5747" s="917"/>
      <c r="LCD5747" s="917"/>
      <c r="LCE5747" s="917"/>
      <c r="LCF5747" s="917"/>
      <c r="LCG5747" s="917"/>
      <c r="LCH5747" s="917"/>
      <c r="LCI5747" s="917"/>
      <c r="LCJ5747" s="917"/>
      <c r="LCK5747" s="917"/>
      <c r="LCL5747" s="917"/>
      <c r="LCM5747" s="917"/>
      <c r="LCN5747" s="917"/>
      <c r="LCO5747" s="917"/>
      <c r="LCP5747" s="917"/>
      <c r="LCQ5747" s="917"/>
      <c r="LCR5747" s="917"/>
      <c r="LCS5747" s="917"/>
      <c r="LCT5747" s="917"/>
      <c r="LCU5747" s="917"/>
      <c r="LCV5747" s="917"/>
      <c r="LCW5747" s="917" t="s">
        <v>78</v>
      </c>
      <c r="LCX5747" s="917"/>
      <c r="LCY5747" s="917"/>
      <c r="LCZ5747" s="917"/>
      <c r="LDA5747" s="917"/>
      <c r="LDB5747" s="917"/>
      <c r="LDC5747" s="917"/>
      <c r="LDD5747" s="917"/>
      <c r="LDE5747" s="917"/>
      <c r="LDF5747" s="917"/>
      <c r="LDG5747" s="917"/>
      <c r="LDH5747" s="917"/>
      <c r="LDI5747" s="917"/>
      <c r="LDJ5747" s="917"/>
      <c r="LDK5747" s="917"/>
      <c r="LDL5747" s="917"/>
      <c r="LDM5747" s="917"/>
      <c r="LDN5747" s="917"/>
      <c r="LDO5747" s="917"/>
      <c r="LDP5747" s="917"/>
      <c r="LDQ5747" s="917"/>
      <c r="LDR5747" s="917"/>
      <c r="LDS5747" s="917"/>
      <c r="LDT5747" s="917"/>
      <c r="LDU5747" s="917"/>
      <c r="LDV5747" s="917"/>
      <c r="LDW5747" s="917"/>
      <c r="LDX5747" s="917"/>
      <c r="LDY5747" s="917"/>
      <c r="LDZ5747" s="917"/>
      <c r="LEA5747" s="917"/>
      <c r="LEB5747" s="917"/>
      <c r="LEC5747" s="917" t="s">
        <v>78</v>
      </c>
      <c r="LED5747" s="917"/>
      <c r="LEE5747" s="917"/>
      <c r="LEF5747" s="917"/>
      <c r="LEG5747" s="917"/>
      <c r="LEH5747" s="917"/>
      <c r="LEI5747" s="917"/>
      <c r="LEJ5747" s="917"/>
      <c r="LEK5747" s="917"/>
      <c r="LEL5747" s="917"/>
      <c r="LEM5747" s="917"/>
      <c r="LEN5747" s="917"/>
      <c r="LEO5747" s="917"/>
      <c r="LEP5747" s="917"/>
      <c r="LEQ5747" s="917"/>
      <c r="LER5747" s="917"/>
      <c r="LES5747" s="917"/>
      <c r="LET5747" s="917"/>
      <c r="LEU5747" s="917"/>
      <c r="LEV5747" s="917"/>
      <c r="LEW5747" s="917"/>
      <c r="LEX5747" s="917"/>
      <c r="LEY5747" s="917"/>
      <c r="LEZ5747" s="917"/>
      <c r="LFA5747" s="917"/>
      <c r="LFB5747" s="917"/>
      <c r="LFC5747" s="917"/>
      <c r="LFD5747" s="917"/>
      <c r="LFE5747" s="917"/>
      <c r="LFF5747" s="917"/>
      <c r="LFG5747" s="917"/>
      <c r="LFH5747" s="917"/>
      <c r="LFI5747" s="917" t="s">
        <v>78</v>
      </c>
      <c r="LFJ5747" s="917"/>
      <c r="LFK5747" s="917"/>
      <c r="LFL5747" s="917"/>
      <c r="LFM5747" s="917"/>
      <c r="LFN5747" s="917"/>
      <c r="LFO5747" s="917"/>
      <c r="LFP5747" s="917"/>
      <c r="LFQ5747" s="917"/>
      <c r="LFR5747" s="917"/>
      <c r="LFS5747" s="917"/>
      <c r="LFT5747" s="917"/>
      <c r="LFU5747" s="917"/>
      <c r="LFV5747" s="917"/>
      <c r="LFW5747" s="917"/>
      <c r="LFX5747" s="917"/>
      <c r="LFY5747" s="917"/>
      <c r="LFZ5747" s="917"/>
      <c r="LGA5747" s="917"/>
      <c r="LGB5747" s="917"/>
      <c r="LGC5747" s="917"/>
      <c r="LGD5747" s="917"/>
      <c r="LGE5747" s="917"/>
      <c r="LGF5747" s="917"/>
      <c r="LGG5747" s="917"/>
      <c r="LGH5747" s="917"/>
      <c r="LGI5747" s="917"/>
      <c r="LGJ5747" s="917"/>
      <c r="LGK5747" s="917"/>
      <c r="LGL5747" s="917"/>
      <c r="LGM5747" s="917"/>
      <c r="LGN5747" s="917"/>
      <c r="LGO5747" s="917" t="s">
        <v>78</v>
      </c>
      <c r="LGP5747" s="917"/>
      <c r="LGQ5747" s="917"/>
      <c r="LGR5747" s="917"/>
      <c r="LGS5747" s="917"/>
      <c r="LGT5747" s="917"/>
      <c r="LGU5747" s="917"/>
      <c r="LGV5747" s="917"/>
      <c r="LGW5747" s="917"/>
      <c r="LGX5747" s="917"/>
      <c r="LGY5747" s="917"/>
      <c r="LGZ5747" s="917"/>
      <c r="LHA5747" s="917"/>
      <c r="LHB5747" s="917"/>
      <c r="LHC5747" s="917"/>
      <c r="LHD5747" s="917"/>
      <c r="LHE5747" s="917"/>
      <c r="LHF5747" s="917"/>
      <c r="LHG5747" s="917"/>
      <c r="LHH5747" s="917"/>
      <c r="LHI5747" s="917"/>
      <c r="LHJ5747" s="917"/>
      <c r="LHK5747" s="917"/>
      <c r="LHL5747" s="917"/>
      <c r="LHM5747" s="917"/>
      <c r="LHN5747" s="917"/>
      <c r="LHO5747" s="917"/>
      <c r="LHP5747" s="917"/>
      <c r="LHQ5747" s="917"/>
      <c r="LHR5747" s="917"/>
      <c r="LHS5747" s="917"/>
      <c r="LHT5747" s="917"/>
      <c r="LHU5747" s="917" t="s">
        <v>78</v>
      </c>
      <c r="LHV5747" s="917"/>
      <c r="LHW5747" s="917"/>
      <c r="LHX5747" s="917"/>
      <c r="LHY5747" s="917"/>
      <c r="LHZ5747" s="917"/>
      <c r="LIA5747" s="917"/>
      <c r="LIB5747" s="917"/>
      <c r="LIC5747" s="917"/>
      <c r="LID5747" s="917"/>
      <c r="LIE5747" s="917"/>
      <c r="LIF5747" s="917"/>
      <c r="LIG5747" s="917"/>
      <c r="LIH5747" s="917"/>
      <c r="LII5747" s="917"/>
      <c r="LIJ5747" s="917"/>
      <c r="LIK5747" s="917"/>
      <c r="LIL5747" s="917"/>
      <c r="LIM5747" s="917"/>
      <c r="LIN5747" s="917"/>
      <c r="LIO5747" s="917"/>
      <c r="LIP5747" s="917"/>
      <c r="LIQ5747" s="917"/>
      <c r="LIR5747" s="917"/>
      <c r="LIS5747" s="917"/>
      <c r="LIT5747" s="917"/>
      <c r="LIU5747" s="917"/>
      <c r="LIV5747" s="917"/>
      <c r="LIW5747" s="917"/>
      <c r="LIX5747" s="917"/>
      <c r="LIY5747" s="917"/>
      <c r="LIZ5747" s="917"/>
      <c r="LJA5747" s="917" t="s">
        <v>78</v>
      </c>
      <c r="LJB5747" s="917"/>
      <c r="LJC5747" s="917"/>
      <c r="LJD5747" s="917"/>
      <c r="LJE5747" s="917"/>
      <c r="LJF5747" s="917"/>
      <c r="LJG5747" s="917"/>
      <c r="LJH5747" s="917"/>
      <c r="LJI5747" s="917"/>
      <c r="LJJ5747" s="917"/>
      <c r="LJK5747" s="917"/>
      <c r="LJL5747" s="917"/>
      <c r="LJM5747" s="917"/>
      <c r="LJN5747" s="917"/>
      <c r="LJO5747" s="917"/>
      <c r="LJP5747" s="917"/>
      <c r="LJQ5747" s="917"/>
      <c r="LJR5747" s="917"/>
      <c r="LJS5747" s="917"/>
      <c r="LJT5747" s="917"/>
      <c r="LJU5747" s="917"/>
      <c r="LJV5747" s="917"/>
      <c r="LJW5747" s="917"/>
      <c r="LJX5747" s="917"/>
      <c r="LJY5747" s="917"/>
      <c r="LJZ5747" s="917"/>
      <c r="LKA5747" s="917"/>
      <c r="LKB5747" s="917"/>
      <c r="LKC5747" s="917"/>
      <c r="LKD5747" s="917"/>
      <c r="LKE5747" s="917"/>
      <c r="LKF5747" s="917"/>
      <c r="LKG5747" s="917" t="s">
        <v>78</v>
      </c>
      <c r="LKH5747" s="917"/>
      <c r="LKI5747" s="917"/>
      <c r="LKJ5747" s="917"/>
      <c r="LKK5747" s="917"/>
      <c r="LKL5747" s="917"/>
      <c r="LKM5747" s="917"/>
      <c r="LKN5747" s="917"/>
      <c r="LKO5747" s="917"/>
      <c r="LKP5747" s="917"/>
      <c r="LKQ5747" s="917"/>
      <c r="LKR5747" s="917"/>
      <c r="LKS5747" s="917"/>
      <c r="LKT5747" s="917"/>
      <c r="LKU5747" s="917"/>
      <c r="LKV5747" s="917"/>
      <c r="LKW5747" s="917"/>
      <c r="LKX5747" s="917"/>
      <c r="LKY5747" s="917"/>
      <c r="LKZ5747" s="917"/>
      <c r="LLA5747" s="917"/>
      <c r="LLB5747" s="917"/>
      <c r="LLC5747" s="917"/>
      <c r="LLD5747" s="917"/>
      <c r="LLE5747" s="917"/>
      <c r="LLF5747" s="917"/>
      <c r="LLG5747" s="917"/>
      <c r="LLH5747" s="917"/>
      <c r="LLI5747" s="917"/>
      <c r="LLJ5747" s="917"/>
      <c r="LLK5747" s="917"/>
      <c r="LLL5747" s="917"/>
      <c r="LLM5747" s="917" t="s">
        <v>78</v>
      </c>
      <c r="LLN5747" s="917"/>
      <c r="LLO5747" s="917"/>
      <c r="LLP5747" s="917"/>
      <c r="LLQ5747" s="917"/>
      <c r="LLR5747" s="917"/>
      <c r="LLS5747" s="917"/>
      <c r="LLT5747" s="917"/>
      <c r="LLU5747" s="917"/>
      <c r="LLV5747" s="917"/>
      <c r="LLW5747" s="917"/>
      <c r="LLX5747" s="917"/>
      <c r="LLY5747" s="917"/>
      <c r="LLZ5747" s="917"/>
      <c r="LMA5747" s="917"/>
      <c r="LMB5747" s="917"/>
      <c r="LMC5747" s="917"/>
      <c r="LMD5747" s="917"/>
      <c r="LME5747" s="917"/>
      <c r="LMF5747" s="917"/>
      <c r="LMG5747" s="917"/>
      <c r="LMH5747" s="917"/>
      <c r="LMI5747" s="917"/>
      <c r="LMJ5747" s="917"/>
      <c r="LMK5747" s="917"/>
      <c r="LML5747" s="917"/>
      <c r="LMM5747" s="917"/>
      <c r="LMN5747" s="917"/>
      <c r="LMO5747" s="917"/>
      <c r="LMP5747" s="917"/>
      <c r="LMQ5747" s="917"/>
      <c r="LMR5747" s="917"/>
      <c r="LMS5747" s="917" t="s">
        <v>78</v>
      </c>
      <c r="LMT5747" s="917"/>
      <c r="LMU5747" s="917"/>
      <c r="LMV5747" s="917"/>
      <c r="LMW5747" s="917"/>
      <c r="LMX5747" s="917"/>
      <c r="LMY5747" s="917"/>
      <c r="LMZ5747" s="917"/>
      <c r="LNA5747" s="917"/>
      <c r="LNB5747" s="917"/>
      <c r="LNC5747" s="917"/>
      <c r="LND5747" s="917"/>
      <c r="LNE5747" s="917"/>
      <c r="LNF5747" s="917"/>
      <c r="LNG5747" s="917"/>
      <c r="LNH5747" s="917"/>
      <c r="LNI5747" s="917"/>
      <c r="LNJ5747" s="917"/>
      <c r="LNK5747" s="917"/>
      <c r="LNL5747" s="917"/>
      <c r="LNM5747" s="917"/>
      <c r="LNN5747" s="917"/>
      <c r="LNO5747" s="917"/>
      <c r="LNP5747" s="917"/>
      <c r="LNQ5747" s="917"/>
      <c r="LNR5747" s="917"/>
      <c r="LNS5747" s="917"/>
      <c r="LNT5747" s="917"/>
      <c r="LNU5747" s="917"/>
      <c r="LNV5747" s="917"/>
      <c r="LNW5747" s="917"/>
      <c r="LNX5747" s="917"/>
      <c r="LNY5747" s="917" t="s">
        <v>78</v>
      </c>
      <c r="LNZ5747" s="917"/>
      <c r="LOA5747" s="917"/>
      <c r="LOB5747" s="917"/>
      <c r="LOC5747" s="917"/>
      <c r="LOD5747" s="917"/>
      <c r="LOE5747" s="917"/>
      <c r="LOF5747" s="917"/>
      <c r="LOG5747" s="917"/>
      <c r="LOH5747" s="917"/>
      <c r="LOI5747" s="917"/>
      <c r="LOJ5747" s="917"/>
      <c r="LOK5747" s="917"/>
      <c r="LOL5747" s="917"/>
      <c r="LOM5747" s="917"/>
      <c r="LON5747" s="917"/>
      <c r="LOO5747" s="917"/>
      <c r="LOP5747" s="917"/>
      <c r="LOQ5747" s="917"/>
      <c r="LOR5747" s="917"/>
      <c r="LOS5747" s="917"/>
      <c r="LOT5747" s="917"/>
      <c r="LOU5747" s="917"/>
      <c r="LOV5747" s="917"/>
      <c r="LOW5747" s="917"/>
      <c r="LOX5747" s="917"/>
      <c r="LOY5747" s="917"/>
      <c r="LOZ5747" s="917"/>
      <c r="LPA5747" s="917"/>
      <c r="LPB5747" s="917"/>
      <c r="LPC5747" s="917"/>
      <c r="LPD5747" s="917"/>
      <c r="LPE5747" s="917" t="s">
        <v>78</v>
      </c>
      <c r="LPF5747" s="917"/>
      <c r="LPG5747" s="917"/>
      <c r="LPH5747" s="917"/>
      <c r="LPI5747" s="917"/>
      <c r="LPJ5747" s="917"/>
      <c r="LPK5747" s="917"/>
      <c r="LPL5747" s="917"/>
      <c r="LPM5747" s="917"/>
      <c r="LPN5747" s="917"/>
      <c r="LPO5747" s="917"/>
      <c r="LPP5747" s="917"/>
      <c r="LPQ5747" s="917"/>
      <c r="LPR5747" s="917"/>
      <c r="LPS5747" s="917"/>
      <c r="LPT5747" s="917"/>
      <c r="LPU5747" s="917"/>
      <c r="LPV5747" s="917"/>
      <c r="LPW5747" s="917"/>
      <c r="LPX5747" s="917"/>
      <c r="LPY5747" s="917"/>
      <c r="LPZ5747" s="917"/>
      <c r="LQA5747" s="917"/>
      <c r="LQB5747" s="917"/>
      <c r="LQC5747" s="917"/>
      <c r="LQD5747" s="917"/>
      <c r="LQE5747" s="917"/>
      <c r="LQF5747" s="917"/>
      <c r="LQG5747" s="917"/>
      <c r="LQH5747" s="917"/>
      <c r="LQI5747" s="917"/>
      <c r="LQJ5747" s="917"/>
      <c r="LQK5747" s="917" t="s">
        <v>78</v>
      </c>
      <c r="LQL5747" s="917"/>
      <c r="LQM5747" s="917"/>
      <c r="LQN5747" s="917"/>
      <c r="LQO5747" s="917"/>
      <c r="LQP5747" s="917"/>
      <c r="LQQ5747" s="917"/>
      <c r="LQR5747" s="917"/>
      <c r="LQS5747" s="917"/>
      <c r="LQT5747" s="917"/>
      <c r="LQU5747" s="917"/>
      <c r="LQV5747" s="917"/>
      <c r="LQW5747" s="917"/>
      <c r="LQX5747" s="917"/>
      <c r="LQY5747" s="917"/>
      <c r="LQZ5747" s="917"/>
      <c r="LRA5747" s="917"/>
      <c r="LRB5747" s="917"/>
      <c r="LRC5747" s="917"/>
      <c r="LRD5747" s="917"/>
      <c r="LRE5747" s="917"/>
      <c r="LRF5747" s="917"/>
      <c r="LRG5747" s="917"/>
      <c r="LRH5747" s="917"/>
      <c r="LRI5747" s="917"/>
      <c r="LRJ5747" s="917"/>
      <c r="LRK5747" s="917"/>
      <c r="LRL5747" s="917"/>
      <c r="LRM5747" s="917"/>
      <c r="LRN5747" s="917"/>
      <c r="LRO5747" s="917"/>
      <c r="LRP5747" s="917"/>
      <c r="LRQ5747" s="917" t="s">
        <v>78</v>
      </c>
      <c r="LRR5747" s="917"/>
      <c r="LRS5747" s="917"/>
      <c r="LRT5747" s="917"/>
      <c r="LRU5747" s="917"/>
      <c r="LRV5747" s="917"/>
      <c r="LRW5747" s="917"/>
      <c r="LRX5747" s="917"/>
      <c r="LRY5747" s="917"/>
      <c r="LRZ5747" s="917"/>
      <c r="LSA5747" s="917"/>
      <c r="LSB5747" s="917"/>
      <c r="LSC5747" s="917"/>
      <c r="LSD5747" s="917"/>
      <c r="LSE5747" s="917"/>
      <c r="LSF5747" s="917"/>
      <c r="LSG5747" s="917"/>
      <c r="LSH5747" s="917"/>
      <c r="LSI5747" s="917"/>
      <c r="LSJ5747" s="917"/>
      <c r="LSK5747" s="917"/>
      <c r="LSL5747" s="917"/>
      <c r="LSM5747" s="917"/>
      <c r="LSN5747" s="917"/>
      <c r="LSO5747" s="917"/>
      <c r="LSP5747" s="917"/>
      <c r="LSQ5747" s="917"/>
      <c r="LSR5747" s="917"/>
      <c r="LSS5747" s="917"/>
      <c r="LST5747" s="917"/>
      <c r="LSU5747" s="917"/>
      <c r="LSV5747" s="917"/>
      <c r="LSW5747" s="917" t="s">
        <v>78</v>
      </c>
      <c r="LSX5747" s="917"/>
      <c r="LSY5747" s="917"/>
      <c r="LSZ5747" s="917"/>
      <c r="LTA5747" s="917"/>
      <c r="LTB5747" s="917"/>
      <c r="LTC5747" s="917"/>
      <c r="LTD5747" s="917"/>
      <c r="LTE5747" s="917"/>
      <c r="LTF5747" s="917"/>
      <c r="LTG5747" s="917"/>
      <c r="LTH5747" s="917"/>
      <c r="LTI5747" s="917"/>
      <c r="LTJ5747" s="917"/>
      <c r="LTK5747" s="917"/>
      <c r="LTL5747" s="917"/>
      <c r="LTM5747" s="917"/>
      <c r="LTN5747" s="917"/>
      <c r="LTO5747" s="917"/>
      <c r="LTP5747" s="917"/>
      <c r="LTQ5747" s="917"/>
      <c r="LTR5747" s="917"/>
      <c r="LTS5747" s="917"/>
      <c r="LTT5747" s="917"/>
      <c r="LTU5747" s="917"/>
      <c r="LTV5747" s="917"/>
      <c r="LTW5747" s="917"/>
      <c r="LTX5747" s="917"/>
      <c r="LTY5747" s="917"/>
      <c r="LTZ5747" s="917"/>
      <c r="LUA5747" s="917"/>
      <c r="LUB5747" s="917"/>
      <c r="LUC5747" s="917" t="s">
        <v>78</v>
      </c>
      <c r="LUD5747" s="917"/>
      <c r="LUE5747" s="917"/>
      <c r="LUF5747" s="917"/>
      <c r="LUG5747" s="917"/>
      <c r="LUH5747" s="917"/>
      <c r="LUI5747" s="917"/>
      <c r="LUJ5747" s="917"/>
      <c r="LUK5747" s="917"/>
      <c r="LUL5747" s="917"/>
      <c r="LUM5747" s="917"/>
      <c r="LUN5747" s="917"/>
      <c r="LUO5747" s="917"/>
      <c r="LUP5747" s="917"/>
      <c r="LUQ5747" s="917"/>
      <c r="LUR5747" s="917"/>
      <c r="LUS5747" s="917"/>
      <c r="LUT5747" s="917"/>
      <c r="LUU5747" s="917"/>
      <c r="LUV5747" s="917"/>
      <c r="LUW5747" s="917"/>
      <c r="LUX5747" s="917"/>
      <c r="LUY5747" s="917"/>
      <c r="LUZ5747" s="917"/>
      <c r="LVA5747" s="917"/>
      <c r="LVB5747" s="917"/>
      <c r="LVC5747" s="917"/>
      <c r="LVD5747" s="917"/>
      <c r="LVE5747" s="917"/>
      <c r="LVF5747" s="917"/>
      <c r="LVG5747" s="917"/>
      <c r="LVH5747" s="917"/>
      <c r="LVI5747" s="917" t="s">
        <v>78</v>
      </c>
      <c r="LVJ5747" s="917"/>
      <c r="LVK5747" s="917"/>
      <c r="LVL5747" s="917"/>
      <c r="LVM5747" s="917"/>
      <c r="LVN5747" s="917"/>
      <c r="LVO5747" s="917"/>
      <c r="LVP5747" s="917"/>
      <c r="LVQ5747" s="917"/>
      <c r="LVR5747" s="917"/>
      <c r="LVS5747" s="917"/>
      <c r="LVT5747" s="917"/>
      <c r="LVU5747" s="917"/>
      <c r="LVV5747" s="917"/>
      <c r="LVW5747" s="917"/>
      <c r="LVX5747" s="917"/>
      <c r="LVY5747" s="917"/>
      <c r="LVZ5747" s="917"/>
      <c r="LWA5747" s="917"/>
      <c r="LWB5747" s="917"/>
      <c r="LWC5747" s="917"/>
      <c r="LWD5747" s="917"/>
      <c r="LWE5747" s="917"/>
      <c r="LWF5747" s="917"/>
      <c r="LWG5747" s="917"/>
      <c r="LWH5747" s="917"/>
      <c r="LWI5747" s="917"/>
      <c r="LWJ5747" s="917"/>
      <c r="LWK5747" s="917"/>
      <c r="LWL5747" s="917"/>
      <c r="LWM5747" s="917"/>
      <c r="LWN5747" s="917"/>
      <c r="LWO5747" s="917" t="s">
        <v>78</v>
      </c>
      <c r="LWP5747" s="917"/>
      <c r="LWQ5747" s="917"/>
      <c r="LWR5747" s="917"/>
      <c r="LWS5747" s="917"/>
      <c r="LWT5747" s="917"/>
      <c r="LWU5747" s="917"/>
      <c r="LWV5747" s="917"/>
      <c r="LWW5747" s="917"/>
      <c r="LWX5747" s="917"/>
      <c r="LWY5747" s="917"/>
      <c r="LWZ5747" s="917"/>
      <c r="LXA5747" s="917"/>
      <c r="LXB5747" s="917"/>
      <c r="LXC5747" s="917"/>
      <c r="LXD5747" s="917"/>
      <c r="LXE5747" s="917"/>
      <c r="LXF5747" s="917"/>
      <c r="LXG5747" s="917"/>
      <c r="LXH5747" s="917"/>
      <c r="LXI5747" s="917"/>
      <c r="LXJ5747" s="917"/>
      <c r="LXK5747" s="917"/>
      <c r="LXL5747" s="917"/>
      <c r="LXM5747" s="917"/>
      <c r="LXN5747" s="917"/>
      <c r="LXO5747" s="917"/>
      <c r="LXP5747" s="917"/>
      <c r="LXQ5747" s="917"/>
      <c r="LXR5747" s="917"/>
      <c r="LXS5747" s="917"/>
      <c r="LXT5747" s="917"/>
      <c r="LXU5747" s="917" t="s">
        <v>78</v>
      </c>
      <c r="LXV5747" s="917"/>
      <c r="LXW5747" s="917"/>
      <c r="LXX5747" s="917"/>
      <c r="LXY5747" s="917"/>
      <c r="LXZ5747" s="917"/>
      <c r="LYA5747" s="917"/>
      <c r="LYB5747" s="917"/>
      <c r="LYC5747" s="917"/>
      <c r="LYD5747" s="917"/>
      <c r="LYE5747" s="917"/>
      <c r="LYF5747" s="917"/>
      <c r="LYG5747" s="917"/>
      <c r="LYH5747" s="917"/>
      <c r="LYI5747" s="917"/>
      <c r="LYJ5747" s="917"/>
      <c r="LYK5747" s="917"/>
      <c r="LYL5747" s="917"/>
      <c r="LYM5747" s="917"/>
      <c r="LYN5747" s="917"/>
      <c r="LYO5747" s="917"/>
      <c r="LYP5747" s="917"/>
      <c r="LYQ5747" s="917"/>
      <c r="LYR5747" s="917"/>
      <c r="LYS5747" s="917"/>
      <c r="LYT5747" s="917"/>
      <c r="LYU5747" s="917"/>
      <c r="LYV5747" s="917"/>
      <c r="LYW5747" s="917"/>
      <c r="LYX5747" s="917"/>
      <c r="LYY5747" s="917"/>
      <c r="LYZ5747" s="917"/>
      <c r="LZA5747" s="917" t="s">
        <v>78</v>
      </c>
      <c r="LZB5747" s="917"/>
      <c r="LZC5747" s="917"/>
      <c r="LZD5747" s="917"/>
      <c r="LZE5747" s="917"/>
      <c r="LZF5747" s="917"/>
      <c r="LZG5747" s="917"/>
      <c r="LZH5747" s="917"/>
      <c r="LZI5747" s="917"/>
      <c r="LZJ5747" s="917"/>
      <c r="LZK5747" s="917"/>
      <c r="LZL5747" s="917"/>
      <c r="LZM5747" s="917"/>
      <c r="LZN5747" s="917"/>
      <c r="LZO5747" s="917"/>
      <c r="LZP5747" s="917"/>
      <c r="LZQ5747" s="917"/>
      <c r="LZR5747" s="917"/>
      <c r="LZS5747" s="917"/>
      <c r="LZT5747" s="917"/>
      <c r="LZU5747" s="917"/>
      <c r="LZV5747" s="917"/>
      <c r="LZW5747" s="917"/>
      <c r="LZX5747" s="917"/>
      <c r="LZY5747" s="917"/>
      <c r="LZZ5747" s="917"/>
      <c r="MAA5747" s="917"/>
      <c r="MAB5747" s="917"/>
      <c r="MAC5747" s="917"/>
      <c r="MAD5747" s="917"/>
      <c r="MAE5747" s="917"/>
      <c r="MAF5747" s="917"/>
      <c r="MAG5747" s="917" t="s">
        <v>78</v>
      </c>
      <c r="MAH5747" s="917"/>
      <c r="MAI5747" s="917"/>
      <c r="MAJ5747" s="917"/>
      <c r="MAK5747" s="917"/>
      <c r="MAL5747" s="917"/>
      <c r="MAM5747" s="917"/>
      <c r="MAN5747" s="917"/>
      <c r="MAO5747" s="917"/>
      <c r="MAP5747" s="917"/>
      <c r="MAQ5747" s="917"/>
      <c r="MAR5747" s="917"/>
      <c r="MAS5747" s="917"/>
      <c r="MAT5747" s="917"/>
      <c r="MAU5747" s="917"/>
      <c r="MAV5747" s="917"/>
      <c r="MAW5747" s="917"/>
      <c r="MAX5747" s="917"/>
      <c r="MAY5747" s="917"/>
      <c r="MAZ5747" s="917"/>
      <c r="MBA5747" s="917"/>
      <c r="MBB5747" s="917"/>
      <c r="MBC5747" s="917"/>
      <c r="MBD5747" s="917"/>
      <c r="MBE5747" s="917"/>
      <c r="MBF5747" s="917"/>
      <c r="MBG5747" s="917"/>
      <c r="MBH5747" s="917"/>
      <c r="MBI5747" s="917"/>
      <c r="MBJ5747" s="917"/>
      <c r="MBK5747" s="917"/>
      <c r="MBL5747" s="917"/>
      <c r="MBM5747" s="917" t="s">
        <v>78</v>
      </c>
      <c r="MBN5747" s="917"/>
      <c r="MBO5747" s="917"/>
      <c r="MBP5747" s="917"/>
      <c r="MBQ5747" s="917"/>
      <c r="MBR5747" s="917"/>
      <c r="MBS5747" s="917"/>
      <c r="MBT5747" s="917"/>
      <c r="MBU5747" s="917"/>
      <c r="MBV5747" s="917"/>
      <c r="MBW5747" s="917"/>
      <c r="MBX5747" s="917"/>
      <c r="MBY5747" s="917"/>
      <c r="MBZ5747" s="917"/>
      <c r="MCA5747" s="917"/>
      <c r="MCB5747" s="917"/>
      <c r="MCC5747" s="917"/>
      <c r="MCD5747" s="917"/>
      <c r="MCE5747" s="917"/>
      <c r="MCF5747" s="917"/>
      <c r="MCG5747" s="917"/>
      <c r="MCH5747" s="917"/>
      <c r="MCI5747" s="917"/>
      <c r="MCJ5747" s="917"/>
      <c r="MCK5747" s="917"/>
      <c r="MCL5747" s="917"/>
      <c r="MCM5747" s="917"/>
      <c r="MCN5747" s="917"/>
      <c r="MCO5747" s="917"/>
      <c r="MCP5747" s="917"/>
      <c r="MCQ5747" s="917"/>
      <c r="MCR5747" s="917"/>
      <c r="MCS5747" s="917" t="s">
        <v>78</v>
      </c>
      <c r="MCT5747" s="917"/>
      <c r="MCU5747" s="917"/>
      <c r="MCV5747" s="917"/>
      <c r="MCW5747" s="917"/>
      <c r="MCX5747" s="917"/>
      <c r="MCY5747" s="917"/>
      <c r="MCZ5747" s="917"/>
      <c r="MDA5747" s="917"/>
      <c r="MDB5747" s="917"/>
      <c r="MDC5747" s="917"/>
      <c r="MDD5747" s="917"/>
      <c r="MDE5747" s="917"/>
      <c r="MDF5747" s="917"/>
      <c r="MDG5747" s="917"/>
      <c r="MDH5747" s="917"/>
      <c r="MDI5747" s="917"/>
      <c r="MDJ5747" s="917"/>
      <c r="MDK5747" s="917"/>
      <c r="MDL5747" s="917"/>
      <c r="MDM5747" s="917"/>
      <c r="MDN5747" s="917"/>
      <c r="MDO5747" s="917"/>
      <c r="MDP5747" s="917"/>
      <c r="MDQ5747" s="917"/>
      <c r="MDR5747" s="917"/>
      <c r="MDS5747" s="917"/>
      <c r="MDT5747" s="917"/>
      <c r="MDU5747" s="917"/>
      <c r="MDV5747" s="917"/>
      <c r="MDW5747" s="917"/>
      <c r="MDX5747" s="917"/>
      <c r="MDY5747" s="917" t="s">
        <v>78</v>
      </c>
      <c r="MDZ5747" s="917"/>
      <c r="MEA5747" s="917"/>
      <c r="MEB5747" s="917"/>
      <c r="MEC5747" s="917"/>
      <c r="MED5747" s="917"/>
      <c r="MEE5747" s="917"/>
      <c r="MEF5747" s="917"/>
      <c r="MEG5747" s="917"/>
      <c r="MEH5747" s="917"/>
      <c r="MEI5747" s="917"/>
      <c r="MEJ5747" s="917"/>
      <c r="MEK5747" s="917"/>
      <c r="MEL5747" s="917"/>
      <c r="MEM5747" s="917"/>
      <c r="MEN5747" s="917"/>
      <c r="MEO5747" s="917"/>
      <c r="MEP5747" s="917"/>
      <c r="MEQ5747" s="917"/>
      <c r="MER5747" s="917"/>
      <c r="MES5747" s="917"/>
      <c r="MET5747" s="917"/>
      <c r="MEU5747" s="917"/>
      <c r="MEV5747" s="917"/>
      <c r="MEW5747" s="917"/>
      <c r="MEX5747" s="917"/>
      <c r="MEY5747" s="917"/>
      <c r="MEZ5747" s="917"/>
      <c r="MFA5747" s="917"/>
      <c r="MFB5747" s="917"/>
      <c r="MFC5747" s="917"/>
      <c r="MFD5747" s="917"/>
      <c r="MFE5747" s="917" t="s">
        <v>78</v>
      </c>
      <c r="MFF5747" s="917"/>
      <c r="MFG5747" s="917"/>
      <c r="MFH5747" s="917"/>
      <c r="MFI5747" s="917"/>
      <c r="MFJ5747" s="917"/>
      <c r="MFK5747" s="917"/>
      <c r="MFL5747" s="917"/>
      <c r="MFM5747" s="917"/>
      <c r="MFN5747" s="917"/>
      <c r="MFO5747" s="917"/>
      <c r="MFP5747" s="917"/>
      <c r="MFQ5747" s="917"/>
      <c r="MFR5747" s="917"/>
      <c r="MFS5747" s="917"/>
      <c r="MFT5747" s="917"/>
      <c r="MFU5747" s="917"/>
      <c r="MFV5747" s="917"/>
      <c r="MFW5747" s="917"/>
      <c r="MFX5747" s="917"/>
      <c r="MFY5747" s="917"/>
      <c r="MFZ5747" s="917"/>
      <c r="MGA5747" s="917"/>
      <c r="MGB5747" s="917"/>
      <c r="MGC5747" s="917"/>
      <c r="MGD5747" s="917"/>
      <c r="MGE5747" s="917"/>
      <c r="MGF5747" s="917"/>
      <c r="MGG5747" s="917"/>
      <c r="MGH5747" s="917"/>
      <c r="MGI5747" s="917"/>
      <c r="MGJ5747" s="917"/>
      <c r="MGK5747" s="917" t="s">
        <v>78</v>
      </c>
      <c r="MGL5747" s="917"/>
      <c r="MGM5747" s="917"/>
      <c r="MGN5747" s="917"/>
      <c r="MGO5747" s="917"/>
      <c r="MGP5747" s="917"/>
      <c r="MGQ5747" s="917"/>
      <c r="MGR5747" s="917"/>
      <c r="MGS5747" s="917"/>
      <c r="MGT5747" s="917"/>
      <c r="MGU5747" s="917"/>
      <c r="MGV5747" s="917"/>
      <c r="MGW5747" s="917"/>
      <c r="MGX5747" s="917"/>
      <c r="MGY5747" s="917"/>
      <c r="MGZ5747" s="917"/>
      <c r="MHA5747" s="917"/>
      <c r="MHB5747" s="917"/>
      <c r="MHC5747" s="917"/>
      <c r="MHD5747" s="917"/>
      <c r="MHE5747" s="917"/>
      <c r="MHF5747" s="917"/>
      <c r="MHG5747" s="917"/>
      <c r="MHH5747" s="917"/>
      <c r="MHI5747" s="917"/>
      <c r="MHJ5747" s="917"/>
      <c r="MHK5747" s="917"/>
      <c r="MHL5747" s="917"/>
      <c r="MHM5747" s="917"/>
      <c r="MHN5747" s="917"/>
      <c r="MHO5747" s="917"/>
      <c r="MHP5747" s="917"/>
      <c r="MHQ5747" s="917" t="s">
        <v>78</v>
      </c>
      <c r="MHR5747" s="917"/>
      <c r="MHS5747" s="917"/>
      <c r="MHT5747" s="917"/>
      <c r="MHU5747" s="917"/>
      <c r="MHV5747" s="917"/>
      <c r="MHW5747" s="917"/>
      <c r="MHX5747" s="917"/>
      <c r="MHY5747" s="917"/>
      <c r="MHZ5747" s="917"/>
      <c r="MIA5747" s="917"/>
      <c r="MIB5747" s="917"/>
      <c r="MIC5747" s="917"/>
      <c r="MID5747" s="917"/>
      <c r="MIE5747" s="917"/>
      <c r="MIF5747" s="917"/>
      <c r="MIG5747" s="917"/>
      <c r="MIH5747" s="917"/>
      <c r="MII5747" s="917"/>
      <c r="MIJ5747" s="917"/>
      <c r="MIK5747" s="917"/>
      <c r="MIL5747" s="917"/>
      <c r="MIM5747" s="917"/>
      <c r="MIN5747" s="917"/>
      <c r="MIO5747" s="917"/>
      <c r="MIP5747" s="917"/>
      <c r="MIQ5747" s="917"/>
      <c r="MIR5747" s="917"/>
      <c r="MIS5747" s="917"/>
      <c r="MIT5747" s="917"/>
      <c r="MIU5747" s="917"/>
      <c r="MIV5747" s="917"/>
      <c r="MIW5747" s="917" t="s">
        <v>78</v>
      </c>
      <c r="MIX5747" s="917"/>
      <c r="MIY5747" s="917"/>
      <c r="MIZ5747" s="917"/>
      <c r="MJA5747" s="917"/>
      <c r="MJB5747" s="917"/>
      <c r="MJC5747" s="917"/>
      <c r="MJD5747" s="917"/>
      <c r="MJE5747" s="917"/>
      <c r="MJF5747" s="917"/>
      <c r="MJG5747" s="917"/>
      <c r="MJH5747" s="917"/>
      <c r="MJI5747" s="917"/>
      <c r="MJJ5747" s="917"/>
      <c r="MJK5747" s="917"/>
      <c r="MJL5747" s="917"/>
      <c r="MJM5747" s="917"/>
      <c r="MJN5747" s="917"/>
      <c r="MJO5747" s="917"/>
      <c r="MJP5747" s="917"/>
      <c r="MJQ5747" s="917"/>
      <c r="MJR5747" s="917"/>
      <c r="MJS5747" s="917"/>
      <c r="MJT5747" s="917"/>
      <c r="MJU5747" s="917"/>
      <c r="MJV5747" s="917"/>
      <c r="MJW5747" s="917"/>
      <c r="MJX5747" s="917"/>
      <c r="MJY5747" s="917"/>
      <c r="MJZ5747" s="917"/>
      <c r="MKA5747" s="917"/>
      <c r="MKB5747" s="917"/>
      <c r="MKC5747" s="917" t="s">
        <v>78</v>
      </c>
      <c r="MKD5747" s="917"/>
      <c r="MKE5747" s="917"/>
      <c r="MKF5747" s="917"/>
      <c r="MKG5747" s="917"/>
      <c r="MKH5747" s="917"/>
      <c r="MKI5747" s="917"/>
      <c r="MKJ5747" s="917"/>
      <c r="MKK5747" s="917"/>
      <c r="MKL5747" s="917"/>
      <c r="MKM5747" s="917"/>
      <c r="MKN5747" s="917"/>
      <c r="MKO5747" s="917"/>
      <c r="MKP5747" s="917"/>
      <c r="MKQ5747" s="917"/>
      <c r="MKR5747" s="917"/>
      <c r="MKS5747" s="917"/>
      <c r="MKT5747" s="917"/>
      <c r="MKU5747" s="917"/>
      <c r="MKV5747" s="917"/>
      <c r="MKW5747" s="917"/>
      <c r="MKX5747" s="917"/>
      <c r="MKY5747" s="917"/>
      <c r="MKZ5747" s="917"/>
      <c r="MLA5747" s="917"/>
      <c r="MLB5747" s="917"/>
      <c r="MLC5747" s="917"/>
      <c r="MLD5747" s="917"/>
      <c r="MLE5747" s="917"/>
      <c r="MLF5747" s="917"/>
      <c r="MLG5747" s="917"/>
      <c r="MLH5747" s="917"/>
      <c r="MLI5747" s="917" t="s">
        <v>78</v>
      </c>
      <c r="MLJ5747" s="917"/>
      <c r="MLK5747" s="917"/>
      <c r="MLL5747" s="917"/>
      <c r="MLM5747" s="917"/>
      <c r="MLN5747" s="917"/>
      <c r="MLO5747" s="917"/>
      <c r="MLP5747" s="917"/>
      <c r="MLQ5747" s="917"/>
      <c r="MLR5747" s="917"/>
      <c r="MLS5747" s="917"/>
      <c r="MLT5747" s="917"/>
      <c r="MLU5747" s="917"/>
      <c r="MLV5747" s="917"/>
      <c r="MLW5747" s="917"/>
      <c r="MLX5747" s="917"/>
      <c r="MLY5747" s="917"/>
      <c r="MLZ5747" s="917"/>
      <c r="MMA5747" s="917"/>
      <c r="MMB5747" s="917"/>
      <c r="MMC5747" s="917"/>
      <c r="MMD5747" s="917"/>
      <c r="MME5747" s="917"/>
      <c r="MMF5747" s="917"/>
      <c r="MMG5747" s="917"/>
      <c r="MMH5747" s="917"/>
      <c r="MMI5747" s="917"/>
      <c r="MMJ5747" s="917"/>
      <c r="MMK5747" s="917"/>
      <c r="MML5747" s="917"/>
      <c r="MMM5747" s="917"/>
      <c r="MMN5747" s="917"/>
      <c r="MMO5747" s="917" t="s">
        <v>78</v>
      </c>
      <c r="MMP5747" s="917"/>
      <c r="MMQ5747" s="917"/>
      <c r="MMR5747" s="917"/>
      <c r="MMS5747" s="917"/>
      <c r="MMT5747" s="917"/>
      <c r="MMU5747" s="917"/>
      <c r="MMV5747" s="917"/>
      <c r="MMW5747" s="917"/>
      <c r="MMX5747" s="917"/>
      <c r="MMY5747" s="917"/>
      <c r="MMZ5747" s="917"/>
      <c r="MNA5747" s="917"/>
      <c r="MNB5747" s="917"/>
      <c r="MNC5747" s="917"/>
      <c r="MND5747" s="917"/>
      <c r="MNE5747" s="917"/>
      <c r="MNF5747" s="917"/>
      <c r="MNG5747" s="917"/>
      <c r="MNH5747" s="917"/>
      <c r="MNI5747" s="917"/>
      <c r="MNJ5747" s="917"/>
      <c r="MNK5747" s="917"/>
      <c r="MNL5747" s="917"/>
      <c r="MNM5747" s="917"/>
      <c r="MNN5747" s="917"/>
      <c r="MNO5747" s="917"/>
      <c r="MNP5747" s="917"/>
      <c r="MNQ5747" s="917"/>
      <c r="MNR5747" s="917"/>
      <c r="MNS5747" s="917"/>
      <c r="MNT5747" s="917"/>
      <c r="MNU5747" s="917" t="s">
        <v>78</v>
      </c>
      <c r="MNV5747" s="917"/>
      <c r="MNW5747" s="917"/>
      <c r="MNX5747" s="917"/>
      <c r="MNY5747" s="917"/>
      <c r="MNZ5747" s="917"/>
      <c r="MOA5747" s="917"/>
      <c r="MOB5747" s="917"/>
      <c r="MOC5747" s="917"/>
      <c r="MOD5747" s="917"/>
      <c r="MOE5747" s="917"/>
      <c r="MOF5747" s="917"/>
      <c r="MOG5747" s="917"/>
      <c r="MOH5747" s="917"/>
      <c r="MOI5747" s="917"/>
      <c r="MOJ5747" s="917"/>
      <c r="MOK5747" s="917"/>
      <c r="MOL5747" s="917"/>
      <c r="MOM5747" s="917"/>
      <c r="MON5747" s="917"/>
      <c r="MOO5747" s="917"/>
      <c r="MOP5747" s="917"/>
      <c r="MOQ5747" s="917"/>
      <c r="MOR5747" s="917"/>
      <c r="MOS5747" s="917"/>
      <c r="MOT5747" s="917"/>
      <c r="MOU5747" s="917"/>
      <c r="MOV5747" s="917"/>
      <c r="MOW5747" s="917"/>
      <c r="MOX5747" s="917"/>
      <c r="MOY5747" s="917"/>
      <c r="MOZ5747" s="917"/>
      <c r="MPA5747" s="917" t="s">
        <v>78</v>
      </c>
      <c r="MPB5747" s="917"/>
      <c r="MPC5747" s="917"/>
      <c r="MPD5747" s="917"/>
      <c r="MPE5747" s="917"/>
      <c r="MPF5747" s="917"/>
      <c r="MPG5747" s="917"/>
      <c r="MPH5747" s="917"/>
      <c r="MPI5747" s="917"/>
      <c r="MPJ5747" s="917"/>
      <c r="MPK5747" s="917"/>
      <c r="MPL5747" s="917"/>
      <c r="MPM5747" s="917"/>
      <c r="MPN5747" s="917"/>
      <c r="MPO5747" s="917"/>
      <c r="MPP5747" s="917"/>
      <c r="MPQ5747" s="917"/>
      <c r="MPR5747" s="917"/>
      <c r="MPS5747" s="917"/>
      <c r="MPT5747" s="917"/>
      <c r="MPU5747" s="917"/>
      <c r="MPV5747" s="917"/>
      <c r="MPW5747" s="917"/>
      <c r="MPX5747" s="917"/>
      <c r="MPY5747" s="917"/>
      <c r="MPZ5747" s="917"/>
      <c r="MQA5747" s="917"/>
      <c r="MQB5747" s="917"/>
      <c r="MQC5747" s="917"/>
      <c r="MQD5747" s="917"/>
      <c r="MQE5747" s="917"/>
      <c r="MQF5747" s="917"/>
      <c r="MQG5747" s="917" t="s">
        <v>78</v>
      </c>
      <c r="MQH5747" s="917"/>
      <c r="MQI5747" s="917"/>
      <c r="MQJ5747" s="917"/>
      <c r="MQK5747" s="917"/>
      <c r="MQL5747" s="917"/>
      <c r="MQM5747" s="917"/>
      <c r="MQN5747" s="917"/>
      <c r="MQO5747" s="917"/>
      <c r="MQP5747" s="917"/>
      <c r="MQQ5747" s="917"/>
      <c r="MQR5747" s="917"/>
      <c r="MQS5747" s="917"/>
      <c r="MQT5747" s="917"/>
      <c r="MQU5747" s="917"/>
      <c r="MQV5747" s="917"/>
      <c r="MQW5747" s="917"/>
      <c r="MQX5747" s="917"/>
      <c r="MQY5747" s="917"/>
      <c r="MQZ5747" s="917"/>
      <c r="MRA5747" s="917"/>
      <c r="MRB5747" s="917"/>
      <c r="MRC5747" s="917"/>
      <c r="MRD5747" s="917"/>
      <c r="MRE5747" s="917"/>
      <c r="MRF5747" s="917"/>
      <c r="MRG5747" s="917"/>
      <c r="MRH5747" s="917"/>
      <c r="MRI5747" s="917"/>
      <c r="MRJ5747" s="917"/>
      <c r="MRK5747" s="917"/>
      <c r="MRL5747" s="917"/>
      <c r="MRM5747" s="917" t="s">
        <v>78</v>
      </c>
      <c r="MRN5747" s="917"/>
      <c r="MRO5747" s="917"/>
      <c r="MRP5747" s="917"/>
      <c r="MRQ5747" s="917"/>
      <c r="MRR5747" s="917"/>
      <c r="MRS5747" s="917"/>
      <c r="MRT5747" s="917"/>
      <c r="MRU5747" s="917"/>
      <c r="MRV5747" s="917"/>
      <c r="MRW5747" s="917"/>
      <c r="MRX5747" s="917"/>
      <c r="MRY5747" s="917"/>
      <c r="MRZ5747" s="917"/>
      <c r="MSA5747" s="917"/>
      <c r="MSB5747" s="917"/>
      <c r="MSC5747" s="917"/>
      <c r="MSD5747" s="917"/>
      <c r="MSE5747" s="917"/>
      <c r="MSF5747" s="917"/>
      <c r="MSG5747" s="917"/>
      <c r="MSH5747" s="917"/>
      <c r="MSI5747" s="917"/>
      <c r="MSJ5747" s="917"/>
      <c r="MSK5747" s="917"/>
      <c r="MSL5747" s="917"/>
      <c r="MSM5747" s="917"/>
      <c r="MSN5747" s="917"/>
      <c r="MSO5747" s="917"/>
      <c r="MSP5747" s="917"/>
      <c r="MSQ5747" s="917"/>
      <c r="MSR5747" s="917"/>
      <c r="MSS5747" s="917" t="s">
        <v>78</v>
      </c>
      <c r="MST5747" s="917"/>
      <c r="MSU5747" s="917"/>
      <c r="MSV5747" s="917"/>
      <c r="MSW5747" s="917"/>
      <c r="MSX5747" s="917"/>
      <c r="MSY5747" s="917"/>
      <c r="MSZ5747" s="917"/>
      <c r="MTA5747" s="917"/>
      <c r="MTB5747" s="917"/>
      <c r="MTC5747" s="917"/>
      <c r="MTD5747" s="917"/>
      <c r="MTE5747" s="917"/>
      <c r="MTF5747" s="917"/>
      <c r="MTG5747" s="917"/>
      <c r="MTH5747" s="917"/>
      <c r="MTI5747" s="917"/>
      <c r="MTJ5747" s="917"/>
      <c r="MTK5747" s="917"/>
      <c r="MTL5747" s="917"/>
      <c r="MTM5747" s="917"/>
      <c r="MTN5747" s="917"/>
      <c r="MTO5747" s="917"/>
      <c r="MTP5747" s="917"/>
      <c r="MTQ5747" s="917"/>
      <c r="MTR5747" s="917"/>
      <c r="MTS5747" s="917"/>
      <c r="MTT5747" s="917"/>
      <c r="MTU5747" s="917"/>
      <c r="MTV5747" s="917"/>
      <c r="MTW5747" s="917"/>
      <c r="MTX5747" s="917"/>
      <c r="MTY5747" s="917" t="s">
        <v>78</v>
      </c>
      <c r="MTZ5747" s="917"/>
      <c r="MUA5747" s="917"/>
      <c r="MUB5747" s="917"/>
      <c r="MUC5747" s="917"/>
      <c r="MUD5747" s="917"/>
      <c r="MUE5747" s="917"/>
      <c r="MUF5747" s="917"/>
      <c r="MUG5747" s="917"/>
      <c r="MUH5747" s="917"/>
      <c r="MUI5747" s="917"/>
      <c r="MUJ5747" s="917"/>
      <c r="MUK5747" s="917"/>
      <c r="MUL5747" s="917"/>
      <c r="MUM5747" s="917"/>
      <c r="MUN5747" s="917"/>
      <c r="MUO5747" s="917"/>
      <c r="MUP5747" s="917"/>
      <c r="MUQ5747" s="917"/>
      <c r="MUR5747" s="917"/>
      <c r="MUS5747" s="917"/>
      <c r="MUT5747" s="917"/>
      <c r="MUU5747" s="917"/>
      <c r="MUV5747" s="917"/>
      <c r="MUW5747" s="917"/>
      <c r="MUX5747" s="917"/>
      <c r="MUY5747" s="917"/>
      <c r="MUZ5747" s="917"/>
      <c r="MVA5747" s="917"/>
      <c r="MVB5747" s="917"/>
      <c r="MVC5747" s="917"/>
      <c r="MVD5747" s="917"/>
      <c r="MVE5747" s="917" t="s">
        <v>78</v>
      </c>
      <c r="MVF5747" s="917"/>
      <c r="MVG5747" s="917"/>
      <c r="MVH5747" s="917"/>
      <c r="MVI5747" s="917"/>
      <c r="MVJ5747" s="917"/>
      <c r="MVK5747" s="917"/>
      <c r="MVL5747" s="917"/>
      <c r="MVM5747" s="917"/>
      <c r="MVN5747" s="917"/>
      <c r="MVO5747" s="917"/>
      <c r="MVP5747" s="917"/>
      <c r="MVQ5747" s="917"/>
      <c r="MVR5747" s="917"/>
      <c r="MVS5747" s="917"/>
      <c r="MVT5747" s="917"/>
      <c r="MVU5747" s="917"/>
      <c r="MVV5747" s="917"/>
      <c r="MVW5747" s="917"/>
      <c r="MVX5747" s="917"/>
      <c r="MVY5747" s="917"/>
      <c r="MVZ5747" s="917"/>
      <c r="MWA5747" s="917"/>
      <c r="MWB5747" s="917"/>
      <c r="MWC5747" s="917"/>
      <c r="MWD5747" s="917"/>
      <c r="MWE5747" s="917"/>
      <c r="MWF5747" s="917"/>
      <c r="MWG5747" s="917"/>
      <c r="MWH5747" s="917"/>
      <c r="MWI5747" s="917"/>
      <c r="MWJ5747" s="917"/>
      <c r="MWK5747" s="917" t="s">
        <v>78</v>
      </c>
      <c r="MWL5747" s="917"/>
      <c r="MWM5747" s="917"/>
      <c r="MWN5747" s="917"/>
      <c r="MWO5747" s="917"/>
      <c r="MWP5747" s="917"/>
      <c r="MWQ5747" s="917"/>
      <c r="MWR5747" s="917"/>
      <c r="MWS5747" s="917"/>
      <c r="MWT5747" s="917"/>
      <c r="MWU5747" s="917"/>
      <c r="MWV5747" s="917"/>
      <c r="MWW5747" s="917"/>
      <c r="MWX5747" s="917"/>
      <c r="MWY5747" s="917"/>
      <c r="MWZ5747" s="917"/>
      <c r="MXA5747" s="917"/>
      <c r="MXB5747" s="917"/>
      <c r="MXC5747" s="917"/>
      <c r="MXD5747" s="917"/>
      <c r="MXE5747" s="917"/>
      <c r="MXF5747" s="917"/>
      <c r="MXG5747" s="917"/>
      <c r="MXH5747" s="917"/>
      <c r="MXI5747" s="917"/>
      <c r="MXJ5747" s="917"/>
      <c r="MXK5747" s="917"/>
      <c r="MXL5747" s="917"/>
      <c r="MXM5747" s="917"/>
      <c r="MXN5747" s="917"/>
      <c r="MXO5747" s="917"/>
      <c r="MXP5747" s="917"/>
      <c r="MXQ5747" s="917" t="s">
        <v>78</v>
      </c>
      <c r="MXR5747" s="917"/>
      <c r="MXS5747" s="917"/>
      <c r="MXT5747" s="917"/>
      <c r="MXU5747" s="917"/>
      <c r="MXV5747" s="917"/>
      <c r="MXW5747" s="917"/>
      <c r="MXX5747" s="917"/>
      <c r="MXY5747" s="917"/>
      <c r="MXZ5747" s="917"/>
      <c r="MYA5747" s="917"/>
      <c r="MYB5747" s="917"/>
      <c r="MYC5747" s="917"/>
      <c r="MYD5747" s="917"/>
      <c r="MYE5747" s="917"/>
      <c r="MYF5747" s="917"/>
      <c r="MYG5747" s="917"/>
      <c r="MYH5747" s="917"/>
      <c r="MYI5747" s="917"/>
      <c r="MYJ5747" s="917"/>
      <c r="MYK5747" s="917"/>
      <c r="MYL5747" s="917"/>
      <c r="MYM5747" s="917"/>
      <c r="MYN5747" s="917"/>
      <c r="MYO5747" s="917"/>
      <c r="MYP5747" s="917"/>
      <c r="MYQ5747" s="917"/>
      <c r="MYR5747" s="917"/>
      <c r="MYS5747" s="917"/>
      <c r="MYT5747" s="917"/>
      <c r="MYU5747" s="917"/>
      <c r="MYV5747" s="917"/>
      <c r="MYW5747" s="917" t="s">
        <v>78</v>
      </c>
      <c r="MYX5747" s="917"/>
      <c r="MYY5747" s="917"/>
      <c r="MYZ5747" s="917"/>
      <c r="MZA5747" s="917"/>
      <c r="MZB5747" s="917"/>
      <c r="MZC5747" s="917"/>
      <c r="MZD5747" s="917"/>
      <c r="MZE5747" s="917"/>
      <c r="MZF5747" s="917"/>
      <c r="MZG5747" s="917"/>
      <c r="MZH5747" s="917"/>
      <c r="MZI5747" s="917"/>
      <c r="MZJ5747" s="917"/>
      <c r="MZK5747" s="917"/>
      <c r="MZL5747" s="917"/>
      <c r="MZM5747" s="917"/>
      <c r="MZN5747" s="917"/>
      <c r="MZO5747" s="917"/>
      <c r="MZP5747" s="917"/>
      <c r="MZQ5747" s="917"/>
      <c r="MZR5747" s="917"/>
      <c r="MZS5747" s="917"/>
      <c r="MZT5747" s="917"/>
      <c r="MZU5747" s="917"/>
      <c r="MZV5747" s="917"/>
      <c r="MZW5747" s="917"/>
      <c r="MZX5747" s="917"/>
      <c r="MZY5747" s="917"/>
      <c r="MZZ5747" s="917"/>
      <c r="NAA5747" s="917"/>
      <c r="NAB5747" s="917"/>
      <c r="NAC5747" s="917" t="s">
        <v>78</v>
      </c>
      <c r="NAD5747" s="917"/>
      <c r="NAE5747" s="917"/>
      <c r="NAF5747" s="917"/>
      <c r="NAG5747" s="917"/>
      <c r="NAH5747" s="917"/>
      <c r="NAI5747" s="917"/>
      <c r="NAJ5747" s="917"/>
      <c r="NAK5747" s="917"/>
      <c r="NAL5747" s="917"/>
      <c r="NAM5747" s="917"/>
      <c r="NAN5747" s="917"/>
      <c r="NAO5747" s="917"/>
      <c r="NAP5747" s="917"/>
      <c r="NAQ5747" s="917"/>
      <c r="NAR5747" s="917"/>
      <c r="NAS5747" s="917"/>
      <c r="NAT5747" s="917"/>
      <c r="NAU5747" s="917"/>
      <c r="NAV5747" s="917"/>
      <c r="NAW5747" s="917"/>
      <c r="NAX5747" s="917"/>
      <c r="NAY5747" s="917"/>
      <c r="NAZ5747" s="917"/>
      <c r="NBA5747" s="917"/>
      <c r="NBB5747" s="917"/>
      <c r="NBC5747" s="917"/>
      <c r="NBD5747" s="917"/>
      <c r="NBE5747" s="917"/>
      <c r="NBF5747" s="917"/>
      <c r="NBG5747" s="917"/>
      <c r="NBH5747" s="917"/>
      <c r="NBI5747" s="917" t="s">
        <v>78</v>
      </c>
      <c r="NBJ5747" s="917"/>
      <c r="NBK5747" s="917"/>
      <c r="NBL5747" s="917"/>
      <c r="NBM5747" s="917"/>
      <c r="NBN5747" s="917"/>
      <c r="NBO5747" s="917"/>
      <c r="NBP5747" s="917"/>
      <c r="NBQ5747" s="917"/>
      <c r="NBR5747" s="917"/>
      <c r="NBS5747" s="917"/>
      <c r="NBT5747" s="917"/>
      <c r="NBU5747" s="917"/>
      <c r="NBV5747" s="917"/>
      <c r="NBW5747" s="917"/>
      <c r="NBX5747" s="917"/>
      <c r="NBY5747" s="917"/>
      <c r="NBZ5747" s="917"/>
      <c r="NCA5747" s="917"/>
      <c r="NCB5747" s="917"/>
      <c r="NCC5747" s="917"/>
      <c r="NCD5747" s="917"/>
      <c r="NCE5747" s="917"/>
      <c r="NCF5747" s="917"/>
      <c r="NCG5747" s="917"/>
      <c r="NCH5747" s="917"/>
      <c r="NCI5747" s="917"/>
      <c r="NCJ5747" s="917"/>
      <c r="NCK5747" s="917"/>
      <c r="NCL5747" s="917"/>
      <c r="NCM5747" s="917"/>
      <c r="NCN5747" s="917"/>
      <c r="NCO5747" s="917" t="s">
        <v>78</v>
      </c>
      <c r="NCP5747" s="917"/>
      <c r="NCQ5747" s="917"/>
      <c r="NCR5747" s="917"/>
      <c r="NCS5747" s="917"/>
      <c r="NCT5747" s="917"/>
      <c r="NCU5747" s="917"/>
      <c r="NCV5747" s="917"/>
      <c r="NCW5747" s="917"/>
      <c r="NCX5747" s="917"/>
      <c r="NCY5747" s="917"/>
      <c r="NCZ5747" s="917"/>
      <c r="NDA5747" s="917"/>
      <c r="NDB5747" s="917"/>
      <c r="NDC5747" s="917"/>
      <c r="NDD5747" s="917"/>
      <c r="NDE5747" s="917"/>
      <c r="NDF5747" s="917"/>
      <c r="NDG5747" s="917"/>
      <c r="NDH5747" s="917"/>
      <c r="NDI5747" s="917"/>
      <c r="NDJ5747" s="917"/>
      <c r="NDK5747" s="917"/>
      <c r="NDL5747" s="917"/>
      <c r="NDM5747" s="917"/>
      <c r="NDN5747" s="917"/>
      <c r="NDO5747" s="917"/>
      <c r="NDP5747" s="917"/>
      <c r="NDQ5747" s="917"/>
      <c r="NDR5747" s="917"/>
      <c r="NDS5747" s="917"/>
      <c r="NDT5747" s="917"/>
      <c r="NDU5747" s="917" t="s">
        <v>78</v>
      </c>
      <c r="NDV5747" s="917"/>
      <c r="NDW5747" s="917"/>
      <c r="NDX5747" s="917"/>
      <c r="NDY5747" s="917"/>
      <c r="NDZ5747" s="917"/>
      <c r="NEA5747" s="917"/>
      <c r="NEB5747" s="917"/>
      <c r="NEC5747" s="917"/>
      <c r="NED5747" s="917"/>
      <c r="NEE5747" s="917"/>
      <c r="NEF5747" s="917"/>
      <c r="NEG5747" s="917"/>
      <c r="NEH5747" s="917"/>
      <c r="NEI5747" s="917"/>
      <c r="NEJ5747" s="917"/>
      <c r="NEK5747" s="917"/>
      <c r="NEL5747" s="917"/>
      <c r="NEM5747" s="917"/>
      <c r="NEN5747" s="917"/>
      <c r="NEO5747" s="917"/>
      <c r="NEP5747" s="917"/>
      <c r="NEQ5747" s="917"/>
      <c r="NER5747" s="917"/>
      <c r="NES5747" s="917"/>
      <c r="NET5747" s="917"/>
      <c r="NEU5747" s="917"/>
      <c r="NEV5747" s="917"/>
      <c r="NEW5747" s="917"/>
      <c r="NEX5747" s="917"/>
      <c r="NEY5747" s="917"/>
      <c r="NEZ5747" s="917"/>
      <c r="NFA5747" s="917" t="s">
        <v>78</v>
      </c>
      <c r="NFB5747" s="917"/>
      <c r="NFC5747" s="917"/>
      <c r="NFD5747" s="917"/>
      <c r="NFE5747" s="917"/>
      <c r="NFF5747" s="917"/>
      <c r="NFG5747" s="917"/>
      <c r="NFH5747" s="917"/>
      <c r="NFI5747" s="917"/>
      <c r="NFJ5747" s="917"/>
      <c r="NFK5747" s="917"/>
      <c r="NFL5747" s="917"/>
      <c r="NFM5747" s="917"/>
      <c r="NFN5747" s="917"/>
      <c r="NFO5747" s="917"/>
      <c r="NFP5747" s="917"/>
      <c r="NFQ5747" s="917"/>
      <c r="NFR5747" s="917"/>
      <c r="NFS5747" s="917"/>
      <c r="NFT5747" s="917"/>
      <c r="NFU5747" s="917"/>
      <c r="NFV5747" s="917"/>
      <c r="NFW5747" s="917"/>
      <c r="NFX5747" s="917"/>
      <c r="NFY5747" s="917"/>
      <c r="NFZ5747" s="917"/>
      <c r="NGA5747" s="917"/>
      <c r="NGB5747" s="917"/>
      <c r="NGC5747" s="917"/>
      <c r="NGD5747" s="917"/>
      <c r="NGE5747" s="917"/>
      <c r="NGF5747" s="917"/>
      <c r="NGG5747" s="917" t="s">
        <v>78</v>
      </c>
      <c r="NGH5747" s="917"/>
      <c r="NGI5747" s="917"/>
      <c r="NGJ5747" s="917"/>
      <c r="NGK5747" s="917"/>
      <c r="NGL5747" s="917"/>
      <c r="NGM5747" s="917"/>
      <c r="NGN5747" s="917"/>
      <c r="NGO5747" s="917"/>
      <c r="NGP5747" s="917"/>
      <c r="NGQ5747" s="917"/>
      <c r="NGR5747" s="917"/>
      <c r="NGS5747" s="917"/>
      <c r="NGT5747" s="917"/>
      <c r="NGU5747" s="917"/>
      <c r="NGV5747" s="917"/>
      <c r="NGW5747" s="917"/>
      <c r="NGX5747" s="917"/>
      <c r="NGY5747" s="917"/>
      <c r="NGZ5747" s="917"/>
      <c r="NHA5747" s="917"/>
      <c r="NHB5747" s="917"/>
      <c r="NHC5747" s="917"/>
      <c r="NHD5747" s="917"/>
      <c r="NHE5747" s="917"/>
      <c r="NHF5747" s="917"/>
      <c r="NHG5747" s="917"/>
      <c r="NHH5747" s="917"/>
      <c r="NHI5747" s="917"/>
      <c r="NHJ5747" s="917"/>
      <c r="NHK5747" s="917"/>
      <c r="NHL5747" s="917"/>
      <c r="NHM5747" s="917" t="s">
        <v>78</v>
      </c>
      <c r="NHN5747" s="917"/>
      <c r="NHO5747" s="917"/>
      <c r="NHP5747" s="917"/>
      <c r="NHQ5747" s="917"/>
      <c r="NHR5747" s="917"/>
      <c r="NHS5747" s="917"/>
      <c r="NHT5747" s="917"/>
      <c r="NHU5747" s="917"/>
      <c r="NHV5747" s="917"/>
      <c r="NHW5747" s="917"/>
      <c r="NHX5747" s="917"/>
      <c r="NHY5747" s="917"/>
      <c r="NHZ5747" s="917"/>
      <c r="NIA5747" s="917"/>
      <c r="NIB5747" s="917"/>
      <c r="NIC5747" s="917"/>
      <c r="NID5747" s="917"/>
      <c r="NIE5747" s="917"/>
      <c r="NIF5747" s="917"/>
      <c r="NIG5747" s="917"/>
      <c r="NIH5747" s="917"/>
      <c r="NII5747" s="917"/>
      <c r="NIJ5747" s="917"/>
      <c r="NIK5747" s="917"/>
      <c r="NIL5747" s="917"/>
      <c r="NIM5747" s="917"/>
      <c r="NIN5747" s="917"/>
      <c r="NIO5747" s="917"/>
      <c r="NIP5747" s="917"/>
      <c r="NIQ5747" s="917"/>
      <c r="NIR5747" s="917"/>
      <c r="NIS5747" s="917" t="s">
        <v>78</v>
      </c>
      <c r="NIT5747" s="917"/>
      <c r="NIU5747" s="917"/>
      <c r="NIV5747" s="917"/>
      <c r="NIW5747" s="917"/>
      <c r="NIX5747" s="917"/>
      <c r="NIY5747" s="917"/>
      <c r="NIZ5747" s="917"/>
      <c r="NJA5747" s="917"/>
      <c r="NJB5747" s="917"/>
      <c r="NJC5747" s="917"/>
      <c r="NJD5747" s="917"/>
      <c r="NJE5747" s="917"/>
      <c r="NJF5747" s="917"/>
      <c r="NJG5747" s="917"/>
      <c r="NJH5747" s="917"/>
      <c r="NJI5747" s="917"/>
      <c r="NJJ5747" s="917"/>
      <c r="NJK5747" s="917"/>
      <c r="NJL5747" s="917"/>
      <c r="NJM5747" s="917"/>
      <c r="NJN5747" s="917"/>
      <c r="NJO5747" s="917"/>
      <c r="NJP5747" s="917"/>
      <c r="NJQ5747" s="917"/>
      <c r="NJR5747" s="917"/>
      <c r="NJS5747" s="917"/>
      <c r="NJT5747" s="917"/>
      <c r="NJU5747" s="917"/>
      <c r="NJV5747" s="917"/>
      <c r="NJW5747" s="917"/>
      <c r="NJX5747" s="917"/>
      <c r="NJY5747" s="917" t="s">
        <v>78</v>
      </c>
      <c r="NJZ5747" s="917"/>
      <c r="NKA5747" s="917"/>
      <c r="NKB5747" s="917"/>
      <c r="NKC5747" s="917"/>
      <c r="NKD5747" s="917"/>
      <c r="NKE5747" s="917"/>
      <c r="NKF5747" s="917"/>
      <c r="NKG5747" s="917"/>
      <c r="NKH5747" s="917"/>
      <c r="NKI5747" s="917"/>
      <c r="NKJ5747" s="917"/>
      <c r="NKK5747" s="917"/>
      <c r="NKL5747" s="917"/>
      <c r="NKM5747" s="917"/>
      <c r="NKN5747" s="917"/>
      <c r="NKO5747" s="917"/>
      <c r="NKP5747" s="917"/>
      <c r="NKQ5747" s="917"/>
      <c r="NKR5747" s="917"/>
      <c r="NKS5747" s="917"/>
      <c r="NKT5747" s="917"/>
      <c r="NKU5747" s="917"/>
      <c r="NKV5747" s="917"/>
      <c r="NKW5747" s="917"/>
      <c r="NKX5747" s="917"/>
      <c r="NKY5747" s="917"/>
      <c r="NKZ5747" s="917"/>
      <c r="NLA5747" s="917"/>
      <c r="NLB5747" s="917"/>
      <c r="NLC5747" s="917"/>
      <c r="NLD5747" s="917"/>
      <c r="NLE5747" s="917" t="s">
        <v>78</v>
      </c>
      <c r="NLF5747" s="917"/>
      <c r="NLG5747" s="917"/>
      <c r="NLH5747" s="917"/>
      <c r="NLI5747" s="917"/>
      <c r="NLJ5747" s="917"/>
      <c r="NLK5747" s="917"/>
      <c r="NLL5747" s="917"/>
      <c r="NLM5747" s="917"/>
      <c r="NLN5747" s="917"/>
      <c r="NLO5747" s="917"/>
      <c r="NLP5747" s="917"/>
      <c r="NLQ5747" s="917"/>
      <c r="NLR5747" s="917"/>
      <c r="NLS5747" s="917"/>
      <c r="NLT5747" s="917"/>
      <c r="NLU5747" s="917"/>
      <c r="NLV5747" s="917"/>
      <c r="NLW5747" s="917"/>
      <c r="NLX5747" s="917"/>
      <c r="NLY5747" s="917"/>
      <c r="NLZ5747" s="917"/>
      <c r="NMA5747" s="917"/>
      <c r="NMB5747" s="917"/>
      <c r="NMC5747" s="917"/>
      <c r="NMD5747" s="917"/>
      <c r="NME5747" s="917"/>
      <c r="NMF5747" s="917"/>
      <c r="NMG5747" s="917"/>
      <c r="NMH5747" s="917"/>
      <c r="NMI5747" s="917"/>
      <c r="NMJ5747" s="917"/>
      <c r="NMK5747" s="917" t="s">
        <v>78</v>
      </c>
      <c r="NML5747" s="917"/>
      <c r="NMM5747" s="917"/>
      <c r="NMN5747" s="917"/>
      <c r="NMO5747" s="917"/>
      <c r="NMP5747" s="917"/>
      <c r="NMQ5747" s="917"/>
      <c r="NMR5747" s="917"/>
      <c r="NMS5747" s="917"/>
      <c r="NMT5747" s="917"/>
      <c r="NMU5747" s="917"/>
      <c r="NMV5747" s="917"/>
      <c r="NMW5747" s="917"/>
      <c r="NMX5747" s="917"/>
      <c r="NMY5747" s="917"/>
      <c r="NMZ5747" s="917"/>
      <c r="NNA5747" s="917"/>
      <c r="NNB5747" s="917"/>
      <c r="NNC5747" s="917"/>
      <c r="NND5747" s="917"/>
      <c r="NNE5747" s="917"/>
      <c r="NNF5747" s="917"/>
      <c r="NNG5747" s="917"/>
      <c r="NNH5747" s="917"/>
      <c r="NNI5747" s="917"/>
      <c r="NNJ5747" s="917"/>
      <c r="NNK5747" s="917"/>
      <c r="NNL5747" s="917"/>
      <c r="NNM5747" s="917"/>
      <c r="NNN5747" s="917"/>
      <c r="NNO5747" s="917"/>
      <c r="NNP5747" s="917"/>
      <c r="NNQ5747" s="917" t="s">
        <v>78</v>
      </c>
      <c r="NNR5747" s="917"/>
      <c r="NNS5747" s="917"/>
      <c r="NNT5747" s="917"/>
      <c r="NNU5747" s="917"/>
      <c r="NNV5747" s="917"/>
      <c r="NNW5747" s="917"/>
      <c r="NNX5747" s="917"/>
      <c r="NNY5747" s="917"/>
      <c r="NNZ5747" s="917"/>
      <c r="NOA5747" s="917"/>
      <c r="NOB5747" s="917"/>
      <c r="NOC5747" s="917"/>
      <c r="NOD5747" s="917"/>
      <c r="NOE5747" s="917"/>
      <c r="NOF5747" s="917"/>
      <c r="NOG5747" s="917"/>
      <c r="NOH5747" s="917"/>
      <c r="NOI5747" s="917"/>
      <c r="NOJ5747" s="917"/>
      <c r="NOK5747" s="917"/>
      <c r="NOL5747" s="917"/>
      <c r="NOM5747" s="917"/>
      <c r="NON5747" s="917"/>
      <c r="NOO5747" s="917"/>
      <c r="NOP5747" s="917"/>
      <c r="NOQ5747" s="917"/>
      <c r="NOR5747" s="917"/>
      <c r="NOS5747" s="917"/>
      <c r="NOT5747" s="917"/>
      <c r="NOU5747" s="917"/>
      <c r="NOV5747" s="917"/>
      <c r="NOW5747" s="917" t="s">
        <v>78</v>
      </c>
      <c r="NOX5747" s="917"/>
      <c r="NOY5747" s="917"/>
      <c r="NOZ5747" s="917"/>
      <c r="NPA5747" s="917"/>
      <c r="NPB5747" s="917"/>
      <c r="NPC5747" s="917"/>
      <c r="NPD5747" s="917"/>
      <c r="NPE5747" s="917"/>
      <c r="NPF5747" s="917"/>
      <c r="NPG5747" s="917"/>
      <c r="NPH5747" s="917"/>
      <c r="NPI5747" s="917"/>
      <c r="NPJ5747" s="917"/>
      <c r="NPK5747" s="917"/>
      <c r="NPL5747" s="917"/>
      <c r="NPM5747" s="917"/>
      <c r="NPN5747" s="917"/>
      <c r="NPO5747" s="917"/>
      <c r="NPP5747" s="917"/>
      <c r="NPQ5747" s="917"/>
      <c r="NPR5747" s="917"/>
      <c r="NPS5747" s="917"/>
      <c r="NPT5747" s="917"/>
      <c r="NPU5747" s="917"/>
      <c r="NPV5747" s="917"/>
      <c r="NPW5747" s="917"/>
      <c r="NPX5747" s="917"/>
      <c r="NPY5747" s="917"/>
      <c r="NPZ5747" s="917"/>
      <c r="NQA5747" s="917"/>
      <c r="NQB5747" s="917"/>
      <c r="NQC5747" s="917" t="s">
        <v>78</v>
      </c>
      <c r="NQD5747" s="917"/>
      <c r="NQE5747" s="917"/>
      <c r="NQF5747" s="917"/>
      <c r="NQG5747" s="917"/>
      <c r="NQH5747" s="917"/>
      <c r="NQI5747" s="917"/>
      <c r="NQJ5747" s="917"/>
      <c r="NQK5747" s="917"/>
      <c r="NQL5747" s="917"/>
      <c r="NQM5747" s="917"/>
      <c r="NQN5747" s="917"/>
      <c r="NQO5747" s="917"/>
      <c r="NQP5747" s="917"/>
      <c r="NQQ5747" s="917"/>
      <c r="NQR5747" s="917"/>
      <c r="NQS5747" s="917"/>
      <c r="NQT5747" s="917"/>
      <c r="NQU5747" s="917"/>
      <c r="NQV5747" s="917"/>
      <c r="NQW5747" s="917"/>
      <c r="NQX5747" s="917"/>
      <c r="NQY5747" s="917"/>
      <c r="NQZ5747" s="917"/>
      <c r="NRA5747" s="917"/>
      <c r="NRB5747" s="917"/>
      <c r="NRC5747" s="917"/>
      <c r="NRD5747" s="917"/>
      <c r="NRE5747" s="917"/>
      <c r="NRF5747" s="917"/>
      <c r="NRG5747" s="917"/>
      <c r="NRH5747" s="917"/>
      <c r="NRI5747" s="917" t="s">
        <v>78</v>
      </c>
      <c r="NRJ5747" s="917"/>
      <c r="NRK5747" s="917"/>
      <c r="NRL5747" s="917"/>
      <c r="NRM5747" s="917"/>
      <c r="NRN5747" s="917"/>
      <c r="NRO5747" s="917"/>
      <c r="NRP5747" s="917"/>
      <c r="NRQ5747" s="917"/>
      <c r="NRR5747" s="917"/>
      <c r="NRS5747" s="917"/>
      <c r="NRT5747" s="917"/>
      <c r="NRU5747" s="917"/>
      <c r="NRV5747" s="917"/>
      <c r="NRW5747" s="917"/>
      <c r="NRX5747" s="917"/>
      <c r="NRY5747" s="917"/>
      <c r="NRZ5747" s="917"/>
      <c r="NSA5747" s="917"/>
      <c r="NSB5747" s="917"/>
      <c r="NSC5747" s="917"/>
      <c r="NSD5747" s="917"/>
      <c r="NSE5747" s="917"/>
      <c r="NSF5747" s="917"/>
      <c r="NSG5747" s="917"/>
      <c r="NSH5747" s="917"/>
      <c r="NSI5747" s="917"/>
      <c r="NSJ5747" s="917"/>
      <c r="NSK5747" s="917"/>
      <c r="NSL5747" s="917"/>
      <c r="NSM5747" s="917"/>
      <c r="NSN5747" s="917"/>
      <c r="NSO5747" s="917" t="s">
        <v>78</v>
      </c>
      <c r="NSP5747" s="917"/>
      <c r="NSQ5747" s="917"/>
      <c r="NSR5747" s="917"/>
      <c r="NSS5747" s="917"/>
      <c r="NST5747" s="917"/>
      <c r="NSU5747" s="917"/>
      <c r="NSV5747" s="917"/>
      <c r="NSW5747" s="917"/>
      <c r="NSX5747" s="917"/>
      <c r="NSY5747" s="917"/>
      <c r="NSZ5747" s="917"/>
      <c r="NTA5747" s="917"/>
      <c r="NTB5747" s="917"/>
      <c r="NTC5747" s="917"/>
      <c r="NTD5747" s="917"/>
      <c r="NTE5747" s="917"/>
      <c r="NTF5747" s="917"/>
      <c r="NTG5747" s="917"/>
      <c r="NTH5747" s="917"/>
      <c r="NTI5747" s="917"/>
      <c r="NTJ5747" s="917"/>
      <c r="NTK5747" s="917"/>
      <c r="NTL5747" s="917"/>
      <c r="NTM5747" s="917"/>
      <c r="NTN5747" s="917"/>
      <c r="NTO5747" s="917"/>
      <c r="NTP5747" s="917"/>
      <c r="NTQ5747" s="917"/>
      <c r="NTR5747" s="917"/>
      <c r="NTS5747" s="917"/>
      <c r="NTT5747" s="917"/>
      <c r="NTU5747" s="917" t="s">
        <v>78</v>
      </c>
      <c r="NTV5747" s="917"/>
      <c r="NTW5747" s="917"/>
      <c r="NTX5747" s="917"/>
      <c r="NTY5747" s="917"/>
      <c r="NTZ5747" s="917"/>
      <c r="NUA5747" s="917"/>
      <c r="NUB5747" s="917"/>
      <c r="NUC5747" s="917"/>
      <c r="NUD5747" s="917"/>
      <c r="NUE5747" s="917"/>
      <c r="NUF5747" s="917"/>
      <c r="NUG5747" s="917"/>
      <c r="NUH5747" s="917"/>
      <c r="NUI5747" s="917"/>
      <c r="NUJ5747" s="917"/>
      <c r="NUK5747" s="917"/>
      <c r="NUL5747" s="917"/>
      <c r="NUM5747" s="917"/>
      <c r="NUN5747" s="917"/>
      <c r="NUO5747" s="917"/>
      <c r="NUP5747" s="917"/>
      <c r="NUQ5747" s="917"/>
      <c r="NUR5747" s="917"/>
      <c r="NUS5747" s="917"/>
      <c r="NUT5747" s="917"/>
      <c r="NUU5747" s="917"/>
      <c r="NUV5747" s="917"/>
      <c r="NUW5747" s="917"/>
      <c r="NUX5747" s="917"/>
      <c r="NUY5747" s="917"/>
      <c r="NUZ5747" s="917"/>
      <c r="NVA5747" s="917" t="s">
        <v>78</v>
      </c>
      <c r="NVB5747" s="917"/>
      <c r="NVC5747" s="917"/>
      <c r="NVD5747" s="917"/>
      <c r="NVE5747" s="917"/>
      <c r="NVF5747" s="917"/>
      <c r="NVG5747" s="917"/>
      <c r="NVH5747" s="917"/>
      <c r="NVI5747" s="917"/>
      <c r="NVJ5747" s="917"/>
      <c r="NVK5747" s="917"/>
      <c r="NVL5747" s="917"/>
      <c r="NVM5747" s="917"/>
      <c r="NVN5747" s="917"/>
      <c r="NVO5747" s="917"/>
      <c r="NVP5747" s="917"/>
      <c r="NVQ5747" s="917"/>
      <c r="NVR5747" s="917"/>
      <c r="NVS5747" s="917"/>
      <c r="NVT5747" s="917"/>
      <c r="NVU5747" s="917"/>
      <c r="NVV5747" s="917"/>
      <c r="NVW5747" s="917"/>
      <c r="NVX5747" s="917"/>
      <c r="NVY5747" s="917"/>
      <c r="NVZ5747" s="917"/>
      <c r="NWA5747" s="917"/>
      <c r="NWB5747" s="917"/>
      <c r="NWC5747" s="917"/>
      <c r="NWD5747" s="917"/>
      <c r="NWE5747" s="917"/>
      <c r="NWF5747" s="917"/>
      <c r="NWG5747" s="917" t="s">
        <v>78</v>
      </c>
      <c r="NWH5747" s="917"/>
      <c r="NWI5747" s="917"/>
      <c r="NWJ5747" s="917"/>
      <c r="NWK5747" s="917"/>
      <c r="NWL5747" s="917"/>
      <c r="NWM5747" s="917"/>
      <c r="NWN5747" s="917"/>
      <c r="NWO5747" s="917"/>
      <c r="NWP5747" s="917"/>
      <c r="NWQ5747" s="917"/>
      <c r="NWR5747" s="917"/>
      <c r="NWS5747" s="917"/>
      <c r="NWT5747" s="917"/>
      <c r="NWU5747" s="917"/>
      <c r="NWV5747" s="917"/>
      <c r="NWW5747" s="917"/>
      <c r="NWX5747" s="917"/>
      <c r="NWY5747" s="917"/>
      <c r="NWZ5747" s="917"/>
      <c r="NXA5747" s="917"/>
      <c r="NXB5747" s="917"/>
      <c r="NXC5747" s="917"/>
      <c r="NXD5747" s="917"/>
      <c r="NXE5747" s="917"/>
      <c r="NXF5747" s="917"/>
      <c r="NXG5747" s="917"/>
      <c r="NXH5747" s="917"/>
      <c r="NXI5747" s="917"/>
      <c r="NXJ5747" s="917"/>
      <c r="NXK5747" s="917"/>
      <c r="NXL5747" s="917"/>
      <c r="NXM5747" s="917" t="s">
        <v>78</v>
      </c>
      <c r="NXN5747" s="917"/>
      <c r="NXO5747" s="917"/>
      <c r="NXP5747" s="917"/>
      <c r="NXQ5747" s="917"/>
      <c r="NXR5747" s="917"/>
      <c r="NXS5747" s="917"/>
      <c r="NXT5747" s="917"/>
      <c r="NXU5747" s="917"/>
      <c r="NXV5747" s="917"/>
      <c r="NXW5747" s="917"/>
      <c r="NXX5747" s="917"/>
      <c r="NXY5747" s="917"/>
      <c r="NXZ5747" s="917"/>
      <c r="NYA5747" s="917"/>
      <c r="NYB5747" s="917"/>
      <c r="NYC5747" s="917"/>
      <c r="NYD5747" s="917"/>
      <c r="NYE5747" s="917"/>
      <c r="NYF5747" s="917"/>
      <c r="NYG5747" s="917"/>
      <c r="NYH5747" s="917"/>
      <c r="NYI5747" s="917"/>
      <c r="NYJ5747" s="917"/>
      <c r="NYK5747" s="917"/>
      <c r="NYL5747" s="917"/>
      <c r="NYM5747" s="917"/>
      <c r="NYN5747" s="917"/>
      <c r="NYO5747" s="917"/>
      <c r="NYP5747" s="917"/>
      <c r="NYQ5747" s="917"/>
      <c r="NYR5747" s="917"/>
      <c r="NYS5747" s="917" t="s">
        <v>78</v>
      </c>
      <c r="NYT5747" s="917"/>
      <c r="NYU5747" s="917"/>
      <c r="NYV5747" s="917"/>
      <c r="NYW5747" s="917"/>
      <c r="NYX5747" s="917"/>
      <c r="NYY5747" s="917"/>
      <c r="NYZ5747" s="917"/>
      <c r="NZA5747" s="917"/>
      <c r="NZB5747" s="917"/>
      <c r="NZC5747" s="917"/>
      <c r="NZD5747" s="917"/>
      <c r="NZE5747" s="917"/>
      <c r="NZF5747" s="917"/>
      <c r="NZG5747" s="917"/>
      <c r="NZH5747" s="917"/>
      <c r="NZI5747" s="917"/>
      <c r="NZJ5747" s="917"/>
      <c r="NZK5747" s="917"/>
      <c r="NZL5747" s="917"/>
      <c r="NZM5747" s="917"/>
      <c r="NZN5747" s="917"/>
      <c r="NZO5747" s="917"/>
      <c r="NZP5747" s="917"/>
      <c r="NZQ5747" s="917"/>
      <c r="NZR5747" s="917"/>
      <c r="NZS5747" s="917"/>
      <c r="NZT5747" s="917"/>
      <c r="NZU5747" s="917"/>
      <c r="NZV5747" s="917"/>
      <c r="NZW5747" s="917"/>
      <c r="NZX5747" s="917"/>
      <c r="NZY5747" s="917" t="s">
        <v>78</v>
      </c>
      <c r="NZZ5747" s="917"/>
      <c r="OAA5747" s="917"/>
      <c r="OAB5747" s="917"/>
      <c r="OAC5747" s="917"/>
      <c r="OAD5747" s="917"/>
      <c r="OAE5747" s="917"/>
      <c r="OAF5747" s="917"/>
      <c r="OAG5747" s="917"/>
      <c r="OAH5747" s="917"/>
      <c r="OAI5747" s="917"/>
      <c r="OAJ5747" s="917"/>
      <c r="OAK5747" s="917"/>
      <c r="OAL5747" s="917"/>
      <c r="OAM5747" s="917"/>
      <c r="OAN5747" s="917"/>
      <c r="OAO5747" s="917"/>
      <c r="OAP5747" s="917"/>
      <c r="OAQ5747" s="917"/>
      <c r="OAR5747" s="917"/>
      <c r="OAS5747" s="917"/>
      <c r="OAT5747" s="917"/>
      <c r="OAU5747" s="917"/>
      <c r="OAV5747" s="917"/>
      <c r="OAW5747" s="917"/>
      <c r="OAX5747" s="917"/>
      <c r="OAY5747" s="917"/>
      <c r="OAZ5747" s="917"/>
      <c r="OBA5747" s="917"/>
      <c r="OBB5747" s="917"/>
      <c r="OBC5747" s="917"/>
      <c r="OBD5747" s="917"/>
      <c r="OBE5747" s="917" t="s">
        <v>78</v>
      </c>
      <c r="OBF5747" s="917"/>
      <c r="OBG5747" s="917"/>
      <c r="OBH5747" s="917"/>
      <c r="OBI5747" s="917"/>
      <c r="OBJ5747" s="917"/>
      <c r="OBK5747" s="917"/>
      <c r="OBL5747" s="917"/>
      <c r="OBM5747" s="917"/>
      <c r="OBN5747" s="917"/>
      <c r="OBO5747" s="917"/>
      <c r="OBP5747" s="917"/>
      <c r="OBQ5747" s="917"/>
      <c r="OBR5747" s="917"/>
      <c r="OBS5747" s="917"/>
      <c r="OBT5747" s="917"/>
      <c r="OBU5747" s="917"/>
      <c r="OBV5747" s="917"/>
      <c r="OBW5747" s="917"/>
      <c r="OBX5747" s="917"/>
      <c r="OBY5747" s="917"/>
      <c r="OBZ5747" s="917"/>
      <c r="OCA5747" s="917"/>
      <c r="OCB5747" s="917"/>
      <c r="OCC5747" s="917"/>
      <c r="OCD5747" s="917"/>
      <c r="OCE5747" s="917"/>
      <c r="OCF5747" s="917"/>
      <c r="OCG5747" s="917"/>
      <c r="OCH5747" s="917"/>
      <c r="OCI5747" s="917"/>
      <c r="OCJ5747" s="917"/>
      <c r="OCK5747" s="917" t="s">
        <v>78</v>
      </c>
      <c r="OCL5747" s="917"/>
      <c r="OCM5747" s="917"/>
      <c r="OCN5747" s="917"/>
      <c r="OCO5747" s="917"/>
      <c r="OCP5747" s="917"/>
      <c r="OCQ5747" s="917"/>
      <c r="OCR5747" s="917"/>
      <c r="OCS5747" s="917"/>
      <c r="OCT5747" s="917"/>
      <c r="OCU5747" s="917"/>
      <c r="OCV5747" s="917"/>
      <c r="OCW5747" s="917"/>
      <c r="OCX5747" s="917"/>
      <c r="OCY5747" s="917"/>
      <c r="OCZ5747" s="917"/>
      <c r="ODA5747" s="917"/>
      <c r="ODB5747" s="917"/>
      <c r="ODC5747" s="917"/>
      <c r="ODD5747" s="917"/>
      <c r="ODE5747" s="917"/>
      <c r="ODF5747" s="917"/>
      <c r="ODG5747" s="917"/>
      <c r="ODH5747" s="917"/>
      <c r="ODI5747" s="917"/>
      <c r="ODJ5747" s="917"/>
      <c r="ODK5747" s="917"/>
      <c r="ODL5747" s="917"/>
      <c r="ODM5747" s="917"/>
      <c r="ODN5747" s="917"/>
      <c r="ODO5747" s="917"/>
      <c r="ODP5747" s="917"/>
      <c r="ODQ5747" s="917" t="s">
        <v>78</v>
      </c>
      <c r="ODR5747" s="917"/>
      <c r="ODS5747" s="917"/>
      <c r="ODT5747" s="917"/>
      <c r="ODU5747" s="917"/>
      <c r="ODV5747" s="917"/>
      <c r="ODW5747" s="917"/>
      <c r="ODX5747" s="917"/>
      <c r="ODY5747" s="917"/>
      <c r="ODZ5747" s="917"/>
      <c r="OEA5747" s="917"/>
      <c r="OEB5747" s="917"/>
      <c r="OEC5747" s="917"/>
      <c r="OED5747" s="917"/>
      <c r="OEE5747" s="917"/>
      <c r="OEF5747" s="917"/>
      <c r="OEG5747" s="917"/>
      <c r="OEH5747" s="917"/>
      <c r="OEI5747" s="917"/>
      <c r="OEJ5747" s="917"/>
      <c r="OEK5747" s="917"/>
      <c r="OEL5747" s="917"/>
      <c r="OEM5747" s="917"/>
      <c r="OEN5747" s="917"/>
      <c r="OEO5747" s="917"/>
      <c r="OEP5747" s="917"/>
      <c r="OEQ5747" s="917"/>
      <c r="OER5747" s="917"/>
      <c r="OES5747" s="917"/>
      <c r="OET5747" s="917"/>
      <c r="OEU5747" s="917"/>
      <c r="OEV5747" s="917"/>
      <c r="OEW5747" s="917" t="s">
        <v>78</v>
      </c>
      <c r="OEX5747" s="917"/>
      <c r="OEY5747" s="917"/>
      <c r="OEZ5747" s="917"/>
      <c r="OFA5747" s="917"/>
      <c r="OFB5747" s="917"/>
      <c r="OFC5747" s="917"/>
      <c r="OFD5747" s="917"/>
      <c r="OFE5747" s="917"/>
      <c r="OFF5747" s="917"/>
      <c r="OFG5747" s="917"/>
      <c r="OFH5747" s="917"/>
      <c r="OFI5747" s="917"/>
      <c r="OFJ5747" s="917"/>
      <c r="OFK5747" s="917"/>
      <c r="OFL5747" s="917"/>
      <c r="OFM5747" s="917"/>
      <c r="OFN5747" s="917"/>
      <c r="OFO5747" s="917"/>
      <c r="OFP5747" s="917"/>
      <c r="OFQ5747" s="917"/>
      <c r="OFR5747" s="917"/>
      <c r="OFS5747" s="917"/>
      <c r="OFT5747" s="917"/>
      <c r="OFU5747" s="917"/>
      <c r="OFV5747" s="917"/>
      <c r="OFW5747" s="917"/>
      <c r="OFX5747" s="917"/>
      <c r="OFY5747" s="917"/>
      <c r="OFZ5747" s="917"/>
      <c r="OGA5747" s="917"/>
      <c r="OGB5747" s="917"/>
      <c r="OGC5747" s="917" t="s">
        <v>78</v>
      </c>
      <c r="OGD5747" s="917"/>
      <c r="OGE5747" s="917"/>
      <c r="OGF5747" s="917"/>
      <c r="OGG5747" s="917"/>
      <c r="OGH5747" s="917"/>
      <c r="OGI5747" s="917"/>
      <c r="OGJ5747" s="917"/>
      <c r="OGK5747" s="917"/>
      <c r="OGL5747" s="917"/>
      <c r="OGM5747" s="917"/>
      <c r="OGN5747" s="917"/>
      <c r="OGO5747" s="917"/>
      <c r="OGP5747" s="917"/>
      <c r="OGQ5747" s="917"/>
      <c r="OGR5747" s="917"/>
      <c r="OGS5747" s="917"/>
      <c r="OGT5747" s="917"/>
      <c r="OGU5747" s="917"/>
      <c r="OGV5747" s="917"/>
      <c r="OGW5747" s="917"/>
      <c r="OGX5747" s="917"/>
      <c r="OGY5747" s="917"/>
      <c r="OGZ5747" s="917"/>
      <c r="OHA5747" s="917"/>
      <c r="OHB5747" s="917"/>
      <c r="OHC5747" s="917"/>
      <c r="OHD5747" s="917"/>
      <c r="OHE5747" s="917"/>
      <c r="OHF5747" s="917"/>
      <c r="OHG5747" s="917"/>
      <c r="OHH5747" s="917"/>
      <c r="OHI5747" s="917" t="s">
        <v>78</v>
      </c>
      <c r="OHJ5747" s="917"/>
      <c r="OHK5747" s="917"/>
      <c r="OHL5747" s="917"/>
      <c r="OHM5747" s="917"/>
      <c r="OHN5747" s="917"/>
      <c r="OHO5747" s="917"/>
      <c r="OHP5747" s="917"/>
      <c r="OHQ5747" s="917"/>
      <c r="OHR5747" s="917"/>
      <c r="OHS5747" s="917"/>
      <c r="OHT5747" s="917"/>
      <c r="OHU5747" s="917"/>
      <c r="OHV5747" s="917"/>
      <c r="OHW5747" s="917"/>
      <c r="OHX5747" s="917"/>
      <c r="OHY5747" s="917"/>
      <c r="OHZ5747" s="917"/>
      <c r="OIA5747" s="917"/>
      <c r="OIB5747" s="917"/>
      <c r="OIC5747" s="917"/>
      <c r="OID5747" s="917"/>
      <c r="OIE5747" s="917"/>
      <c r="OIF5747" s="917"/>
      <c r="OIG5747" s="917"/>
      <c r="OIH5747" s="917"/>
      <c r="OII5747" s="917"/>
      <c r="OIJ5747" s="917"/>
      <c r="OIK5747" s="917"/>
      <c r="OIL5747" s="917"/>
      <c r="OIM5747" s="917"/>
      <c r="OIN5747" s="917"/>
      <c r="OIO5747" s="917" t="s">
        <v>78</v>
      </c>
      <c r="OIP5747" s="917"/>
      <c r="OIQ5747" s="917"/>
      <c r="OIR5747" s="917"/>
      <c r="OIS5747" s="917"/>
      <c r="OIT5747" s="917"/>
      <c r="OIU5747" s="917"/>
      <c r="OIV5747" s="917"/>
      <c r="OIW5747" s="917"/>
      <c r="OIX5747" s="917"/>
      <c r="OIY5747" s="917"/>
      <c r="OIZ5747" s="917"/>
      <c r="OJA5747" s="917"/>
      <c r="OJB5747" s="917"/>
      <c r="OJC5747" s="917"/>
      <c r="OJD5747" s="917"/>
      <c r="OJE5747" s="917"/>
      <c r="OJF5747" s="917"/>
      <c r="OJG5747" s="917"/>
      <c r="OJH5747" s="917"/>
      <c r="OJI5747" s="917"/>
      <c r="OJJ5747" s="917"/>
      <c r="OJK5747" s="917"/>
      <c r="OJL5747" s="917"/>
      <c r="OJM5747" s="917"/>
      <c r="OJN5747" s="917"/>
      <c r="OJO5747" s="917"/>
      <c r="OJP5747" s="917"/>
      <c r="OJQ5747" s="917"/>
      <c r="OJR5747" s="917"/>
      <c r="OJS5747" s="917"/>
      <c r="OJT5747" s="917"/>
      <c r="OJU5747" s="917" t="s">
        <v>78</v>
      </c>
      <c r="OJV5747" s="917"/>
      <c r="OJW5747" s="917"/>
      <c r="OJX5747" s="917"/>
      <c r="OJY5747" s="917"/>
      <c r="OJZ5747" s="917"/>
      <c r="OKA5747" s="917"/>
      <c r="OKB5747" s="917"/>
      <c r="OKC5747" s="917"/>
      <c r="OKD5747" s="917"/>
      <c r="OKE5747" s="917"/>
      <c r="OKF5747" s="917"/>
      <c r="OKG5747" s="917"/>
      <c r="OKH5747" s="917"/>
      <c r="OKI5747" s="917"/>
      <c r="OKJ5747" s="917"/>
      <c r="OKK5747" s="917"/>
      <c r="OKL5747" s="917"/>
      <c r="OKM5747" s="917"/>
      <c r="OKN5747" s="917"/>
      <c r="OKO5747" s="917"/>
      <c r="OKP5747" s="917"/>
      <c r="OKQ5747" s="917"/>
      <c r="OKR5747" s="917"/>
      <c r="OKS5747" s="917"/>
      <c r="OKT5747" s="917"/>
      <c r="OKU5747" s="917"/>
      <c r="OKV5747" s="917"/>
      <c r="OKW5747" s="917"/>
      <c r="OKX5747" s="917"/>
      <c r="OKY5747" s="917"/>
      <c r="OKZ5747" s="917"/>
      <c r="OLA5747" s="917" t="s">
        <v>78</v>
      </c>
      <c r="OLB5747" s="917"/>
      <c r="OLC5747" s="917"/>
      <c r="OLD5747" s="917"/>
      <c r="OLE5747" s="917"/>
      <c r="OLF5747" s="917"/>
      <c r="OLG5747" s="917"/>
      <c r="OLH5747" s="917"/>
      <c r="OLI5747" s="917"/>
      <c r="OLJ5747" s="917"/>
      <c r="OLK5747" s="917"/>
      <c r="OLL5747" s="917"/>
      <c r="OLM5747" s="917"/>
      <c r="OLN5747" s="917"/>
      <c r="OLO5747" s="917"/>
      <c r="OLP5747" s="917"/>
      <c r="OLQ5747" s="917"/>
      <c r="OLR5747" s="917"/>
      <c r="OLS5747" s="917"/>
      <c r="OLT5747" s="917"/>
      <c r="OLU5747" s="917"/>
      <c r="OLV5747" s="917"/>
      <c r="OLW5747" s="917"/>
      <c r="OLX5747" s="917"/>
      <c r="OLY5747" s="917"/>
      <c r="OLZ5747" s="917"/>
      <c r="OMA5747" s="917"/>
      <c r="OMB5747" s="917"/>
      <c r="OMC5747" s="917"/>
      <c r="OMD5747" s="917"/>
      <c r="OME5747" s="917"/>
      <c r="OMF5747" s="917"/>
      <c r="OMG5747" s="917" t="s">
        <v>78</v>
      </c>
      <c r="OMH5747" s="917"/>
      <c r="OMI5747" s="917"/>
      <c r="OMJ5747" s="917"/>
      <c r="OMK5747" s="917"/>
      <c r="OML5747" s="917"/>
      <c r="OMM5747" s="917"/>
      <c r="OMN5747" s="917"/>
      <c r="OMO5747" s="917"/>
      <c r="OMP5747" s="917"/>
      <c r="OMQ5747" s="917"/>
      <c r="OMR5747" s="917"/>
      <c r="OMS5747" s="917"/>
      <c r="OMT5747" s="917"/>
      <c r="OMU5747" s="917"/>
      <c r="OMV5747" s="917"/>
      <c r="OMW5747" s="917"/>
      <c r="OMX5747" s="917"/>
      <c r="OMY5747" s="917"/>
      <c r="OMZ5747" s="917"/>
      <c r="ONA5747" s="917"/>
      <c r="ONB5747" s="917"/>
      <c r="ONC5747" s="917"/>
      <c r="OND5747" s="917"/>
      <c r="ONE5747" s="917"/>
      <c r="ONF5747" s="917"/>
      <c r="ONG5747" s="917"/>
      <c r="ONH5747" s="917"/>
      <c r="ONI5747" s="917"/>
      <c r="ONJ5747" s="917"/>
      <c r="ONK5747" s="917"/>
      <c r="ONL5747" s="917"/>
      <c r="ONM5747" s="917" t="s">
        <v>78</v>
      </c>
      <c r="ONN5747" s="917"/>
      <c r="ONO5747" s="917"/>
      <c r="ONP5747" s="917"/>
      <c r="ONQ5747" s="917"/>
      <c r="ONR5747" s="917"/>
      <c r="ONS5747" s="917"/>
      <c r="ONT5747" s="917"/>
      <c r="ONU5747" s="917"/>
      <c r="ONV5747" s="917"/>
      <c r="ONW5747" s="917"/>
      <c r="ONX5747" s="917"/>
      <c r="ONY5747" s="917"/>
      <c r="ONZ5747" s="917"/>
      <c r="OOA5747" s="917"/>
      <c r="OOB5747" s="917"/>
      <c r="OOC5747" s="917"/>
      <c r="OOD5747" s="917"/>
      <c r="OOE5747" s="917"/>
      <c r="OOF5747" s="917"/>
      <c r="OOG5747" s="917"/>
      <c r="OOH5747" s="917"/>
      <c r="OOI5747" s="917"/>
      <c r="OOJ5747" s="917"/>
      <c r="OOK5747" s="917"/>
      <c r="OOL5747" s="917"/>
      <c r="OOM5747" s="917"/>
      <c r="OON5747" s="917"/>
      <c r="OOO5747" s="917"/>
      <c r="OOP5747" s="917"/>
      <c r="OOQ5747" s="917"/>
      <c r="OOR5747" s="917"/>
      <c r="OOS5747" s="917" t="s">
        <v>78</v>
      </c>
      <c r="OOT5747" s="917"/>
      <c r="OOU5747" s="917"/>
      <c r="OOV5747" s="917"/>
      <c r="OOW5747" s="917"/>
      <c r="OOX5747" s="917"/>
      <c r="OOY5747" s="917"/>
      <c r="OOZ5747" s="917"/>
      <c r="OPA5747" s="917"/>
      <c r="OPB5747" s="917"/>
      <c r="OPC5747" s="917"/>
      <c r="OPD5747" s="917"/>
      <c r="OPE5747" s="917"/>
      <c r="OPF5747" s="917"/>
      <c r="OPG5747" s="917"/>
      <c r="OPH5747" s="917"/>
      <c r="OPI5747" s="917"/>
      <c r="OPJ5747" s="917"/>
      <c r="OPK5747" s="917"/>
      <c r="OPL5747" s="917"/>
      <c r="OPM5747" s="917"/>
      <c r="OPN5747" s="917"/>
      <c r="OPO5747" s="917"/>
      <c r="OPP5747" s="917"/>
      <c r="OPQ5747" s="917"/>
      <c r="OPR5747" s="917"/>
      <c r="OPS5747" s="917"/>
      <c r="OPT5747" s="917"/>
      <c r="OPU5747" s="917"/>
      <c r="OPV5747" s="917"/>
      <c r="OPW5747" s="917"/>
      <c r="OPX5747" s="917"/>
      <c r="OPY5747" s="917" t="s">
        <v>78</v>
      </c>
      <c r="OPZ5747" s="917"/>
      <c r="OQA5747" s="917"/>
      <c r="OQB5747" s="917"/>
      <c r="OQC5747" s="917"/>
      <c r="OQD5747" s="917"/>
      <c r="OQE5747" s="917"/>
      <c r="OQF5747" s="917"/>
      <c r="OQG5747" s="917"/>
      <c r="OQH5747" s="917"/>
      <c r="OQI5747" s="917"/>
      <c r="OQJ5747" s="917"/>
      <c r="OQK5747" s="917"/>
      <c r="OQL5747" s="917"/>
      <c r="OQM5747" s="917"/>
      <c r="OQN5747" s="917"/>
      <c r="OQO5747" s="917"/>
      <c r="OQP5747" s="917"/>
      <c r="OQQ5747" s="917"/>
      <c r="OQR5747" s="917"/>
      <c r="OQS5747" s="917"/>
      <c r="OQT5747" s="917"/>
      <c r="OQU5747" s="917"/>
      <c r="OQV5747" s="917"/>
      <c r="OQW5747" s="917"/>
      <c r="OQX5747" s="917"/>
      <c r="OQY5747" s="917"/>
      <c r="OQZ5747" s="917"/>
      <c r="ORA5747" s="917"/>
      <c r="ORB5747" s="917"/>
      <c r="ORC5747" s="917"/>
      <c r="ORD5747" s="917"/>
      <c r="ORE5747" s="917" t="s">
        <v>78</v>
      </c>
      <c r="ORF5747" s="917"/>
      <c r="ORG5747" s="917"/>
      <c r="ORH5747" s="917"/>
      <c r="ORI5747" s="917"/>
      <c r="ORJ5747" s="917"/>
      <c r="ORK5747" s="917"/>
      <c r="ORL5747" s="917"/>
      <c r="ORM5747" s="917"/>
      <c r="ORN5747" s="917"/>
      <c r="ORO5747" s="917"/>
      <c r="ORP5747" s="917"/>
      <c r="ORQ5747" s="917"/>
      <c r="ORR5747" s="917"/>
      <c r="ORS5747" s="917"/>
      <c r="ORT5747" s="917"/>
      <c r="ORU5747" s="917"/>
      <c r="ORV5747" s="917"/>
      <c r="ORW5747" s="917"/>
      <c r="ORX5747" s="917"/>
      <c r="ORY5747" s="917"/>
      <c r="ORZ5747" s="917"/>
      <c r="OSA5747" s="917"/>
      <c r="OSB5747" s="917"/>
      <c r="OSC5747" s="917"/>
      <c r="OSD5747" s="917"/>
      <c r="OSE5747" s="917"/>
      <c r="OSF5747" s="917"/>
      <c r="OSG5747" s="917"/>
      <c r="OSH5747" s="917"/>
      <c r="OSI5747" s="917"/>
      <c r="OSJ5747" s="917"/>
      <c r="OSK5747" s="917" t="s">
        <v>78</v>
      </c>
      <c r="OSL5747" s="917"/>
      <c r="OSM5747" s="917"/>
      <c r="OSN5747" s="917"/>
      <c r="OSO5747" s="917"/>
      <c r="OSP5747" s="917"/>
      <c r="OSQ5747" s="917"/>
      <c r="OSR5747" s="917"/>
      <c r="OSS5747" s="917"/>
      <c r="OST5747" s="917"/>
      <c r="OSU5747" s="917"/>
      <c r="OSV5747" s="917"/>
      <c r="OSW5747" s="917"/>
      <c r="OSX5747" s="917"/>
      <c r="OSY5747" s="917"/>
      <c r="OSZ5747" s="917"/>
      <c r="OTA5747" s="917"/>
      <c r="OTB5747" s="917"/>
      <c r="OTC5747" s="917"/>
      <c r="OTD5747" s="917"/>
      <c r="OTE5747" s="917"/>
      <c r="OTF5747" s="917"/>
      <c r="OTG5747" s="917"/>
      <c r="OTH5747" s="917"/>
      <c r="OTI5747" s="917"/>
      <c r="OTJ5747" s="917"/>
      <c r="OTK5747" s="917"/>
      <c r="OTL5747" s="917"/>
      <c r="OTM5747" s="917"/>
      <c r="OTN5747" s="917"/>
      <c r="OTO5747" s="917"/>
      <c r="OTP5747" s="917"/>
      <c r="OTQ5747" s="917" t="s">
        <v>78</v>
      </c>
      <c r="OTR5747" s="917"/>
      <c r="OTS5747" s="917"/>
      <c r="OTT5747" s="917"/>
      <c r="OTU5747" s="917"/>
      <c r="OTV5747" s="917"/>
      <c r="OTW5747" s="917"/>
      <c r="OTX5747" s="917"/>
      <c r="OTY5747" s="917"/>
      <c r="OTZ5747" s="917"/>
      <c r="OUA5747" s="917"/>
      <c r="OUB5747" s="917"/>
      <c r="OUC5747" s="917"/>
      <c r="OUD5747" s="917"/>
      <c r="OUE5747" s="917"/>
      <c r="OUF5747" s="917"/>
      <c r="OUG5747" s="917"/>
      <c r="OUH5747" s="917"/>
      <c r="OUI5747" s="917"/>
      <c r="OUJ5747" s="917"/>
      <c r="OUK5747" s="917"/>
      <c r="OUL5747" s="917"/>
      <c r="OUM5747" s="917"/>
      <c r="OUN5747" s="917"/>
      <c r="OUO5747" s="917"/>
      <c r="OUP5747" s="917"/>
      <c r="OUQ5747" s="917"/>
      <c r="OUR5747" s="917"/>
      <c r="OUS5747" s="917"/>
      <c r="OUT5747" s="917"/>
      <c r="OUU5747" s="917"/>
      <c r="OUV5747" s="917"/>
      <c r="OUW5747" s="917" t="s">
        <v>78</v>
      </c>
      <c r="OUX5747" s="917"/>
      <c r="OUY5747" s="917"/>
      <c r="OUZ5747" s="917"/>
      <c r="OVA5747" s="917"/>
      <c r="OVB5747" s="917"/>
      <c r="OVC5747" s="917"/>
      <c r="OVD5747" s="917"/>
      <c r="OVE5747" s="917"/>
      <c r="OVF5747" s="917"/>
      <c r="OVG5747" s="917"/>
      <c r="OVH5747" s="917"/>
      <c r="OVI5747" s="917"/>
      <c r="OVJ5747" s="917"/>
      <c r="OVK5747" s="917"/>
      <c r="OVL5747" s="917"/>
      <c r="OVM5747" s="917"/>
      <c r="OVN5747" s="917"/>
      <c r="OVO5747" s="917"/>
      <c r="OVP5747" s="917"/>
      <c r="OVQ5747" s="917"/>
      <c r="OVR5747" s="917"/>
      <c r="OVS5747" s="917"/>
      <c r="OVT5747" s="917"/>
      <c r="OVU5747" s="917"/>
      <c r="OVV5747" s="917"/>
      <c r="OVW5747" s="917"/>
      <c r="OVX5747" s="917"/>
      <c r="OVY5747" s="917"/>
      <c r="OVZ5747" s="917"/>
      <c r="OWA5747" s="917"/>
      <c r="OWB5747" s="917"/>
      <c r="OWC5747" s="917" t="s">
        <v>78</v>
      </c>
      <c r="OWD5747" s="917"/>
      <c r="OWE5747" s="917"/>
      <c r="OWF5747" s="917"/>
      <c r="OWG5747" s="917"/>
      <c r="OWH5747" s="917"/>
      <c r="OWI5747" s="917"/>
      <c r="OWJ5747" s="917"/>
      <c r="OWK5747" s="917"/>
      <c r="OWL5747" s="917"/>
      <c r="OWM5747" s="917"/>
      <c r="OWN5747" s="917"/>
      <c r="OWO5747" s="917"/>
      <c r="OWP5747" s="917"/>
      <c r="OWQ5747" s="917"/>
      <c r="OWR5747" s="917"/>
      <c r="OWS5747" s="917"/>
      <c r="OWT5747" s="917"/>
      <c r="OWU5747" s="917"/>
      <c r="OWV5747" s="917"/>
      <c r="OWW5747" s="917"/>
      <c r="OWX5747" s="917"/>
      <c r="OWY5747" s="917"/>
      <c r="OWZ5747" s="917"/>
      <c r="OXA5747" s="917"/>
      <c r="OXB5747" s="917"/>
      <c r="OXC5747" s="917"/>
      <c r="OXD5747" s="917"/>
      <c r="OXE5747" s="917"/>
      <c r="OXF5747" s="917"/>
      <c r="OXG5747" s="917"/>
      <c r="OXH5747" s="917"/>
      <c r="OXI5747" s="917" t="s">
        <v>78</v>
      </c>
      <c r="OXJ5747" s="917"/>
      <c r="OXK5747" s="917"/>
      <c r="OXL5747" s="917"/>
      <c r="OXM5747" s="917"/>
      <c r="OXN5747" s="917"/>
      <c r="OXO5747" s="917"/>
      <c r="OXP5747" s="917"/>
      <c r="OXQ5747" s="917"/>
      <c r="OXR5747" s="917"/>
      <c r="OXS5747" s="917"/>
      <c r="OXT5747" s="917"/>
      <c r="OXU5747" s="917"/>
      <c r="OXV5747" s="917"/>
      <c r="OXW5747" s="917"/>
      <c r="OXX5747" s="917"/>
      <c r="OXY5747" s="917"/>
      <c r="OXZ5747" s="917"/>
      <c r="OYA5747" s="917"/>
      <c r="OYB5747" s="917"/>
      <c r="OYC5747" s="917"/>
      <c r="OYD5747" s="917"/>
      <c r="OYE5747" s="917"/>
      <c r="OYF5747" s="917"/>
      <c r="OYG5747" s="917"/>
      <c r="OYH5747" s="917"/>
      <c r="OYI5747" s="917"/>
      <c r="OYJ5747" s="917"/>
      <c r="OYK5747" s="917"/>
      <c r="OYL5747" s="917"/>
      <c r="OYM5747" s="917"/>
      <c r="OYN5747" s="917"/>
      <c r="OYO5747" s="917" t="s">
        <v>78</v>
      </c>
      <c r="OYP5747" s="917"/>
      <c r="OYQ5747" s="917"/>
      <c r="OYR5747" s="917"/>
      <c r="OYS5747" s="917"/>
      <c r="OYT5747" s="917"/>
      <c r="OYU5747" s="917"/>
      <c r="OYV5747" s="917"/>
      <c r="OYW5747" s="917"/>
      <c r="OYX5747" s="917"/>
      <c r="OYY5747" s="917"/>
      <c r="OYZ5747" s="917"/>
      <c r="OZA5747" s="917"/>
      <c r="OZB5747" s="917"/>
      <c r="OZC5747" s="917"/>
      <c r="OZD5747" s="917"/>
      <c r="OZE5747" s="917"/>
      <c r="OZF5747" s="917"/>
      <c r="OZG5747" s="917"/>
      <c r="OZH5747" s="917"/>
      <c r="OZI5747" s="917"/>
      <c r="OZJ5747" s="917"/>
      <c r="OZK5747" s="917"/>
      <c r="OZL5747" s="917"/>
      <c r="OZM5747" s="917"/>
      <c r="OZN5747" s="917"/>
      <c r="OZO5747" s="917"/>
      <c r="OZP5747" s="917"/>
      <c r="OZQ5747" s="917"/>
      <c r="OZR5747" s="917"/>
      <c r="OZS5747" s="917"/>
      <c r="OZT5747" s="917"/>
      <c r="OZU5747" s="917" t="s">
        <v>78</v>
      </c>
      <c r="OZV5747" s="917"/>
      <c r="OZW5747" s="917"/>
      <c r="OZX5747" s="917"/>
      <c r="OZY5747" s="917"/>
      <c r="OZZ5747" s="917"/>
      <c r="PAA5747" s="917"/>
      <c r="PAB5747" s="917"/>
      <c r="PAC5747" s="917"/>
      <c r="PAD5747" s="917"/>
      <c r="PAE5747" s="917"/>
      <c r="PAF5747" s="917"/>
      <c r="PAG5747" s="917"/>
      <c r="PAH5747" s="917"/>
      <c r="PAI5747" s="917"/>
      <c r="PAJ5747" s="917"/>
      <c r="PAK5747" s="917"/>
      <c r="PAL5747" s="917"/>
      <c r="PAM5747" s="917"/>
      <c r="PAN5747" s="917"/>
      <c r="PAO5747" s="917"/>
      <c r="PAP5747" s="917"/>
      <c r="PAQ5747" s="917"/>
      <c r="PAR5747" s="917"/>
      <c r="PAS5747" s="917"/>
      <c r="PAT5747" s="917"/>
      <c r="PAU5747" s="917"/>
      <c r="PAV5747" s="917"/>
      <c r="PAW5747" s="917"/>
      <c r="PAX5747" s="917"/>
      <c r="PAY5747" s="917"/>
      <c r="PAZ5747" s="917"/>
      <c r="PBA5747" s="917" t="s">
        <v>78</v>
      </c>
      <c r="PBB5747" s="917"/>
      <c r="PBC5747" s="917"/>
      <c r="PBD5747" s="917"/>
      <c r="PBE5747" s="917"/>
      <c r="PBF5747" s="917"/>
      <c r="PBG5747" s="917"/>
      <c r="PBH5747" s="917"/>
      <c r="PBI5747" s="917"/>
      <c r="PBJ5747" s="917"/>
      <c r="PBK5747" s="917"/>
      <c r="PBL5747" s="917"/>
      <c r="PBM5747" s="917"/>
      <c r="PBN5747" s="917"/>
      <c r="PBO5747" s="917"/>
      <c r="PBP5747" s="917"/>
      <c r="PBQ5747" s="917"/>
      <c r="PBR5747" s="917"/>
      <c r="PBS5747" s="917"/>
      <c r="PBT5747" s="917"/>
      <c r="PBU5747" s="917"/>
      <c r="PBV5747" s="917"/>
      <c r="PBW5747" s="917"/>
      <c r="PBX5747" s="917"/>
      <c r="PBY5747" s="917"/>
      <c r="PBZ5747" s="917"/>
      <c r="PCA5747" s="917"/>
      <c r="PCB5747" s="917"/>
      <c r="PCC5747" s="917"/>
      <c r="PCD5747" s="917"/>
      <c r="PCE5747" s="917"/>
      <c r="PCF5747" s="917"/>
      <c r="PCG5747" s="917" t="s">
        <v>78</v>
      </c>
      <c r="PCH5747" s="917"/>
      <c r="PCI5747" s="917"/>
      <c r="PCJ5747" s="917"/>
      <c r="PCK5747" s="917"/>
      <c r="PCL5747" s="917"/>
      <c r="PCM5747" s="917"/>
      <c r="PCN5747" s="917"/>
      <c r="PCO5747" s="917"/>
      <c r="PCP5747" s="917"/>
      <c r="PCQ5747" s="917"/>
      <c r="PCR5747" s="917"/>
      <c r="PCS5747" s="917"/>
      <c r="PCT5747" s="917"/>
      <c r="PCU5747" s="917"/>
      <c r="PCV5747" s="917"/>
      <c r="PCW5747" s="917"/>
      <c r="PCX5747" s="917"/>
      <c r="PCY5747" s="917"/>
      <c r="PCZ5747" s="917"/>
      <c r="PDA5747" s="917"/>
      <c r="PDB5747" s="917"/>
      <c r="PDC5747" s="917"/>
      <c r="PDD5747" s="917"/>
      <c r="PDE5747" s="917"/>
      <c r="PDF5747" s="917"/>
      <c r="PDG5747" s="917"/>
      <c r="PDH5747" s="917"/>
      <c r="PDI5747" s="917"/>
      <c r="PDJ5747" s="917"/>
      <c r="PDK5747" s="917"/>
      <c r="PDL5747" s="917"/>
      <c r="PDM5747" s="917" t="s">
        <v>78</v>
      </c>
      <c r="PDN5747" s="917"/>
      <c r="PDO5747" s="917"/>
      <c r="PDP5747" s="917"/>
      <c r="PDQ5747" s="917"/>
      <c r="PDR5747" s="917"/>
      <c r="PDS5747" s="917"/>
      <c r="PDT5747" s="917"/>
      <c r="PDU5747" s="917"/>
      <c r="PDV5747" s="917"/>
      <c r="PDW5747" s="917"/>
      <c r="PDX5747" s="917"/>
      <c r="PDY5747" s="917"/>
      <c r="PDZ5747" s="917"/>
      <c r="PEA5747" s="917"/>
      <c r="PEB5747" s="917"/>
      <c r="PEC5747" s="917"/>
      <c r="PED5747" s="917"/>
      <c r="PEE5747" s="917"/>
      <c r="PEF5747" s="917"/>
      <c r="PEG5747" s="917"/>
      <c r="PEH5747" s="917"/>
      <c r="PEI5747" s="917"/>
      <c r="PEJ5747" s="917"/>
      <c r="PEK5747" s="917"/>
      <c r="PEL5747" s="917"/>
      <c r="PEM5747" s="917"/>
      <c r="PEN5747" s="917"/>
      <c r="PEO5747" s="917"/>
      <c r="PEP5747" s="917"/>
      <c r="PEQ5747" s="917"/>
      <c r="PER5747" s="917"/>
      <c r="PES5747" s="917" t="s">
        <v>78</v>
      </c>
      <c r="PET5747" s="917"/>
      <c r="PEU5747" s="917"/>
      <c r="PEV5747" s="917"/>
      <c r="PEW5747" s="917"/>
      <c r="PEX5747" s="917"/>
      <c r="PEY5747" s="917"/>
      <c r="PEZ5747" s="917"/>
      <c r="PFA5747" s="917"/>
      <c r="PFB5747" s="917"/>
      <c r="PFC5747" s="917"/>
      <c r="PFD5747" s="917"/>
      <c r="PFE5747" s="917"/>
      <c r="PFF5747" s="917"/>
      <c r="PFG5747" s="917"/>
      <c r="PFH5747" s="917"/>
      <c r="PFI5747" s="917"/>
      <c r="PFJ5747" s="917"/>
      <c r="PFK5747" s="917"/>
      <c r="PFL5747" s="917"/>
      <c r="PFM5747" s="917"/>
      <c r="PFN5747" s="917"/>
      <c r="PFO5747" s="917"/>
      <c r="PFP5747" s="917"/>
      <c r="PFQ5747" s="917"/>
      <c r="PFR5747" s="917"/>
      <c r="PFS5747" s="917"/>
      <c r="PFT5747" s="917"/>
      <c r="PFU5747" s="917"/>
      <c r="PFV5747" s="917"/>
      <c r="PFW5747" s="917"/>
      <c r="PFX5747" s="917"/>
      <c r="PFY5747" s="917" t="s">
        <v>78</v>
      </c>
      <c r="PFZ5747" s="917"/>
      <c r="PGA5747" s="917"/>
      <c r="PGB5747" s="917"/>
      <c r="PGC5747" s="917"/>
      <c r="PGD5747" s="917"/>
      <c r="PGE5747" s="917"/>
      <c r="PGF5747" s="917"/>
      <c r="PGG5747" s="917"/>
      <c r="PGH5747" s="917"/>
      <c r="PGI5747" s="917"/>
      <c r="PGJ5747" s="917"/>
      <c r="PGK5747" s="917"/>
      <c r="PGL5747" s="917"/>
      <c r="PGM5747" s="917"/>
      <c r="PGN5747" s="917"/>
      <c r="PGO5747" s="917"/>
      <c r="PGP5747" s="917"/>
      <c r="PGQ5747" s="917"/>
      <c r="PGR5747" s="917"/>
      <c r="PGS5747" s="917"/>
      <c r="PGT5747" s="917"/>
      <c r="PGU5747" s="917"/>
      <c r="PGV5747" s="917"/>
      <c r="PGW5747" s="917"/>
      <c r="PGX5747" s="917"/>
      <c r="PGY5747" s="917"/>
      <c r="PGZ5747" s="917"/>
      <c r="PHA5747" s="917"/>
      <c r="PHB5747" s="917"/>
      <c r="PHC5747" s="917"/>
      <c r="PHD5747" s="917"/>
      <c r="PHE5747" s="917" t="s">
        <v>78</v>
      </c>
      <c r="PHF5747" s="917"/>
      <c r="PHG5747" s="917"/>
      <c r="PHH5747" s="917"/>
      <c r="PHI5747" s="917"/>
      <c r="PHJ5747" s="917"/>
      <c r="PHK5747" s="917"/>
      <c r="PHL5747" s="917"/>
      <c r="PHM5747" s="917"/>
      <c r="PHN5747" s="917"/>
      <c r="PHO5747" s="917"/>
      <c r="PHP5747" s="917"/>
      <c r="PHQ5747" s="917"/>
      <c r="PHR5747" s="917"/>
      <c r="PHS5747" s="917"/>
      <c r="PHT5747" s="917"/>
      <c r="PHU5747" s="917"/>
      <c r="PHV5747" s="917"/>
      <c r="PHW5747" s="917"/>
      <c r="PHX5747" s="917"/>
      <c r="PHY5747" s="917"/>
      <c r="PHZ5747" s="917"/>
      <c r="PIA5747" s="917"/>
      <c r="PIB5747" s="917"/>
      <c r="PIC5747" s="917"/>
      <c r="PID5747" s="917"/>
      <c r="PIE5747" s="917"/>
      <c r="PIF5747" s="917"/>
      <c r="PIG5747" s="917"/>
      <c r="PIH5747" s="917"/>
      <c r="PII5747" s="917"/>
      <c r="PIJ5747" s="917"/>
      <c r="PIK5747" s="917" t="s">
        <v>78</v>
      </c>
      <c r="PIL5747" s="917"/>
      <c r="PIM5747" s="917"/>
      <c r="PIN5747" s="917"/>
      <c r="PIO5747" s="917"/>
      <c r="PIP5747" s="917"/>
      <c r="PIQ5747" s="917"/>
      <c r="PIR5747" s="917"/>
      <c r="PIS5747" s="917"/>
      <c r="PIT5747" s="917"/>
      <c r="PIU5747" s="917"/>
      <c r="PIV5747" s="917"/>
      <c r="PIW5747" s="917"/>
      <c r="PIX5747" s="917"/>
      <c r="PIY5747" s="917"/>
      <c r="PIZ5747" s="917"/>
      <c r="PJA5747" s="917"/>
      <c r="PJB5747" s="917"/>
      <c r="PJC5747" s="917"/>
      <c r="PJD5747" s="917"/>
      <c r="PJE5747" s="917"/>
      <c r="PJF5747" s="917"/>
      <c r="PJG5747" s="917"/>
      <c r="PJH5747" s="917"/>
      <c r="PJI5747" s="917"/>
      <c r="PJJ5747" s="917"/>
      <c r="PJK5747" s="917"/>
      <c r="PJL5747" s="917"/>
      <c r="PJM5747" s="917"/>
      <c r="PJN5747" s="917"/>
      <c r="PJO5747" s="917"/>
      <c r="PJP5747" s="917"/>
      <c r="PJQ5747" s="917" t="s">
        <v>78</v>
      </c>
      <c r="PJR5747" s="917"/>
      <c r="PJS5747" s="917"/>
      <c r="PJT5747" s="917"/>
      <c r="PJU5747" s="917"/>
      <c r="PJV5747" s="917"/>
      <c r="PJW5747" s="917"/>
      <c r="PJX5747" s="917"/>
      <c r="PJY5747" s="917"/>
      <c r="PJZ5747" s="917"/>
      <c r="PKA5747" s="917"/>
      <c r="PKB5747" s="917"/>
      <c r="PKC5747" s="917"/>
      <c r="PKD5747" s="917"/>
      <c r="PKE5747" s="917"/>
      <c r="PKF5747" s="917"/>
      <c r="PKG5747" s="917"/>
      <c r="PKH5747" s="917"/>
      <c r="PKI5747" s="917"/>
      <c r="PKJ5747" s="917"/>
      <c r="PKK5747" s="917"/>
      <c r="PKL5747" s="917"/>
      <c r="PKM5747" s="917"/>
      <c r="PKN5747" s="917"/>
      <c r="PKO5747" s="917"/>
      <c r="PKP5747" s="917"/>
      <c r="PKQ5747" s="917"/>
      <c r="PKR5747" s="917"/>
      <c r="PKS5747" s="917"/>
      <c r="PKT5747" s="917"/>
      <c r="PKU5747" s="917"/>
      <c r="PKV5747" s="917"/>
      <c r="PKW5747" s="917" t="s">
        <v>78</v>
      </c>
      <c r="PKX5747" s="917"/>
      <c r="PKY5747" s="917"/>
      <c r="PKZ5747" s="917"/>
      <c r="PLA5747" s="917"/>
      <c r="PLB5747" s="917"/>
      <c r="PLC5747" s="917"/>
      <c r="PLD5747" s="917"/>
      <c r="PLE5747" s="917"/>
      <c r="PLF5747" s="917"/>
      <c r="PLG5747" s="917"/>
      <c r="PLH5747" s="917"/>
      <c r="PLI5747" s="917"/>
      <c r="PLJ5747" s="917"/>
      <c r="PLK5747" s="917"/>
      <c r="PLL5747" s="917"/>
      <c r="PLM5747" s="917"/>
      <c r="PLN5747" s="917"/>
      <c r="PLO5747" s="917"/>
      <c r="PLP5747" s="917"/>
      <c r="PLQ5747" s="917"/>
      <c r="PLR5747" s="917"/>
      <c r="PLS5747" s="917"/>
      <c r="PLT5747" s="917"/>
      <c r="PLU5747" s="917"/>
      <c r="PLV5747" s="917"/>
      <c r="PLW5747" s="917"/>
      <c r="PLX5747" s="917"/>
      <c r="PLY5747" s="917"/>
      <c r="PLZ5747" s="917"/>
      <c r="PMA5747" s="917"/>
      <c r="PMB5747" s="917"/>
      <c r="PMC5747" s="917" t="s">
        <v>78</v>
      </c>
      <c r="PMD5747" s="917"/>
      <c r="PME5747" s="917"/>
      <c r="PMF5747" s="917"/>
      <c r="PMG5747" s="917"/>
      <c r="PMH5747" s="917"/>
      <c r="PMI5747" s="917"/>
      <c r="PMJ5747" s="917"/>
      <c r="PMK5747" s="917"/>
      <c r="PML5747" s="917"/>
      <c r="PMM5747" s="917"/>
      <c r="PMN5747" s="917"/>
      <c r="PMO5747" s="917"/>
      <c r="PMP5747" s="917"/>
      <c r="PMQ5747" s="917"/>
      <c r="PMR5747" s="917"/>
      <c r="PMS5747" s="917"/>
      <c r="PMT5747" s="917"/>
      <c r="PMU5747" s="917"/>
      <c r="PMV5747" s="917"/>
      <c r="PMW5747" s="917"/>
      <c r="PMX5747" s="917"/>
      <c r="PMY5747" s="917"/>
      <c r="PMZ5747" s="917"/>
      <c r="PNA5747" s="917"/>
      <c r="PNB5747" s="917"/>
      <c r="PNC5747" s="917"/>
      <c r="PND5747" s="917"/>
      <c r="PNE5747" s="917"/>
      <c r="PNF5747" s="917"/>
      <c r="PNG5747" s="917"/>
      <c r="PNH5747" s="917"/>
      <c r="PNI5747" s="917" t="s">
        <v>78</v>
      </c>
      <c r="PNJ5747" s="917"/>
      <c r="PNK5747" s="917"/>
      <c r="PNL5747" s="917"/>
      <c r="PNM5747" s="917"/>
      <c r="PNN5747" s="917"/>
      <c r="PNO5747" s="917"/>
      <c r="PNP5747" s="917"/>
      <c r="PNQ5747" s="917"/>
      <c r="PNR5747" s="917"/>
      <c r="PNS5747" s="917"/>
      <c r="PNT5747" s="917"/>
      <c r="PNU5747" s="917"/>
      <c r="PNV5747" s="917"/>
      <c r="PNW5747" s="917"/>
      <c r="PNX5747" s="917"/>
      <c r="PNY5747" s="917"/>
      <c r="PNZ5747" s="917"/>
      <c r="POA5747" s="917"/>
      <c r="POB5747" s="917"/>
      <c r="POC5747" s="917"/>
      <c r="POD5747" s="917"/>
      <c r="POE5747" s="917"/>
      <c r="POF5747" s="917"/>
      <c r="POG5747" s="917"/>
      <c r="POH5747" s="917"/>
      <c r="POI5747" s="917"/>
      <c r="POJ5747" s="917"/>
      <c r="POK5747" s="917"/>
      <c r="POL5747" s="917"/>
      <c r="POM5747" s="917"/>
      <c r="PON5747" s="917"/>
      <c r="POO5747" s="917" t="s">
        <v>78</v>
      </c>
      <c r="POP5747" s="917"/>
      <c r="POQ5747" s="917"/>
      <c r="POR5747" s="917"/>
      <c r="POS5747" s="917"/>
      <c r="POT5747" s="917"/>
      <c r="POU5747" s="917"/>
      <c r="POV5747" s="917"/>
      <c r="POW5747" s="917"/>
      <c r="POX5747" s="917"/>
      <c r="POY5747" s="917"/>
      <c r="POZ5747" s="917"/>
      <c r="PPA5747" s="917"/>
      <c r="PPB5747" s="917"/>
      <c r="PPC5747" s="917"/>
      <c r="PPD5747" s="917"/>
      <c r="PPE5747" s="917"/>
      <c r="PPF5747" s="917"/>
      <c r="PPG5747" s="917"/>
      <c r="PPH5747" s="917"/>
      <c r="PPI5747" s="917"/>
      <c r="PPJ5747" s="917"/>
      <c r="PPK5747" s="917"/>
      <c r="PPL5747" s="917"/>
      <c r="PPM5747" s="917"/>
      <c r="PPN5747" s="917"/>
      <c r="PPO5747" s="917"/>
      <c r="PPP5747" s="917"/>
      <c r="PPQ5747" s="917"/>
      <c r="PPR5747" s="917"/>
      <c r="PPS5747" s="917"/>
      <c r="PPT5747" s="917"/>
      <c r="PPU5747" s="917" t="s">
        <v>78</v>
      </c>
      <c r="PPV5747" s="917"/>
      <c r="PPW5747" s="917"/>
      <c r="PPX5747" s="917"/>
      <c r="PPY5747" s="917"/>
      <c r="PPZ5747" s="917"/>
      <c r="PQA5747" s="917"/>
      <c r="PQB5747" s="917"/>
      <c r="PQC5747" s="917"/>
      <c r="PQD5747" s="917"/>
      <c r="PQE5747" s="917"/>
      <c r="PQF5747" s="917"/>
      <c r="PQG5747" s="917"/>
      <c r="PQH5747" s="917"/>
      <c r="PQI5747" s="917"/>
      <c r="PQJ5747" s="917"/>
      <c r="PQK5747" s="917"/>
      <c r="PQL5747" s="917"/>
      <c r="PQM5747" s="917"/>
      <c r="PQN5747" s="917"/>
      <c r="PQO5747" s="917"/>
      <c r="PQP5747" s="917"/>
      <c r="PQQ5747" s="917"/>
      <c r="PQR5747" s="917"/>
      <c r="PQS5747" s="917"/>
      <c r="PQT5747" s="917"/>
      <c r="PQU5747" s="917"/>
      <c r="PQV5747" s="917"/>
      <c r="PQW5747" s="917"/>
      <c r="PQX5747" s="917"/>
      <c r="PQY5747" s="917"/>
      <c r="PQZ5747" s="917"/>
      <c r="PRA5747" s="917" t="s">
        <v>78</v>
      </c>
      <c r="PRB5747" s="917"/>
      <c r="PRC5747" s="917"/>
      <c r="PRD5747" s="917"/>
      <c r="PRE5747" s="917"/>
      <c r="PRF5747" s="917"/>
      <c r="PRG5747" s="917"/>
      <c r="PRH5747" s="917"/>
      <c r="PRI5747" s="917"/>
      <c r="PRJ5747" s="917"/>
      <c r="PRK5747" s="917"/>
      <c r="PRL5747" s="917"/>
      <c r="PRM5747" s="917"/>
      <c r="PRN5747" s="917"/>
      <c r="PRO5747" s="917"/>
      <c r="PRP5747" s="917"/>
      <c r="PRQ5747" s="917"/>
      <c r="PRR5747" s="917"/>
      <c r="PRS5747" s="917"/>
      <c r="PRT5747" s="917"/>
      <c r="PRU5747" s="917"/>
      <c r="PRV5747" s="917"/>
      <c r="PRW5747" s="917"/>
      <c r="PRX5747" s="917"/>
      <c r="PRY5747" s="917"/>
      <c r="PRZ5747" s="917"/>
      <c r="PSA5747" s="917"/>
      <c r="PSB5747" s="917"/>
      <c r="PSC5747" s="917"/>
      <c r="PSD5747" s="917"/>
      <c r="PSE5747" s="917"/>
      <c r="PSF5747" s="917"/>
      <c r="PSG5747" s="917" t="s">
        <v>78</v>
      </c>
      <c r="PSH5747" s="917"/>
      <c r="PSI5747" s="917"/>
      <c r="PSJ5747" s="917"/>
      <c r="PSK5747" s="917"/>
      <c r="PSL5747" s="917"/>
      <c r="PSM5747" s="917"/>
      <c r="PSN5747" s="917"/>
      <c r="PSO5747" s="917"/>
      <c r="PSP5747" s="917"/>
      <c r="PSQ5747" s="917"/>
      <c r="PSR5747" s="917"/>
      <c r="PSS5747" s="917"/>
      <c r="PST5747" s="917"/>
      <c r="PSU5747" s="917"/>
      <c r="PSV5747" s="917"/>
      <c r="PSW5747" s="917"/>
      <c r="PSX5747" s="917"/>
      <c r="PSY5747" s="917"/>
      <c r="PSZ5747" s="917"/>
      <c r="PTA5747" s="917"/>
      <c r="PTB5747" s="917"/>
      <c r="PTC5747" s="917"/>
      <c r="PTD5747" s="917"/>
      <c r="PTE5747" s="917"/>
      <c r="PTF5747" s="917"/>
      <c r="PTG5747" s="917"/>
      <c r="PTH5747" s="917"/>
      <c r="PTI5747" s="917"/>
      <c r="PTJ5747" s="917"/>
      <c r="PTK5747" s="917"/>
      <c r="PTL5747" s="917"/>
      <c r="PTM5747" s="917" t="s">
        <v>78</v>
      </c>
      <c r="PTN5747" s="917"/>
      <c r="PTO5747" s="917"/>
      <c r="PTP5747" s="917"/>
      <c r="PTQ5747" s="917"/>
      <c r="PTR5747" s="917"/>
      <c r="PTS5747" s="917"/>
      <c r="PTT5747" s="917"/>
      <c r="PTU5747" s="917"/>
      <c r="PTV5747" s="917"/>
      <c r="PTW5747" s="917"/>
      <c r="PTX5747" s="917"/>
      <c r="PTY5747" s="917"/>
      <c r="PTZ5747" s="917"/>
      <c r="PUA5747" s="917"/>
      <c r="PUB5747" s="917"/>
      <c r="PUC5747" s="917"/>
      <c r="PUD5747" s="917"/>
      <c r="PUE5747" s="917"/>
      <c r="PUF5747" s="917"/>
      <c r="PUG5747" s="917"/>
      <c r="PUH5747" s="917"/>
      <c r="PUI5747" s="917"/>
      <c r="PUJ5747" s="917"/>
      <c r="PUK5747" s="917"/>
      <c r="PUL5747" s="917"/>
      <c r="PUM5747" s="917"/>
      <c r="PUN5747" s="917"/>
      <c r="PUO5747" s="917"/>
      <c r="PUP5747" s="917"/>
      <c r="PUQ5747" s="917"/>
      <c r="PUR5747" s="917"/>
      <c r="PUS5747" s="917" t="s">
        <v>78</v>
      </c>
      <c r="PUT5747" s="917"/>
      <c r="PUU5747" s="917"/>
      <c r="PUV5747" s="917"/>
      <c r="PUW5747" s="917"/>
      <c r="PUX5747" s="917"/>
      <c r="PUY5747" s="917"/>
      <c r="PUZ5747" s="917"/>
      <c r="PVA5747" s="917"/>
      <c r="PVB5747" s="917"/>
      <c r="PVC5747" s="917"/>
      <c r="PVD5747" s="917"/>
      <c r="PVE5747" s="917"/>
      <c r="PVF5747" s="917"/>
      <c r="PVG5747" s="917"/>
      <c r="PVH5747" s="917"/>
      <c r="PVI5747" s="917"/>
      <c r="PVJ5747" s="917"/>
      <c r="PVK5747" s="917"/>
      <c r="PVL5747" s="917"/>
      <c r="PVM5747" s="917"/>
      <c r="PVN5747" s="917"/>
      <c r="PVO5747" s="917"/>
      <c r="PVP5747" s="917"/>
      <c r="PVQ5747" s="917"/>
      <c r="PVR5747" s="917"/>
      <c r="PVS5747" s="917"/>
      <c r="PVT5747" s="917"/>
      <c r="PVU5747" s="917"/>
      <c r="PVV5747" s="917"/>
      <c r="PVW5747" s="917"/>
      <c r="PVX5747" s="917"/>
      <c r="PVY5747" s="917" t="s">
        <v>78</v>
      </c>
      <c r="PVZ5747" s="917"/>
      <c r="PWA5747" s="917"/>
      <c r="PWB5747" s="917"/>
      <c r="PWC5747" s="917"/>
      <c r="PWD5747" s="917"/>
      <c r="PWE5747" s="917"/>
      <c r="PWF5747" s="917"/>
      <c r="PWG5747" s="917"/>
      <c r="PWH5747" s="917"/>
      <c r="PWI5747" s="917"/>
      <c r="PWJ5747" s="917"/>
      <c r="PWK5747" s="917"/>
      <c r="PWL5747" s="917"/>
      <c r="PWM5747" s="917"/>
      <c r="PWN5747" s="917"/>
      <c r="PWO5747" s="917"/>
      <c r="PWP5747" s="917"/>
      <c r="PWQ5747" s="917"/>
      <c r="PWR5747" s="917"/>
      <c r="PWS5747" s="917"/>
      <c r="PWT5747" s="917"/>
      <c r="PWU5747" s="917"/>
      <c r="PWV5747" s="917"/>
      <c r="PWW5747" s="917"/>
      <c r="PWX5747" s="917"/>
      <c r="PWY5747" s="917"/>
      <c r="PWZ5747" s="917"/>
      <c r="PXA5747" s="917"/>
      <c r="PXB5747" s="917"/>
      <c r="PXC5747" s="917"/>
      <c r="PXD5747" s="917"/>
      <c r="PXE5747" s="917" t="s">
        <v>78</v>
      </c>
      <c r="PXF5747" s="917"/>
      <c r="PXG5747" s="917"/>
      <c r="PXH5747" s="917"/>
      <c r="PXI5747" s="917"/>
      <c r="PXJ5747" s="917"/>
      <c r="PXK5747" s="917"/>
      <c r="PXL5747" s="917"/>
      <c r="PXM5747" s="917"/>
      <c r="PXN5747" s="917"/>
      <c r="PXO5747" s="917"/>
      <c r="PXP5747" s="917"/>
      <c r="PXQ5747" s="917"/>
      <c r="PXR5747" s="917"/>
      <c r="PXS5747" s="917"/>
      <c r="PXT5747" s="917"/>
      <c r="PXU5747" s="917"/>
      <c r="PXV5747" s="917"/>
      <c r="PXW5747" s="917"/>
      <c r="PXX5747" s="917"/>
      <c r="PXY5747" s="917"/>
      <c r="PXZ5747" s="917"/>
      <c r="PYA5747" s="917"/>
      <c r="PYB5747" s="917"/>
      <c r="PYC5747" s="917"/>
      <c r="PYD5747" s="917"/>
      <c r="PYE5747" s="917"/>
      <c r="PYF5747" s="917"/>
      <c r="PYG5747" s="917"/>
      <c r="PYH5747" s="917"/>
      <c r="PYI5747" s="917"/>
      <c r="PYJ5747" s="917"/>
      <c r="PYK5747" s="917" t="s">
        <v>78</v>
      </c>
      <c r="PYL5747" s="917"/>
      <c r="PYM5747" s="917"/>
      <c r="PYN5747" s="917"/>
      <c r="PYO5747" s="917"/>
      <c r="PYP5747" s="917"/>
      <c r="PYQ5747" s="917"/>
      <c r="PYR5747" s="917"/>
      <c r="PYS5747" s="917"/>
      <c r="PYT5747" s="917"/>
      <c r="PYU5747" s="917"/>
      <c r="PYV5747" s="917"/>
      <c r="PYW5747" s="917"/>
      <c r="PYX5747" s="917"/>
      <c r="PYY5747" s="917"/>
      <c r="PYZ5747" s="917"/>
      <c r="PZA5747" s="917"/>
      <c r="PZB5747" s="917"/>
      <c r="PZC5747" s="917"/>
      <c r="PZD5747" s="917"/>
      <c r="PZE5747" s="917"/>
      <c r="PZF5747" s="917"/>
      <c r="PZG5747" s="917"/>
      <c r="PZH5747" s="917"/>
      <c r="PZI5747" s="917"/>
      <c r="PZJ5747" s="917"/>
      <c r="PZK5747" s="917"/>
      <c r="PZL5747" s="917"/>
      <c r="PZM5747" s="917"/>
      <c r="PZN5747" s="917"/>
      <c r="PZO5747" s="917"/>
      <c r="PZP5747" s="917"/>
      <c r="PZQ5747" s="917" t="s">
        <v>78</v>
      </c>
      <c r="PZR5747" s="917"/>
      <c r="PZS5747" s="917"/>
      <c r="PZT5747" s="917"/>
      <c r="PZU5747" s="917"/>
      <c r="PZV5747" s="917"/>
      <c r="PZW5747" s="917"/>
      <c r="PZX5747" s="917"/>
      <c r="PZY5747" s="917"/>
      <c r="PZZ5747" s="917"/>
      <c r="QAA5747" s="917"/>
      <c r="QAB5747" s="917"/>
      <c r="QAC5747" s="917"/>
      <c r="QAD5747" s="917"/>
      <c r="QAE5747" s="917"/>
      <c r="QAF5747" s="917"/>
      <c r="QAG5747" s="917"/>
      <c r="QAH5747" s="917"/>
      <c r="QAI5747" s="917"/>
      <c r="QAJ5747" s="917"/>
      <c r="QAK5747" s="917"/>
      <c r="QAL5747" s="917"/>
      <c r="QAM5747" s="917"/>
      <c r="QAN5747" s="917"/>
      <c r="QAO5747" s="917"/>
      <c r="QAP5747" s="917"/>
      <c r="QAQ5747" s="917"/>
      <c r="QAR5747" s="917"/>
      <c r="QAS5747" s="917"/>
      <c r="QAT5747" s="917"/>
      <c r="QAU5747" s="917"/>
      <c r="QAV5747" s="917"/>
      <c r="QAW5747" s="917" t="s">
        <v>78</v>
      </c>
      <c r="QAX5747" s="917"/>
      <c r="QAY5747" s="917"/>
      <c r="QAZ5747" s="917"/>
      <c r="QBA5747" s="917"/>
      <c r="QBB5747" s="917"/>
      <c r="QBC5747" s="917"/>
      <c r="QBD5747" s="917"/>
      <c r="QBE5747" s="917"/>
      <c r="QBF5747" s="917"/>
      <c r="QBG5747" s="917"/>
      <c r="QBH5747" s="917"/>
      <c r="QBI5747" s="917"/>
      <c r="QBJ5747" s="917"/>
      <c r="QBK5747" s="917"/>
      <c r="QBL5747" s="917"/>
      <c r="QBM5747" s="917"/>
      <c r="QBN5747" s="917"/>
      <c r="QBO5747" s="917"/>
      <c r="QBP5747" s="917"/>
      <c r="QBQ5747" s="917"/>
      <c r="QBR5747" s="917"/>
      <c r="QBS5747" s="917"/>
      <c r="QBT5747" s="917"/>
      <c r="QBU5747" s="917"/>
      <c r="QBV5747" s="917"/>
      <c r="QBW5747" s="917"/>
      <c r="QBX5747" s="917"/>
      <c r="QBY5747" s="917"/>
      <c r="QBZ5747" s="917"/>
      <c r="QCA5747" s="917"/>
      <c r="QCB5747" s="917"/>
      <c r="QCC5747" s="917" t="s">
        <v>78</v>
      </c>
      <c r="QCD5747" s="917"/>
      <c r="QCE5747" s="917"/>
      <c r="QCF5747" s="917"/>
      <c r="QCG5747" s="917"/>
      <c r="QCH5747" s="917"/>
      <c r="QCI5747" s="917"/>
      <c r="QCJ5747" s="917"/>
      <c r="QCK5747" s="917"/>
      <c r="QCL5747" s="917"/>
      <c r="QCM5747" s="917"/>
      <c r="QCN5747" s="917"/>
      <c r="QCO5747" s="917"/>
      <c r="QCP5747" s="917"/>
      <c r="QCQ5747" s="917"/>
      <c r="QCR5747" s="917"/>
      <c r="QCS5747" s="917"/>
      <c r="QCT5747" s="917"/>
      <c r="QCU5747" s="917"/>
      <c r="QCV5747" s="917"/>
      <c r="QCW5747" s="917"/>
      <c r="QCX5747" s="917"/>
      <c r="QCY5747" s="917"/>
      <c r="QCZ5747" s="917"/>
      <c r="QDA5747" s="917"/>
      <c r="QDB5747" s="917"/>
      <c r="QDC5747" s="917"/>
      <c r="QDD5747" s="917"/>
      <c r="QDE5747" s="917"/>
      <c r="QDF5747" s="917"/>
      <c r="QDG5747" s="917"/>
      <c r="QDH5747" s="917"/>
      <c r="QDI5747" s="917" t="s">
        <v>78</v>
      </c>
      <c r="QDJ5747" s="917"/>
      <c r="QDK5747" s="917"/>
      <c r="QDL5747" s="917"/>
      <c r="QDM5747" s="917"/>
      <c r="QDN5747" s="917"/>
      <c r="QDO5747" s="917"/>
      <c r="QDP5747" s="917"/>
      <c r="QDQ5747" s="917"/>
      <c r="QDR5747" s="917"/>
      <c r="QDS5747" s="917"/>
      <c r="QDT5747" s="917"/>
      <c r="QDU5747" s="917"/>
      <c r="QDV5747" s="917"/>
      <c r="QDW5747" s="917"/>
      <c r="QDX5747" s="917"/>
      <c r="QDY5747" s="917"/>
      <c r="QDZ5747" s="917"/>
      <c r="QEA5747" s="917"/>
      <c r="QEB5747" s="917"/>
      <c r="QEC5747" s="917"/>
      <c r="QED5747" s="917"/>
      <c r="QEE5747" s="917"/>
      <c r="QEF5747" s="917"/>
      <c r="QEG5747" s="917"/>
      <c r="QEH5747" s="917"/>
      <c r="QEI5747" s="917"/>
      <c r="QEJ5747" s="917"/>
      <c r="QEK5747" s="917"/>
      <c r="QEL5747" s="917"/>
      <c r="QEM5747" s="917"/>
      <c r="QEN5747" s="917"/>
      <c r="QEO5747" s="917" t="s">
        <v>78</v>
      </c>
      <c r="QEP5747" s="917"/>
      <c r="QEQ5747" s="917"/>
      <c r="QER5747" s="917"/>
      <c r="QES5747" s="917"/>
      <c r="QET5747" s="917"/>
      <c r="QEU5747" s="917"/>
      <c r="QEV5747" s="917"/>
      <c r="QEW5747" s="917"/>
      <c r="QEX5747" s="917"/>
      <c r="QEY5747" s="917"/>
      <c r="QEZ5747" s="917"/>
      <c r="QFA5747" s="917"/>
      <c r="QFB5747" s="917"/>
      <c r="QFC5747" s="917"/>
      <c r="QFD5747" s="917"/>
      <c r="QFE5747" s="917"/>
      <c r="QFF5747" s="917"/>
      <c r="QFG5747" s="917"/>
      <c r="QFH5747" s="917"/>
      <c r="QFI5747" s="917"/>
      <c r="QFJ5747" s="917"/>
      <c r="QFK5747" s="917"/>
      <c r="QFL5747" s="917"/>
      <c r="QFM5747" s="917"/>
      <c r="QFN5747" s="917"/>
      <c r="QFO5747" s="917"/>
      <c r="QFP5747" s="917"/>
      <c r="QFQ5747" s="917"/>
      <c r="QFR5747" s="917"/>
      <c r="QFS5747" s="917"/>
      <c r="QFT5747" s="917"/>
      <c r="QFU5747" s="917" t="s">
        <v>78</v>
      </c>
      <c r="QFV5747" s="917"/>
      <c r="QFW5747" s="917"/>
      <c r="QFX5747" s="917"/>
      <c r="QFY5747" s="917"/>
      <c r="QFZ5747" s="917"/>
      <c r="QGA5747" s="917"/>
      <c r="QGB5747" s="917"/>
      <c r="QGC5747" s="917"/>
      <c r="QGD5747" s="917"/>
      <c r="QGE5747" s="917"/>
      <c r="QGF5747" s="917"/>
      <c r="QGG5747" s="917"/>
      <c r="QGH5747" s="917"/>
      <c r="QGI5747" s="917"/>
      <c r="QGJ5747" s="917"/>
      <c r="QGK5747" s="917"/>
      <c r="QGL5747" s="917"/>
      <c r="QGM5747" s="917"/>
      <c r="QGN5747" s="917"/>
      <c r="QGO5747" s="917"/>
      <c r="QGP5747" s="917"/>
      <c r="QGQ5747" s="917"/>
      <c r="QGR5747" s="917"/>
      <c r="QGS5747" s="917"/>
      <c r="QGT5747" s="917"/>
      <c r="QGU5747" s="917"/>
      <c r="QGV5747" s="917"/>
      <c r="QGW5747" s="917"/>
      <c r="QGX5747" s="917"/>
      <c r="QGY5747" s="917"/>
      <c r="QGZ5747" s="917"/>
      <c r="QHA5747" s="917" t="s">
        <v>78</v>
      </c>
      <c r="QHB5747" s="917"/>
      <c r="QHC5747" s="917"/>
      <c r="QHD5747" s="917"/>
      <c r="QHE5747" s="917"/>
      <c r="QHF5747" s="917"/>
      <c r="QHG5747" s="917"/>
      <c r="QHH5747" s="917"/>
      <c r="QHI5747" s="917"/>
      <c r="QHJ5747" s="917"/>
      <c r="QHK5747" s="917"/>
      <c r="QHL5747" s="917"/>
      <c r="QHM5747" s="917"/>
      <c r="QHN5747" s="917"/>
      <c r="QHO5747" s="917"/>
      <c r="QHP5747" s="917"/>
      <c r="QHQ5747" s="917"/>
      <c r="QHR5747" s="917"/>
      <c r="QHS5747" s="917"/>
      <c r="QHT5747" s="917"/>
      <c r="QHU5747" s="917"/>
      <c r="QHV5747" s="917"/>
      <c r="QHW5747" s="917"/>
      <c r="QHX5747" s="917"/>
      <c r="QHY5747" s="917"/>
      <c r="QHZ5747" s="917"/>
      <c r="QIA5747" s="917"/>
      <c r="QIB5747" s="917"/>
      <c r="QIC5747" s="917"/>
      <c r="QID5747" s="917"/>
      <c r="QIE5747" s="917"/>
      <c r="QIF5747" s="917"/>
      <c r="QIG5747" s="917" t="s">
        <v>78</v>
      </c>
      <c r="QIH5747" s="917"/>
      <c r="QII5747" s="917"/>
      <c r="QIJ5747" s="917"/>
      <c r="QIK5747" s="917"/>
      <c r="QIL5747" s="917"/>
      <c r="QIM5747" s="917"/>
      <c r="QIN5747" s="917"/>
      <c r="QIO5747" s="917"/>
      <c r="QIP5747" s="917"/>
      <c r="QIQ5747" s="917"/>
      <c r="QIR5747" s="917"/>
      <c r="QIS5747" s="917"/>
      <c r="QIT5747" s="917"/>
      <c r="QIU5747" s="917"/>
      <c r="QIV5747" s="917"/>
      <c r="QIW5747" s="917"/>
      <c r="QIX5747" s="917"/>
      <c r="QIY5747" s="917"/>
      <c r="QIZ5747" s="917"/>
      <c r="QJA5747" s="917"/>
      <c r="QJB5747" s="917"/>
      <c r="QJC5747" s="917"/>
      <c r="QJD5747" s="917"/>
      <c r="QJE5747" s="917"/>
      <c r="QJF5747" s="917"/>
      <c r="QJG5747" s="917"/>
      <c r="QJH5747" s="917"/>
      <c r="QJI5747" s="917"/>
      <c r="QJJ5747" s="917"/>
      <c r="QJK5747" s="917"/>
      <c r="QJL5747" s="917"/>
      <c r="QJM5747" s="917" t="s">
        <v>78</v>
      </c>
      <c r="QJN5747" s="917"/>
      <c r="QJO5747" s="917"/>
      <c r="QJP5747" s="917"/>
      <c r="QJQ5747" s="917"/>
      <c r="QJR5747" s="917"/>
      <c r="QJS5747" s="917"/>
      <c r="QJT5747" s="917"/>
      <c r="QJU5747" s="917"/>
      <c r="QJV5747" s="917"/>
      <c r="QJW5747" s="917"/>
      <c r="QJX5747" s="917"/>
      <c r="QJY5747" s="917"/>
      <c r="QJZ5747" s="917"/>
      <c r="QKA5747" s="917"/>
      <c r="QKB5747" s="917"/>
      <c r="QKC5747" s="917"/>
      <c r="QKD5747" s="917"/>
      <c r="QKE5747" s="917"/>
      <c r="QKF5747" s="917"/>
      <c r="QKG5747" s="917"/>
      <c r="QKH5747" s="917"/>
      <c r="QKI5747" s="917"/>
      <c r="QKJ5747" s="917"/>
      <c r="QKK5747" s="917"/>
      <c r="QKL5747" s="917"/>
      <c r="QKM5747" s="917"/>
      <c r="QKN5747" s="917"/>
      <c r="QKO5747" s="917"/>
      <c r="QKP5747" s="917"/>
      <c r="QKQ5747" s="917"/>
      <c r="QKR5747" s="917"/>
      <c r="QKS5747" s="917" t="s">
        <v>78</v>
      </c>
      <c r="QKT5747" s="917"/>
      <c r="QKU5747" s="917"/>
      <c r="QKV5747" s="917"/>
      <c r="QKW5747" s="917"/>
      <c r="QKX5747" s="917"/>
      <c r="QKY5747" s="917"/>
      <c r="QKZ5747" s="917"/>
      <c r="QLA5747" s="917"/>
      <c r="QLB5747" s="917"/>
      <c r="QLC5747" s="917"/>
      <c r="QLD5747" s="917"/>
      <c r="QLE5747" s="917"/>
      <c r="QLF5747" s="917"/>
      <c r="QLG5747" s="917"/>
      <c r="QLH5747" s="917"/>
      <c r="QLI5747" s="917"/>
      <c r="QLJ5747" s="917"/>
      <c r="QLK5747" s="917"/>
      <c r="QLL5747" s="917"/>
      <c r="QLM5747" s="917"/>
      <c r="QLN5747" s="917"/>
      <c r="QLO5747" s="917"/>
      <c r="QLP5747" s="917"/>
      <c r="QLQ5747" s="917"/>
      <c r="QLR5747" s="917"/>
      <c r="QLS5747" s="917"/>
      <c r="QLT5747" s="917"/>
      <c r="QLU5747" s="917"/>
      <c r="QLV5747" s="917"/>
      <c r="QLW5747" s="917"/>
      <c r="QLX5747" s="917"/>
      <c r="QLY5747" s="917" t="s">
        <v>78</v>
      </c>
      <c r="QLZ5747" s="917"/>
      <c r="QMA5747" s="917"/>
      <c r="QMB5747" s="917"/>
      <c r="QMC5747" s="917"/>
      <c r="QMD5747" s="917"/>
      <c r="QME5747" s="917"/>
      <c r="QMF5747" s="917"/>
      <c r="QMG5747" s="917"/>
      <c r="QMH5747" s="917"/>
      <c r="QMI5747" s="917"/>
      <c r="QMJ5747" s="917"/>
      <c r="QMK5747" s="917"/>
      <c r="QML5747" s="917"/>
      <c r="QMM5747" s="917"/>
      <c r="QMN5747" s="917"/>
      <c r="QMO5747" s="917"/>
      <c r="QMP5747" s="917"/>
      <c r="QMQ5747" s="917"/>
      <c r="QMR5747" s="917"/>
      <c r="QMS5747" s="917"/>
      <c r="QMT5747" s="917"/>
      <c r="QMU5747" s="917"/>
      <c r="QMV5747" s="917"/>
      <c r="QMW5747" s="917"/>
      <c r="QMX5747" s="917"/>
      <c r="QMY5747" s="917"/>
      <c r="QMZ5747" s="917"/>
      <c r="QNA5747" s="917"/>
      <c r="QNB5747" s="917"/>
      <c r="QNC5747" s="917"/>
      <c r="QND5747" s="917"/>
      <c r="QNE5747" s="917" t="s">
        <v>78</v>
      </c>
      <c r="QNF5747" s="917"/>
      <c r="QNG5747" s="917"/>
      <c r="QNH5747" s="917"/>
      <c r="QNI5747" s="917"/>
      <c r="QNJ5747" s="917"/>
      <c r="QNK5747" s="917"/>
      <c r="QNL5747" s="917"/>
      <c r="QNM5747" s="917"/>
      <c r="QNN5747" s="917"/>
      <c r="QNO5747" s="917"/>
      <c r="QNP5747" s="917"/>
      <c r="QNQ5747" s="917"/>
      <c r="QNR5747" s="917"/>
      <c r="QNS5747" s="917"/>
      <c r="QNT5747" s="917"/>
      <c r="QNU5747" s="917"/>
      <c r="QNV5747" s="917"/>
      <c r="QNW5747" s="917"/>
      <c r="QNX5747" s="917"/>
      <c r="QNY5747" s="917"/>
      <c r="QNZ5747" s="917"/>
      <c r="QOA5747" s="917"/>
      <c r="QOB5747" s="917"/>
      <c r="QOC5747" s="917"/>
      <c r="QOD5747" s="917"/>
      <c r="QOE5747" s="917"/>
      <c r="QOF5747" s="917"/>
      <c r="QOG5747" s="917"/>
      <c r="QOH5747" s="917"/>
      <c r="QOI5747" s="917"/>
      <c r="QOJ5747" s="917"/>
      <c r="QOK5747" s="917" t="s">
        <v>78</v>
      </c>
      <c r="QOL5747" s="917"/>
      <c r="QOM5747" s="917"/>
      <c r="QON5747" s="917"/>
      <c r="QOO5747" s="917"/>
      <c r="QOP5747" s="917"/>
      <c r="QOQ5747" s="917"/>
      <c r="QOR5747" s="917"/>
      <c r="QOS5747" s="917"/>
      <c r="QOT5747" s="917"/>
      <c r="QOU5747" s="917"/>
      <c r="QOV5747" s="917"/>
      <c r="QOW5747" s="917"/>
      <c r="QOX5747" s="917"/>
      <c r="QOY5747" s="917"/>
      <c r="QOZ5747" s="917"/>
      <c r="QPA5747" s="917"/>
      <c r="QPB5747" s="917"/>
      <c r="QPC5747" s="917"/>
      <c r="QPD5747" s="917"/>
      <c r="QPE5747" s="917"/>
      <c r="QPF5747" s="917"/>
      <c r="QPG5747" s="917"/>
      <c r="QPH5747" s="917"/>
      <c r="QPI5747" s="917"/>
      <c r="QPJ5747" s="917"/>
      <c r="QPK5747" s="917"/>
      <c r="QPL5747" s="917"/>
      <c r="QPM5747" s="917"/>
      <c r="QPN5747" s="917"/>
      <c r="QPO5747" s="917"/>
      <c r="QPP5747" s="917"/>
      <c r="QPQ5747" s="917" t="s">
        <v>78</v>
      </c>
      <c r="QPR5747" s="917"/>
      <c r="QPS5747" s="917"/>
      <c r="QPT5747" s="917"/>
      <c r="QPU5747" s="917"/>
      <c r="QPV5747" s="917"/>
      <c r="QPW5747" s="917"/>
      <c r="QPX5747" s="917"/>
      <c r="QPY5747" s="917"/>
      <c r="QPZ5747" s="917"/>
      <c r="QQA5747" s="917"/>
      <c r="QQB5747" s="917"/>
      <c r="QQC5747" s="917"/>
      <c r="QQD5747" s="917"/>
      <c r="QQE5747" s="917"/>
      <c r="QQF5747" s="917"/>
      <c r="QQG5747" s="917"/>
      <c r="QQH5747" s="917"/>
      <c r="QQI5747" s="917"/>
      <c r="QQJ5747" s="917"/>
      <c r="QQK5747" s="917"/>
      <c r="QQL5747" s="917"/>
      <c r="QQM5747" s="917"/>
      <c r="QQN5747" s="917"/>
      <c r="QQO5747" s="917"/>
      <c r="QQP5747" s="917"/>
      <c r="QQQ5747" s="917"/>
      <c r="QQR5747" s="917"/>
      <c r="QQS5747" s="917"/>
      <c r="QQT5747" s="917"/>
      <c r="QQU5747" s="917"/>
      <c r="QQV5747" s="917"/>
      <c r="QQW5747" s="917" t="s">
        <v>78</v>
      </c>
      <c r="QQX5747" s="917"/>
      <c r="QQY5747" s="917"/>
      <c r="QQZ5747" s="917"/>
      <c r="QRA5747" s="917"/>
      <c r="QRB5747" s="917"/>
      <c r="QRC5747" s="917"/>
      <c r="QRD5747" s="917"/>
      <c r="QRE5747" s="917"/>
      <c r="QRF5747" s="917"/>
      <c r="QRG5747" s="917"/>
      <c r="QRH5747" s="917"/>
      <c r="QRI5747" s="917"/>
      <c r="QRJ5747" s="917"/>
      <c r="QRK5747" s="917"/>
      <c r="QRL5747" s="917"/>
      <c r="QRM5747" s="917"/>
      <c r="QRN5747" s="917"/>
      <c r="QRO5747" s="917"/>
      <c r="QRP5747" s="917"/>
      <c r="QRQ5747" s="917"/>
      <c r="QRR5747" s="917"/>
      <c r="QRS5747" s="917"/>
      <c r="QRT5747" s="917"/>
      <c r="QRU5747" s="917"/>
      <c r="QRV5747" s="917"/>
      <c r="QRW5747" s="917"/>
      <c r="QRX5747" s="917"/>
      <c r="QRY5747" s="917"/>
      <c r="QRZ5747" s="917"/>
      <c r="QSA5747" s="917"/>
      <c r="QSB5747" s="917"/>
      <c r="QSC5747" s="917" t="s">
        <v>78</v>
      </c>
      <c r="QSD5747" s="917"/>
      <c r="QSE5747" s="917"/>
      <c r="QSF5747" s="917"/>
      <c r="QSG5747" s="917"/>
      <c r="QSH5747" s="917"/>
      <c r="QSI5747" s="917"/>
      <c r="QSJ5747" s="917"/>
      <c r="QSK5747" s="917"/>
      <c r="QSL5747" s="917"/>
      <c r="QSM5747" s="917"/>
      <c r="QSN5747" s="917"/>
      <c r="QSO5747" s="917"/>
      <c r="QSP5747" s="917"/>
      <c r="QSQ5747" s="917"/>
      <c r="QSR5747" s="917"/>
      <c r="QSS5747" s="917"/>
      <c r="QST5747" s="917"/>
      <c r="QSU5747" s="917"/>
      <c r="QSV5747" s="917"/>
      <c r="QSW5747" s="917"/>
      <c r="QSX5747" s="917"/>
      <c r="QSY5747" s="917"/>
      <c r="QSZ5747" s="917"/>
      <c r="QTA5747" s="917"/>
      <c r="QTB5747" s="917"/>
      <c r="QTC5747" s="917"/>
      <c r="QTD5747" s="917"/>
      <c r="QTE5747" s="917"/>
      <c r="QTF5747" s="917"/>
      <c r="QTG5747" s="917"/>
      <c r="QTH5747" s="917"/>
      <c r="QTI5747" s="917" t="s">
        <v>78</v>
      </c>
      <c r="QTJ5747" s="917"/>
      <c r="QTK5747" s="917"/>
      <c r="QTL5747" s="917"/>
      <c r="QTM5747" s="917"/>
      <c r="QTN5747" s="917"/>
      <c r="QTO5747" s="917"/>
      <c r="QTP5747" s="917"/>
      <c r="QTQ5747" s="917"/>
      <c r="QTR5747" s="917"/>
      <c r="QTS5747" s="917"/>
      <c r="QTT5747" s="917"/>
      <c r="QTU5747" s="917"/>
      <c r="QTV5747" s="917"/>
      <c r="QTW5747" s="917"/>
      <c r="QTX5747" s="917"/>
      <c r="QTY5747" s="917"/>
      <c r="QTZ5747" s="917"/>
      <c r="QUA5747" s="917"/>
      <c r="QUB5747" s="917"/>
      <c r="QUC5747" s="917"/>
      <c r="QUD5747" s="917"/>
      <c r="QUE5747" s="917"/>
      <c r="QUF5747" s="917"/>
      <c r="QUG5747" s="917"/>
      <c r="QUH5747" s="917"/>
      <c r="QUI5747" s="917"/>
      <c r="QUJ5747" s="917"/>
      <c r="QUK5747" s="917"/>
      <c r="QUL5747" s="917"/>
      <c r="QUM5747" s="917"/>
      <c r="QUN5747" s="917"/>
      <c r="QUO5747" s="917" t="s">
        <v>78</v>
      </c>
      <c r="QUP5747" s="917"/>
      <c r="QUQ5747" s="917"/>
      <c r="QUR5747" s="917"/>
      <c r="QUS5747" s="917"/>
      <c r="QUT5747" s="917"/>
      <c r="QUU5747" s="917"/>
      <c r="QUV5747" s="917"/>
      <c r="QUW5747" s="917"/>
      <c r="QUX5747" s="917"/>
      <c r="QUY5747" s="917"/>
      <c r="QUZ5747" s="917"/>
      <c r="QVA5747" s="917"/>
      <c r="QVB5747" s="917"/>
      <c r="QVC5747" s="917"/>
      <c r="QVD5747" s="917"/>
      <c r="QVE5747" s="917"/>
      <c r="QVF5747" s="917"/>
      <c r="QVG5747" s="917"/>
      <c r="QVH5747" s="917"/>
      <c r="QVI5747" s="917"/>
      <c r="QVJ5747" s="917"/>
      <c r="QVK5747" s="917"/>
      <c r="QVL5747" s="917"/>
      <c r="QVM5747" s="917"/>
      <c r="QVN5747" s="917"/>
      <c r="QVO5747" s="917"/>
      <c r="QVP5747" s="917"/>
      <c r="QVQ5747" s="917"/>
      <c r="QVR5747" s="917"/>
      <c r="QVS5747" s="917"/>
      <c r="QVT5747" s="917"/>
      <c r="QVU5747" s="917" t="s">
        <v>78</v>
      </c>
      <c r="QVV5747" s="917"/>
      <c r="QVW5747" s="917"/>
      <c r="QVX5747" s="917"/>
      <c r="QVY5747" s="917"/>
      <c r="QVZ5747" s="917"/>
      <c r="QWA5747" s="917"/>
      <c r="QWB5747" s="917"/>
      <c r="QWC5747" s="917"/>
      <c r="QWD5747" s="917"/>
      <c r="QWE5747" s="917"/>
      <c r="QWF5747" s="917"/>
      <c r="QWG5747" s="917"/>
      <c r="QWH5747" s="917"/>
      <c r="QWI5747" s="917"/>
      <c r="QWJ5747" s="917"/>
      <c r="QWK5747" s="917"/>
      <c r="QWL5747" s="917"/>
      <c r="QWM5747" s="917"/>
      <c r="QWN5747" s="917"/>
      <c r="QWO5747" s="917"/>
      <c r="QWP5747" s="917"/>
      <c r="QWQ5747" s="917"/>
      <c r="QWR5747" s="917"/>
      <c r="QWS5747" s="917"/>
      <c r="QWT5747" s="917"/>
      <c r="QWU5747" s="917"/>
      <c r="QWV5747" s="917"/>
      <c r="QWW5747" s="917"/>
      <c r="QWX5747" s="917"/>
      <c r="QWY5747" s="917"/>
      <c r="QWZ5747" s="917"/>
      <c r="QXA5747" s="917" t="s">
        <v>78</v>
      </c>
      <c r="QXB5747" s="917"/>
      <c r="QXC5747" s="917"/>
      <c r="QXD5747" s="917"/>
      <c r="QXE5747" s="917"/>
      <c r="QXF5747" s="917"/>
      <c r="QXG5747" s="917"/>
      <c r="QXH5747" s="917"/>
      <c r="QXI5747" s="917"/>
      <c r="QXJ5747" s="917"/>
      <c r="QXK5747" s="917"/>
      <c r="QXL5747" s="917"/>
      <c r="QXM5747" s="917"/>
      <c r="QXN5747" s="917"/>
      <c r="QXO5747" s="917"/>
      <c r="QXP5747" s="917"/>
      <c r="QXQ5747" s="917"/>
      <c r="QXR5747" s="917"/>
      <c r="QXS5747" s="917"/>
      <c r="QXT5747" s="917"/>
      <c r="QXU5747" s="917"/>
      <c r="QXV5747" s="917"/>
      <c r="QXW5747" s="917"/>
      <c r="QXX5747" s="917"/>
      <c r="QXY5747" s="917"/>
      <c r="QXZ5747" s="917"/>
      <c r="QYA5747" s="917"/>
      <c r="QYB5747" s="917"/>
      <c r="QYC5747" s="917"/>
      <c r="QYD5747" s="917"/>
      <c r="QYE5747" s="917"/>
      <c r="QYF5747" s="917"/>
      <c r="QYG5747" s="917" t="s">
        <v>78</v>
      </c>
      <c r="QYH5747" s="917"/>
      <c r="QYI5747" s="917"/>
      <c r="QYJ5747" s="917"/>
      <c r="QYK5747" s="917"/>
      <c r="QYL5747" s="917"/>
      <c r="QYM5747" s="917"/>
      <c r="QYN5747" s="917"/>
      <c r="QYO5747" s="917"/>
      <c r="QYP5747" s="917"/>
      <c r="QYQ5747" s="917"/>
      <c r="QYR5747" s="917"/>
      <c r="QYS5747" s="917"/>
      <c r="QYT5747" s="917"/>
      <c r="QYU5747" s="917"/>
      <c r="QYV5747" s="917"/>
      <c r="QYW5747" s="917"/>
      <c r="QYX5747" s="917"/>
      <c r="QYY5747" s="917"/>
      <c r="QYZ5747" s="917"/>
      <c r="QZA5747" s="917"/>
      <c r="QZB5747" s="917"/>
      <c r="QZC5747" s="917"/>
      <c r="QZD5747" s="917"/>
      <c r="QZE5747" s="917"/>
      <c r="QZF5747" s="917"/>
      <c r="QZG5747" s="917"/>
      <c r="QZH5747" s="917"/>
      <c r="QZI5747" s="917"/>
      <c r="QZJ5747" s="917"/>
      <c r="QZK5747" s="917"/>
      <c r="QZL5747" s="917"/>
      <c r="QZM5747" s="917" t="s">
        <v>78</v>
      </c>
      <c r="QZN5747" s="917"/>
      <c r="QZO5747" s="917"/>
      <c r="QZP5747" s="917"/>
      <c r="QZQ5747" s="917"/>
      <c r="QZR5747" s="917"/>
      <c r="QZS5747" s="917"/>
      <c r="QZT5747" s="917"/>
      <c r="QZU5747" s="917"/>
      <c r="QZV5747" s="917"/>
      <c r="QZW5747" s="917"/>
      <c r="QZX5747" s="917"/>
      <c r="QZY5747" s="917"/>
      <c r="QZZ5747" s="917"/>
      <c r="RAA5747" s="917"/>
      <c r="RAB5747" s="917"/>
      <c r="RAC5747" s="917"/>
      <c r="RAD5747" s="917"/>
      <c r="RAE5747" s="917"/>
      <c r="RAF5747" s="917"/>
      <c r="RAG5747" s="917"/>
      <c r="RAH5747" s="917"/>
      <c r="RAI5747" s="917"/>
      <c r="RAJ5747" s="917"/>
      <c r="RAK5747" s="917"/>
      <c r="RAL5747" s="917"/>
      <c r="RAM5747" s="917"/>
      <c r="RAN5747" s="917"/>
      <c r="RAO5747" s="917"/>
      <c r="RAP5747" s="917"/>
      <c r="RAQ5747" s="917"/>
      <c r="RAR5747" s="917"/>
      <c r="RAS5747" s="917" t="s">
        <v>78</v>
      </c>
      <c r="RAT5747" s="917"/>
      <c r="RAU5747" s="917"/>
      <c r="RAV5747" s="917"/>
      <c r="RAW5747" s="917"/>
      <c r="RAX5747" s="917"/>
      <c r="RAY5747" s="917"/>
      <c r="RAZ5747" s="917"/>
      <c r="RBA5747" s="917"/>
      <c r="RBB5747" s="917"/>
      <c r="RBC5747" s="917"/>
      <c r="RBD5747" s="917"/>
      <c r="RBE5747" s="917"/>
      <c r="RBF5747" s="917"/>
      <c r="RBG5747" s="917"/>
      <c r="RBH5747" s="917"/>
      <c r="RBI5747" s="917"/>
      <c r="RBJ5747" s="917"/>
      <c r="RBK5747" s="917"/>
      <c r="RBL5747" s="917"/>
      <c r="RBM5747" s="917"/>
      <c r="RBN5747" s="917"/>
      <c r="RBO5747" s="917"/>
      <c r="RBP5747" s="917"/>
      <c r="RBQ5747" s="917"/>
      <c r="RBR5747" s="917"/>
      <c r="RBS5747" s="917"/>
      <c r="RBT5747" s="917"/>
      <c r="RBU5747" s="917"/>
      <c r="RBV5747" s="917"/>
      <c r="RBW5747" s="917"/>
      <c r="RBX5747" s="917"/>
      <c r="RBY5747" s="917" t="s">
        <v>78</v>
      </c>
      <c r="RBZ5747" s="917"/>
      <c r="RCA5747" s="917"/>
      <c r="RCB5747" s="917"/>
      <c r="RCC5747" s="917"/>
      <c r="RCD5747" s="917"/>
      <c r="RCE5747" s="917"/>
      <c r="RCF5747" s="917"/>
      <c r="RCG5747" s="917"/>
      <c r="RCH5747" s="917"/>
      <c r="RCI5747" s="917"/>
      <c r="RCJ5747" s="917"/>
      <c r="RCK5747" s="917"/>
      <c r="RCL5747" s="917"/>
      <c r="RCM5747" s="917"/>
      <c r="RCN5747" s="917"/>
      <c r="RCO5747" s="917"/>
      <c r="RCP5747" s="917"/>
      <c r="RCQ5747" s="917"/>
      <c r="RCR5747" s="917"/>
      <c r="RCS5747" s="917"/>
      <c r="RCT5747" s="917"/>
      <c r="RCU5747" s="917"/>
      <c r="RCV5747" s="917"/>
      <c r="RCW5747" s="917"/>
      <c r="RCX5747" s="917"/>
      <c r="RCY5747" s="917"/>
      <c r="RCZ5747" s="917"/>
      <c r="RDA5747" s="917"/>
      <c r="RDB5747" s="917"/>
      <c r="RDC5747" s="917"/>
      <c r="RDD5747" s="917"/>
      <c r="RDE5747" s="917" t="s">
        <v>78</v>
      </c>
      <c r="RDF5747" s="917"/>
      <c r="RDG5747" s="917"/>
      <c r="RDH5747" s="917"/>
      <c r="RDI5747" s="917"/>
      <c r="RDJ5747" s="917"/>
      <c r="RDK5747" s="917"/>
      <c r="RDL5747" s="917"/>
      <c r="RDM5747" s="917"/>
      <c r="RDN5747" s="917"/>
      <c r="RDO5747" s="917"/>
      <c r="RDP5747" s="917"/>
      <c r="RDQ5747" s="917"/>
      <c r="RDR5747" s="917"/>
      <c r="RDS5747" s="917"/>
      <c r="RDT5747" s="917"/>
      <c r="RDU5747" s="917"/>
      <c r="RDV5747" s="917"/>
      <c r="RDW5747" s="917"/>
      <c r="RDX5747" s="917"/>
      <c r="RDY5747" s="917"/>
      <c r="RDZ5747" s="917"/>
      <c r="REA5747" s="917"/>
      <c r="REB5747" s="917"/>
      <c r="REC5747" s="917"/>
      <c r="RED5747" s="917"/>
      <c r="REE5747" s="917"/>
      <c r="REF5747" s="917"/>
      <c r="REG5747" s="917"/>
      <c r="REH5747" s="917"/>
      <c r="REI5747" s="917"/>
      <c r="REJ5747" s="917"/>
      <c r="REK5747" s="917" t="s">
        <v>78</v>
      </c>
      <c r="REL5747" s="917"/>
      <c r="REM5747" s="917"/>
      <c r="REN5747" s="917"/>
      <c r="REO5747" s="917"/>
      <c r="REP5747" s="917"/>
      <c r="REQ5747" s="917"/>
      <c r="RER5747" s="917"/>
      <c r="RES5747" s="917"/>
      <c r="RET5747" s="917"/>
      <c r="REU5747" s="917"/>
      <c r="REV5747" s="917"/>
      <c r="REW5747" s="917"/>
      <c r="REX5747" s="917"/>
      <c r="REY5747" s="917"/>
      <c r="REZ5747" s="917"/>
      <c r="RFA5747" s="917"/>
      <c r="RFB5747" s="917"/>
      <c r="RFC5747" s="917"/>
      <c r="RFD5747" s="917"/>
      <c r="RFE5747" s="917"/>
      <c r="RFF5747" s="917"/>
      <c r="RFG5747" s="917"/>
      <c r="RFH5747" s="917"/>
      <c r="RFI5747" s="917"/>
      <c r="RFJ5747" s="917"/>
      <c r="RFK5747" s="917"/>
      <c r="RFL5747" s="917"/>
      <c r="RFM5747" s="917"/>
      <c r="RFN5747" s="917"/>
      <c r="RFO5747" s="917"/>
      <c r="RFP5747" s="917"/>
      <c r="RFQ5747" s="917" t="s">
        <v>78</v>
      </c>
      <c r="RFR5747" s="917"/>
      <c r="RFS5747" s="917"/>
      <c r="RFT5747" s="917"/>
      <c r="RFU5747" s="917"/>
      <c r="RFV5747" s="917"/>
      <c r="RFW5747" s="917"/>
      <c r="RFX5747" s="917"/>
      <c r="RFY5747" s="917"/>
      <c r="RFZ5747" s="917"/>
      <c r="RGA5747" s="917"/>
      <c r="RGB5747" s="917"/>
      <c r="RGC5747" s="917"/>
      <c r="RGD5747" s="917"/>
      <c r="RGE5747" s="917"/>
      <c r="RGF5747" s="917"/>
      <c r="RGG5747" s="917"/>
      <c r="RGH5747" s="917"/>
      <c r="RGI5747" s="917"/>
      <c r="RGJ5747" s="917"/>
      <c r="RGK5747" s="917"/>
      <c r="RGL5747" s="917"/>
      <c r="RGM5747" s="917"/>
      <c r="RGN5747" s="917"/>
      <c r="RGO5747" s="917"/>
      <c r="RGP5747" s="917"/>
      <c r="RGQ5747" s="917"/>
      <c r="RGR5747" s="917"/>
      <c r="RGS5747" s="917"/>
      <c r="RGT5747" s="917"/>
      <c r="RGU5747" s="917"/>
      <c r="RGV5747" s="917"/>
      <c r="RGW5747" s="917" t="s">
        <v>78</v>
      </c>
      <c r="RGX5747" s="917"/>
      <c r="RGY5747" s="917"/>
      <c r="RGZ5747" s="917"/>
      <c r="RHA5747" s="917"/>
      <c r="RHB5747" s="917"/>
      <c r="RHC5747" s="917"/>
      <c r="RHD5747" s="917"/>
      <c r="RHE5747" s="917"/>
      <c r="RHF5747" s="917"/>
      <c r="RHG5747" s="917"/>
      <c r="RHH5747" s="917"/>
      <c r="RHI5747" s="917"/>
      <c r="RHJ5747" s="917"/>
      <c r="RHK5747" s="917"/>
      <c r="RHL5747" s="917"/>
      <c r="RHM5747" s="917"/>
      <c r="RHN5747" s="917"/>
      <c r="RHO5747" s="917"/>
      <c r="RHP5747" s="917"/>
      <c r="RHQ5747" s="917"/>
      <c r="RHR5747" s="917"/>
      <c r="RHS5747" s="917"/>
      <c r="RHT5747" s="917"/>
      <c r="RHU5747" s="917"/>
      <c r="RHV5747" s="917"/>
      <c r="RHW5747" s="917"/>
      <c r="RHX5747" s="917"/>
      <c r="RHY5747" s="917"/>
      <c r="RHZ5747" s="917"/>
      <c r="RIA5747" s="917"/>
      <c r="RIB5747" s="917"/>
      <c r="RIC5747" s="917" t="s">
        <v>78</v>
      </c>
      <c r="RID5747" s="917"/>
      <c r="RIE5747" s="917"/>
      <c r="RIF5747" s="917"/>
      <c r="RIG5747" s="917"/>
      <c r="RIH5747" s="917"/>
      <c r="RII5747" s="917"/>
      <c r="RIJ5747" s="917"/>
      <c r="RIK5747" s="917"/>
      <c r="RIL5747" s="917"/>
      <c r="RIM5747" s="917"/>
      <c r="RIN5747" s="917"/>
      <c r="RIO5747" s="917"/>
      <c r="RIP5747" s="917"/>
      <c r="RIQ5747" s="917"/>
      <c r="RIR5747" s="917"/>
      <c r="RIS5747" s="917"/>
      <c r="RIT5747" s="917"/>
      <c r="RIU5747" s="917"/>
      <c r="RIV5747" s="917"/>
      <c r="RIW5747" s="917"/>
      <c r="RIX5747" s="917"/>
      <c r="RIY5747" s="917"/>
      <c r="RIZ5747" s="917"/>
      <c r="RJA5747" s="917"/>
      <c r="RJB5747" s="917"/>
      <c r="RJC5747" s="917"/>
      <c r="RJD5747" s="917"/>
      <c r="RJE5747" s="917"/>
      <c r="RJF5747" s="917"/>
      <c r="RJG5747" s="917"/>
      <c r="RJH5747" s="917"/>
      <c r="RJI5747" s="917" t="s">
        <v>78</v>
      </c>
      <c r="RJJ5747" s="917"/>
      <c r="RJK5747" s="917"/>
      <c r="RJL5747" s="917"/>
      <c r="RJM5747" s="917"/>
      <c r="RJN5747" s="917"/>
      <c r="RJO5747" s="917"/>
      <c r="RJP5747" s="917"/>
      <c r="RJQ5747" s="917"/>
      <c r="RJR5747" s="917"/>
      <c r="RJS5747" s="917"/>
      <c r="RJT5747" s="917"/>
      <c r="RJU5747" s="917"/>
      <c r="RJV5747" s="917"/>
      <c r="RJW5747" s="917"/>
      <c r="RJX5747" s="917"/>
      <c r="RJY5747" s="917"/>
      <c r="RJZ5747" s="917"/>
      <c r="RKA5747" s="917"/>
      <c r="RKB5747" s="917"/>
      <c r="RKC5747" s="917"/>
      <c r="RKD5747" s="917"/>
      <c r="RKE5747" s="917"/>
      <c r="RKF5747" s="917"/>
      <c r="RKG5747" s="917"/>
      <c r="RKH5747" s="917"/>
      <c r="RKI5747" s="917"/>
      <c r="RKJ5747" s="917"/>
      <c r="RKK5747" s="917"/>
      <c r="RKL5747" s="917"/>
      <c r="RKM5747" s="917"/>
      <c r="RKN5747" s="917"/>
      <c r="RKO5747" s="917" t="s">
        <v>78</v>
      </c>
      <c r="RKP5747" s="917"/>
      <c r="RKQ5747" s="917"/>
      <c r="RKR5747" s="917"/>
      <c r="RKS5747" s="917"/>
      <c r="RKT5747" s="917"/>
      <c r="RKU5747" s="917"/>
      <c r="RKV5747" s="917"/>
      <c r="RKW5747" s="917"/>
      <c r="RKX5747" s="917"/>
      <c r="RKY5747" s="917"/>
      <c r="RKZ5747" s="917"/>
      <c r="RLA5747" s="917"/>
      <c r="RLB5747" s="917"/>
      <c r="RLC5747" s="917"/>
      <c r="RLD5747" s="917"/>
      <c r="RLE5747" s="917"/>
      <c r="RLF5747" s="917"/>
      <c r="RLG5747" s="917"/>
      <c r="RLH5747" s="917"/>
      <c r="RLI5747" s="917"/>
      <c r="RLJ5747" s="917"/>
      <c r="RLK5747" s="917"/>
      <c r="RLL5747" s="917"/>
      <c r="RLM5747" s="917"/>
      <c r="RLN5747" s="917"/>
      <c r="RLO5747" s="917"/>
      <c r="RLP5747" s="917"/>
      <c r="RLQ5747" s="917"/>
      <c r="RLR5747" s="917"/>
      <c r="RLS5747" s="917"/>
      <c r="RLT5747" s="917"/>
      <c r="RLU5747" s="917" t="s">
        <v>78</v>
      </c>
      <c r="RLV5747" s="917"/>
      <c r="RLW5747" s="917"/>
      <c r="RLX5747" s="917"/>
      <c r="RLY5747" s="917"/>
      <c r="RLZ5747" s="917"/>
      <c r="RMA5747" s="917"/>
      <c r="RMB5747" s="917"/>
      <c r="RMC5747" s="917"/>
      <c r="RMD5747" s="917"/>
      <c r="RME5747" s="917"/>
      <c r="RMF5747" s="917"/>
      <c r="RMG5747" s="917"/>
      <c r="RMH5747" s="917"/>
      <c r="RMI5747" s="917"/>
      <c r="RMJ5747" s="917"/>
      <c r="RMK5747" s="917"/>
      <c r="RML5747" s="917"/>
      <c r="RMM5747" s="917"/>
      <c r="RMN5747" s="917"/>
      <c r="RMO5747" s="917"/>
      <c r="RMP5747" s="917"/>
      <c r="RMQ5747" s="917"/>
      <c r="RMR5747" s="917"/>
      <c r="RMS5747" s="917"/>
      <c r="RMT5747" s="917"/>
      <c r="RMU5747" s="917"/>
      <c r="RMV5747" s="917"/>
      <c r="RMW5747" s="917"/>
      <c r="RMX5747" s="917"/>
      <c r="RMY5747" s="917"/>
      <c r="RMZ5747" s="917"/>
      <c r="RNA5747" s="917" t="s">
        <v>78</v>
      </c>
      <c r="RNB5747" s="917"/>
      <c r="RNC5747" s="917"/>
      <c r="RND5747" s="917"/>
      <c r="RNE5747" s="917"/>
      <c r="RNF5747" s="917"/>
      <c r="RNG5747" s="917"/>
      <c r="RNH5747" s="917"/>
      <c r="RNI5747" s="917"/>
      <c r="RNJ5747" s="917"/>
      <c r="RNK5747" s="917"/>
      <c r="RNL5747" s="917"/>
      <c r="RNM5747" s="917"/>
      <c r="RNN5747" s="917"/>
      <c r="RNO5747" s="917"/>
      <c r="RNP5747" s="917"/>
      <c r="RNQ5747" s="917"/>
      <c r="RNR5747" s="917"/>
      <c r="RNS5747" s="917"/>
      <c r="RNT5747" s="917"/>
      <c r="RNU5747" s="917"/>
      <c r="RNV5747" s="917"/>
      <c r="RNW5747" s="917"/>
      <c r="RNX5747" s="917"/>
      <c r="RNY5747" s="917"/>
      <c r="RNZ5747" s="917"/>
      <c r="ROA5747" s="917"/>
      <c r="ROB5747" s="917"/>
      <c r="ROC5747" s="917"/>
      <c r="ROD5747" s="917"/>
      <c r="ROE5747" s="917"/>
      <c r="ROF5747" s="917"/>
      <c r="ROG5747" s="917" t="s">
        <v>78</v>
      </c>
      <c r="ROH5747" s="917"/>
      <c r="ROI5747" s="917"/>
      <c r="ROJ5747" s="917"/>
      <c r="ROK5747" s="917"/>
      <c r="ROL5747" s="917"/>
      <c r="ROM5747" s="917"/>
      <c r="RON5747" s="917"/>
      <c r="ROO5747" s="917"/>
      <c r="ROP5747" s="917"/>
      <c r="ROQ5747" s="917"/>
      <c r="ROR5747" s="917"/>
      <c r="ROS5747" s="917"/>
      <c r="ROT5747" s="917"/>
      <c r="ROU5747" s="917"/>
      <c r="ROV5747" s="917"/>
      <c r="ROW5747" s="917"/>
      <c r="ROX5747" s="917"/>
      <c r="ROY5747" s="917"/>
      <c r="ROZ5747" s="917"/>
      <c r="RPA5747" s="917"/>
      <c r="RPB5747" s="917"/>
      <c r="RPC5747" s="917"/>
      <c r="RPD5747" s="917"/>
      <c r="RPE5747" s="917"/>
      <c r="RPF5747" s="917"/>
      <c r="RPG5747" s="917"/>
      <c r="RPH5747" s="917"/>
      <c r="RPI5747" s="917"/>
      <c r="RPJ5747" s="917"/>
      <c r="RPK5747" s="917"/>
      <c r="RPL5747" s="917"/>
      <c r="RPM5747" s="917" t="s">
        <v>78</v>
      </c>
      <c r="RPN5747" s="917"/>
      <c r="RPO5747" s="917"/>
      <c r="RPP5747" s="917"/>
      <c r="RPQ5747" s="917"/>
      <c r="RPR5747" s="917"/>
      <c r="RPS5747" s="917"/>
      <c r="RPT5747" s="917"/>
      <c r="RPU5747" s="917"/>
      <c r="RPV5747" s="917"/>
      <c r="RPW5747" s="917"/>
      <c r="RPX5747" s="917"/>
      <c r="RPY5747" s="917"/>
      <c r="RPZ5747" s="917"/>
      <c r="RQA5747" s="917"/>
      <c r="RQB5747" s="917"/>
      <c r="RQC5747" s="917"/>
      <c r="RQD5747" s="917"/>
      <c r="RQE5747" s="917"/>
      <c r="RQF5747" s="917"/>
      <c r="RQG5747" s="917"/>
      <c r="RQH5747" s="917"/>
      <c r="RQI5747" s="917"/>
      <c r="RQJ5747" s="917"/>
      <c r="RQK5747" s="917"/>
      <c r="RQL5747" s="917"/>
      <c r="RQM5747" s="917"/>
      <c r="RQN5747" s="917"/>
      <c r="RQO5747" s="917"/>
      <c r="RQP5747" s="917"/>
      <c r="RQQ5747" s="917"/>
      <c r="RQR5747" s="917"/>
      <c r="RQS5747" s="917" t="s">
        <v>78</v>
      </c>
      <c r="RQT5747" s="917"/>
      <c r="RQU5747" s="917"/>
      <c r="RQV5747" s="917"/>
      <c r="RQW5747" s="917"/>
      <c r="RQX5747" s="917"/>
      <c r="RQY5747" s="917"/>
      <c r="RQZ5747" s="917"/>
      <c r="RRA5747" s="917"/>
      <c r="RRB5747" s="917"/>
      <c r="RRC5747" s="917"/>
      <c r="RRD5747" s="917"/>
      <c r="RRE5747" s="917"/>
      <c r="RRF5747" s="917"/>
      <c r="RRG5747" s="917"/>
      <c r="RRH5747" s="917"/>
      <c r="RRI5747" s="917"/>
      <c r="RRJ5747" s="917"/>
      <c r="RRK5747" s="917"/>
      <c r="RRL5747" s="917"/>
      <c r="RRM5747" s="917"/>
      <c r="RRN5747" s="917"/>
      <c r="RRO5747" s="917"/>
      <c r="RRP5747" s="917"/>
      <c r="RRQ5747" s="917"/>
      <c r="RRR5747" s="917"/>
      <c r="RRS5747" s="917"/>
      <c r="RRT5747" s="917"/>
      <c r="RRU5747" s="917"/>
      <c r="RRV5747" s="917"/>
      <c r="RRW5747" s="917"/>
      <c r="RRX5747" s="917"/>
      <c r="RRY5747" s="917" t="s">
        <v>78</v>
      </c>
      <c r="RRZ5747" s="917"/>
      <c r="RSA5747" s="917"/>
      <c r="RSB5747" s="917"/>
      <c r="RSC5747" s="917"/>
      <c r="RSD5747" s="917"/>
      <c r="RSE5747" s="917"/>
      <c r="RSF5747" s="917"/>
      <c r="RSG5747" s="917"/>
      <c r="RSH5747" s="917"/>
      <c r="RSI5747" s="917"/>
      <c r="RSJ5747" s="917"/>
      <c r="RSK5747" s="917"/>
      <c r="RSL5747" s="917"/>
      <c r="RSM5747" s="917"/>
      <c r="RSN5747" s="917"/>
      <c r="RSO5747" s="917"/>
      <c r="RSP5747" s="917"/>
      <c r="RSQ5747" s="917"/>
      <c r="RSR5747" s="917"/>
      <c r="RSS5747" s="917"/>
      <c r="RST5747" s="917"/>
      <c r="RSU5747" s="917"/>
      <c r="RSV5747" s="917"/>
      <c r="RSW5747" s="917"/>
      <c r="RSX5747" s="917"/>
      <c r="RSY5747" s="917"/>
      <c r="RSZ5747" s="917"/>
      <c r="RTA5747" s="917"/>
      <c r="RTB5747" s="917"/>
      <c r="RTC5747" s="917"/>
      <c r="RTD5747" s="917"/>
      <c r="RTE5747" s="917" t="s">
        <v>78</v>
      </c>
      <c r="RTF5747" s="917"/>
      <c r="RTG5747" s="917"/>
      <c r="RTH5747" s="917"/>
      <c r="RTI5747" s="917"/>
      <c r="RTJ5747" s="917"/>
      <c r="RTK5747" s="917"/>
      <c r="RTL5747" s="917"/>
      <c r="RTM5747" s="917"/>
      <c r="RTN5747" s="917"/>
      <c r="RTO5747" s="917"/>
      <c r="RTP5747" s="917"/>
      <c r="RTQ5747" s="917"/>
      <c r="RTR5747" s="917"/>
      <c r="RTS5747" s="917"/>
      <c r="RTT5747" s="917"/>
      <c r="RTU5747" s="917"/>
      <c r="RTV5747" s="917"/>
      <c r="RTW5747" s="917"/>
      <c r="RTX5747" s="917"/>
      <c r="RTY5747" s="917"/>
      <c r="RTZ5747" s="917"/>
      <c r="RUA5747" s="917"/>
      <c r="RUB5747" s="917"/>
      <c r="RUC5747" s="917"/>
      <c r="RUD5747" s="917"/>
      <c r="RUE5747" s="917"/>
      <c r="RUF5747" s="917"/>
      <c r="RUG5747" s="917"/>
      <c r="RUH5747" s="917"/>
      <c r="RUI5747" s="917"/>
      <c r="RUJ5747" s="917"/>
      <c r="RUK5747" s="917" t="s">
        <v>78</v>
      </c>
      <c r="RUL5747" s="917"/>
      <c r="RUM5747" s="917"/>
      <c r="RUN5747" s="917"/>
      <c r="RUO5747" s="917"/>
      <c r="RUP5747" s="917"/>
      <c r="RUQ5747" s="917"/>
      <c r="RUR5747" s="917"/>
      <c r="RUS5747" s="917"/>
      <c r="RUT5747" s="917"/>
      <c r="RUU5747" s="917"/>
      <c r="RUV5747" s="917"/>
      <c r="RUW5747" s="917"/>
      <c r="RUX5747" s="917"/>
      <c r="RUY5747" s="917"/>
      <c r="RUZ5747" s="917"/>
      <c r="RVA5747" s="917"/>
      <c r="RVB5747" s="917"/>
      <c r="RVC5747" s="917"/>
      <c r="RVD5747" s="917"/>
      <c r="RVE5747" s="917"/>
      <c r="RVF5747" s="917"/>
      <c r="RVG5747" s="917"/>
      <c r="RVH5747" s="917"/>
      <c r="RVI5747" s="917"/>
      <c r="RVJ5747" s="917"/>
      <c r="RVK5747" s="917"/>
      <c r="RVL5747" s="917"/>
      <c r="RVM5747" s="917"/>
      <c r="RVN5747" s="917"/>
      <c r="RVO5747" s="917"/>
      <c r="RVP5747" s="917"/>
      <c r="RVQ5747" s="917" t="s">
        <v>78</v>
      </c>
      <c r="RVR5747" s="917"/>
      <c r="RVS5747" s="917"/>
      <c r="RVT5747" s="917"/>
      <c r="RVU5747" s="917"/>
      <c r="RVV5747" s="917"/>
      <c r="RVW5747" s="917"/>
      <c r="RVX5747" s="917"/>
      <c r="RVY5747" s="917"/>
      <c r="RVZ5747" s="917"/>
      <c r="RWA5747" s="917"/>
      <c r="RWB5747" s="917"/>
      <c r="RWC5747" s="917"/>
      <c r="RWD5747" s="917"/>
      <c r="RWE5747" s="917"/>
      <c r="RWF5747" s="917"/>
      <c r="RWG5747" s="917"/>
      <c r="RWH5747" s="917"/>
      <c r="RWI5747" s="917"/>
      <c r="RWJ5747" s="917"/>
      <c r="RWK5747" s="917"/>
      <c r="RWL5747" s="917"/>
      <c r="RWM5747" s="917"/>
      <c r="RWN5747" s="917"/>
      <c r="RWO5747" s="917"/>
      <c r="RWP5747" s="917"/>
      <c r="RWQ5747" s="917"/>
      <c r="RWR5747" s="917"/>
      <c r="RWS5747" s="917"/>
      <c r="RWT5747" s="917"/>
      <c r="RWU5747" s="917"/>
      <c r="RWV5747" s="917"/>
      <c r="RWW5747" s="917" t="s">
        <v>78</v>
      </c>
      <c r="RWX5747" s="917"/>
      <c r="RWY5747" s="917"/>
      <c r="RWZ5747" s="917"/>
      <c r="RXA5747" s="917"/>
      <c r="RXB5747" s="917"/>
      <c r="RXC5747" s="917"/>
      <c r="RXD5747" s="917"/>
      <c r="RXE5747" s="917"/>
      <c r="RXF5747" s="917"/>
      <c r="RXG5747" s="917"/>
      <c r="RXH5747" s="917"/>
      <c r="RXI5747" s="917"/>
      <c r="RXJ5747" s="917"/>
      <c r="RXK5747" s="917"/>
      <c r="RXL5747" s="917"/>
      <c r="RXM5747" s="917"/>
      <c r="RXN5747" s="917"/>
      <c r="RXO5747" s="917"/>
      <c r="RXP5747" s="917"/>
      <c r="RXQ5747" s="917"/>
      <c r="RXR5747" s="917"/>
      <c r="RXS5747" s="917"/>
      <c r="RXT5747" s="917"/>
      <c r="RXU5747" s="917"/>
      <c r="RXV5747" s="917"/>
      <c r="RXW5747" s="917"/>
      <c r="RXX5747" s="917"/>
      <c r="RXY5747" s="917"/>
      <c r="RXZ5747" s="917"/>
      <c r="RYA5747" s="917"/>
      <c r="RYB5747" s="917"/>
      <c r="RYC5747" s="917" t="s">
        <v>78</v>
      </c>
      <c r="RYD5747" s="917"/>
      <c r="RYE5747" s="917"/>
      <c r="RYF5747" s="917"/>
      <c r="RYG5747" s="917"/>
      <c r="RYH5747" s="917"/>
      <c r="RYI5747" s="917"/>
      <c r="RYJ5747" s="917"/>
      <c r="RYK5747" s="917"/>
      <c r="RYL5747" s="917"/>
      <c r="RYM5747" s="917"/>
      <c r="RYN5747" s="917"/>
      <c r="RYO5747" s="917"/>
      <c r="RYP5747" s="917"/>
      <c r="RYQ5747" s="917"/>
      <c r="RYR5747" s="917"/>
      <c r="RYS5747" s="917"/>
      <c r="RYT5747" s="917"/>
      <c r="RYU5747" s="917"/>
      <c r="RYV5747" s="917"/>
      <c r="RYW5747" s="917"/>
      <c r="RYX5747" s="917"/>
      <c r="RYY5747" s="917"/>
      <c r="RYZ5747" s="917"/>
      <c r="RZA5747" s="917"/>
      <c r="RZB5747" s="917"/>
      <c r="RZC5747" s="917"/>
      <c r="RZD5747" s="917"/>
      <c r="RZE5747" s="917"/>
      <c r="RZF5747" s="917"/>
      <c r="RZG5747" s="917"/>
      <c r="RZH5747" s="917"/>
      <c r="RZI5747" s="917" t="s">
        <v>78</v>
      </c>
      <c r="RZJ5747" s="917"/>
      <c r="RZK5747" s="917"/>
      <c r="RZL5747" s="917"/>
      <c r="RZM5747" s="917"/>
      <c r="RZN5747" s="917"/>
      <c r="RZO5747" s="917"/>
      <c r="RZP5747" s="917"/>
      <c r="RZQ5747" s="917"/>
      <c r="RZR5747" s="917"/>
      <c r="RZS5747" s="917"/>
      <c r="RZT5747" s="917"/>
      <c r="RZU5747" s="917"/>
      <c r="RZV5747" s="917"/>
      <c r="RZW5747" s="917"/>
      <c r="RZX5747" s="917"/>
      <c r="RZY5747" s="917"/>
      <c r="RZZ5747" s="917"/>
      <c r="SAA5747" s="917"/>
      <c r="SAB5747" s="917"/>
      <c r="SAC5747" s="917"/>
      <c r="SAD5747" s="917"/>
      <c r="SAE5747" s="917"/>
      <c r="SAF5747" s="917"/>
      <c r="SAG5747" s="917"/>
      <c r="SAH5747" s="917"/>
      <c r="SAI5747" s="917"/>
      <c r="SAJ5747" s="917"/>
      <c r="SAK5747" s="917"/>
      <c r="SAL5747" s="917"/>
      <c r="SAM5747" s="917"/>
      <c r="SAN5747" s="917"/>
      <c r="SAO5747" s="917" t="s">
        <v>78</v>
      </c>
      <c r="SAP5747" s="917"/>
      <c r="SAQ5747" s="917"/>
      <c r="SAR5747" s="917"/>
      <c r="SAS5747" s="917"/>
      <c r="SAT5747" s="917"/>
      <c r="SAU5747" s="917"/>
      <c r="SAV5747" s="917"/>
      <c r="SAW5747" s="917"/>
      <c r="SAX5747" s="917"/>
      <c r="SAY5747" s="917"/>
      <c r="SAZ5747" s="917"/>
      <c r="SBA5747" s="917"/>
      <c r="SBB5747" s="917"/>
      <c r="SBC5747" s="917"/>
      <c r="SBD5747" s="917"/>
      <c r="SBE5747" s="917"/>
      <c r="SBF5747" s="917"/>
      <c r="SBG5747" s="917"/>
      <c r="SBH5747" s="917"/>
      <c r="SBI5747" s="917"/>
      <c r="SBJ5747" s="917"/>
      <c r="SBK5747" s="917"/>
      <c r="SBL5747" s="917"/>
      <c r="SBM5747" s="917"/>
      <c r="SBN5747" s="917"/>
      <c r="SBO5747" s="917"/>
      <c r="SBP5747" s="917"/>
      <c r="SBQ5747" s="917"/>
      <c r="SBR5747" s="917"/>
      <c r="SBS5747" s="917"/>
      <c r="SBT5747" s="917"/>
      <c r="SBU5747" s="917" t="s">
        <v>78</v>
      </c>
      <c r="SBV5747" s="917"/>
      <c r="SBW5747" s="917"/>
      <c r="SBX5747" s="917"/>
      <c r="SBY5747" s="917"/>
      <c r="SBZ5747" s="917"/>
      <c r="SCA5747" s="917"/>
      <c r="SCB5747" s="917"/>
      <c r="SCC5747" s="917"/>
      <c r="SCD5747" s="917"/>
      <c r="SCE5747" s="917"/>
      <c r="SCF5747" s="917"/>
      <c r="SCG5747" s="917"/>
      <c r="SCH5747" s="917"/>
      <c r="SCI5747" s="917"/>
      <c r="SCJ5747" s="917"/>
      <c r="SCK5747" s="917"/>
      <c r="SCL5747" s="917"/>
      <c r="SCM5747" s="917"/>
      <c r="SCN5747" s="917"/>
      <c r="SCO5747" s="917"/>
      <c r="SCP5747" s="917"/>
      <c r="SCQ5747" s="917"/>
      <c r="SCR5747" s="917"/>
      <c r="SCS5747" s="917"/>
      <c r="SCT5747" s="917"/>
      <c r="SCU5747" s="917"/>
      <c r="SCV5747" s="917"/>
      <c r="SCW5747" s="917"/>
      <c r="SCX5747" s="917"/>
      <c r="SCY5747" s="917"/>
      <c r="SCZ5747" s="917"/>
      <c r="SDA5747" s="917" t="s">
        <v>78</v>
      </c>
      <c r="SDB5747" s="917"/>
      <c r="SDC5747" s="917"/>
      <c r="SDD5747" s="917"/>
      <c r="SDE5747" s="917"/>
      <c r="SDF5747" s="917"/>
      <c r="SDG5747" s="917"/>
      <c r="SDH5747" s="917"/>
      <c r="SDI5747" s="917"/>
      <c r="SDJ5747" s="917"/>
      <c r="SDK5747" s="917"/>
      <c r="SDL5747" s="917"/>
      <c r="SDM5747" s="917"/>
      <c r="SDN5747" s="917"/>
      <c r="SDO5747" s="917"/>
      <c r="SDP5747" s="917"/>
      <c r="SDQ5747" s="917"/>
      <c r="SDR5747" s="917"/>
      <c r="SDS5747" s="917"/>
      <c r="SDT5747" s="917"/>
      <c r="SDU5747" s="917"/>
      <c r="SDV5747" s="917"/>
      <c r="SDW5747" s="917"/>
      <c r="SDX5747" s="917"/>
      <c r="SDY5747" s="917"/>
      <c r="SDZ5747" s="917"/>
      <c r="SEA5747" s="917"/>
      <c r="SEB5747" s="917"/>
      <c r="SEC5747" s="917"/>
      <c r="SED5747" s="917"/>
      <c r="SEE5747" s="917"/>
      <c r="SEF5747" s="917"/>
      <c r="SEG5747" s="917" t="s">
        <v>78</v>
      </c>
      <c r="SEH5747" s="917"/>
      <c r="SEI5747" s="917"/>
      <c r="SEJ5747" s="917"/>
      <c r="SEK5747" s="917"/>
      <c r="SEL5747" s="917"/>
      <c r="SEM5747" s="917"/>
      <c r="SEN5747" s="917"/>
      <c r="SEO5747" s="917"/>
      <c r="SEP5747" s="917"/>
      <c r="SEQ5747" s="917"/>
      <c r="SER5747" s="917"/>
      <c r="SES5747" s="917"/>
      <c r="SET5747" s="917"/>
      <c r="SEU5747" s="917"/>
      <c r="SEV5747" s="917"/>
      <c r="SEW5747" s="917"/>
      <c r="SEX5747" s="917"/>
      <c r="SEY5747" s="917"/>
      <c r="SEZ5747" s="917"/>
      <c r="SFA5747" s="917"/>
      <c r="SFB5747" s="917"/>
      <c r="SFC5747" s="917"/>
      <c r="SFD5747" s="917"/>
      <c r="SFE5747" s="917"/>
      <c r="SFF5747" s="917"/>
      <c r="SFG5747" s="917"/>
      <c r="SFH5747" s="917"/>
      <c r="SFI5747" s="917"/>
      <c r="SFJ5747" s="917"/>
      <c r="SFK5747" s="917"/>
      <c r="SFL5747" s="917"/>
      <c r="SFM5747" s="917" t="s">
        <v>78</v>
      </c>
      <c r="SFN5747" s="917"/>
      <c r="SFO5747" s="917"/>
      <c r="SFP5747" s="917"/>
      <c r="SFQ5747" s="917"/>
      <c r="SFR5747" s="917"/>
      <c r="SFS5747" s="917"/>
      <c r="SFT5747" s="917"/>
      <c r="SFU5747" s="917"/>
      <c r="SFV5747" s="917"/>
      <c r="SFW5747" s="917"/>
      <c r="SFX5747" s="917"/>
      <c r="SFY5747" s="917"/>
      <c r="SFZ5747" s="917"/>
      <c r="SGA5747" s="917"/>
      <c r="SGB5747" s="917"/>
      <c r="SGC5747" s="917"/>
      <c r="SGD5747" s="917"/>
      <c r="SGE5747" s="917"/>
      <c r="SGF5747" s="917"/>
      <c r="SGG5747" s="917"/>
      <c r="SGH5747" s="917"/>
      <c r="SGI5747" s="917"/>
      <c r="SGJ5747" s="917"/>
      <c r="SGK5747" s="917"/>
      <c r="SGL5747" s="917"/>
      <c r="SGM5747" s="917"/>
      <c r="SGN5747" s="917"/>
      <c r="SGO5747" s="917"/>
      <c r="SGP5747" s="917"/>
      <c r="SGQ5747" s="917"/>
      <c r="SGR5747" s="917"/>
      <c r="SGS5747" s="917" t="s">
        <v>78</v>
      </c>
      <c r="SGT5747" s="917"/>
      <c r="SGU5747" s="917"/>
      <c r="SGV5747" s="917"/>
      <c r="SGW5747" s="917"/>
      <c r="SGX5747" s="917"/>
      <c r="SGY5747" s="917"/>
      <c r="SGZ5747" s="917"/>
      <c r="SHA5747" s="917"/>
      <c r="SHB5747" s="917"/>
      <c r="SHC5747" s="917"/>
      <c r="SHD5747" s="917"/>
      <c r="SHE5747" s="917"/>
      <c r="SHF5747" s="917"/>
      <c r="SHG5747" s="917"/>
      <c r="SHH5747" s="917"/>
      <c r="SHI5747" s="917"/>
      <c r="SHJ5747" s="917"/>
      <c r="SHK5747" s="917"/>
      <c r="SHL5747" s="917"/>
      <c r="SHM5747" s="917"/>
      <c r="SHN5747" s="917"/>
      <c r="SHO5747" s="917"/>
      <c r="SHP5747" s="917"/>
      <c r="SHQ5747" s="917"/>
      <c r="SHR5747" s="917"/>
      <c r="SHS5747" s="917"/>
      <c r="SHT5747" s="917"/>
      <c r="SHU5747" s="917"/>
      <c r="SHV5747" s="917"/>
      <c r="SHW5747" s="917"/>
      <c r="SHX5747" s="917"/>
      <c r="SHY5747" s="917" t="s">
        <v>78</v>
      </c>
      <c r="SHZ5747" s="917"/>
      <c r="SIA5747" s="917"/>
      <c r="SIB5747" s="917"/>
      <c r="SIC5747" s="917"/>
      <c r="SID5747" s="917"/>
      <c r="SIE5747" s="917"/>
      <c r="SIF5747" s="917"/>
      <c r="SIG5747" s="917"/>
      <c r="SIH5747" s="917"/>
      <c r="SII5747" s="917"/>
      <c r="SIJ5747" s="917"/>
      <c r="SIK5747" s="917"/>
      <c r="SIL5747" s="917"/>
      <c r="SIM5747" s="917"/>
      <c r="SIN5747" s="917"/>
      <c r="SIO5747" s="917"/>
      <c r="SIP5747" s="917"/>
      <c r="SIQ5747" s="917"/>
      <c r="SIR5747" s="917"/>
      <c r="SIS5747" s="917"/>
      <c r="SIT5747" s="917"/>
      <c r="SIU5747" s="917"/>
      <c r="SIV5747" s="917"/>
      <c r="SIW5747" s="917"/>
      <c r="SIX5747" s="917"/>
      <c r="SIY5747" s="917"/>
      <c r="SIZ5747" s="917"/>
      <c r="SJA5747" s="917"/>
      <c r="SJB5747" s="917"/>
      <c r="SJC5747" s="917"/>
      <c r="SJD5747" s="917"/>
      <c r="SJE5747" s="917" t="s">
        <v>78</v>
      </c>
      <c r="SJF5747" s="917"/>
      <c r="SJG5747" s="917"/>
      <c r="SJH5747" s="917"/>
      <c r="SJI5747" s="917"/>
      <c r="SJJ5747" s="917"/>
      <c r="SJK5747" s="917"/>
      <c r="SJL5747" s="917"/>
      <c r="SJM5747" s="917"/>
      <c r="SJN5747" s="917"/>
      <c r="SJO5747" s="917"/>
      <c r="SJP5747" s="917"/>
      <c r="SJQ5747" s="917"/>
      <c r="SJR5747" s="917"/>
      <c r="SJS5747" s="917"/>
      <c r="SJT5747" s="917"/>
      <c r="SJU5747" s="917"/>
      <c r="SJV5747" s="917"/>
      <c r="SJW5747" s="917"/>
      <c r="SJX5747" s="917"/>
      <c r="SJY5747" s="917"/>
      <c r="SJZ5747" s="917"/>
      <c r="SKA5747" s="917"/>
      <c r="SKB5747" s="917"/>
      <c r="SKC5747" s="917"/>
      <c r="SKD5747" s="917"/>
      <c r="SKE5747" s="917"/>
      <c r="SKF5747" s="917"/>
      <c r="SKG5747" s="917"/>
      <c r="SKH5747" s="917"/>
      <c r="SKI5747" s="917"/>
      <c r="SKJ5747" s="917"/>
      <c r="SKK5747" s="917" t="s">
        <v>78</v>
      </c>
      <c r="SKL5747" s="917"/>
      <c r="SKM5747" s="917"/>
      <c r="SKN5747" s="917"/>
      <c r="SKO5747" s="917"/>
      <c r="SKP5747" s="917"/>
      <c r="SKQ5747" s="917"/>
      <c r="SKR5747" s="917"/>
      <c r="SKS5747" s="917"/>
      <c r="SKT5747" s="917"/>
      <c r="SKU5747" s="917"/>
      <c r="SKV5747" s="917"/>
      <c r="SKW5747" s="917"/>
      <c r="SKX5747" s="917"/>
      <c r="SKY5747" s="917"/>
      <c r="SKZ5747" s="917"/>
      <c r="SLA5747" s="917"/>
      <c r="SLB5747" s="917"/>
      <c r="SLC5747" s="917"/>
      <c r="SLD5747" s="917"/>
      <c r="SLE5747" s="917"/>
      <c r="SLF5747" s="917"/>
      <c r="SLG5747" s="917"/>
      <c r="SLH5747" s="917"/>
      <c r="SLI5747" s="917"/>
      <c r="SLJ5747" s="917"/>
      <c r="SLK5747" s="917"/>
      <c r="SLL5747" s="917"/>
      <c r="SLM5747" s="917"/>
      <c r="SLN5747" s="917"/>
      <c r="SLO5747" s="917"/>
      <c r="SLP5747" s="917"/>
      <c r="SLQ5747" s="917" t="s">
        <v>78</v>
      </c>
      <c r="SLR5747" s="917"/>
      <c r="SLS5747" s="917"/>
      <c r="SLT5747" s="917"/>
      <c r="SLU5747" s="917"/>
      <c r="SLV5747" s="917"/>
      <c r="SLW5747" s="917"/>
      <c r="SLX5747" s="917"/>
      <c r="SLY5747" s="917"/>
      <c r="SLZ5747" s="917"/>
      <c r="SMA5747" s="917"/>
      <c r="SMB5747" s="917"/>
      <c r="SMC5747" s="917"/>
      <c r="SMD5747" s="917"/>
      <c r="SME5747" s="917"/>
      <c r="SMF5747" s="917"/>
      <c r="SMG5747" s="917"/>
      <c r="SMH5747" s="917"/>
      <c r="SMI5747" s="917"/>
      <c r="SMJ5747" s="917"/>
      <c r="SMK5747" s="917"/>
      <c r="SML5747" s="917"/>
      <c r="SMM5747" s="917"/>
      <c r="SMN5747" s="917"/>
      <c r="SMO5747" s="917"/>
      <c r="SMP5747" s="917"/>
      <c r="SMQ5747" s="917"/>
      <c r="SMR5747" s="917"/>
      <c r="SMS5747" s="917"/>
      <c r="SMT5747" s="917"/>
      <c r="SMU5747" s="917"/>
      <c r="SMV5747" s="917"/>
      <c r="SMW5747" s="917" t="s">
        <v>78</v>
      </c>
      <c r="SMX5747" s="917"/>
      <c r="SMY5747" s="917"/>
      <c r="SMZ5747" s="917"/>
      <c r="SNA5747" s="917"/>
      <c r="SNB5747" s="917"/>
      <c r="SNC5747" s="917"/>
      <c r="SND5747" s="917"/>
      <c r="SNE5747" s="917"/>
      <c r="SNF5747" s="917"/>
      <c r="SNG5747" s="917"/>
      <c r="SNH5747" s="917"/>
      <c r="SNI5747" s="917"/>
      <c r="SNJ5747" s="917"/>
      <c r="SNK5747" s="917"/>
      <c r="SNL5747" s="917"/>
      <c r="SNM5747" s="917"/>
      <c r="SNN5747" s="917"/>
      <c r="SNO5747" s="917"/>
      <c r="SNP5747" s="917"/>
      <c r="SNQ5747" s="917"/>
      <c r="SNR5747" s="917"/>
      <c r="SNS5747" s="917"/>
      <c r="SNT5747" s="917"/>
      <c r="SNU5747" s="917"/>
      <c r="SNV5747" s="917"/>
      <c r="SNW5747" s="917"/>
      <c r="SNX5747" s="917"/>
      <c r="SNY5747" s="917"/>
      <c r="SNZ5747" s="917"/>
      <c r="SOA5747" s="917"/>
      <c r="SOB5747" s="917"/>
      <c r="SOC5747" s="917" t="s">
        <v>78</v>
      </c>
      <c r="SOD5747" s="917"/>
      <c r="SOE5747" s="917"/>
      <c r="SOF5747" s="917"/>
      <c r="SOG5747" s="917"/>
      <c r="SOH5747" s="917"/>
      <c r="SOI5747" s="917"/>
      <c r="SOJ5747" s="917"/>
      <c r="SOK5747" s="917"/>
      <c r="SOL5747" s="917"/>
      <c r="SOM5747" s="917"/>
      <c r="SON5747" s="917"/>
      <c r="SOO5747" s="917"/>
      <c r="SOP5747" s="917"/>
      <c r="SOQ5747" s="917"/>
      <c r="SOR5747" s="917"/>
      <c r="SOS5747" s="917"/>
      <c r="SOT5747" s="917"/>
      <c r="SOU5747" s="917"/>
      <c r="SOV5747" s="917"/>
      <c r="SOW5747" s="917"/>
      <c r="SOX5747" s="917"/>
      <c r="SOY5747" s="917"/>
      <c r="SOZ5747" s="917"/>
      <c r="SPA5747" s="917"/>
      <c r="SPB5747" s="917"/>
      <c r="SPC5747" s="917"/>
      <c r="SPD5747" s="917"/>
      <c r="SPE5747" s="917"/>
      <c r="SPF5747" s="917"/>
      <c r="SPG5747" s="917"/>
      <c r="SPH5747" s="917"/>
      <c r="SPI5747" s="917" t="s">
        <v>78</v>
      </c>
      <c r="SPJ5747" s="917"/>
      <c r="SPK5747" s="917"/>
      <c r="SPL5747" s="917"/>
      <c r="SPM5747" s="917"/>
      <c r="SPN5747" s="917"/>
      <c r="SPO5747" s="917"/>
      <c r="SPP5747" s="917"/>
      <c r="SPQ5747" s="917"/>
      <c r="SPR5747" s="917"/>
      <c r="SPS5747" s="917"/>
      <c r="SPT5747" s="917"/>
      <c r="SPU5747" s="917"/>
      <c r="SPV5747" s="917"/>
      <c r="SPW5747" s="917"/>
      <c r="SPX5747" s="917"/>
      <c r="SPY5747" s="917"/>
      <c r="SPZ5747" s="917"/>
      <c r="SQA5747" s="917"/>
      <c r="SQB5747" s="917"/>
      <c r="SQC5747" s="917"/>
      <c r="SQD5747" s="917"/>
      <c r="SQE5747" s="917"/>
      <c r="SQF5747" s="917"/>
      <c r="SQG5747" s="917"/>
      <c r="SQH5747" s="917"/>
      <c r="SQI5747" s="917"/>
      <c r="SQJ5747" s="917"/>
      <c r="SQK5747" s="917"/>
      <c r="SQL5747" s="917"/>
      <c r="SQM5747" s="917"/>
      <c r="SQN5747" s="917"/>
      <c r="SQO5747" s="917" t="s">
        <v>78</v>
      </c>
      <c r="SQP5747" s="917"/>
      <c r="SQQ5747" s="917"/>
      <c r="SQR5747" s="917"/>
      <c r="SQS5747" s="917"/>
      <c r="SQT5747" s="917"/>
      <c r="SQU5747" s="917"/>
      <c r="SQV5747" s="917"/>
      <c r="SQW5747" s="917"/>
      <c r="SQX5747" s="917"/>
      <c r="SQY5747" s="917"/>
      <c r="SQZ5747" s="917"/>
      <c r="SRA5747" s="917"/>
      <c r="SRB5747" s="917"/>
      <c r="SRC5747" s="917"/>
      <c r="SRD5747" s="917"/>
      <c r="SRE5747" s="917"/>
      <c r="SRF5747" s="917"/>
      <c r="SRG5747" s="917"/>
      <c r="SRH5747" s="917"/>
      <c r="SRI5747" s="917"/>
      <c r="SRJ5747" s="917"/>
      <c r="SRK5747" s="917"/>
      <c r="SRL5747" s="917"/>
      <c r="SRM5747" s="917"/>
      <c r="SRN5747" s="917"/>
      <c r="SRO5747" s="917"/>
      <c r="SRP5747" s="917"/>
      <c r="SRQ5747" s="917"/>
      <c r="SRR5747" s="917"/>
      <c r="SRS5747" s="917"/>
      <c r="SRT5747" s="917"/>
      <c r="SRU5747" s="917" t="s">
        <v>78</v>
      </c>
      <c r="SRV5747" s="917"/>
      <c r="SRW5747" s="917"/>
      <c r="SRX5747" s="917"/>
      <c r="SRY5747" s="917"/>
      <c r="SRZ5747" s="917"/>
      <c r="SSA5747" s="917"/>
      <c r="SSB5747" s="917"/>
      <c r="SSC5747" s="917"/>
      <c r="SSD5747" s="917"/>
      <c r="SSE5747" s="917"/>
      <c r="SSF5747" s="917"/>
      <c r="SSG5747" s="917"/>
      <c r="SSH5747" s="917"/>
      <c r="SSI5747" s="917"/>
      <c r="SSJ5747" s="917"/>
      <c r="SSK5747" s="917"/>
      <c r="SSL5747" s="917"/>
      <c r="SSM5747" s="917"/>
      <c r="SSN5747" s="917"/>
      <c r="SSO5747" s="917"/>
      <c r="SSP5747" s="917"/>
      <c r="SSQ5747" s="917"/>
      <c r="SSR5747" s="917"/>
      <c r="SSS5747" s="917"/>
      <c r="SST5747" s="917"/>
      <c r="SSU5747" s="917"/>
      <c r="SSV5747" s="917"/>
      <c r="SSW5747" s="917"/>
      <c r="SSX5747" s="917"/>
      <c r="SSY5747" s="917"/>
      <c r="SSZ5747" s="917"/>
      <c r="STA5747" s="917" t="s">
        <v>78</v>
      </c>
      <c r="STB5747" s="917"/>
      <c r="STC5747" s="917"/>
      <c r="STD5747" s="917"/>
      <c r="STE5747" s="917"/>
      <c r="STF5747" s="917"/>
      <c r="STG5747" s="917"/>
      <c r="STH5747" s="917"/>
      <c r="STI5747" s="917"/>
      <c r="STJ5747" s="917"/>
      <c r="STK5747" s="917"/>
      <c r="STL5747" s="917"/>
      <c r="STM5747" s="917"/>
      <c r="STN5747" s="917"/>
      <c r="STO5747" s="917"/>
      <c r="STP5747" s="917"/>
      <c r="STQ5747" s="917"/>
      <c r="STR5747" s="917"/>
      <c r="STS5747" s="917"/>
      <c r="STT5747" s="917"/>
      <c r="STU5747" s="917"/>
      <c r="STV5747" s="917"/>
      <c r="STW5747" s="917"/>
      <c r="STX5747" s="917"/>
      <c r="STY5747" s="917"/>
      <c r="STZ5747" s="917"/>
      <c r="SUA5747" s="917"/>
      <c r="SUB5747" s="917"/>
      <c r="SUC5747" s="917"/>
      <c r="SUD5747" s="917"/>
      <c r="SUE5747" s="917"/>
      <c r="SUF5747" s="917"/>
      <c r="SUG5747" s="917" t="s">
        <v>78</v>
      </c>
      <c r="SUH5747" s="917"/>
      <c r="SUI5747" s="917"/>
      <c r="SUJ5747" s="917"/>
      <c r="SUK5747" s="917"/>
      <c r="SUL5747" s="917"/>
      <c r="SUM5747" s="917"/>
      <c r="SUN5747" s="917"/>
      <c r="SUO5747" s="917"/>
      <c r="SUP5747" s="917"/>
      <c r="SUQ5747" s="917"/>
      <c r="SUR5747" s="917"/>
      <c r="SUS5747" s="917"/>
      <c r="SUT5747" s="917"/>
      <c r="SUU5747" s="917"/>
      <c r="SUV5747" s="917"/>
      <c r="SUW5747" s="917"/>
      <c r="SUX5747" s="917"/>
      <c r="SUY5747" s="917"/>
      <c r="SUZ5747" s="917"/>
      <c r="SVA5747" s="917"/>
      <c r="SVB5747" s="917"/>
      <c r="SVC5747" s="917"/>
      <c r="SVD5747" s="917"/>
      <c r="SVE5747" s="917"/>
      <c r="SVF5747" s="917"/>
      <c r="SVG5747" s="917"/>
      <c r="SVH5747" s="917"/>
      <c r="SVI5747" s="917"/>
      <c r="SVJ5747" s="917"/>
      <c r="SVK5747" s="917"/>
      <c r="SVL5747" s="917"/>
      <c r="SVM5747" s="917" t="s">
        <v>78</v>
      </c>
      <c r="SVN5747" s="917"/>
      <c r="SVO5747" s="917"/>
      <c r="SVP5747" s="917"/>
      <c r="SVQ5747" s="917"/>
      <c r="SVR5747" s="917"/>
      <c r="SVS5747" s="917"/>
      <c r="SVT5747" s="917"/>
      <c r="SVU5747" s="917"/>
      <c r="SVV5747" s="917"/>
      <c r="SVW5747" s="917"/>
      <c r="SVX5747" s="917"/>
      <c r="SVY5747" s="917"/>
      <c r="SVZ5747" s="917"/>
      <c r="SWA5747" s="917"/>
      <c r="SWB5747" s="917"/>
      <c r="SWC5747" s="917"/>
      <c r="SWD5747" s="917"/>
      <c r="SWE5747" s="917"/>
      <c r="SWF5747" s="917"/>
      <c r="SWG5747" s="917"/>
      <c r="SWH5747" s="917"/>
      <c r="SWI5747" s="917"/>
      <c r="SWJ5747" s="917"/>
      <c r="SWK5747" s="917"/>
      <c r="SWL5747" s="917"/>
      <c r="SWM5747" s="917"/>
      <c r="SWN5747" s="917"/>
      <c r="SWO5747" s="917"/>
      <c r="SWP5747" s="917"/>
      <c r="SWQ5747" s="917"/>
      <c r="SWR5747" s="917"/>
      <c r="SWS5747" s="917" t="s">
        <v>78</v>
      </c>
      <c r="SWT5747" s="917"/>
      <c r="SWU5747" s="917"/>
      <c r="SWV5747" s="917"/>
      <c r="SWW5747" s="917"/>
      <c r="SWX5747" s="917"/>
      <c r="SWY5747" s="917"/>
      <c r="SWZ5747" s="917"/>
      <c r="SXA5747" s="917"/>
      <c r="SXB5747" s="917"/>
      <c r="SXC5747" s="917"/>
      <c r="SXD5747" s="917"/>
      <c r="SXE5747" s="917"/>
      <c r="SXF5747" s="917"/>
      <c r="SXG5747" s="917"/>
      <c r="SXH5747" s="917"/>
      <c r="SXI5747" s="917"/>
      <c r="SXJ5747" s="917"/>
      <c r="SXK5747" s="917"/>
      <c r="SXL5747" s="917"/>
      <c r="SXM5747" s="917"/>
      <c r="SXN5747" s="917"/>
      <c r="SXO5747" s="917"/>
      <c r="SXP5747" s="917"/>
      <c r="SXQ5747" s="917"/>
      <c r="SXR5747" s="917"/>
      <c r="SXS5747" s="917"/>
      <c r="SXT5747" s="917"/>
      <c r="SXU5747" s="917"/>
      <c r="SXV5747" s="917"/>
      <c r="SXW5747" s="917"/>
      <c r="SXX5747" s="917"/>
      <c r="SXY5747" s="917" t="s">
        <v>78</v>
      </c>
      <c r="SXZ5747" s="917"/>
      <c r="SYA5747" s="917"/>
      <c r="SYB5747" s="917"/>
      <c r="SYC5747" s="917"/>
      <c r="SYD5747" s="917"/>
      <c r="SYE5747" s="917"/>
      <c r="SYF5747" s="917"/>
      <c r="SYG5747" s="917"/>
      <c r="SYH5747" s="917"/>
      <c r="SYI5747" s="917"/>
      <c r="SYJ5747" s="917"/>
      <c r="SYK5747" s="917"/>
      <c r="SYL5747" s="917"/>
      <c r="SYM5747" s="917"/>
      <c r="SYN5747" s="917"/>
      <c r="SYO5747" s="917"/>
      <c r="SYP5747" s="917"/>
      <c r="SYQ5747" s="917"/>
      <c r="SYR5747" s="917"/>
      <c r="SYS5747" s="917"/>
      <c r="SYT5747" s="917"/>
      <c r="SYU5747" s="917"/>
      <c r="SYV5747" s="917"/>
      <c r="SYW5747" s="917"/>
      <c r="SYX5747" s="917"/>
      <c r="SYY5747" s="917"/>
      <c r="SYZ5747" s="917"/>
      <c r="SZA5747" s="917"/>
      <c r="SZB5747" s="917"/>
      <c r="SZC5747" s="917"/>
      <c r="SZD5747" s="917"/>
      <c r="SZE5747" s="917" t="s">
        <v>78</v>
      </c>
      <c r="SZF5747" s="917"/>
      <c r="SZG5747" s="917"/>
      <c r="SZH5747" s="917"/>
      <c r="SZI5747" s="917"/>
      <c r="SZJ5747" s="917"/>
      <c r="SZK5747" s="917"/>
      <c r="SZL5747" s="917"/>
      <c r="SZM5747" s="917"/>
      <c r="SZN5747" s="917"/>
      <c r="SZO5747" s="917"/>
      <c r="SZP5747" s="917"/>
      <c r="SZQ5747" s="917"/>
      <c r="SZR5747" s="917"/>
      <c r="SZS5747" s="917"/>
      <c r="SZT5747" s="917"/>
      <c r="SZU5747" s="917"/>
      <c r="SZV5747" s="917"/>
      <c r="SZW5747" s="917"/>
      <c r="SZX5747" s="917"/>
      <c r="SZY5747" s="917"/>
      <c r="SZZ5747" s="917"/>
      <c r="TAA5747" s="917"/>
      <c r="TAB5747" s="917"/>
      <c r="TAC5747" s="917"/>
      <c r="TAD5747" s="917"/>
      <c r="TAE5747" s="917"/>
      <c r="TAF5747" s="917"/>
      <c r="TAG5747" s="917"/>
      <c r="TAH5747" s="917"/>
      <c r="TAI5747" s="917"/>
      <c r="TAJ5747" s="917"/>
      <c r="TAK5747" s="917" t="s">
        <v>78</v>
      </c>
      <c r="TAL5747" s="917"/>
      <c r="TAM5747" s="917"/>
      <c r="TAN5747" s="917"/>
      <c r="TAO5747" s="917"/>
      <c r="TAP5747" s="917"/>
      <c r="TAQ5747" s="917"/>
      <c r="TAR5747" s="917"/>
      <c r="TAS5747" s="917"/>
      <c r="TAT5747" s="917"/>
      <c r="TAU5747" s="917"/>
      <c r="TAV5747" s="917"/>
      <c r="TAW5747" s="917"/>
      <c r="TAX5747" s="917"/>
      <c r="TAY5747" s="917"/>
      <c r="TAZ5747" s="917"/>
      <c r="TBA5747" s="917"/>
      <c r="TBB5747" s="917"/>
      <c r="TBC5747" s="917"/>
      <c r="TBD5747" s="917"/>
      <c r="TBE5747" s="917"/>
      <c r="TBF5747" s="917"/>
      <c r="TBG5747" s="917"/>
      <c r="TBH5747" s="917"/>
      <c r="TBI5747" s="917"/>
      <c r="TBJ5747" s="917"/>
      <c r="TBK5747" s="917"/>
      <c r="TBL5747" s="917"/>
      <c r="TBM5747" s="917"/>
      <c r="TBN5747" s="917"/>
      <c r="TBO5747" s="917"/>
      <c r="TBP5747" s="917"/>
      <c r="TBQ5747" s="917" t="s">
        <v>78</v>
      </c>
      <c r="TBR5747" s="917"/>
      <c r="TBS5747" s="917"/>
      <c r="TBT5747" s="917"/>
      <c r="TBU5747" s="917"/>
      <c r="TBV5747" s="917"/>
      <c r="TBW5747" s="917"/>
      <c r="TBX5747" s="917"/>
      <c r="TBY5747" s="917"/>
      <c r="TBZ5747" s="917"/>
      <c r="TCA5747" s="917"/>
      <c r="TCB5747" s="917"/>
      <c r="TCC5747" s="917"/>
      <c r="TCD5747" s="917"/>
      <c r="TCE5747" s="917"/>
      <c r="TCF5747" s="917"/>
      <c r="TCG5747" s="917"/>
      <c r="TCH5747" s="917"/>
      <c r="TCI5747" s="917"/>
      <c r="TCJ5747" s="917"/>
      <c r="TCK5747" s="917"/>
      <c r="TCL5747" s="917"/>
      <c r="TCM5747" s="917"/>
      <c r="TCN5747" s="917"/>
      <c r="TCO5747" s="917"/>
      <c r="TCP5747" s="917"/>
      <c r="TCQ5747" s="917"/>
      <c r="TCR5747" s="917"/>
      <c r="TCS5747" s="917"/>
      <c r="TCT5747" s="917"/>
      <c r="TCU5747" s="917"/>
      <c r="TCV5747" s="917"/>
      <c r="TCW5747" s="917" t="s">
        <v>78</v>
      </c>
      <c r="TCX5747" s="917"/>
      <c r="TCY5747" s="917"/>
      <c r="TCZ5747" s="917"/>
      <c r="TDA5747" s="917"/>
      <c r="TDB5747" s="917"/>
      <c r="TDC5747" s="917"/>
      <c r="TDD5747" s="917"/>
      <c r="TDE5747" s="917"/>
      <c r="TDF5747" s="917"/>
      <c r="TDG5747" s="917"/>
      <c r="TDH5747" s="917"/>
      <c r="TDI5747" s="917"/>
      <c r="TDJ5747" s="917"/>
      <c r="TDK5747" s="917"/>
      <c r="TDL5747" s="917"/>
      <c r="TDM5747" s="917"/>
      <c r="TDN5747" s="917"/>
      <c r="TDO5747" s="917"/>
      <c r="TDP5747" s="917"/>
      <c r="TDQ5747" s="917"/>
      <c r="TDR5747" s="917"/>
      <c r="TDS5747" s="917"/>
      <c r="TDT5747" s="917"/>
      <c r="TDU5747" s="917"/>
      <c r="TDV5747" s="917"/>
      <c r="TDW5747" s="917"/>
      <c r="TDX5747" s="917"/>
      <c r="TDY5747" s="917"/>
      <c r="TDZ5747" s="917"/>
      <c r="TEA5747" s="917"/>
      <c r="TEB5747" s="917"/>
      <c r="TEC5747" s="917" t="s">
        <v>78</v>
      </c>
      <c r="TED5747" s="917"/>
      <c r="TEE5747" s="917"/>
      <c r="TEF5747" s="917"/>
      <c r="TEG5747" s="917"/>
      <c r="TEH5747" s="917"/>
      <c r="TEI5747" s="917"/>
      <c r="TEJ5747" s="917"/>
      <c r="TEK5747" s="917"/>
      <c r="TEL5747" s="917"/>
      <c r="TEM5747" s="917"/>
      <c r="TEN5747" s="917"/>
      <c r="TEO5747" s="917"/>
      <c r="TEP5747" s="917"/>
      <c r="TEQ5747" s="917"/>
      <c r="TER5747" s="917"/>
      <c r="TES5747" s="917"/>
      <c r="TET5747" s="917"/>
      <c r="TEU5747" s="917"/>
      <c r="TEV5747" s="917"/>
      <c r="TEW5747" s="917"/>
      <c r="TEX5747" s="917"/>
      <c r="TEY5747" s="917"/>
      <c r="TEZ5747" s="917"/>
      <c r="TFA5747" s="917"/>
      <c r="TFB5747" s="917"/>
      <c r="TFC5747" s="917"/>
      <c r="TFD5747" s="917"/>
      <c r="TFE5747" s="917"/>
      <c r="TFF5747" s="917"/>
      <c r="TFG5747" s="917"/>
      <c r="TFH5747" s="917"/>
      <c r="TFI5747" s="917" t="s">
        <v>78</v>
      </c>
      <c r="TFJ5747" s="917"/>
      <c r="TFK5747" s="917"/>
      <c r="TFL5747" s="917"/>
      <c r="TFM5747" s="917"/>
      <c r="TFN5747" s="917"/>
      <c r="TFO5747" s="917"/>
      <c r="TFP5747" s="917"/>
      <c r="TFQ5747" s="917"/>
      <c r="TFR5747" s="917"/>
      <c r="TFS5747" s="917"/>
      <c r="TFT5747" s="917"/>
      <c r="TFU5747" s="917"/>
      <c r="TFV5747" s="917"/>
      <c r="TFW5747" s="917"/>
      <c r="TFX5747" s="917"/>
      <c r="TFY5747" s="917"/>
      <c r="TFZ5747" s="917"/>
      <c r="TGA5747" s="917"/>
      <c r="TGB5747" s="917"/>
      <c r="TGC5747" s="917"/>
      <c r="TGD5747" s="917"/>
      <c r="TGE5747" s="917"/>
      <c r="TGF5747" s="917"/>
      <c r="TGG5747" s="917"/>
      <c r="TGH5747" s="917"/>
      <c r="TGI5747" s="917"/>
      <c r="TGJ5747" s="917"/>
      <c r="TGK5747" s="917"/>
      <c r="TGL5747" s="917"/>
      <c r="TGM5747" s="917"/>
      <c r="TGN5747" s="917"/>
      <c r="TGO5747" s="917" t="s">
        <v>78</v>
      </c>
      <c r="TGP5747" s="917"/>
      <c r="TGQ5747" s="917"/>
      <c r="TGR5747" s="917"/>
      <c r="TGS5747" s="917"/>
      <c r="TGT5747" s="917"/>
      <c r="TGU5747" s="917"/>
      <c r="TGV5747" s="917"/>
      <c r="TGW5747" s="917"/>
      <c r="TGX5747" s="917"/>
      <c r="TGY5747" s="917"/>
      <c r="TGZ5747" s="917"/>
      <c r="THA5747" s="917"/>
      <c r="THB5747" s="917"/>
      <c r="THC5747" s="917"/>
      <c r="THD5747" s="917"/>
      <c r="THE5747" s="917"/>
      <c r="THF5747" s="917"/>
      <c r="THG5747" s="917"/>
      <c r="THH5747" s="917"/>
      <c r="THI5747" s="917"/>
      <c r="THJ5747" s="917"/>
      <c r="THK5747" s="917"/>
      <c r="THL5747" s="917"/>
      <c r="THM5747" s="917"/>
      <c r="THN5747" s="917"/>
      <c r="THO5747" s="917"/>
      <c r="THP5747" s="917"/>
      <c r="THQ5747" s="917"/>
      <c r="THR5747" s="917"/>
      <c r="THS5747" s="917"/>
      <c r="THT5747" s="917"/>
      <c r="THU5747" s="917" t="s">
        <v>78</v>
      </c>
      <c r="THV5747" s="917"/>
      <c r="THW5747" s="917"/>
      <c r="THX5747" s="917"/>
      <c r="THY5747" s="917"/>
      <c r="THZ5747" s="917"/>
      <c r="TIA5747" s="917"/>
      <c r="TIB5747" s="917"/>
      <c r="TIC5747" s="917"/>
      <c r="TID5747" s="917"/>
      <c r="TIE5747" s="917"/>
      <c r="TIF5747" s="917"/>
      <c r="TIG5747" s="917"/>
      <c r="TIH5747" s="917"/>
      <c r="TII5747" s="917"/>
      <c r="TIJ5747" s="917"/>
      <c r="TIK5747" s="917"/>
      <c r="TIL5747" s="917"/>
      <c r="TIM5747" s="917"/>
      <c r="TIN5747" s="917"/>
      <c r="TIO5747" s="917"/>
      <c r="TIP5747" s="917"/>
      <c r="TIQ5747" s="917"/>
      <c r="TIR5747" s="917"/>
      <c r="TIS5747" s="917"/>
      <c r="TIT5747" s="917"/>
      <c r="TIU5747" s="917"/>
      <c r="TIV5747" s="917"/>
      <c r="TIW5747" s="917"/>
      <c r="TIX5747" s="917"/>
      <c r="TIY5747" s="917"/>
      <c r="TIZ5747" s="917"/>
      <c r="TJA5747" s="917" t="s">
        <v>78</v>
      </c>
      <c r="TJB5747" s="917"/>
      <c r="TJC5747" s="917"/>
      <c r="TJD5747" s="917"/>
      <c r="TJE5747" s="917"/>
      <c r="TJF5747" s="917"/>
      <c r="TJG5747" s="917"/>
      <c r="TJH5747" s="917"/>
      <c r="TJI5747" s="917"/>
      <c r="TJJ5747" s="917"/>
      <c r="TJK5747" s="917"/>
      <c r="TJL5747" s="917"/>
      <c r="TJM5747" s="917"/>
      <c r="TJN5747" s="917"/>
      <c r="TJO5747" s="917"/>
      <c r="TJP5747" s="917"/>
      <c r="TJQ5747" s="917"/>
      <c r="TJR5747" s="917"/>
      <c r="TJS5747" s="917"/>
      <c r="TJT5747" s="917"/>
      <c r="TJU5747" s="917"/>
      <c r="TJV5747" s="917"/>
      <c r="TJW5747" s="917"/>
      <c r="TJX5747" s="917"/>
      <c r="TJY5747" s="917"/>
      <c r="TJZ5747" s="917"/>
      <c r="TKA5747" s="917"/>
      <c r="TKB5747" s="917"/>
      <c r="TKC5747" s="917"/>
      <c r="TKD5747" s="917"/>
      <c r="TKE5747" s="917"/>
      <c r="TKF5747" s="917"/>
      <c r="TKG5747" s="917" t="s">
        <v>78</v>
      </c>
      <c r="TKH5747" s="917"/>
      <c r="TKI5747" s="917"/>
      <c r="TKJ5747" s="917"/>
      <c r="TKK5747" s="917"/>
      <c r="TKL5747" s="917"/>
      <c r="TKM5747" s="917"/>
      <c r="TKN5747" s="917"/>
      <c r="TKO5747" s="917"/>
      <c r="TKP5747" s="917"/>
      <c r="TKQ5747" s="917"/>
      <c r="TKR5747" s="917"/>
      <c r="TKS5747" s="917"/>
      <c r="TKT5747" s="917"/>
      <c r="TKU5747" s="917"/>
      <c r="TKV5747" s="917"/>
      <c r="TKW5747" s="917"/>
      <c r="TKX5747" s="917"/>
      <c r="TKY5747" s="917"/>
      <c r="TKZ5747" s="917"/>
      <c r="TLA5747" s="917"/>
      <c r="TLB5747" s="917"/>
      <c r="TLC5747" s="917"/>
      <c r="TLD5747" s="917"/>
      <c r="TLE5747" s="917"/>
      <c r="TLF5747" s="917"/>
      <c r="TLG5747" s="917"/>
      <c r="TLH5747" s="917"/>
      <c r="TLI5747" s="917"/>
      <c r="TLJ5747" s="917"/>
      <c r="TLK5747" s="917"/>
      <c r="TLL5747" s="917"/>
      <c r="TLM5747" s="917" t="s">
        <v>78</v>
      </c>
      <c r="TLN5747" s="917"/>
      <c r="TLO5747" s="917"/>
      <c r="TLP5747" s="917"/>
      <c r="TLQ5747" s="917"/>
      <c r="TLR5747" s="917"/>
      <c r="TLS5747" s="917"/>
      <c r="TLT5747" s="917"/>
      <c r="TLU5747" s="917"/>
      <c r="TLV5747" s="917"/>
      <c r="TLW5747" s="917"/>
      <c r="TLX5747" s="917"/>
      <c r="TLY5747" s="917"/>
      <c r="TLZ5747" s="917"/>
      <c r="TMA5747" s="917"/>
      <c r="TMB5747" s="917"/>
      <c r="TMC5747" s="917"/>
      <c r="TMD5747" s="917"/>
      <c r="TME5747" s="917"/>
      <c r="TMF5747" s="917"/>
      <c r="TMG5747" s="917"/>
      <c r="TMH5747" s="917"/>
      <c r="TMI5747" s="917"/>
      <c r="TMJ5747" s="917"/>
      <c r="TMK5747" s="917"/>
      <c r="TML5747" s="917"/>
      <c r="TMM5747" s="917"/>
      <c r="TMN5747" s="917"/>
      <c r="TMO5747" s="917"/>
      <c r="TMP5747" s="917"/>
      <c r="TMQ5747" s="917"/>
      <c r="TMR5747" s="917"/>
      <c r="TMS5747" s="917" t="s">
        <v>78</v>
      </c>
      <c r="TMT5747" s="917"/>
      <c r="TMU5747" s="917"/>
      <c r="TMV5747" s="917"/>
      <c r="TMW5747" s="917"/>
      <c r="TMX5747" s="917"/>
      <c r="TMY5747" s="917"/>
      <c r="TMZ5747" s="917"/>
      <c r="TNA5747" s="917"/>
      <c r="TNB5747" s="917"/>
      <c r="TNC5747" s="917"/>
      <c r="TND5747" s="917"/>
      <c r="TNE5747" s="917"/>
      <c r="TNF5747" s="917"/>
      <c r="TNG5747" s="917"/>
      <c r="TNH5747" s="917"/>
      <c r="TNI5747" s="917"/>
      <c r="TNJ5747" s="917"/>
      <c r="TNK5747" s="917"/>
      <c r="TNL5747" s="917"/>
      <c r="TNM5747" s="917"/>
      <c r="TNN5747" s="917"/>
      <c r="TNO5747" s="917"/>
      <c r="TNP5747" s="917"/>
      <c r="TNQ5747" s="917"/>
      <c r="TNR5747" s="917"/>
      <c r="TNS5747" s="917"/>
      <c r="TNT5747" s="917"/>
      <c r="TNU5747" s="917"/>
      <c r="TNV5747" s="917"/>
      <c r="TNW5747" s="917"/>
      <c r="TNX5747" s="917"/>
      <c r="TNY5747" s="917" t="s">
        <v>78</v>
      </c>
      <c r="TNZ5747" s="917"/>
      <c r="TOA5747" s="917"/>
      <c r="TOB5747" s="917"/>
      <c r="TOC5747" s="917"/>
      <c r="TOD5747" s="917"/>
      <c r="TOE5747" s="917"/>
      <c r="TOF5747" s="917"/>
      <c r="TOG5747" s="917"/>
      <c r="TOH5747" s="917"/>
      <c r="TOI5747" s="917"/>
      <c r="TOJ5747" s="917"/>
      <c r="TOK5747" s="917"/>
      <c r="TOL5747" s="917"/>
      <c r="TOM5747" s="917"/>
      <c r="TON5747" s="917"/>
      <c r="TOO5747" s="917"/>
      <c r="TOP5747" s="917"/>
      <c r="TOQ5747" s="917"/>
      <c r="TOR5747" s="917"/>
      <c r="TOS5747" s="917"/>
      <c r="TOT5747" s="917"/>
      <c r="TOU5747" s="917"/>
      <c r="TOV5747" s="917"/>
      <c r="TOW5747" s="917"/>
      <c r="TOX5747" s="917"/>
      <c r="TOY5747" s="917"/>
      <c r="TOZ5747" s="917"/>
      <c r="TPA5747" s="917"/>
      <c r="TPB5747" s="917"/>
      <c r="TPC5747" s="917"/>
      <c r="TPD5747" s="917"/>
      <c r="TPE5747" s="917" t="s">
        <v>78</v>
      </c>
      <c r="TPF5747" s="917"/>
      <c r="TPG5747" s="917"/>
      <c r="TPH5747" s="917"/>
      <c r="TPI5747" s="917"/>
      <c r="TPJ5747" s="917"/>
      <c r="TPK5747" s="917"/>
      <c r="TPL5747" s="917"/>
      <c r="TPM5747" s="917"/>
      <c r="TPN5747" s="917"/>
      <c r="TPO5747" s="917"/>
      <c r="TPP5747" s="917"/>
      <c r="TPQ5747" s="917"/>
      <c r="TPR5747" s="917"/>
      <c r="TPS5747" s="917"/>
      <c r="TPT5747" s="917"/>
      <c r="TPU5747" s="917"/>
      <c r="TPV5747" s="917"/>
      <c r="TPW5747" s="917"/>
      <c r="TPX5747" s="917"/>
      <c r="TPY5747" s="917"/>
      <c r="TPZ5747" s="917"/>
      <c r="TQA5747" s="917"/>
      <c r="TQB5747" s="917"/>
      <c r="TQC5747" s="917"/>
      <c r="TQD5747" s="917"/>
      <c r="TQE5747" s="917"/>
      <c r="TQF5747" s="917"/>
      <c r="TQG5747" s="917"/>
      <c r="TQH5747" s="917"/>
      <c r="TQI5747" s="917"/>
      <c r="TQJ5747" s="917"/>
      <c r="TQK5747" s="917" t="s">
        <v>78</v>
      </c>
      <c r="TQL5747" s="917"/>
      <c r="TQM5747" s="917"/>
      <c r="TQN5747" s="917"/>
      <c r="TQO5747" s="917"/>
      <c r="TQP5747" s="917"/>
      <c r="TQQ5747" s="917"/>
      <c r="TQR5747" s="917"/>
      <c r="TQS5747" s="917"/>
      <c r="TQT5747" s="917"/>
      <c r="TQU5747" s="917"/>
      <c r="TQV5747" s="917"/>
      <c r="TQW5747" s="917"/>
      <c r="TQX5747" s="917"/>
      <c r="TQY5747" s="917"/>
      <c r="TQZ5747" s="917"/>
      <c r="TRA5747" s="917"/>
      <c r="TRB5747" s="917"/>
      <c r="TRC5747" s="917"/>
      <c r="TRD5747" s="917"/>
      <c r="TRE5747" s="917"/>
      <c r="TRF5747" s="917"/>
      <c r="TRG5747" s="917"/>
      <c r="TRH5747" s="917"/>
      <c r="TRI5747" s="917"/>
      <c r="TRJ5747" s="917"/>
      <c r="TRK5747" s="917"/>
      <c r="TRL5747" s="917"/>
      <c r="TRM5747" s="917"/>
      <c r="TRN5747" s="917"/>
      <c r="TRO5747" s="917"/>
      <c r="TRP5747" s="917"/>
      <c r="TRQ5747" s="917" t="s">
        <v>78</v>
      </c>
      <c r="TRR5747" s="917"/>
      <c r="TRS5747" s="917"/>
      <c r="TRT5747" s="917"/>
      <c r="TRU5747" s="917"/>
      <c r="TRV5747" s="917"/>
      <c r="TRW5747" s="917"/>
      <c r="TRX5747" s="917"/>
      <c r="TRY5747" s="917"/>
      <c r="TRZ5747" s="917"/>
      <c r="TSA5747" s="917"/>
      <c r="TSB5747" s="917"/>
      <c r="TSC5747" s="917"/>
      <c r="TSD5747" s="917"/>
      <c r="TSE5747" s="917"/>
      <c r="TSF5747" s="917"/>
      <c r="TSG5747" s="917"/>
      <c r="TSH5747" s="917"/>
      <c r="TSI5747" s="917"/>
      <c r="TSJ5747" s="917"/>
      <c r="TSK5747" s="917"/>
      <c r="TSL5747" s="917"/>
      <c r="TSM5747" s="917"/>
      <c r="TSN5747" s="917"/>
      <c r="TSO5747" s="917"/>
      <c r="TSP5747" s="917"/>
      <c r="TSQ5747" s="917"/>
      <c r="TSR5747" s="917"/>
      <c r="TSS5747" s="917"/>
      <c r="TST5747" s="917"/>
      <c r="TSU5747" s="917"/>
      <c r="TSV5747" s="917"/>
      <c r="TSW5747" s="917" t="s">
        <v>78</v>
      </c>
      <c r="TSX5747" s="917"/>
      <c r="TSY5747" s="917"/>
      <c r="TSZ5747" s="917"/>
      <c r="TTA5747" s="917"/>
      <c r="TTB5747" s="917"/>
      <c r="TTC5747" s="917"/>
      <c r="TTD5747" s="917"/>
      <c r="TTE5747" s="917"/>
      <c r="TTF5747" s="917"/>
      <c r="TTG5747" s="917"/>
      <c r="TTH5747" s="917"/>
      <c r="TTI5747" s="917"/>
      <c r="TTJ5747" s="917"/>
      <c r="TTK5747" s="917"/>
      <c r="TTL5747" s="917"/>
      <c r="TTM5747" s="917"/>
      <c r="TTN5747" s="917"/>
      <c r="TTO5747" s="917"/>
      <c r="TTP5747" s="917"/>
      <c r="TTQ5747" s="917"/>
      <c r="TTR5747" s="917"/>
      <c r="TTS5747" s="917"/>
      <c r="TTT5747" s="917"/>
      <c r="TTU5747" s="917"/>
      <c r="TTV5747" s="917"/>
      <c r="TTW5747" s="917"/>
      <c r="TTX5747" s="917"/>
      <c r="TTY5747" s="917"/>
      <c r="TTZ5747" s="917"/>
      <c r="TUA5747" s="917"/>
      <c r="TUB5747" s="917"/>
      <c r="TUC5747" s="917" t="s">
        <v>78</v>
      </c>
      <c r="TUD5747" s="917"/>
      <c r="TUE5747" s="917"/>
      <c r="TUF5747" s="917"/>
      <c r="TUG5747" s="917"/>
      <c r="TUH5747" s="917"/>
      <c r="TUI5747" s="917"/>
      <c r="TUJ5747" s="917"/>
      <c r="TUK5747" s="917"/>
      <c r="TUL5747" s="917"/>
      <c r="TUM5747" s="917"/>
      <c r="TUN5747" s="917"/>
      <c r="TUO5747" s="917"/>
      <c r="TUP5747" s="917"/>
      <c r="TUQ5747" s="917"/>
      <c r="TUR5747" s="917"/>
      <c r="TUS5747" s="917"/>
      <c r="TUT5747" s="917"/>
      <c r="TUU5747" s="917"/>
      <c r="TUV5747" s="917"/>
      <c r="TUW5747" s="917"/>
      <c r="TUX5747" s="917"/>
      <c r="TUY5747" s="917"/>
      <c r="TUZ5747" s="917"/>
      <c r="TVA5747" s="917"/>
      <c r="TVB5747" s="917"/>
      <c r="TVC5747" s="917"/>
      <c r="TVD5747" s="917"/>
      <c r="TVE5747" s="917"/>
      <c r="TVF5747" s="917"/>
      <c r="TVG5747" s="917"/>
      <c r="TVH5747" s="917"/>
      <c r="TVI5747" s="917" t="s">
        <v>78</v>
      </c>
      <c r="TVJ5747" s="917"/>
      <c r="TVK5747" s="917"/>
      <c r="TVL5747" s="917"/>
      <c r="TVM5747" s="917"/>
      <c r="TVN5747" s="917"/>
      <c r="TVO5747" s="917"/>
      <c r="TVP5747" s="917"/>
      <c r="TVQ5747" s="917"/>
      <c r="TVR5747" s="917"/>
      <c r="TVS5747" s="917"/>
      <c r="TVT5747" s="917"/>
      <c r="TVU5747" s="917"/>
      <c r="TVV5747" s="917"/>
      <c r="TVW5747" s="917"/>
      <c r="TVX5747" s="917"/>
      <c r="TVY5747" s="917"/>
      <c r="TVZ5747" s="917"/>
      <c r="TWA5747" s="917"/>
      <c r="TWB5747" s="917"/>
      <c r="TWC5747" s="917"/>
      <c r="TWD5747" s="917"/>
      <c r="TWE5747" s="917"/>
      <c r="TWF5747" s="917"/>
      <c r="TWG5747" s="917"/>
      <c r="TWH5747" s="917"/>
      <c r="TWI5747" s="917"/>
      <c r="TWJ5747" s="917"/>
      <c r="TWK5747" s="917"/>
      <c r="TWL5747" s="917"/>
      <c r="TWM5747" s="917"/>
      <c r="TWN5747" s="917"/>
      <c r="TWO5747" s="917" t="s">
        <v>78</v>
      </c>
      <c r="TWP5747" s="917"/>
      <c r="TWQ5747" s="917"/>
      <c r="TWR5747" s="917"/>
      <c r="TWS5747" s="917"/>
      <c r="TWT5747" s="917"/>
      <c r="TWU5747" s="917"/>
      <c r="TWV5747" s="917"/>
      <c r="TWW5747" s="917"/>
      <c r="TWX5747" s="917"/>
      <c r="TWY5747" s="917"/>
      <c r="TWZ5747" s="917"/>
      <c r="TXA5747" s="917"/>
      <c r="TXB5747" s="917"/>
      <c r="TXC5747" s="917"/>
      <c r="TXD5747" s="917"/>
      <c r="TXE5747" s="917"/>
      <c r="TXF5747" s="917"/>
      <c r="TXG5747" s="917"/>
      <c r="TXH5747" s="917"/>
      <c r="TXI5747" s="917"/>
      <c r="TXJ5747" s="917"/>
      <c r="TXK5747" s="917"/>
      <c r="TXL5747" s="917"/>
      <c r="TXM5747" s="917"/>
      <c r="TXN5747" s="917"/>
      <c r="TXO5747" s="917"/>
      <c r="TXP5747" s="917"/>
      <c r="TXQ5747" s="917"/>
      <c r="TXR5747" s="917"/>
      <c r="TXS5747" s="917"/>
      <c r="TXT5747" s="917"/>
      <c r="TXU5747" s="917" t="s">
        <v>78</v>
      </c>
      <c r="TXV5747" s="917"/>
      <c r="TXW5747" s="917"/>
      <c r="TXX5747" s="917"/>
      <c r="TXY5747" s="917"/>
      <c r="TXZ5747" s="917"/>
      <c r="TYA5747" s="917"/>
      <c r="TYB5747" s="917"/>
      <c r="TYC5747" s="917"/>
      <c r="TYD5747" s="917"/>
      <c r="TYE5747" s="917"/>
      <c r="TYF5747" s="917"/>
      <c r="TYG5747" s="917"/>
      <c r="TYH5747" s="917"/>
      <c r="TYI5747" s="917"/>
      <c r="TYJ5747" s="917"/>
      <c r="TYK5747" s="917"/>
      <c r="TYL5747" s="917"/>
      <c r="TYM5747" s="917"/>
      <c r="TYN5747" s="917"/>
      <c r="TYO5747" s="917"/>
      <c r="TYP5747" s="917"/>
      <c r="TYQ5747" s="917"/>
      <c r="TYR5747" s="917"/>
      <c r="TYS5747" s="917"/>
      <c r="TYT5747" s="917"/>
      <c r="TYU5747" s="917"/>
      <c r="TYV5747" s="917"/>
      <c r="TYW5747" s="917"/>
      <c r="TYX5747" s="917"/>
      <c r="TYY5747" s="917"/>
      <c r="TYZ5747" s="917"/>
      <c r="TZA5747" s="917" t="s">
        <v>78</v>
      </c>
      <c r="TZB5747" s="917"/>
      <c r="TZC5747" s="917"/>
      <c r="TZD5747" s="917"/>
      <c r="TZE5747" s="917"/>
      <c r="TZF5747" s="917"/>
      <c r="TZG5747" s="917"/>
      <c r="TZH5747" s="917"/>
      <c r="TZI5747" s="917"/>
      <c r="TZJ5747" s="917"/>
      <c r="TZK5747" s="917"/>
      <c r="TZL5747" s="917"/>
      <c r="TZM5747" s="917"/>
      <c r="TZN5747" s="917"/>
      <c r="TZO5747" s="917"/>
      <c r="TZP5747" s="917"/>
      <c r="TZQ5747" s="917"/>
      <c r="TZR5747" s="917"/>
      <c r="TZS5747" s="917"/>
      <c r="TZT5747" s="917"/>
      <c r="TZU5747" s="917"/>
      <c r="TZV5747" s="917"/>
      <c r="TZW5747" s="917"/>
      <c r="TZX5747" s="917"/>
      <c r="TZY5747" s="917"/>
      <c r="TZZ5747" s="917"/>
      <c r="UAA5747" s="917"/>
      <c r="UAB5747" s="917"/>
      <c r="UAC5747" s="917"/>
      <c r="UAD5747" s="917"/>
      <c r="UAE5747" s="917"/>
      <c r="UAF5747" s="917"/>
      <c r="UAG5747" s="917" t="s">
        <v>78</v>
      </c>
      <c r="UAH5747" s="917"/>
      <c r="UAI5747" s="917"/>
      <c r="UAJ5747" s="917"/>
      <c r="UAK5747" s="917"/>
      <c r="UAL5747" s="917"/>
      <c r="UAM5747" s="917"/>
      <c r="UAN5747" s="917"/>
      <c r="UAO5747" s="917"/>
      <c r="UAP5747" s="917"/>
      <c r="UAQ5747" s="917"/>
      <c r="UAR5747" s="917"/>
      <c r="UAS5747" s="917"/>
      <c r="UAT5747" s="917"/>
      <c r="UAU5747" s="917"/>
      <c r="UAV5747" s="917"/>
      <c r="UAW5747" s="917"/>
      <c r="UAX5747" s="917"/>
      <c r="UAY5747" s="917"/>
      <c r="UAZ5747" s="917"/>
      <c r="UBA5747" s="917"/>
      <c r="UBB5747" s="917"/>
      <c r="UBC5747" s="917"/>
      <c r="UBD5747" s="917"/>
      <c r="UBE5747" s="917"/>
      <c r="UBF5747" s="917"/>
      <c r="UBG5747" s="917"/>
      <c r="UBH5747" s="917"/>
      <c r="UBI5747" s="917"/>
      <c r="UBJ5747" s="917"/>
      <c r="UBK5747" s="917"/>
      <c r="UBL5747" s="917"/>
      <c r="UBM5747" s="917" t="s">
        <v>78</v>
      </c>
      <c r="UBN5747" s="917"/>
      <c r="UBO5747" s="917"/>
      <c r="UBP5747" s="917"/>
      <c r="UBQ5747" s="917"/>
      <c r="UBR5747" s="917"/>
      <c r="UBS5747" s="917"/>
      <c r="UBT5747" s="917"/>
      <c r="UBU5747" s="917"/>
      <c r="UBV5747" s="917"/>
      <c r="UBW5747" s="917"/>
      <c r="UBX5747" s="917"/>
      <c r="UBY5747" s="917"/>
      <c r="UBZ5747" s="917"/>
      <c r="UCA5747" s="917"/>
      <c r="UCB5747" s="917"/>
      <c r="UCC5747" s="917"/>
      <c r="UCD5747" s="917"/>
      <c r="UCE5747" s="917"/>
      <c r="UCF5747" s="917"/>
      <c r="UCG5747" s="917"/>
      <c r="UCH5747" s="917"/>
      <c r="UCI5747" s="917"/>
      <c r="UCJ5747" s="917"/>
      <c r="UCK5747" s="917"/>
      <c r="UCL5747" s="917"/>
      <c r="UCM5747" s="917"/>
      <c r="UCN5747" s="917"/>
      <c r="UCO5747" s="917"/>
      <c r="UCP5747" s="917"/>
      <c r="UCQ5747" s="917"/>
      <c r="UCR5747" s="917"/>
      <c r="UCS5747" s="917" t="s">
        <v>78</v>
      </c>
      <c r="UCT5747" s="917"/>
      <c r="UCU5747" s="917"/>
      <c r="UCV5747" s="917"/>
      <c r="UCW5747" s="917"/>
      <c r="UCX5747" s="917"/>
      <c r="UCY5747" s="917"/>
      <c r="UCZ5747" s="917"/>
      <c r="UDA5747" s="917"/>
      <c r="UDB5747" s="917"/>
      <c r="UDC5747" s="917"/>
      <c r="UDD5747" s="917"/>
      <c r="UDE5747" s="917"/>
      <c r="UDF5747" s="917"/>
      <c r="UDG5747" s="917"/>
      <c r="UDH5747" s="917"/>
      <c r="UDI5747" s="917"/>
      <c r="UDJ5747" s="917"/>
      <c r="UDK5747" s="917"/>
      <c r="UDL5747" s="917"/>
      <c r="UDM5747" s="917"/>
      <c r="UDN5747" s="917"/>
      <c r="UDO5747" s="917"/>
      <c r="UDP5747" s="917"/>
      <c r="UDQ5747" s="917"/>
      <c r="UDR5747" s="917"/>
      <c r="UDS5747" s="917"/>
      <c r="UDT5747" s="917"/>
      <c r="UDU5747" s="917"/>
      <c r="UDV5747" s="917"/>
      <c r="UDW5747" s="917"/>
      <c r="UDX5747" s="917"/>
      <c r="UDY5747" s="917" t="s">
        <v>78</v>
      </c>
      <c r="UDZ5747" s="917"/>
      <c r="UEA5747" s="917"/>
      <c r="UEB5747" s="917"/>
      <c r="UEC5747" s="917"/>
      <c r="UED5747" s="917"/>
      <c r="UEE5747" s="917"/>
      <c r="UEF5747" s="917"/>
      <c r="UEG5747" s="917"/>
      <c r="UEH5747" s="917"/>
      <c r="UEI5747" s="917"/>
      <c r="UEJ5747" s="917"/>
      <c r="UEK5747" s="917"/>
      <c r="UEL5747" s="917"/>
      <c r="UEM5747" s="917"/>
      <c r="UEN5747" s="917"/>
      <c r="UEO5747" s="917"/>
      <c r="UEP5747" s="917"/>
      <c r="UEQ5747" s="917"/>
      <c r="UER5747" s="917"/>
      <c r="UES5747" s="917"/>
      <c r="UET5747" s="917"/>
      <c r="UEU5747" s="917"/>
      <c r="UEV5747" s="917"/>
      <c r="UEW5747" s="917"/>
      <c r="UEX5747" s="917"/>
      <c r="UEY5747" s="917"/>
      <c r="UEZ5747" s="917"/>
      <c r="UFA5747" s="917"/>
      <c r="UFB5747" s="917"/>
      <c r="UFC5747" s="917"/>
      <c r="UFD5747" s="917"/>
      <c r="UFE5747" s="917" t="s">
        <v>78</v>
      </c>
      <c r="UFF5747" s="917"/>
      <c r="UFG5747" s="917"/>
      <c r="UFH5747" s="917"/>
      <c r="UFI5747" s="917"/>
      <c r="UFJ5747" s="917"/>
      <c r="UFK5747" s="917"/>
      <c r="UFL5747" s="917"/>
      <c r="UFM5747" s="917"/>
      <c r="UFN5747" s="917"/>
      <c r="UFO5747" s="917"/>
      <c r="UFP5747" s="917"/>
      <c r="UFQ5747" s="917"/>
      <c r="UFR5747" s="917"/>
      <c r="UFS5747" s="917"/>
      <c r="UFT5747" s="917"/>
      <c r="UFU5747" s="917"/>
      <c r="UFV5747" s="917"/>
      <c r="UFW5747" s="917"/>
      <c r="UFX5747" s="917"/>
      <c r="UFY5747" s="917"/>
      <c r="UFZ5747" s="917"/>
      <c r="UGA5747" s="917"/>
      <c r="UGB5747" s="917"/>
      <c r="UGC5747" s="917"/>
      <c r="UGD5747" s="917"/>
      <c r="UGE5747" s="917"/>
      <c r="UGF5747" s="917"/>
      <c r="UGG5747" s="917"/>
      <c r="UGH5747" s="917"/>
      <c r="UGI5747" s="917"/>
      <c r="UGJ5747" s="917"/>
      <c r="UGK5747" s="917" t="s">
        <v>78</v>
      </c>
      <c r="UGL5747" s="917"/>
      <c r="UGM5747" s="917"/>
      <c r="UGN5747" s="917"/>
      <c r="UGO5747" s="917"/>
      <c r="UGP5747" s="917"/>
      <c r="UGQ5747" s="917"/>
      <c r="UGR5747" s="917"/>
      <c r="UGS5747" s="917"/>
      <c r="UGT5747" s="917"/>
      <c r="UGU5747" s="917"/>
      <c r="UGV5747" s="917"/>
      <c r="UGW5747" s="917"/>
      <c r="UGX5747" s="917"/>
      <c r="UGY5747" s="917"/>
      <c r="UGZ5747" s="917"/>
      <c r="UHA5747" s="917"/>
      <c r="UHB5747" s="917"/>
      <c r="UHC5747" s="917"/>
      <c r="UHD5747" s="917"/>
      <c r="UHE5747" s="917"/>
      <c r="UHF5747" s="917"/>
      <c r="UHG5747" s="917"/>
      <c r="UHH5747" s="917"/>
      <c r="UHI5747" s="917"/>
      <c r="UHJ5747" s="917"/>
      <c r="UHK5747" s="917"/>
      <c r="UHL5747" s="917"/>
      <c r="UHM5747" s="917"/>
      <c r="UHN5747" s="917"/>
      <c r="UHO5747" s="917"/>
      <c r="UHP5747" s="917"/>
      <c r="UHQ5747" s="917" t="s">
        <v>78</v>
      </c>
      <c r="UHR5747" s="917"/>
      <c r="UHS5747" s="917"/>
      <c r="UHT5747" s="917"/>
      <c r="UHU5747" s="917"/>
      <c r="UHV5747" s="917"/>
      <c r="UHW5747" s="917"/>
      <c r="UHX5747" s="917"/>
      <c r="UHY5747" s="917"/>
      <c r="UHZ5747" s="917"/>
      <c r="UIA5747" s="917"/>
      <c r="UIB5747" s="917"/>
      <c r="UIC5747" s="917"/>
      <c r="UID5747" s="917"/>
      <c r="UIE5747" s="917"/>
      <c r="UIF5747" s="917"/>
      <c r="UIG5747" s="917"/>
      <c r="UIH5747" s="917"/>
      <c r="UII5747" s="917"/>
      <c r="UIJ5747" s="917"/>
      <c r="UIK5747" s="917"/>
      <c r="UIL5747" s="917"/>
      <c r="UIM5747" s="917"/>
      <c r="UIN5747" s="917"/>
      <c r="UIO5747" s="917"/>
      <c r="UIP5747" s="917"/>
      <c r="UIQ5747" s="917"/>
      <c r="UIR5747" s="917"/>
      <c r="UIS5747" s="917"/>
      <c r="UIT5747" s="917"/>
      <c r="UIU5747" s="917"/>
      <c r="UIV5747" s="917"/>
      <c r="UIW5747" s="917" t="s">
        <v>78</v>
      </c>
      <c r="UIX5747" s="917"/>
      <c r="UIY5747" s="917"/>
      <c r="UIZ5747" s="917"/>
      <c r="UJA5747" s="917"/>
      <c r="UJB5747" s="917"/>
      <c r="UJC5747" s="917"/>
      <c r="UJD5747" s="917"/>
      <c r="UJE5747" s="917"/>
      <c r="UJF5747" s="917"/>
      <c r="UJG5747" s="917"/>
      <c r="UJH5747" s="917"/>
      <c r="UJI5747" s="917"/>
      <c r="UJJ5747" s="917"/>
      <c r="UJK5747" s="917"/>
      <c r="UJL5747" s="917"/>
      <c r="UJM5747" s="917"/>
      <c r="UJN5747" s="917"/>
      <c r="UJO5747" s="917"/>
      <c r="UJP5747" s="917"/>
      <c r="UJQ5747" s="917"/>
      <c r="UJR5747" s="917"/>
      <c r="UJS5747" s="917"/>
      <c r="UJT5747" s="917"/>
      <c r="UJU5747" s="917"/>
      <c r="UJV5747" s="917"/>
      <c r="UJW5747" s="917"/>
      <c r="UJX5747" s="917"/>
      <c r="UJY5747" s="917"/>
      <c r="UJZ5747" s="917"/>
      <c r="UKA5747" s="917"/>
      <c r="UKB5747" s="917"/>
      <c r="UKC5747" s="917" t="s">
        <v>78</v>
      </c>
      <c r="UKD5747" s="917"/>
      <c r="UKE5747" s="917"/>
      <c r="UKF5747" s="917"/>
      <c r="UKG5747" s="917"/>
      <c r="UKH5747" s="917"/>
      <c r="UKI5747" s="917"/>
      <c r="UKJ5747" s="917"/>
      <c r="UKK5747" s="917"/>
      <c r="UKL5747" s="917"/>
      <c r="UKM5747" s="917"/>
      <c r="UKN5747" s="917"/>
      <c r="UKO5747" s="917"/>
      <c r="UKP5747" s="917"/>
      <c r="UKQ5747" s="917"/>
      <c r="UKR5747" s="917"/>
      <c r="UKS5747" s="917"/>
      <c r="UKT5747" s="917"/>
      <c r="UKU5747" s="917"/>
      <c r="UKV5747" s="917"/>
      <c r="UKW5747" s="917"/>
      <c r="UKX5747" s="917"/>
      <c r="UKY5747" s="917"/>
      <c r="UKZ5747" s="917"/>
      <c r="ULA5747" s="917"/>
      <c r="ULB5747" s="917"/>
      <c r="ULC5747" s="917"/>
      <c r="ULD5747" s="917"/>
      <c r="ULE5747" s="917"/>
      <c r="ULF5747" s="917"/>
      <c r="ULG5747" s="917"/>
      <c r="ULH5747" s="917"/>
      <c r="ULI5747" s="917" t="s">
        <v>78</v>
      </c>
      <c r="ULJ5747" s="917"/>
      <c r="ULK5747" s="917"/>
      <c r="ULL5747" s="917"/>
      <c r="ULM5747" s="917"/>
      <c r="ULN5747" s="917"/>
      <c r="ULO5747" s="917"/>
      <c r="ULP5747" s="917"/>
      <c r="ULQ5747" s="917"/>
      <c r="ULR5747" s="917"/>
      <c r="ULS5747" s="917"/>
      <c r="ULT5747" s="917"/>
      <c r="ULU5747" s="917"/>
      <c r="ULV5747" s="917"/>
      <c r="ULW5747" s="917"/>
      <c r="ULX5747" s="917"/>
      <c r="ULY5747" s="917"/>
      <c r="ULZ5747" s="917"/>
      <c r="UMA5747" s="917"/>
      <c r="UMB5747" s="917"/>
      <c r="UMC5747" s="917"/>
      <c r="UMD5747" s="917"/>
      <c r="UME5747" s="917"/>
      <c r="UMF5747" s="917"/>
      <c r="UMG5747" s="917"/>
      <c r="UMH5747" s="917"/>
      <c r="UMI5747" s="917"/>
      <c r="UMJ5747" s="917"/>
      <c r="UMK5747" s="917"/>
      <c r="UML5747" s="917"/>
      <c r="UMM5747" s="917"/>
      <c r="UMN5747" s="917"/>
      <c r="UMO5747" s="917" t="s">
        <v>78</v>
      </c>
      <c r="UMP5747" s="917"/>
      <c r="UMQ5747" s="917"/>
      <c r="UMR5747" s="917"/>
      <c r="UMS5747" s="917"/>
      <c r="UMT5747" s="917"/>
      <c r="UMU5747" s="917"/>
      <c r="UMV5747" s="917"/>
      <c r="UMW5747" s="917"/>
      <c r="UMX5747" s="917"/>
      <c r="UMY5747" s="917"/>
      <c r="UMZ5747" s="917"/>
      <c r="UNA5747" s="917"/>
      <c r="UNB5747" s="917"/>
      <c r="UNC5747" s="917"/>
      <c r="UND5747" s="917"/>
      <c r="UNE5747" s="917"/>
      <c r="UNF5747" s="917"/>
      <c r="UNG5747" s="917"/>
      <c r="UNH5747" s="917"/>
      <c r="UNI5747" s="917"/>
      <c r="UNJ5747" s="917"/>
      <c r="UNK5747" s="917"/>
      <c r="UNL5747" s="917"/>
      <c r="UNM5747" s="917"/>
      <c r="UNN5747" s="917"/>
      <c r="UNO5747" s="917"/>
      <c r="UNP5747" s="917"/>
      <c r="UNQ5747" s="917"/>
      <c r="UNR5747" s="917"/>
      <c r="UNS5747" s="917"/>
      <c r="UNT5747" s="917"/>
      <c r="UNU5747" s="917" t="s">
        <v>78</v>
      </c>
      <c r="UNV5747" s="917"/>
      <c r="UNW5747" s="917"/>
      <c r="UNX5747" s="917"/>
      <c r="UNY5747" s="917"/>
      <c r="UNZ5747" s="917"/>
      <c r="UOA5747" s="917"/>
      <c r="UOB5747" s="917"/>
      <c r="UOC5747" s="917"/>
      <c r="UOD5747" s="917"/>
      <c r="UOE5747" s="917"/>
      <c r="UOF5747" s="917"/>
      <c r="UOG5747" s="917"/>
      <c r="UOH5747" s="917"/>
      <c r="UOI5747" s="917"/>
      <c r="UOJ5747" s="917"/>
      <c r="UOK5747" s="917"/>
      <c r="UOL5747" s="917"/>
      <c r="UOM5747" s="917"/>
      <c r="UON5747" s="917"/>
      <c r="UOO5747" s="917"/>
      <c r="UOP5747" s="917"/>
      <c r="UOQ5747" s="917"/>
      <c r="UOR5747" s="917"/>
      <c r="UOS5747" s="917"/>
      <c r="UOT5747" s="917"/>
      <c r="UOU5747" s="917"/>
      <c r="UOV5747" s="917"/>
      <c r="UOW5747" s="917"/>
      <c r="UOX5747" s="917"/>
      <c r="UOY5747" s="917"/>
      <c r="UOZ5747" s="917"/>
      <c r="UPA5747" s="917" t="s">
        <v>78</v>
      </c>
      <c r="UPB5747" s="917"/>
      <c r="UPC5747" s="917"/>
      <c r="UPD5747" s="917"/>
      <c r="UPE5747" s="917"/>
      <c r="UPF5747" s="917"/>
      <c r="UPG5747" s="917"/>
      <c r="UPH5747" s="917"/>
      <c r="UPI5747" s="917"/>
      <c r="UPJ5747" s="917"/>
      <c r="UPK5747" s="917"/>
      <c r="UPL5747" s="917"/>
      <c r="UPM5747" s="917"/>
      <c r="UPN5747" s="917"/>
      <c r="UPO5747" s="917"/>
      <c r="UPP5747" s="917"/>
      <c r="UPQ5747" s="917"/>
      <c r="UPR5747" s="917"/>
      <c r="UPS5747" s="917"/>
      <c r="UPT5747" s="917"/>
      <c r="UPU5747" s="917"/>
      <c r="UPV5747" s="917"/>
      <c r="UPW5747" s="917"/>
      <c r="UPX5747" s="917"/>
      <c r="UPY5747" s="917"/>
      <c r="UPZ5747" s="917"/>
      <c r="UQA5747" s="917"/>
      <c r="UQB5747" s="917"/>
      <c r="UQC5747" s="917"/>
      <c r="UQD5747" s="917"/>
      <c r="UQE5747" s="917"/>
      <c r="UQF5747" s="917"/>
      <c r="UQG5747" s="917" t="s">
        <v>78</v>
      </c>
      <c r="UQH5747" s="917"/>
      <c r="UQI5747" s="917"/>
      <c r="UQJ5747" s="917"/>
      <c r="UQK5747" s="917"/>
      <c r="UQL5747" s="917"/>
      <c r="UQM5747" s="917"/>
      <c r="UQN5747" s="917"/>
      <c r="UQO5747" s="917"/>
      <c r="UQP5747" s="917"/>
      <c r="UQQ5747" s="917"/>
      <c r="UQR5747" s="917"/>
      <c r="UQS5747" s="917"/>
      <c r="UQT5747" s="917"/>
      <c r="UQU5747" s="917"/>
      <c r="UQV5747" s="917"/>
      <c r="UQW5747" s="917"/>
      <c r="UQX5747" s="917"/>
      <c r="UQY5747" s="917"/>
      <c r="UQZ5747" s="917"/>
      <c r="URA5747" s="917"/>
      <c r="URB5747" s="917"/>
      <c r="URC5747" s="917"/>
      <c r="URD5747" s="917"/>
      <c r="URE5747" s="917"/>
      <c r="URF5747" s="917"/>
      <c r="URG5747" s="917"/>
      <c r="URH5747" s="917"/>
      <c r="URI5747" s="917"/>
      <c r="URJ5747" s="917"/>
      <c r="URK5747" s="917"/>
      <c r="URL5747" s="917"/>
      <c r="URM5747" s="917" t="s">
        <v>78</v>
      </c>
      <c r="URN5747" s="917"/>
      <c r="URO5747" s="917"/>
      <c r="URP5747" s="917"/>
      <c r="URQ5747" s="917"/>
      <c r="URR5747" s="917"/>
      <c r="URS5747" s="917"/>
      <c r="URT5747" s="917"/>
      <c r="URU5747" s="917"/>
      <c r="URV5747" s="917"/>
      <c r="URW5747" s="917"/>
      <c r="URX5747" s="917"/>
      <c r="URY5747" s="917"/>
      <c r="URZ5747" s="917"/>
      <c r="USA5747" s="917"/>
      <c r="USB5747" s="917"/>
      <c r="USC5747" s="917"/>
      <c r="USD5747" s="917"/>
      <c r="USE5747" s="917"/>
      <c r="USF5747" s="917"/>
      <c r="USG5747" s="917"/>
      <c r="USH5747" s="917"/>
      <c r="USI5747" s="917"/>
      <c r="USJ5747" s="917"/>
      <c r="USK5747" s="917"/>
      <c r="USL5747" s="917"/>
      <c r="USM5747" s="917"/>
      <c r="USN5747" s="917"/>
      <c r="USO5747" s="917"/>
      <c r="USP5747" s="917"/>
      <c r="USQ5747" s="917"/>
      <c r="USR5747" s="917"/>
      <c r="USS5747" s="917" t="s">
        <v>78</v>
      </c>
      <c r="UST5747" s="917"/>
      <c r="USU5747" s="917"/>
      <c r="USV5747" s="917"/>
      <c r="USW5747" s="917"/>
      <c r="USX5747" s="917"/>
      <c r="USY5747" s="917"/>
      <c r="USZ5747" s="917"/>
      <c r="UTA5747" s="917"/>
      <c r="UTB5747" s="917"/>
      <c r="UTC5747" s="917"/>
      <c r="UTD5747" s="917"/>
      <c r="UTE5747" s="917"/>
      <c r="UTF5747" s="917"/>
      <c r="UTG5747" s="917"/>
      <c r="UTH5747" s="917"/>
      <c r="UTI5747" s="917"/>
      <c r="UTJ5747" s="917"/>
      <c r="UTK5747" s="917"/>
      <c r="UTL5747" s="917"/>
      <c r="UTM5747" s="917"/>
      <c r="UTN5747" s="917"/>
      <c r="UTO5747" s="917"/>
      <c r="UTP5747" s="917"/>
      <c r="UTQ5747" s="917"/>
      <c r="UTR5747" s="917"/>
      <c r="UTS5747" s="917"/>
      <c r="UTT5747" s="917"/>
      <c r="UTU5747" s="917"/>
      <c r="UTV5747" s="917"/>
      <c r="UTW5747" s="917"/>
      <c r="UTX5747" s="917"/>
      <c r="UTY5747" s="917" t="s">
        <v>78</v>
      </c>
      <c r="UTZ5747" s="917"/>
      <c r="UUA5747" s="917"/>
      <c r="UUB5747" s="917"/>
      <c r="UUC5747" s="917"/>
      <c r="UUD5747" s="917"/>
      <c r="UUE5747" s="917"/>
      <c r="UUF5747" s="917"/>
      <c r="UUG5747" s="917"/>
      <c r="UUH5747" s="917"/>
      <c r="UUI5747" s="917"/>
      <c r="UUJ5747" s="917"/>
      <c r="UUK5747" s="917"/>
      <c r="UUL5747" s="917"/>
      <c r="UUM5747" s="917"/>
      <c r="UUN5747" s="917"/>
      <c r="UUO5747" s="917"/>
      <c r="UUP5747" s="917"/>
      <c r="UUQ5747" s="917"/>
      <c r="UUR5747" s="917"/>
      <c r="UUS5747" s="917"/>
      <c r="UUT5747" s="917"/>
      <c r="UUU5747" s="917"/>
      <c r="UUV5747" s="917"/>
      <c r="UUW5747" s="917"/>
      <c r="UUX5747" s="917"/>
      <c r="UUY5747" s="917"/>
      <c r="UUZ5747" s="917"/>
      <c r="UVA5747" s="917"/>
      <c r="UVB5747" s="917"/>
      <c r="UVC5747" s="917"/>
      <c r="UVD5747" s="917"/>
      <c r="UVE5747" s="917" t="s">
        <v>78</v>
      </c>
      <c r="UVF5747" s="917"/>
      <c r="UVG5747" s="917"/>
      <c r="UVH5747" s="917"/>
      <c r="UVI5747" s="917"/>
      <c r="UVJ5747" s="917"/>
      <c r="UVK5747" s="917"/>
      <c r="UVL5747" s="917"/>
      <c r="UVM5747" s="917"/>
      <c r="UVN5747" s="917"/>
      <c r="UVO5747" s="917"/>
      <c r="UVP5747" s="917"/>
      <c r="UVQ5747" s="917"/>
      <c r="UVR5747" s="917"/>
      <c r="UVS5747" s="917"/>
      <c r="UVT5747" s="917"/>
      <c r="UVU5747" s="917"/>
      <c r="UVV5747" s="917"/>
      <c r="UVW5747" s="917"/>
      <c r="UVX5747" s="917"/>
      <c r="UVY5747" s="917"/>
      <c r="UVZ5747" s="917"/>
      <c r="UWA5747" s="917"/>
      <c r="UWB5747" s="917"/>
      <c r="UWC5747" s="917"/>
      <c r="UWD5747" s="917"/>
      <c r="UWE5747" s="917"/>
      <c r="UWF5747" s="917"/>
      <c r="UWG5747" s="917"/>
      <c r="UWH5747" s="917"/>
      <c r="UWI5747" s="917"/>
      <c r="UWJ5747" s="917"/>
      <c r="UWK5747" s="917" t="s">
        <v>78</v>
      </c>
      <c r="UWL5747" s="917"/>
      <c r="UWM5747" s="917"/>
      <c r="UWN5747" s="917"/>
      <c r="UWO5747" s="917"/>
      <c r="UWP5747" s="917"/>
      <c r="UWQ5747" s="917"/>
      <c r="UWR5747" s="917"/>
      <c r="UWS5747" s="917"/>
      <c r="UWT5747" s="917"/>
      <c r="UWU5747" s="917"/>
      <c r="UWV5747" s="917"/>
      <c r="UWW5747" s="917"/>
      <c r="UWX5747" s="917"/>
      <c r="UWY5747" s="917"/>
      <c r="UWZ5747" s="917"/>
      <c r="UXA5747" s="917"/>
      <c r="UXB5747" s="917"/>
      <c r="UXC5747" s="917"/>
      <c r="UXD5747" s="917"/>
      <c r="UXE5747" s="917"/>
      <c r="UXF5747" s="917"/>
      <c r="UXG5747" s="917"/>
      <c r="UXH5747" s="917"/>
      <c r="UXI5747" s="917"/>
      <c r="UXJ5747" s="917"/>
      <c r="UXK5747" s="917"/>
      <c r="UXL5747" s="917"/>
      <c r="UXM5747" s="917"/>
      <c r="UXN5747" s="917"/>
      <c r="UXO5747" s="917"/>
      <c r="UXP5747" s="917"/>
      <c r="UXQ5747" s="917" t="s">
        <v>78</v>
      </c>
      <c r="UXR5747" s="917"/>
      <c r="UXS5747" s="917"/>
      <c r="UXT5747" s="917"/>
      <c r="UXU5747" s="917"/>
      <c r="UXV5747" s="917"/>
      <c r="UXW5747" s="917"/>
      <c r="UXX5747" s="917"/>
      <c r="UXY5747" s="917"/>
      <c r="UXZ5747" s="917"/>
      <c r="UYA5747" s="917"/>
      <c r="UYB5747" s="917"/>
      <c r="UYC5747" s="917"/>
      <c r="UYD5747" s="917"/>
      <c r="UYE5747" s="917"/>
      <c r="UYF5747" s="917"/>
      <c r="UYG5747" s="917"/>
      <c r="UYH5747" s="917"/>
      <c r="UYI5747" s="917"/>
      <c r="UYJ5747" s="917"/>
      <c r="UYK5747" s="917"/>
      <c r="UYL5747" s="917"/>
      <c r="UYM5747" s="917"/>
      <c r="UYN5747" s="917"/>
      <c r="UYO5747" s="917"/>
      <c r="UYP5747" s="917"/>
      <c r="UYQ5747" s="917"/>
      <c r="UYR5747" s="917"/>
      <c r="UYS5747" s="917"/>
      <c r="UYT5747" s="917"/>
      <c r="UYU5747" s="917"/>
      <c r="UYV5747" s="917"/>
      <c r="UYW5747" s="917" t="s">
        <v>78</v>
      </c>
      <c r="UYX5747" s="917"/>
      <c r="UYY5747" s="917"/>
      <c r="UYZ5747" s="917"/>
      <c r="UZA5747" s="917"/>
      <c r="UZB5747" s="917"/>
      <c r="UZC5747" s="917"/>
      <c r="UZD5747" s="917"/>
      <c r="UZE5747" s="917"/>
      <c r="UZF5747" s="917"/>
      <c r="UZG5747" s="917"/>
      <c r="UZH5747" s="917"/>
      <c r="UZI5747" s="917"/>
      <c r="UZJ5747" s="917"/>
      <c r="UZK5747" s="917"/>
      <c r="UZL5747" s="917"/>
      <c r="UZM5747" s="917"/>
      <c r="UZN5747" s="917"/>
      <c r="UZO5747" s="917"/>
      <c r="UZP5747" s="917"/>
      <c r="UZQ5747" s="917"/>
      <c r="UZR5747" s="917"/>
      <c r="UZS5747" s="917"/>
      <c r="UZT5747" s="917"/>
      <c r="UZU5747" s="917"/>
      <c r="UZV5747" s="917"/>
      <c r="UZW5747" s="917"/>
      <c r="UZX5747" s="917"/>
      <c r="UZY5747" s="917"/>
      <c r="UZZ5747" s="917"/>
      <c r="VAA5747" s="917"/>
      <c r="VAB5747" s="917"/>
      <c r="VAC5747" s="917" t="s">
        <v>78</v>
      </c>
      <c r="VAD5747" s="917"/>
      <c r="VAE5747" s="917"/>
      <c r="VAF5747" s="917"/>
      <c r="VAG5747" s="917"/>
      <c r="VAH5747" s="917"/>
      <c r="VAI5747" s="917"/>
      <c r="VAJ5747" s="917"/>
      <c r="VAK5747" s="917"/>
      <c r="VAL5747" s="917"/>
      <c r="VAM5747" s="917"/>
      <c r="VAN5747" s="917"/>
      <c r="VAO5747" s="917"/>
      <c r="VAP5747" s="917"/>
      <c r="VAQ5747" s="917"/>
      <c r="VAR5747" s="917"/>
      <c r="VAS5747" s="917"/>
      <c r="VAT5747" s="917"/>
      <c r="VAU5747" s="917"/>
      <c r="VAV5747" s="917"/>
      <c r="VAW5747" s="917"/>
      <c r="VAX5747" s="917"/>
      <c r="VAY5747" s="917"/>
      <c r="VAZ5747" s="917"/>
      <c r="VBA5747" s="917"/>
      <c r="VBB5747" s="917"/>
      <c r="VBC5747" s="917"/>
      <c r="VBD5747" s="917"/>
      <c r="VBE5747" s="917"/>
      <c r="VBF5747" s="917"/>
      <c r="VBG5747" s="917"/>
      <c r="VBH5747" s="917"/>
      <c r="VBI5747" s="917" t="s">
        <v>78</v>
      </c>
      <c r="VBJ5747" s="917"/>
      <c r="VBK5747" s="917"/>
      <c r="VBL5747" s="917"/>
      <c r="VBM5747" s="917"/>
      <c r="VBN5747" s="917"/>
      <c r="VBO5747" s="917"/>
      <c r="VBP5747" s="917"/>
      <c r="VBQ5747" s="917"/>
      <c r="VBR5747" s="917"/>
      <c r="VBS5747" s="917"/>
      <c r="VBT5747" s="917"/>
      <c r="VBU5747" s="917"/>
      <c r="VBV5747" s="917"/>
      <c r="VBW5747" s="917"/>
      <c r="VBX5747" s="917"/>
      <c r="VBY5747" s="917"/>
      <c r="VBZ5747" s="917"/>
      <c r="VCA5747" s="917"/>
      <c r="VCB5747" s="917"/>
      <c r="VCC5747" s="917"/>
      <c r="VCD5747" s="917"/>
      <c r="VCE5747" s="917"/>
      <c r="VCF5747" s="917"/>
      <c r="VCG5747" s="917"/>
      <c r="VCH5747" s="917"/>
      <c r="VCI5747" s="917"/>
      <c r="VCJ5747" s="917"/>
      <c r="VCK5747" s="917"/>
      <c r="VCL5747" s="917"/>
      <c r="VCM5747" s="917"/>
      <c r="VCN5747" s="917"/>
      <c r="VCO5747" s="917" t="s">
        <v>78</v>
      </c>
      <c r="VCP5747" s="917"/>
      <c r="VCQ5747" s="917"/>
      <c r="VCR5747" s="917"/>
      <c r="VCS5747" s="917"/>
      <c r="VCT5747" s="917"/>
      <c r="VCU5747" s="917"/>
      <c r="VCV5747" s="917"/>
      <c r="VCW5747" s="917"/>
      <c r="VCX5747" s="917"/>
      <c r="VCY5747" s="917"/>
      <c r="VCZ5747" s="917"/>
      <c r="VDA5747" s="917"/>
      <c r="VDB5747" s="917"/>
      <c r="VDC5747" s="917"/>
      <c r="VDD5747" s="917"/>
      <c r="VDE5747" s="917"/>
      <c r="VDF5747" s="917"/>
      <c r="VDG5747" s="917"/>
      <c r="VDH5747" s="917"/>
      <c r="VDI5747" s="917"/>
      <c r="VDJ5747" s="917"/>
      <c r="VDK5747" s="917"/>
      <c r="VDL5747" s="917"/>
      <c r="VDM5747" s="917"/>
      <c r="VDN5747" s="917"/>
      <c r="VDO5747" s="917"/>
      <c r="VDP5747" s="917"/>
      <c r="VDQ5747" s="917"/>
      <c r="VDR5747" s="917"/>
      <c r="VDS5747" s="917"/>
      <c r="VDT5747" s="917"/>
      <c r="VDU5747" s="917" t="s">
        <v>78</v>
      </c>
      <c r="VDV5747" s="917"/>
      <c r="VDW5747" s="917"/>
      <c r="VDX5747" s="917"/>
      <c r="VDY5747" s="917"/>
      <c r="VDZ5747" s="917"/>
      <c r="VEA5747" s="917"/>
      <c r="VEB5747" s="917"/>
      <c r="VEC5747" s="917"/>
      <c r="VED5747" s="917"/>
      <c r="VEE5747" s="917"/>
      <c r="VEF5747" s="917"/>
      <c r="VEG5747" s="917"/>
      <c r="VEH5747" s="917"/>
      <c r="VEI5747" s="917"/>
      <c r="VEJ5747" s="917"/>
      <c r="VEK5747" s="917"/>
      <c r="VEL5747" s="917"/>
      <c r="VEM5747" s="917"/>
      <c r="VEN5747" s="917"/>
      <c r="VEO5747" s="917"/>
      <c r="VEP5747" s="917"/>
      <c r="VEQ5747" s="917"/>
      <c r="VER5747" s="917"/>
      <c r="VES5747" s="917"/>
      <c r="VET5747" s="917"/>
      <c r="VEU5747" s="917"/>
      <c r="VEV5747" s="917"/>
      <c r="VEW5747" s="917"/>
      <c r="VEX5747" s="917"/>
      <c r="VEY5747" s="917"/>
      <c r="VEZ5747" s="917"/>
      <c r="VFA5747" s="917" t="s">
        <v>78</v>
      </c>
      <c r="VFB5747" s="917"/>
      <c r="VFC5747" s="917"/>
      <c r="VFD5747" s="917"/>
      <c r="VFE5747" s="917"/>
      <c r="VFF5747" s="917"/>
      <c r="VFG5747" s="917"/>
      <c r="VFH5747" s="917"/>
      <c r="VFI5747" s="917"/>
      <c r="VFJ5747" s="917"/>
      <c r="VFK5747" s="917"/>
      <c r="VFL5747" s="917"/>
      <c r="VFM5747" s="917"/>
      <c r="VFN5747" s="917"/>
      <c r="VFO5747" s="917"/>
      <c r="VFP5747" s="917"/>
      <c r="VFQ5747" s="917"/>
      <c r="VFR5747" s="917"/>
      <c r="VFS5747" s="917"/>
      <c r="VFT5747" s="917"/>
      <c r="VFU5747" s="917"/>
      <c r="VFV5747" s="917"/>
      <c r="VFW5747" s="917"/>
      <c r="VFX5747" s="917"/>
      <c r="VFY5747" s="917"/>
      <c r="VFZ5747" s="917"/>
      <c r="VGA5747" s="917"/>
      <c r="VGB5747" s="917"/>
      <c r="VGC5747" s="917"/>
      <c r="VGD5747" s="917"/>
      <c r="VGE5747" s="917"/>
      <c r="VGF5747" s="917"/>
      <c r="VGG5747" s="917" t="s">
        <v>78</v>
      </c>
      <c r="VGH5747" s="917"/>
      <c r="VGI5747" s="917"/>
      <c r="VGJ5747" s="917"/>
      <c r="VGK5747" s="917"/>
      <c r="VGL5747" s="917"/>
      <c r="VGM5747" s="917"/>
      <c r="VGN5747" s="917"/>
      <c r="VGO5747" s="917"/>
      <c r="VGP5747" s="917"/>
      <c r="VGQ5747" s="917"/>
      <c r="VGR5747" s="917"/>
      <c r="VGS5747" s="917"/>
      <c r="VGT5747" s="917"/>
      <c r="VGU5747" s="917"/>
      <c r="VGV5747" s="917"/>
      <c r="VGW5747" s="917"/>
      <c r="VGX5747" s="917"/>
      <c r="VGY5747" s="917"/>
      <c r="VGZ5747" s="917"/>
      <c r="VHA5747" s="917"/>
      <c r="VHB5747" s="917"/>
      <c r="VHC5747" s="917"/>
      <c r="VHD5747" s="917"/>
      <c r="VHE5747" s="917"/>
      <c r="VHF5747" s="917"/>
      <c r="VHG5747" s="917"/>
      <c r="VHH5747" s="917"/>
      <c r="VHI5747" s="917"/>
      <c r="VHJ5747" s="917"/>
      <c r="VHK5747" s="917"/>
      <c r="VHL5747" s="917"/>
      <c r="VHM5747" s="917" t="s">
        <v>78</v>
      </c>
      <c r="VHN5747" s="917"/>
      <c r="VHO5747" s="917"/>
      <c r="VHP5747" s="917"/>
      <c r="VHQ5747" s="917"/>
      <c r="VHR5747" s="917"/>
      <c r="VHS5747" s="917"/>
      <c r="VHT5747" s="917"/>
      <c r="VHU5747" s="917"/>
      <c r="VHV5747" s="917"/>
      <c r="VHW5747" s="917"/>
      <c r="VHX5747" s="917"/>
      <c r="VHY5747" s="917"/>
      <c r="VHZ5747" s="917"/>
      <c r="VIA5747" s="917"/>
      <c r="VIB5747" s="917"/>
      <c r="VIC5747" s="917"/>
      <c r="VID5747" s="917"/>
      <c r="VIE5747" s="917"/>
      <c r="VIF5747" s="917"/>
      <c r="VIG5747" s="917"/>
      <c r="VIH5747" s="917"/>
      <c r="VII5747" s="917"/>
      <c r="VIJ5747" s="917"/>
      <c r="VIK5747" s="917"/>
      <c r="VIL5747" s="917"/>
      <c r="VIM5747" s="917"/>
      <c r="VIN5747" s="917"/>
      <c r="VIO5747" s="917"/>
      <c r="VIP5747" s="917"/>
      <c r="VIQ5747" s="917"/>
      <c r="VIR5747" s="917"/>
      <c r="VIS5747" s="917" t="s">
        <v>78</v>
      </c>
      <c r="VIT5747" s="917"/>
      <c r="VIU5747" s="917"/>
      <c r="VIV5747" s="917"/>
      <c r="VIW5747" s="917"/>
      <c r="VIX5747" s="917"/>
      <c r="VIY5747" s="917"/>
      <c r="VIZ5747" s="917"/>
      <c r="VJA5747" s="917"/>
      <c r="VJB5747" s="917"/>
      <c r="VJC5747" s="917"/>
      <c r="VJD5747" s="917"/>
      <c r="VJE5747" s="917"/>
      <c r="VJF5747" s="917"/>
      <c r="VJG5747" s="917"/>
      <c r="VJH5747" s="917"/>
      <c r="VJI5747" s="917"/>
      <c r="VJJ5747" s="917"/>
      <c r="VJK5747" s="917"/>
      <c r="VJL5747" s="917"/>
      <c r="VJM5747" s="917"/>
      <c r="VJN5747" s="917"/>
      <c r="VJO5747" s="917"/>
      <c r="VJP5747" s="917"/>
      <c r="VJQ5747" s="917"/>
      <c r="VJR5747" s="917"/>
      <c r="VJS5747" s="917"/>
      <c r="VJT5747" s="917"/>
      <c r="VJU5747" s="917"/>
      <c r="VJV5747" s="917"/>
      <c r="VJW5747" s="917"/>
      <c r="VJX5747" s="917"/>
      <c r="VJY5747" s="917" t="s">
        <v>78</v>
      </c>
      <c r="VJZ5747" s="917"/>
      <c r="VKA5747" s="917"/>
      <c r="VKB5747" s="917"/>
      <c r="VKC5747" s="917"/>
      <c r="VKD5747" s="917"/>
      <c r="VKE5747" s="917"/>
      <c r="VKF5747" s="917"/>
      <c r="VKG5747" s="917"/>
      <c r="VKH5747" s="917"/>
      <c r="VKI5747" s="917"/>
      <c r="VKJ5747" s="917"/>
      <c r="VKK5747" s="917"/>
      <c r="VKL5747" s="917"/>
      <c r="VKM5747" s="917"/>
      <c r="VKN5747" s="917"/>
      <c r="VKO5747" s="917"/>
      <c r="VKP5747" s="917"/>
      <c r="VKQ5747" s="917"/>
      <c r="VKR5747" s="917"/>
      <c r="VKS5747" s="917"/>
      <c r="VKT5747" s="917"/>
      <c r="VKU5747" s="917"/>
      <c r="VKV5747" s="917"/>
      <c r="VKW5747" s="917"/>
      <c r="VKX5747" s="917"/>
      <c r="VKY5747" s="917"/>
      <c r="VKZ5747" s="917"/>
      <c r="VLA5747" s="917"/>
      <c r="VLB5747" s="917"/>
      <c r="VLC5747" s="917"/>
      <c r="VLD5747" s="917"/>
      <c r="VLE5747" s="917" t="s">
        <v>78</v>
      </c>
      <c r="VLF5747" s="917"/>
      <c r="VLG5747" s="917"/>
      <c r="VLH5747" s="917"/>
      <c r="VLI5747" s="917"/>
      <c r="VLJ5747" s="917"/>
      <c r="VLK5747" s="917"/>
      <c r="VLL5747" s="917"/>
      <c r="VLM5747" s="917"/>
      <c r="VLN5747" s="917"/>
      <c r="VLO5747" s="917"/>
      <c r="VLP5747" s="917"/>
      <c r="VLQ5747" s="917"/>
      <c r="VLR5747" s="917"/>
      <c r="VLS5747" s="917"/>
      <c r="VLT5747" s="917"/>
      <c r="VLU5747" s="917"/>
      <c r="VLV5747" s="917"/>
      <c r="VLW5747" s="917"/>
      <c r="VLX5747" s="917"/>
      <c r="VLY5747" s="917"/>
      <c r="VLZ5747" s="917"/>
      <c r="VMA5747" s="917"/>
      <c r="VMB5747" s="917"/>
      <c r="VMC5747" s="917"/>
      <c r="VMD5747" s="917"/>
      <c r="VME5747" s="917"/>
      <c r="VMF5747" s="917"/>
      <c r="VMG5747" s="917"/>
      <c r="VMH5747" s="917"/>
      <c r="VMI5747" s="917"/>
      <c r="VMJ5747" s="917"/>
      <c r="VMK5747" s="917" t="s">
        <v>78</v>
      </c>
      <c r="VML5747" s="917"/>
      <c r="VMM5747" s="917"/>
      <c r="VMN5747" s="917"/>
      <c r="VMO5747" s="917"/>
      <c r="VMP5747" s="917"/>
      <c r="VMQ5747" s="917"/>
      <c r="VMR5747" s="917"/>
      <c r="VMS5747" s="917"/>
      <c r="VMT5747" s="917"/>
      <c r="VMU5747" s="917"/>
      <c r="VMV5747" s="917"/>
      <c r="VMW5747" s="917"/>
      <c r="VMX5747" s="917"/>
      <c r="VMY5747" s="917"/>
      <c r="VMZ5747" s="917"/>
      <c r="VNA5747" s="917"/>
      <c r="VNB5747" s="917"/>
      <c r="VNC5747" s="917"/>
      <c r="VND5747" s="917"/>
      <c r="VNE5747" s="917"/>
      <c r="VNF5747" s="917"/>
      <c r="VNG5747" s="917"/>
      <c r="VNH5747" s="917"/>
      <c r="VNI5747" s="917"/>
      <c r="VNJ5747" s="917"/>
      <c r="VNK5747" s="917"/>
      <c r="VNL5747" s="917"/>
      <c r="VNM5747" s="917"/>
      <c r="VNN5747" s="917"/>
      <c r="VNO5747" s="917"/>
      <c r="VNP5747" s="917"/>
      <c r="VNQ5747" s="917" t="s">
        <v>78</v>
      </c>
      <c r="VNR5747" s="917"/>
      <c r="VNS5747" s="917"/>
      <c r="VNT5747" s="917"/>
      <c r="VNU5747" s="917"/>
      <c r="VNV5747" s="917"/>
      <c r="VNW5747" s="917"/>
      <c r="VNX5747" s="917"/>
      <c r="VNY5747" s="917"/>
      <c r="VNZ5747" s="917"/>
      <c r="VOA5747" s="917"/>
      <c r="VOB5747" s="917"/>
      <c r="VOC5747" s="917"/>
      <c r="VOD5747" s="917"/>
      <c r="VOE5747" s="917"/>
      <c r="VOF5747" s="917"/>
      <c r="VOG5747" s="917"/>
      <c r="VOH5747" s="917"/>
      <c r="VOI5747" s="917"/>
      <c r="VOJ5747" s="917"/>
      <c r="VOK5747" s="917"/>
      <c r="VOL5747" s="917"/>
      <c r="VOM5747" s="917"/>
      <c r="VON5747" s="917"/>
      <c r="VOO5747" s="917"/>
      <c r="VOP5747" s="917"/>
      <c r="VOQ5747" s="917"/>
      <c r="VOR5747" s="917"/>
      <c r="VOS5747" s="917"/>
      <c r="VOT5747" s="917"/>
      <c r="VOU5747" s="917"/>
      <c r="VOV5747" s="917"/>
      <c r="VOW5747" s="917" t="s">
        <v>78</v>
      </c>
      <c r="VOX5747" s="917"/>
      <c r="VOY5747" s="917"/>
      <c r="VOZ5747" s="917"/>
      <c r="VPA5747" s="917"/>
      <c r="VPB5747" s="917"/>
      <c r="VPC5747" s="917"/>
      <c r="VPD5747" s="917"/>
      <c r="VPE5747" s="917"/>
      <c r="VPF5747" s="917"/>
      <c r="VPG5747" s="917"/>
      <c r="VPH5747" s="917"/>
      <c r="VPI5747" s="917"/>
      <c r="VPJ5747" s="917"/>
      <c r="VPK5747" s="917"/>
      <c r="VPL5747" s="917"/>
      <c r="VPM5747" s="917"/>
      <c r="VPN5747" s="917"/>
      <c r="VPO5747" s="917"/>
      <c r="VPP5747" s="917"/>
      <c r="VPQ5747" s="917"/>
      <c r="VPR5747" s="917"/>
      <c r="VPS5747" s="917"/>
      <c r="VPT5747" s="917"/>
      <c r="VPU5747" s="917"/>
      <c r="VPV5747" s="917"/>
      <c r="VPW5747" s="917"/>
      <c r="VPX5747" s="917"/>
      <c r="VPY5747" s="917"/>
      <c r="VPZ5747" s="917"/>
      <c r="VQA5747" s="917"/>
      <c r="VQB5747" s="917"/>
      <c r="VQC5747" s="917" t="s">
        <v>78</v>
      </c>
      <c r="VQD5747" s="917"/>
      <c r="VQE5747" s="917"/>
      <c r="VQF5747" s="917"/>
      <c r="VQG5747" s="917"/>
      <c r="VQH5747" s="917"/>
      <c r="VQI5747" s="917"/>
      <c r="VQJ5747" s="917"/>
      <c r="VQK5747" s="917"/>
      <c r="VQL5747" s="917"/>
      <c r="VQM5747" s="917"/>
      <c r="VQN5747" s="917"/>
      <c r="VQO5747" s="917"/>
      <c r="VQP5747" s="917"/>
      <c r="VQQ5747" s="917"/>
      <c r="VQR5747" s="917"/>
      <c r="VQS5747" s="917"/>
      <c r="VQT5747" s="917"/>
      <c r="VQU5747" s="917"/>
      <c r="VQV5747" s="917"/>
      <c r="VQW5747" s="917"/>
      <c r="VQX5747" s="917"/>
      <c r="VQY5747" s="917"/>
      <c r="VQZ5747" s="917"/>
      <c r="VRA5747" s="917"/>
      <c r="VRB5747" s="917"/>
      <c r="VRC5747" s="917"/>
      <c r="VRD5747" s="917"/>
      <c r="VRE5747" s="917"/>
      <c r="VRF5747" s="917"/>
      <c r="VRG5747" s="917"/>
      <c r="VRH5747" s="917"/>
      <c r="VRI5747" s="917" t="s">
        <v>78</v>
      </c>
      <c r="VRJ5747" s="917"/>
      <c r="VRK5747" s="917"/>
      <c r="VRL5747" s="917"/>
      <c r="VRM5747" s="917"/>
      <c r="VRN5747" s="917"/>
      <c r="VRO5747" s="917"/>
      <c r="VRP5747" s="917"/>
      <c r="VRQ5747" s="917"/>
      <c r="VRR5747" s="917"/>
      <c r="VRS5747" s="917"/>
      <c r="VRT5747" s="917"/>
      <c r="VRU5747" s="917"/>
      <c r="VRV5747" s="917"/>
      <c r="VRW5747" s="917"/>
      <c r="VRX5747" s="917"/>
      <c r="VRY5747" s="917"/>
      <c r="VRZ5747" s="917"/>
      <c r="VSA5747" s="917"/>
      <c r="VSB5747" s="917"/>
      <c r="VSC5747" s="917"/>
      <c r="VSD5747" s="917"/>
      <c r="VSE5747" s="917"/>
      <c r="VSF5747" s="917"/>
      <c r="VSG5747" s="917"/>
      <c r="VSH5747" s="917"/>
      <c r="VSI5747" s="917"/>
      <c r="VSJ5747" s="917"/>
      <c r="VSK5747" s="917"/>
      <c r="VSL5747" s="917"/>
      <c r="VSM5747" s="917"/>
      <c r="VSN5747" s="917"/>
      <c r="VSO5747" s="917" t="s">
        <v>78</v>
      </c>
      <c r="VSP5747" s="917"/>
      <c r="VSQ5747" s="917"/>
      <c r="VSR5747" s="917"/>
      <c r="VSS5747" s="917"/>
      <c r="VST5747" s="917"/>
      <c r="VSU5747" s="917"/>
      <c r="VSV5747" s="917"/>
      <c r="VSW5747" s="917"/>
      <c r="VSX5747" s="917"/>
      <c r="VSY5747" s="917"/>
      <c r="VSZ5747" s="917"/>
      <c r="VTA5747" s="917"/>
      <c r="VTB5747" s="917"/>
      <c r="VTC5747" s="917"/>
      <c r="VTD5747" s="917"/>
      <c r="VTE5747" s="917"/>
      <c r="VTF5747" s="917"/>
      <c r="VTG5747" s="917"/>
      <c r="VTH5747" s="917"/>
      <c r="VTI5747" s="917"/>
      <c r="VTJ5747" s="917"/>
      <c r="VTK5747" s="917"/>
      <c r="VTL5747" s="917"/>
      <c r="VTM5747" s="917"/>
      <c r="VTN5747" s="917"/>
      <c r="VTO5747" s="917"/>
      <c r="VTP5747" s="917"/>
      <c r="VTQ5747" s="917"/>
      <c r="VTR5747" s="917"/>
      <c r="VTS5747" s="917"/>
      <c r="VTT5747" s="917"/>
      <c r="VTU5747" s="917" t="s">
        <v>78</v>
      </c>
      <c r="VTV5747" s="917"/>
      <c r="VTW5747" s="917"/>
      <c r="VTX5747" s="917"/>
      <c r="VTY5747" s="917"/>
      <c r="VTZ5747" s="917"/>
      <c r="VUA5747" s="917"/>
      <c r="VUB5747" s="917"/>
      <c r="VUC5747" s="917"/>
      <c r="VUD5747" s="917"/>
      <c r="VUE5747" s="917"/>
      <c r="VUF5747" s="917"/>
      <c r="VUG5747" s="917"/>
      <c r="VUH5747" s="917"/>
      <c r="VUI5747" s="917"/>
      <c r="VUJ5747" s="917"/>
      <c r="VUK5747" s="917"/>
      <c r="VUL5747" s="917"/>
      <c r="VUM5747" s="917"/>
      <c r="VUN5747" s="917"/>
      <c r="VUO5747" s="917"/>
      <c r="VUP5747" s="917"/>
      <c r="VUQ5747" s="917"/>
      <c r="VUR5747" s="917"/>
      <c r="VUS5747" s="917"/>
      <c r="VUT5747" s="917"/>
      <c r="VUU5747" s="917"/>
      <c r="VUV5747" s="917"/>
      <c r="VUW5747" s="917"/>
      <c r="VUX5747" s="917"/>
      <c r="VUY5747" s="917"/>
      <c r="VUZ5747" s="917"/>
      <c r="VVA5747" s="917" t="s">
        <v>78</v>
      </c>
      <c r="VVB5747" s="917"/>
      <c r="VVC5747" s="917"/>
      <c r="VVD5747" s="917"/>
      <c r="VVE5747" s="917"/>
      <c r="VVF5747" s="917"/>
      <c r="VVG5747" s="917"/>
      <c r="VVH5747" s="917"/>
      <c r="VVI5747" s="917"/>
      <c r="VVJ5747" s="917"/>
      <c r="VVK5747" s="917"/>
      <c r="VVL5747" s="917"/>
      <c r="VVM5747" s="917"/>
      <c r="VVN5747" s="917"/>
      <c r="VVO5747" s="917"/>
      <c r="VVP5747" s="917"/>
      <c r="VVQ5747" s="917"/>
      <c r="VVR5747" s="917"/>
      <c r="VVS5747" s="917"/>
      <c r="VVT5747" s="917"/>
      <c r="VVU5747" s="917"/>
      <c r="VVV5747" s="917"/>
      <c r="VVW5747" s="917"/>
      <c r="VVX5747" s="917"/>
      <c r="VVY5747" s="917"/>
      <c r="VVZ5747" s="917"/>
      <c r="VWA5747" s="917"/>
      <c r="VWB5747" s="917"/>
      <c r="VWC5747" s="917"/>
      <c r="VWD5747" s="917"/>
      <c r="VWE5747" s="917"/>
      <c r="VWF5747" s="917"/>
      <c r="VWG5747" s="917" t="s">
        <v>78</v>
      </c>
      <c r="VWH5747" s="917"/>
      <c r="VWI5747" s="917"/>
      <c r="VWJ5747" s="917"/>
      <c r="VWK5747" s="917"/>
      <c r="VWL5747" s="917"/>
      <c r="VWM5747" s="917"/>
      <c r="VWN5747" s="917"/>
      <c r="VWO5747" s="917"/>
      <c r="VWP5747" s="917"/>
      <c r="VWQ5747" s="917"/>
      <c r="VWR5747" s="917"/>
      <c r="VWS5747" s="917"/>
      <c r="VWT5747" s="917"/>
      <c r="VWU5747" s="917"/>
      <c r="VWV5747" s="917"/>
      <c r="VWW5747" s="917"/>
      <c r="VWX5747" s="917"/>
      <c r="VWY5747" s="917"/>
      <c r="VWZ5747" s="917"/>
      <c r="VXA5747" s="917"/>
      <c r="VXB5747" s="917"/>
      <c r="VXC5747" s="917"/>
      <c r="VXD5747" s="917"/>
      <c r="VXE5747" s="917"/>
      <c r="VXF5747" s="917"/>
      <c r="VXG5747" s="917"/>
      <c r="VXH5747" s="917"/>
      <c r="VXI5747" s="917"/>
      <c r="VXJ5747" s="917"/>
      <c r="VXK5747" s="917"/>
      <c r="VXL5747" s="917"/>
      <c r="VXM5747" s="917" t="s">
        <v>78</v>
      </c>
      <c r="VXN5747" s="917"/>
      <c r="VXO5747" s="917"/>
      <c r="VXP5747" s="917"/>
      <c r="VXQ5747" s="917"/>
      <c r="VXR5747" s="917"/>
      <c r="VXS5747" s="917"/>
      <c r="VXT5747" s="917"/>
      <c r="VXU5747" s="917"/>
      <c r="VXV5747" s="917"/>
      <c r="VXW5747" s="917"/>
      <c r="VXX5747" s="917"/>
      <c r="VXY5747" s="917"/>
      <c r="VXZ5747" s="917"/>
      <c r="VYA5747" s="917"/>
      <c r="VYB5747" s="917"/>
      <c r="VYC5747" s="917"/>
      <c r="VYD5747" s="917"/>
      <c r="VYE5747" s="917"/>
      <c r="VYF5747" s="917"/>
      <c r="VYG5747" s="917"/>
      <c r="VYH5747" s="917"/>
      <c r="VYI5747" s="917"/>
      <c r="VYJ5747" s="917"/>
      <c r="VYK5747" s="917"/>
      <c r="VYL5747" s="917"/>
      <c r="VYM5747" s="917"/>
      <c r="VYN5747" s="917"/>
      <c r="VYO5747" s="917"/>
      <c r="VYP5747" s="917"/>
      <c r="VYQ5747" s="917"/>
      <c r="VYR5747" s="917"/>
      <c r="VYS5747" s="917" t="s">
        <v>78</v>
      </c>
      <c r="VYT5747" s="917"/>
      <c r="VYU5747" s="917"/>
      <c r="VYV5747" s="917"/>
      <c r="VYW5747" s="917"/>
      <c r="VYX5747" s="917"/>
      <c r="VYY5747" s="917"/>
      <c r="VYZ5747" s="917"/>
      <c r="VZA5747" s="917"/>
      <c r="VZB5747" s="917"/>
      <c r="VZC5747" s="917"/>
      <c r="VZD5747" s="917"/>
      <c r="VZE5747" s="917"/>
      <c r="VZF5747" s="917"/>
      <c r="VZG5747" s="917"/>
      <c r="VZH5747" s="917"/>
      <c r="VZI5747" s="917"/>
      <c r="VZJ5747" s="917"/>
      <c r="VZK5747" s="917"/>
      <c r="VZL5747" s="917"/>
      <c r="VZM5747" s="917"/>
      <c r="VZN5747" s="917"/>
      <c r="VZO5747" s="917"/>
      <c r="VZP5747" s="917"/>
      <c r="VZQ5747" s="917"/>
      <c r="VZR5747" s="917"/>
      <c r="VZS5747" s="917"/>
      <c r="VZT5747" s="917"/>
      <c r="VZU5747" s="917"/>
      <c r="VZV5747" s="917"/>
      <c r="VZW5747" s="917"/>
      <c r="VZX5747" s="917"/>
      <c r="VZY5747" s="917" t="s">
        <v>78</v>
      </c>
      <c r="VZZ5747" s="917"/>
      <c r="WAA5747" s="917"/>
      <c r="WAB5747" s="917"/>
      <c r="WAC5747" s="917"/>
      <c r="WAD5747" s="917"/>
      <c r="WAE5747" s="917"/>
      <c r="WAF5747" s="917"/>
      <c r="WAG5747" s="917"/>
      <c r="WAH5747" s="917"/>
      <c r="WAI5747" s="917"/>
      <c r="WAJ5747" s="917"/>
      <c r="WAK5747" s="917"/>
      <c r="WAL5747" s="917"/>
      <c r="WAM5747" s="917"/>
      <c r="WAN5747" s="917"/>
      <c r="WAO5747" s="917"/>
      <c r="WAP5747" s="917"/>
      <c r="WAQ5747" s="917"/>
      <c r="WAR5747" s="917"/>
      <c r="WAS5747" s="917"/>
      <c r="WAT5747" s="917"/>
      <c r="WAU5747" s="917"/>
      <c r="WAV5747" s="917"/>
      <c r="WAW5747" s="917"/>
      <c r="WAX5747" s="917"/>
      <c r="WAY5747" s="917"/>
      <c r="WAZ5747" s="917"/>
      <c r="WBA5747" s="917"/>
      <c r="WBB5747" s="917"/>
      <c r="WBC5747" s="917"/>
      <c r="WBD5747" s="917"/>
      <c r="WBE5747" s="917" t="s">
        <v>78</v>
      </c>
      <c r="WBF5747" s="917"/>
      <c r="WBG5747" s="917"/>
      <c r="WBH5747" s="917"/>
      <c r="WBI5747" s="917"/>
      <c r="WBJ5747" s="917"/>
      <c r="WBK5747" s="917"/>
      <c r="WBL5747" s="917"/>
      <c r="WBM5747" s="917"/>
      <c r="WBN5747" s="917"/>
      <c r="WBO5747" s="917"/>
      <c r="WBP5747" s="917"/>
      <c r="WBQ5747" s="917"/>
      <c r="WBR5747" s="917"/>
      <c r="WBS5747" s="917"/>
      <c r="WBT5747" s="917"/>
      <c r="WBU5747" s="917"/>
      <c r="WBV5747" s="917"/>
      <c r="WBW5747" s="917"/>
      <c r="WBX5747" s="917"/>
      <c r="WBY5747" s="917"/>
      <c r="WBZ5747" s="917"/>
      <c r="WCA5747" s="917"/>
      <c r="WCB5747" s="917"/>
      <c r="WCC5747" s="917"/>
      <c r="WCD5747" s="917"/>
      <c r="WCE5747" s="917"/>
      <c r="WCF5747" s="917"/>
      <c r="WCG5747" s="917"/>
      <c r="WCH5747" s="917"/>
      <c r="WCI5747" s="917"/>
      <c r="WCJ5747" s="917"/>
      <c r="WCK5747" s="917" t="s">
        <v>78</v>
      </c>
      <c r="WCL5747" s="917"/>
      <c r="WCM5747" s="917"/>
      <c r="WCN5747" s="917"/>
      <c r="WCO5747" s="917"/>
      <c r="WCP5747" s="917"/>
      <c r="WCQ5747" s="917"/>
      <c r="WCR5747" s="917"/>
      <c r="WCS5747" s="917"/>
      <c r="WCT5747" s="917"/>
      <c r="WCU5747" s="917"/>
      <c r="WCV5747" s="917"/>
      <c r="WCW5747" s="917"/>
      <c r="WCX5747" s="917"/>
      <c r="WCY5747" s="917"/>
      <c r="WCZ5747" s="917"/>
      <c r="WDA5747" s="917"/>
      <c r="WDB5747" s="917"/>
      <c r="WDC5747" s="917"/>
      <c r="WDD5747" s="917"/>
      <c r="WDE5747" s="917"/>
      <c r="WDF5747" s="917"/>
      <c r="WDG5747" s="917"/>
      <c r="WDH5747" s="917"/>
      <c r="WDI5747" s="917"/>
      <c r="WDJ5747" s="917"/>
      <c r="WDK5747" s="917"/>
      <c r="WDL5747" s="917"/>
      <c r="WDM5747" s="917"/>
      <c r="WDN5747" s="917"/>
      <c r="WDO5747" s="917"/>
      <c r="WDP5747" s="917"/>
      <c r="WDQ5747" s="917" t="s">
        <v>78</v>
      </c>
      <c r="WDR5747" s="917"/>
      <c r="WDS5747" s="917"/>
      <c r="WDT5747" s="917"/>
      <c r="WDU5747" s="917"/>
      <c r="WDV5747" s="917"/>
      <c r="WDW5747" s="917"/>
      <c r="WDX5747" s="917"/>
      <c r="WDY5747" s="917"/>
      <c r="WDZ5747" s="917"/>
      <c r="WEA5747" s="917"/>
      <c r="WEB5747" s="917"/>
      <c r="WEC5747" s="917"/>
      <c r="WED5747" s="917"/>
      <c r="WEE5747" s="917"/>
      <c r="WEF5747" s="917"/>
      <c r="WEG5747" s="917"/>
      <c r="WEH5747" s="917"/>
      <c r="WEI5747" s="917"/>
      <c r="WEJ5747" s="917"/>
      <c r="WEK5747" s="917"/>
      <c r="WEL5747" s="917"/>
      <c r="WEM5747" s="917"/>
      <c r="WEN5747" s="917"/>
      <c r="WEO5747" s="917"/>
      <c r="WEP5747" s="917"/>
      <c r="WEQ5747" s="917"/>
      <c r="WER5747" s="917"/>
      <c r="WES5747" s="917"/>
      <c r="WET5747" s="917"/>
      <c r="WEU5747" s="917"/>
      <c r="WEV5747" s="917"/>
      <c r="WEW5747" s="917" t="s">
        <v>78</v>
      </c>
      <c r="WEX5747" s="917"/>
      <c r="WEY5747" s="917"/>
      <c r="WEZ5747" s="917"/>
      <c r="WFA5747" s="917"/>
      <c r="WFB5747" s="917"/>
      <c r="WFC5747" s="917"/>
      <c r="WFD5747" s="917"/>
      <c r="WFE5747" s="917"/>
      <c r="WFF5747" s="917"/>
      <c r="WFG5747" s="917"/>
      <c r="WFH5747" s="917"/>
      <c r="WFI5747" s="917"/>
      <c r="WFJ5747" s="917"/>
      <c r="WFK5747" s="917"/>
      <c r="WFL5747" s="917"/>
      <c r="WFM5747" s="917"/>
      <c r="WFN5747" s="917"/>
      <c r="WFO5747" s="917"/>
      <c r="WFP5747" s="917"/>
      <c r="WFQ5747" s="917"/>
      <c r="WFR5747" s="917"/>
      <c r="WFS5747" s="917"/>
      <c r="WFT5747" s="917"/>
      <c r="WFU5747" s="917"/>
      <c r="WFV5747" s="917"/>
      <c r="WFW5747" s="917"/>
      <c r="WFX5747" s="917"/>
      <c r="WFY5747" s="917"/>
      <c r="WFZ5747" s="917"/>
      <c r="WGA5747" s="917"/>
      <c r="WGB5747" s="917"/>
      <c r="WGC5747" s="917" t="s">
        <v>78</v>
      </c>
      <c r="WGD5747" s="917"/>
      <c r="WGE5747" s="917"/>
      <c r="WGF5747" s="917"/>
      <c r="WGG5747" s="917"/>
      <c r="WGH5747" s="917"/>
      <c r="WGI5747" s="917"/>
      <c r="WGJ5747" s="917"/>
      <c r="WGK5747" s="917"/>
      <c r="WGL5747" s="917"/>
      <c r="WGM5747" s="917"/>
      <c r="WGN5747" s="917"/>
      <c r="WGO5747" s="917"/>
      <c r="WGP5747" s="917"/>
      <c r="WGQ5747" s="917"/>
      <c r="WGR5747" s="917"/>
      <c r="WGS5747" s="917"/>
      <c r="WGT5747" s="917"/>
      <c r="WGU5747" s="917"/>
      <c r="WGV5747" s="917"/>
      <c r="WGW5747" s="917"/>
      <c r="WGX5747" s="917"/>
      <c r="WGY5747" s="917"/>
      <c r="WGZ5747" s="917"/>
      <c r="WHA5747" s="917"/>
      <c r="WHB5747" s="917"/>
      <c r="WHC5747" s="917"/>
      <c r="WHD5747" s="917"/>
      <c r="WHE5747" s="917"/>
      <c r="WHF5747" s="917"/>
      <c r="WHG5747" s="917"/>
      <c r="WHH5747" s="917"/>
      <c r="WHI5747" s="917" t="s">
        <v>78</v>
      </c>
      <c r="WHJ5747" s="917"/>
      <c r="WHK5747" s="917"/>
      <c r="WHL5747" s="917"/>
      <c r="WHM5747" s="917"/>
      <c r="WHN5747" s="917"/>
      <c r="WHO5747" s="917"/>
      <c r="WHP5747" s="917"/>
      <c r="WHQ5747" s="917"/>
      <c r="WHR5747" s="917"/>
      <c r="WHS5747" s="917"/>
      <c r="WHT5747" s="917"/>
      <c r="WHU5747" s="917"/>
      <c r="WHV5747" s="917"/>
      <c r="WHW5747" s="917"/>
      <c r="WHX5747" s="917"/>
      <c r="WHY5747" s="917"/>
      <c r="WHZ5747" s="917"/>
      <c r="WIA5747" s="917"/>
      <c r="WIB5747" s="917"/>
      <c r="WIC5747" s="917"/>
      <c r="WID5747" s="917"/>
      <c r="WIE5747" s="917"/>
      <c r="WIF5747" s="917"/>
      <c r="WIG5747" s="917"/>
      <c r="WIH5747" s="917"/>
      <c r="WII5747" s="917"/>
      <c r="WIJ5747" s="917"/>
      <c r="WIK5747" s="917"/>
      <c r="WIL5747" s="917"/>
      <c r="WIM5747" s="917"/>
      <c r="WIN5747" s="917"/>
      <c r="WIO5747" s="917" t="s">
        <v>78</v>
      </c>
      <c r="WIP5747" s="917"/>
      <c r="WIQ5747" s="917"/>
      <c r="WIR5747" s="917"/>
      <c r="WIS5747" s="917"/>
      <c r="WIT5747" s="917"/>
      <c r="WIU5747" s="917"/>
      <c r="WIV5747" s="917"/>
      <c r="WIW5747" s="917"/>
      <c r="WIX5747" s="917"/>
      <c r="WIY5747" s="917"/>
      <c r="WIZ5747" s="917"/>
      <c r="WJA5747" s="917"/>
      <c r="WJB5747" s="917"/>
      <c r="WJC5747" s="917"/>
      <c r="WJD5747" s="917"/>
      <c r="WJE5747" s="917"/>
      <c r="WJF5747" s="917"/>
      <c r="WJG5747" s="917"/>
      <c r="WJH5747" s="917"/>
      <c r="WJI5747" s="917"/>
      <c r="WJJ5747" s="917"/>
      <c r="WJK5747" s="917"/>
      <c r="WJL5747" s="917"/>
      <c r="WJM5747" s="917"/>
      <c r="WJN5747" s="917"/>
      <c r="WJO5747" s="917"/>
      <c r="WJP5747" s="917"/>
      <c r="WJQ5747" s="917"/>
      <c r="WJR5747" s="917"/>
      <c r="WJS5747" s="917"/>
      <c r="WJT5747" s="917"/>
      <c r="WJU5747" s="917" t="s">
        <v>78</v>
      </c>
      <c r="WJV5747" s="917"/>
      <c r="WJW5747" s="917"/>
      <c r="WJX5747" s="917"/>
      <c r="WJY5747" s="917"/>
      <c r="WJZ5747" s="917"/>
      <c r="WKA5747" s="917"/>
      <c r="WKB5747" s="917"/>
      <c r="WKC5747" s="917"/>
      <c r="WKD5747" s="917"/>
      <c r="WKE5747" s="917"/>
      <c r="WKF5747" s="917"/>
      <c r="WKG5747" s="917"/>
      <c r="WKH5747" s="917"/>
      <c r="WKI5747" s="917"/>
      <c r="WKJ5747" s="917"/>
      <c r="WKK5747" s="917"/>
      <c r="WKL5747" s="917"/>
      <c r="WKM5747" s="917"/>
      <c r="WKN5747" s="917"/>
      <c r="WKO5747" s="917"/>
      <c r="WKP5747" s="917"/>
      <c r="WKQ5747" s="917"/>
      <c r="WKR5747" s="917"/>
      <c r="WKS5747" s="917"/>
      <c r="WKT5747" s="917"/>
      <c r="WKU5747" s="917"/>
      <c r="WKV5747" s="917"/>
      <c r="WKW5747" s="917"/>
      <c r="WKX5747" s="917"/>
      <c r="WKY5747" s="917"/>
      <c r="WKZ5747" s="917"/>
      <c r="WLA5747" s="917" t="s">
        <v>78</v>
      </c>
      <c r="WLB5747" s="917"/>
      <c r="WLC5747" s="917"/>
      <c r="WLD5747" s="917"/>
      <c r="WLE5747" s="917"/>
      <c r="WLF5747" s="917"/>
      <c r="WLG5747" s="917"/>
      <c r="WLH5747" s="917"/>
      <c r="WLI5747" s="917"/>
      <c r="WLJ5747" s="917"/>
      <c r="WLK5747" s="917"/>
      <c r="WLL5747" s="917"/>
      <c r="WLM5747" s="917"/>
      <c r="WLN5747" s="917"/>
      <c r="WLO5747" s="917"/>
      <c r="WLP5747" s="917"/>
      <c r="WLQ5747" s="917"/>
      <c r="WLR5747" s="917"/>
      <c r="WLS5747" s="917"/>
      <c r="WLT5747" s="917"/>
      <c r="WLU5747" s="917"/>
      <c r="WLV5747" s="917"/>
      <c r="WLW5747" s="917"/>
      <c r="WLX5747" s="917"/>
      <c r="WLY5747" s="917"/>
      <c r="WLZ5747" s="917"/>
      <c r="WMA5747" s="917"/>
      <c r="WMB5747" s="917"/>
      <c r="WMC5747" s="917"/>
      <c r="WMD5747" s="917"/>
      <c r="WME5747" s="917"/>
      <c r="WMF5747" s="917"/>
      <c r="WMG5747" s="917" t="s">
        <v>78</v>
      </c>
      <c r="WMH5747" s="917"/>
      <c r="WMI5747" s="917"/>
      <c r="WMJ5747" s="917"/>
      <c r="WMK5747" s="917"/>
      <c r="WML5747" s="917"/>
      <c r="WMM5747" s="917"/>
      <c r="WMN5747" s="917"/>
      <c r="WMO5747" s="917"/>
      <c r="WMP5747" s="917"/>
      <c r="WMQ5747" s="917"/>
      <c r="WMR5747" s="917"/>
      <c r="WMS5747" s="917"/>
      <c r="WMT5747" s="917"/>
      <c r="WMU5747" s="917"/>
      <c r="WMV5747" s="917"/>
      <c r="WMW5747" s="917"/>
      <c r="WMX5747" s="917"/>
      <c r="WMY5747" s="917"/>
      <c r="WMZ5747" s="917"/>
      <c r="WNA5747" s="917"/>
      <c r="WNB5747" s="917"/>
      <c r="WNC5747" s="917"/>
      <c r="WND5747" s="917"/>
      <c r="WNE5747" s="917"/>
      <c r="WNF5747" s="917"/>
      <c r="WNG5747" s="917"/>
      <c r="WNH5747" s="917"/>
      <c r="WNI5747" s="917"/>
      <c r="WNJ5747" s="917"/>
      <c r="WNK5747" s="917"/>
      <c r="WNL5747" s="917"/>
      <c r="WNM5747" s="917" t="s">
        <v>78</v>
      </c>
      <c r="WNN5747" s="917"/>
      <c r="WNO5747" s="917"/>
      <c r="WNP5747" s="917"/>
      <c r="WNQ5747" s="917"/>
      <c r="WNR5747" s="917"/>
      <c r="WNS5747" s="917"/>
      <c r="WNT5747" s="917"/>
      <c r="WNU5747" s="917"/>
      <c r="WNV5747" s="917"/>
      <c r="WNW5747" s="917"/>
      <c r="WNX5747" s="917"/>
      <c r="WNY5747" s="917"/>
      <c r="WNZ5747" s="917"/>
      <c r="WOA5747" s="917"/>
      <c r="WOB5747" s="917"/>
      <c r="WOC5747" s="917"/>
      <c r="WOD5747" s="917"/>
      <c r="WOE5747" s="917"/>
      <c r="WOF5747" s="917"/>
      <c r="WOG5747" s="917"/>
      <c r="WOH5747" s="917"/>
      <c r="WOI5747" s="917"/>
      <c r="WOJ5747" s="917"/>
      <c r="WOK5747" s="917"/>
      <c r="WOL5747" s="917"/>
      <c r="WOM5747" s="917"/>
      <c r="WON5747" s="917"/>
      <c r="WOO5747" s="917"/>
      <c r="WOP5747" s="917"/>
      <c r="WOQ5747" s="917"/>
      <c r="WOR5747" s="917"/>
      <c r="WOS5747" s="917" t="s">
        <v>78</v>
      </c>
      <c r="WOT5747" s="917"/>
      <c r="WOU5747" s="917"/>
      <c r="WOV5747" s="917"/>
      <c r="WOW5747" s="917"/>
      <c r="WOX5747" s="917"/>
      <c r="WOY5747" s="917"/>
      <c r="WOZ5747" s="917"/>
      <c r="WPA5747" s="917"/>
      <c r="WPB5747" s="917"/>
      <c r="WPC5747" s="917"/>
      <c r="WPD5747" s="917"/>
      <c r="WPE5747" s="917"/>
      <c r="WPF5747" s="917"/>
      <c r="WPG5747" s="917"/>
      <c r="WPH5747" s="917"/>
      <c r="WPI5747" s="917"/>
      <c r="WPJ5747" s="917"/>
      <c r="WPK5747" s="917"/>
      <c r="WPL5747" s="917"/>
      <c r="WPM5747" s="917"/>
      <c r="WPN5747" s="917"/>
      <c r="WPO5747" s="917"/>
      <c r="WPP5747" s="917"/>
      <c r="WPQ5747" s="917"/>
      <c r="WPR5747" s="917"/>
      <c r="WPS5747" s="917"/>
      <c r="WPT5747" s="917"/>
      <c r="WPU5747" s="917"/>
      <c r="WPV5747" s="917"/>
      <c r="WPW5747" s="917"/>
      <c r="WPX5747" s="917"/>
      <c r="WPY5747" s="917" t="s">
        <v>78</v>
      </c>
      <c r="WPZ5747" s="917"/>
      <c r="WQA5747" s="917"/>
      <c r="WQB5747" s="917"/>
      <c r="WQC5747" s="917"/>
      <c r="WQD5747" s="917"/>
      <c r="WQE5747" s="917"/>
      <c r="WQF5747" s="917"/>
      <c r="WQG5747" s="917"/>
      <c r="WQH5747" s="917"/>
      <c r="WQI5747" s="917"/>
      <c r="WQJ5747" s="917"/>
      <c r="WQK5747" s="917"/>
      <c r="WQL5747" s="917"/>
      <c r="WQM5747" s="917"/>
      <c r="WQN5747" s="917"/>
      <c r="WQO5747" s="917"/>
      <c r="WQP5747" s="917"/>
      <c r="WQQ5747" s="917"/>
      <c r="WQR5747" s="917"/>
      <c r="WQS5747" s="917"/>
      <c r="WQT5747" s="917"/>
      <c r="WQU5747" s="917"/>
      <c r="WQV5747" s="917"/>
      <c r="WQW5747" s="917"/>
      <c r="WQX5747" s="917"/>
      <c r="WQY5747" s="917"/>
      <c r="WQZ5747" s="917"/>
      <c r="WRA5747" s="917"/>
      <c r="WRB5747" s="917"/>
      <c r="WRC5747" s="917"/>
      <c r="WRD5747" s="917"/>
      <c r="WRE5747" s="917" t="s">
        <v>78</v>
      </c>
      <c r="WRF5747" s="917"/>
      <c r="WRG5747" s="917"/>
      <c r="WRH5747" s="917"/>
      <c r="WRI5747" s="917"/>
      <c r="WRJ5747" s="917"/>
      <c r="WRK5747" s="917"/>
      <c r="WRL5747" s="917"/>
      <c r="WRM5747" s="917"/>
      <c r="WRN5747" s="917"/>
      <c r="WRO5747" s="917"/>
      <c r="WRP5747" s="917"/>
      <c r="WRQ5747" s="917"/>
      <c r="WRR5747" s="917"/>
      <c r="WRS5747" s="917"/>
      <c r="WRT5747" s="917"/>
      <c r="WRU5747" s="917"/>
      <c r="WRV5747" s="917"/>
      <c r="WRW5747" s="917"/>
      <c r="WRX5747" s="917"/>
      <c r="WRY5747" s="917"/>
      <c r="WRZ5747" s="917"/>
      <c r="WSA5747" s="917"/>
      <c r="WSB5747" s="917"/>
      <c r="WSC5747" s="917"/>
      <c r="WSD5747" s="917"/>
      <c r="WSE5747" s="917"/>
      <c r="WSF5747" s="917"/>
      <c r="WSG5747" s="917"/>
      <c r="WSH5747" s="917"/>
      <c r="WSI5747" s="917"/>
      <c r="WSJ5747" s="917"/>
      <c r="WSK5747" s="917" t="s">
        <v>78</v>
      </c>
      <c r="WSL5747" s="917"/>
      <c r="WSM5747" s="917"/>
      <c r="WSN5747" s="917"/>
      <c r="WSO5747" s="917"/>
      <c r="WSP5747" s="917"/>
      <c r="WSQ5747" s="917"/>
      <c r="WSR5747" s="917"/>
      <c r="WSS5747" s="917"/>
      <c r="WST5747" s="917"/>
      <c r="WSU5747" s="917"/>
      <c r="WSV5747" s="917"/>
      <c r="WSW5747" s="917"/>
      <c r="WSX5747" s="917"/>
      <c r="WSY5747" s="917"/>
      <c r="WSZ5747" s="917"/>
      <c r="WTA5747" s="917"/>
      <c r="WTB5747" s="917"/>
      <c r="WTC5747" s="917"/>
      <c r="WTD5747" s="917"/>
      <c r="WTE5747" s="917"/>
      <c r="WTF5747" s="917"/>
      <c r="WTG5747" s="917"/>
      <c r="WTH5747" s="917"/>
      <c r="WTI5747" s="917"/>
      <c r="WTJ5747" s="917"/>
      <c r="WTK5747" s="917"/>
      <c r="WTL5747" s="917"/>
      <c r="WTM5747" s="917"/>
      <c r="WTN5747" s="917"/>
      <c r="WTO5747" s="917"/>
      <c r="WTP5747" s="917"/>
      <c r="WTQ5747" s="917" t="s">
        <v>78</v>
      </c>
      <c r="WTR5747" s="917"/>
      <c r="WTS5747" s="917"/>
      <c r="WTT5747" s="917"/>
      <c r="WTU5747" s="917"/>
      <c r="WTV5747" s="917"/>
      <c r="WTW5747" s="917"/>
      <c r="WTX5747" s="917"/>
      <c r="WTY5747" s="917"/>
      <c r="WTZ5747" s="917"/>
      <c r="WUA5747" s="917"/>
      <c r="WUB5747" s="917"/>
      <c r="WUC5747" s="917"/>
      <c r="WUD5747" s="917"/>
      <c r="WUE5747" s="917"/>
      <c r="WUF5747" s="917"/>
      <c r="WUG5747" s="917"/>
      <c r="WUH5747" s="917"/>
      <c r="WUI5747" s="917"/>
      <c r="WUJ5747" s="917"/>
      <c r="WUK5747" s="917"/>
      <c r="WUL5747" s="917"/>
      <c r="WUM5747" s="917"/>
      <c r="WUN5747" s="917"/>
      <c r="WUO5747" s="917"/>
      <c r="WUP5747" s="917"/>
      <c r="WUQ5747" s="917"/>
      <c r="WUR5747" s="917"/>
      <c r="WUS5747" s="917"/>
      <c r="WUT5747" s="917"/>
      <c r="WUU5747" s="917"/>
      <c r="WUV5747" s="917"/>
      <c r="WUW5747" s="917" t="s">
        <v>78</v>
      </c>
      <c r="WUX5747" s="917"/>
      <c r="WUY5747" s="917"/>
      <c r="WUZ5747" s="917"/>
      <c r="WVA5747" s="917"/>
      <c r="WVB5747" s="917"/>
      <c r="WVC5747" s="917"/>
      <c r="WVD5747" s="917"/>
      <c r="WVE5747" s="917"/>
      <c r="WVF5747" s="917"/>
      <c r="WVG5747" s="917"/>
      <c r="WVH5747" s="917"/>
      <c r="WVI5747" s="917"/>
      <c r="WVJ5747" s="917"/>
      <c r="WVK5747" s="917"/>
      <c r="WVL5747" s="917"/>
      <c r="WVM5747" s="917"/>
      <c r="WVN5747" s="917"/>
      <c r="WVO5747" s="917"/>
      <c r="WVP5747" s="917"/>
      <c r="WVQ5747" s="917"/>
      <c r="WVR5747" s="917"/>
      <c r="WVS5747" s="917"/>
      <c r="WVT5747" s="917"/>
      <c r="WVU5747" s="917"/>
      <c r="WVV5747" s="917"/>
      <c r="WVW5747" s="917"/>
      <c r="WVX5747" s="917"/>
      <c r="WVY5747" s="917"/>
      <c r="WVZ5747" s="917"/>
      <c r="WWA5747" s="917"/>
      <c r="WWB5747" s="917"/>
      <c r="WWC5747" s="917" t="s">
        <v>78</v>
      </c>
      <c r="WWD5747" s="917"/>
      <c r="WWE5747" s="917"/>
      <c r="WWF5747" s="917"/>
      <c r="WWG5747" s="917"/>
      <c r="WWH5747" s="917"/>
      <c r="WWI5747" s="917"/>
      <c r="WWJ5747" s="917"/>
      <c r="WWK5747" s="917"/>
      <c r="WWL5747" s="917"/>
      <c r="WWM5747" s="917"/>
      <c r="WWN5747" s="917"/>
      <c r="WWO5747" s="917"/>
      <c r="WWP5747" s="917"/>
      <c r="WWQ5747" s="917"/>
      <c r="WWR5747" s="917"/>
      <c r="WWS5747" s="917"/>
      <c r="WWT5747" s="917"/>
      <c r="WWU5747" s="917"/>
      <c r="WWV5747" s="917"/>
      <c r="WWW5747" s="917"/>
      <c r="WWX5747" s="917"/>
      <c r="WWY5747" s="917"/>
      <c r="WWZ5747" s="917"/>
      <c r="WXA5747" s="917"/>
      <c r="WXB5747" s="917"/>
      <c r="WXC5747" s="917"/>
      <c r="WXD5747" s="917"/>
      <c r="WXE5747" s="917"/>
      <c r="WXF5747" s="917"/>
      <c r="WXG5747" s="917"/>
      <c r="WXH5747" s="917"/>
      <c r="WXI5747" s="917" t="s">
        <v>78</v>
      </c>
      <c r="WXJ5747" s="917"/>
      <c r="WXK5747" s="917"/>
      <c r="WXL5747" s="917"/>
      <c r="WXM5747" s="917"/>
      <c r="WXN5747" s="917"/>
      <c r="WXO5747" s="917"/>
      <c r="WXP5747" s="917"/>
      <c r="WXQ5747" s="917"/>
      <c r="WXR5747" s="917"/>
      <c r="WXS5747" s="917"/>
      <c r="WXT5747" s="917"/>
      <c r="WXU5747" s="917"/>
      <c r="WXV5747" s="917"/>
      <c r="WXW5747" s="917"/>
      <c r="WXX5747" s="917"/>
      <c r="WXY5747" s="917"/>
      <c r="WXZ5747" s="917"/>
      <c r="WYA5747" s="917"/>
      <c r="WYB5747" s="917"/>
      <c r="WYC5747" s="917"/>
      <c r="WYD5747" s="917"/>
      <c r="WYE5747" s="917"/>
      <c r="WYF5747" s="917"/>
      <c r="WYG5747" s="917"/>
      <c r="WYH5747" s="917"/>
      <c r="WYI5747" s="917"/>
      <c r="WYJ5747" s="917"/>
      <c r="WYK5747" s="917"/>
      <c r="WYL5747" s="917"/>
      <c r="WYM5747" s="917"/>
      <c r="WYN5747" s="917"/>
      <c r="WYO5747" s="917" t="s">
        <v>78</v>
      </c>
      <c r="WYP5747" s="917"/>
      <c r="WYQ5747" s="917"/>
      <c r="WYR5747" s="917"/>
      <c r="WYS5747" s="917"/>
      <c r="WYT5747" s="917"/>
      <c r="WYU5747" s="917"/>
      <c r="WYV5747" s="917"/>
      <c r="WYW5747" s="917"/>
      <c r="WYX5747" s="917"/>
      <c r="WYY5747" s="917"/>
      <c r="WYZ5747" s="917"/>
      <c r="WZA5747" s="917"/>
      <c r="WZB5747" s="917"/>
      <c r="WZC5747" s="917"/>
      <c r="WZD5747" s="917"/>
      <c r="WZE5747" s="917"/>
      <c r="WZF5747" s="917"/>
      <c r="WZG5747" s="917"/>
      <c r="WZH5747" s="917"/>
      <c r="WZI5747" s="917"/>
      <c r="WZJ5747" s="917"/>
      <c r="WZK5747" s="917"/>
      <c r="WZL5747" s="917"/>
      <c r="WZM5747" s="917"/>
      <c r="WZN5747" s="917"/>
      <c r="WZO5747" s="917"/>
      <c r="WZP5747" s="917"/>
      <c r="WZQ5747" s="917"/>
      <c r="WZR5747" s="917"/>
      <c r="WZS5747" s="917"/>
      <c r="WZT5747" s="917"/>
      <c r="WZU5747" s="917" t="s">
        <v>78</v>
      </c>
      <c r="WZV5747" s="917"/>
      <c r="WZW5747" s="917"/>
      <c r="WZX5747" s="917"/>
      <c r="WZY5747" s="917"/>
      <c r="WZZ5747" s="917"/>
      <c r="XAA5747" s="917"/>
      <c r="XAB5747" s="917"/>
      <c r="XAC5747" s="917"/>
      <c r="XAD5747" s="917"/>
      <c r="XAE5747" s="917"/>
      <c r="XAF5747" s="917"/>
      <c r="XAG5747" s="917"/>
      <c r="XAH5747" s="917"/>
      <c r="XAI5747" s="917"/>
      <c r="XAJ5747" s="917"/>
      <c r="XAK5747" s="917"/>
      <c r="XAL5747" s="917"/>
      <c r="XAM5747" s="917"/>
      <c r="XAN5747" s="917"/>
      <c r="XAO5747" s="917"/>
      <c r="XAP5747" s="917"/>
      <c r="XAQ5747" s="917"/>
      <c r="XAR5747" s="917"/>
      <c r="XAS5747" s="917"/>
      <c r="XAT5747" s="917"/>
      <c r="XAU5747" s="917"/>
      <c r="XAV5747" s="917"/>
      <c r="XAW5747" s="917"/>
      <c r="XAX5747" s="917"/>
      <c r="XAY5747" s="917"/>
      <c r="XAZ5747" s="917"/>
      <c r="XBA5747" s="917" t="s">
        <v>78</v>
      </c>
      <c r="XBB5747" s="917"/>
      <c r="XBC5747" s="917"/>
      <c r="XBD5747" s="917"/>
      <c r="XBE5747" s="917"/>
      <c r="XBF5747" s="917"/>
      <c r="XBG5747" s="917"/>
      <c r="XBH5747" s="917"/>
      <c r="XBI5747" s="917"/>
      <c r="XBJ5747" s="917"/>
      <c r="XBK5747" s="917"/>
      <c r="XBL5747" s="917"/>
      <c r="XBM5747" s="917"/>
      <c r="XBN5747" s="917"/>
      <c r="XBO5747" s="917"/>
      <c r="XBP5747" s="917"/>
      <c r="XBQ5747" s="917"/>
      <c r="XBR5747" s="917"/>
      <c r="XBS5747" s="917"/>
      <c r="XBT5747" s="917"/>
      <c r="XBU5747" s="917"/>
      <c r="XBV5747" s="917"/>
      <c r="XBW5747" s="917"/>
      <c r="XBX5747" s="917"/>
      <c r="XBY5747" s="917"/>
      <c r="XBZ5747" s="917"/>
      <c r="XCA5747" s="917"/>
      <c r="XCB5747" s="917"/>
      <c r="XCC5747" s="917"/>
      <c r="XCD5747" s="917"/>
      <c r="XCE5747" s="917"/>
      <c r="XCF5747" s="917"/>
      <c r="XCG5747" s="917" t="s">
        <v>78</v>
      </c>
      <c r="XCH5747" s="917"/>
      <c r="XCI5747" s="917"/>
      <c r="XCJ5747" s="917"/>
      <c r="XCK5747" s="917"/>
      <c r="XCL5747" s="917"/>
      <c r="XCM5747" s="917"/>
      <c r="XCN5747" s="917"/>
      <c r="XCO5747" s="917"/>
      <c r="XCP5747" s="917"/>
      <c r="XCQ5747" s="917"/>
      <c r="XCR5747" s="917"/>
      <c r="XCS5747" s="917"/>
      <c r="XCT5747" s="917"/>
      <c r="XCU5747" s="917"/>
      <c r="XCV5747" s="917"/>
      <c r="XCW5747" s="917"/>
      <c r="XCX5747" s="917"/>
      <c r="XCY5747" s="917"/>
      <c r="XCZ5747" s="917"/>
      <c r="XDA5747" s="917"/>
      <c r="XDB5747" s="917"/>
      <c r="XDC5747" s="917"/>
      <c r="XDD5747" s="917"/>
      <c r="XDE5747" s="917"/>
      <c r="XDF5747" s="917"/>
      <c r="XDG5747" s="917"/>
      <c r="XDH5747" s="917"/>
      <c r="XDI5747" s="917"/>
      <c r="XDJ5747" s="917"/>
      <c r="XDK5747" s="917"/>
      <c r="XDL5747" s="917"/>
      <c r="XDM5747" s="917" t="s">
        <v>78</v>
      </c>
      <c r="XDN5747" s="917"/>
      <c r="XDO5747" s="917"/>
      <c r="XDP5747" s="917"/>
      <c r="XDQ5747" s="917"/>
      <c r="XDR5747" s="917"/>
      <c r="XDS5747" s="917"/>
      <c r="XDT5747" s="917"/>
      <c r="XDU5747" s="917"/>
      <c r="XDV5747" s="917"/>
      <c r="XDW5747" s="917"/>
      <c r="XDX5747" s="917"/>
      <c r="XDY5747" s="917"/>
      <c r="XDZ5747" s="917"/>
      <c r="XEA5747" s="917"/>
      <c r="XEB5747" s="917"/>
      <c r="XEC5747" s="917"/>
      <c r="XED5747" s="917"/>
      <c r="XEE5747" s="917"/>
      <c r="XEF5747" s="917"/>
      <c r="XEG5747" s="917"/>
      <c r="XEH5747" s="917"/>
      <c r="XEI5747" s="917"/>
      <c r="XEJ5747" s="917"/>
      <c r="XEK5747" s="917"/>
      <c r="XEL5747" s="917"/>
      <c r="XEM5747" s="917"/>
      <c r="XEN5747" s="917"/>
      <c r="XEO5747" s="917"/>
      <c r="XEP5747" s="917"/>
      <c r="XEQ5747" s="917"/>
      <c r="XER5747" s="917"/>
    </row>
    <row r="5748" spans="2:16372">
      <c r="B5748" s="19"/>
      <c r="C5748" s="19"/>
      <c r="D5748" s="19"/>
      <c r="E5748" s="19"/>
      <c r="F5748" s="19"/>
      <c r="G5748" s="19"/>
      <c r="H5748" s="19"/>
      <c r="I5748" s="19"/>
      <c r="J5748" s="19"/>
      <c r="K5748" s="421"/>
      <c r="L5748" s="23"/>
      <c r="M5748" s="19"/>
      <c r="N5748" s="19"/>
      <c r="O5748" s="19"/>
      <c r="P5748" s="19"/>
      <c r="Q5748" s="19"/>
      <c r="AC5748" s="30"/>
      <c r="BI5748" s="30"/>
      <c r="CO5748" s="30"/>
      <c r="DU5748" s="30"/>
      <c r="FA5748" s="30"/>
      <c r="GG5748" s="30"/>
      <c r="HM5748" s="30"/>
      <c r="IS5748" s="30"/>
      <c r="JY5748" s="30"/>
      <c r="LE5748" s="30"/>
      <c r="MK5748" s="30"/>
      <c r="NQ5748" s="30"/>
      <c r="OW5748" s="30"/>
      <c r="QC5748" s="30"/>
      <c r="RI5748" s="30"/>
      <c r="SO5748" s="30"/>
      <c r="TU5748" s="30"/>
      <c r="VA5748" s="30"/>
      <c r="WG5748" s="30"/>
      <c r="XM5748" s="30"/>
      <c r="YS5748" s="30"/>
      <c r="ZY5748" s="30"/>
      <c r="ABE5748" s="30"/>
      <c r="ACK5748" s="30"/>
      <c r="ADQ5748" s="30"/>
      <c r="AEW5748" s="30"/>
      <c r="AGC5748" s="30"/>
      <c r="AHI5748" s="30"/>
      <c r="AIO5748" s="30"/>
      <c r="AJU5748" s="30"/>
      <c r="ALA5748" s="30"/>
      <c r="AMG5748" s="30"/>
      <c r="ANM5748" s="30"/>
      <c r="AOS5748" s="30"/>
      <c r="APY5748" s="30"/>
      <c r="ARE5748" s="30"/>
      <c r="ASK5748" s="30"/>
      <c r="ATQ5748" s="30"/>
      <c r="AUW5748" s="30"/>
      <c r="AWC5748" s="30"/>
      <c r="AXI5748" s="30"/>
      <c r="AYO5748" s="30"/>
      <c r="AZU5748" s="30"/>
      <c r="BBA5748" s="30"/>
      <c r="BCG5748" s="30"/>
      <c r="BDM5748" s="30"/>
      <c r="BES5748" s="30"/>
      <c r="BFY5748" s="30"/>
      <c r="BHE5748" s="30"/>
      <c r="BIK5748" s="30"/>
      <c r="BJQ5748" s="30"/>
      <c r="BKW5748" s="30"/>
      <c r="BMC5748" s="30"/>
      <c r="BNI5748" s="30"/>
      <c r="BOO5748" s="30"/>
      <c r="BPU5748" s="30"/>
      <c r="BRA5748" s="30"/>
      <c r="BSG5748" s="30"/>
      <c r="BTM5748" s="30"/>
      <c r="BUS5748" s="30"/>
      <c r="BVY5748" s="30"/>
      <c r="BXE5748" s="30"/>
      <c r="BYK5748" s="30"/>
      <c r="BZQ5748" s="30"/>
      <c r="CAW5748" s="30"/>
      <c r="CCC5748" s="30"/>
      <c r="CDI5748" s="30"/>
      <c r="CEO5748" s="30"/>
      <c r="CFU5748" s="30"/>
      <c r="CHA5748" s="30"/>
      <c r="CIG5748" s="30"/>
      <c r="CJM5748" s="30"/>
      <c r="CKS5748" s="30"/>
      <c r="CLY5748" s="30"/>
      <c r="CNE5748" s="30"/>
      <c r="COK5748" s="30"/>
      <c r="CPQ5748" s="30"/>
      <c r="CQW5748" s="30"/>
      <c r="CSC5748" s="30"/>
      <c r="CTI5748" s="30"/>
      <c r="CUO5748" s="30"/>
      <c r="CVU5748" s="30"/>
      <c r="CXA5748" s="30"/>
      <c r="CYG5748" s="30"/>
      <c r="CZM5748" s="30"/>
      <c r="DAS5748" s="30"/>
      <c r="DBY5748" s="30"/>
      <c r="DDE5748" s="30"/>
      <c r="DEK5748" s="30"/>
      <c r="DFQ5748" s="30"/>
      <c r="DGW5748" s="30"/>
      <c r="DIC5748" s="30"/>
      <c r="DJI5748" s="30"/>
      <c r="DKO5748" s="30"/>
      <c r="DLU5748" s="30"/>
      <c r="DNA5748" s="30"/>
      <c r="DOG5748" s="30"/>
      <c r="DPM5748" s="30"/>
      <c r="DQS5748" s="30"/>
      <c r="DRY5748" s="30"/>
      <c r="DTE5748" s="30"/>
      <c r="DUK5748" s="30"/>
      <c r="DVQ5748" s="30"/>
      <c r="DWW5748" s="30"/>
      <c r="DYC5748" s="30"/>
      <c r="DZI5748" s="30"/>
      <c r="EAO5748" s="30"/>
      <c r="EBU5748" s="30"/>
      <c r="EDA5748" s="30"/>
      <c r="EEG5748" s="30"/>
      <c r="EFM5748" s="30"/>
      <c r="EGS5748" s="30"/>
      <c r="EHY5748" s="30"/>
      <c r="EJE5748" s="30"/>
      <c r="EKK5748" s="30"/>
      <c r="ELQ5748" s="30"/>
      <c r="EMW5748" s="30"/>
      <c r="EOC5748" s="30"/>
      <c r="EPI5748" s="30"/>
      <c r="EQO5748" s="30"/>
      <c r="ERU5748" s="30"/>
      <c r="ETA5748" s="30"/>
      <c r="EUG5748" s="30"/>
      <c r="EVM5748" s="30"/>
      <c r="EWS5748" s="30"/>
      <c r="EXY5748" s="30"/>
      <c r="EZE5748" s="30"/>
      <c r="FAK5748" s="30"/>
      <c r="FBQ5748" s="30"/>
      <c r="FCW5748" s="30"/>
      <c r="FEC5748" s="30"/>
      <c r="FFI5748" s="30"/>
      <c r="FGO5748" s="30"/>
      <c r="FHU5748" s="30"/>
      <c r="FJA5748" s="30"/>
      <c r="FKG5748" s="30"/>
      <c r="FLM5748" s="30"/>
      <c r="FMS5748" s="30"/>
      <c r="FNY5748" s="30"/>
      <c r="FPE5748" s="30"/>
      <c r="FQK5748" s="30"/>
      <c r="FRQ5748" s="30"/>
      <c r="FSW5748" s="30"/>
      <c r="FUC5748" s="30"/>
      <c r="FVI5748" s="30"/>
      <c r="FWO5748" s="30"/>
      <c r="FXU5748" s="30"/>
      <c r="FZA5748" s="30"/>
      <c r="GAG5748" s="30"/>
      <c r="GBM5748" s="30"/>
      <c r="GCS5748" s="30"/>
      <c r="GDY5748" s="30"/>
      <c r="GFE5748" s="30"/>
      <c r="GGK5748" s="30"/>
      <c r="GHQ5748" s="30"/>
      <c r="GIW5748" s="30"/>
      <c r="GKC5748" s="30"/>
      <c r="GLI5748" s="30"/>
      <c r="GMO5748" s="30"/>
      <c r="GNU5748" s="30"/>
      <c r="GPA5748" s="30"/>
      <c r="GQG5748" s="30"/>
      <c r="GRM5748" s="30"/>
      <c r="GSS5748" s="30"/>
      <c r="GTY5748" s="30"/>
      <c r="GVE5748" s="30"/>
      <c r="GWK5748" s="30"/>
      <c r="GXQ5748" s="30"/>
      <c r="GYW5748" s="30"/>
      <c r="HAC5748" s="30"/>
      <c r="HBI5748" s="30"/>
      <c r="HCO5748" s="30"/>
      <c r="HDU5748" s="30"/>
      <c r="HFA5748" s="30"/>
      <c r="HGG5748" s="30"/>
      <c r="HHM5748" s="30"/>
      <c r="HIS5748" s="30"/>
      <c r="HJY5748" s="30"/>
      <c r="HLE5748" s="30"/>
      <c r="HMK5748" s="30"/>
      <c r="HNQ5748" s="30"/>
      <c r="HOW5748" s="30"/>
      <c r="HQC5748" s="30"/>
      <c r="HRI5748" s="30"/>
      <c r="HSO5748" s="30"/>
      <c r="HTU5748" s="30"/>
      <c r="HVA5748" s="30"/>
      <c r="HWG5748" s="30"/>
      <c r="HXM5748" s="30"/>
      <c r="HYS5748" s="30"/>
      <c r="HZY5748" s="30"/>
      <c r="IBE5748" s="30"/>
      <c r="ICK5748" s="30"/>
      <c r="IDQ5748" s="30"/>
      <c r="IEW5748" s="30"/>
      <c r="IGC5748" s="30"/>
      <c r="IHI5748" s="30"/>
      <c r="IIO5748" s="30"/>
      <c r="IJU5748" s="30"/>
      <c r="ILA5748" s="30"/>
      <c r="IMG5748" s="30"/>
      <c r="INM5748" s="30"/>
      <c r="IOS5748" s="30"/>
      <c r="IPY5748" s="30"/>
      <c r="IRE5748" s="30"/>
      <c r="ISK5748" s="30"/>
      <c r="ITQ5748" s="30"/>
      <c r="IUW5748" s="30"/>
      <c r="IWC5748" s="30"/>
      <c r="IXI5748" s="30"/>
      <c r="IYO5748" s="30"/>
      <c r="IZU5748" s="30"/>
      <c r="JBA5748" s="30"/>
      <c r="JCG5748" s="30"/>
      <c r="JDM5748" s="30"/>
      <c r="JES5748" s="30"/>
      <c r="JFY5748" s="30"/>
      <c r="JHE5748" s="30"/>
      <c r="JIK5748" s="30"/>
      <c r="JJQ5748" s="30"/>
      <c r="JKW5748" s="30"/>
      <c r="JMC5748" s="30"/>
      <c r="JNI5748" s="30"/>
      <c r="JOO5748" s="30"/>
      <c r="JPU5748" s="30"/>
      <c r="JRA5748" s="30"/>
      <c r="JSG5748" s="30"/>
      <c r="JTM5748" s="30"/>
      <c r="JUS5748" s="30"/>
      <c r="JVY5748" s="30"/>
      <c r="JXE5748" s="30"/>
      <c r="JYK5748" s="30"/>
      <c r="JZQ5748" s="30"/>
      <c r="KAW5748" s="30"/>
      <c r="KCC5748" s="30"/>
      <c r="KDI5748" s="30"/>
      <c r="KEO5748" s="30"/>
      <c r="KFU5748" s="30"/>
      <c r="KHA5748" s="30"/>
      <c r="KIG5748" s="30"/>
      <c r="KJM5748" s="30"/>
      <c r="KKS5748" s="30"/>
      <c r="KLY5748" s="30"/>
      <c r="KNE5748" s="30"/>
      <c r="KOK5748" s="30"/>
      <c r="KPQ5748" s="30"/>
      <c r="KQW5748" s="30"/>
      <c r="KSC5748" s="30"/>
      <c r="KTI5748" s="30"/>
      <c r="KUO5748" s="30"/>
      <c r="KVU5748" s="30"/>
      <c r="KXA5748" s="30"/>
      <c r="KYG5748" s="30"/>
      <c r="KZM5748" s="30"/>
      <c r="LAS5748" s="30"/>
      <c r="LBY5748" s="30"/>
      <c r="LDE5748" s="30"/>
      <c r="LEK5748" s="30"/>
      <c r="LFQ5748" s="30"/>
      <c r="LGW5748" s="30"/>
      <c r="LIC5748" s="30"/>
      <c r="LJI5748" s="30"/>
      <c r="LKO5748" s="30"/>
      <c r="LLU5748" s="30"/>
      <c r="LNA5748" s="30"/>
      <c r="LOG5748" s="30"/>
      <c r="LPM5748" s="30"/>
      <c r="LQS5748" s="30"/>
      <c r="LRY5748" s="30"/>
      <c r="LTE5748" s="30"/>
      <c r="LUK5748" s="30"/>
      <c r="LVQ5748" s="30"/>
      <c r="LWW5748" s="30"/>
      <c r="LYC5748" s="30"/>
      <c r="LZI5748" s="30"/>
      <c r="MAO5748" s="30"/>
      <c r="MBU5748" s="30"/>
      <c r="MDA5748" s="30"/>
      <c r="MEG5748" s="30"/>
      <c r="MFM5748" s="30"/>
      <c r="MGS5748" s="30"/>
      <c r="MHY5748" s="30"/>
      <c r="MJE5748" s="30"/>
      <c r="MKK5748" s="30"/>
      <c r="MLQ5748" s="30"/>
      <c r="MMW5748" s="30"/>
      <c r="MOC5748" s="30"/>
      <c r="MPI5748" s="30"/>
      <c r="MQO5748" s="30"/>
      <c r="MRU5748" s="30"/>
      <c r="MTA5748" s="30"/>
      <c r="MUG5748" s="30"/>
      <c r="MVM5748" s="30"/>
      <c r="MWS5748" s="30"/>
      <c r="MXY5748" s="30"/>
      <c r="MZE5748" s="30"/>
      <c r="NAK5748" s="30"/>
      <c r="NBQ5748" s="30"/>
      <c r="NCW5748" s="30"/>
      <c r="NEC5748" s="30"/>
      <c r="NFI5748" s="30"/>
      <c r="NGO5748" s="30"/>
      <c r="NHU5748" s="30"/>
      <c r="NJA5748" s="30"/>
      <c r="NKG5748" s="30"/>
      <c r="NLM5748" s="30"/>
      <c r="NMS5748" s="30"/>
      <c r="NNY5748" s="30"/>
      <c r="NPE5748" s="30"/>
      <c r="NQK5748" s="30"/>
      <c r="NRQ5748" s="30"/>
      <c r="NSW5748" s="30"/>
      <c r="NUC5748" s="30"/>
      <c r="NVI5748" s="30"/>
      <c r="NWO5748" s="30"/>
      <c r="NXU5748" s="30"/>
      <c r="NZA5748" s="30"/>
      <c r="OAG5748" s="30"/>
      <c r="OBM5748" s="30"/>
      <c r="OCS5748" s="30"/>
      <c r="ODY5748" s="30"/>
      <c r="OFE5748" s="30"/>
      <c r="OGK5748" s="30"/>
      <c r="OHQ5748" s="30"/>
      <c r="OIW5748" s="30"/>
      <c r="OKC5748" s="30"/>
      <c r="OLI5748" s="30"/>
      <c r="OMO5748" s="30"/>
      <c r="ONU5748" s="30"/>
      <c r="OPA5748" s="30"/>
      <c r="OQG5748" s="30"/>
      <c r="ORM5748" s="30"/>
      <c r="OSS5748" s="30"/>
      <c r="OTY5748" s="30"/>
      <c r="OVE5748" s="30"/>
      <c r="OWK5748" s="30"/>
      <c r="OXQ5748" s="30"/>
      <c r="OYW5748" s="30"/>
      <c r="PAC5748" s="30"/>
      <c r="PBI5748" s="30"/>
      <c r="PCO5748" s="30"/>
      <c r="PDU5748" s="30"/>
      <c r="PFA5748" s="30"/>
      <c r="PGG5748" s="30"/>
      <c r="PHM5748" s="30"/>
      <c r="PIS5748" s="30"/>
      <c r="PJY5748" s="30"/>
      <c r="PLE5748" s="30"/>
      <c r="PMK5748" s="30"/>
      <c r="PNQ5748" s="30"/>
      <c r="POW5748" s="30"/>
      <c r="PQC5748" s="30"/>
      <c r="PRI5748" s="30"/>
      <c r="PSO5748" s="30"/>
      <c r="PTU5748" s="30"/>
      <c r="PVA5748" s="30"/>
      <c r="PWG5748" s="30"/>
      <c r="PXM5748" s="30"/>
      <c r="PYS5748" s="30"/>
      <c r="PZY5748" s="30"/>
      <c r="QBE5748" s="30"/>
      <c r="QCK5748" s="30"/>
      <c r="QDQ5748" s="30"/>
      <c r="QEW5748" s="30"/>
      <c r="QGC5748" s="30"/>
      <c r="QHI5748" s="30"/>
      <c r="QIO5748" s="30"/>
      <c r="QJU5748" s="30"/>
      <c r="QLA5748" s="30"/>
      <c r="QMG5748" s="30"/>
      <c r="QNM5748" s="30"/>
      <c r="QOS5748" s="30"/>
      <c r="QPY5748" s="30"/>
      <c r="QRE5748" s="30"/>
      <c r="QSK5748" s="30"/>
      <c r="QTQ5748" s="30"/>
      <c r="QUW5748" s="30"/>
      <c r="QWC5748" s="30"/>
      <c r="QXI5748" s="30"/>
      <c r="QYO5748" s="30"/>
      <c r="QZU5748" s="30"/>
      <c r="RBA5748" s="30"/>
      <c r="RCG5748" s="30"/>
      <c r="RDM5748" s="30"/>
      <c r="RES5748" s="30"/>
      <c r="RFY5748" s="30"/>
      <c r="RHE5748" s="30"/>
      <c r="RIK5748" s="30"/>
      <c r="RJQ5748" s="30"/>
      <c r="RKW5748" s="30"/>
      <c r="RMC5748" s="30"/>
      <c r="RNI5748" s="30"/>
      <c r="ROO5748" s="30"/>
      <c r="RPU5748" s="30"/>
      <c r="RRA5748" s="30"/>
      <c r="RSG5748" s="30"/>
      <c r="RTM5748" s="30"/>
      <c r="RUS5748" s="30"/>
      <c r="RVY5748" s="30"/>
      <c r="RXE5748" s="30"/>
      <c r="RYK5748" s="30"/>
      <c r="RZQ5748" s="30"/>
      <c r="SAW5748" s="30"/>
      <c r="SCC5748" s="30"/>
      <c r="SDI5748" s="30"/>
      <c r="SEO5748" s="30"/>
      <c r="SFU5748" s="30"/>
      <c r="SHA5748" s="30"/>
      <c r="SIG5748" s="30"/>
      <c r="SJM5748" s="30"/>
      <c r="SKS5748" s="30"/>
      <c r="SLY5748" s="30"/>
      <c r="SNE5748" s="30"/>
      <c r="SOK5748" s="30"/>
      <c r="SPQ5748" s="30"/>
      <c r="SQW5748" s="30"/>
      <c r="SSC5748" s="30"/>
      <c r="STI5748" s="30"/>
      <c r="SUO5748" s="30"/>
      <c r="SVU5748" s="30"/>
      <c r="SXA5748" s="30"/>
      <c r="SYG5748" s="30"/>
      <c r="SZM5748" s="30"/>
      <c r="TAS5748" s="30"/>
      <c r="TBY5748" s="30"/>
      <c r="TDE5748" s="30"/>
      <c r="TEK5748" s="30"/>
      <c r="TFQ5748" s="30"/>
      <c r="TGW5748" s="30"/>
      <c r="TIC5748" s="30"/>
      <c r="TJI5748" s="30"/>
      <c r="TKO5748" s="30"/>
      <c r="TLU5748" s="30"/>
      <c r="TNA5748" s="30"/>
      <c r="TOG5748" s="30"/>
      <c r="TPM5748" s="30"/>
      <c r="TQS5748" s="30"/>
      <c r="TRY5748" s="30"/>
      <c r="TTE5748" s="30"/>
      <c r="TUK5748" s="30"/>
      <c r="TVQ5748" s="30"/>
      <c r="TWW5748" s="30"/>
      <c r="TYC5748" s="30"/>
      <c r="TZI5748" s="30"/>
      <c r="UAO5748" s="30"/>
      <c r="UBU5748" s="30"/>
      <c r="UDA5748" s="30"/>
      <c r="UEG5748" s="30"/>
      <c r="UFM5748" s="30"/>
      <c r="UGS5748" s="30"/>
      <c r="UHY5748" s="30"/>
      <c r="UJE5748" s="30"/>
      <c r="UKK5748" s="30"/>
      <c r="ULQ5748" s="30"/>
      <c r="UMW5748" s="30"/>
      <c r="UOC5748" s="30"/>
      <c r="UPI5748" s="30"/>
      <c r="UQO5748" s="30"/>
      <c r="URU5748" s="30"/>
      <c r="UTA5748" s="30"/>
      <c r="UUG5748" s="30"/>
      <c r="UVM5748" s="30"/>
      <c r="UWS5748" s="30"/>
      <c r="UXY5748" s="30"/>
      <c r="UZE5748" s="30"/>
      <c r="VAK5748" s="30"/>
      <c r="VBQ5748" s="30"/>
      <c r="VCW5748" s="30"/>
      <c r="VEC5748" s="30"/>
      <c r="VFI5748" s="30"/>
      <c r="VGO5748" s="30"/>
      <c r="VHU5748" s="30"/>
      <c r="VJA5748" s="30"/>
      <c r="VKG5748" s="30"/>
      <c r="VLM5748" s="30"/>
      <c r="VMS5748" s="30"/>
      <c r="VNY5748" s="30"/>
      <c r="VPE5748" s="30"/>
      <c r="VQK5748" s="30"/>
      <c r="VRQ5748" s="30"/>
      <c r="VSW5748" s="30"/>
      <c r="VUC5748" s="30"/>
      <c r="VVI5748" s="30"/>
      <c r="VWO5748" s="30"/>
      <c r="VXU5748" s="30"/>
      <c r="VZA5748" s="30"/>
      <c r="WAG5748" s="30"/>
      <c r="WBM5748" s="30"/>
      <c r="WCS5748" s="30"/>
      <c r="WDY5748" s="30"/>
      <c r="WFE5748" s="30"/>
      <c r="WGK5748" s="30"/>
      <c r="WHQ5748" s="30"/>
      <c r="WIW5748" s="30"/>
      <c r="WKC5748" s="30"/>
      <c r="WLI5748" s="30"/>
      <c r="WMO5748" s="30"/>
      <c r="WNU5748" s="30"/>
      <c r="WPA5748" s="30"/>
      <c r="WQG5748" s="30"/>
      <c r="WRM5748" s="30"/>
      <c r="WSS5748" s="30"/>
      <c r="WTY5748" s="30"/>
      <c r="WVE5748" s="30"/>
      <c r="WWK5748" s="30"/>
      <c r="WXQ5748" s="30"/>
      <c r="WYW5748" s="30"/>
      <c r="XAC5748" s="30"/>
      <c r="XBI5748" s="30"/>
      <c r="XCO5748" s="30"/>
      <c r="XDU5748" s="30"/>
    </row>
    <row r="5749" spans="2:16372">
      <c r="B5749" s="19"/>
      <c r="C5749" s="19"/>
      <c r="D5749" s="19"/>
      <c r="E5749" s="19"/>
      <c r="F5749" s="19"/>
      <c r="G5749" s="19"/>
      <c r="H5749" s="19"/>
      <c r="I5749" s="19"/>
      <c r="J5749" s="19"/>
      <c r="K5749" s="421"/>
      <c r="L5749" s="23"/>
      <c r="M5749" s="19"/>
      <c r="N5749" s="19"/>
      <c r="O5749" s="19"/>
      <c r="P5749" s="19"/>
      <c r="Q5749" s="19"/>
      <c r="AC5749" s="919"/>
      <c r="AD5749" s="918"/>
      <c r="AE5749" s="918"/>
      <c r="AF5749" s="918"/>
      <c r="AG5749" s="918"/>
      <c r="AH5749" s="918"/>
      <c r="AI5749" s="918"/>
      <c r="AJ5749" s="918"/>
      <c r="AK5749" s="918"/>
      <c r="AL5749" s="918"/>
      <c r="AM5749" s="918"/>
      <c r="AN5749" s="918"/>
      <c r="AP5749" s="918"/>
      <c r="AQ5749" s="918"/>
      <c r="AR5749" s="918"/>
      <c r="AS5749" s="918"/>
      <c r="AT5749" s="918"/>
      <c r="AU5749" s="918"/>
      <c r="AV5749" s="918"/>
      <c r="AW5749" s="918"/>
      <c r="AX5749" s="918"/>
      <c r="AY5749" s="918"/>
      <c r="BA5749" s="913" t="s">
        <v>1</v>
      </c>
      <c r="BB5749" s="31"/>
      <c r="BC5749" s="909" t="s">
        <v>0</v>
      </c>
      <c r="BD5749" s="909"/>
      <c r="BE5749" s="909"/>
      <c r="BF5749" s="909"/>
      <c r="BG5749" s="909"/>
      <c r="BH5749" s="909"/>
      <c r="BI5749" s="907" t="s">
        <v>79</v>
      </c>
      <c r="BJ5749" s="909" t="s">
        <v>68</v>
      </c>
      <c r="BK5749" s="910" t="s">
        <v>75</v>
      </c>
      <c r="BL5749" s="911"/>
      <c r="BM5749" s="911"/>
      <c r="BN5749" s="911"/>
      <c r="BO5749" s="911"/>
      <c r="BP5749" s="911"/>
      <c r="BQ5749" s="911"/>
      <c r="BR5749" s="911"/>
      <c r="BS5749" s="911"/>
      <c r="BT5749" s="911"/>
      <c r="BU5749" s="32"/>
      <c r="BV5749" s="911" t="s">
        <v>74</v>
      </c>
      <c r="BW5749" s="911"/>
      <c r="BX5749" s="911"/>
      <c r="BY5749" s="911"/>
      <c r="BZ5749" s="911"/>
      <c r="CA5749" s="911"/>
      <c r="CB5749" s="911"/>
      <c r="CC5749" s="911"/>
      <c r="CD5749" s="911"/>
      <c r="CE5749" s="912"/>
      <c r="CG5749" s="913" t="s">
        <v>1</v>
      </c>
      <c r="CH5749" s="31"/>
      <c r="CI5749" s="909" t="s">
        <v>0</v>
      </c>
      <c r="CJ5749" s="909"/>
      <c r="CK5749" s="909"/>
      <c r="CL5749" s="909"/>
      <c r="CM5749" s="909"/>
      <c r="CN5749" s="909"/>
      <c r="CO5749" s="907" t="s">
        <v>79</v>
      </c>
      <c r="CP5749" s="909" t="s">
        <v>68</v>
      </c>
      <c r="CQ5749" s="910" t="s">
        <v>75</v>
      </c>
      <c r="CR5749" s="911"/>
      <c r="CS5749" s="911"/>
      <c r="CT5749" s="911"/>
      <c r="CU5749" s="911"/>
      <c r="CV5749" s="911"/>
      <c r="CW5749" s="911"/>
      <c r="CX5749" s="911"/>
      <c r="CY5749" s="911"/>
      <c r="CZ5749" s="911"/>
      <c r="DA5749" s="32"/>
      <c r="DB5749" s="911" t="s">
        <v>74</v>
      </c>
      <c r="DC5749" s="911"/>
      <c r="DD5749" s="911"/>
      <c r="DE5749" s="911"/>
      <c r="DF5749" s="911"/>
      <c r="DG5749" s="911"/>
      <c r="DH5749" s="911"/>
      <c r="DI5749" s="911"/>
      <c r="DJ5749" s="911"/>
      <c r="DK5749" s="912"/>
      <c r="DM5749" s="913" t="s">
        <v>1</v>
      </c>
      <c r="DN5749" s="31"/>
      <c r="DO5749" s="909" t="s">
        <v>0</v>
      </c>
      <c r="DP5749" s="909"/>
      <c r="DQ5749" s="909"/>
      <c r="DR5749" s="909"/>
      <c r="DS5749" s="909"/>
      <c r="DT5749" s="909"/>
      <c r="DU5749" s="907" t="s">
        <v>79</v>
      </c>
      <c r="DV5749" s="909" t="s">
        <v>68</v>
      </c>
      <c r="DW5749" s="910" t="s">
        <v>75</v>
      </c>
      <c r="DX5749" s="911"/>
      <c r="DY5749" s="911"/>
      <c r="DZ5749" s="911"/>
      <c r="EA5749" s="911"/>
      <c r="EB5749" s="911"/>
      <c r="EC5749" s="911"/>
      <c r="ED5749" s="911"/>
      <c r="EE5749" s="911"/>
      <c r="EF5749" s="911"/>
      <c r="EG5749" s="32"/>
      <c r="EH5749" s="911" t="s">
        <v>74</v>
      </c>
      <c r="EI5749" s="911"/>
      <c r="EJ5749" s="911"/>
      <c r="EK5749" s="911"/>
      <c r="EL5749" s="911"/>
      <c r="EM5749" s="911"/>
      <c r="EN5749" s="911"/>
      <c r="EO5749" s="911"/>
      <c r="EP5749" s="911"/>
      <c r="EQ5749" s="912"/>
      <c r="ES5749" s="913" t="s">
        <v>1</v>
      </c>
      <c r="ET5749" s="31"/>
      <c r="EU5749" s="909" t="s">
        <v>0</v>
      </c>
      <c r="EV5749" s="909"/>
      <c r="EW5749" s="909"/>
      <c r="EX5749" s="909"/>
      <c r="EY5749" s="909"/>
      <c r="EZ5749" s="909"/>
      <c r="FA5749" s="907" t="s">
        <v>79</v>
      </c>
      <c r="FB5749" s="909" t="s">
        <v>68</v>
      </c>
      <c r="FC5749" s="910" t="s">
        <v>75</v>
      </c>
      <c r="FD5749" s="911"/>
      <c r="FE5749" s="911"/>
      <c r="FF5749" s="911"/>
      <c r="FG5749" s="911"/>
      <c r="FH5749" s="911"/>
      <c r="FI5749" s="911"/>
      <c r="FJ5749" s="911"/>
      <c r="FK5749" s="911"/>
      <c r="FL5749" s="911"/>
      <c r="FM5749" s="32"/>
      <c r="FN5749" s="911" t="s">
        <v>74</v>
      </c>
      <c r="FO5749" s="911"/>
      <c r="FP5749" s="911"/>
      <c r="FQ5749" s="911"/>
      <c r="FR5749" s="911"/>
      <c r="FS5749" s="911"/>
      <c r="FT5749" s="911"/>
      <c r="FU5749" s="911"/>
      <c r="FV5749" s="911"/>
      <c r="FW5749" s="912"/>
      <c r="FY5749" s="913" t="s">
        <v>1</v>
      </c>
      <c r="FZ5749" s="31"/>
      <c r="GA5749" s="909" t="s">
        <v>0</v>
      </c>
      <c r="GB5749" s="909"/>
      <c r="GC5749" s="909"/>
      <c r="GD5749" s="909"/>
      <c r="GE5749" s="909"/>
      <c r="GF5749" s="909"/>
      <c r="GG5749" s="907" t="s">
        <v>79</v>
      </c>
      <c r="GH5749" s="909" t="s">
        <v>68</v>
      </c>
      <c r="GI5749" s="910" t="s">
        <v>75</v>
      </c>
      <c r="GJ5749" s="911"/>
      <c r="GK5749" s="911"/>
      <c r="GL5749" s="911"/>
      <c r="GM5749" s="911"/>
      <c r="GN5749" s="911"/>
      <c r="GO5749" s="911"/>
      <c r="GP5749" s="911"/>
      <c r="GQ5749" s="911"/>
      <c r="GR5749" s="911"/>
      <c r="GS5749" s="32"/>
      <c r="GT5749" s="911" t="s">
        <v>74</v>
      </c>
      <c r="GU5749" s="911"/>
      <c r="GV5749" s="911"/>
      <c r="GW5749" s="911"/>
      <c r="GX5749" s="911"/>
      <c r="GY5749" s="911"/>
      <c r="GZ5749" s="911"/>
      <c r="HA5749" s="911"/>
      <c r="HB5749" s="911"/>
      <c r="HC5749" s="912"/>
      <c r="HE5749" s="913" t="s">
        <v>1</v>
      </c>
      <c r="HF5749" s="31"/>
      <c r="HG5749" s="909" t="s">
        <v>0</v>
      </c>
      <c r="HH5749" s="909"/>
      <c r="HI5749" s="909"/>
      <c r="HJ5749" s="909"/>
      <c r="HK5749" s="909"/>
      <c r="HL5749" s="909"/>
      <c r="HM5749" s="907" t="s">
        <v>79</v>
      </c>
      <c r="HN5749" s="909" t="s">
        <v>68</v>
      </c>
      <c r="HO5749" s="910" t="s">
        <v>75</v>
      </c>
      <c r="HP5749" s="911"/>
      <c r="HQ5749" s="911"/>
      <c r="HR5749" s="911"/>
      <c r="HS5749" s="911"/>
      <c r="HT5749" s="911"/>
      <c r="HU5749" s="911"/>
      <c r="HV5749" s="911"/>
      <c r="HW5749" s="911"/>
      <c r="HX5749" s="911"/>
      <c r="HY5749" s="32"/>
      <c r="HZ5749" s="911" t="s">
        <v>74</v>
      </c>
      <c r="IA5749" s="911"/>
      <c r="IB5749" s="911"/>
      <c r="IC5749" s="911"/>
      <c r="ID5749" s="911"/>
      <c r="IE5749" s="911"/>
      <c r="IF5749" s="911"/>
      <c r="IG5749" s="911"/>
      <c r="IH5749" s="911"/>
      <c r="II5749" s="912"/>
      <c r="IK5749" s="913" t="s">
        <v>1</v>
      </c>
      <c r="IL5749" s="31"/>
      <c r="IM5749" s="909" t="s">
        <v>0</v>
      </c>
      <c r="IN5749" s="909"/>
      <c r="IO5749" s="909"/>
      <c r="IP5749" s="909"/>
      <c r="IQ5749" s="909"/>
      <c r="IR5749" s="909"/>
      <c r="IS5749" s="907" t="s">
        <v>79</v>
      </c>
      <c r="IT5749" s="909" t="s">
        <v>68</v>
      </c>
      <c r="IU5749" s="910" t="s">
        <v>75</v>
      </c>
      <c r="IV5749" s="911"/>
      <c r="IW5749" s="911"/>
      <c r="IX5749" s="911"/>
      <c r="IY5749" s="911"/>
      <c r="IZ5749" s="911"/>
      <c r="JA5749" s="911"/>
      <c r="JB5749" s="911"/>
      <c r="JC5749" s="911"/>
      <c r="JD5749" s="911"/>
      <c r="JE5749" s="32"/>
      <c r="JF5749" s="911" t="s">
        <v>74</v>
      </c>
      <c r="JG5749" s="911"/>
      <c r="JH5749" s="911"/>
      <c r="JI5749" s="911"/>
      <c r="JJ5749" s="911"/>
      <c r="JK5749" s="911"/>
      <c r="JL5749" s="911"/>
      <c r="JM5749" s="911"/>
      <c r="JN5749" s="911"/>
      <c r="JO5749" s="912"/>
      <c r="JQ5749" s="913" t="s">
        <v>1</v>
      </c>
      <c r="JR5749" s="31"/>
      <c r="JS5749" s="909" t="s">
        <v>0</v>
      </c>
      <c r="JT5749" s="909"/>
      <c r="JU5749" s="909"/>
      <c r="JV5749" s="909"/>
      <c r="JW5749" s="909"/>
      <c r="JX5749" s="909"/>
      <c r="JY5749" s="907" t="s">
        <v>79</v>
      </c>
      <c r="JZ5749" s="909" t="s">
        <v>68</v>
      </c>
      <c r="KA5749" s="910" t="s">
        <v>75</v>
      </c>
      <c r="KB5749" s="911"/>
      <c r="KC5749" s="911"/>
      <c r="KD5749" s="911"/>
      <c r="KE5749" s="911"/>
      <c r="KF5749" s="911"/>
      <c r="KG5749" s="911"/>
      <c r="KH5749" s="911"/>
      <c r="KI5749" s="911"/>
      <c r="KJ5749" s="911"/>
      <c r="KK5749" s="32"/>
      <c r="KL5749" s="911" t="s">
        <v>74</v>
      </c>
      <c r="KM5749" s="911"/>
      <c r="KN5749" s="911"/>
      <c r="KO5749" s="911"/>
      <c r="KP5749" s="911"/>
      <c r="KQ5749" s="911"/>
      <c r="KR5749" s="911"/>
      <c r="KS5749" s="911"/>
      <c r="KT5749" s="911"/>
      <c r="KU5749" s="912"/>
      <c r="KW5749" s="913" t="s">
        <v>1</v>
      </c>
      <c r="KX5749" s="31"/>
      <c r="KY5749" s="909" t="s">
        <v>0</v>
      </c>
      <c r="KZ5749" s="909"/>
      <c r="LA5749" s="909"/>
      <c r="LB5749" s="909"/>
      <c r="LC5749" s="909"/>
      <c r="LD5749" s="909"/>
      <c r="LE5749" s="907" t="s">
        <v>79</v>
      </c>
      <c r="LF5749" s="909" t="s">
        <v>68</v>
      </c>
      <c r="LG5749" s="910" t="s">
        <v>75</v>
      </c>
      <c r="LH5749" s="911"/>
      <c r="LI5749" s="911"/>
      <c r="LJ5749" s="911"/>
      <c r="LK5749" s="911"/>
      <c r="LL5749" s="911"/>
      <c r="LM5749" s="911"/>
      <c r="LN5749" s="911"/>
      <c r="LO5749" s="911"/>
      <c r="LP5749" s="911"/>
      <c r="LQ5749" s="32"/>
      <c r="LR5749" s="911" t="s">
        <v>74</v>
      </c>
      <c r="LS5749" s="911"/>
      <c r="LT5749" s="911"/>
      <c r="LU5749" s="911"/>
      <c r="LV5749" s="911"/>
      <c r="LW5749" s="911"/>
      <c r="LX5749" s="911"/>
      <c r="LY5749" s="911"/>
      <c r="LZ5749" s="911"/>
      <c r="MA5749" s="912"/>
      <c r="MC5749" s="913" t="s">
        <v>1</v>
      </c>
      <c r="MD5749" s="31"/>
      <c r="ME5749" s="909" t="s">
        <v>0</v>
      </c>
      <c r="MF5749" s="909"/>
      <c r="MG5749" s="909"/>
      <c r="MH5749" s="909"/>
      <c r="MI5749" s="909"/>
      <c r="MJ5749" s="909"/>
      <c r="MK5749" s="907" t="s">
        <v>79</v>
      </c>
      <c r="ML5749" s="909" t="s">
        <v>68</v>
      </c>
      <c r="MM5749" s="910" t="s">
        <v>75</v>
      </c>
      <c r="MN5749" s="911"/>
      <c r="MO5749" s="911"/>
      <c r="MP5749" s="911"/>
      <c r="MQ5749" s="911"/>
      <c r="MR5749" s="911"/>
      <c r="MS5749" s="911"/>
      <c r="MT5749" s="911"/>
      <c r="MU5749" s="911"/>
      <c r="MV5749" s="911"/>
      <c r="MW5749" s="32"/>
      <c r="MX5749" s="911" t="s">
        <v>74</v>
      </c>
      <c r="MY5749" s="911"/>
      <c r="MZ5749" s="911"/>
      <c r="NA5749" s="911"/>
      <c r="NB5749" s="911"/>
      <c r="NC5749" s="911"/>
      <c r="ND5749" s="911"/>
      <c r="NE5749" s="911"/>
      <c r="NF5749" s="911"/>
      <c r="NG5749" s="912"/>
      <c r="NI5749" s="913" t="s">
        <v>1</v>
      </c>
      <c r="NJ5749" s="31"/>
      <c r="NK5749" s="909" t="s">
        <v>0</v>
      </c>
      <c r="NL5749" s="909"/>
      <c r="NM5749" s="909"/>
      <c r="NN5749" s="909"/>
      <c r="NO5749" s="909"/>
      <c r="NP5749" s="909"/>
      <c r="NQ5749" s="907" t="s">
        <v>79</v>
      </c>
      <c r="NR5749" s="909" t="s">
        <v>68</v>
      </c>
      <c r="NS5749" s="910" t="s">
        <v>75</v>
      </c>
      <c r="NT5749" s="911"/>
      <c r="NU5749" s="911"/>
      <c r="NV5749" s="911"/>
      <c r="NW5749" s="911"/>
      <c r="NX5749" s="911"/>
      <c r="NY5749" s="911"/>
      <c r="NZ5749" s="911"/>
      <c r="OA5749" s="911"/>
      <c r="OB5749" s="911"/>
      <c r="OC5749" s="32"/>
      <c r="OD5749" s="911" t="s">
        <v>74</v>
      </c>
      <c r="OE5749" s="911"/>
      <c r="OF5749" s="911"/>
      <c r="OG5749" s="911"/>
      <c r="OH5749" s="911"/>
      <c r="OI5749" s="911"/>
      <c r="OJ5749" s="911"/>
      <c r="OK5749" s="911"/>
      <c r="OL5749" s="911"/>
      <c r="OM5749" s="912"/>
      <c r="OO5749" s="913" t="s">
        <v>1</v>
      </c>
      <c r="OP5749" s="31"/>
      <c r="OQ5749" s="909" t="s">
        <v>0</v>
      </c>
      <c r="OR5749" s="909"/>
      <c r="OS5749" s="909"/>
      <c r="OT5749" s="909"/>
      <c r="OU5749" s="909"/>
      <c r="OV5749" s="909"/>
      <c r="OW5749" s="907" t="s">
        <v>79</v>
      </c>
      <c r="OX5749" s="909" t="s">
        <v>68</v>
      </c>
      <c r="OY5749" s="910" t="s">
        <v>75</v>
      </c>
      <c r="OZ5749" s="911"/>
      <c r="PA5749" s="911"/>
      <c r="PB5749" s="911"/>
      <c r="PC5749" s="911"/>
      <c r="PD5749" s="911"/>
      <c r="PE5749" s="911"/>
      <c r="PF5749" s="911"/>
      <c r="PG5749" s="911"/>
      <c r="PH5749" s="911"/>
      <c r="PI5749" s="32"/>
      <c r="PJ5749" s="911" t="s">
        <v>74</v>
      </c>
      <c r="PK5749" s="911"/>
      <c r="PL5749" s="911"/>
      <c r="PM5749" s="911"/>
      <c r="PN5749" s="911"/>
      <c r="PO5749" s="911"/>
      <c r="PP5749" s="911"/>
      <c r="PQ5749" s="911"/>
      <c r="PR5749" s="911"/>
      <c r="PS5749" s="912"/>
      <c r="PU5749" s="913" t="s">
        <v>1</v>
      </c>
      <c r="PV5749" s="31"/>
      <c r="PW5749" s="909" t="s">
        <v>0</v>
      </c>
      <c r="PX5749" s="909"/>
      <c r="PY5749" s="909"/>
      <c r="PZ5749" s="909"/>
      <c r="QA5749" s="909"/>
      <c r="QB5749" s="909"/>
      <c r="QC5749" s="907" t="s">
        <v>79</v>
      </c>
      <c r="QD5749" s="909" t="s">
        <v>68</v>
      </c>
      <c r="QE5749" s="910" t="s">
        <v>75</v>
      </c>
      <c r="QF5749" s="911"/>
      <c r="QG5749" s="911"/>
      <c r="QH5749" s="911"/>
      <c r="QI5749" s="911"/>
      <c r="QJ5749" s="911"/>
      <c r="QK5749" s="911"/>
      <c r="QL5749" s="911"/>
      <c r="QM5749" s="911"/>
      <c r="QN5749" s="911"/>
      <c r="QO5749" s="32"/>
      <c r="QP5749" s="911" t="s">
        <v>74</v>
      </c>
      <c r="QQ5749" s="911"/>
      <c r="QR5749" s="911"/>
      <c r="QS5749" s="911"/>
      <c r="QT5749" s="911"/>
      <c r="QU5749" s="911"/>
      <c r="QV5749" s="911"/>
      <c r="QW5749" s="911"/>
      <c r="QX5749" s="911"/>
      <c r="QY5749" s="912"/>
      <c r="RA5749" s="913" t="s">
        <v>1</v>
      </c>
      <c r="RB5749" s="31"/>
      <c r="RC5749" s="909" t="s">
        <v>0</v>
      </c>
      <c r="RD5749" s="909"/>
      <c r="RE5749" s="909"/>
      <c r="RF5749" s="909"/>
      <c r="RG5749" s="909"/>
      <c r="RH5749" s="909"/>
      <c r="RI5749" s="907" t="s">
        <v>79</v>
      </c>
      <c r="RJ5749" s="909" t="s">
        <v>68</v>
      </c>
      <c r="RK5749" s="910" t="s">
        <v>75</v>
      </c>
      <c r="RL5749" s="911"/>
      <c r="RM5749" s="911"/>
      <c r="RN5749" s="911"/>
      <c r="RO5749" s="911"/>
      <c r="RP5749" s="911"/>
      <c r="RQ5749" s="911"/>
      <c r="RR5749" s="911"/>
      <c r="RS5749" s="911"/>
      <c r="RT5749" s="911"/>
      <c r="RU5749" s="32"/>
      <c r="RV5749" s="911" t="s">
        <v>74</v>
      </c>
      <c r="RW5749" s="911"/>
      <c r="RX5749" s="911"/>
      <c r="RY5749" s="911"/>
      <c r="RZ5749" s="911"/>
      <c r="SA5749" s="911"/>
      <c r="SB5749" s="911"/>
      <c r="SC5749" s="911"/>
      <c r="SD5749" s="911"/>
      <c r="SE5749" s="912"/>
      <c r="SG5749" s="913" t="s">
        <v>1</v>
      </c>
      <c r="SH5749" s="31"/>
      <c r="SI5749" s="909" t="s">
        <v>0</v>
      </c>
      <c r="SJ5749" s="909"/>
      <c r="SK5749" s="909"/>
      <c r="SL5749" s="909"/>
      <c r="SM5749" s="909"/>
      <c r="SN5749" s="909"/>
      <c r="SO5749" s="907" t="s">
        <v>79</v>
      </c>
      <c r="SP5749" s="909" t="s">
        <v>68</v>
      </c>
      <c r="SQ5749" s="910" t="s">
        <v>75</v>
      </c>
      <c r="SR5749" s="911"/>
      <c r="SS5749" s="911"/>
      <c r="ST5749" s="911"/>
      <c r="SU5749" s="911"/>
      <c r="SV5749" s="911"/>
      <c r="SW5749" s="911"/>
      <c r="SX5749" s="911"/>
      <c r="SY5749" s="911"/>
      <c r="SZ5749" s="911"/>
      <c r="TA5749" s="32"/>
      <c r="TB5749" s="911" t="s">
        <v>74</v>
      </c>
      <c r="TC5749" s="911"/>
      <c r="TD5749" s="911"/>
      <c r="TE5749" s="911"/>
      <c r="TF5749" s="911"/>
      <c r="TG5749" s="911"/>
      <c r="TH5749" s="911"/>
      <c r="TI5749" s="911"/>
      <c r="TJ5749" s="911"/>
      <c r="TK5749" s="912"/>
      <c r="TM5749" s="913" t="s">
        <v>1</v>
      </c>
      <c r="TN5749" s="31"/>
      <c r="TO5749" s="909" t="s">
        <v>0</v>
      </c>
      <c r="TP5749" s="909"/>
      <c r="TQ5749" s="909"/>
      <c r="TR5749" s="909"/>
      <c r="TS5749" s="909"/>
      <c r="TT5749" s="909"/>
      <c r="TU5749" s="907" t="s">
        <v>79</v>
      </c>
      <c r="TV5749" s="909" t="s">
        <v>68</v>
      </c>
      <c r="TW5749" s="910" t="s">
        <v>75</v>
      </c>
      <c r="TX5749" s="911"/>
      <c r="TY5749" s="911"/>
      <c r="TZ5749" s="911"/>
      <c r="UA5749" s="911"/>
      <c r="UB5749" s="911"/>
      <c r="UC5749" s="911"/>
      <c r="UD5749" s="911"/>
      <c r="UE5749" s="911"/>
      <c r="UF5749" s="911"/>
      <c r="UG5749" s="32"/>
      <c r="UH5749" s="911" t="s">
        <v>74</v>
      </c>
      <c r="UI5749" s="911"/>
      <c r="UJ5749" s="911"/>
      <c r="UK5749" s="911"/>
      <c r="UL5749" s="911"/>
      <c r="UM5749" s="911"/>
      <c r="UN5749" s="911"/>
      <c r="UO5749" s="911"/>
      <c r="UP5749" s="911"/>
      <c r="UQ5749" s="912"/>
      <c r="US5749" s="913" t="s">
        <v>1</v>
      </c>
      <c r="UT5749" s="31"/>
      <c r="UU5749" s="909" t="s">
        <v>0</v>
      </c>
      <c r="UV5749" s="909"/>
      <c r="UW5749" s="909"/>
      <c r="UX5749" s="909"/>
      <c r="UY5749" s="909"/>
      <c r="UZ5749" s="909"/>
      <c r="VA5749" s="907" t="s">
        <v>79</v>
      </c>
      <c r="VB5749" s="909" t="s">
        <v>68</v>
      </c>
      <c r="VC5749" s="910" t="s">
        <v>75</v>
      </c>
      <c r="VD5749" s="911"/>
      <c r="VE5749" s="911"/>
      <c r="VF5749" s="911"/>
      <c r="VG5749" s="911"/>
      <c r="VH5749" s="911"/>
      <c r="VI5749" s="911"/>
      <c r="VJ5749" s="911"/>
      <c r="VK5749" s="911"/>
      <c r="VL5749" s="911"/>
      <c r="VM5749" s="32"/>
      <c r="VN5749" s="911" t="s">
        <v>74</v>
      </c>
      <c r="VO5749" s="911"/>
      <c r="VP5749" s="911"/>
      <c r="VQ5749" s="911"/>
      <c r="VR5749" s="911"/>
      <c r="VS5749" s="911"/>
      <c r="VT5749" s="911"/>
      <c r="VU5749" s="911"/>
      <c r="VV5749" s="911"/>
      <c r="VW5749" s="912"/>
      <c r="VY5749" s="913" t="s">
        <v>1</v>
      </c>
      <c r="VZ5749" s="31"/>
      <c r="WA5749" s="909" t="s">
        <v>0</v>
      </c>
      <c r="WB5749" s="909"/>
      <c r="WC5749" s="909"/>
      <c r="WD5749" s="909"/>
      <c r="WE5749" s="909"/>
      <c r="WF5749" s="909"/>
      <c r="WG5749" s="907" t="s">
        <v>79</v>
      </c>
      <c r="WH5749" s="909" t="s">
        <v>68</v>
      </c>
      <c r="WI5749" s="910" t="s">
        <v>75</v>
      </c>
      <c r="WJ5749" s="911"/>
      <c r="WK5749" s="911"/>
      <c r="WL5749" s="911"/>
      <c r="WM5749" s="911"/>
      <c r="WN5749" s="911"/>
      <c r="WO5749" s="911"/>
      <c r="WP5749" s="911"/>
      <c r="WQ5749" s="911"/>
      <c r="WR5749" s="911"/>
      <c r="WS5749" s="32"/>
      <c r="WT5749" s="911" t="s">
        <v>74</v>
      </c>
      <c r="WU5749" s="911"/>
      <c r="WV5749" s="911"/>
      <c r="WW5749" s="911"/>
      <c r="WX5749" s="911"/>
      <c r="WY5749" s="911"/>
      <c r="WZ5749" s="911"/>
      <c r="XA5749" s="911"/>
      <c r="XB5749" s="911"/>
      <c r="XC5749" s="912"/>
      <c r="XE5749" s="913" t="s">
        <v>1</v>
      </c>
      <c r="XF5749" s="31"/>
      <c r="XG5749" s="909" t="s">
        <v>0</v>
      </c>
      <c r="XH5749" s="909"/>
      <c r="XI5749" s="909"/>
      <c r="XJ5749" s="909"/>
      <c r="XK5749" s="909"/>
      <c r="XL5749" s="909"/>
      <c r="XM5749" s="907" t="s">
        <v>79</v>
      </c>
      <c r="XN5749" s="909" t="s">
        <v>68</v>
      </c>
      <c r="XO5749" s="910" t="s">
        <v>75</v>
      </c>
      <c r="XP5749" s="911"/>
      <c r="XQ5749" s="911"/>
      <c r="XR5749" s="911"/>
      <c r="XS5749" s="911"/>
      <c r="XT5749" s="911"/>
      <c r="XU5749" s="911"/>
      <c r="XV5749" s="911"/>
      <c r="XW5749" s="911"/>
      <c r="XX5749" s="911"/>
      <c r="XY5749" s="32"/>
      <c r="XZ5749" s="911" t="s">
        <v>74</v>
      </c>
      <c r="YA5749" s="911"/>
      <c r="YB5749" s="911"/>
      <c r="YC5749" s="911"/>
      <c r="YD5749" s="911"/>
      <c r="YE5749" s="911"/>
      <c r="YF5749" s="911"/>
      <c r="YG5749" s="911"/>
      <c r="YH5749" s="911"/>
      <c r="YI5749" s="912"/>
      <c r="YK5749" s="913" t="s">
        <v>1</v>
      </c>
      <c r="YL5749" s="31"/>
      <c r="YM5749" s="909" t="s">
        <v>0</v>
      </c>
      <c r="YN5749" s="909"/>
      <c r="YO5749" s="909"/>
      <c r="YP5749" s="909"/>
      <c r="YQ5749" s="909"/>
      <c r="YR5749" s="909"/>
      <c r="YS5749" s="907" t="s">
        <v>79</v>
      </c>
      <c r="YT5749" s="909" t="s">
        <v>68</v>
      </c>
      <c r="YU5749" s="910" t="s">
        <v>75</v>
      </c>
      <c r="YV5749" s="911"/>
      <c r="YW5749" s="911"/>
      <c r="YX5749" s="911"/>
      <c r="YY5749" s="911"/>
      <c r="YZ5749" s="911"/>
      <c r="ZA5749" s="911"/>
      <c r="ZB5749" s="911"/>
      <c r="ZC5749" s="911"/>
      <c r="ZD5749" s="911"/>
      <c r="ZE5749" s="32"/>
      <c r="ZF5749" s="911" t="s">
        <v>74</v>
      </c>
      <c r="ZG5749" s="911"/>
      <c r="ZH5749" s="911"/>
      <c r="ZI5749" s="911"/>
      <c r="ZJ5749" s="911"/>
      <c r="ZK5749" s="911"/>
      <c r="ZL5749" s="911"/>
      <c r="ZM5749" s="911"/>
      <c r="ZN5749" s="911"/>
      <c r="ZO5749" s="912"/>
      <c r="ZQ5749" s="913" t="s">
        <v>1</v>
      </c>
      <c r="ZR5749" s="31"/>
      <c r="ZS5749" s="909" t="s">
        <v>0</v>
      </c>
      <c r="ZT5749" s="909"/>
      <c r="ZU5749" s="909"/>
      <c r="ZV5749" s="909"/>
      <c r="ZW5749" s="909"/>
      <c r="ZX5749" s="909"/>
      <c r="ZY5749" s="907" t="s">
        <v>79</v>
      </c>
      <c r="ZZ5749" s="909" t="s">
        <v>68</v>
      </c>
      <c r="AAA5749" s="910" t="s">
        <v>75</v>
      </c>
      <c r="AAB5749" s="911"/>
      <c r="AAC5749" s="911"/>
      <c r="AAD5749" s="911"/>
      <c r="AAE5749" s="911"/>
      <c r="AAF5749" s="911"/>
      <c r="AAG5749" s="911"/>
      <c r="AAH5749" s="911"/>
      <c r="AAI5749" s="911"/>
      <c r="AAJ5749" s="911"/>
      <c r="AAK5749" s="32"/>
      <c r="AAL5749" s="911" t="s">
        <v>74</v>
      </c>
      <c r="AAM5749" s="911"/>
      <c r="AAN5749" s="911"/>
      <c r="AAO5749" s="911"/>
      <c r="AAP5749" s="911"/>
      <c r="AAQ5749" s="911"/>
      <c r="AAR5749" s="911"/>
      <c r="AAS5749" s="911"/>
      <c r="AAT5749" s="911"/>
      <c r="AAU5749" s="912"/>
      <c r="AAW5749" s="913" t="s">
        <v>1</v>
      </c>
      <c r="AAX5749" s="31"/>
      <c r="AAY5749" s="909" t="s">
        <v>0</v>
      </c>
      <c r="AAZ5749" s="909"/>
      <c r="ABA5749" s="909"/>
      <c r="ABB5749" s="909"/>
      <c r="ABC5749" s="909"/>
      <c r="ABD5749" s="909"/>
      <c r="ABE5749" s="907" t="s">
        <v>79</v>
      </c>
      <c r="ABF5749" s="909" t="s">
        <v>68</v>
      </c>
      <c r="ABG5749" s="910" t="s">
        <v>75</v>
      </c>
      <c r="ABH5749" s="911"/>
      <c r="ABI5749" s="911"/>
      <c r="ABJ5749" s="911"/>
      <c r="ABK5749" s="911"/>
      <c r="ABL5749" s="911"/>
      <c r="ABM5749" s="911"/>
      <c r="ABN5749" s="911"/>
      <c r="ABO5749" s="911"/>
      <c r="ABP5749" s="911"/>
      <c r="ABQ5749" s="32"/>
      <c r="ABR5749" s="911" t="s">
        <v>74</v>
      </c>
      <c r="ABS5749" s="911"/>
      <c r="ABT5749" s="911"/>
      <c r="ABU5749" s="911"/>
      <c r="ABV5749" s="911"/>
      <c r="ABW5749" s="911"/>
      <c r="ABX5749" s="911"/>
      <c r="ABY5749" s="911"/>
      <c r="ABZ5749" s="911"/>
      <c r="ACA5749" s="912"/>
      <c r="ACC5749" s="913" t="s">
        <v>1</v>
      </c>
      <c r="ACD5749" s="31"/>
      <c r="ACE5749" s="909" t="s">
        <v>0</v>
      </c>
      <c r="ACF5749" s="909"/>
      <c r="ACG5749" s="909"/>
      <c r="ACH5749" s="909"/>
      <c r="ACI5749" s="909"/>
      <c r="ACJ5749" s="909"/>
      <c r="ACK5749" s="907" t="s">
        <v>79</v>
      </c>
      <c r="ACL5749" s="909" t="s">
        <v>68</v>
      </c>
      <c r="ACM5749" s="910" t="s">
        <v>75</v>
      </c>
      <c r="ACN5749" s="911"/>
      <c r="ACO5749" s="911"/>
      <c r="ACP5749" s="911"/>
      <c r="ACQ5749" s="911"/>
      <c r="ACR5749" s="911"/>
      <c r="ACS5749" s="911"/>
      <c r="ACT5749" s="911"/>
      <c r="ACU5749" s="911"/>
      <c r="ACV5749" s="911"/>
      <c r="ACW5749" s="32"/>
      <c r="ACX5749" s="911" t="s">
        <v>74</v>
      </c>
      <c r="ACY5749" s="911"/>
      <c r="ACZ5749" s="911"/>
      <c r="ADA5749" s="911"/>
      <c r="ADB5749" s="911"/>
      <c r="ADC5749" s="911"/>
      <c r="ADD5749" s="911"/>
      <c r="ADE5749" s="911"/>
      <c r="ADF5749" s="911"/>
      <c r="ADG5749" s="912"/>
      <c r="ADI5749" s="913" t="s">
        <v>1</v>
      </c>
      <c r="ADJ5749" s="31"/>
      <c r="ADK5749" s="909" t="s">
        <v>0</v>
      </c>
      <c r="ADL5749" s="909"/>
      <c r="ADM5749" s="909"/>
      <c r="ADN5749" s="909"/>
      <c r="ADO5749" s="909"/>
      <c r="ADP5749" s="909"/>
      <c r="ADQ5749" s="907" t="s">
        <v>79</v>
      </c>
      <c r="ADR5749" s="909" t="s">
        <v>68</v>
      </c>
      <c r="ADS5749" s="910" t="s">
        <v>75</v>
      </c>
      <c r="ADT5749" s="911"/>
      <c r="ADU5749" s="911"/>
      <c r="ADV5749" s="911"/>
      <c r="ADW5749" s="911"/>
      <c r="ADX5749" s="911"/>
      <c r="ADY5749" s="911"/>
      <c r="ADZ5749" s="911"/>
      <c r="AEA5749" s="911"/>
      <c r="AEB5749" s="911"/>
      <c r="AEC5749" s="32"/>
      <c r="AED5749" s="911" t="s">
        <v>74</v>
      </c>
      <c r="AEE5749" s="911"/>
      <c r="AEF5749" s="911"/>
      <c r="AEG5749" s="911"/>
      <c r="AEH5749" s="911"/>
      <c r="AEI5749" s="911"/>
      <c r="AEJ5749" s="911"/>
      <c r="AEK5749" s="911"/>
      <c r="AEL5749" s="911"/>
      <c r="AEM5749" s="912"/>
      <c r="AEO5749" s="913" t="s">
        <v>1</v>
      </c>
      <c r="AEP5749" s="31"/>
      <c r="AEQ5749" s="909" t="s">
        <v>0</v>
      </c>
      <c r="AER5749" s="909"/>
      <c r="AES5749" s="909"/>
      <c r="AET5749" s="909"/>
      <c r="AEU5749" s="909"/>
      <c r="AEV5749" s="909"/>
      <c r="AEW5749" s="907" t="s">
        <v>79</v>
      </c>
      <c r="AEX5749" s="909" t="s">
        <v>68</v>
      </c>
      <c r="AEY5749" s="910" t="s">
        <v>75</v>
      </c>
      <c r="AEZ5749" s="911"/>
      <c r="AFA5749" s="911"/>
      <c r="AFB5749" s="911"/>
      <c r="AFC5749" s="911"/>
      <c r="AFD5749" s="911"/>
      <c r="AFE5749" s="911"/>
      <c r="AFF5749" s="911"/>
      <c r="AFG5749" s="911"/>
      <c r="AFH5749" s="911"/>
      <c r="AFI5749" s="32"/>
      <c r="AFJ5749" s="911" t="s">
        <v>74</v>
      </c>
      <c r="AFK5749" s="911"/>
      <c r="AFL5749" s="911"/>
      <c r="AFM5749" s="911"/>
      <c r="AFN5749" s="911"/>
      <c r="AFO5749" s="911"/>
      <c r="AFP5749" s="911"/>
      <c r="AFQ5749" s="911"/>
      <c r="AFR5749" s="911"/>
      <c r="AFS5749" s="912"/>
      <c r="AFU5749" s="913" t="s">
        <v>1</v>
      </c>
      <c r="AFV5749" s="31"/>
      <c r="AFW5749" s="909" t="s">
        <v>0</v>
      </c>
      <c r="AFX5749" s="909"/>
      <c r="AFY5749" s="909"/>
      <c r="AFZ5749" s="909"/>
      <c r="AGA5749" s="909"/>
      <c r="AGB5749" s="909"/>
      <c r="AGC5749" s="907" t="s">
        <v>79</v>
      </c>
      <c r="AGD5749" s="909" t="s">
        <v>68</v>
      </c>
      <c r="AGE5749" s="910" t="s">
        <v>75</v>
      </c>
      <c r="AGF5749" s="911"/>
      <c r="AGG5749" s="911"/>
      <c r="AGH5749" s="911"/>
      <c r="AGI5749" s="911"/>
      <c r="AGJ5749" s="911"/>
      <c r="AGK5749" s="911"/>
      <c r="AGL5749" s="911"/>
      <c r="AGM5749" s="911"/>
      <c r="AGN5749" s="911"/>
      <c r="AGO5749" s="32"/>
      <c r="AGP5749" s="911" t="s">
        <v>74</v>
      </c>
      <c r="AGQ5749" s="911"/>
      <c r="AGR5749" s="911"/>
      <c r="AGS5749" s="911"/>
      <c r="AGT5749" s="911"/>
      <c r="AGU5749" s="911"/>
      <c r="AGV5749" s="911"/>
      <c r="AGW5749" s="911"/>
      <c r="AGX5749" s="911"/>
      <c r="AGY5749" s="912"/>
      <c r="AHA5749" s="913" t="s">
        <v>1</v>
      </c>
      <c r="AHB5749" s="31"/>
      <c r="AHC5749" s="909" t="s">
        <v>0</v>
      </c>
      <c r="AHD5749" s="909"/>
      <c r="AHE5749" s="909"/>
      <c r="AHF5749" s="909"/>
      <c r="AHG5749" s="909"/>
      <c r="AHH5749" s="909"/>
      <c r="AHI5749" s="907" t="s">
        <v>79</v>
      </c>
      <c r="AHJ5749" s="909" t="s">
        <v>68</v>
      </c>
      <c r="AHK5749" s="910" t="s">
        <v>75</v>
      </c>
      <c r="AHL5749" s="911"/>
      <c r="AHM5749" s="911"/>
      <c r="AHN5749" s="911"/>
      <c r="AHO5749" s="911"/>
      <c r="AHP5749" s="911"/>
      <c r="AHQ5749" s="911"/>
      <c r="AHR5749" s="911"/>
      <c r="AHS5749" s="911"/>
      <c r="AHT5749" s="911"/>
      <c r="AHU5749" s="32"/>
      <c r="AHV5749" s="911" t="s">
        <v>74</v>
      </c>
      <c r="AHW5749" s="911"/>
      <c r="AHX5749" s="911"/>
      <c r="AHY5749" s="911"/>
      <c r="AHZ5749" s="911"/>
      <c r="AIA5749" s="911"/>
      <c r="AIB5749" s="911"/>
      <c r="AIC5749" s="911"/>
      <c r="AID5749" s="911"/>
      <c r="AIE5749" s="912"/>
      <c r="AIG5749" s="913" t="s">
        <v>1</v>
      </c>
      <c r="AIH5749" s="31"/>
      <c r="AII5749" s="909" t="s">
        <v>0</v>
      </c>
      <c r="AIJ5749" s="909"/>
      <c r="AIK5749" s="909"/>
      <c r="AIL5749" s="909"/>
      <c r="AIM5749" s="909"/>
      <c r="AIN5749" s="909"/>
      <c r="AIO5749" s="907" t="s">
        <v>79</v>
      </c>
      <c r="AIP5749" s="909" t="s">
        <v>68</v>
      </c>
      <c r="AIQ5749" s="910" t="s">
        <v>75</v>
      </c>
      <c r="AIR5749" s="911"/>
      <c r="AIS5749" s="911"/>
      <c r="AIT5749" s="911"/>
      <c r="AIU5749" s="911"/>
      <c r="AIV5749" s="911"/>
      <c r="AIW5749" s="911"/>
      <c r="AIX5749" s="911"/>
      <c r="AIY5749" s="911"/>
      <c r="AIZ5749" s="911"/>
      <c r="AJA5749" s="32"/>
      <c r="AJB5749" s="911" t="s">
        <v>74</v>
      </c>
      <c r="AJC5749" s="911"/>
      <c r="AJD5749" s="911"/>
      <c r="AJE5749" s="911"/>
      <c r="AJF5749" s="911"/>
      <c r="AJG5749" s="911"/>
      <c r="AJH5749" s="911"/>
      <c r="AJI5749" s="911"/>
      <c r="AJJ5749" s="911"/>
      <c r="AJK5749" s="912"/>
      <c r="AJM5749" s="913" t="s">
        <v>1</v>
      </c>
      <c r="AJN5749" s="31"/>
      <c r="AJO5749" s="909" t="s">
        <v>0</v>
      </c>
      <c r="AJP5749" s="909"/>
      <c r="AJQ5749" s="909"/>
      <c r="AJR5749" s="909"/>
      <c r="AJS5749" s="909"/>
      <c r="AJT5749" s="909"/>
      <c r="AJU5749" s="907" t="s">
        <v>79</v>
      </c>
      <c r="AJV5749" s="909" t="s">
        <v>68</v>
      </c>
      <c r="AJW5749" s="910" t="s">
        <v>75</v>
      </c>
      <c r="AJX5749" s="911"/>
      <c r="AJY5749" s="911"/>
      <c r="AJZ5749" s="911"/>
      <c r="AKA5749" s="911"/>
      <c r="AKB5749" s="911"/>
      <c r="AKC5749" s="911"/>
      <c r="AKD5749" s="911"/>
      <c r="AKE5749" s="911"/>
      <c r="AKF5749" s="911"/>
      <c r="AKG5749" s="32"/>
      <c r="AKH5749" s="911" t="s">
        <v>74</v>
      </c>
      <c r="AKI5749" s="911"/>
      <c r="AKJ5749" s="911"/>
      <c r="AKK5749" s="911"/>
      <c r="AKL5749" s="911"/>
      <c r="AKM5749" s="911"/>
      <c r="AKN5749" s="911"/>
      <c r="AKO5749" s="911"/>
      <c r="AKP5749" s="911"/>
      <c r="AKQ5749" s="912"/>
      <c r="AKS5749" s="913" t="s">
        <v>1</v>
      </c>
      <c r="AKT5749" s="31"/>
      <c r="AKU5749" s="909" t="s">
        <v>0</v>
      </c>
      <c r="AKV5749" s="909"/>
      <c r="AKW5749" s="909"/>
      <c r="AKX5749" s="909"/>
      <c r="AKY5749" s="909"/>
      <c r="AKZ5749" s="909"/>
      <c r="ALA5749" s="907" t="s">
        <v>79</v>
      </c>
      <c r="ALB5749" s="909" t="s">
        <v>68</v>
      </c>
      <c r="ALC5749" s="910" t="s">
        <v>75</v>
      </c>
      <c r="ALD5749" s="911"/>
      <c r="ALE5749" s="911"/>
      <c r="ALF5749" s="911"/>
      <c r="ALG5749" s="911"/>
      <c r="ALH5749" s="911"/>
      <c r="ALI5749" s="911"/>
      <c r="ALJ5749" s="911"/>
      <c r="ALK5749" s="911"/>
      <c r="ALL5749" s="911"/>
      <c r="ALM5749" s="32"/>
      <c r="ALN5749" s="911" t="s">
        <v>74</v>
      </c>
      <c r="ALO5749" s="911"/>
      <c r="ALP5749" s="911"/>
      <c r="ALQ5749" s="911"/>
      <c r="ALR5749" s="911"/>
      <c r="ALS5749" s="911"/>
      <c r="ALT5749" s="911"/>
      <c r="ALU5749" s="911"/>
      <c r="ALV5749" s="911"/>
      <c r="ALW5749" s="912"/>
      <c r="ALY5749" s="913" t="s">
        <v>1</v>
      </c>
      <c r="ALZ5749" s="31"/>
      <c r="AMA5749" s="909" t="s">
        <v>0</v>
      </c>
      <c r="AMB5749" s="909"/>
      <c r="AMC5749" s="909"/>
      <c r="AMD5749" s="909"/>
      <c r="AME5749" s="909"/>
      <c r="AMF5749" s="909"/>
      <c r="AMG5749" s="907" t="s">
        <v>79</v>
      </c>
      <c r="AMH5749" s="909" t="s">
        <v>68</v>
      </c>
      <c r="AMI5749" s="910" t="s">
        <v>75</v>
      </c>
      <c r="AMJ5749" s="911"/>
      <c r="AMK5749" s="911"/>
      <c r="AML5749" s="911"/>
      <c r="AMM5749" s="911"/>
      <c r="AMN5749" s="911"/>
      <c r="AMO5749" s="911"/>
      <c r="AMP5749" s="911"/>
      <c r="AMQ5749" s="911"/>
      <c r="AMR5749" s="911"/>
      <c r="AMS5749" s="32"/>
      <c r="AMT5749" s="911" t="s">
        <v>74</v>
      </c>
      <c r="AMU5749" s="911"/>
      <c r="AMV5749" s="911"/>
      <c r="AMW5749" s="911"/>
      <c r="AMX5749" s="911"/>
      <c r="AMY5749" s="911"/>
      <c r="AMZ5749" s="911"/>
      <c r="ANA5749" s="911"/>
      <c r="ANB5749" s="911"/>
      <c r="ANC5749" s="912"/>
      <c r="ANE5749" s="913" t="s">
        <v>1</v>
      </c>
      <c r="ANF5749" s="31"/>
      <c r="ANG5749" s="909" t="s">
        <v>0</v>
      </c>
      <c r="ANH5749" s="909"/>
      <c r="ANI5749" s="909"/>
      <c r="ANJ5749" s="909"/>
      <c r="ANK5749" s="909"/>
      <c r="ANL5749" s="909"/>
      <c r="ANM5749" s="907" t="s">
        <v>79</v>
      </c>
      <c r="ANN5749" s="909" t="s">
        <v>68</v>
      </c>
      <c r="ANO5749" s="910" t="s">
        <v>75</v>
      </c>
      <c r="ANP5749" s="911"/>
      <c r="ANQ5749" s="911"/>
      <c r="ANR5749" s="911"/>
      <c r="ANS5749" s="911"/>
      <c r="ANT5749" s="911"/>
      <c r="ANU5749" s="911"/>
      <c r="ANV5749" s="911"/>
      <c r="ANW5749" s="911"/>
      <c r="ANX5749" s="911"/>
      <c r="ANY5749" s="32"/>
      <c r="ANZ5749" s="911" t="s">
        <v>74</v>
      </c>
      <c r="AOA5749" s="911"/>
      <c r="AOB5749" s="911"/>
      <c r="AOC5749" s="911"/>
      <c r="AOD5749" s="911"/>
      <c r="AOE5749" s="911"/>
      <c r="AOF5749" s="911"/>
      <c r="AOG5749" s="911"/>
      <c r="AOH5749" s="911"/>
      <c r="AOI5749" s="912"/>
      <c r="AOK5749" s="913" t="s">
        <v>1</v>
      </c>
      <c r="AOL5749" s="31"/>
      <c r="AOM5749" s="909" t="s">
        <v>0</v>
      </c>
      <c r="AON5749" s="909"/>
      <c r="AOO5749" s="909"/>
      <c r="AOP5749" s="909"/>
      <c r="AOQ5749" s="909"/>
      <c r="AOR5749" s="909"/>
      <c r="AOS5749" s="907" t="s">
        <v>79</v>
      </c>
      <c r="AOT5749" s="909" t="s">
        <v>68</v>
      </c>
      <c r="AOU5749" s="910" t="s">
        <v>75</v>
      </c>
      <c r="AOV5749" s="911"/>
      <c r="AOW5749" s="911"/>
      <c r="AOX5749" s="911"/>
      <c r="AOY5749" s="911"/>
      <c r="AOZ5749" s="911"/>
      <c r="APA5749" s="911"/>
      <c r="APB5749" s="911"/>
      <c r="APC5749" s="911"/>
      <c r="APD5749" s="911"/>
      <c r="APE5749" s="32"/>
      <c r="APF5749" s="911" t="s">
        <v>74</v>
      </c>
      <c r="APG5749" s="911"/>
      <c r="APH5749" s="911"/>
      <c r="API5749" s="911"/>
      <c r="APJ5749" s="911"/>
      <c r="APK5749" s="911"/>
      <c r="APL5749" s="911"/>
      <c r="APM5749" s="911"/>
      <c r="APN5749" s="911"/>
      <c r="APO5749" s="912"/>
      <c r="APQ5749" s="913" t="s">
        <v>1</v>
      </c>
      <c r="APR5749" s="31"/>
      <c r="APS5749" s="909" t="s">
        <v>0</v>
      </c>
      <c r="APT5749" s="909"/>
      <c r="APU5749" s="909"/>
      <c r="APV5749" s="909"/>
      <c r="APW5749" s="909"/>
      <c r="APX5749" s="909"/>
      <c r="APY5749" s="907" t="s">
        <v>79</v>
      </c>
      <c r="APZ5749" s="909" t="s">
        <v>68</v>
      </c>
      <c r="AQA5749" s="910" t="s">
        <v>75</v>
      </c>
      <c r="AQB5749" s="911"/>
      <c r="AQC5749" s="911"/>
      <c r="AQD5749" s="911"/>
      <c r="AQE5749" s="911"/>
      <c r="AQF5749" s="911"/>
      <c r="AQG5749" s="911"/>
      <c r="AQH5749" s="911"/>
      <c r="AQI5749" s="911"/>
      <c r="AQJ5749" s="911"/>
      <c r="AQK5749" s="32"/>
      <c r="AQL5749" s="911" t="s">
        <v>74</v>
      </c>
      <c r="AQM5749" s="911"/>
      <c r="AQN5749" s="911"/>
      <c r="AQO5749" s="911"/>
      <c r="AQP5749" s="911"/>
      <c r="AQQ5749" s="911"/>
      <c r="AQR5749" s="911"/>
      <c r="AQS5749" s="911"/>
      <c r="AQT5749" s="911"/>
      <c r="AQU5749" s="912"/>
      <c r="AQW5749" s="913" t="s">
        <v>1</v>
      </c>
      <c r="AQX5749" s="31"/>
      <c r="AQY5749" s="909" t="s">
        <v>0</v>
      </c>
      <c r="AQZ5749" s="909"/>
      <c r="ARA5749" s="909"/>
      <c r="ARB5749" s="909"/>
      <c r="ARC5749" s="909"/>
      <c r="ARD5749" s="909"/>
      <c r="ARE5749" s="907" t="s">
        <v>79</v>
      </c>
      <c r="ARF5749" s="909" t="s">
        <v>68</v>
      </c>
      <c r="ARG5749" s="910" t="s">
        <v>75</v>
      </c>
      <c r="ARH5749" s="911"/>
      <c r="ARI5749" s="911"/>
      <c r="ARJ5749" s="911"/>
      <c r="ARK5749" s="911"/>
      <c r="ARL5749" s="911"/>
      <c r="ARM5749" s="911"/>
      <c r="ARN5749" s="911"/>
      <c r="ARO5749" s="911"/>
      <c r="ARP5749" s="911"/>
      <c r="ARQ5749" s="32"/>
      <c r="ARR5749" s="911" t="s">
        <v>74</v>
      </c>
      <c r="ARS5749" s="911"/>
      <c r="ART5749" s="911"/>
      <c r="ARU5749" s="911"/>
      <c r="ARV5749" s="911"/>
      <c r="ARW5749" s="911"/>
      <c r="ARX5749" s="911"/>
      <c r="ARY5749" s="911"/>
      <c r="ARZ5749" s="911"/>
      <c r="ASA5749" s="912"/>
      <c r="ASC5749" s="913" t="s">
        <v>1</v>
      </c>
      <c r="ASD5749" s="31"/>
      <c r="ASE5749" s="909" t="s">
        <v>0</v>
      </c>
      <c r="ASF5749" s="909"/>
      <c r="ASG5749" s="909"/>
      <c r="ASH5749" s="909"/>
      <c r="ASI5749" s="909"/>
      <c r="ASJ5749" s="909"/>
      <c r="ASK5749" s="907" t="s">
        <v>79</v>
      </c>
      <c r="ASL5749" s="909" t="s">
        <v>68</v>
      </c>
      <c r="ASM5749" s="910" t="s">
        <v>75</v>
      </c>
      <c r="ASN5749" s="911"/>
      <c r="ASO5749" s="911"/>
      <c r="ASP5749" s="911"/>
      <c r="ASQ5749" s="911"/>
      <c r="ASR5749" s="911"/>
      <c r="ASS5749" s="911"/>
      <c r="AST5749" s="911"/>
      <c r="ASU5749" s="911"/>
      <c r="ASV5749" s="911"/>
      <c r="ASW5749" s="32"/>
      <c r="ASX5749" s="911" t="s">
        <v>74</v>
      </c>
      <c r="ASY5749" s="911"/>
      <c r="ASZ5749" s="911"/>
      <c r="ATA5749" s="911"/>
      <c r="ATB5749" s="911"/>
      <c r="ATC5749" s="911"/>
      <c r="ATD5749" s="911"/>
      <c r="ATE5749" s="911"/>
      <c r="ATF5749" s="911"/>
      <c r="ATG5749" s="912"/>
      <c r="ATI5749" s="913" t="s">
        <v>1</v>
      </c>
      <c r="ATJ5749" s="31"/>
      <c r="ATK5749" s="909" t="s">
        <v>0</v>
      </c>
      <c r="ATL5749" s="909"/>
      <c r="ATM5749" s="909"/>
      <c r="ATN5749" s="909"/>
      <c r="ATO5749" s="909"/>
      <c r="ATP5749" s="909"/>
      <c r="ATQ5749" s="907" t="s">
        <v>79</v>
      </c>
      <c r="ATR5749" s="909" t="s">
        <v>68</v>
      </c>
      <c r="ATS5749" s="910" t="s">
        <v>75</v>
      </c>
      <c r="ATT5749" s="911"/>
      <c r="ATU5749" s="911"/>
      <c r="ATV5749" s="911"/>
      <c r="ATW5749" s="911"/>
      <c r="ATX5749" s="911"/>
      <c r="ATY5749" s="911"/>
      <c r="ATZ5749" s="911"/>
      <c r="AUA5749" s="911"/>
      <c r="AUB5749" s="911"/>
      <c r="AUC5749" s="32"/>
      <c r="AUD5749" s="911" t="s">
        <v>74</v>
      </c>
      <c r="AUE5749" s="911"/>
      <c r="AUF5749" s="911"/>
      <c r="AUG5749" s="911"/>
      <c r="AUH5749" s="911"/>
      <c r="AUI5749" s="911"/>
      <c r="AUJ5749" s="911"/>
      <c r="AUK5749" s="911"/>
      <c r="AUL5749" s="911"/>
      <c r="AUM5749" s="912"/>
      <c r="AUO5749" s="913" t="s">
        <v>1</v>
      </c>
      <c r="AUP5749" s="31"/>
      <c r="AUQ5749" s="909" t="s">
        <v>0</v>
      </c>
      <c r="AUR5749" s="909"/>
      <c r="AUS5749" s="909"/>
      <c r="AUT5749" s="909"/>
      <c r="AUU5749" s="909"/>
      <c r="AUV5749" s="909"/>
      <c r="AUW5749" s="907" t="s">
        <v>79</v>
      </c>
      <c r="AUX5749" s="909" t="s">
        <v>68</v>
      </c>
      <c r="AUY5749" s="910" t="s">
        <v>75</v>
      </c>
      <c r="AUZ5749" s="911"/>
      <c r="AVA5749" s="911"/>
      <c r="AVB5749" s="911"/>
      <c r="AVC5749" s="911"/>
      <c r="AVD5749" s="911"/>
      <c r="AVE5749" s="911"/>
      <c r="AVF5749" s="911"/>
      <c r="AVG5749" s="911"/>
      <c r="AVH5749" s="911"/>
      <c r="AVI5749" s="32"/>
      <c r="AVJ5749" s="911" t="s">
        <v>74</v>
      </c>
      <c r="AVK5749" s="911"/>
      <c r="AVL5749" s="911"/>
      <c r="AVM5749" s="911"/>
      <c r="AVN5749" s="911"/>
      <c r="AVO5749" s="911"/>
      <c r="AVP5749" s="911"/>
      <c r="AVQ5749" s="911"/>
      <c r="AVR5749" s="911"/>
      <c r="AVS5749" s="912"/>
      <c r="AVU5749" s="913" t="s">
        <v>1</v>
      </c>
      <c r="AVV5749" s="31"/>
      <c r="AVW5749" s="909" t="s">
        <v>0</v>
      </c>
      <c r="AVX5749" s="909"/>
      <c r="AVY5749" s="909"/>
      <c r="AVZ5749" s="909"/>
      <c r="AWA5749" s="909"/>
      <c r="AWB5749" s="909"/>
      <c r="AWC5749" s="907" t="s">
        <v>79</v>
      </c>
      <c r="AWD5749" s="909" t="s">
        <v>68</v>
      </c>
      <c r="AWE5749" s="910" t="s">
        <v>75</v>
      </c>
      <c r="AWF5749" s="911"/>
      <c r="AWG5749" s="911"/>
      <c r="AWH5749" s="911"/>
      <c r="AWI5749" s="911"/>
      <c r="AWJ5749" s="911"/>
      <c r="AWK5749" s="911"/>
      <c r="AWL5749" s="911"/>
      <c r="AWM5749" s="911"/>
      <c r="AWN5749" s="911"/>
      <c r="AWO5749" s="32"/>
      <c r="AWP5749" s="911" t="s">
        <v>74</v>
      </c>
      <c r="AWQ5749" s="911"/>
      <c r="AWR5749" s="911"/>
      <c r="AWS5749" s="911"/>
      <c r="AWT5749" s="911"/>
      <c r="AWU5749" s="911"/>
      <c r="AWV5749" s="911"/>
      <c r="AWW5749" s="911"/>
      <c r="AWX5749" s="911"/>
      <c r="AWY5749" s="912"/>
      <c r="AXA5749" s="913" t="s">
        <v>1</v>
      </c>
      <c r="AXB5749" s="31"/>
      <c r="AXC5749" s="909" t="s">
        <v>0</v>
      </c>
      <c r="AXD5749" s="909"/>
      <c r="AXE5749" s="909"/>
      <c r="AXF5749" s="909"/>
      <c r="AXG5749" s="909"/>
      <c r="AXH5749" s="909"/>
      <c r="AXI5749" s="907" t="s">
        <v>79</v>
      </c>
      <c r="AXJ5749" s="909" t="s">
        <v>68</v>
      </c>
      <c r="AXK5749" s="910" t="s">
        <v>75</v>
      </c>
      <c r="AXL5749" s="911"/>
      <c r="AXM5749" s="911"/>
      <c r="AXN5749" s="911"/>
      <c r="AXO5749" s="911"/>
      <c r="AXP5749" s="911"/>
      <c r="AXQ5749" s="911"/>
      <c r="AXR5749" s="911"/>
      <c r="AXS5749" s="911"/>
      <c r="AXT5749" s="911"/>
      <c r="AXU5749" s="32"/>
      <c r="AXV5749" s="911" t="s">
        <v>74</v>
      </c>
      <c r="AXW5749" s="911"/>
      <c r="AXX5749" s="911"/>
      <c r="AXY5749" s="911"/>
      <c r="AXZ5749" s="911"/>
      <c r="AYA5749" s="911"/>
      <c r="AYB5749" s="911"/>
      <c r="AYC5749" s="911"/>
      <c r="AYD5749" s="911"/>
      <c r="AYE5749" s="912"/>
      <c r="AYG5749" s="913" t="s">
        <v>1</v>
      </c>
      <c r="AYH5749" s="31"/>
      <c r="AYI5749" s="909" t="s">
        <v>0</v>
      </c>
      <c r="AYJ5749" s="909"/>
      <c r="AYK5749" s="909"/>
      <c r="AYL5749" s="909"/>
      <c r="AYM5749" s="909"/>
      <c r="AYN5749" s="909"/>
      <c r="AYO5749" s="907" t="s">
        <v>79</v>
      </c>
      <c r="AYP5749" s="909" t="s">
        <v>68</v>
      </c>
      <c r="AYQ5749" s="910" t="s">
        <v>75</v>
      </c>
      <c r="AYR5749" s="911"/>
      <c r="AYS5749" s="911"/>
      <c r="AYT5749" s="911"/>
      <c r="AYU5749" s="911"/>
      <c r="AYV5749" s="911"/>
      <c r="AYW5749" s="911"/>
      <c r="AYX5749" s="911"/>
      <c r="AYY5749" s="911"/>
      <c r="AYZ5749" s="911"/>
      <c r="AZA5749" s="32"/>
      <c r="AZB5749" s="911" t="s">
        <v>74</v>
      </c>
      <c r="AZC5749" s="911"/>
      <c r="AZD5749" s="911"/>
      <c r="AZE5749" s="911"/>
      <c r="AZF5749" s="911"/>
      <c r="AZG5749" s="911"/>
      <c r="AZH5749" s="911"/>
      <c r="AZI5749" s="911"/>
      <c r="AZJ5749" s="911"/>
      <c r="AZK5749" s="912"/>
      <c r="AZM5749" s="913" t="s">
        <v>1</v>
      </c>
      <c r="AZN5749" s="31"/>
      <c r="AZO5749" s="909" t="s">
        <v>0</v>
      </c>
      <c r="AZP5749" s="909"/>
      <c r="AZQ5749" s="909"/>
      <c r="AZR5749" s="909"/>
      <c r="AZS5749" s="909"/>
      <c r="AZT5749" s="909"/>
      <c r="AZU5749" s="907" t="s">
        <v>79</v>
      </c>
      <c r="AZV5749" s="909" t="s">
        <v>68</v>
      </c>
      <c r="AZW5749" s="910" t="s">
        <v>75</v>
      </c>
      <c r="AZX5749" s="911"/>
      <c r="AZY5749" s="911"/>
      <c r="AZZ5749" s="911"/>
      <c r="BAA5749" s="911"/>
      <c r="BAB5749" s="911"/>
      <c r="BAC5749" s="911"/>
      <c r="BAD5749" s="911"/>
      <c r="BAE5749" s="911"/>
      <c r="BAF5749" s="911"/>
      <c r="BAG5749" s="32"/>
      <c r="BAH5749" s="911" t="s">
        <v>74</v>
      </c>
      <c r="BAI5749" s="911"/>
      <c r="BAJ5749" s="911"/>
      <c r="BAK5749" s="911"/>
      <c r="BAL5749" s="911"/>
      <c r="BAM5749" s="911"/>
      <c r="BAN5749" s="911"/>
      <c r="BAO5749" s="911"/>
      <c r="BAP5749" s="911"/>
      <c r="BAQ5749" s="912"/>
      <c r="BAS5749" s="913" t="s">
        <v>1</v>
      </c>
      <c r="BAT5749" s="31"/>
      <c r="BAU5749" s="909" t="s">
        <v>0</v>
      </c>
      <c r="BAV5749" s="909"/>
      <c r="BAW5749" s="909"/>
      <c r="BAX5749" s="909"/>
      <c r="BAY5749" s="909"/>
      <c r="BAZ5749" s="909"/>
      <c r="BBA5749" s="907" t="s">
        <v>79</v>
      </c>
      <c r="BBB5749" s="909" t="s">
        <v>68</v>
      </c>
      <c r="BBC5749" s="910" t="s">
        <v>75</v>
      </c>
      <c r="BBD5749" s="911"/>
      <c r="BBE5749" s="911"/>
      <c r="BBF5749" s="911"/>
      <c r="BBG5749" s="911"/>
      <c r="BBH5749" s="911"/>
      <c r="BBI5749" s="911"/>
      <c r="BBJ5749" s="911"/>
      <c r="BBK5749" s="911"/>
      <c r="BBL5749" s="911"/>
      <c r="BBM5749" s="32"/>
      <c r="BBN5749" s="911" t="s">
        <v>74</v>
      </c>
      <c r="BBO5749" s="911"/>
      <c r="BBP5749" s="911"/>
      <c r="BBQ5749" s="911"/>
      <c r="BBR5749" s="911"/>
      <c r="BBS5749" s="911"/>
      <c r="BBT5749" s="911"/>
      <c r="BBU5749" s="911"/>
      <c r="BBV5749" s="911"/>
      <c r="BBW5749" s="912"/>
      <c r="BBY5749" s="913" t="s">
        <v>1</v>
      </c>
      <c r="BBZ5749" s="31"/>
      <c r="BCA5749" s="909" t="s">
        <v>0</v>
      </c>
      <c r="BCB5749" s="909"/>
      <c r="BCC5749" s="909"/>
      <c r="BCD5749" s="909"/>
      <c r="BCE5749" s="909"/>
      <c r="BCF5749" s="909"/>
      <c r="BCG5749" s="907" t="s">
        <v>79</v>
      </c>
      <c r="BCH5749" s="909" t="s">
        <v>68</v>
      </c>
      <c r="BCI5749" s="910" t="s">
        <v>75</v>
      </c>
      <c r="BCJ5749" s="911"/>
      <c r="BCK5749" s="911"/>
      <c r="BCL5749" s="911"/>
      <c r="BCM5749" s="911"/>
      <c r="BCN5749" s="911"/>
      <c r="BCO5749" s="911"/>
      <c r="BCP5749" s="911"/>
      <c r="BCQ5749" s="911"/>
      <c r="BCR5749" s="911"/>
      <c r="BCS5749" s="32"/>
      <c r="BCT5749" s="911" t="s">
        <v>74</v>
      </c>
      <c r="BCU5749" s="911"/>
      <c r="BCV5749" s="911"/>
      <c r="BCW5749" s="911"/>
      <c r="BCX5749" s="911"/>
      <c r="BCY5749" s="911"/>
      <c r="BCZ5749" s="911"/>
      <c r="BDA5749" s="911"/>
      <c r="BDB5749" s="911"/>
      <c r="BDC5749" s="912"/>
      <c r="BDE5749" s="913" t="s">
        <v>1</v>
      </c>
      <c r="BDF5749" s="31"/>
      <c r="BDG5749" s="909" t="s">
        <v>0</v>
      </c>
      <c r="BDH5749" s="909"/>
      <c r="BDI5749" s="909"/>
      <c r="BDJ5749" s="909"/>
      <c r="BDK5749" s="909"/>
      <c r="BDL5749" s="909"/>
      <c r="BDM5749" s="907" t="s">
        <v>79</v>
      </c>
      <c r="BDN5749" s="909" t="s">
        <v>68</v>
      </c>
      <c r="BDO5749" s="910" t="s">
        <v>75</v>
      </c>
      <c r="BDP5749" s="911"/>
      <c r="BDQ5749" s="911"/>
      <c r="BDR5749" s="911"/>
      <c r="BDS5749" s="911"/>
      <c r="BDT5749" s="911"/>
      <c r="BDU5749" s="911"/>
      <c r="BDV5749" s="911"/>
      <c r="BDW5749" s="911"/>
      <c r="BDX5749" s="911"/>
      <c r="BDY5749" s="32"/>
      <c r="BDZ5749" s="911" t="s">
        <v>74</v>
      </c>
      <c r="BEA5749" s="911"/>
      <c r="BEB5749" s="911"/>
      <c r="BEC5749" s="911"/>
      <c r="BED5749" s="911"/>
      <c r="BEE5749" s="911"/>
      <c r="BEF5749" s="911"/>
      <c r="BEG5749" s="911"/>
      <c r="BEH5749" s="911"/>
      <c r="BEI5749" s="912"/>
      <c r="BEK5749" s="913" t="s">
        <v>1</v>
      </c>
      <c r="BEL5749" s="31"/>
      <c r="BEM5749" s="909" t="s">
        <v>0</v>
      </c>
      <c r="BEN5749" s="909"/>
      <c r="BEO5749" s="909"/>
      <c r="BEP5749" s="909"/>
      <c r="BEQ5749" s="909"/>
      <c r="BER5749" s="909"/>
      <c r="BES5749" s="907" t="s">
        <v>79</v>
      </c>
      <c r="BET5749" s="909" t="s">
        <v>68</v>
      </c>
      <c r="BEU5749" s="910" t="s">
        <v>75</v>
      </c>
      <c r="BEV5749" s="911"/>
      <c r="BEW5749" s="911"/>
      <c r="BEX5749" s="911"/>
      <c r="BEY5749" s="911"/>
      <c r="BEZ5749" s="911"/>
      <c r="BFA5749" s="911"/>
      <c r="BFB5749" s="911"/>
      <c r="BFC5749" s="911"/>
      <c r="BFD5749" s="911"/>
      <c r="BFE5749" s="32"/>
      <c r="BFF5749" s="911" t="s">
        <v>74</v>
      </c>
      <c r="BFG5749" s="911"/>
      <c r="BFH5749" s="911"/>
      <c r="BFI5749" s="911"/>
      <c r="BFJ5749" s="911"/>
      <c r="BFK5749" s="911"/>
      <c r="BFL5749" s="911"/>
      <c r="BFM5749" s="911"/>
      <c r="BFN5749" s="911"/>
      <c r="BFO5749" s="912"/>
      <c r="BFQ5749" s="913" t="s">
        <v>1</v>
      </c>
      <c r="BFR5749" s="31"/>
      <c r="BFS5749" s="909" t="s">
        <v>0</v>
      </c>
      <c r="BFT5749" s="909"/>
      <c r="BFU5749" s="909"/>
      <c r="BFV5749" s="909"/>
      <c r="BFW5749" s="909"/>
      <c r="BFX5749" s="909"/>
      <c r="BFY5749" s="907" t="s">
        <v>79</v>
      </c>
      <c r="BFZ5749" s="909" t="s">
        <v>68</v>
      </c>
      <c r="BGA5749" s="910" t="s">
        <v>75</v>
      </c>
      <c r="BGB5749" s="911"/>
      <c r="BGC5749" s="911"/>
      <c r="BGD5749" s="911"/>
      <c r="BGE5749" s="911"/>
      <c r="BGF5749" s="911"/>
      <c r="BGG5749" s="911"/>
      <c r="BGH5749" s="911"/>
      <c r="BGI5749" s="911"/>
      <c r="BGJ5749" s="911"/>
      <c r="BGK5749" s="32"/>
      <c r="BGL5749" s="911" t="s">
        <v>74</v>
      </c>
      <c r="BGM5749" s="911"/>
      <c r="BGN5749" s="911"/>
      <c r="BGO5749" s="911"/>
      <c r="BGP5749" s="911"/>
      <c r="BGQ5749" s="911"/>
      <c r="BGR5749" s="911"/>
      <c r="BGS5749" s="911"/>
      <c r="BGT5749" s="911"/>
      <c r="BGU5749" s="912"/>
      <c r="BGW5749" s="913" t="s">
        <v>1</v>
      </c>
      <c r="BGX5749" s="31"/>
      <c r="BGY5749" s="909" t="s">
        <v>0</v>
      </c>
      <c r="BGZ5749" s="909"/>
      <c r="BHA5749" s="909"/>
      <c r="BHB5749" s="909"/>
      <c r="BHC5749" s="909"/>
      <c r="BHD5749" s="909"/>
      <c r="BHE5749" s="907" t="s">
        <v>79</v>
      </c>
      <c r="BHF5749" s="909" t="s">
        <v>68</v>
      </c>
      <c r="BHG5749" s="910" t="s">
        <v>75</v>
      </c>
      <c r="BHH5749" s="911"/>
      <c r="BHI5749" s="911"/>
      <c r="BHJ5749" s="911"/>
      <c r="BHK5749" s="911"/>
      <c r="BHL5749" s="911"/>
      <c r="BHM5749" s="911"/>
      <c r="BHN5749" s="911"/>
      <c r="BHO5749" s="911"/>
      <c r="BHP5749" s="911"/>
      <c r="BHQ5749" s="32"/>
      <c r="BHR5749" s="911" t="s">
        <v>74</v>
      </c>
      <c r="BHS5749" s="911"/>
      <c r="BHT5749" s="911"/>
      <c r="BHU5749" s="911"/>
      <c r="BHV5749" s="911"/>
      <c r="BHW5749" s="911"/>
      <c r="BHX5749" s="911"/>
      <c r="BHY5749" s="911"/>
      <c r="BHZ5749" s="911"/>
      <c r="BIA5749" s="912"/>
      <c r="BIC5749" s="913" t="s">
        <v>1</v>
      </c>
      <c r="BID5749" s="31"/>
      <c r="BIE5749" s="909" t="s">
        <v>0</v>
      </c>
      <c r="BIF5749" s="909"/>
      <c r="BIG5749" s="909"/>
      <c r="BIH5749" s="909"/>
      <c r="BII5749" s="909"/>
      <c r="BIJ5749" s="909"/>
      <c r="BIK5749" s="907" t="s">
        <v>79</v>
      </c>
      <c r="BIL5749" s="909" t="s">
        <v>68</v>
      </c>
      <c r="BIM5749" s="910" t="s">
        <v>75</v>
      </c>
      <c r="BIN5749" s="911"/>
      <c r="BIO5749" s="911"/>
      <c r="BIP5749" s="911"/>
      <c r="BIQ5749" s="911"/>
      <c r="BIR5749" s="911"/>
      <c r="BIS5749" s="911"/>
      <c r="BIT5749" s="911"/>
      <c r="BIU5749" s="911"/>
      <c r="BIV5749" s="911"/>
      <c r="BIW5749" s="32"/>
      <c r="BIX5749" s="911" t="s">
        <v>74</v>
      </c>
      <c r="BIY5749" s="911"/>
      <c r="BIZ5749" s="911"/>
      <c r="BJA5749" s="911"/>
      <c r="BJB5749" s="911"/>
      <c r="BJC5749" s="911"/>
      <c r="BJD5749" s="911"/>
      <c r="BJE5749" s="911"/>
      <c r="BJF5749" s="911"/>
      <c r="BJG5749" s="912"/>
      <c r="BJI5749" s="913" t="s">
        <v>1</v>
      </c>
      <c r="BJJ5749" s="31"/>
      <c r="BJK5749" s="909" t="s">
        <v>0</v>
      </c>
      <c r="BJL5749" s="909"/>
      <c r="BJM5749" s="909"/>
      <c r="BJN5749" s="909"/>
      <c r="BJO5749" s="909"/>
      <c r="BJP5749" s="909"/>
      <c r="BJQ5749" s="907" t="s">
        <v>79</v>
      </c>
      <c r="BJR5749" s="909" t="s">
        <v>68</v>
      </c>
      <c r="BJS5749" s="910" t="s">
        <v>75</v>
      </c>
      <c r="BJT5749" s="911"/>
      <c r="BJU5749" s="911"/>
      <c r="BJV5749" s="911"/>
      <c r="BJW5749" s="911"/>
      <c r="BJX5749" s="911"/>
      <c r="BJY5749" s="911"/>
      <c r="BJZ5749" s="911"/>
      <c r="BKA5749" s="911"/>
      <c r="BKB5749" s="911"/>
      <c r="BKC5749" s="32"/>
      <c r="BKD5749" s="911" t="s">
        <v>74</v>
      </c>
      <c r="BKE5749" s="911"/>
      <c r="BKF5749" s="911"/>
      <c r="BKG5749" s="911"/>
      <c r="BKH5749" s="911"/>
      <c r="BKI5749" s="911"/>
      <c r="BKJ5749" s="911"/>
      <c r="BKK5749" s="911"/>
      <c r="BKL5749" s="911"/>
      <c r="BKM5749" s="912"/>
      <c r="BKO5749" s="913" t="s">
        <v>1</v>
      </c>
      <c r="BKP5749" s="31"/>
      <c r="BKQ5749" s="909" t="s">
        <v>0</v>
      </c>
      <c r="BKR5749" s="909"/>
      <c r="BKS5749" s="909"/>
      <c r="BKT5749" s="909"/>
      <c r="BKU5749" s="909"/>
      <c r="BKV5749" s="909"/>
      <c r="BKW5749" s="907" t="s">
        <v>79</v>
      </c>
      <c r="BKX5749" s="909" t="s">
        <v>68</v>
      </c>
      <c r="BKY5749" s="910" t="s">
        <v>75</v>
      </c>
      <c r="BKZ5749" s="911"/>
      <c r="BLA5749" s="911"/>
      <c r="BLB5749" s="911"/>
      <c r="BLC5749" s="911"/>
      <c r="BLD5749" s="911"/>
      <c r="BLE5749" s="911"/>
      <c r="BLF5749" s="911"/>
      <c r="BLG5749" s="911"/>
      <c r="BLH5749" s="911"/>
      <c r="BLI5749" s="32"/>
      <c r="BLJ5749" s="911" t="s">
        <v>74</v>
      </c>
      <c r="BLK5749" s="911"/>
      <c r="BLL5749" s="911"/>
      <c r="BLM5749" s="911"/>
      <c r="BLN5749" s="911"/>
      <c r="BLO5749" s="911"/>
      <c r="BLP5749" s="911"/>
      <c r="BLQ5749" s="911"/>
      <c r="BLR5749" s="911"/>
      <c r="BLS5749" s="912"/>
      <c r="BLU5749" s="913" t="s">
        <v>1</v>
      </c>
      <c r="BLV5749" s="31"/>
      <c r="BLW5749" s="909" t="s">
        <v>0</v>
      </c>
      <c r="BLX5749" s="909"/>
      <c r="BLY5749" s="909"/>
      <c r="BLZ5749" s="909"/>
      <c r="BMA5749" s="909"/>
      <c r="BMB5749" s="909"/>
      <c r="BMC5749" s="907" t="s">
        <v>79</v>
      </c>
      <c r="BMD5749" s="909" t="s">
        <v>68</v>
      </c>
      <c r="BME5749" s="910" t="s">
        <v>75</v>
      </c>
      <c r="BMF5749" s="911"/>
      <c r="BMG5749" s="911"/>
      <c r="BMH5749" s="911"/>
      <c r="BMI5749" s="911"/>
      <c r="BMJ5749" s="911"/>
      <c r="BMK5749" s="911"/>
      <c r="BML5749" s="911"/>
      <c r="BMM5749" s="911"/>
      <c r="BMN5749" s="911"/>
      <c r="BMO5749" s="32"/>
      <c r="BMP5749" s="911" t="s">
        <v>74</v>
      </c>
      <c r="BMQ5749" s="911"/>
      <c r="BMR5749" s="911"/>
      <c r="BMS5749" s="911"/>
      <c r="BMT5749" s="911"/>
      <c r="BMU5749" s="911"/>
      <c r="BMV5749" s="911"/>
      <c r="BMW5749" s="911"/>
      <c r="BMX5749" s="911"/>
      <c r="BMY5749" s="912"/>
      <c r="BNA5749" s="913" t="s">
        <v>1</v>
      </c>
      <c r="BNB5749" s="31"/>
      <c r="BNC5749" s="909" t="s">
        <v>0</v>
      </c>
      <c r="BND5749" s="909"/>
      <c r="BNE5749" s="909"/>
      <c r="BNF5749" s="909"/>
      <c r="BNG5749" s="909"/>
      <c r="BNH5749" s="909"/>
      <c r="BNI5749" s="907" t="s">
        <v>79</v>
      </c>
      <c r="BNJ5749" s="909" t="s">
        <v>68</v>
      </c>
      <c r="BNK5749" s="910" t="s">
        <v>75</v>
      </c>
      <c r="BNL5749" s="911"/>
      <c r="BNM5749" s="911"/>
      <c r="BNN5749" s="911"/>
      <c r="BNO5749" s="911"/>
      <c r="BNP5749" s="911"/>
      <c r="BNQ5749" s="911"/>
      <c r="BNR5749" s="911"/>
      <c r="BNS5749" s="911"/>
      <c r="BNT5749" s="911"/>
      <c r="BNU5749" s="32"/>
      <c r="BNV5749" s="911" t="s">
        <v>74</v>
      </c>
      <c r="BNW5749" s="911"/>
      <c r="BNX5749" s="911"/>
      <c r="BNY5749" s="911"/>
      <c r="BNZ5749" s="911"/>
      <c r="BOA5749" s="911"/>
      <c r="BOB5749" s="911"/>
      <c r="BOC5749" s="911"/>
      <c r="BOD5749" s="911"/>
      <c r="BOE5749" s="912"/>
      <c r="BOG5749" s="913" t="s">
        <v>1</v>
      </c>
      <c r="BOH5749" s="31"/>
      <c r="BOI5749" s="909" t="s">
        <v>0</v>
      </c>
      <c r="BOJ5749" s="909"/>
      <c r="BOK5749" s="909"/>
      <c r="BOL5749" s="909"/>
      <c r="BOM5749" s="909"/>
      <c r="BON5749" s="909"/>
      <c r="BOO5749" s="907" t="s">
        <v>79</v>
      </c>
      <c r="BOP5749" s="909" t="s">
        <v>68</v>
      </c>
      <c r="BOQ5749" s="910" t="s">
        <v>75</v>
      </c>
      <c r="BOR5749" s="911"/>
      <c r="BOS5749" s="911"/>
      <c r="BOT5749" s="911"/>
      <c r="BOU5749" s="911"/>
      <c r="BOV5749" s="911"/>
      <c r="BOW5749" s="911"/>
      <c r="BOX5749" s="911"/>
      <c r="BOY5749" s="911"/>
      <c r="BOZ5749" s="911"/>
      <c r="BPA5749" s="32"/>
      <c r="BPB5749" s="911" t="s">
        <v>74</v>
      </c>
      <c r="BPC5749" s="911"/>
      <c r="BPD5749" s="911"/>
      <c r="BPE5749" s="911"/>
      <c r="BPF5749" s="911"/>
      <c r="BPG5749" s="911"/>
      <c r="BPH5749" s="911"/>
      <c r="BPI5749" s="911"/>
      <c r="BPJ5749" s="911"/>
      <c r="BPK5749" s="912"/>
      <c r="BPM5749" s="913" t="s">
        <v>1</v>
      </c>
      <c r="BPN5749" s="31"/>
      <c r="BPO5749" s="909" t="s">
        <v>0</v>
      </c>
      <c r="BPP5749" s="909"/>
      <c r="BPQ5749" s="909"/>
      <c r="BPR5749" s="909"/>
      <c r="BPS5749" s="909"/>
      <c r="BPT5749" s="909"/>
      <c r="BPU5749" s="907" t="s">
        <v>79</v>
      </c>
      <c r="BPV5749" s="909" t="s">
        <v>68</v>
      </c>
      <c r="BPW5749" s="910" t="s">
        <v>75</v>
      </c>
      <c r="BPX5749" s="911"/>
      <c r="BPY5749" s="911"/>
      <c r="BPZ5749" s="911"/>
      <c r="BQA5749" s="911"/>
      <c r="BQB5749" s="911"/>
      <c r="BQC5749" s="911"/>
      <c r="BQD5749" s="911"/>
      <c r="BQE5749" s="911"/>
      <c r="BQF5749" s="911"/>
      <c r="BQG5749" s="32"/>
      <c r="BQH5749" s="911" t="s">
        <v>74</v>
      </c>
      <c r="BQI5749" s="911"/>
      <c r="BQJ5749" s="911"/>
      <c r="BQK5749" s="911"/>
      <c r="BQL5749" s="911"/>
      <c r="BQM5749" s="911"/>
      <c r="BQN5749" s="911"/>
      <c r="BQO5749" s="911"/>
      <c r="BQP5749" s="911"/>
      <c r="BQQ5749" s="912"/>
      <c r="BQS5749" s="913" t="s">
        <v>1</v>
      </c>
      <c r="BQT5749" s="31"/>
      <c r="BQU5749" s="909" t="s">
        <v>0</v>
      </c>
      <c r="BQV5749" s="909"/>
      <c r="BQW5749" s="909"/>
      <c r="BQX5749" s="909"/>
      <c r="BQY5749" s="909"/>
      <c r="BQZ5749" s="909"/>
      <c r="BRA5749" s="907" t="s">
        <v>79</v>
      </c>
      <c r="BRB5749" s="909" t="s">
        <v>68</v>
      </c>
      <c r="BRC5749" s="910" t="s">
        <v>75</v>
      </c>
      <c r="BRD5749" s="911"/>
      <c r="BRE5749" s="911"/>
      <c r="BRF5749" s="911"/>
      <c r="BRG5749" s="911"/>
      <c r="BRH5749" s="911"/>
      <c r="BRI5749" s="911"/>
      <c r="BRJ5749" s="911"/>
      <c r="BRK5749" s="911"/>
      <c r="BRL5749" s="911"/>
      <c r="BRM5749" s="32"/>
      <c r="BRN5749" s="911" t="s">
        <v>74</v>
      </c>
      <c r="BRO5749" s="911"/>
      <c r="BRP5749" s="911"/>
      <c r="BRQ5749" s="911"/>
      <c r="BRR5749" s="911"/>
      <c r="BRS5749" s="911"/>
      <c r="BRT5749" s="911"/>
      <c r="BRU5749" s="911"/>
      <c r="BRV5749" s="911"/>
      <c r="BRW5749" s="912"/>
      <c r="BRY5749" s="913" t="s">
        <v>1</v>
      </c>
      <c r="BRZ5749" s="31"/>
      <c r="BSA5749" s="909" t="s">
        <v>0</v>
      </c>
      <c r="BSB5749" s="909"/>
      <c r="BSC5749" s="909"/>
      <c r="BSD5749" s="909"/>
      <c r="BSE5749" s="909"/>
      <c r="BSF5749" s="909"/>
      <c r="BSG5749" s="907" t="s">
        <v>79</v>
      </c>
      <c r="BSH5749" s="909" t="s">
        <v>68</v>
      </c>
      <c r="BSI5749" s="910" t="s">
        <v>75</v>
      </c>
      <c r="BSJ5749" s="911"/>
      <c r="BSK5749" s="911"/>
      <c r="BSL5749" s="911"/>
      <c r="BSM5749" s="911"/>
      <c r="BSN5749" s="911"/>
      <c r="BSO5749" s="911"/>
      <c r="BSP5749" s="911"/>
      <c r="BSQ5749" s="911"/>
      <c r="BSR5749" s="911"/>
      <c r="BSS5749" s="32"/>
      <c r="BST5749" s="911" t="s">
        <v>74</v>
      </c>
      <c r="BSU5749" s="911"/>
      <c r="BSV5749" s="911"/>
      <c r="BSW5749" s="911"/>
      <c r="BSX5749" s="911"/>
      <c r="BSY5749" s="911"/>
      <c r="BSZ5749" s="911"/>
      <c r="BTA5749" s="911"/>
      <c r="BTB5749" s="911"/>
      <c r="BTC5749" s="912"/>
      <c r="BTE5749" s="913" t="s">
        <v>1</v>
      </c>
      <c r="BTF5749" s="31"/>
      <c r="BTG5749" s="909" t="s">
        <v>0</v>
      </c>
      <c r="BTH5749" s="909"/>
      <c r="BTI5749" s="909"/>
      <c r="BTJ5749" s="909"/>
      <c r="BTK5749" s="909"/>
      <c r="BTL5749" s="909"/>
      <c r="BTM5749" s="907" t="s">
        <v>79</v>
      </c>
      <c r="BTN5749" s="909" t="s">
        <v>68</v>
      </c>
      <c r="BTO5749" s="910" t="s">
        <v>75</v>
      </c>
      <c r="BTP5749" s="911"/>
      <c r="BTQ5749" s="911"/>
      <c r="BTR5749" s="911"/>
      <c r="BTS5749" s="911"/>
      <c r="BTT5749" s="911"/>
      <c r="BTU5749" s="911"/>
      <c r="BTV5749" s="911"/>
      <c r="BTW5749" s="911"/>
      <c r="BTX5749" s="911"/>
      <c r="BTY5749" s="32"/>
      <c r="BTZ5749" s="911" t="s">
        <v>74</v>
      </c>
      <c r="BUA5749" s="911"/>
      <c r="BUB5749" s="911"/>
      <c r="BUC5749" s="911"/>
      <c r="BUD5749" s="911"/>
      <c r="BUE5749" s="911"/>
      <c r="BUF5749" s="911"/>
      <c r="BUG5749" s="911"/>
      <c r="BUH5749" s="911"/>
      <c r="BUI5749" s="912"/>
      <c r="BUK5749" s="913" t="s">
        <v>1</v>
      </c>
      <c r="BUL5749" s="31"/>
      <c r="BUM5749" s="909" t="s">
        <v>0</v>
      </c>
      <c r="BUN5749" s="909"/>
      <c r="BUO5749" s="909"/>
      <c r="BUP5749" s="909"/>
      <c r="BUQ5749" s="909"/>
      <c r="BUR5749" s="909"/>
      <c r="BUS5749" s="907" t="s">
        <v>79</v>
      </c>
      <c r="BUT5749" s="909" t="s">
        <v>68</v>
      </c>
      <c r="BUU5749" s="910" t="s">
        <v>75</v>
      </c>
      <c r="BUV5749" s="911"/>
      <c r="BUW5749" s="911"/>
      <c r="BUX5749" s="911"/>
      <c r="BUY5749" s="911"/>
      <c r="BUZ5749" s="911"/>
      <c r="BVA5749" s="911"/>
      <c r="BVB5749" s="911"/>
      <c r="BVC5749" s="911"/>
      <c r="BVD5749" s="911"/>
      <c r="BVE5749" s="32"/>
      <c r="BVF5749" s="911" t="s">
        <v>74</v>
      </c>
      <c r="BVG5749" s="911"/>
      <c r="BVH5749" s="911"/>
      <c r="BVI5749" s="911"/>
      <c r="BVJ5749" s="911"/>
      <c r="BVK5749" s="911"/>
      <c r="BVL5749" s="911"/>
      <c r="BVM5749" s="911"/>
      <c r="BVN5749" s="911"/>
      <c r="BVO5749" s="912"/>
      <c r="BVQ5749" s="913" t="s">
        <v>1</v>
      </c>
      <c r="BVR5749" s="31"/>
      <c r="BVS5749" s="909" t="s">
        <v>0</v>
      </c>
      <c r="BVT5749" s="909"/>
      <c r="BVU5749" s="909"/>
      <c r="BVV5749" s="909"/>
      <c r="BVW5749" s="909"/>
      <c r="BVX5749" s="909"/>
      <c r="BVY5749" s="907" t="s">
        <v>79</v>
      </c>
      <c r="BVZ5749" s="909" t="s">
        <v>68</v>
      </c>
      <c r="BWA5749" s="910" t="s">
        <v>75</v>
      </c>
      <c r="BWB5749" s="911"/>
      <c r="BWC5749" s="911"/>
      <c r="BWD5749" s="911"/>
      <c r="BWE5749" s="911"/>
      <c r="BWF5749" s="911"/>
      <c r="BWG5749" s="911"/>
      <c r="BWH5749" s="911"/>
      <c r="BWI5749" s="911"/>
      <c r="BWJ5749" s="911"/>
      <c r="BWK5749" s="32"/>
      <c r="BWL5749" s="911" t="s">
        <v>74</v>
      </c>
      <c r="BWM5749" s="911"/>
      <c r="BWN5749" s="911"/>
      <c r="BWO5749" s="911"/>
      <c r="BWP5749" s="911"/>
      <c r="BWQ5749" s="911"/>
      <c r="BWR5749" s="911"/>
      <c r="BWS5749" s="911"/>
      <c r="BWT5749" s="911"/>
      <c r="BWU5749" s="912"/>
      <c r="BWW5749" s="913" t="s">
        <v>1</v>
      </c>
      <c r="BWX5749" s="31"/>
      <c r="BWY5749" s="909" t="s">
        <v>0</v>
      </c>
      <c r="BWZ5749" s="909"/>
      <c r="BXA5749" s="909"/>
      <c r="BXB5749" s="909"/>
      <c r="BXC5749" s="909"/>
      <c r="BXD5749" s="909"/>
      <c r="BXE5749" s="907" t="s">
        <v>79</v>
      </c>
      <c r="BXF5749" s="909" t="s">
        <v>68</v>
      </c>
      <c r="BXG5749" s="910" t="s">
        <v>75</v>
      </c>
      <c r="BXH5749" s="911"/>
      <c r="BXI5749" s="911"/>
      <c r="BXJ5749" s="911"/>
      <c r="BXK5749" s="911"/>
      <c r="BXL5749" s="911"/>
      <c r="BXM5749" s="911"/>
      <c r="BXN5749" s="911"/>
      <c r="BXO5749" s="911"/>
      <c r="BXP5749" s="911"/>
      <c r="BXQ5749" s="32"/>
      <c r="BXR5749" s="911" t="s">
        <v>74</v>
      </c>
      <c r="BXS5749" s="911"/>
      <c r="BXT5749" s="911"/>
      <c r="BXU5749" s="911"/>
      <c r="BXV5749" s="911"/>
      <c r="BXW5749" s="911"/>
      <c r="BXX5749" s="911"/>
      <c r="BXY5749" s="911"/>
      <c r="BXZ5749" s="911"/>
      <c r="BYA5749" s="912"/>
      <c r="BYC5749" s="913" t="s">
        <v>1</v>
      </c>
      <c r="BYD5749" s="31"/>
      <c r="BYE5749" s="909" t="s">
        <v>0</v>
      </c>
      <c r="BYF5749" s="909"/>
      <c r="BYG5749" s="909"/>
      <c r="BYH5749" s="909"/>
      <c r="BYI5749" s="909"/>
      <c r="BYJ5749" s="909"/>
      <c r="BYK5749" s="907" t="s">
        <v>79</v>
      </c>
      <c r="BYL5749" s="909" t="s">
        <v>68</v>
      </c>
      <c r="BYM5749" s="910" t="s">
        <v>75</v>
      </c>
      <c r="BYN5749" s="911"/>
      <c r="BYO5749" s="911"/>
      <c r="BYP5749" s="911"/>
      <c r="BYQ5749" s="911"/>
      <c r="BYR5749" s="911"/>
      <c r="BYS5749" s="911"/>
      <c r="BYT5749" s="911"/>
      <c r="BYU5749" s="911"/>
      <c r="BYV5749" s="911"/>
      <c r="BYW5749" s="32"/>
      <c r="BYX5749" s="911" t="s">
        <v>74</v>
      </c>
      <c r="BYY5749" s="911"/>
      <c r="BYZ5749" s="911"/>
      <c r="BZA5749" s="911"/>
      <c r="BZB5749" s="911"/>
      <c r="BZC5749" s="911"/>
      <c r="BZD5749" s="911"/>
      <c r="BZE5749" s="911"/>
      <c r="BZF5749" s="911"/>
      <c r="BZG5749" s="912"/>
      <c r="BZI5749" s="913" t="s">
        <v>1</v>
      </c>
      <c r="BZJ5749" s="31"/>
      <c r="BZK5749" s="909" t="s">
        <v>0</v>
      </c>
      <c r="BZL5749" s="909"/>
      <c r="BZM5749" s="909"/>
      <c r="BZN5749" s="909"/>
      <c r="BZO5749" s="909"/>
      <c r="BZP5749" s="909"/>
      <c r="BZQ5749" s="907" t="s">
        <v>79</v>
      </c>
      <c r="BZR5749" s="909" t="s">
        <v>68</v>
      </c>
      <c r="BZS5749" s="910" t="s">
        <v>75</v>
      </c>
      <c r="BZT5749" s="911"/>
      <c r="BZU5749" s="911"/>
      <c r="BZV5749" s="911"/>
      <c r="BZW5749" s="911"/>
      <c r="BZX5749" s="911"/>
      <c r="BZY5749" s="911"/>
      <c r="BZZ5749" s="911"/>
      <c r="CAA5749" s="911"/>
      <c r="CAB5749" s="911"/>
      <c r="CAC5749" s="32"/>
      <c r="CAD5749" s="911" t="s">
        <v>74</v>
      </c>
      <c r="CAE5749" s="911"/>
      <c r="CAF5749" s="911"/>
      <c r="CAG5749" s="911"/>
      <c r="CAH5749" s="911"/>
      <c r="CAI5749" s="911"/>
      <c r="CAJ5749" s="911"/>
      <c r="CAK5749" s="911"/>
      <c r="CAL5749" s="911"/>
      <c r="CAM5749" s="912"/>
      <c r="CAO5749" s="913" t="s">
        <v>1</v>
      </c>
      <c r="CAP5749" s="31"/>
      <c r="CAQ5749" s="909" t="s">
        <v>0</v>
      </c>
      <c r="CAR5749" s="909"/>
      <c r="CAS5749" s="909"/>
      <c r="CAT5749" s="909"/>
      <c r="CAU5749" s="909"/>
      <c r="CAV5749" s="909"/>
      <c r="CAW5749" s="907" t="s">
        <v>79</v>
      </c>
      <c r="CAX5749" s="909" t="s">
        <v>68</v>
      </c>
      <c r="CAY5749" s="910" t="s">
        <v>75</v>
      </c>
      <c r="CAZ5749" s="911"/>
      <c r="CBA5749" s="911"/>
      <c r="CBB5749" s="911"/>
      <c r="CBC5749" s="911"/>
      <c r="CBD5749" s="911"/>
      <c r="CBE5749" s="911"/>
      <c r="CBF5749" s="911"/>
      <c r="CBG5749" s="911"/>
      <c r="CBH5749" s="911"/>
      <c r="CBI5749" s="32"/>
      <c r="CBJ5749" s="911" t="s">
        <v>74</v>
      </c>
      <c r="CBK5749" s="911"/>
      <c r="CBL5749" s="911"/>
      <c r="CBM5749" s="911"/>
      <c r="CBN5749" s="911"/>
      <c r="CBO5749" s="911"/>
      <c r="CBP5749" s="911"/>
      <c r="CBQ5749" s="911"/>
      <c r="CBR5749" s="911"/>
      <c r="CBS5749" s="912"/>
      <c r="CBU5749" s="913" t="s">
        <v>1</v>
      </c>
      <c r="CBV5749" s="31"/>
      <c r="CBW5749" s="909" t="s">
        <v>0</v>
      </c>
      <c r="CBX5749" s="909"/>
      <c r="CBY5749" s="909"/>
      <c r="CBZ5749" s="909"/>
      <c r="CCA5749" s="909"/>
      <c r="CCB5749" s="909"/>
      <c r="CCC5749" s="907" t="s">
        <v>79</v>
      </c>
      <c r="CCD5749" s="909" t="s">
        <v>68</v>
      </c>
      <c r="CCE5749" s="910" t="s">
        <v>75</v>
      </c>
      <c r="CCF5749" s="911"/>
      <c r="CCG5749" s="911"/>
      <c r="CCH5749" s="911"/>
      <c r="CCI5749" s="911"/>
      <c r="CCJ5749" s="911"/>
      <c r="CCK5749" s="911"/>
      <c r="CCL5749" s="911"/>
      <c r="CCM5749" s="911"/>
      <c r="CCN5749" s="911"/>
      <c r="CCO5749" s="32"/>
      <c r="CCP5749" s="911" t="s">
        <v>74</v>
      </c>
      <c r="CCQ5749" s="911"/>
      <c r="CCR5749" s="911"/>
      <c r="CCS5749" s="911"/>
      <c r="CCT5749" s="911"/>
      <c r="CCU5749" s="911"/>
      <c r="CCV5749" s="911"/>
      <c r="CCW5749" s="911"/>
      <c r="CCX5749" s="911"/>
      <c r="CCY5749" s="912"/>
      <c r="CDA5749" s="913" t="s">
        <v>1</v>
      </c>
      <c r="CDB5749" s="31"/>
      <c r="CDC5749" s="909" t="s">
        <v>0</v>
      </c>
      <c r="CDD5749" s="909"/>
      <c r="CDE5749" s="909"/>
      <c r="CDF5749" s="909"/>
      <c r="CDG5749" s="909"/>
      <c r="CDH5749" s="909"/>
      <c r="CDI5749" s="907" t="s">
        <v>79</v>
      </c>
      <c r="CDJ5749" s="909" t="s">
        <v>68</v>
      </c>
      <c r="CDK5749" s="910" t="s">
        <v>75</v>
      </c>
      <c r="CDL5749" s="911"/>
      <c r="CDM5749" s="911"/>
      <c r="CDN5749" s="911"/>
      <c r="CDO5749" s="911"/>
      <c r="CDP5749" s="911"/>
      <c r="CDQ5749" s="911"/>
      <c r="CDR5749" s="911"/>
      <c r="CDS5749" s="911"/>
      <c r="CDT5749" s="911"/>
      <c r="CDU5749" s="32"/>
      <c r="CDV5749" s="911" t="s">
        <v>74</v>
      </c>
      <c r="CDW5749" s="911"/>
      <c r="CDX5749" s="911"/>
      <c r="CDY5749" s="911"/>
      <c r="CDZ5749" s="911"/>
      <c r="CEA5749" s="911"/>
      <c r="CEB5749" s="911"/>
      <c r="CEC5749" s="911"/>
      <c r="CED5749" s="911"/>
      <c r="CEE5749" s="912"/>
      <c r="CEG5749" s="913" t="s">
        <v>1</v>
      </c>
      <c r="CEH5749" s="31"/>
      <c r="CEI5749" s="909" t="s">
        <v>0</v>
      </c>
      <c r="CEJ5749" s="909"/>
      <c r="CEK5749" s="909"/>
      <c r="CEL5749" s="909"/>
      <c r="CEM5749" s="909"/>
      <c r="CEN5749" s="909"/>
      <c r="CEO5749" s="907" t="s">
        <v>79</v>
      </c>
      <c r="CEP5749" s="909" t="s">
        <v>68</v>
      </c>
      <c r="CEQ5749" s="910" t="s">
        <v>75</v>
      </c>
      <c r="CER5749" s="911"/>
      <c r="CES5749" s="911"/>
      <c r="CET5749" s="911"/>
      <c r="CEU5749" s="911"/>
      <c r="CEV5749" s="911"/>
      <c r="CEW5749" s="911"/>
      <c r="CEX5749" s="911"/>
      <c r="CEY5749" s="911"/>
      <c r="CEZ5749" s="911"/>
      <c r="CFA5749" s="32"/>
      <c r="CFB5749" s="911" t="s">
        <v>74</v>
      </c>
      <c r="CFC5749" s="911"/>
      <c r="CFD5749" s="911"/>
      <c r="CFE5749" s="911"/>
      <c r="CFF5749" s="911"/>
      <c r="CFG5749" s="911"/>
      <c r="CFH5749" s="911"/>
      <c r="CFI5749" s="911"/>
      <c r="CFJ5749" s="911"/>
      <c r="CFK5749" s="912"/>
      <c r="CFM5749" s="913" t="s">
        <v>1</v>
      </c>
      <c r="CFN5749" s="31"/>
      <c r="CFO5749" s="909" t="s">
        <v>0</v>
      </c>
      <c r="CFP5749" s="909"/>
      <c r="CFQ5749" s="909"/>
      <c r="CFR5749" s="909"/>
      <c r="CFS5749" s="909"/>
      <c r="CFT5749" s="909"/>
      <c r="CFU5749" s="907" t="s">
        <v>79</v>
      </c>
      <c r="CFV5749" s="909" t="s">
        <v>68</v>
      </c>
      <c r="CFW5749" s="910" t="s">
        <v>75</v>
      </c>
      <c r="CFX5749" s="911"/>
      <c r="CFY5749" s="911"/>
      <c r="CFZ5749" s="911"/>
      <c r="CGA5749" s="911"/>
      <c r="CGB5749" s="911"/>
      <c r="CGC5749" s="911"/>
      <c r="CGD5749" s="911"/>
      <c r="CGE5749" s="911"/>
      <c r="CGF5749" s="911"/>
      <c r="CGG5749" s="32"/>
      <c r="CGH5749" s="911" t="s">
        <v>74</v>
      </c>
      <c r="CGI5749" s="911"/>
      <c r="CGJ5749" s="911"/>
      <c r="CGK5749" s="911"/>
      <c r="CGL5749" s="911"/>
      <c r="CGM5749" s="911"/>
      <c r="CGN5749" s="911"/>
      <c r="CGO5749" s="911"/>
      <c r="CGP5749" s="911"/>
      <c r="CGQ5749" s="912"/>
      <c r="CGS5749" s="913" t="s">
        <v>1</v>
      </c>
      <c r="CGT5749" s="31"/>
      <c r="CGU5749" s="909" t="s">
        <v>0</v>
      </c>
      <c r="CGV5749" s="909"/>
      <c r="CGW5749" s="909"/>
      <c r="CGX5749" s="909"/>
      <c r="CGY5749" s="909"/>
      <c r="CGZ5749" s="909"/>
      <c r="CHA5749" s="907" t="s">
        <v>79</v>
      </c>
      <c r="CHB5749" s="909" t="s">
        <v>68</v>
      </c>
      <c r="CHC5749" s="910" t="s">
        <v>75</v>
      </c>
      <c r="CHD5749" s="911"/>
      <c r="CHE5749" s="911"/>
      <c r="CHF5749" s="911"/>
      <c r="CHG5749" s="911"/>
      <c r="CHH5749" s="911"/>
      <c r="CHI5749" s="911"/>
      <c r="CHJ5749" s="911"/>
      <c r="CHK5749" s="911"/>
      <c r="CHL5749" s="911"/>
      <c r="CHM5749" s="32"/>
      <c r="CHN5749" s="911" t="s">
        <v>74</v>
      </c>
      <c r="CHO5749" s="911"/>
      <c r="CHP5749" s="911"/>
      <c r="CHQ5749" s="911"/>
      <c r="CHR5749" s="911"/>
      <c r="CHS5749" s="911"/>
      <c r="CHT5749" s="911"/>
      <c r="CHU5749" s="911"/>
      <c r="CHV5749" s="911"/>
      <c r="CHW5749" s="912"/>
      <c r="CHY5749" s="913" t="s">
        <v>1</v>
      </c>
      <c r="CHZ5749" s="31"/>
      <c r="CIA5749" s="909" t="s">
        <v>0</v>
      </c>
      <c r="CIB5749" s="909"/>
      <c r="CIC5749" s="909"/>
      <c r="CID5749" s="909"/>
      <c r="CIE5749" s="909"/>
      <c r="CIF5749" s="909"/>
      <c r="CIG5749" s="907" t="s">
        <v>79</v>
      </c>
      <c r="CIH5749" s="909" t="s">
        <v>68</v>
      </c>
      <c r="CII5749" s="910" t="s">
        <v>75</v>
      </c>
      <c r="CIJ5749" s="911"/>
      <c r="CIK5749" s="911"/>
      <c r="CIL5749" s="911"/>
      <c r="CIM5749" s="911"/>
      <c r="CIN5749" s="911"/>
      <c r="CIO5749" s="911"/>
      <c r="CIP5749" s="911"/>
      <c r="CIQ5749" s="911"/>
      <c r="CIR5749" s="911"/>
      <c r="CIS5749" s="32"/>
      <c r="CIT5749" s="911" t="s">
        <v>74</v>
      </c>
      <c r="CIU5749" s="911"/>
      <c r="CIV5749" s="911"/>
      <c r="CIW5749" s="911"/>
      <c r="CIX5749" s="911"/>
      <c r="CIY5749" s="911"/>
      <c r="CIZ5749" s="911"/>
      <c r="CJA5749" s="911"/>
      <c r="CJB5749" s="911"/>
      <c r="CJC5749" s="912"/>
      <c r="CJE5749" s="913" t="s">
        <v>1</v>
      </c>
      <c r="CJF5749" s="31"/>
      <c r="CJG5749" s="909" t="s">
        <v>0</v>
      </c>
      <c r="CJH5749" s="909"/>
      <c r="CJI5749" s="909"/>
      <c r="CJJ5749" s="909"/>
      <c r="CJK5749" s="909"/>
      <c r="CJL5749" s="909"/>
      <c r="CJM5749" s="907" t="s">
        <v>79</v>
      </c>
      <c r="CJN5749" s="909" t="s">
        <v>68</v>
      </c>
      <c r="CJO5749" s="910" t="s">
        <v>75</v>
      </c>
      <c r="CJP5749" s="911"/>
      <c r="CJQ5749" s="911"/>
      <c r="CJR5749" s="911"/>
      <c r="CJS5749" s="911"/>
      <c r="CJT5749" s="911"/>
      <c r="CJU5749" s="911"/>
      <c r="CJV5749" s="911"/>
      <c r="CJW5749" s="911"/>
      <c r="CJX5749" s="911"/>
      <c r="CJY5749" s="32"/>
      <c r="CJZ5749" s="911" t="s">
        <v>74</v>
      </c>
      <c r="CKA5749" s="911"/>
      <c r="CKB5749" s="911"/>
      <c r="CKC5749" s="911"/>
      <c r="CKD5749" s="911"/>
      <c r="CKE5749" s="911"/>
      <c r="CKF5749" s="911"/>
      <c r="CKG5749" s="911"/>
      <c r="CKH5749" s="911"/>
      <c r="CKI5749" s="912"/>
      <c r="CKK5749" s="913" t="s">
        <v>1</v>
      </c>
      <c r="CKL5749" s="31"/>
      <c r="CKM5749" s="909" t="s">
        <v>0</v>
      </c>
      <c r="CKN5749" s="909"/>
      <c r="CKO5749" s="909"/>
      <c r="CKP5749" s="909"/>
      <c r="CKQ5749" s="909"/>
      <c r="CKR5749" s="909"/>
      <c r="CKS5749" s="907" t="s">
        <v>79</v>
      </c>
      <c r="CKT5749" s="909" t="s">
        <v>68</v>
      </c>
      <c r="CKU5749" s="910" t="s">
        <v>75</v>
      </c>
      <c r="CKV5749" s="911"/>
      <c r="CKW5749" s="911"/>
      <c r="CKX5749" s="911"/>
      <c r="CKY5749" s="911"/>
      <c r="CKZ5749" s="911"/>
      <c r="CLA5749" s="911"/>
      <c r="CLB5749" s="911"/>
      <c r="CLC5749" s="911"/>
      <c r="CLD5749" s="911"/>
      <c r="CLE5749" s="32"/>
      <c r="CLF5749" s="911" t="s">
        <v>74</v>
      </c>
      <c r="CLG5749" s="911"/>
      <c r="CLH5749" s="911"/>
      <c r="CLI5749" s="911"/>
      <c r="CLJ5749" s="911"/>
      <c r="CLK5749" s="911"/>
      <c r="CLL5749" s="911"/>
      <c r="CLM5749" s="911"/>
      <c r="CLN5749" s="911"/>
      <c r="CLO5749" s="912"/>
      <c r="CLQ5749" s="913" t="s">
        <v>1</v>
      </c>
      <c r="CLR5749" s="31"/>
      <c r="CLS5749" s="909" t="s">
        <v>0</v>
      </c>
      <c r="CLT5749" s="909"/>
      <c r="CLU5749" s="909"/>
      <c r="CLV5749" s="909"/>
      <c r="CLW5749" s="909"/>
      <c r="CLX5749" s="909"/>
      <c r="CLY5749" s="907" t="s">
        <v>79</v>
      </c>
      <c r="CLZ5749" s="909" t="s">
        <v>68</v>
      </c>
      <c r="CMA5749" s="910" t="s">
        <v>75</v>
      </c>
      <c r="CMB5749" s="911"/>
      <c r="CMC5749" s="911"/>
      <c r="CMD5749" s="911"/>
      <c r="CME5749" s="911"/>
      <c r="CMF5749" s="911"/>
      <c r="CMG5749" s="911"/>
      <c r="CMH5749" s="911"/>
      <c r="CMI5749" s="911"/>
      <c r="CMJ5749" s="911"/>
      <c r="CMK5749" s="32"/>
      <c r="CML5749" s="911" t="s">
        <v>74</v>
      </c>
      <c r="CMM5749" s="911"/>
      <c r="CMN5749" s="911"/>
      <c r="CMO5749" s="911"/>
      <c r="CMP5749" s="911"/>
      <c r="CMQ5749" s="911"/>
      <c r="CMR5749" s="911"/>
      <c r="CMS5749" s="911"/>
      <c r="CMT5749" s="911"/>
      <c r="CMU5749" s="912"/>
      <c r="CMW5749" s="913" t="s">
        <v>1</v>
      </c>
      <c r="CMX5749" s="31"/>
      <c r="CMY5749" s="909" t="s">
        <v>0</v>
      </c>
      <c r="CMZ5749" s="909"/>
      <c r="CNA5749" s="909"/>
      <c r="CNB5749" s="909"/>
      <c r="CNC5749" s="909"/>
      <c r="CND5749" s="909"/>
      <c r="CNE5749" s="907" t="s">
        <v>79</v>
      </c>
      <c r="CNF5749" s="909" t="s">
        <v>68</v>
      </c>
      <c r="CNG5749" s="910" t="s">
        <v>75</v>
      </c>
      <c r="CNH5749" s="911"/>
      <c r="CNI5749" s="911"/>
      <c r="CNJ5749" s="911"/>
      <c r="CNK5749" s="911"/>
      <c r="CNL5749" s="911"/>
      <c r="CNM5749" s="911"/>
      <c r="CNN5749" s="911"/>
      <c r="CNO5749" s="911"/>
      <c r="CNP5749" s="911"/>
      <c r="CNQ5749" s="32"/>
      <c r="CNR5749" s="911" t="s">
        <v>74</v>
      </c>
      <c r="CNS5749" s="911"/>
      <c r="CNT5749" s="911"/>
      <c r="CNU5749" s="911"/>
      <c r="CNV5749" s="911"/>
      <c r="CNW5749" s="911"/>
      <c r="CNX5749" s="911"/>
      <c r="CNY5749" s="911"/>
      <c r="CNZ5749" s="911"/>
      <c r="COA5749" s="912"/>
      <c r="COC5749" s="913" t="s">
        <v>1</v>
      </c>
      <c r="COD5749" s="31"/>
      <c r="COE5749" s="909" t="s">
        <v>0</v>
      </c>
      <c r="COF5749" s="909"/>
      <c r="COG5749" s="909"/>
      <c r="COH5749" s="909"/>
      <c r="COI5749" s="909"/>
      <c r="COJ5749" s="909"/>
      <c r="COK5749" s="907" t="s">
        <v>79</v>
      </c>
      <c r="COL5749" s="909" t="s">
        <v>68</v>
      </c>
      <c r="COM5749" s="910" t="s">
        <v>75</v>
      </c>
      <c r="CON5749" s="911"/>
      <c r="COO5749" s="911"/>
      <c r="COP5749" s="911"/>
      <c r="COQ5749" s="911"/>
      <c r="COR5749" s="911"/>
      <c r="COS5749" s="911"/>
      <c r="COT5749" s="911"/>
      <c r="COU5749" s="911"/>
      <c r="COV5749" s="911"/>
      <c r="COW5749" s="32"/>
      <c r="COX5749" s="911" t="s">
        <v>74</v>
      </c>
      <c r="COY5749" s="911"/>
      <c r="COZ5749" s="911"/>
      <c r="CPA5749" s="911"/>
      <c r="CPB5749" s="911"/>
      <c r="CPC5749" s="911"/>
      <c r="CPD5749" s="911"/>
      <c r="CPE5749" s="911"/>
      <c r="CPF5749" s="911"/>
      <c r="CPG5749" s="912"/>
      <c r="CPI5749" s="913" t="s">
        <v>1</v>
      </c>
      <c r="CPJ5749" s="31"/>
      <c r="CPK5749" s="909" t="s">
        <v>0</v>
      </c>
      <c r="CPL5749" s="909"/>
      <c r="CPM5749" s="909"/>
      <c r="CPN5749" s="909"/>
      <c r="CPO5749" s="909"/>
      <c r="CPP5749" s="909"/>
      <c r="CPQ5749" s="907" t="s">
        <v>79</v>
      </c>
      <c r="CPR5749" s="909" t="s">
        <v>68</v>
      </c>
      <c r="CPS5749" s="910" t="s">
        <v>75</v>
      </c>
      <c r="CPT5749" s="911"/>
      <c r="CPU5749" s="911"/>
      <c r="CPV5749" s="911"/>
      <c r="CPW5749" s="911"/>
      <c r="CPX5749" s="911"/>
      <c r="CPY5749" s="911"/>
      <c r="CPZ5749" s="911"/>
      <c r="CQA5749" s="911"/>
      <c r="CQB5749" s="911"/>
      <c r="CQC5749" s="32"/>
      <c r="CQD5749" s="911" t="s">
        <v>74</v>
      </c>
      <c r="CQE5749" s="911"/>
      <c r="CQF5749" s="911"/>
      <c r="CQG5749" s="911"/>
      <c r="CQH5749" s="911"/>
      <c r="CQI5749" s="911"/>
      <c r="CQJ5749" s="911"/>
      <c r="CQK5749" s="911"/>
      <c r="CQL5749" s="911"/>
      <c r="CQM5749" s="912"/>
      <c r="CQO5749" s="913" t="s">
        <v>1</v>
      </c>
      <c r="CQP5749" s="31"/>
      <c r="CQQ5749" s="909" t="s">
        <v>0</v>
      </c>
      <c r="CQR5749" s="909"/>
      <c r="CQS5749" s="909"/>
      <c r="CQT5749" s="909"/>
      <c r="CQU5749" s="909"/>
      <c r="CQV5749" s="909"/>
      <c r="CQW5749" s="907" t="s">
        <v>79</v>
      </c>
      <c r="CQX5749" s="909" t="s">
        <v>68</v>
      </c>
      <c r="CQY5749" s="910" t="s">
        <v>75</v>
      </c>
      <c r="CQZ5749" s="911"/>
      <c r="CRA5749" s="911"/>
      <c r="CRB5749" s="911"/>
      <c r="CRC5749" s="911"/>
      <c r="CRD5749" s="911"/>
      <c r="CRE5749" s="911"/>
      <c r="CRF5749" s="911"/>
      <c r="CRG5749" s="911"/>
      <c r="CRH5749" s="911"/>
      <c r="CRI5749" s="32"/>
      <c r="CRJ5749" s="911" t="s">
        <v>74</v>
      </c>
      <c r="CRK5749" s="911"/>
      <c r="CRL5749" s="911"/>
      <c r="CRM5749" s="911"/>
      <c r="CRN5749" s="911"/>
      <c r="CRO5749" s="911"/>
      <c r="CRP5749" s="911"/>
      <c r="CRQ5749" s="911"/>
      <c r="CRR5749" s="911"/>
      <c r="CRS5749" s="912"/>
      <c r="CRU5749" s="913" t="s">
        <v>1</v>
      </c>
      <c r="CRV5749" s="31"/>
      <c r="CRW5749" s="909" t="s">
        <v>0</v>
      </c>
      <c r="CRX5749" s="909"/>
      <c r="CRY5749" s="909"/>
      <c r="CRZ5749" s="909"/>
      <c r="CSA5749" s="909"/>
      <c r="CSB5749" s="909"/>
      <c r="CSC5749" s="907" t="s">
        <v>79</v>
      </c>
      <c r="CSD5749" s="909" t="s">
        <v>68</v>
      </c>
      <c r="CSE5749" s="910" t="s">
        <v>75</v>
      </c>
      <c r="CSF5749" s="911"/>
      <c r="CSG5749" s="911"/>
      <c r="CSH5749" s="911"/>
      <c r="CSI5749" s="911"/>
      <c r="CSJ5749" s="911"/>
      <c r="CSK5749" s="911"/>
      <c r="CSL5749" s="911"/>
      <c r="CSM5749" s="911"/>
      <c r="CSN5749" s="911"/>
      <c r="CSO5749" s="32"/>
      <c r="CSP5749" s="911" t="s">
        <v>74</v>
      </c>
      <c r="CSQ5749" s="911"/>
      <c r="CSR5749" s="911"/>
      <c r="CSS5749" s="911"/>
      <c r="CST5749" s="911"/>
      <c r="CSU5749" s="911"/>
      <c r="CSV5749" s="911"/>
      <c r="CSW5749" s="911"/>
      <c r="CSX5749" s="911"/>
      <c r="CSY5749" s="912"/>
      <c r="CTA5749" s="913" t="s">
        <v>1</v>
      </c>
      <c r="CTB5749" s="31"/>
      <c r="CTC5749" s="909" t="s">
        <v>0</v>
      </c>
      <c r="CTD5749" s="909"/>
      <c r="CTE5749" s="909"/>
      <c r="CTF5749" s="909"/>
      <c r="CTG5749" s="909"/>
      <c r="CTH5749" s="909"/>
      <c r="CTI5749" s="907" t="s">
        <v>79</v>
      </c>
      <c r="CTJ5749" s="909" t="s">
        <v>68</v>
      </c>
      <c r="CTK5749" s="910" t="s">
        <v>75</v>
      </c>
      <c r="CTL5749" s="911"/>
      <c r="CTM5749" s="911"/>
      <c r="CTN5749" s="911"/>
      <c r="CTO5749" s="911"/>
      <c r="CTP5749" s="911"/>
      <c r="CTQ5749" s="911"/>
      <c r="CTR5749" s="911"/>
      <c r="CTS5749" s="911"/>
      <c r="CTT5749" s="911"/>
      <c r="CTU5749" s="32"/>
      <c r="CTV5749" s="911" t="s">
        <v>74</v>
      </c>
      <c r="CTW5749" s="911"/>
      <c r="CTX5749" s="911"/>
      <c r="CTY5749" s="911"/>
      <c r="CTZ5749" s="911"/>
      <c r="CUA5749" s="911"/>
      <c r="CUB5749" s="911"/>
      <c r="CUC5749" s="911"/>
      <c r="CUD5749" s="911"/>
      <c r="CUE5749" s="912"/>
      <c r="CUG5749" s="913" t="s">
        <v>1</v>
      </c>
      <c r="CUH5749" s="31"/>
      <c r="CUI5749" s="909" t="s">
        <v>0</v>
      </c>
      <c r="CUJ5749" s="909"/>
      <c r="CUK5749" s="909"/>
      <c r="CUL5749" s="909"/>
      <c r="CUM5749" s="909"/>
      <c r="CUN5749" s="909"/>
      <c r="CUO5749" s="907" t="s">
        <v>79</v>
      </c>
      <c r="CUP5749" s="909" t="s">
        <v>68</v>
      </c>
      <c r="CUQ5749" s="910" t="s">
        <v>75</v>
      </c>
      <c r="CUR5749" s="911"/>
      <c r="CUS5749" s="911"/>
      <c r="CUT5749" s="911"/>
      <c r="CUU5749" s="911"/>
      <c r="CUV5749" s="911"/>
      <c r="CUW5749" s="911"/>
      <c r="CUX5749" s="911"/>
      <c r="CUY5749" s="911"/>
      <c r="CUZ5749" s="911"/>
      <c r="CVA5749" s="32"/>
      <c r="CVB5749" s="911" t="s">
        <v>74</v>
      </c>
      <c r="CVC5749" s="911"/>
      <c r="CVD5749" s="911"/>
      <c r="CVE5749" s="911"/>
      <c r="CVF5749" s="911"/>
      <c r="CVG5749" s="911"/>
      <c r="CVH5749" s="911"/>
      <c r="CVI5749" s="911"/>
      <c r="CVJ5749" s="911"/>
      <c r="CVK5749" s="912"/>
      <c r="CVM5749" s="913" t="s">
        <v>1</v>
      </c>
      <c r="CVN5749" s="31"/>
      <c r="CVO5749" s="909" t="s">
        <v>0</v>
      </c>
      <c r="CVP5749" s="909"/>
      <c r="CVQ5749" s="909"/>
      <c r="CVR5749" s="909"/>
      <c r="CVS5749" s="909"/>
      <c r="CVT5749" s="909"/>
      <c r="CVU5749" s="907" t="s">
        <v>79</v>
      </c>
      <c r="CVV5749" s="909" t="s">
        <v>68</v>
      </c>
      <c r="CVW5749" s="910" t="s">
        <v>75</v>
      </c>
      <c r="CVX5749" s="911"/>
      <c r="CVY5749" s="911"/>
      <c r="CVZ5749" s="911"/>
      <c r="CWA5749" s="911"/>
      <c r="CWB5749" s="911"/>
      <c r="CWC5749" s="911"/>
      <c r="CWD5749" s="911"/>
      <c r="CWE5749" s="911"/>
      <c r="CWF5749" s="911"/>
      <c r="CWG5749" s="32"/>
      <c r="CWH5749" s="911" t="s">
        <v>74</v>
      </c>
      <c r="CWI5749" s="911"/>
      <c r="CWJ5749" s="911"/>
      <c r="CWK5749" s="911"/>
      <c r="CWL5749" s="911"/>
      <c r="CWM5749" s="911"/>
      <c r="CWN5749" s="911"/>
      <c r="CWO5749" s="911"/>
      <c r="CWP5749" s="911"/>
      <c r="CWQ5749" s="912"/>
      <c r="CWS5749" s="913" t="s">
        <v>1</v>
      </c>
      <c r="CWT5749" s="31"/>
      <c r="CWU5749" s="909" t="s">
        <v>0</v>
      </c>
      <c r="CWV5749" s="909"/>
      <c r="CWW5749" s="909"/>
      <c r="CWX5749" s="909"/>
      <c r="CWY5749" s="909"/>
      <c r="CWZ5749" s="909"/>
      <c r="CXA5749" s="907" t="s">
        <v>79</v>
      </c>
      <c r="CXB5749" s="909" t="s">
        <v>68</v>
      </c>
      <c r="CXC5749" s="910" t="s">
        <v>75</v>
      </c>
      <c r="CXD5749" s="911"/>
      <c r="CXE5749" s="911"/>
      <c r="CXF5749" s="911"/>
      <c r="CXG5749" s="911"/>
      <c r="CXH5749" s="911"/>
      <c r="CXI5749" s="911"/>
      <c r="CXJ5749" s="911"/>
      <c r="CXK5749" s="911"/>
      <c r="CXL5749" s="911"/>
      <c r="CXM5749" s="32"/>
      <c r="CXN5749" s="911" t="s">
        <v>74</v>
      </c>
      <c r="CXO5749" s="911"/>
      <c r="CXP5749" s="911"/>
      <c r="CXQ5749" s="911"/>
      <c r="CXR5749" s="911"/>
      <c r="CXS5749" s="911"/>
      <c r="CXT5749" s="911"/>
      <c r="CXU5749" s="911"/>
      <c r="CXV5749" s="911"/>
      <c r="CXW5749" s="912"/>
      <c r="CXY5749" s="913" t="s">
        <v>1</v>
      </c>
      <c r="CXZ5749" s="31"/>
      <c r="CYA5749" s="909" t="s">
        <v>0</v>
      </c>
      <c r="CYB5749" s="909"/>
      <c r="CYC5749" s="909"/>
      <c r="CYD5749" s="909"/>
      <c r="CYE5749" s="909"/>
      <c r="CYF5749" s="909"/>
      <c r="CYG5749" s="907" t="s">
        <v>79</v>
      </c>
      <c r="CYH5749" s="909" t="s">
        <v>68</v>
      </c>
      <c r="CYI5749" s="910" t="s">
        <v>75</v>
      </c>
      <c r="CYJ5749" s="911"/>
      <c r="CYK5749" s="911"/>
      <c r="CYL5749" s="911"/>
      <c r="CYM5749" s="911"/>
      <c r="CYN5749" s="911"/>
      <c r="CYO5749" s="911"/>
      <c r="CYP5749" s="911"/>
      <c r="CYQ5749" s="911"/>
      <c r="CYR5749" s="911"/>
      <c r="CYS5749" s="32"/>
      <c r="CYT5749" s="911" t="s">
        <v>74</v>
      </c>
      <c r="CYU5749" s="911"/>
      <c r="CYV5749" s="911"/>
      <c r="CYW5749" s="911"/>
      <c r="CYX5749" s="911"/>
      <c r="CYY5749" s="911"/>
      <c r="CYZ5749" s="911"/>
      <c r="CZA5749" s="911"/>
      <c r="CZB5749" s="911"/>
      <c r="CZC5749" s="912"/>
      <c r="CZE5749" s="913" t="s">
        <v>1</v>
      </c>
      <c r="CZF5749" s="31"/>
      <c r="CZG5749" s="909" t="s">
        <v>0</v>
      </c>
      <c r="CZH5749" s="909"/>
      <c r="CZI5749" s="909"/>
      <c r="CZJ5749" s="909"/>
      <c r="CZK5749" s="909"/>
      <c r="CZL5749" s="909"/>
      <c r="CZM5749" s="907" t="s">
        <v>79</v>
      </c>
      <c r="CZN5749" s="909" t="s">
        <v>68</v>
      </c>
      <c r="CZO5749" s="910" t="s">
        <v>75</v>
      </c>
      <c r="CZP5749" s="911"/>
      <c r="CZQ5749" s="911"/>
      <c r="CZR5749" s="911"/>
      <c r="CZS5749" s="911"/>
      <c r="CZT5749" s="911"/>
      <c r="CZU5749" s="911"/>
      <c r="CZV5749" s="911"/>
      <c r="CZW5749" s="911"/>
      <c r="CZX5749" s="911"/>
      <c r="CZY5749" s="32"/>
      <c r="CZZ5749" s="911" t="s">
        <v>74</v>
      </c>
      <c r="DAA5749" s="911"/>
      <c r="DAB5749" s="911"/>
      <c r="DAC5749" s="911"/>
      <c r="DAD5749" s="911"/>
      <c r="DAE5749" s="911"/>
      <c r="DAF5749" s="911"/>
      <c r="DAG5749" s="911"/>
      <c r="DAH5749" s="911"/>
      <c r="DAI5749" s="912"/>
      <c r="DAK5749" s="913" t="s">
        <v>1</v>
      </c>
      <c r="DAL5749" s="31"/>
      <c r="DAM5749" s="909" t="s">
        <v>0</v>
      </c>
      <c r="DAN5749" s="909"/>
      <c r="DAO5749" s="909"/>
      <c r="DAP5749" s="909"/>
      <c r="DAQ5749" s="909"/>
      <c r="DAR5749" s="909"/>
      <c r="DAS5749" s="907" t="s">
        <v>79</v>
      </c>
      <c r="DAT5749" s="909" t="s">
        <v>68</v>
      </c>
      <c r="DAU5749" s="910" t="s">
        <v>75</v>
      </c>
      <c r="DAV5749" s="911"/>
      <c r="DAW5749" s="911"/>
      <c r="DAX5749" s="911"/>
      <c r="DAY5749" s="911"/>
      <c r="DAZ5749" s="911"/>
      <c r="DBA5749" s="911"/>
      <c r="DBB5749" s="911"/>
      <c r="DBC5749" s="911"/>
      <c r="DBD5749" s="911"/>
      <c r="DBE5749" s="32"/>
      <c r="DBF5749" s="911" t="s">
        <v>74</v>
      </c>
      <c r="DBG5749" s="911"/>
      <c r="DBH5749" s="911"/>
      <c r="DBI5749" s="911"/>
      <c r="DBJ5749" s="911"/>
      <c r="DBK5749" s="911"/>
      <c r="DBL5749" s="911"/>
      <c r="DBM5749" s="911"/>
      <c r="DBN5749" s="911"/>
      <c r="DBO5749" s="912"/>
      <c r="DBQ5749" s="913" t="s">
        <v>1</v>
      </c>
      <c r="DBR5749" s="31"/>
      <c r="DBS5749" s="909" t="s">
        <v>0</v>
      </c>
      <c r="DBT5749" s="909"/>
      <c r="DBU5749" s="909"/>
      <c r="DBV5749" s="909"/>
      <c r="DBW5749" s="909"/>
      <c r="DBX5749" s="909"/>
      <c r="DBY5749" s="907" t="s">
        <v>79</v>
      </c>
      <c r="DBZ5749" s="909" t="s">
        <v>68</v>
      </c>
      <c r="DCA5749" s="910" t="s">
        <v>75</v>
      </c>
      <c r="DCB5749" s="911"/>
      <c r="DCC5749" s="911"/>
      <c r="DCD5749" s="911"/>
      <c r="DCE5749" s="911"/>
      <c r="DCF5749" s="911"/>
      <c r="DCG5749" s="911"/>
      <c r="DCH5749" s="911"/>
      <c r="DCI5749" s="911"/>
      <c r="DCJ5749" s="911"/>
      <c r="DCK5749" s="32"/>
      <c r="DCL5749" s="911" t="s">
        <v>74</v>
      </c>
      <c r="DCM5749" s="911"/>
      <c r="DCN5749" s="911"/>
      <c r="DCO5749" s="911"/>
      <c r="DCP5749" s="911"/>
      <c r="DCQ5749" s="911"/>
      <c r="DCR5749" s="911"/>
      <c r="DCS5749" s="911"/>
      <c r="DCT5749" s="911"/>
      <c r="DCU5749" s="912"/>
      <c r="DCW5749" s="913" t="s">
        <v>1</v>
      </c>
      <c r="DCX5749" s="31"/>
      <c r="DCY5749" s="909" t="s">
        <v>0</v>
      </c>
      <c r="DCZ5749" s="909"/>
      <c r="DDA5749" s="909"/>
      <c r="DDB5749" s="909"/>
      <c r="DDC5749" s="909"/>
      <c r="DDD5749" s="909"/>
      <c r="DDE5749" s="907" t="s">
        <v>79</v>
      </c>
      <c r="DDF5749" s="909" t="s">
        <v>68</v>
      </c>
      <c r="DDG5749" s="910" t="s">
        <v>75</v>
      </c>
      <c r="DDH5749" s="911"/>
      <c r="DDI5749" s="911"/>
      <c r="DDJ5749" s="911"/>
      <c r="DDK5749" s="911"/>
      <c r="DDL5749" s="911"/>
      <c r="DDM5749" s="911"/>
      <c r="DDN5749" s="911"/>
      <c r="DDO5749" s="911"/>
      <c r="DDP5749" s="911"/>
      <c r="DDQ5749" s="32"/>
      <c r="DDR5749" s="911" t="s">
        <v>74</v>
      </c>
      <c r="DDS5749" s="911"/>
      <c r="DDT5749" s="911"/>
      <c r="DDU5749" s="911"/>
      <c r="DDV5749" s="911"/>
      <c r="DDW5749" s="911"/>
      <c r="DDX5749" s="911"/>
      <c r="DDY5749" s="911"/>
      <c r="DDZ5749" s="911"/>
      <c r="DEA5749" s="912"/>
      <c r="DEC5749" s="913" t="s">
        <v>1</v>
      </c>
      <c r="DED5749" s="31"/>
      <c r="DEE5749" s="909" t="s">
        <v>0</v>
      </c>
      <c r="DEF5749" s="909"/>
      <c r="DEG5749" s="909"/>
      <c r="DEH5749" s="909"/>
      <c r="DEI5749" s="909"/>
      <c r="DEJ5749" s="909"/>
      <c r="DEK5749" s="907" t="s">
        <v>79</v>
      </c>
      <c r="DEL5749" s="909" t="s">
        <v>68</v>
      </c>
      <c r="DEM5749" s="910" t="s">
        <v>75</v>
      </c>
      <c r="DEN5749" s="911"/>
      <c r="DEO5749" s="911"/>
      <c r="DEP5749" s="911"/>
      <c r="DEQ5749" s="911"/>
      <c r="DER5749" s="911"/>
      <c r="DES5749" s="911"/>
      <c r="DET5749" s="911"/>
      <c r="DEU5749" s="911"/>
      <c r="DEV5749" s="911"/>
      <c r="DEW5749" s="32"/>
      <c r="DEX5749" s="911" t="s">
        <v>74</v>
      </c>
      <c r="DEY5749" s="911"/>
      <c r="DEZ5749" s="911"/>
      <c r="DFA5749" s="911"/>
      <c r="DFB5749" s="911"/>
      <c r="DFC5749" s="911"/>
      <c r="DFD5749" s="911"/>
      <c r="DFE5749" s="911"/>
      <c r="DFF5749" s="911"/>
      <c r="DFG5749" s="912"/>
      <c r="DFI5749" s="913" t="s">
        <v>1</v>
      </c>
      <c r="DFJ5749" s="31"/>
      <c r="DFK5749" s="909" t="s">
        <v>0</v>
      </c>
      <c r="DFL5749" s="909"/>
      <c r="DFM5749" s="909"/>
      <c r="DFN5749" s="909"/>
      <c r="DFO5749" s="909"/>
      <c r="DFP5749" s="909"/>
      <c r="DFQ5749" s="907" t="s">
        <v>79</v>
      </c>
      <c r="DFR5749" s="909" t="s">
        <v>68</v>
      </c>
      <c r="DFS5749" s="910" t="s">
        <v>75</v>
      </c>
      <c r="DFT5749" s="911"/>
      <c r="DFU5749" s="911"/>
      <c r="DFV5749" s="911"/>
      <c r="DFW5749" s="911"/>
      <c r="DFX5749" s="911"/>
      <c r="DFY5749" s="911"/>
      <c r="DFZ5749" s="911"/>
      <c r="DGA5749" s="911"/>
      <c r="DGB5749" s="911"/>
      <c r="DGC5749" s="32"/>
      <c r="DGD5749" s="911" t="s">
        <v>74</v>
      </c>
      <c r="DGE5749" s="911"/>
      <c r="DGF5749" s="911"/>
      <c r="DGG5749" s="911"/>
      <c r="DGH5749" s="911"/>
      <c r="DGI5749" s="911"/>
      <c r="DGJ5749" s="911"/>
      <c r="DGK5749" s="911"/>
      <c r="DGL5749" s="911"/>
      <c r="DGM5749" s="912"/>
      <c r="DGO5749" s="913" t="s">
        <v>1</v>
      </c>
      <c r="DGP5749" s="31"/>
      <c r="DGQ5749" s="909" t="s">
        <v>0</v>
      </c>
      <c r="DGR5749" s="909"/>
      <c r="DGS5749" s="909"/>
      <c r="DGT5749" s="909"/>
      <c r="DGU5749" s="909"/>
      <c r="DGV5749" s="909"/>
      <c r="DGW5749" s="907" t="s">
        <v>79</v>
      </c>
      <c r="DGX5749" s="909" t="s">
        <v>68</v>
      </c>
      <c r="DGY5749" s="910" t="s">
        <v>75</v>
      </c>
      <c r="DGZ5749" s="911"/>
      <c r="DHA5749" s="911"/>
      <c r="DHB5749" s="911"/>
      <c r="DHC5749" s="911"/>
      <c r="DHD5749" s="911"/>
      <c r="DHE5749" s="911"/>
      <c r="DHF5749" s="911"/>
      <c r="DHG5749" s="911"/>
      <c r="DHH5749" s="911"/>
      <c r="DHI5749" s="32"/>
      <c r="DHJ5749" s="911" t="s">
        <v>74</v>
      </c>
      <c r="DHK5749" s="911"/>
      <c r="DHL5749" s="911"/>
      <c r="DHM5749" s="911"/>
      <c r="DHN5749" s="911"/>
      <c r="DHO5749" s="911"/>
      <c r="DHP5749" s="911"/>
      <c r="DHQ5749" s="911"/>
      <c r="DHR5749" s="911"/>
      <c r="DHS5749" s="912"/>
      <c r="DHU5749" s="913" t="s">
        <v>1</v>
      </c>
      <c r="DHV5749" s="31"/>
      <c r="DHW5749" s="909" t="s">
        <v>0</v>
      </c>
      <c r="DHX5749" s="909"/>
      <c r="DHY5749" s="909"/>
      <c r="DHZ5749" s="909"/>
      <c r="DIA5749" s="909"/>
      <c r="DIB5749" s="909"/>
      <c r="DIC5749" s="907" t="s">
        <v>79</v>
      </c>
      <c r="DID5749" s="909" t="s">
        <v>68</v>
      </c>
      <c r="DIE5749" s="910" t="s">
        <v>75</v>
      </c>
      <c r="DIF5749" s="911"/>
      <c r="DIG5749" s="911"/>
      <c r="DIH5749" s="911"/>
      <c r="DII5749" s="911"/>
      <c r="DIJ5749" s="911"/>
      <c r="DIK5749" s="911"/>
      <c r="DIL5749" s="911"/>
      <c r="DIM5749" s="911"/>
      <c r="DIN5749" s="911"/>
      <c r="DIO5749" s="32"/>
      <c r="DIP5749" s="911" t="s">
        <v>74</v>
      </c>
      <c r="DIQ5749" s="911"/>
      <c r="DIR5749" s="911"/>
      <c r="DIS5749" s="911"/>
      <c r="DIT5749" s="911"/>
      <c r="DIU5749" s="911"/>
      <c r="DIV5749" s="911"/>
      <c r="DIW5749" s="911"/>
      <c r="DIX5749" s="911"/>
      <c r="DIY5749" s="912"/>
      <c r="DJA5749" s="913" t="s">
        <v>1</v>
      </c>
      <c r="DJB5749" s="31"/>
      <c r="DJC5749" s="909" t="s">
        <v>0</v>
      </c>
      <c r="DJD5749" s="909"/>
      <c r="DJE5749" s="909"/>
      <c r="DJF5749" s="909"/>
      <c r="DJG5749" s="909"/>
      <c r="DJH5749" s="909"/>
      <c r="DJI5749" s="907" t="s">
        <v>79</v>
      </c>
      <c r="DJJ5749" s="909" t="s">
        <v>68</v>
      </c>
      <c r="DJK5749" s="910" t="s">
        <v>75</v>
      </c>
      <c r="DJL5749" s="911"/>
      <c r="DJM5749" s="911"/>
      <c r="DJN5749" s="911"/>
      <c r="DJO5749" s="911"/>
      <c r="DJP5749" s="911"/>
      <c r="DJQ5749" s="911"/>
      <c r="DJR5749" s="911"/>
      <c r="DJS5749" s="911"/>
      <c r="DJT5749" s="911"/>
      <c r="DJU5749" s="32"/>
      <c r="DJV5749" s="911" t="s">
        <v>74</v>
      </c>
      <c r="DJW5749" s="911"/>
      <c r="DJX5749" s="911"/>
      <c r="DJY5749" s="911"/>
      <c r="DJZ5749" s="911"/>
      <c r="DKA5749" s="911"/>
      <c r="DKB5749" s="911"/>
      <c r="DKC5749" s="911"/>
      <c r="DKD5749" s="911"/>
      <c r="DKE5749" s="912"/>
      <c r="DKG5749" s="913" t="s">
        <v>1</v>
      </c>
      <c r="DKH5749" s="31"/>
      <c r="DKI5749" s="909" t="s">
        <v>0</v>
      </c>
      <c r="DKJ5749" s="909"/>
      <c r="DKK5749" s="909"/>
      <c r="DKL5749" s="909"/>
      <c r="DKM5749" s="909"/>
      <c r="DKN5749" s="909"/>
      <c r="DKO5749" s="907" t="s">
        <v>79</v>
      </c>
      <c r="DKP5749" s="909" t="s">
        <v>68</v>
      </c>
      <c r="DKQ5749" s="910" t="s">
        <v>75</v>
      </c>
      <c r="DKR5749" s="911"/>
      <c r="DKS5749" s="911"/>
      <c r="DKT5749" s="911"/>
      <c r="DKU5749" s="911"/>
      <c r="DKV5749" s="911"/>
      <c r="DKW5749" s="911"/>
      <c r="DKX5749" s="911"/>
      <c r="DKY5749" s="911"/>
      <c r="DKZ5749" s="911"/>
      <c r="DLA5749" s="32"/>
      <c r="DLB5749" s="911" t="s">
        <v>74</v>
      </c>
      <c r="DLC5749" s="911"/>
      <c r="DLD5749" s="911"/>
      <c r="DLE5749" s="911"/>
      <c r="DLF5749" s="911"/>
      <c r="DLG5749" s="911"/>
      <c r="DLH5749" s="911"/>
      <c r="DLI5749" s="911"/>
      <c r="DLJ5749" s="911"/>
      <c r="DLK5749" s="912"/>
      <c r="DLM5749" s="913" t="s">
        <v>1</v>
      </c>
      <c r="DLN5749" s="31"/>
      <c r="DLO5749" s="909" t="s">
        <v>0</v>
      </c>
      <c r="DLP5749" s="909"/>
      <c r="DLQ5749" s="909"/>
      <c r="DLR5749" s="909"/>
      <c r="DLS5749" s="909"/>
      <c r="DLT5749" s="909"/>
      <c r="DLU5749" s="907" t="s">
        <v>79</v>
      </c>
      <c r="DLV5749" s="909" t="s">
        <v>68</v>
      </c>
      <c r="DLW5749" s="910" t="s">
        <v>75</v>
      </c>
      <c r="DLX5749" s="911"/>
      <c r="DLY5749" s="911"/>
      <c r="DLZ5749" s="911"/>
      <c r="DMA5749" s="911"/>
      <c r="DMB5749" s="911"/>
      <c r="DMC5749" s="911"/>
      <c r="DMD5749" s="911"/>
      <c r="DME5749" s="911"/>
      <c r="DMF5749" s="911"/>
      <c r="DMG5749" s="32"/>
      <c r="DMH5749" s="911" t="s">
        <v>74</v>
      </c>
      <c r="DMI5749" s="911"/>
      <c r="DMJ5749" s="911"/>
      <c r="DMK5749" s="911"/>
      <c r="DML5749" s="911"/>
      <c r="DMM5749" s="911"/>
      <c r="DMN5749" s="911"/>
      <c r="DMO5749" s="911"/>
      <c r="DMP5749" s="911"/>
      <c r="DMQ5749" s="912"/>
      <c r="DMS5749" s="913" t="s">
        <v>1</v>
      </c>
      <c r="DMT5749" s="31"/>
      <c r="DMU5749" s="909" t="s">
        <v>0</v>
      </c>
      <c r="DMV5749" s="909"/>
      <c r="DMW5749" s="909"/>
      <c r="DMX5749" s="909"/>
      <c r="DMY5749" s="909"/>
      <c r="DMZ5749" s="909"/>
      <c r="DNA5749" s="907" t="s">
        <v>79</v>
      </c>
      <c r="DNB5749" s="909" t="s">
        <v>68</v>
      </c>
      <c r="DNC5749" s="910" t="s">
        <v>75</v>
      </c>
      <c r="DND5749" s="911"/>
      <c r="DNE5749" s="911"/>
      <c r="DNF5749" s="911"/>
      <c r="DNG5749" s="911"/>
      <c r="DNH5749" s="911"/>
      <c r="DNI5749" s="911"/>
      <c r="DNJ5749" s="911"/>
      <c r="DNK5749" s="911"/>
      <c r="DNL5749" s="911"/>
      <c r="DNM5749" s="32"/>
      <c r="DNN5749" s="911" t="s">
        <v>74</v>
      </c>
      <c r="DNO5749" s="911"/>
      <c r="DNP5749" s="911"/>
      <c r="DNQ5749" s="911"/>
      <c r="DNR5749" s="911"/>
      <c r="DNS5749" s="911"/>
      <c r="DNT5749" s="911"/>
      <c r="DNU5749" s="911"/>
      <c r="DNV5749" s="911"/>
      <c r="DNW5749" s="912"/>
      <c r="DNY5749" s="913" t="s">
        <v>1</v>
      </c>
      <c r="DNZ5749" s="31"/>
      <c r="DOA5749" s="909" t="s">
        <v>0</v>
      </c>
      <c r="DOB5749" s="909"/>
      <c r="DOC5749" s="909"/>
      <c r="DOD5749" s="909"/>
      <c r="DOE5749" s="909"/>
      <c r="DOF5749" s="909"/>
      <c r="DOG5749" s="907" t="s">
        <v>79</v>
      </c>
      <c r="DOH5749" s="909" t="s">
        <v>68</v>
      </c>
      <c r="DOI5749" s="910" t="s">
        <v>75</v>
      </c>
      <c r="DOJ5749" s="911"/>
      <c r="DOK5749" s="911"/>
      <c r="DOL5749" s="911"/>
      <c r="DOM5749" s="911"/>
      <c r="DON5749" s="911"/>
      <c r="DOO5749" s="911"/>
      <c r="DOP5749" s="911"/>
      <c r="DOQ5749" s="911"/>
      <c r="DOR5749" s="911"/>
      <c r="DOS5749" s="32"/>
      <c r="DOT5749" s="911" t="s">
        <v>74</v>
      </c>
      <c r="DOU5749" s="911"/>
      <c r="DOV5749" s="911"/>
      <c r="DOW5749" s="911"/>
      <c r="DOX5749" s="911"/>
      <c r="DOY5749" s="911"/>
      <c r="DOZ5749" s="911"/>
      <c r="DPA5749" s="911"/>
      <c r="DPB5749" s="911"/>
      <c r="DPC5749" s="912"/>
      <c r="DPE5749" s="913" t="s">
        <v>1</v>
      </c>
      <c r="DPF5749" s="31"/>
      <c r="DPG5749" s="909" t="s">
        <v>0</v>
      </c>
      <c r="DPH5749" s="909"/>
      <c r="DPI5749" s="909"/>
      <c r="DPJ5749" s="909"/>
      <c r="DPK5749" s="909"/>
      <c r="DPL5749" s="909"/>
      <c r="DPM5749" s="907" t="s">
        <v>79</v>
      </c>
      <c r="DPN5749" s="909" t="s">
        <v>68</v>
      </c>
      <c r="DPO5749" s="910" t="s">
        <v>75</v>
      </c>
      <c r="DPP5749" s="911"/>
      <c r="DPQ5749" s="911"/>
      <c r="DPR5749" s="911"/>
      <c r="DPS5749" s="911"/>
      <c r="DPT5749" s="911"/>
      <c r="DPU5749" s="911"/>
      <c r="DPV5749" s="911"/>
      <c r="DPW5749" s="911"/>
      <c r="DPX5749" s="911"/>
      <c r="DPY5749" s="32"/>
      <c r="DPZ5749" s="911" t="s">
        <v>74</v>
      </c>
      <c r="DQA5749" s="911"/>
      <c r="DQB5749" s="911"/>
      <c r="DQC5749" s="911"/>
      <c r="DQD5749" s="911"/>
      <c r="DQE5749" s="911"/>
      <c r="DQF5749" s="911"/>
      <c r="DQG5749" s="911"/>
      <c r="DQH5749" s="911"/>
      <c r="DQI5749" s="912"/>
      <c r="DQK5749" s="913" t="s">
        <v>1</v>
      </c>
      <c r="DQL5749" s="31"/>
      <c r="DQM5749" s="909" t="s">
        <v>0</v>
      </c>
      <c r="DQN5749" s="909"/>
      <c r="DQO5749" s="909"/>
      <c r="DQP5749" s="909"/>
      <c r="DQQ5749" s="909"/>
      <c r="DQR5749" s="909"/>
      <c r="DQS5749" s="907" t="s">
        <v>79</v>
      </c>
      <c r="DQT5749" s="909" t="s">
        <v>68</v>
      </c>
      <c r="DQU5749" s="910" t="s">
        <v>75</v>
      </c>
      <c r="DQV5749" s="911"/>
      <c r="DQW5749" s="911"/>
      <c r="DQX5749" s="911"/>
      <c r="DQY5749" s="911"/>
      <c r="DQZ5749" s="911"/>
      <c r="DRA5749" s="911"/>
      <c r="DRB5749" s="911"/>
      <c r="DRC5749" s="911"/>
      <c r="DRD5749" s="911"/>
      <c r="DRE5749" s="32"/>
      <c r="DRF5749" s="911" t="s">
        <v>74</v>
      </c>
      <c r="DRG5749" s="911"/>
      <c r="DRH5749" s="911"/>
      <c r="DRI5749" s="911"/>
      <c r="DRJ5749" s="911"/>
      <c r="DRK5749" s="911"/>
      <c r="DRL5749" s="911"/>
      <c r="DRM5749" s="911"/>
      <c r="DRN5749" s="911"/>
      <c r="DRO5749" s="912"/>
      <c r="DRQ5749" s="913" t="s">
        <v>1</v>
      </c>
      <c r="DRR5749" s="31"/>
      <c r="DRS5749" s="909" t="s">
        <v>0</v>
      </c>
      <c r="DRT5749" s="909"/>
      <c r="DRU5749" s="909"/>
      <c r="DRV5749" s="909"/>
      <c r="DRW5749" s="909"/>
      <c r="DRX5749" s="909"/>
      <c r="DRY5749" s="907" t="s">
        <v>79</v>
      </c>
      <c r="DRZ5749" s="909" t="s">
        <v>68</v>
      </c>
      <c r="DSA5749" s="910" t="s">
        <v>75</v>
      </c>
      <c r="DSB5749" s="911"/>
      <c r="DSC5749" s="911"/>
      <c r="DSD5749" s="911"/>
      <c r="DSE5749" s="911"/>
      <c r="DSF5749" s="911"/>
      <c r="DSG5749" s="911"/>
      <c r="DSH5749" s="911"/>
      <c r="DSI5749" s="911"/>
      <c r="DSJ5749" s="911"/>
      <c r="DSK5749" s="32"/>
      <c r="DSL5749" s="911" t="s">
        <v>74</v>
      </c>
      <c r="DSM5749" s="911"/>
      <c r="DSN5749" s="911"/>
      <c r="DSO5749" s="911"/>
      <c r="DSP5749" s="911"/>
      <c r="DSQ5749" s="911"/>
      <c r="DSR5749" s="911"/>
      <c r="DSS5749" s="911"/>
      <c r="DST5749" s="911"/>
      <c r="DSU5749" s="912"/>
      <c r="DSW5749" s="913" t="s">
        <v>1</v>
      </c>
      <c r="DSX5749" s="31"/>
      <c r="DSY5749" s="909" t="s">
        <v>0</v>
      </c>
      <c r="DSZ5749" s="909"/>
      <c r="DTA5749" s="909"/>
      <c r="DTB5749" s="909"/>
      <c r="DTC5749" s="909"/>
      <c r="DTD5749" s="909"/>
      <c r="DTE5749" s="907" t="s">
        <v>79</v>
      </c>
      <c r="DTF5749" s="909" t="s">
        <v>68</v>
      </c>
      <c r="DTG5749" s="910" t="s">
        <v>75</v>
      </c>
      <c r="DTH5749" s="911"/>
      <c r="DTI5749" s="911"/>
      <c r="DTJ5749" s="911"/>
      <c r="DTK5749" s="911"/>
      <c r="DTL5749" s="911"/>
      <c r="DTM5749" s="911"/>
      <c r="DTN5749" s="911"/>
      <c r="DTO5749" s="911"/>
      <c r="DTP5749" s="911"/>
      <c r="DTQ5749" s="32"/>
      <c r="DTR5749" s="911" t="s">
        <v>74</v>
      </c>
      <c r="DTS5749" s="911"/>
      <c r="DTT5749" s="911"/>
      <c r="DTU5749" s="911"/>
      <c r="DTV5749" s="911"/>
      <c r="DTW5749" s="911"/>
      <c r="DTX5749" s="911"/>
      <c r="DTY5749" s="911"/>
      <c r="DTZ5749" s="911"/>
      <c r="DUA5749" s="912"/>
      <c r="DUC5749" s="913" t="s">
        <v>1</v>
      </c>
      <c r="DUD5749" s="31"/>
      <c r="DUE5749" s="909" t="s">
        <v>0</v>
      </c>
      <c r="DUF5749" s="909"/>
      <c r="DUG5749" s="909"/>
      <c r="DUH5749" s="909"/>
      <c r="DUI5749" s="909"/>
      <c r="DUJ5749" s="909"/>
      <c r="DUK5749" s="907" t="s">
        <v>79</v>
      </c>
      <c r="DUL5749" s="909" t="s">
        <v>68</v>
      </c>
      <c r="DUM5749" s="910" t="s">
        <v>75</v>
      </c>
      <c r="DUN5749" s="911"/>
      <c r="DUO5749" s="911"/>
      <c r="DUP5749" s="911"/>
      <c r="DUQ5749" s="911"/>
      <c r="DUR5749" s="911"/>
      <c r="DUS5749" s="911"/>
      <c r="DUT5749" s="911"/>
      <c r="DUU5749" s="911"/>
      <c r="DUV5749" s="911"/>
      <c r="DUW5749" s="32"/>
      <c r="DUX5749" s="911" t="s">
        <v>74</v>
      </c>
      <c r="DUY5749" s="911"/>
      <c r="DUZ5749" s="911"/>
      <c r="DVA5749" s="911"/>
      <c r="DVB5749" s="911"/>
      <c r="DVC5749" s="911"/>
      <c r="DVD5749" s="911"/>
      <c r="DVE5749" s="911"/>
      <c r="DVF5749" s="911"/>
      <c r="DVG5749" s="912"/>
      <c r="DVI5749" s="913" t="s">
        <v>1</v>
      </c>
      <c r="DVJ5749" s="31"/>
      <c r="DVK5749" s="909" t="s">
        <v>0</v>
      </c>
      <c r="DVL5749" s="909"/>
      <c r="DVM5749" s="909"/>
      <c r="DVN5749" s="909"/>
      <c r="DVO5749" s="909"/>
      <c r="DVP5749" s="909"/>
      <c r="DVQ5749" s="907" t="s">
        <v>79</v>
      </c>
      <c r="DVR5749" s="909" t="s">
        <v>68</v>
      </c>
      <c r="DVS5749" s="910" t="s">
        <v>75</v>
      </c>
      <c r="DVT5749" s="911"/>
      <c r="DVU5749" s="911"/>
      <c r="DVV5749" s="911"/>
      <c r="DVW5749" s="911"/>
      <c r="DVX5749" s="911"/>
      <c r="DVY5749" s="911"/>
      <c r="DVZ5749" s="911"/>
      <c r="DWA5749" s="911"/>
      <c r="DWB5749" s="911"/>
      <c r="DWC5749" s="32"/>
      <c r="DWD5749" s="911" t="s">
        <v>74</v>
      </c>
      <c r="DWE5749" s="911"/>
      <c r="DWF5749" s="911"/>
      <c r="DWG5749" s="911"/>
      <c r="DWH5749" s="911"/>
      <c r="DWI5749" s="911"/>
      <c r="DWJ5749" s="911"/>
      <c r="DWK5749" s="911"/>
      <c r="DWL5749" s="911"/>
      <c r="DWM5749" s="912"/>
      <c r="DWO5749" s="913" t="s">
        <v>1</v>
      </c>
      <c r="DWP5749" s="31"/>
      <c r="DWQ5749" s="909" t="s">
        <v>0</v>
      </c>
      <c r="DWR5749" s="909"/>
      <c r="DWS5749" s="909"/>
      <c r="DWT5749" s="909"/>
      <c r="DWU5749" s="909"/>
      <c r="DWV5749" s="909"/>
      <c r="DWW5749" s="907" t="s">
        <v>79</v>
      </c>
      <c r="DWX5749" s="909" t="s">
        <v>68</v>
      </c>
      <c r="DWY5749" s="910" t="s">
        <v>75</v>
      </c>
      <c r="DWZ5749" s="911"/>
      <c r="DXA5749" s="911"/>
      <c r="DXB5749" s="911"/>
      <c r="DXC5749" s="911"/>
      <c r="DXD5749" s="911"/>
      <c r="DXE5749" s="911"/>
      <c r="DXF5749" s="911"/>
      <c r="DXG5749" s="911"/>
      <c r="DXH5749" s="911"/>
      <c r="DXI5749" s="32"/>
      <c r="DXJ5749" s="911" t="s">
        <v>74</v>
      </c>
      <c r="DXK5749" s="911"/>
      <c r="DXL5749" s="911"/>
      <c r="DXM5749" s="911"/>
      <c r="DXN5749" s="911"/>
      <c r="DXO5749" s="911"/>
      <c r="DXP5749" s="911"/>
      <c r="DXQ5749" s="911"/>
      <c r="DXR5749" s="911"/>
      <c r="DXS5749" s="912"/>
      <c r="DXU5749" s="913" t="s">
        <v>1</v>
      </c>
      <c r="DXV5749" s="31"/>
      <c r="DXW5749" s="909" t="s">
        <v>0</v>
      </c>
      <c r="DXX5749" s="909"/>
      <c r="DXY5749" s="909"/>
      <c r="DXZ5749" s="909"/>
      <c r="DYA5749" s="909"/>
      <c r="DYB5749" s="909"/>
      <c r="DYC5749" s="907" t="s">
        <v>79</v>
      </c>
      <c r="DYD5749" s="909" t="s">
        <v>68</v>
      </c>
      <c r="DYE5749" s="910" t="s">
        <v>75</v>
      </c>
      <c r="DYF5749" s="911"/>
      <c r="DYG5749" s="911"/>
      <c r="DYH5749" s="911"/>
      <c r="DYI5749" s="911"/>
      <c r="DYJ5749" s="911"/>
      <c r="DYK5749" s="911"/>
      <c r="DYL5749" s="911"/>
      <c r="DYM5749" s="911"/>
      <c r="DYN5749" s="911"/>
      <c r="DYO5749" s="32"/>
      <c r="DYP5749" s="911" t="s">
        <v>74</v>
      </c>
      <c r="DYQ5749" s="911"/>
      <c r="DYR5749" s="911"/>
      <c r="DYS5749" s="911"/>
      <c r="DYT5749" s="911"/>
      <c r="DYU5749" s="911"/>
      <c r="DYV5749" s="911"/>
      <c r="DYW5749" s="911"/>
      <c r="DYX5749" s="911"/>
      <c r="DYY5749" s="912"/>
      <c r="DZA5749" s="913" t="s">
        <v>1</v>
      </c>
      <c r="DZB5749" s="31"/>
      <c r="DZC5749" s="909" t="s">
        <v>0</v>
      </c>
      <c r="DZD5749" s="909"/>
      <c r="DZE5749" s="909"/>
      <c r="DZF5749" s="909"/>
      <c r="DZG5749" s="909"/>
      <c r="DZH5749" s="909"/>
      <c r="DZI5749" s="907" t="s">
        <v>79</v>
      </c>
      <c r="DZJ5749" s="909" t="s">
        <v>68</v>
      </c>
      <c r="DZK5749" s="910" t="s">
        <v>75</v>
      </c>
      <c r="DZL5749" s="911"/>
      <c r="DZM5749" s="911"/>
      <c r="DZN5749" s="911"/>
      <c r="DZO5749" s="911"/>
      <c r="DZP5749" s="911"/>
      <c r="DZQ5749" s="911"/>
      <c r="DZR5749" s="911"/>
      <c r="DZS5749" s="911"/>
      <c r="DZT5749" s="911"/>
      <c r="DZU5749" s="32"/>
      <c r="DZV5749" s="911" t="s">
        <v>74</v>
      </c>
      <c r="DZW5749" s="911"/>
      <c r="DZX5749" s="911"/>
      <c r="DZY5749" s="911"/>
      <c r="DZZ5749" s="911"/>
      <c r="EAA5749" s="911"/>
      <c r="EAB5749" s="911"/>
      <c r="EAC5749" s="911"/>
      <c r="EAD5749" s="911"/>
      <c r="EAE5749" s="912"/>
      <c r="EAG5749" s="913" t="s">
        <v>1</v>
      </c>
      <c r="EAH5749" s="31"/>
      <c r="EAI5749" s="909" t="s">
        <v>0</v>
      </c>
      <c r="EAJ5749" s="909"/>
      <c r="EAK5749" s="909"/>
      <c r="EAL5749" s="909"/>
      <c r="EAM5749" s="909"/>
      <c r="EAN5749" s="909"/>
      <c r="EAO5749" s="907" t="s">
        <v>79</v>
      </c>
      <c r="EAP5749" s="909" t="s">
        <v>68</v>
      </c>
      <c r="EAQ5749" s="910" t="s">
        <v>75</v>
      </c>
      <c r="EAR5749" s="911"/>
      <c r="EAS5749" s="911"/>
      <c r="EAT5749" s="911"/>
      <c r="EAU5749" s="911"/>
      <c r="EAV5749" s="911"/>
      <c r="EAW5749" s="911"/>
      <c r="EAX5749" s="911"/>
      <c r="EAY5749" s="911"/>
      <c r="EAZ5749" s="911"/>
      <c r="EBA5749" s="32"/>
      <c r="EBB5749" s="911" t="s">
        <v>74</v>
      </c>
      <c r="EBC5749" s="911"/>
      <c r="EBD5749" s="911"/>
      <c r="EBE5749" s="911"/>
      <c r="EBF5749" s="911"/>
      <c r="EBG5749" s="911"/>
      <c r="EBH5749" s="911"/>
      <c r="EBI5749" s="911"/>
      <c r="EBJ5749" s="911"/>
      <c r="EBK5749" s="912"/>
      <c r="EBM5749" s="913" t="s">
        <v>1</v>
      </c>
      <c r="EBN5749" s="31"/>
      <c r="EBO5749" s="909" t="s">
        <v>0</v>
      </c>
      <c r="EBP5749" s="909"/>
      <c r="EBQ5749" s="909"/>
      <c r="EBR5749" s="909"/>
      <c r="EBS5749" s="909"/>
      <c r="EBT5749" s="909"/>
      <c r="EBU5749" s="907" t="s">
        <v>79</v>
      </c>
      <c r="EBV5749" s="909" t="s">
        <v>68</v>
      </c>
      <c r="EBW5749" s="910" t="s">
        <v>75</v>
      </c>
      <c r="EBX5749" s="911"/>
      <c r="EBY5749" s="911"/>
      <c r="EBZ5749" s="911"/>
      <c r="ECA5749" s="911"/>
      <c r="ECB5749" s="911"/>
      <c r="ECC5749" s="911"/>
      <c r="ECD5749" s="911"/>
      <c r="ECE5749" s="911"/>
      <c r="ECF5749" s="911"/>
      <c r="ECG5749" s="32"/>
      <c r="ECH5749" s="911" t="s">
        <v>74</v>
      </c>
      <c r="ECI5749" s="911"/>
      <c r="ECJ5749" s="911"/>
      <c r="ECK5749" s="911"/>
      <c r="ECL5749" s="911"/>
      <c r="ECM5749" s="911"/>
      <c r="ECN5749" s="911"/>
      <c r="ECO5749" s="911"/>
      <c r="ECP5749" s="911"/>
      <c r="ECQ5749" s="912"/>
      <c r="ECS5749" s="913" t="s">
        <v>1</v>
      </c>
      <c r="ECT5749" s="31"/>
      <c r="ECU5749" s="909" t="s">
        <v>0</v>
      </c>
      <c r="ECV5749" s="909"/>
      <c r="ECW5749" s="909"/>
      <c r="ECX5749" s="909"/>
      <c r="ECY5749" s="909"/>
      <c r="ECZ5749" s="909"/>
      <c r="EDA5749" s="907" t="s">
        <v>79</v>
      </c>
      <c r="EDB5749" s="909" t="s">
        <v>68</v>
      </c>
      <c r="EDC5749" s="910" t="s">
        <v>75</v>
      </c>
      <c r="EDD5749" s="911"/>
      <c r="EDE5749" s="911"/>
      <c r="EDF5749" s="911"/>
      <c r="EDG5749" s="911"/>
      <c r="EDH5749" s="911"/>
      <c r="EDI5749" s="911"/>
      <c r="EDJ5749" s="911"/>
      <c r="EDK5749" s="911"/>
      <c r="EDL5749" s="911"/>
      <c r="EDM5749" s="32"/>
      <c r="EDN5749" s="911" t="s">
        <v>74</v>
      </c>
      <c r="EDO5749" s="911"/>
      <c r="EDP5749" s="911"/>
      <c r="EDQ5749" s="911"/>
      <c r="EDR5749" s="911"/>
      <c r="EDS5749" s="911"/>
      <c r="EDT5749" s="911"/>
      <c r="EDU5749" s="911"/>
      <c r="EDV5749" s="911"/>
      <c r="EDW5749" s="912"/>
      <c r="EDY5749" s="913" t="s">
        <v>1</v>
      </c>
      <c r="EDZ5749" s="31"/>
      <c r="EEA5749" s="909" t="s">
        <v>0</v>
      </c>
      <c r="EEB5749" s="909"/>
      <c r="EEC5749" s="909"/>
      <c r="EED5749" s="909"/>
      <c r="EEE5749" s="909"/>
      <c r="EEF5749" s="909"/>
      <c r="EEG5749" s="907" t="s">
        <v>79</v>
      </c>
      <c r="EEH5749" s="909" t="s">
        <v>68</v>
      </c>
      <c r="EEI5749" s="910" t="s">
        <v>75</v>
      </c>
      <c r="EEJ5749" s="911"/>
      <c r="EEK5749" s="911"/>
      <c r="EEL5749" s="911"/>
      <c r="EEM5749" s="911"/>
      <c r="EEN5749" s="911"/>
      <c r="EEO5749" s="911"/>
      <c r="EEP5749" s="911"/>
      <c r="EEQ5749" s="911"/>
      <c r="EER5749" s="911"/>
      <c r="EES5749" s="32"/>
      <c r="EET5749" s="911" t="s">
        <v>74</v>
      </c>
      <c r="EEU5749" s="911"/>
      <c r="EEV5749" s="911"/>
      <c r="EEW5749" s="911"/>
      <c r="EEX5749" s="911"/>
      <c r="EEY5749" s="911"/>
      <c r="EEZ5749" s="911"/>
      <c r="EFA5749" s="911"/>
      <c r="EFB5749" s="911"/>
      <c r="EFC5749" s="912"/>
      <c r="EFE5749" s="913" t="s">
        <v>1</v>
      </c>
      <c r="EFF5749" s="31"/>
      <c r="EFG5749" s="909" t="s">
        <v>0</v>
      </c>
      <c r="EFH5749" s="909"/>
      <c r="EFI5749" s="909"/>
      <c r="EFJ5749" s="909"/>
      <c r="EFK5749" s="909"/>
      <c r="EFL5749" s="909"/>
      <c r="EFM5749" s="907" t="s">
        <v>79</v>
      </c>
      <c r="EFN5749" s="909" t="s">
        <v>68</v>
      </c>
      <c r="EFO5749" s="910" t="s">
        <v>75</v>
      </c>
      <c r="EFP5749" s="911"/>
      <c r="EFQ5749" s="911"/>
      <c r="EFR5749" s="911"/>
      <c r="EFS5749" s="911"/>
      <c r="EFT5749" s="911"/>
      <c r="EFU5749" s="911"/>
      <c r="EFV5749" s="911"/>
      <c r="EFW5749" s="911"/>
      <c r="EFX5749" s="911"/>
      <c r="EFY5749" s="32"/>
      <c r="EFZ5749" s="911" t="s">
        <v>74</v>
      </c>
      <c r="EGA5749" s="911"/>
      <c r="EGB5749" s="911"/>
      <c r="EGC5749" s="911"/>
      <c r="EGD5749" s="911"/>
      <c r="EGE5749" s="911"/>
      <c r="EGF5749" s="911"/>
      <c r="EGG5749" s="911"/>
      <c r="EGH5749" s="911"/>
      <c r="EGI5749" s="912"/>
      <c r="EGK5749" s="913" t="s">
        <v>1</v>
      </c>
      <c r="EGL5749" s="31"/>
      <c r="EGM5749" s="909" t="s">
        <v>0</v>
      </c>
      <c r="EGN5749" s="909"/>
      <c r="EGO5749" s="909"/>
      <c r="EGP5749" s="909"/>
      <c r="EGQ5749" s="909"/>
      <c r="EGR5749" s="909"/>
      <c r="EGS5749" s="907" t="s">
        <v>79</v>
      </c>
      <c r="EGT5749" s="909" t="s">
        <v>68</v>
      </c>
      <c r="EGU5749" s="910" t="s">
        <v>75</v>
      </c>
      <c r="EGV5749" s="911"/>
      <c r="EGW5749" s="911"/>
      <c r="EGX5749" s="911"/>
      <c r="EGY5749" s="911"/>
      <c r="EGZ5749" s="911"/>
      <c r="EHA5749" s="911"/>
      <c r="EHB5749" s="911"/>
      <c r="EHC5749" s="911"/>
      <c r="EHD5749" s="911"/>
      <c r="EHE5749" s="32"/>
      <c r="EHF5749" s="911" t="s">
        <v>74</v>
      </c>
      <c r="EHG5749" s="911"/>
      <c r="EHH5749" s="911"/>
      <c r="EHI5749" s="911"/>
      <c r="EHJ5749" s="911"/>
      <c r="EHK5749" s="911"/>
      <c r="EHL5749" s="911"/>
      <c r="EHM5749" s="911"/>
      <c r="EHN5749" s="911"/>
      <c r="EHO5749" s="912"/>
      <c r="EHQ5749" s="913" t="s">
        <v>1</v>
      </c>
      <c r="EHR5749" s="31"/>
      <c r="EHS5749" s="909" t="s">
        <v>0</v>
      </c>
      <c r="EHT5749" s="909"/>
      <c r="EHU5749" s="909"/>
      <c r="EHV5749" s="909"/>
      <c r="EHW5749" s="909"/>
      <c r="EHX5749" s="909"/>
      <c r="EHY5749" s="907" t="s">
        <v>79</v>
      </c>
      <c r="EHZ5749" s="909" t="s">
        <v>68</v>
      </c>
      <c r="EIA5749" s="910" t="s">
        <v>75</v>
      </c>
      <c r="EIB5749" s="911"/>
      <c r="EIC5749" s="911"/>
      <c r="EID5749" s="911"/>
      <c r="EIE5749" s="911"/>
      <c r="EIF5749" s="911"/>
      <c r="EIG5749" s="911"/>
      <c r="EIH5749" s="911"/>
      <c r="EII5749" s="911"/>
      <c r="EIJ5749" s="911"/>
      <c r="EIK5749" s="32"/>
      <c r="EIL5749" s="911" t="s">
        <v>74</v>
      </c>
      <c r="EIM5749" s="911"/>
      <c r="EIN5749" s="911"/>
      <c r="EIO5749" s="911"/>
      <c r="EIP5749" s="911"/>
      <c r="EIQ5749" s="911"/>
      <c r="EIR5749" s="911"/>
      <c r="EIS5749" s="911"/>
      <c r="EIT5749" s="911"/>
      <c r="EIU5749" s="912"/>
      <c r="EIW5749" s="913" t="s">
        <v>1</v>
      </c>
      <c r="EIX5749" s="31"/>
      <c r="EIY5749" s="909" t="s">
        <v>0</v>
      </c>
      <c r="EIZ5749" s="909"/>
      <c r="EJA5749" s="909"/>
      <c r="EJB5749" s="909"/>
      <c r="EJC5749" s="909"/>
      <c r="EJD5749" s="909"/>
      <c r="EJE5749" s="907" t="s">
        <v>79</v>
      </c>
      <c r="EJF5749" s="909" t="s">
        <v>68</v>
      </c>
      <c r="EJG5749" s="910" t="s">
        <v>75</v>
      </c>
      <c r="EJH5749" s="911"/>
      <c r="EJI5749" s="911"/>
      <c r="EJJ5749" s="911"/>
      <c r="EJK5749" s="911"/>
      <c r="EJL5749" s="911"/>
      <c r="EJM5749" s="911"/>
      <c r="EJN5749" s="911"/>
      <c r="EJO5749" s="911"/>
      <c r="EJP5749" s="911"/>
      <c r="EJQ5749" s="32"/>
      <c r="EJR5749" s="911" t="s">
        <v>74</v>
      </c>
      <c r="EJS5749" s="911"/>
      <c r="EJT5749" s="911"/>
      <c r="EJU5749" s="911"/>
      <c r="EJV5749" s="911"/>
      <c r="EJW5749" s="911"/>
      <c r="EJX5749" s="911"/>
      <c r="EJY5749" s="911"/>
      <c r="EJZ5749" s="911"/>
      <c r="EKA5749" s="912"/>
      <c r="EKC5749" s="913" t="s">
        <v>1</v>
      </c>
      <c r="EKD5749" s="31"/>
      <c r="EKE5749" s="909" t="s">
        <v>0</v>
      </c>
      <c r="EKF5749" s="909"/>
      <c r="EKG5749" s="909"/>
      <c r="EKH5749" s="909"/>
      <c r="EKI5749" s="909"/>
      <c r="EKJ5749" s="909"/>
      <c r="EKK5749" s="907" t="s">
        <v>79</v>
      </c>
      <c r="EKL5749" s="909" t="s">
        <v>68</v>
      </c>
      <c r="EKM5749" s="910" t="s">
        <v>75</v>
      </c>
      <c r="EKN5749" s="911"/>
      <c r="EKO5749" s="911"/>
      <c r="EKP5749" s="911"/>
      <c r="EKQ5749" s="911"/>
      <c r="EKR5749" s="911"/>
      <c r="EKS5749" s="911"/>
      <c r="EKT5749" s="911"/>
      <c r="EKU5749" s="911"/>
      <c r="EKV5749" s="911"/>
      <c r="EKW5749" s="32"/>
      <c r="EKX5749" s="911" t="s">
        <v>74</v>
      </c>
      <c r="EKY5749" s="911"/>
      <c r="EKZ5749" s="911"/>
      <c r="ELA5749" s="911"/>
      <c r="ELB5749" s="911"/>
      <c r="ELC5749" s="911"/>
      <c r="ELD5749" s="911"/>
      <c r="ELE5749" s="911"/>
      <c r="ELF5749" s="911"/>
      <c r="ELG5749" s="912"/>
      <c r="ELI5749" s="913" t="s">
        <v>1</v>
      </c>
      <c r="ELJ5749" s="31"/>
      <c r="ELK5749" s="909" t="s">
        <v>0</v>
      </c>
      <c r="ELL5749" s="909"/>
      <c r="ELM5749" s="909"/>
      <c r="ELN5749" s="909"/>
      <c r="ELO5749" s="909"/>
      <c r="ELP5749" s="909"/>
      <c r="ELQ5749" s="907" t="s">
        <v>79</v>
      </c>
      <c r="ELR5749" s="909" t="s">
        <v>68</v>
      </c>
      <c r="ELS5749" s="910" t="s">
        <v>75</v>
      </c>
      <c r="ELT5749" s="911"/>
      <c r="ELU5749" s="911"/>
      <c r="ELV5749" s="911"/>
      <c r="ELW5749" s="911"/>
      <c r="ELX5749" s="911"/>
      <c r="ELY5749" s="911"/>
      <c r="ELZ5749" s="911"/>
      <c r="EMA5749" s="911"/>
      <c r="EMB5749" s="911"/>
      <c r="EMC5749" s="32"/>
      <c r="EMD5749" s="911" t="s">
        <v>74</v>
      </c>
      <c r="EME5749" s="911"/>
      <c r="EMF5749" s="911"/>
      <c r="EMG5749" s="911"/>
      <c r="EMH5749" s="911"/>
      <c r="EMI5749" s="911"/>
      <c r="EMJ5749" s="911"/>
      <c r="EMK5749" s="911"/>
      <c r="EML5749" s="911"/>
      <c r="EMM5749" s="912"/>
      <c r="EMO5749" s="913" t="s">
        <v>1</v>
      </c>
      <c r="EMP5749" s="31"/>
      <c r="EMQ5749" s="909" t="s">
        <v>0</v>
      </c>
      <c r="EMR5749" s="909"/>
      <c r="EMS5749" s="909"/>
      <c r="EMT5749" s="909"/>
      <c r="EMU5749" s="909"/>
      <c r="EMV5749" s="909"/>
      <c r="EMW5749" s="907" t="s">
        <v>79</v>
      </c>
      <c r="EMX5749" s="909" t="s">
        <v>68</v>
      </c>
      <c r="EMY5749" s="910" t="s">
        <v>75</v>
      </c>
      <c r="EMZ5749" s="911"/>
      <c r="ENA5749" s="911"/>
      <c r="ENB5749" s="911"/>
      <c r="ENC5749" s="911"/>
      <c r="END5749" s="911"/>
      <c r="ENE5749" s="911"/>
      <c r="ENF5749" s="911"/>
      <c r="ENG5749" s="911"/>
      <c r="ENH5749" s="911"/>
      <c r="ENI5749" s="32"/>
      <c r="ENJ5749" s="911" t="s">
        <v>74</v>
      </c>
      <c r="ENK5749" s="911"/>
      <c r="ENL5749" s="911"/>
      <c r="ENM5749" s="911"/>
      <c r="ENN5749" s="911"/>
      <c r="ENO5749" s="911"/>
      <c r="ENP5749" s="911"/>
      <c r="ENQ5749" s="911"/>
      <c r="ENR5749" s="911"/>
      <c r="ENS5749" s="912"/>
      <c r="ENU5749" s="913" t="s">
        <v>1</v>
      </c>
      <c r="ENV5749" s="31"/>
      <c r="ENW5749" s="909" t="s">
        <v>0</v>
      </c>
      <c r="ENX5749" s="909"/>
      <c r="ENY5749" s="909"/>
      <c r="ENZ5749" s="909"/>
      <c r="EOA5749" s="909"/>
      <c r="EOB5749" s="909"/>
      <c r="EOC5749" s="907" t="s">
        <v>79</v>
      </c>
      <c r="EOD5749" s="909" t="s">
        <v>68</v>
      </c>
      <c r="EOE5749" s="910" t="s">
        <v>75</v>
      </c>
      <c r="EOF5749" s="911"/>
      <c r="EOG5749" s="911"/>
      <c r="EOH5749" s="911"/>
      <c r="EOI5749" s="911"/>
      <c r="EOJ5749" s="911"/>
      <c r="EOK5749" s="911"/>
      <c r="EOL5749" s="911"/>
      <c r="EOM5749" s="911"/>
      <c r="EON5749" s="911"/>
      <c r="EOO5749" s="32"/>
      <c r="EOP5749" s="911" t="s">
        <v>74</v>
      </c>
      <c r="EOQ5749" s="911"/>
      <c r="EOR5749" s="911"/>
      <c r="EOS5749" s="911"/>
      <c r="EOT5749" s="911"/>
      <c r="EOU5749" s="911"/>
      <c r="EOV5749" s="911"/>
      <c r="EOW5749" s="911"/>
      <c r="EOX5749" s="911"/>
      <c r="EOY5749" s="912"/>
      <c r="EPA5749" s="913" t="s">
        <v>1</v>
      </c>
      <c r="EPB5749" s="31"/>
      <c r="EPC5749" s="909" t="s">
        <v>0</v>
      </c>
      <c r="EPD5749" s="909"/>
      <c r="EPE5749" s="909"/>
      <c r="EPF5749" s="909"/>
      <c r="EPG5749" s="909"/>
      <c r="EPH5749" s="909"/>
      <c r="EPI5749" s="907" t="s">
        <v>79</v>
      </c>
      <c r="EPJ5749" s="909" t="s">
        <v>68</v>
      </c>
      <c r="EPK5749" s="910" t="s">
        <v>75</v>
      </c>
      <c r="EPL5749" s="911"/>
      <c r="EPM5749" s="911"/>
      <c r="EPN5749" s="911"/>
      <c r="EPO5749" s="911"/>
      <c r="EPP5749" s="911"/>
      <c r="EPQ5749" s="911"/>
      <c r="EPR5749" s="911"/>
      <c r="EPS5749" s="911"/>
      <c r="EPT5749" s="911"/>
      <c r="EPU5749" s="32"/>
      <c r="EPV5749" s="911" t="s">
        <v>74</v>
      </c>
      <c r="EPW5749" s="911"/>
      <c r="EPX5749" s="911"/>
      <c r="EPY5749" s="911"/>
      <c r="EPZ5749" s="911"/>
      <c r="EQA5749" s="911"/>
      <c r="EQB5749" s="911"/>
      <c r="EQC5749" s="911"/>
      <c r="EQD5749" s="911"/>
      <c r="EQE5749" s="912"/>
      <c r="EQG5749" s="913" t="s">
        <v>1</v>
      </c>
      <c r="EQH5749" s="31"/>
      <c r="EQI5749" s="909" t="s">
        <v>0</v>
      </c>
      <c r="EQJ5749" s="909"/>
      <c r="EQK5749" s="909"/>
      <c r="EQL5749" s="909"/>
      <c r="EQM5749" s="909"/>
      <c r="EQN5749" s="909"/>
      <c r="EQO5749" s="907" t="s">
        <v>79</v>
      </c>
      <c r="EQP5749" s="909" t="s">
        <v>68</v>
      </c>
      <c r="EQQ5749" s="910" t="s">
        <v>75</v>
      </c>
      <c r="EQR5749" s="911"/>
      <c r="EQS5749" s="911"/>
      <c r="EQT5749" s="911"/>
      <c r="EQU5749" s="911"/>
      <c r="EQV5749" s="911"/>
      <c r="EQW5749" s="911"/>
      <c r="EQX5749" s="911"/>
      <c r="EQY5749" s="911"/>
      <c r="EQZ5749" s="911"/>
      <c r="ERA5749" s="32"/>
      <c r="ERB5749" s="911" t="s">
        <v>74</v>
      </c>
      <c r="ERC5749" s="911"/>
      <c r="ERD5749" s="911"/>
      <c r="ERE5749" s="911"/>
      <c r="ERF5749" s="911"/>
      <c r="ERG5749" s="911"/>
      <c r="ERH5749" s="911"/>
      <c r="ERI5749" s="911"/>
      <c r="ERJ5749" s="911"/>
      <c r="ERK5749" s="912"/>
      <c r="ERM5749" s="913" t="s">
        <v>1</v>
      </c>
      <c r="ERN5749" s="31"/>
      <c r="ERO5749" s="909" t="s">
        <v>0</v>
      </c>
      <c r="ERP5749" s="909"/>
      <c r="ERQ5749" s="909"/>
      <c r="ERR5749" s="909"/>
      <c r="ERS5749" s="909"/>
      <c r="ERT5749" s="909"/>
      <c r="ERU5749" s="907" t="s">
        <v>79</v>
      </c>
      <c r="ERV5749" s="909" t="s">
        <v>68</v>
      </c>
      <c r="ERW5749" s="910" t="s">
        <v>75</v>
      </c>
      <c r="ERX5749" s="911"/>
      <c r="ERY5749" s="911"/>
      <c r="ERZ5749" s="911"/>
      <c r="ESA5749" s="911"/>
      <c r="ESB5749" s="911"/>
      <c r="ESC5749" s="911"/>
      <c r="ESD5749" s="911"/>
      <c r="ESE5749" s="911"/>
      <c r="ESF5749" s="911"/>
      <c r="ESG5749" s="32"/>
      <c r="ESH5749" s="911" t="s">
        <v>74</v>
      </c>
      <c r="ESI5749" s="911"/>
      <c r="ESJ5749" s="911"/>
      <c r="ESK5749" s="911"/>
      <c r="ESL5749" s="911"/>
      <c r="ESM5749" s="911"/>
      <c r="ESN5749" s="911"/>
      <c r="ESO5749" s="911"/>
      <c r="ESP5749" s="911"/>
      <c r="ESQ5749" s="912"/>
      <c r="ESS5749" s="913" t="s">
        <v>1</v>
      </c>
      <c r="EST5749" s="31"/>
      <c r="ESU5749" s="909" t="s">
        <v>0</v>
      </c>
      <c r="ESV5749" s="909"/>
      <c r="ESW5749" s="909"/>
      <c r="ESX5749" s="909"/>
      <c r="ESY5749" s="909"/>
      <c r="ESZ5749" s="909"/>
      <c r="ETA5749" s="907" t="s">
        <v>79</v>
      </c>
      <c r="ETB5749" s="909" t="s">
        <v>68</v>
      </c>
      <c r="ETC5749" s="910" t="s">
        <v>75</v>
      </c>
      <c r="ETD5749" s="911"/>
      <c r="ETE5749" s="911"/>
      <c r="ETF5749" s="911"/>
      <c r="ETG5749" s="911"/>
      <c r="ETH5749" s="911"/>
      <c r="ETI5749" s="911"/>
      <c r="ETJ5749" s="911"/>
      <c r="ETK5749" s="911"/>
      <c r="ETL5749" s="911"/>
      <c r="ETM5749" s="32"/>
      <c r="ETN5749" s="911" t="s">
        <v>74</v>
      </c>
      <c r="ETO5749" s="911"/>
      <c r="ETP5749" s="911"/>
      <c r="ETQ5749" s="911"/>
      <c r="ETR5749" s="911"/>
      <c r="ETS5749" s="911"/>
      <c r="ETT5749" s="911"/>
      <c r="ETU5749" s="911"/>
      <c r="ETV5749" s="911"/>
      <c r="ETW5749" s="912"/>
      <c r="ETY5749" s="913" t="s">
        <v>1</v>
      </c>
      <c r="ETZ5749" s="31"/>
      <c r="EUA5749" s="909" t="s">
        <v>0</v>
      </c>
      <c r="EUB5749" s="909"/>
      <c r="EUC5749" s="909"/>
      <c r="EUD5749" s="909"/>
      <c r="EUE5749" s="909"/>
      <c r="EUF5749" s="909"/>
      <c r="EUG5749" s="907" t="s">
        <v>79</v>
      </c>
      <c r="EUH5749" s="909" t="s">
        <v>68</v>
      </c>
      <c r="EUI5749" s="910" t="s">
        <v>75</v>
      </c>
      <c r="EUJ5749" s="911"/>
      <c r="EUK5749" s="911"/>
      <c r="EUL5749" s="911"/>
      <c r="EUM5749" s="911"/>
      <c r="EUN5749" s="911"/>
      <c r="EUO5749" s="911"/>
      <c r="EUP5749" s="911"/>
      <c r="EUQ5749" s="911"/>
      <c r="EUR5749" s="911"/>
      <c r="EUS5749" s="32"/>
      <c r="EUT5749" s="911" t="s">
        <v>74</v>
      </c>
      <c r="EUU5749" s="911"/>
      <c r="EUV5749" s="911"/>
      <c r="EUW5749" s="911"/>
      <c r="EUX5749" s="911"/>
      <c r="EUY5749" s="911"/>
      <c r="EUZ5749" s="911"/>
      <c r="EVA5749" s="911"/>
      <c r="EVB5749" s="911"/>
      <c r="EVC5749" s="912"/>
      <c r="EVE5749" s="913" t="s">
        <v>1</v>
      </c>
      <c r="EVF5749" s="31"/>
      <c r="EVG5749" s="909" t="s">
        <v>0</v>
      </c>
      <c r="EVH5749" s="909"/>
      <c r="EVI5749" s="909"/>
      <c r="EVJ5749" s="909"/>
      <c r="EVK5749" s="909"/>
      <c r="EVL5749" s="909"/>
      <c r="EVM5749" s="907" t="s">
        <v>79</v>
      </c>
      <c r="EVN5749" s="909" t="s">
        <v>68</v>
      </c>
      <c r="EVO5749" s="910" t="s">
        <v>75</v>
      </c>
      <c r="EVP5749" s="911"/>
      <c r="EVQ5749" s="911"/>
      <c r="EVR5749" s="911"/>
      <c r="EVS5749" s="911"/>
      <c r="EVT5749" s="911"/>
      <c r="EVU5749" s="911"/>
      <c r="EVV5749" s="911"/>
      <c r="EVW5749" s="911"/>
      <c r="EVX5749" s="911"/>
      <c r="EVY5749" s="32"/>
      <c r="EVZ5749" s="911" t="s">
        <v>74</v>
      </c>
      <c r="EWA5749" s="911"/>
      <c r="EWB5749" s="911"/>
      <c r="EWC5749" s="911"/>
      <c r="EWD5749" s="911"/>
      <c r="EWE5749" s="911"/>
      <c r="EWF5749" s="911"/>
      <c r="EWG5749" s="911"/>
      <c r="EWH5749" s="911"/>
      <c r="EWI5749" s="912"/>
      <c r="EWK5749" s="913" t="s">
        <v>1</v>
      </c>
      <c r="EWL5749" s="31"/>
      <c r="EWM5749" s="909" t="s">
        <v>0</v>
      </c>
      <c r="EWN5749" s="909"/>
      <c r="EWO5749" s="909"/>
      <c r="EWP5749" s="909"/>
      <c r="EWQ5749" s="909"/>
      <c r="EWR5749" s="909"/>
      <c r="EWS5749" s="907" t="s">
        <v>79</v>
      </c>
      <c r="EWT5749" s="909" t="s">
        <v>68</v>
      </c>
      <c r="EWU5749" s="910" t="s">
        <v>75</v>
      </c>
      <c r="EWV5749" s="911"/>
      <c r="EWW5749" s="911"/>
      <c r="EWX5749" s="911"/>
      <c r="EWY5749" s="911"/>
      <c r="EWZ5749" s="911"/>
      <c r="EXA5749" s="911"/>
      <c r="EXB5749" s="911"/>
      <c r="EXC5749" s="911"/>
      <c r="EXD5749" s="911"/>
      <c r="EXE5749" s="32"/>
      <c r="EXF5749" s="911" t="s">
        <v>74</v>
      </c>
      <c r="EXG5749" s="911"/>
      <c r="EXH5749" s="911"/>
      <c r="EXI5749" s="911"/>
      <c r="EXJ5749" s="911"/>
      <c r="EXK5749" s="911"/>
      <c r="EXL5749" s="911"/>
      <c r="EXM5749" s="911"/>
      <c r="EXN5749" s="911"/>
      <c r="EXO5749" s="912"/>
      <c r="EXQ5749" s="913" t="s">
        <v>1</v>
      </c>
      <c r="EXR5749" s="31"/>
      <c r="EXS5749" s="909" t="s">
        <v>0</v>
      </c>
      <c r="EXT5749" s="909"/>
      <c r="EXU5749" s="909"/>
      <c r="EXV5749" s="909"/>
      <c r="EXW5749" s="909"/>
      <c r="EXX5749" s="909"/>
      <c r="EXY5749" s="907" t="s">
        <v>79</v>
      </c>
      <c r="EXZ5749" s="909" t="s">
        <v>68</v>
      </c>
      <c r="EYA5749" s="910" t="s">
        <v>75</v>
      </c>
      <c r="EYB5749" s="911"/>
      <c r="EYC5749" s="911"/>
      <c r="EYD5749" s="911"/>
      <c r="EYE5749" s="911"/>
      <c r="EYF5749" s="911"/>
      <c r="EYG5749" s="911"/>
      <c r="EYH5749" s="911"/>
      <c r="EYI5749" s="911"/>
      <c r="EYJ5749" s="911"/>
      <c r="EYK5749" s="32"/>
      <c r="EYL5749" s="911" t="s">
        <v>74</v>
      </c>
      <c r="EYM5749" s="911"/>
      <c r="EYN5749" s="911"/>
      <c r="EYO5749" s="911"/>
      <c r="EYP5749" s="911"/>
      <c r="EYQ5749" s="911"/>
      <c r="EYR5749" s="911"/>
      <c r="EYS5749" s="911"/>
      <c r="EYT5749" s="911"/>
      <c r="EYU5749" s="912"/>
      <c r="EYW5749" s="913" t="s">
        <v>1</v>
      </c>
      <c r="EYX5749" s="31"/>
      <c r="EYY5749" s="909" t="s">
        <v>0</v>
      </c>
      <c r="EYZ5749" s="909"/>
      <c r="EZA5749" s="909"/>
      <c r="EZB5749" s="909"/>
      <c r="EZC5749" s="909"/>
      <c r="EZD5749" s="909"/>
      <c r="EZE5749" s="907" t="s">
        <v>79</v>
      </c>
      <c r="EZF5749" s="909" t="s">
        <v>68</v>
      </c>
      <c r="EZG5749" s="910" t="s">
        <v>75</v>
      </c>
      <c r="EZH5749" s="911"/>
      <c r="EZI5749" s="911"/>
      <c r="EZJ5749" s="911"/>
      <c r="EZK5749" s="911"/>
      <c r="EZL5749" s="911"/>
      <c r="EZM5749" s="911"/>
      <c r="EZN5749" s="911"/>
      <c r="EZO5749" s="911"/>
      <c r="EZP5749" s="911"/>
      <c r="EZQ5749" s="32"/>
      <c r="EZR5749" s="911" t="s">
        <v>74</v>
      </c>
      <c r="EZS5749" s="911"/>
      <c r="EZT5749" s="911"/>
      <c r="EZU5749" s="911"/>
      <c r="EZV5749" s="911"/>
      <c r="EZW5749" s="911"/>
      <c r="EZX5749" s="911"/>
      <c r="EZY5749" s="911"/>
      <c r="EZZ5749" s="911"/>
      <c r="FAA5749" s="912"/>
      <c r="FAC5749" s="913" t="s">
        <v>1</v>
      </c>
      <c r="FAD5749" s="31"/>
      <c r="FAE5749" s="909" t="s">
        <v>0</v>
      </c>
      <c r="FAF5749" s="909"/>
      <c r="FAG5749" s="909"/>
      <c r="FAH5749" s="909"/>
      <c r="FAI5749" s="909"/>
      <c r="FAJ5749" s="909"/>
      <c r="FAK5749" s="907" t="s">
        <v>79</v>
      </c>
      <c r="FAL5749" s="909" t="s">
        <v>68</v>
      </c>
      <c r="FAM5749" s="910" t="s">
        <v>75</v>
      </c>
      <c r="FAN5749" s="911"/>
      <c r="FAO5749" s="911"/>
      <c r="FAP5749" s="911"/>
      <c r="FAQ5749" s="911"/>
      <c r="FAR5749" s="911"/>
      <c r="FAS5749" s="911"/>
      <c r="FAT5749" s="911"/>
      <c r="FAU5749" s="911"/>
      <c r="FAV5749" s="911"/>
      <c r="FAW5749" s="32"/>
      <c r="FAX5749" s="911" t="s">
        <v>74</v>
      </c>
      <c r="FAY5749" s="911"/>
      <c r="FAZ5749" s="911"/>
      <c r="FBA5749" s="911"/>
      <c r="FBB5749" s="911"/>
      <c r="FBC5749" s="911"/>
      <c r="FBD5749" s="911"/>
      <c r="FBE5749" s="911"/>
      <c r="FBF5749" s="911"/>
      <c r="FBG5749" s="912"/>
      <c r="FBI5749" s="913" t="s">
        <v>1</v>
      </c>
      <c r="FBJ5749" s="31"/>
      <c r="FBK5749" s="909" t="s">
        <v>0</v>
      </c>
      <c r="FBL5749" s="909"/>
      <c r="FBM5749" s="909"/>
      <c r="FBN5749" s="909"/>
      <c r="FBO5749" s="909"/>
      <c r="FBP5749" s="909"/>
      <c r="FBQ5749" s="907" t="s">
        <v>79</v>
      </c>
      <c r="FBR5749" s="909" t="s">
        <v>68</v>
      </c>
      <c r="FBS5749" s="910" t="s">
        <v>75</v>
      </c>
      <c r="FBT5749" s="911"/>
      <c r="FBU5749" s="911"/>
      <c r="FBV5749" s="911"/>
      <c r="FBW5749" s="911"/>
      <c r="FBX5749" s="911"/>
      <c r="FBY5749" s="911"/>
      <c r="FBZ5749" s="911"/>
      <c r="FCA5749" s="911"/>
      <c r="FCB5749" s="911"/>
      <c r="FCC5749" s="32"/>
      <c r="FCD5749" s="911" t="s">
        <v>74</v>
      </c>
      <c r="FCE5749" s="911"/>
      <c r="FCF5749" s="911"/>
      <c r="FCG5749" s="911"/>
      <c r="FCH5749" s="911"/>
      <c r="FCI5749" s="911"/>
      <c r="FCJ5749" s="911"/>
      <c r="FCK5749" s="911"/>
      <c r="FCL5749" s="911"/>
      <c r="FCM5749" s="912"/>
      <c r="FCO5749" s="913" t="s">
        <v>1</v>
      </c>
      <c r="FCP5749" s="31"/>
      <c r="FCQ5749" s="909" t="s">
        <v>0</v>
      </c>
      <c r="FCR5749" s="909"/>
      <c r="FCS5749" s="909"/>
      <c r="FCT5749" s="909"/>
      <c r="FCU5749" s="909"/>
      <c r="FCV5749" s="909"/>
      <c r="FCW5749" s="907" t="s">
        <v>79</v>
      </c>
      <c r="FCX5749" s="909" t="s">
        <v>68</v>
      </c>
      <c r="FCY5749" s="910" t="s">
        <v>75</v>
      </c>
      <c r="FCZ5749" s="911"/>
      <c r="FDA5749" s="911"/>
      <c r="FDB5749" s="911"/>
      <c r="FDC5749" s="911"/>
      <c r="FDD5749" s="911"/>
      <c r="FDE5749" s="911"/>
      <c r="FDF5749" s="911"/>
      <c r="FDG5749" s="911"/>
      <c r="FDH5749" s="911"/>
      <c r="FDI5749" s="32"/>
      <c r="FDJ5749" s="911" t="s">
        <v>74</v>
      </c>
      <c r="FDK5749" s="911"/>
      <c r="FDL5749" s="911"/>
      <c r="FDM5749" s="911"/>
      <c r="FDN5749" s="911"/>
      <c r="FDO5749" s="911"/>
      <c r="FDP5749" s="911"/>
      <c r="FDQ5749" s="911"/>
      <c r="FDR5749" s="911"/>
      <c r="FDS5749" s="912"/>
      <c r="FDU5749" s="913" t="s">
        <v>1</v>
      </c>
      <c r="FDV5749" s="31"/>
      <c r="FDW5749" s="909" t="s">
        <v>0</v>
      </c>
      <c r="FDX5749" s="909"/>
      <c r="FDY5749" s="909"/>
      <c r="FDZ5749" s="909"/>
      <c r="FEA5749" s="909"/>
      <c r="FEB5749" s="909"/>
      <c r="FEC5749" s="907" t="s">
        <v>79</v>
      </c>
      <c r="FED5749" s="909" t="s">
        <v>68</v>
      </c>
      <c r="FEE5749" s="910" t="s">
        <v>75</v>
      </c>
      <c r="FEF5749" s="911"/>
      <c r="FEG5749" s="911"/>
      <c r="FEH5749" s="911"/>
      <c r="FEI5749" s="911"/>
      <c r="FEJ5749" s="911"/>
      <c r="FEK5749" s="911"/>
      <c r="FEL5749" s="911"/>
      <c r="FEM5749" s="911"/>
      <c r="FEN5749" s="911"/>
      <c r="FEO5749" s="32"/>
      <c r="FEP5749" s="911" t="s">
        <v>74</v>
      </c>
      <c r="FEQ5749" s="911"/>
      <c r="FER5749" s="911"/>
      <c r="FES5749" s="911"/>
      <c r="FET5749" s="911"/>
      <c r="FEU5749" s="911"/>
      <c r="FEV5749" s="911"/>
      <c r="FEW5749" s="911"/>
      <c r="FEX5749" s="911"/>
      <c r="FEY5749" s="912"/>
      <c r="FFA5749" s="913" t="s">
        <v>1</v>
      </c>
      <c r="FFB5749" s="31"/>
      <c r="FFC5749" s="909" t="s">
        <v>0</v>
      </c>
      <c r="FFD5749" s="909"/>
      <c r="FFE5749" s="909"/>
      <c r="FFF5749" s="909"/>
      <c r="FFG5749" s="909"/>
      <c r="FFH5749" s="909"/>
      <c r="FFI5749" s="907" t="s">
        <v>79</v>
      </c>
      <c r="FFJ5749" s="909" t="s">
        <v>68</v>
      </c>
      <c r="FFK5749" s="910" t="s">
        <v>75</v>
      </c>
      <c r="FFL5749" s="911"/>
      <c r="FFM5749" s="911"/>
      <c r="FFN5749" s="911"/>
      <c r="FFO5749" s="911"/>
      <c r="FFP5749" s="911"/>
      <c r="FFQ5749" s="911"/>
      <c r="FFR5749" s="911"/>
      <c r="FFS5749" s="911"/>
      <c r="FFT5749" s="911"/>
      <c r="FFU5749" s="32"/>
      <c r="FFV5749" s="911" t="s">
        <v>74</v>
      </c>
      <c r="FFW5749" s="911"/>
      <c r="FFX5749" s="911"/>
      <c r="FFY5749" s="911"/>
      <c r="FFZ5749" s="911"/>
      <c r="FGA5749" s="911"/>
      <c r="FGB5749" s="911"/>
      <c r="FGC5749" s="911"/>
      <c r="FGD5749" s="911"/>
      <c r="FGE5749" s="912"/>
      <c r="FGG5749" s="913" t="s">
        <v>1</v>
      </c>
      <c r="FGH5749" s="31"/>
      <c r="FGI5749" s="909" t="s">
        <v>0</v>
      </c>
      <c r="FGJ5749" s="909"/>
      <c r="FGK5749" s="909"/>
      <c r="FGL5749" s="909"/>
      <c r="FGM5749" s="909"/>
      <c r="FGN5749" s="909"/>
      <c r="FGO5749" s="907" t="s">
        <v>79</v>
      </c>
      <c r="FGP5749" s="909" t="s">
        <v>68</v>
      </c>
      <c r="FGQ5749" s="910" t="s">
        <v>75</v>
      </c>
      <c r="FGR5749" s="911"/>
      <c r="FGS5749" s="911"/>
      <c r="FGT5749" s="911"/>
      <c r="FGU5749" s="911"/>
      <c r="FGV5749" s="911"/>
      <c r="FGW5749" s="911"/>
      <c r="FGX5749" s="911"/>
      <c r="FGY5749" s="911"/>
      <c r="FGZ5749" s="911"/>
      <c r="FHA5749" s="32"/>
      <c r="FHB5749" s="911" t="s">
        <v>74</v>
      </c>
      <c r="FHC5749" s="911"/>
      <c r="FHD5749" s="911"/>
      <c r="FHE5749" s="911"/>
      <c r="FHF5749" s="911"/>
      <c r="FHG5749" s="911"/>
      <c r="FHH5749" s="911"/>
      <c r="FHI5749" s="911"/>
      <c r="FHJ5749" s="911"/>
      <c r="FHK5749" s="912"/>
      <c r="FHM5749" s="913" t="s">
        <v>1</v>
      </c>
      <c r="FHN5749" s="31"/>
      <c r="FHO5749" s="909" t="s">
        <v>0</v>
      </c>
      <c r="FHP5749" s="909"/>
      <c r="FHQ5749" s="909"/>
      <c r="FHR5749" s="909"/>
      <c r="FHS5749" s="909"/>
      <c r="FHT5749" s="909"/>
      <c r="FHU5749" s="907" t="s">
        <v>79</v>
      </c>
      <c r="FHV5749" s="909" t="s">
        <v>68</v>
      </c>
      <c r="FHW5749" s="910" t="s">
        <v>75</v>
      </c>
      <c r="FHX5749" s="911"/>
      <c r="FHY5749" s="911"/>
      <c r="FHZ5749" s="911"/>
      <c r="FIA5749" s="911"/>
      <c r="FIB5749" s="911"/>
      <c r="FIC5749" s="911"/>
      <c r="FID5749" s="911"/>
      <c r="FIE5749" s="911"/>
      <c r="FIF5749" s="911"/>
      <c r="FIG5749" s="32"/>
      <c r="FIH5749" s="911" t="s">
        <v>74</v>
      </c>
      <c r="FII5749" s="911"/>
      <c r="FIJ5749" s="911"/>
      <c r="FIK5749" s="911"/>
      <c r="FIL5749" s="911"/>
      <c r="FIM5749" s="911"/>
      <c r="FIN5749" s="911"/>
      <c r="FIO5749" s="911"/>
      <c r="FIP5749" s="911"/>
      <c r="FIQ5749" s="912"/>
      <c r="FIS5749" s="913" t="s">
        <v>1</v>
      </c>
      <c r="FIT5749" s="31"/>
      <c r="FIU5749" s="909" t="s">
        <v>0</v>
      </c>
      <c r="FIV5749" s="909"/>
      <c r="FIW5749" s="909"/>
      <c r="FIX5749" s="909"/>
      <c r="FIY5749" s="909"/>
      <c r="FIZ5749" s="909"/>
      <c r="FJA5749" s="907" t="s">
        <v>79</v>
      </c>
      <c r="FJB5749" s="909" t="s">
        <v>68</v>
      </c>
      <c r="FJC5749" s="910" t="s">
        <v>75</v>
      </c>
      <c r="FJD5749" s="911"/>
      <c r="FJE5749" s="911"/>
      <c r="FJF5749" s="911"/>
      <c r="FJG5749" s="911"/>
      <c r="FJH5749" s="911"/>
      <c r="FJI5749" s="911"/>
      <c r="FJJ5749" s="911"/>
      <c r="FJK5749" s="911"/>
      <c r="FJL5749" s="911"/>
      <c r="FJM5749" s="32"/>
      <c r="FJN5749" s="911" t="s">
        <v>74</v>
      </c>
      <c r="FJO5749" s="911"/>
      <c r="FJP5749" s="911"/>
      <c r="FJQ5749" s="911"/>
      <c r="FJR5749" s="911"/>
      <c r="FJS5749" s="911"/>
      <c r="FJT5749" s="911"/>
      <c r="FJU5749" s="911"/>
      <c r="FJV5749" s="911"/>
      <c r="FJW5749" s="912"/>
      <c r="FJY5749" s="913" t="s">
        <v>1</v>
      </c>
      <c r="FJZ5749" s="31"/>
      <c r="FKA5749" s="909" t="s">
        <v>0</v>
      </c>
      <c r="FKB5749" s="909"/>
      <c r="FKC5749" s="909"/>
      <c r="FKD5749" s="909"/>
      <c r="FKE5749" s="909"/>
      <c r="FKF5749" s="909"/>
      <c r="FKG5749" s="907" t="s">
        <v>79</v>
      </c>
      <c r="FKH5749" s="909" t="s">
        <v>68</v>
      </c>
      <c r="FKI5749" s="910" t="s">
        <v>75</v>
      </c>
      <c r="FKJ5749" s="911"/>
      <c r="FKK5749" s="911"/>
      <c r="FKL5749" s="911"/>
      <c r="FKM5749" s="911"/>
      <c r="FKN5749" s="911"/>
      <c r="FKO5749" s="911"/>
      <c r="FKP5749" s="911"/>
      <c r="FKQ5749" s="911"/>
      <c r="FKR5749" s="911"/>
      <c r="FKS5749" s="32"/>
      <c r="FKT5749" s="911" t="s">
        <v>74</v>
      </c>
      <c r="FKU5749" s="911"/>
      <c r="FKV5749" s="911"/>
      <c r="FKW5749" s="911"/>
      <c r="FKX5749" s="911"/>
      <c r="FKY5749" s="911"/>
      <c r="FKZ5749" s="911"/>
      <c r="FLA5749" s="911"/>
      <c r="FLB5749" s="911"/>
      <c r="FLC5749" s="912"/>
      <c r="FLE5749" s="913" t="s">
        <v>1</v>
      </c>
      <c r="FLF5749" s="31"/>
      <c r="FLG5749" s="909" t="s">
        <v>0</v>
      </c>
      <c r="FLH5749" s="909"/>
      <c r="FLI5749" s="909"/>
      <c r="FLJ5749" s="909"/>
      <c r="FLK5749" s="909"/>
      <c r="FLL5749" s="909"/>
      <c r="FLM5749" s="907" t="s">
        <v>79</v>
      </c>
      <c r="FLN5749" s="909" t="s">
        <v>68</v>
      </c>
      <c r="FLO5749" s="910" t="s">
        <v>75</v>
      </c>
      <c r="FLP5749" s="911"/>
      <c r="FLQ5749" s="911"/>
      <c r="FLR5749" s="911"/>
      <c r="FLS5749" s="911"/>
      <c r="FLT5749" s="911"/>
      <c r="FLU5749" s="911"/>
      <c r="FLV5749" s="911"/>
      <c r="FLW5749" s="911"/>
      <c r="FLX5749" s="911"/>
      <c r="FLY5749" s="32"/>
      <c r="FLZ5749" s="911" t="s">
        <v>74</v>
      </c>
      <c r="FMA5749" s="911"/>
      <c r="FMB5749" s="911"/>
      <c r="FMC5749" s="911"/>
      <c r="FMD5749" s="911"/>
      <c r="FME5749" s="911"/>
      <c r="FMF5749" s="911"/>
      <c r="FMG5749" s="911"/>
      <c r="FMH5749" s="911"/>
      <c r="FMI5749" s="912"/>
      <c r="FMK5749" s="913" t="s">
        <v>1</v>
      </c>
      <c r="FML5749" s="31"/>
      <c r="FMM5749" s="909" t="s">
        <v>0</v>
      </c>
      <c r="FMN5749" s="909"/>
      <c r="FMO5749" s="909"/>
      <c r="FMP5749" s="909"/>
      <c r="FMQ5749" s="909"/>
      <c r="FMR5749" s="909"/>
      <c r="FMS5749" s="907" t="s">
        <v>79</v>
      </c>
      <c r="FMT5749" s="909" t="s">
        <v>68</v>
      </c>
      <c r="FMU5749" s="910" t="s">
        <v>75</v>
      </c>
      <c r="FMV5749" s="911"/>
      <c r="FMW5749" s="911"/>
      <c r="FMX5749" s="911"/>
      <c r="FMY5749" s="911"/>
      <c r="FMZ5749" s="911"/>
      <c r="FNA5749" s="911"/>
      <c r="FNB5749" s="911"/>
      <c r="FNC5749" s="911"/>
      <c r="FND5749" s="911"/>
      <c r="FNE5749" s="32"/>
      <c r="FNF5749" s="911" t="s">
        <v>74</v>
      </c>
      <c r="FNG5749" s="911"/>
      <c r="FNH5749" s="911"/>
      <c r="FNI5749" s="911"/>
      <c r="FNJ5749" s="911"/>
      <c r="FNK5749" s="911"/>
      <c r="FNL5749" s="911"/>
      <c r="FNM5749" s="911"/>
      <c r="FNN5749" s="911"/>
      <c r="FNO5749" s="912"/>
      <c r="FNQ5749" s="913" t="s">
        <v>1</v>
      </c>
      <c r="FNR5749" s="31"/>
      <c r="FNS5749" s="909" t="s">
        <v>0</v>
      </c>
      <c r="FNT5749" s="909"/>
      <c r="FNU5749" s="909"/>
      <c r="FNV5749" s="909"/>
      <c r="FNW5749" s="909"/>
      <c r="FNX5749" s="909"/>
      <c r="FNY5749" s="907" t="s">
        <v>79</v>
      </c>
      <c r="FNZ5749" s="909" t="s">
        <v>68</v>
      </c>
      <c r="FOA5749" s="910" t="s">
        <v>75</v>
      </c>
      <c r="FOB5749" s="911"/>
      <c r="FOC5749" s="911"/>
      <c r="FOD5749" s="911"/>
      <c r="FOE5749" s="911"/>
      <c r="FOF5749" s="911"/>
      <c r="FOG5749" s="911"/>
      <c r="FOH5749" s="911"/>
      <c r="FOI5749" s="911"/>
      <c r="FOJ5749" s="911"/>
      <c r="FOK5749" s="32"/>
      <c r="FOL5749" s="911" t="s">
        <v>74</v>
      </c>
      <c r="FOM5749" s="911"/>
      <c r="FON5749" s="911"/>
      <c r="FOO5749" s="911"/>
      <c r="FOP5749" s="911"/>
      <c r="FOQ5749" s="911"/>
      <c r="FOR5749" s="911"/>
      <c r="FOS5749" s="911"/>
      <c r="FOT5749" s="911"/>
      <c r="FOU5749" s="912"/>
      <c r="FOW5749" s="913" t="s">
        <v>1</v>
      </c>
      <c r="FOX5749" s="31"/>
      <c r="FOY5749" s="909" t="s">
        <v>0</v>
      </c>
      <c r="FOZ5749" s="909"/>
      <c r="FPA5749" s="909"/>
      <c r="FPB5749" s="909"/>
      <c r="FPC5749" s="909"/>
      <c r="FPD5749" s="909"/>
      <c r="FPE5749" s="907" t="s">
        <v>79</v>
      </c>
      <c r="FPF5749" s="909" t="s">
        <v>68</v>
      </c>
      <c r="FPG5749" s="910" t="s">
        <v>75</v>
      </c>
      <c r="FPH5749" s="911"/>
      <c r="FPI5749" s="911"/>
      <c r="FPJ5749" s="911"/>
      <c r="FPK5749" s="911"/>
      <c r="FPL5749" s="911"/>
      <c r="FPM5749" s="911"/>
      <c r="FPN5749" s="911"/>
      <c r="FPO5749" s="911"/>
      <c r="FPP5749" s="911"/>
      <c r="FPQ5749" s="32"/>
      <c r="FPR5749" s="911" t="s">
        <v>74</v>
      </c>
      <c r="FPS5749" s="911"/>
      <c r="FPT5749" s="911"/>
      <c r="FPU5749" s="911"/>
      <c r="FPV5749" s="911"/>
      <c r="FPW5749" s="911"/>
      <c r="FPX5749" s="911"/>
      <c r="FPY5749" s="911"/>
      <c r="FPZ5749" s="911"/>
      <c r="FQA5749" s="912"/>
      <c r="FQC5749" s="913" t="s">
        <v>1</v>
      </c>
      <c r="FQD5749" s="31"/>
      <c r="FQE5749" s="909" t="s">
        <v>0</v>
      </c>
      <c r="FQF5749" s="909"/>
      <c r="FQG5749" s="909"/>
      <c r="FQH5749" s="909"/>
      <c r="FQI5749" s="909"/>
      <c r="FQJ5749" s="909"/>
      <c r="FQK5749" s="907" t="s">
        <v>79</v>
      </c>
      <c r="FQL5749" s="909" t="s">
        <v>68</v>
      </c>
      <c r="FQM5749" s="910" t="s">
        <v>75</v>
      </c>
      <c r="FQN5749" s="911"/>
      <c r="FQO5749" s="911"/>
      <c r="FQP5749" s="911"/>
      <c r="FQQ5749" s="911"/>
      <c r="FQR5749" s="911"/>
      <c r="FQS5749" s="911"/>
      <c r="FQT5749" s="911"/>
      <c r="FQU5749" s="911"/>
      <c r="FQV5749" s="911"/>
      <c r="FQW5749" s="32"/>
      <c r="FQX5749" s="911" t="s">
        <v>74</v>
      </c>
      <c r="FQY5749" s="911"/>
      <c r="FQZ5749" s="911"/>
      <c r="FRA5749" s="911"/>
      <c r="FRB5749" s="911"/>
      <c r="FRC5749" s="911"/>
      <c r="FRD5749" s="911"/>
      <c r="FRE5749" s="911"/>
      <c r="FRF5749" s="911"/>
      <c r="FRG5749" s="912"/>
      <c r="FRI5749" s="913" t="s">
        <v>1</v>
      </c>
      <c r="FRJ5749" s="31"/>
      <c r="FRK5749" s="909" t="s">
        <v>0</v>
      </c>
      <c r="FRL5749" s="909"/>
      <c r="FRM5749" s="909"/>
      <c r="FRN5749" s="909"/>
      <c r="FRO5749" s="909"/>
      <c r="FRP5749" s="909"/>
      <c r="FRQ5749" s="907" t="s">
        <v>79</v>
      </c>
      <c r="FRR5749" s="909" t="s">
        <v>68</v>
      </c>
      <c r="FRS5749" s="910" t="s">
        <v>75</v>
      </c>
      <c r="FRT5749" s="911"/>
      <c r="FRU5749" s="911"/>
      <c r="FRV5749" s="911"/>
      <c r="FRW5749" s="911"/>
      <c r="FRX5749" s="911"/>
      <c r="FRY5749" s="911"/>
      <c r="FRZ5749" s="911"/>
      <c r="FSA5749" s="911"/>
      <c r="FSB5749" s="911"/>
      <c r="FSC5749" s="32"/>
      <c r="FSD5749" s="911" t="s">
        <v>74</v>
      </c>
      <c r="FSE5749" s="911"/>
      <c r="FSF5749" s="911"/>
      <c r="FSG5749" s="911"/>
      <c r="FSH5749" s="911"/>
      <c r="FSI5749" s="911"/>
      <c r="FSJ5749" s="911"/>
      <c r="FSK5749" s="911"/>
      <c r="FSL5749" s="911"/>
      <c r="FSM5749" s="912"/>
      <c r="FSO5749" s="913" t="s">
        <v>1</v>
      </c>
      <c r="FSP5749" s="31"/>
      <c r="FSQ5749" s="909" t="s">
        <v>0</v>
      </c>
      <c r="FSR5749" s="909"/>
      <c r="FSS5749" s="909"/>
      <c r="FST5749" s="909"/>
      <c r="FSU5749" s="909"/>
      <c r="FSV5749" s="909"/>
      <c r="FSW5749" s="907" t="s">
        <v>79</v>
      </c>
      <c r="FSX5749" s="909" t="s">
        <v>68</v>
      </c>
      <c r="FSY5749" s="910" t="s">
        <v>75</v>
      </c>
      <c r="FSZ5749" s="911"/>
      <c r="FTA5749" s="911"/>
      <c r="FTB5749" s="911"/>
      <c r="FTC5749" s="911"/>
      <c r="FTD5749" s="911"/>
      <c r="FTE5749" s="911"/>
      <c r="FTF5749" s="911"/>
      <c r="FTG5749" s="911"/>
      <c r="FTH5749" s="911"/>
      <c r="FTI5749" s="32"/>
      <c r="FTJ5749" s="911" t="s">
        <v>74</v>
      </c>
      <c r="FTK5749" s="911"/>
      <c r="FTL5749" s="911"/>
      <c r="FTM5749" s="911"/>
      <c r="FTN5749" s="911"/>
      <c r="FTO5749" s="911"/>
      <c r="FTP5749" s="911"/>
      <c r="FTQ5749" s="911"/>
      <c r="FTR5749" s="911"/>
      <c r="FTS5749" s="912"/>
      <c r="FTU5749" s="913" t="s">
        <v>1</v>
      </c>
      <c r="FTV5749" s="31"/>
      <c r="FTW5749" s="909" t="s">
        <v>0</v>
      </c>
      <c r="FTX5749" s="909"/>
      <c r="FTY5749" s="909"/>
      <c r="FTZ5749" s="909"/>
      <c r="FUA5749" s="909"/>
      <c r="FUB5749" s="909"/>
      <c r="FUC5749" s="907" t="s">
        <v>79</v>
      </c>
      <c r="FUD5749" s="909" t="s">
        <v>68</v>
      </c>
      <c r="FUE5749" s="910" t="s">
        <v>75</v>
      </c>
      <c r="FUF5749" s="911"/>
      <c r="FUG5749" s="911"/>
      <c r="FUH5749" s="911"/>
      <c r="FUI5749" s="911"/>
      <c r="FUJ5749" s="911"/>
      <c r="FUK5749" s="911"/>
      <c r="FUL5749" s="911"/>
      <c r="FUM5749" s="911"/>
      <c r="FUN5749" s="911"/>
      <c r="FUO5749" s="32"/>
      <c r="FUP5749" s="911" t="s">
        <v>74</v>
      </c>
      <c r="FUQ5749" s="911"/>
      <c r="FUR5749" s="911"/>
      <c r="FUS5749" s="911"/>
      <c r="FUT5749" s="911"/>
      <c r="FUU5749" s="911"/>
      <c r="FUV5749" s="911"/>
      <c r="FUW5749" s="911"/>
      <c r="FUX5749" s="911"/>
      <c r="FUY5749" s="912"/>
      <c r="FVA5749" s="913" t="s">
        <v>1</v>
      </c>
      <c r="FVB5749" s="31"/>
      <c r="FVC5749" s="909" t="s">
        <v>0</v>
      </c>
      <c r="FVD5749" s="909"/>
      <c r="FVE5749" s="909"/>
      <c r="FVF5749" s="909"/>
      <c r="FVG5749" s="909"/>
      <c r="FVH5749" s="909"/>
      <c r="FVI5749" s="907" t="s">
        <v>79</v>
      </c>
      <c r="FVJ5749" s="909" t="s">
        <v>68</v>
      </c>
      <c r="FVK5749" s="910" t="s">
        <v>75</v>
      </c>
      <c r="FVL5749" s="911"/>
      <c r="FVM5749" s="911"/>
      <c r="FVN5749" s="911"/>
      <c r="FVO5749" s="911"/>
      <c r="FVP5749" s="911"/>
      <c r="FVQ5749" s="911"/>
      <c r="FVR5749" s="911"/>
      <c r="FVS5749" s="911"/>
      <c r="FVT5749" s="911"/>
      <c r="FVU5749" s="32"/>
      <c r="FVV5749" s="911" t="s">
        <v>74</v>
      </c>
      <c r="FVW5749" s="911"/>
      <c r="FVX5749" s="911"/>
      <c r="FVY5749" s="911"/>
      <c r="FVZ5749" s="911"/>
      <c r="FWA5749" s="911"/>
      <c r="FWB5749" s="911"/>
      <c r="FWC5749" s="911"/>
      <c r="FWD5749" s="911"/>
      <c r="FWE5749" s="912"/>
      <c r="FWG5749" s="913" t="s">
        <v>1</v>
      </c>
      <c r="FWH5749" s="31"/>
      <c r="FWI5749" s="909" t="s">
        <v>0</v>
      </c>
      <c r="FWJ5749" s="909"/>
      <c r="FWK5749" s="909"/>
      <c r="FWL5749" s="909"/>
      <c r="FWM5749" s="909"/>
      <c r="FWN5749" s="909"/>
      <c r="FWO5749" s="907" t="s">
        <v>79</v>
      </c>
      <c r="FWP5749" s="909" t="s">
        <v>68</v>
      </c>
      <c r="FWQ5749" s="910" t="s">
        <v>75</v>
      </c>
      <c r="FWR5749" s="911"/>
      <c r="FWS5749" s="911"/>
      <c r="FWT5749" s="911"/>
      <c r="FWU5749" s="911"/>
      <c r="FWV5749" s="911"/>
      <c r="FWW5749" s="911"/>
      <c r="FWX5749" s="911"/>
      <c r="FWY5749" s="911"/>
      <c r="FWZ5749" s="911"/>
      <c r="FXA5749" s="32"/>
      <c r="FXB5749" s="911" t="s">
        <v>74</v>
      </c>
      <c r="FXC5749" s="911"/>
      <c r="FXD5749" s="911"/>
      <c r="FXE5749" s="911"/>
      <c r="FXF5749" s="911"/>
      <c r="FXG5749" s="911"/>
      <c r="FXH5749" s="911"/>
      <c r="FXI5749" s="911"/>
      <c r="FXJ5749" s="911"/>
      <c r="FXK5749" s="912"/>
      <c r="FXM5749" s="913" t="s">
        <v>1</v>
      </c>
      <c r="FXN5749" s="31"/>
      <c r="FXO5749" s="909" t="s">
        <v>0</v>
      </c>
      <c r="FXP5749" s="909"/>
      <c r="FXQ5749" s="909"/>
      <c r="FXR5749" s="909"/>
      <c r="FXS5749" s="909"/>
      <c r="FXT5749" s="909"/>
      <c r="FXU5749" s="907" t="s">
        <v>79</v>
      </c>
      <c r="FXV5749" s="909" t="s">
        <v>68</v>
      </c>
      <c r="FXW5749" s="910" t="s">
        <v>75</v>
      </c>
      <c r="FXX5749" s="911"/>
      <c r="FXY5749" s="911"/>
      <c r="FXZ5749" s="911"/>
      <c r="FYA5749" s="911"/>
      <c r="FYB5749" s="911"/>
      <c r="FYC5749" s="911"/>
      <c r="FYD5749" s="911"/>
      <c r="FYE5749" s="911"/>
      <c r="FYF5749" s="911"/>
      <c r="FYG5749" s="32"/>
      <c r="FYH5749" s="911" t="s">
        <v>74</v>
      </c>
      <c r="FYI5749" s="911"/>
      <c r="FYJ5749" s="911"/>
      <c r="FYK5749" s="911"/>
      <c r="FYL5749" s="911"/>
      <c r="FYM5749" s="911"/>
      <c r="FYN5749" s="911"/>
      <c r="FYO5749" s="911"/>
      <c r="FYP5749" s="911"/>
      <c r="FYQ5749" s="912"/>
      <c r="FYS5749" s="913" t="s">
        <v>1</v>
      </c>
      <c r="FYT5749" s="31"/>
      <c r="FYU5749" s="909" t="s">
        <v>0</v>
      </c>
      <c r="FYV5749" s="909"/>
      <c r="FYW5749" s="909"/>
      <c r="FYX5749" s="909"/>
      <c r="FYY5749" s="909"/>
      <c r="FYZ5749" s="909"/>
      <c r="FZA5749" s="907" t="s">
        <v>79</v>
      </c>
      <c r="FZB5749" s="909" t="s">
        <v>68</v>
      </c>
      <c r="FZC5749" s="910" t="s">
        <v>75</v>
      </c>
      <c r="FZD5749" s="911"/>
      <c r="FZE5749" s="911"/>
      <c r="FZF5749" s="911"/>
      <c r="FZG5749" s="911"/>
      <c r="FZH5749" s="911"/>
      <c r="FZI5749" s="911"/>
      <c r="FZJ5749" s="911"/>
      <c r="FZK5749" s="911"/>
      <c r="FZL5749" s="911"/>
      <c r="FZM5749" s="32"/>
      <c r="FZN5749" s="911" t="s">
        <v>74</v>
      </c>
      <c r="FZO5749" s="911"/>
      <c r="FZP5749" s="911"/>
      <c r="FZQ5749" s="911"/>
      <c r="FZR5749" s="911"/>
      <c r="FZS5749" s="911"/>
      <c r="FZT5749" s="911"/>
      <c r="FZU5749" s="911"/>
      <c r="FZV5749" s="911"/>
      <c r="FZW5749" s="912"/>
      <c r="FZY5749" s="913" t="s">
        <v>1</v>
      </c>
      <c r="FZZ5749" s="31"/>
      <c r="GAA5749" s="909" t="s">
        <v>0</v>
      </c>
      <c r="GAB5749" s="909"/>
      <c r="GAC5749" s="909"/>
      <c r="GAD5749" s="909"/>
      <c r="GAE5749" s="909"/>
      <c r="GAF5749" s="909"/>
      <c r="GAG5749" s="907" t="s">
        <v>79</v>
      </c>
      <c r="GAH5749" s="909" t="s">
        <v>68</v>
      </c>
      <c r="GAI5749" s="910" t="s">
        <v>75</v>
      </c>
      <c r="GAJ5749" s="911"/>
      <c r="GAK5749" s="911"/>
      <c r="GAL5749" s="911"/>
      <c r="GAM5749" s="911"/>
      <c r="GAN5749" s="911"/>
      <c r="GAO5749" s="911"/>
      <c r="GAP5749" s="911"/>
      <c r="GAQ5749" s="911"/>
      <c r="GAR5749" s="911"/>
      <c r="GAS5749" s="32"/>
      <c r="GAT5749" s="911" t="s">
        <v>74</v>
      </c>
      <c r="GAU5749" s="911"/>
      <c r="GAV5749" s="911"/>
      <c r="GAW5749" s="911"/>
      <c r="GAX5749" s="911"/>
      <c r="GAY5749" s="911"/>
      <c r="GAZ5749" s="911"/>
      <c r="GBA5749" s="911"/>
      <c r="GBB5749" s="911"/>
      <c r="GBC5749" s="912"/>
      <c r="GBE5749" s="913" t="s">
        <v>1</v>
      </c>
      <c r="GBF5749" s="31"/>
      <c r="GBG5749" s="909" t="s">
        <v>0</v>
      </c>
      <c r="GBH5749" s="909"/>
      <c r="GBI5749" s="909"/>
      <c r="GBJ5749" s="909"/>
      <c r="GBK5749" s="909"/>
      <c r="GBL5749" s="909"/>
      <c r="GBM5749" s="907" t="s">
        <v>79</v>
      </c>
      <c r="GBN5749" s="909" t="s">
        <v>68</v>
      </c>
      <c r="GBO5749" s="910" t="s">
        <v>75</v>
      </c>
      <c r="GBP5749" s="911"/>
      <c r="GBQ5749" s="911"/>
      <c r="GBR5749" s="911"/>
      <c r="GBS5749" s="911"/>
      <c r="GBT5749" s="911"/>
      <c r="GBU5749" s="911"/>
      <c r="GBV5749" s="911"/>
      <c r="GBW5749" s="911"/>
      <c r="GBX5749" s="911"/>
      <c r="GBY5749" s="32"/>
      <c r="GBZ5749" s="911" t="s">
        <v>74</v>
      </c>
      <c r="GCA5749" s="911"/>
      <c r="GCB5749" s="911"/>
      <c r="GCC5749" s="911"/>
      <c r="GCD5749" s="911"/>
      <c r="GCE5749" s="911"/>
      <c r="GCF5749" s="911"/>
      <c r="GCG5749" s="911"/>
      <c r="GCH5749" s="911"/>
      <c r="GCI5749" s="912"/>
      <c r="GCK5749" s="913" t="s">
        <v>1</v>
      </c>
      <c r="GCL5749" s="31"/>
      <c r="GCM5749" s="909" t="s">
        <v>0</v>
      </c>
      <c r="GCN5749" s="909"/>
      <c r="GCO5749" s="909"/>
      <c r="GCP5749" s="909"/>
      <c r="GCQ5749" s="909"/>
      <c r="GCR5749" s="909"/>
      <c r="GCS5749" s="907" t="s">
        <v>79</v>
      </c>
      <c r="GCT5749" s="909" t="s">
        <v>68</v>
      </c>
      <c r="GCU5749" s="910" t="s">
        <v>75</v>
      </c>
      <c r="GCV5749" s="911"/>
      <c r="GCW5749" s="911"/>
      <c r="GCX5749" s="911"/>
      <c r="GCY5749" s="911"/>
      <c r="GCZ5749" s="911"/>
      <c r="GDA5749" s="911"/>
      <c r="GDB5749" s="911"/>
      <c r="GDC5749" s="911"/>
      <c r="GDD5749" s="911"/>
      <c r="GDE5749" s="32"/>
      <c r="GDF5749" s="911" t="s">
        <v>74</v>
      </c>
      <c r="GDG5749" s="911"/>
      <c r="GDH5749" s="911"/>
      <c r="GDI5749" s="911"/>
      <c r="GDJ5749" s="911"/>
      <c r="GDK5749" s="911"/>
      <c r="GDL5749" s="911"/>
      <c r="GDM5749" s="911"/>
      <c r="GDN5749" s="911"/>
      <c r="GDO5749" s="912"/>
      <c r="GDQ5749" s="913" t="s">
        <v>1</v>
      </c>
      <c r="GDR5749" s="31"/>
      <c r="GDS5749" s="909" t="s">
        <v>0</v>
      </c>
      <c r="GDT5749" s="909"/>
      <c r="GDU5749" s="909"/>
      <c r="GDV5749" s="909"/>
      <c r="GDW5749" s="909"/>
      <c r="GDX5749" s="909"/>
      <c r="GDY5749" s="907" t="s">
        <v>79</v>
      </c>
      <c r="GDZ5749" s="909" t="s">
        <v>68</v>
      </c>
      <c r="GEA5749" s="910" t="s">
        <v>75</v>
      </c>
      <c r="GEB5749" s="911"/>
      <c r="GEC5749" s="911"/>
      <c r="GED5749" s="911"/>
      <c r="GEE5749" s="911"/>
      <c r="GEF5749" s="911"/>
      <c r="GEG5749" s="911"/>
      <c r="GEH5749" s="911"/>
      <c r="GEI5749" s="911"/>
      <c r="GEJ5749" s="911"/>
      <c r="GEK5749" s="32"/>
      <c r="GEL5749" s="911" t="s">
        <v>74</v>
      </c>
      <c r="GEM5749" s="911"/>
      <c r="GEN5749" s="911"/>
      <c r="GEO5749" s="911"/>
      <c r="GEP5749" s="911"/>
      <c r="GEQ5749" s="911"/>
      <c r="GER5749" s="911"/>
      <c r="GES5749" s="911"/>
      <c r="GET5749" s="911"/>
      <c r="GEU5749" s="912"/>
      <c r="GEW5749" s="913" t="s">
        <v>1</v>
      </c>
      <c r="GEX5749" s="31"/>
      <c r="GEY5749" s="909" t="s">
        <v>0</v>
      </c>
      <c r="GEZ5749" s="909"/>
      <c r="GFA5749" s="909"/>
      <c r="GFB5749" s="909"/>
      <c r="GFC5749" s="909"/>
      <c r="GFD5749" s="909"/>
      <c r="GFE5749" s="907" t="s">
        <v>79</v>
      </c>
      <c r="GFF5749" s="909" t="s">
        <v>68</v>
      </c>
      <c r="GFG5749" s="910" t="s">
        <v>75</v>
      </c>
      <c r="GFH5749" s="911"/>
      <c r="GFI5749" s="911"/>
      <c r="GFJ5749" s="911"/>
      <c r="GFK5749" s="911"/>
      <c r="GFL5749" s="911"/>
      <c r="GFM5749" s="911"/>
      <c r="GFN5749" s="911"/>
      <c r="GFO5749" s="911"/>
      <c r="GFP5749" s="911"/>
      <c r="GFQ5749" s="32"/>
      <c r="GFR5749" s="911" t="s">
        <v>74</v>
      </c>
      <c r="GFS5749" s="911"/>
      <c r="GFT5749" s="911"/>
      <c r="GFU5749" s="911"/>
      <c r="GFV5749" s="911"/>
      <c r="GFW5749" s="911"/>
      <c r="GFX5749" s="911"/>
      <c r="GFY5749" s="911"/>
      <c r="GFZ5749" s="911"/>
      <c r="GGA5749" s="912"/>
      <c r="GGC5749" s="913" t="s">
        <v>1</v>
      </c>
      <c r="GGD5749" s="31"/>
      <c r="GGE5749" s="909" t="s">
        <v>0</v>
      </c>
      <c r="GGF5749" s="909"/>
      <c r="GGG5749" s="909"/>
      <c r="GGH5749" s="909"/>
      <c r="GGI5749" s="909"/>
      <c r="GGJ5749" s="909"/>
      <c r="GGK5749" s="907" t="s">
        <v>79</v>
      </c>
      <c r="GGL5749" s="909" t="s">
        <v>68</v>
      </c>
      <c r="GGM5749" s="910" t="s">
        <v>75</v>
      </c>
      <c r="GGN5749" s="911"/>
      <c r="GGO5749" s="911"/>
      <c r="GGP5749" s="911"/>
      <c r="GGQ5749" s="911"/>
      <c r="GGR5749" s="911"/>
      <c r="GGS5749" s="911"/>
      <c r="GGT5749" s="911"/>
      <c r="GGU5749" s="911"/>
      <c r="GGV5749" s="911"/>
      <c r="GGW5749" s="32"/>
      <c r="GGX5749" s="911" t="s">
        <v>74</v>
      </c>
      <c r="GGY5749" s="911"/>
      <c r="GGZ5749" s="911"/>
      <c r="GHA5749" s="911"/>
      <c r="GHB5749" s="911"/>
      <c r="GHC5749" s="911"/>
      <c r="GHD5749" s="911"/>
      <c r="GHE5749" s="911"/>
      <c r="GHF5749" s="911"/>
      <c r="GHG5749" s="912"/>
      <c r="GHI5749" s="913" t="s">
        <v>1</v>
      </c>
      <c r="GHJ5749" s="31"/>
      <c r="GHK5749" s="909" t="s">
        <v>0</v>
      </c>
      <c r="GHL5749" s="909"/>
      <c r="GHM5749" s="909"/>
      <c r="GHN5749" s="909"/>
      <c r="GHO5749" s="909"/>
      <c r="GHP5749" s="909"/>
      <c r="GHQ5749" s="907" t="s">
        <v>79</v>
      </c>
      <c r="GHR5749" s="909" t="s">
        <v>68</v>
      </c>
      <c r="GHS5749" s="910" t="s">
        <v>75</v>
      </c>
      <c r="GHT5749" s="911"/>
      <c r="GHU5749" s="911"/>
      <c r="GHV5749" s="911"/>
      <c r="GHW5749" s="911"/>
      <c r="GHX5749" s="911"/>
      <c r="GHY5749" s="911"/>
      <c r="GHZ5749" s="911"/>
      <c r="GIA5749" s="911"/>
      <c r="GIB5749" s="911"/>
      <c r="GIC5749" s="32"/>
      <c r="GID5749" s="911" t="s">
        <v>74</v>
      </c>
      <c r="GIE5749" s="911"/>
      <c r="GIF5749" s="911"/>
      <c r="GIG5749" s="911"/>
      <c r="GIH5749" s="911"/>
      <c r="GII5749" s="911"/>
      <c r="GIJ5749" s="911"/>
      <c r="GIK5749" s="911"/>
      <c r="GIL5749" s="911"/>
      <c r="GIM5749" s="912"/>
      <c r="GIO5749" s="913" t="s">
        <v>1</v>
      </c>
      <c r="GIP5749" s="31"/>
      <c r="GIQ5749" s="909" t="s">
        <v>0</v>
      </c>
      <c r="GIR5749" s="909"/>
      <c r="GIS5749" s="909"/>
      <c r="GIT5749" s="909"/>
      <c r="GIU5749" s="909"/>
      <c r="GIV5749" s="909"/>
      <c r="GIW5749" s="907" t="s">
        <v>79</v>
      </c>
      <c r="GIX5749" s="909" t="s">
        <v>68</v>
      </c>
      <c r="GIY5749" s="910" t="s">
        <v>75</v>
      </c>
      <c r="GIZ5749" s="911"/>
      <c r="GJA5749" s="911"/>
      <c r="GJB5749" s="911"/>
      <c r="GJC5749" s="911"/>
      <c r="GJD5749" s="911"/>
      <c r="GJE5749" s="911"/>
      <c r="GJF5749" s="911"/>
      <c r="GJG5749" s="911"/>
      <c r="GJH5749" s="911"/>
      <c r="GJI5749" s="32"/>
      <c r="GJJ5749" s="911" t="s">
        <v>74</v>
      </c>
      <c r="GJK5749" s="911"/>
      <c r="GJL5749" s="911"/>
      <c r="GJM5749" s="911"/>
      <c r="GJN5749" s="911"/>
      <c r="GJO5749" s="911"/>
      <c r="GJP5749" s="911"/>
      <c r="GJQ5749" s="911"/>
      <c r="GJR5749" s="911"/>
      <c r="GJS5749" s="912"/>
      <c r="GJU5749" s="913" t="s">
        <v>1</v>
      </c>
      <c r="GJV5749" s="31"/>
      <c r="GJW5749" s="909" t="s">
        <v>0</v>
      </c>
      <c r="GJX5749" s="909"/>
      <c r="GJY5749" s="909"/>
      <c r="GJZ5749" s="909"/>
      <c r="GKA5749" s="909"/>
      <c r="GKB5749" s="909"/>
      <c r="GKC5749" s="907" t="s">
        <v>79</v>
      </c>
      <c r="GKD5749" s="909" t="s">
        <v>68</v>
      </c>
      <c r="GKE5749" s="910" t="s">
        <v>75</v>
      </c>
      <c r="GKF5749" s="911"/>
      <c r="GKG5749" s="911"/>
      <c r="GKH5749" s="911"/>
      <c r="GKI5749" s="911"/>
      <c r="GKJ5749" s="911"/>
      <c r="GKK5749" s="911"/>
      <c r="GKL5749" s="911"/>
      <c r="GKM5749" s="911"/>
      <c r="GKN5749" s="911"/>
      <c r="GKO5749" s="32"/>
      <c r="GKP5749" s="911" t="s">
        <v>74</v>
      </c>
      <c r="GKQ5749" s="911"/>
      <c r="GKR5749" s="911"/>
      <c r="GKS5749" s="911"/>
      <c r="GKT5749" s="911"/>
      <c r="GKU5749" s="911"/>
      <c r="GKV5749" s="911"/>
      <c r="GKW5749" s="911"/>
      <c r="GKX5749" s="911"/>
      <c r="GKY5749" s="912"/>
      <c r="GLA5749" s="913" t="s">
        <v>1</v>
      </c>
      <c r="GLB5749" s="31"/>
      <c r="GLC5749" s="909" t="s">
        <v>0</v>
      </c>
      <c r="GLD5749" s="909"/>
      <c r="GLE5749" s="909"/>
      <c r="GLF5749" s="909"/>
      <c r="GLG5749" s="909"/>
      <c r="GLH5749" s="909"/>
      <c r="GLI5749" s="907" t="s">
        <v>79</v>
      </c>
      <c r="GLJ5749" s="909" t="s">
        <v>68</v>
      </c>
      <c r="GLK5749" s="910" t="s">
        <v>75</v>
      </c>
      <c r="GLL5749" s="911"/>
      <c r="GLM5749" s="911"/>
      <c r="GLN5749" s="911"/>
      <c r="GLO5749" s="911"/>
      <c r="GLP5749" s="911"/>
      <c r="GLQ5749" s="911"/>
      <c r="GLR5749" s="911"/>
      <c r="GLS5749" s="911"/>
      <c r="GLT5749" s="911"/>
      <c r="GLU5749" s="32"/>
      <c r="GLV5749" s="911" t="s">
        <v>74</v>
      </c>
      <c r="GLW5749" s="911"/>
      <c r="GLX5749" s="911"/>
      <c r="GLY5749" s="911"/>
      <c r="GLZ5749" s="911"/>
      <c r="GMA5749" s="911"/>
      <c r="GMB5749" s="911"/>
      <c r="GMC5749" s="911"/>
      <c r="GMD5749" s="911"/>
      <c r="GME5749" s="912"/>
      <c r="GMG5749" s="913" t="s">
        <v>1</v>
      </c>
      <c r="GMH5749" s="31"/>
      <c r="GMI5749" s="909" t="s">
        <v>0</v>
      </c>
      <c r="GMJ5749" s="909"/>
      <c r="GMK5749" s="909"/>
      <c r="GML5749" s="909"/>
      <c r="GMM5749" s="909"/>
      <c r="GMN5749" s="909"/>
      <c r="GMO5749" s="907" t="s">
        <v>79</v>
      </c>
      <c r="GMP5749" s="909" t="s">
        <v>68</v>
      </c>
      <c r="GMQ5749" s="910" t="s">
        <v>75</v>
      </c>
      <c r="GMR5749" s="911"/>
      <c r="GMS5749" s="911"/>
      <c r="GMT5749" s="911"/>
      <c r="GMU5749" s="911"/>
      <c r="GMV5749" s="911"/>
      <c r="GMW5749" s="911"/>
      <c r="GMX5749" s="911"/>
      <c r="GMY5749" s="911"/>
      <c r="GMZ5749" s="911"/>
      <c r="GNA5749" s="32"/>
      <c r="GNB5749" s="911" t="s">
        <v>74</v>
      </c>
      <c r="GNC5749" s="911"/>
      <c r="GND5749" s="911"/>
      <c r="GNE5749" s="911"/>
      <c r="GNF5749" s="911"/>
      <c r="GNG5749" s="911"/>
      <c r="GNH5749" s="911"/>
      <c r="GNI5749" s="911"/>
      <c r="GNJ5749" s="911"/>
      <c r="GNK5749" s="912"/>
      <c r="GNM5749" s="913" t="s">
        <v>1</v>
      </c>
      <c r="GNN5749" s="31"/>
      <c r="GNO5749" s="909" t="s">
        <v>0</v>
      </c>
      <c r="GNP5749" s="909"/>
      <c r="GNQ5749" s="909"/>
      <c r="GNR5749" s="909"/>
      <c r="GNS5749" s="909"/>
      <c r="GNT5749" s="909"/>
      <c r="GNU5749" s="907" t="s">
        <v>79</v>
      </c>
      <c r="GNV5749" s="909" t="s">
        <v>68</v>
      </c>
      <c r="GNW5749" s="910" t="s">
        <v>75</v>
      </c>
      <c r="GNX5749" s="911"/>
      <c r="GNY5749" s="911"/>
      <c r="GNZ5749" s="911"/>
      <c r="GOA5749" s="911"/>
      <c r="GOB5749" s="911"/>
      <c r="GOC5749" s="911"/>
      <c r="GOD5749" s="911"/>
      <c r="GOE5749" s="911"/>
      <c r="GOF5749" s="911"/>
      <c r="GOG5749" s="32"/>
      <c r="GOH5749" s="911" t="s">
        <v>74</v>
      </c>
      <c r="GOI5749" s="911"/>
      <c r="GOJ5749" s="911"/>
      <c r="GOK5749" s="911"/>
      <c r="GOL5749" s="911"/>
      <c r="GOM5749" s="911"/>
      <c r="GON5749" s="911"/>
      <c r="GOO5749" s="911"/>
      <c r="GOP5749" s="911"/>
      <c r="GOQ5749" s="912"/>
      <c r="GOS5749" s="913" t="s">
        <v>1</v>
      </c>
      <c r="GOT5749" s="31"/>
      <c r="GOU5749" s="909" t="s">
        <v>0</v>
      </c>
      <c r="GOV5749" s="909"/>
      <c r="GOW5749" s="909"/>
      <c r="GOX5749" s="909"/>
      <c r="GOY5749" s="909"/>
      <c r="GOZ5749" s="909"/>
      <c r="GPA5749" s="907" t="s">
        <v>79</v>
      </c>
      <c r="GPB5749" s="909" t="s">
        <v>68</v>
      </c>
      <c r="GPC5749" s="910" t="s">
        <v>75</v>
      </c>
      <c r="GPD5749" s="911"/>
      <c r="GPE5749" s="911"/>
      <c r="GPF5749" s="911"/>
      <c r="GPG5749" s="911"/>
      <c r="GPH5749" s="911"/>
      <c r="GPI5749" s="911"/>
      <c r="GPJ5749" s="911"/>
      <c r="GPK5749" s="911"/>
      <c r="GPL5749" s="911"/>
      <c r="GPM5749" s="32"/>
      <c r="GPN5749" s="911" t="s">
        <v>74</v>
      </c>
      <c r="GPO5749" s="911"/>
      <c r="GPP5749" s="911"/>
      <c r="GPQ5749" s="911"/>
      <c r="GPR5749" s="911"/>
      <c r="GPS5749" s="911"/>
      <c r="GPT5749" s="911"/>
      <c r="GPU5749" s="911"/>
      <c r="GPV5749" s="911"/>
      <c r="GPW5749" s="912"/>
      <c r="GPY5749" s="913" t="s">
        <v>1</v>
      </c>
      <c r="GPZ5749" s="31"/>
      <c r="GQA5749" s="909" t="s">
        <v>0</v>
      </c>
      <c r="GQB5749" s="909"/>
      <c r="GQC5749" s="909"/>
      <c r="GQD5749" s="909"/>
      <c r="GQE5749" s="909"/>
      <c r="GQF5749" s="909"/>
      <c r="GQG5749" s="907" t="s">
        <v>79</v>
      </c>
      <c r="GQH5749" s="909" t="s">
        <v>68</v>
      </c>
      <c r="GQI5749" s="910" t="s">
        <v>75</v>
      </c>
      <c r="GQJ5749" s="911"/>
      <c r="GQK5749" s="911"/>
      <c r="GQL5749" s="911"/>
      <c r="GQM5749" s="911"/>
      <c r="GQN5749" s="911"/>
      <c r="GQO5749" s="911"/>
      <c r="GQP5749" s="911"/>
      <c r="GQQ5749" s="911"/>
      <c r="GQR5749" s="911"/>
      <c r="GQS5749" s="32"/>
      <c r="GQT5749" s="911" t="s">
        <v>74</v>
      </c>
      <c r="GQU5749" s="911"/>
      <c r="GQV5749" s="911"/>
      <c r="GQW5749" s="911"/>
      <c r="GQX5749" s="911"/>
      <c r="GQY5749" s="911"/>
      <c r="GQZ5749" s="911"/>
      <c r="GRA5749" s="911"/>
      <c r="GRB5749" s="911"/>
      <c r="GRC5749" s="912"/>
      <c r="GRE5749" s="913" t="s">
        <v>1</v>
      </c>
      <c r="GRF5749" s="31"/>
      <c r="GRG5749" s="909" t="s">
        <v>0</v>
      </c>
      <c r="GRH5749" s="909"/>
      <c r="GRI5749" s="909"/>
      <c r="GRJ5749" s="909"/>
      <c r="GRK5749" s="909"/>
      <c r="GRL5749" s="909"/>
      <c r="GRM5749" s="907" t="s">
        <v>79</v>
      </c>
      <c r="GRN5749" s="909" t="s">
        <v>68</v>
      </c>
      <c r="GRO5749" s="910" t="s">
        <v>75</v>
      </c>
      <c r="GRP5749" s="911"/>
      <c r="GRQ5749" s="911"/>
      <c r="GRR5749" s="911"/>
      <c r="GRS5749" s="911"/>
      <c r="GRT5749" s="911"/>
      <c r="GRU5749" s="911"/>
      <c r="GRV5749" s="911"/>
      <c r="GRW5749" s="911"/>
      <c r="GRX5749" s="911"/>
      <c r="GRY5749" s="32"/>
      <c r="GRZ5749" s="911" t="s">
        <v>74</v>
      </c>
      <c r="GSA5749" s="911"/>
      <c r="GSB5749" s="911"/>
      <c r="GSC5749" s="911"/>
      <c r="GSD5749" s="911"/>
      <c r="GSE5749" s="911"/>
      <c r="GSF5749" s="911"/>
      <c r="GSG5749" s="911"/>
      <c r="GSH5749" s="911"/>
      <c r="GSI5749" s="912"/>
      <c r="GSK5749" s="913" t="s">
        <v>1</v>
      </c>
      <c r="GSL5749" s="31"/>
      <c r="GSM5749" s="909" t="s">
        <v>0</v>
      </c>
      <c r="GSN5749" s="909"/>
      <c r="GSO5749" s="909"/>
      <c r="GSP5749" s="909"/>
      <c r="GSQ5749" s="909"/>
      <c r="GSR5749" s="909"/>
      <c r="GSS5749" s="907" t="s">
        <v>79</v>
      </c>
      <c r="GST5749" s="909" t="s">
        <v>68</v>
      </c>
      <c r="GSU5749" s="910" t="s">
        <v>75</v>
      </c>
      <c r="GSV5749" s="911"/>
      <c r="GSW5749" s="911"/>
      <c r="GSX5749" s="911"/>
      <c r="GSY5749" s="911"/>
      <c r="GSZ5749" s="911"/>
      <c r="GTA5749" s="911"/>
      <c r="GTB5749" s="911"/>
      <c r="GTC5749" s="911"/>
      <c r="GTD5749" s="911"/>
      <c r="GTE5749" s="32"/>
      <c r="GTF5749" s="911" t="s">
        <v>74</v>
      </c>
      <c r="GTG5749" s="911"/>
      <c r="GTH5749" s="911"/>
      <c r="GTI5749" s="911"/>
      <c r="GTJ5749" s="911"/>
      <c r="GTK5749" s="911"/>
      <c r="GTL5749" s="911"/>
      <c r="GTM5749" s="911"/>
      <c r="GTN5749" s="911"/>
      <c r="GTO5749" s="912"/>
      <c r="GTQ5749" s="913" t="s">
        <v>1</v>
      </c>
      <c r="GTR5749" s="31"/>
      <c r="GTS5749" s="909" t="s">
        <v>0</v>
      </c>
      <c r="GTT5749" s="909"/>
      <c r="GTU5749" s="909"/>
      <c r="GTV5749" s="909"/>
      <c r="GTW5749" s="909"/>
      <c r="GTX5749" s="909"/>
      <c r="GTY5749" s="907" t="s">
        <v>79</v>
      </c>
      <c r="GTZ5749" s="909" t="s">
        <v>68</v>
      </c>
      <c r="GUA5749" s="910" t="s">
        <v>75</v>
      </c>
      <c r="GUB5749" s="911"/>
      <c r="GUC5749" s="911"/>
      <c r="GUD5749" s="911"/>
      <c r="GUE5749" s="911"/>
      <c r="GUF5749" s="911"/>
      <c r="GUG5749" s="911"/>
      <c r="GUH5749" s="911"/>
      <c r="GUI5749" s="911"/>
      <c r="GUJ5749" s="911"/>
      <c r="GUK5749" s="32"/>
      <c r="GUL5749" s="911" t="s">
        <v>74</v>
      </c>
      <c r="GUM5749" s="911"/>
      <c r="GUN5749" s="911"/>
      <c r="GUO5749" s="911"/>
      <c r="GUP5749" s="911"/>
      <c r="GUQ5749" s="911"/>
      <c r="GUR5749" s="911"/>
      <c r="GUS5749" s="911"/>
      <c r="GUT5749" s="911"/>
      <c r="GUU5749" s="912"/>
      <c r="GUW5749" s="913" t="s">
        <v>1</v>
      </c>
      <c r="GUX5749" s="31"/>
      <c r="GUY5749" s="909" t="s">
        <v>0</v>
      </c>
      <c r="GUZ5749" s="909"/>
      <c r="GVA5749" s="909"/>
      <c r="GVB5749" s="909"/>
      <c r="GVC5749" s="909"/>
      <c r="GVD5749" s="909"/>
      <c r="GVE5749" s="907" t="s">
        <v>79</v>
      </c>
      <c r="GVF5749" s="909" t="s">
        <v>68</v>
      </c>
      <c r="GVG5749" s="910" t="s">
        <v>75</v>
      </c>
      <c r="GVH5749" s="911"/>
      <c r="GVI5749" s="911"/>
      <c r="GVJ5749" s="911"/>
      <c r="GVK5749" s="911"/>
      <c r="GVL5749" s="911"/>
      <c r="GVM5749" s="911"/>
      <c r="GVN5749" s="911"/>
      <c r="GVO5749" s="911"/>
      <c r="GVP5749" s="911"/>
      <c r="GVQ5749" s="32"/>
      <c r="GVR5749" s="911" t="s">
        <v>74</v>
      </c>
      <c r="GVS5749" s="911"/>
      <c r="GVT5749" s="911"/>
      <c r="GVU5749" s="911"/>
      <c r="GVV5749" s="911"/>
      <c r="GVW5749" s="911"/>
      <c r="GVX5749" s="911"/>
      <c r="GVY5749" s="911"/>
      <c r="GVZ5749" s="911"/>
      <c r="GWA5749" s="912"/>
      <c r="GWC5749" s="913" t="s">
        <v>1</v>
      </c>
      <c r="GWD5749" s="31"/>
      <c r="GWE5749" s="909" t="s">
        <v>0</v>
      </c>
      <c r="GWF5749" s="909"/>
      <c r="GWG5749" s="909"/>
      <c r="GWH5749" s="909"/>
      <c r="GWI5749" s="909"/>
      <c r="GWJ5749" s="909"/>
      <c r="GWK5749" s="907" t="s">
        <v>79</v>
      </c>
      <c r="GWL5749" s="909" t="s">
        <v>68</v>
      </c>
      <c r="GWM5749" s="910" t="s">
        <v>75</v>
      </c>
      <c r="GWN5749" s="911"/>
      <c r="GWO5749" s="911"/>
      <c r="GWP5749" s="911"/>
      <c r="GWQ5749" s="911"/>
      <c r="GWR5749" s="911"/>
      <c r="GWS5749" s="911"/>
      <c r="GWT5749" s="911"/>
      <c r="GWU5749" s="911"/>
      <c r="GWV5749" s="911"/>
      <c r="GWW5749" s="32"/>
      <c r="GWX5749" s="911" t="s">
        <v>74</v>
      </c>
      <c r="GWY5749" s="911"/>
      <c r="GWZ5749" s="911"/>
      <c r="GXA5749" s="911"/>
      <c r="GXB5749" s="911"/>
      <c r="GXC5749" s="911"/>
      <c r="GXD5749" s="911"/>
      <c r="GXE5749" s="911"/>
      <c r="GXF5749" s="911"/>
      <c r="GXG5749" s="912"/>
      <c r="GXI5749" s="913" t="s">
        <v>1</v>
      </c>
      <c r="GXJ5749" s="31"/>
      <c r="GXK5749" s="909" t="s">
        <v>0</v>
      </c>
      <c r="GXL5749" s="909"/>
      <c r="GXM5749" s="909"/>
      <c r="GXN5749" s="909"/>
      <c r="GXO5749" s="909"/>
      <c r="GXP5749" s="909"/>
      <c r="GXQ5749" s="907" t="s">
        <v>79</v>
      </c>
      <c r="GXR5749" s="909" t="s">
        <v>68</v>
      </c>
      <c r="GXS5749" s="910" t="s">
        <v>75</v>
      </c>
      <c r="GXT5749" s="911"/>
      <c r="GXU5749" s="911"/>
      <c r="GXV5749" s="911"/>
      <c r="GXW5749" s="911"/>
      <c r="GXX5749" s="911"/>
      <c r="GXY5749" s="911"/>
      <c r="GXZ5749" s="911"/>
      <c r="GYA5749" s="911"/>
      <c r="GYB5749" s="911"/>
      <c r="GYC5749" s="32"/>
      <c r="GYD5749" s="911" t="s">
        <v>74</v>
      </c>
      <c r="GYE5749" s="911"/>
      <c r="GYF5749" s="911"/>
      <c r="GYG5749" s="911"/>
      <c r="GYH5749" s="911"/>
      <c r="GYI5749" s="911"/>
      <c r="GYJ5749" s="911"/>
      <c r="GYK5749" s="911"/>
      <c r="GYL5749" s="911"/>
      <c r="GYM5749" s="912"/>
      <c r="GYO5749" s="913" t="s">
        <v>1</v>
      </c>
      <c r="GYP5749" s="31"/>
      <c r="GYQ5749" s="909" t="s">
        <v>0</v>
      </c>
      <c r="GYR5749" s="909"/>
      <c r="GYS5749" s="909"/>
      <c r="GYT5749" s="909"/>
      <c r="GYU5749" s="909"/>
      <c r="GYV5749" s="909"/>
      <c r="GYW5749" s="907" t="s">
        <v>79</v>
      </c>
      <c r="GYX5749" s="909" t="s">
        <v>68</v>
      </c>
      <c r="GYY5749" s="910" t="s">
        <v>75</v>
      </c>
      <c r="GYZ5749" s="911"/>
      <c r="GZA5749" s="911"/>
      <c r="GZB5749" s="911"/>
      <c r="GZC5749" s="911"/>
      <c r="GZD5749" s="911"/>
      <c r="GZE5749" s="911"/>
      <c r="GZF5749" s="911"/>
      <c r="GZG5749" s="911"/>
      <c r="GZH5749" s="911"/>
      <c r="GZI5749" s="32"/>
      <c r="GZJ5749" s="911" t="s">
        <v>74</v>
      </c>
      <c r="GZK5749" s="911"/>
      <c r="GZL5749" s="911"/>
      <c r="GZM5749" s="911"/>
      <c r="GZN5749" s="911"/>
      <c r="GZO5749" s="911"/>
      <c r="GZP5749" s="911"/>
      <c r="GZQ5749" s="911"/>
      <c r="GZR5749" s="911"/>
      <c r="GZS5749" s="912"/>
      <c r="GZU5749" s="913" t="s">
        <v>1</v>
      </c>
      <c r="GZV5749" s="31"/>
      <c r="GZW5749" s="909" t="s">
        <v>0</v>
      </c>
      <c r="GZX5749" s="909"/>
      <c r="GZY5749" s="909"/>
      <c r="GZZ5749" s="909"/>
      <c r="HAA5749" s="909"/>
      <c r="HAB5749" s="909"/>
      <c r="HAC5749" s="907" t="s">
        <v>79</v>
      </c>
      <c r="HAD5749" s="909" t="s">
        <v>68</v>
      </c>
      <c r="HAE5749" s="910" t="s">
        <v>75</v>
      </c>
      <c r="HAF5749" s="911"/>
      <c r="HAG5749" s="911"/>
      <c r="HAH5749" s="911"/>
      <c r="HAI5749" s="911"/>
      <c r="HAJ5749" s="911"/>
      <c r="HAK5749" s="911"/>
      <c r="HAL5749" s="911"/>
      <c r="HAM5749" s="911"/>
      <c r="HAN5749" s="911"/>
      <c r="HAO5749" s="32"/>
      <c r="HAP5749" s="911" t="s">
        <v>74</v>
      </c>
      <c r="HAQ5749" s="911"/>
      <c r="HAR5749" s="911"/>
      <c r="HAS5749" s="911"/>
      <c r="HAT5749" s="911"/>
      <c r="HAU5749" s="911"/>
      <c r="HAV5749" s="911"/>
      <c r="HAW5749" s="911"/>
      <c r="HAX5749" s="911"/>
      <c r="HAY5749" s="912"/>
      <c r="HBA5749" s="913" t="s">
        <v>1</v>
      </c>
      <c r="HBB5749" s="31"/>
      <c r="HBC5749" s="909" t="s">
        <v>0</v>
      </c>
      <c r="HBD5749" s="909"/>
      <c r="HBE5749" s="909"/>
      <c r="HBF5749" s="909"/>
      <c r="HBG5749" s="909"/>
      <c r="HBH5749" s="909"/>
      <c r="HBI5749" s="907" t="s">
        <v>79</v>
      </c>
      <c r="HBJ5749" s="909" t="s">
        <v>68</v>
      </c>
      <c r="HBK5749" s="910" t="s">
        <v>75</v>
      </c>
      <c r="HBL5749" s="911"/>
      <c r="HBM5749" s="911"/>
      <c r="HBN5749" s="911"/>
      <c r="HBO5749" s="911"/>
      <c r="HBP5749" s="911"/>
      <c r="HBQ5749" s="911"/>
      <c r="HBR5749" s="911"/>
      <c r="HBS5749" s="911"/>
      <c r="HBT5749" s="911"/>
      <c r="HBU5749" s="32"/>
      <c r="HBV5749" s="911" t="s">
        <v>74</v>
      </c>
      <c r="HBW5749" s="911"/>
      <c r="HBX5749" s="911"/>
      <c r="HBY5749" s="911"/>
      <c r="HBZ5749" s="911"/>
      <c r="HCA5749" s="911"/>
      <c r="HCB5749" s="911"/>
      <c r="HCC5749" s="911"/>
      <c r="HCD5749" s="911"/>
      <c r="HCE5749" s="912"/>
      <c r="HCG5749" s="913" t="s">
        <v>1</v>
      </c>
      <c r="HCH5749" s="31"/>
      <c r="HCI5749" s="909" t="s">
        <v>0</v>
      </c>
      <c r="HCJ5749" s="909"/>
      <c r="HCK5749" s="909"/>
      <c r="HCL5749" s="909"/>
      <c r="HCM5749" s="909"/>
      <c r="HCN5749" s="909"/>
      <c r="HCO5749" s="907" t="s">
        <v>79</v>
      </c>
      <c r="HCP5749" s="909" t="s">
        <v>68</v>
      </c>
      <c r="HCQ5749" s="910" t="s">
        <v>75</v>
      </c>
      <c r="HCR5749" s="911"/>
      <c r="HCS5749" s="911"/>
      <c r="HCT5749" s="911"/>
      <c r="HCU5749" s="911"/>
      <c r="HCV5749" s="911"/>
      <c r="HCW5749" s="911"/>
      <c r="HCX5749" s="911"/>
      <c r="HCY5749" s="911"/>
      <c r="HCZ5749" s="911"/>
      <c r="HDA5749" s="32"/>
      <c r="HDB5749" s="911" t="s">
        <v>74</v>
      </c>
      <c r="HDC5749" s="911"/>
      <c r="HDD5749" s="911"/>
      <c r="HDE5749" s="911"/>
      <c r="HDF5749" s="911"/>
      <c r="HDG5749" s="911"/>
      <c r="HDH5749" s="911"/>
      <c r="HDI5749" s="911"/>
      <c r="HDJ5749" s="911"/>
      <c r="HDK5749" s="912"/>
      <c r="HDM5749" s="913" t="s">
        <v>1</v>
      </c>
      <c r="HDN5749" s="31"/>
      <c r="HDO5749" s="909" t="s">
        <v>0</v>
      </c>
      <c r="HDP5749" s="909"/>
      <c r="HDQ5749" s="909"/>
      <c r="HDR5749" s="909"/>
      <c r="HDS5749" s="909"/>
      <c r="HDT5749" s="909"/>
      <c r="HDU5749" s="907" t="s">
        <v>79</v>
      </c>
      <c r="HDV5749" s="909" t="s">
        <v>68</v>
      </c>
      <c r="HDW5749" s="910" t="s">
        <v>75</v>
      </c>
      <c r="HDX5749" s="911"/>
      <c r="HDY5749" s="911"/>
      <c r="HDZ5749" s="911"/>
      <c r="HEA5749" s="911"/>
      <c r="HEB5749" s="911"/>
      <c r="HEC5749" s="911"/>
      <c r="HED5749" s="911"/>
      <c r="HEE5749" s="911"/>
      <c r="HEF5749" s="911"/>
      <c r="HEG5749" s="32"/>
      <c r="HEH5749" s="911" t="s">
        <v>74</v>
      </c>
      <c r="HEI5749" s="911"/>
      <c r="HEJ5749" s="911"/>
      <c r="HEK5749" s="911"/>
      <c r="HEL5749" s="911"/>
      <c r="HEM5749" s="911"/>
      <c r="HEN5749" s="911"/>
      <c r="HEO5749" s="911"/>
      <c r="HEP5749" s="911"/>
      <c r="HEQ5749" s="912"/>
      <c r="HES5749" s="913" t="s">
        <v>1</v>
      </c>
      <c r="HET5749" s="31"/>
      <c r="HEU5749" s="909" t="s">
        <v>0</v>
      </c>
      <c r="HEV5749" s="909"/>
      <c r="HEW5749" s="909"/>
      <c r="HEX5749" s="909"/>
      <c r="HEY5749" s="909"/>
      <c r="HEZ5749" s="909"/>
      <c r="HFA5749" s="907" t="s">
        <v>79</v>
      </c>
      <c r="HFB5749" s="909" t="s">
        <v>68</v>
      </c>
      <c r="HFC5749" s="910" t="s">
        <v>75</v>
      </c>
      <c r="HFD5749" s="911"/>
      <c r="HFE5749" s="911"/>
      <c r="HFF5749" s="911"/>
      <c r="HFG5749" s="911"/>
      <c r="HFH5749" s="911"/>
      <c r="HFI5749" s="911"/>
      <c r="HFJ5749" s="911"/>
      <c r="HFK5749" s="911"/>
      <c r="HFL5749" s="911"/>
      <c r="HFM5749" s="32"/>
      <c r="HFN5749" s="911" t="s">
        <v>74</v>
      </c>
      <c r="HFO5749" s="911"/>
      <c r="HFP5749" s="911"/>
      <c r="HFQ5749" s="911"/>
      <c r="HFR5749" s="911"/>
      <c r="HFS5749" s="911"/>
      <c r="HFT5749" s="911"/>
      <c r="HFU5749" s="911"/>
      <c r="HFV5749" s="911"/>
      <c r="HFW5749" s="912"/>
      <c r="HFY5749" s="913" t="s">
        <v>1</v>
      </c>
      <c r="HFZ5749" s="31"/>
      <c r="HGA5749" s="909" t="s">
        <v>0</v>
      </c>
      <c r="HGB5749" s="909"/>
      <c r="HGC5749" s="909"/>
      <c r="HGD5749" s="909"/>
      <c r="HGE5749" s="909"/>
      <c r="HGF5749" s="909"/>
      <c r="HGG5749" s="907" t="s">
        <v>79</v>
      </c>
      <c r="HGH5749" s="909" t="s">
        <v>68</v>
      </c>
      <c r="HGI5749" s="910" t="s">
        <v>75</v>
      </c>
      <c r="HGJ5749" s="911"/>
      <c r="HGK5749" s="911"/>
      <c r="HGL5749" s="911"/>
      <c r="HGM5749" s="911"/>
      <c r="HGN5749" s="911"/>
      <c r="HGO5749" s="911"/>
      <c r="HGP5749" s="911"/>
      <c r="HGQ5749" s="911"/>
      <c r="HGR5749" s="911"/>
      <c r="HGS5749" s="32"/>
      <c r="HGT5749" s="911" t="s">
        <v>74</v>
      </c>
      <c r="HGU5749" s="911"/>
      <c r="HGV5749" s="911"/>
      <c r="HGW5749" s="911"/>
      <c r="HGX5749" s="911"/>
      <c r="HGY5749" s="911"/>
      <c r="HGZ5749" s="911"/>
      <c r="HHA5749" s="911"/>
      <c r="HHB5749" s="911"/>
      <c r="HHC5749" s="912"/>
      <c r="HHE5749" s="913" t="s">
        <v>1</v>
      </c>
      <c r="HHF5749" s="31"/>
      <c r="HHG5749" s="909" t="s">
        <v>0</v>
      </c>
      <c r="HHH5749" s="909"/>
      <c r="HHI5749" s="909"/>
      <c r="HHJ5749" s="909"/>
      <c r="HHK5749" s="909"/>
      <c r="HHL5749" s="909"/>
      <c r="HHM5749" s="907" t="s">
        <v>79</v>
      </c>
      <c r="HHN5749" s="909" t="s">
        <v>68</v>
      </c>
      <c r="HHO5749" s="910" t="s">
        <v>75</v>
      </c>
      <c r="HHP5749" s="911"/>
      <c r="HHQ5749" s="911"/>
      <c r="HHR5749" s="911"/>
      <c r="HHS5749" s="911"/>
      <c r="HHT5749" s="911"/>
      <c r="HHU5749" s="911"/>
      <c r="HHV5749" s="911"/>
      <c r="HHW5749" s="911"/>
      <c r="HHX5749" s="911"/>
      <c r="HHY5749" s="32"/>
      <c r="HHZ5749" s="911" t="s">
        <v>74</v>
      </c>
      <c r="HIA5749" s="911"/>
      <c r="HIB5749" s="911"/>
      <c r="HIC5749" s="911"/>
      <c r="HID5749" s="911"/>
      <c r="HIE5749" s="911"/>
      <c r="HIF5749" s="911"/>
      <c r="HIG5749" s="911"/>
      <c r="HIH5749" s="911"/>
      <c r="HII5749" s="912"/>
      <c r="HIK5749" s="913" t="s">
        <v>1</v>
      </c>
      <c r="HIL5749" s="31"/>
      <c r="HIM5749" s="909" t="s">
        <v>0</v>
      </c>
      <c r="HIN5749" s="909"/>
      <c r="HIO5749" s="909"/>
      <c r="HIP5749" s="909"/>
      <c r="HIQ5749" s="909"/>
      <c r="HIR5749" s="909"/>
      <c r="HIS5749" s="907" t="s">
        <v>79</v>
      </c>
      <c r="HIT5749" s="909" t="s">
        <v>68</v>
      </c>
      <c r="HIU5749" s="910" t="s">
        <v>75</v>
      </c>
      <c r="HIV5749" s="911"/>
      <c r="HIW5749" s="911"/>
      <c r="HIX5749" s="911"/>
      <c r="HIY5749" s="911"/>
      <c r="HIZ5749" s="911"/>
      <c r="HJA5749" s="911"/>
      <c r="HJB5749" s="911"/>
      <c r="HJC5749" s="911"/>
      <c r="HJD5749" s="911"/>
      <c r="HJE5749" s="32"/>
      <c r="HJF5749" s="911" t="s">
        <v>74</v>
      </c>
      <c r="HJG5749" s="911"/>
      <c r="HJH5749" s="911"/>
      <c r="HJI5749" s="911"/>
      <c r="HJJ5749" s="911"/>
      <c r="HJK5749" s="911"/>
      <c r="HJL5749" s="911"/>
      <c r="HJM5749" s="911"/>
      <c r="HJN5749" s="911"/>
      <c r="HJO5749" s="912"/>
      <c r="HJQ5749" s="913" t="s">
        <v>1</v>
      </c>
      <c r="HJR5749" s="31"/>
      <c r="HJS5749" s="909" t="s">
        <v>0</v>
      </c>
      <c r="HJT5749" s="909"/>
      <c r="HJU5749" s="909"/>
      <c r="HJV5749" s="909"/>
      <c r="HJW5749" s="909"/>
      <c r="HJX5749" s="909"/>
      <c r="HJY5749" s="907" t="s">
        <v>79</v>
      </c>
      <c r="HJZ5749" s="909" t="s">
        <v>68</v>
      </c>
      <c r="HKA5749" s="910" t="s">
        <v>75</v>
      </c>
      <c r="HKB5749" s="911"/>
      <c r="HKC5749" s="911"/>
      <c r="HKD5749" s="911"/>
      <c r="HKE5749" s="911"/>
      <c r="HKF5749" s="911"/>
      <c r="HKG5749" s="911"/>
      <c r="HKH5749" s="911"/>
      <c r="HKI5749" s="911"/>
      <c r="HKJ5749" s="911"/>
      <c r="HKK5749" s="32"/>
      <c r="HKL5749" s="911" t="s">
        <v>74</v>
      </c>
      <c r="HKM5749" s="911"/>
      <c r="HKN5749" s="911"/>
      <c r="HKO5749" s="911"/>
      <c r="HKP5749" s="911"/>
      <c r="HKQ5749" s="911"/>
      <c r="HKR5749" s="911"/>
      <c r="HKS5749" s="911"/>
      <c r="HKT5749" s="911"/>
      <c r="HKU5749" s="912"/>
      <c r="HKW5749" s="913" t="s">
        <v>1</v>
      </c>
      <c r="HKX5749" s="31"/>
      <c r="HKY5749" s="909" t="s">
        <v>0</v>
      </c>
      <c r="HKZ5749" s="909"/>
      <c r="HLA5749" s="909"/>
      <c r="HLB5749" s="909"/>
      <c r="HLC5749" s="909"/>
      <c r="HLD5749" s="909"/>
      <c r="HLE5749" s="907" t="s">
        <v>79</v>
      </c>
      <c r="HLF5749" s="909" t="s">
        <v>68</v>
      </c>
      <c r="HLG5749" s="910" t="s">
        <v>75</v>
      </c>
      <c r="HLH5749" s="911"/>
      <c r="HLI5749" s="911"/>
      <c r="HLJ5749" s="911"/>
      <c r="HLK5749" s="911"/>
      <c r="HLL5749" s="911"/>
      <c r="HLM5749" s="911"/>
      <c r="HLN5749" s="911"/>
      <c r="HLO5749" s="911"/>
      <c r="HLP5749" s="911"/>
      <c r="HLQ5749" s="32"/>
      <c r="HLR5749" s="911" t="s">
        <v>74</v>
      </c>
      <c r="HLS5749" s="911"/>
      <c r="HLT5749" s="911"/>
      <c r="HLU5749" s="911"/>
      <c r="HLV5749" s="911"/>
      <c r="HLW5749" s="911"/>
      <c r="HLX5749" s="911"/>
      <c r="HLY5749" s="911"/>
      <c r="HLZ5749" s="911"/>
      <c r="HMA5749" s="912"/>
      <c r="HMC5749" s="913" t="s">
        <v>1</v>
      </c>
      <c r="HMD5749" s="31"/>
      <c r="HME5749" s="909" t="s">
        <v>0</v>
      </c>
      <c r="HMF5749" s="909"/>
      <c r="HMG5749" s="909"/>
      <c r="HMH5749" s="909"/>
      <c r="HMI5749" s="909"/>
      <c r="HMJ5749" s="909"/>
      <c r="HMK5749" s="907" t="s">
        <v>79</v>
      </c>
      <c r="HML5749" s="909" t="s">
        <v>68</v>
      </c>
      <c r="HMM5749" s="910" t="s">
        <v>75</v>
      </c>
      <c r="HMN5749" s="911"/>
      <c r="HMO5749" s="911"/>
      <c r="HMP5749" s="911"/>
      <c r="HMQ5749" s="911"/>
      <c r="HMR5749" s="911"/>
      <c r="HMS5749" s="911"/>
      <c r="HMT5749" s="911"/>
      <c r="HMU5749" s="911"/>
      <c r="HMV5749" s="911"/>
      <c r="HMW5749" s="32"/>
      <c r="HMX5749" s="911" t="s">
        <v>74</v>
      </c>
      <c r="HMY5749" s="911"/>
      <c r="HMZ5749" s="911"/>
      <c r="HNA5749" s="911"/>
      <c r="HNB5749" s="911"/>
      <c r="HNC5749" s="911"/>
      <c r="HND5749" s="911"/>
      <c r="HNE5749" s="911"/>
      <c r="HNF5749" s="911"/>
      <c r="HNG5749" s="912"/>
      <c r="HNI5749" s="913" t="s">
        <v>1</v>
      </c>
      <c r="HNJ5749" s="31"/>
      <c r="HNK5749" s="909" t="s">
        <v>0</v>
      </c>
      <c r="HNL5749" s="909"/>
      <c r="HNM5749" s="909"/>
      <c r="HNN5749" s="909"/>
      <c r="HNO5749" s="909"/>
      <c r="HNP5749" s="909"/>
      <c r="HNQ5749" s="907" t="s">
        <v>79</v>
      </c>
      <c r="HNR5749" s="909" t="s">
        <v>68</v>
      </c>
      <c r="HNS5749" s="910" t="s">
        <v>75</v>
      </c>
      <c r="HNT5749" s="911"/>
      <c r="HNU5749" s="911"/>
      <c r="HNV5749" s="911"/>
      <c r="HNW5749" s="911"/>
      <c r="HNX5749" s="911"/>
      <c r="HNY5749" s="911"/>
      <c r="HNZ5749" s="911"/>
      <c r="HOA5749" s="911"/>
      <c r="HOB5749" s="911"/>
      <c r="HOC5749" s="32"/>
      <c r="HOD5749" s="911" t="s">
        <v>74</v>
      </c>
      <c r="HOE5749" s="911"/>
      <c r="HOF5749" s="911"/>
      <c r="HOG5749" s="911"/>
      <c r="HOH5749" s="911"/>
      <c r="HOI5749" s="911"/>
      <c r="HOJ5749" s="911"/>
      <c r="HOK5749" s="911"/>
      <c r="HOL5749" s="911"/>
      <c r="HOM5749" s="912"/>
      <c r="HOO5749" s="913" t="s">
        <v>1</v>
      </c>
      <c r="HOP5749" s="31"/>
      <c r="HOQ5749" s="909" t="s">
        <v>0</v>
      </c>
      <c r="HOR5749" s="909"/>
      <c r="HOS5749" s="909"/>
      <c r="HOT5749" s="909"/>
      <c r="HOU5749" s="909"/>
      <c r="HOV5749" s="909"/>
      <c r="HOW5749" s="907" t="s">
        <v>79</v>
      </c>
      <c r="HOX5749" s="909" t="s">
        <v>68</v>
      </c>
      <c r="HOY5749" s="910" t="s">
        <v>75</v>
      </c>
      <c r="HOZ5749" s="911"/>
      <c r="HPA5749" s="911"/>
      <c r="HPB5749" s="911"/>
      <c r="HPC5749" s="911"/>
      <c r="HPD5749" s="911"/>
      <c r="HPE5749" s="911"/>
      <c r="HPF5749" s="911"/>
      <c r="HPG5749" s="911"/>
      <c r="HPH5749" s="911"/>
      <c r="HPI5749" s="32"/>
      <c r="HPJ5749" s="911" t="s">
        <v>74</v>
      </c>
      <c r="HPK5749" s="911"/>
      <c r="HPL5749" s="911"/>
      <c r="HPM5749" s="911"/>
      <c r="HPN5749" s="911"/>
      <c r="HPO5749" s="911"/>
      <c r="HPP5749" s="911"/>
      <c r="HPQ5749" s="911"/>
      <c r="HPR5749" s="911"/>
      <c r="HPS5749" s="912"/>
      <c r="HPU5749" s="913" t="s">
        <v>1</v>
      </c>
      <c r="HPV5749" s="31"/>
      <c r="HPW5749" s="909" t="s">
        <v>0</v>
      </c>
      <c r="HPX5749" s="909"/>
      <c r="HPY5749" s="909"/>
      <c r="HPZ5749" s="909"/>
      <c r="HQA5749" s="909"/>
      <c r="HQB5749" s="909"/>
      <c r="HQC5749" s="907" t="s">
        <v>79</v>
      </c>
      <c r="HQD5749" s="909" t="s">
        <v>68</v>
      </c>
      <c r="HQE5749" s="910" t="s">
        <v>75</v>
      </c>
      <c r="HQF5749" s="911"/>
      <c r="HQG5749" s="911"/>
      <c r="HQH5749" s="911"/>
      <c r="HQI5749" s="911"/>
      <c r="HQJ5749" s="911"/>
      <c r="HQK5749" s="911"/>
      <c r="HQL5749" s="911"/>
      <c r="HQM5749" s="911"/>
      <c r="HQN5749" s="911"/>
      <c r="HQO5749" s="32"/>
      <c r="HQP5749" s="911" t="s">
        <v>74</v>
      </c>
      <c r="HQQ5749" s="911"/>
      <c r="HQR5749" s="911"/>
      <c r="HQS5749" s="911"/>
      <c r="HQT5749" s="911"/>
      <c r="HQU5749" s="911"/>
      <c r="HQV5749" s="911"/>
      <c r="HQW5749" s="911"/>
      <c r="HQX5749" s="911"/>
      <c r="HQY5749" s="912"/>
      <c r="HRA5749" s="913" t="s">
        <v>1</v>
      </c>
      <c r="HRB5749" s="31"/>
      <c r="HRC5749" s="909" t="s">
        <v>0</v>
      </c>
      <c r="HRD5749" s="909"/>
      <c r="HRE5749" s="909"/>
      <c r="HRF5749" s="909"/>
      <c r="HRG5749" s="909"/>
      <c r="HRH5749" s="909"/>
      <c r="HRI5749" s="907" t="s">
        <v>79</v>
      </c>
      <c r="HRJ5749" s="909" t="s">
        <v>68</v>
      </c>
      <c r="HRK5749" s="910" t="s">
        <v>75</v>
      </c>
      <c r="HRL5749" s="911"/>
      <c r="HRM5749" s="911"/>
      <c r="HRN5749" s="911"/>
      <c r="HRO5749" s="911"/>
      <c r="HRP5749" s="911"/>
      <c r="HRQ5749" s="911"/>
      <c r="HRR5749" s="911"/>
      <c r="HRS5749" s="911"/>
      <c r="HRT5749" s="911"/>
      <c r="HRU5749" s="32"/>
      <c r="HRV5749" s="911" t="s">
        <v>74</v>
      </c>
      <c r="HRW5749" s="911"/>
      <c r="HRX5749" s="911"/>
      <c r="HRY5749" s="911"/>
      <c r="HRZ5749" s="911"/>
      <c r="HSA5749" s="911"/>
      <c r="HSB5749" s="911"/>
      <c r="HSC5749" s="911"/>
      <c r="HSD5749" s="911"/>
      <c r="HSE5749" s="912"/>
      <c r="HSG5749" s="913" t="s">
        <v>1</v>
      </c>
      <c r="HSH5749" s="31"/>
      <c r="HSI5749" s="909" t="s">
        <v>0</v>
      </c>
      <c r="HSJ5749" s="909"/>
      <c r="HSK5749" s="909"/>
      <c r="HSL5749" s="909"/>
      <c r="HSM5749" s="909"/>
      <c r="HSN5749" s="909"/>
      <c r="HSO5749" s="907" t="s">
        <v>79</v>
      </c>
      <c r="HSP5749" s="909" t="s">
        <v>68</v>
      </c>
      <c r="HSQ5749" s="910" t="s">
        <v>75</v>
      </c>
      <c r="HSR5749" s="911"/>
      <c r="HSS5749" s="911"/>
      <c r="HST5749" s="911"/>
      <c r="HSU5749" s="911"/>
      <c r="HSV5749" s="911"/>
      <c r="HSW5749" s="911"/>
      <c r="HSX5749" s="911"/>
      <c r="HSY5749" s="911"/>
      <c r="HSZ5749" s="911"/>
      <c r="HTA5749" s="32"/>
      <c r="HTB5749" s="911" t="s">
        <v>74</v>
      </c>
      <c r="HTC5749" s="911"/>
      <c r="HTD5749" s="911"/>
      <c r="HTE5749" s="911"/>
      <c r="HTF5749" s="911"/>
      <c r="HTG5749" s="911"/>
      <c r="HTH5749" s="911"/>
      <c r="HTI5749" s="911"/>
      <c r="HTJ5749" s="911"/>
      <c r="HTK5749" s="912"/>
      <c r="HTM5749" s="913" t="s">
        <v>1</v>
      </c>
      <c r="HTN5749" s="31"/>
      <c r="HTO5749" s="909" t="s">
        <v>0</v>
      </c>
      <c r="HTP5749" s="909"/>
      <c r="HTQ5749" s="909"/>
      <c r="HTR5749" s="909"/>
      <c r="HTS5749" s="909"/>
      <c r="HTT5749" s="909"/>
      <c r="HTU5749" s="907" t="s">
        <v>79</v>
      </c>
      <c r="HTV5749" s="909" t="s">
        <v>68</v>
      </c>
      <c r="HTW5749" s="910" t="s">
        <v>75</v>
      </c>
      <c r="HTX5749" s="911"/>
      <c r="HTY5749" s="911"/>
      <c r="HTZ5749" s="911"/>
      <c r="HUA5749" s="911"/>
      <c r="HUB5749" s="911"/>
      <c r="HUC5749" s="911"/>
      <c r="HUD5749" s="911"/>
      <c r="HUE5749" s="911"/>
      <c r="HUF5749" s="911"/>
      <c r="HUG5749" s="32"/>
      <c r="HUH5749" s="911" t="s">
        <v>74</v>
      </c>
      <c r="HUI5749" s="911"/>
      <c r="HUJ5749" s="911"/>
      <c r="HUK5749" s="911"/>
      <c r="HUL5749" s="911"/>
      <c r="HUM5749" s="911"/>
      <c r="HUN5749" s="911"/>
      <c r="HUO5749" s="911"/>
      <c r="HUP5749" s="911"/>
      <c r="HUQ5749" s="912"/>
      <c r="HUS5749" s="913" t="s">
        <v>1</v>
      </c>
      <c r="HUT5749" s="31"/>
      <c r="HUU5749" s="909" t="s">
        <v>0</v>
      </c>
      <c r="HUV5749" s="909"/>
      <c r="HUW5749" s="909"/>
      <c r="HUX5749" s="909"/>
      <c r="HUY5749" s="909"/>
      <c r="HUZ5749" s="909"/>
      <c r="HVA5749" s="907" t="s">
        <v>79</v>
      </c>
      <c r="HVB5749" s="909" t="s">
        <v>68</v>
      </c>
      <c r="HVC5749" s="910" t="s">
        <v>75</v>
      </c>
      <c r="HVD5749" s="911"/>
      <c r="HVE5749" s="911"/>
      <c r="HVF5749" s="911"/>
      <c r="HVG5749" s="911"/>
      <c r="HVH5749" s="911"/>
      <c r="HVI5749" s="911"/>
      <c r="HVJ5749" s="911"/>
      <c r="HVK5749" s="911"/>
      <c r="HVL5749" s="911"/>
      <c r="HVM5749" s="32"/>
      <c r="HVN5749" s="911" t="s">
        <v>74</v>
      </c>
      <c r="HVO5749" s="911"/>
      <c r="HVP5749" s="911"/>
      <c r="HVQ5749" s="911"/>
      <c r="HVR5749" s="911"/>
      <c r="HVS5749" s="911"/>
      <c r="HVT5749" s="911"/>
      <c r="HVU5749" s="911"/>
      <c r="HVV5749" s="911"/>
      <c r="HVW5749" s="912"/>
      <c r="HVY5749" s="913" t="s">
        <v>1</v>
      </c>
      <c r="HVZ5749" s="31"/>
      <c r="HWA5749" s="909" t="s">
        <v>0</v>
      </c>
      <c r="HWB5749" s="909"/>
      <c r="HWC5749" s="909"/>
      <c r="HWD5749" s="909"/>
      <c r="HWE5749" s="909"/>
      <c r="HWF5749" s="909"/>
      <c r="HWG5749" s="907" t="s">
        <v>79</v>
      </c>
      <c r="HWH5749" s="909" t="s">
        <v>68</v>
      </c>
      <c r="HWI5749" s="910" t="s">
        <v>75</v>
      </c>
      <c r="HWJ5749" s="911"/>
      <c r="HWK5749" s="911"/>
      <c r="HWL5749" s="911"/>
      <c r="HWM5749" s="911"/>
      <c r="HWN5749" s="911"/>
      <c r="HWO5749" s="911"/>
      <c r="HWP5749" s="911"/>
      <c r="HWQ5749" s="911"/>
      <c r="HWR5749" s="911"/>
      <c r="HWS5749" s="32"/>
      <c r="HWT5749" s="911" t="s">
        <v>74</v>
      </c>
      <c r="HWU5749" s="911"/>
      <c r="HWV5749" s="911"/>
      <c r="HWW5749" s="911"/>
      <c r="HWX5749" s="911"/>
      <c r="HWY5749" s="911"/>
      <c r="HWZ5749" s="911"/>
      <c r="HXA5749" s="911"/>
      <c r="HXB5749" s="911"/>
      <c r="HXC5749" s="912"/>
      <c r="HXE5749" s="913" t="s">
        <v>1</v>
      </c>
      <c r="HXF5749" s="31"/>
      <c r="HXG5749" s="909" t="s">
        <v>0</v>
      </c>
      <c r="HXH5749" s="909"/>
      <c r="HXI5749" s="909"/>
      <c r="HXJ5749" s="909"/>
      <c r="HXK5749" s="909"/>
      <c r="HXL5749" s="909"/>
      <c r="HXM5749" s="907" t="s">
        <v>79</v>
      </c>
      <c r="HXN5749" s="909" t="s">
        <v>68</v>
      </c>
      <c r="HXO5749" s="910" t="s">
        <v>75</v>
      </c>
      <c r="HXP5749" s="911"/>
      <c r="HXQ5749" s="911"/>
      <c r="HXR5749" s="911"/>
      <c r="HXS5749" s="911"/>
      <c r="HXT5749" s="911"/>
      <c r="HXU5749" s="911"/>
      <c r="HXV5749" s="911"/>
      <c r="HXW5749" s="911"/>
      <c r="HXX5749" s="911"/>
      <c r="HXY5749" s="32"/>
      <c r="HXZ5749" s="911" t="s">
        <v>74</v>
      </c>
      <c r="HYA5749" s="911"/>
      <c r="HYB5749" s="911"/>
      <c r="HYC5749" s="911"/>
      <c r="HYD5749" s="911"/>
      <c r="HYE5749" s="911"/>
      <c r="HYF5749" s="911"/>
      <c r="HYG5749" s="911"/>
      <c r="HYH5749" s="911"/>
      <c r="HYI5749" s="912"/>
      <c r="HYK5749" s="913" t="s">
        <v>1</v>
      </c>
      <c r="HYL5749" s="31"/>
      <c r="HYM5749" s="909" t="s">
        <v>0</v>
      </c>
      <c r="HYN5749" s="909"/>
      <c r="HYO5749" s="909"/>
      <c r="HYP5749" s="909"/>
      <c r="HYQ5749" s="909"/>
      <c r="HYR5749" s="909"/>
      <c r="HYS5749" s="907" t="s">
        <v>79</v>
      </c>
      <c r="HYT5749" s="909" t="s">
        <v>68</v>
      </c>
      <c r="HYU5749" s="910" t="s">
        <v>75</v>
      </c>
      <c r="HYV5749" s="911"/>
      <c r="HYW5749" s="911"/>
      <c r="HYX5749" s="911"/>
      <c r="HYY5749" s="911"/>
      <c r="HYZ5749" s="911"/>
      <c r="HZA5749" s="911"/>
      <c r="HZB5749" s="911"/>
      <c r="HZC5749" s="911"/>
      <c r="HZD5749" s="911"/>
      <c r="HZE5749" s="32"/>
      <c r="HZF5749" s="911" t="s">
        <v>74</v>
      </c>
      <c r="HZG5749" s="911"/>
      <c r="HZH5749" s="911"/>
      <c r="HZI5749" s="911"/>
      <c r="HZJ5749" s="911"/>
      <c r="HZK5749" s="911"/>
      <c r="HZL5749" s="911"/>
      <c r="HZM5749" s="911"/>
      <c r="HZN5749" s="911"/>
      <c r="HZO5749" s="912"/>
      <c r="HZQ5749" s="913" t="s">
        <v>1</v>
      </c>
      <c r="HZR5749" s="31"/>
      <c r="HZS5749" s="909" t="s">
        <v>0</v>
      </c>
      <c r="HZT5749" s="909"/>
      <c r="HZU5749" s="909"/>
      <c r="HZV5749" s="909"/>
      <c r="HZW5749" s="909"/>
      <c r="HZX5749" s="909"/>
      <c r="HZY5749" s="907" t="s">
        <v>79</v>
      </c>
      <c r="HZZ5749" s="909" t="s">
        <v>68</v>
      </c>
      <c r="IAA5749" s="910" t="s">
        <v>75</v>
      </c>
      <c r="IAB5749" s="911"/>
      <c r="IAC5749" s="911"/>
      <c r="IAD5749" s="911"/>
      <c r="IAE5749" s="911"/>
      <c r="IAF5749" s="911"/>
      <c r="IAG5749" s="911"/>
      <c r="IAH5749" s="911"/>
      <c r="IAI5749" s="911"/>
      <c r="IAJ5749" s="911"/>
      <c r="IAK5749" s="32"/>
      <c r="IAL5749" s="911" t="s">
        <v>74</v>
      </c>
      <c r="IAM5749" s="911"/>
      <c r="IAN5749" s="911"/>
      <c r="IAO5749" s="911"/>
      <c r="IAP5749" s="911"/>
      <c r="IAQ5749" s="911"/>
      <c r="IAR5749" s="911"/>
      <c r="IAS5749" s="911"/>
      <c r="IAT5749" s="911"/>
      <c r="IAU5749" s="912"/>
      <c r="IAW5749" s="913" t="s">
        <v>1</v>
      </c>
      <c r="IAX5749" s="31"/>
      <c r="IAY5749" s="909" t="s">
        <v>0</v>
      </c>
      <c r="IAZ5749" s="909"/>
      <c r="IBA5749" s="909"/>
      <c r="IBB5749" s="909"/>
      <c r="IBC5749" s="909"/>
      <c r="IBD5749" s="909"/>
      <c r="IBE5749" s="907" t="s">
        <v>79</v>
      </c>
      <c r="IBF5749" s="909" t="s">
        <v>68</v>
      </c>
      <c r="IBG5749" s="910" t="s">
        <v>75</v>
      </c>
      <c r="IBH5749" s="911"/>
      <c r="IBI5749" s="911"/>
      <c r="IBJ5749" s="911"/>
      <c r="IBK5749" s="911"/>
      <c r="IBL5749" s="911"/>
      <c r="IBM5749" s="911"/>
      <c r="IBN5749" s="911"/>
      <c r="IBO5749" s="911"/>
      <c r="IBP5749" s="911"/>
      <c r="IBQ5749" s="32"/>
      <c r="IBR5749" s="911" t="s">
        <v>74</v>
      </c>
      <c r="IBS5749" s="911"/>
      <c r="IBT5749" s="911"/>
      <c r="IBU5749" s="911"/>
      <c r="IBV5749" s="911"/>
      <c r="IBW5749" s="911"/>
      <c r="IBX5749" s="911"/>
      <c r="IBY5749" s="911"/>
      <c r="IBZ5749" s="911"/>
      <c r="ICA5749" s="912"/>
      <c r="ICC5749" s="913" t="s">
        <v>1</v>
      </c>
      <c r="ICD5749" s="31"/>
      <c r="ICE5749" s="909" t="s">
        <v>0</v>
      </c>
      <c r="ICF5749" s="909"/>
      <c r="ICG5749" s="909"/>
      <c r="ICH5749" s="909"/>
      <c r="ICI5749" s="909"/>
      <c r="ICJ5749" s="909"/>
      <c r="ICK5749" s="907" t="s">
        <v>79</v>
      </c>
      <c r="ICL5749" s="909" t="s">
        <v>68</v>
      </c>
      <c r="ICM5749" s="910" t="s">
        <v>75</v>
      </c>
      <c r="ICN5749" s="911"/>
      <c r="ICO5749" s="911"/>
      <c r="ICP5749" s="911"/>
      <c r="ICQ5749" s="911"/>
      <c r="ICR5749" s="911"/>
      <c r="ICS5749" s="911"/>
      <c r="ICT5749" s="911"/>
      <c r="ICU5749" s="911"/>
      <c r="ICV5749" s="911"/>
      <c r="ICW5749" s="32"/>
      <c r="ICX5749" s="911" t="s">
        <v>74</v>
      </c>
      <c r="ICY5749" s="911"/>
      <c r="ICZ5749" s="911"/>
      <c r="IDA5749" s="911"/>
      <c r="IDB5749" s="911"/>
      <c r="IDC5749" s="911"/>
      <c r="IDD5749" s="911"/>
      <c r="IDE5749" s="911"/>
      <c r="IDF5749" s="911"/>
      <c r="IDG5749" s="912"/>
      <c r="IDI5749" s="913" t="s">
        <v>1</v>
      </c>
      <c r="IDJ5749" s="31"/>
      <c r="IDK5749" s="909" t="s">
        <v>0</v>
      </c>
      <c r="IDL5749" s="909"/>
      <c r="IDM5749" s="909"/>
      <c r="IDN5749" s="909"/>
      <c r="IDO5749" s="909"/>
      <c r="IDP5749" s="909"/>
      <c r="IDQ5749" s="907" t="s">
        <v>79</v>
      </c>
      <c r="IDR5749" s="909" t="s">
        <v>68</v>
      </c>
      <c r="IDS5749" s="910" t="s">
        <v>75</v>
      </c>
      <c r="IDT5749" s="911"/>
      <c r="IDU5749" s="911"/>
      <c r="IDV5749" s="911"/>
      <c r="IDW5749" s="911"/>
      <c r="IDX5749" s="911"/>
      <c r="IDY5749" s="911"/>
      <c r="IDZ5749" s="911"/>
      <c r="IEA5749" s="911"/>
      <c r="IEB5749" s="911"/>
      <c r="IEC5749" s="32"/>
      <c r="IED5749" s="911" t="s">
        <v>74</v>
      </c>
      <c r="IEE5749" s="911"/>
      <c r="IEF5749" s="911"/>
      <c r="IEG5749" s="911"/>
      <c r="IEH5749" s="911"/>
      <c r="IEI5749" s="911"/>
      <c r="IEJ5749" s="911"/>
      <c r="IEK5749" s="911"/>
      <c r="IEL5749" s="911"/>
      <c r="IEM5749" s="912"/>
      <c r="IEO5749" s="913" t="s">
        <v>1</v>
      </c>
      <c r="IEP5749" s="31"/>
      <c r="IEQ5749" s="909" t="s">
        <v>0</v>
      </c>
      <c r="IER5749" s="909"/>
      <c r="IES5749" s="909"/>
      <c r="IET5749" s="909"/>
      <c r="IEU5749" s="909"/>
      <c r="IEV5749" s="909"/>
      <c r="IEW5749" s="907" t="s">
        <v>79</v>
      </c>
      <c r="IEX5749" s="909" t="s">
        <v>68</v>
      </c>
      <c r="IEY5749" s="910" t="s">
        <v>75</v>
      </c>
      <c r="IEZ5749" s="911"/>
      <c r="IFA5749" s="911"/>
      <c r="IFB5749" s="911"/>
      <c r="IFC5749" s="911"/>
      <c r="IFD5749" s="911"/>
      <c r="IFE5749" s="911"/>
      <c r="IFF5749" s="911"/>
      <c r="IFG5749" s="911"/>
      <c r="IFH5749" s="911"/>
      <c r="IFI5749" s="32"/>
      <c r="IFJ5749" s="911" t="s">
        <v>74</v>
      </c>
      <c r="IFK5749" s="911"/>
      <c r="IFL5749" s="911"/>
      <c r="IFM5749" s="911"/>
      <c r="IFN5749" s="911"/>
      <c r="IFO5749" s="911"/>
      <c r="IFP5749" s="911"/>
      <c r="IFQ5749" s="911"/>
      <c r="IFR5749" s="911"/>
      <c r="IFS5749" s="912"/>
      <c r="IFU5749" s="913" t="s">
        <v>1</v>
      </c>
      <c r="IFV5749" s="31"/>
      <c r="IFW5749" s="909" t="s">
        <v>0</v>
      </c>
      <c r="IFX5749" s="909"/>
      <c r="IFY5749" s="909"/>
      <c r="IFZ5749" s="909"/>
      <c r="IGA5749" s="909"/>
      <c r="IGB5749" s="909"/>
      <c r="IGC5749" s="907" t="s">
        <v>79</v>
      </c>
      <c r="IGD5749" s="909" t="s">
        <v>68</v>
      </c>
      <c r="IGE5749" s="910" t="s">
        <v>75</v>
      </c>
      <c r="IGF5749" s="911"/>
      <c r="IGG5749" s="911"/>
      <c r="IGH5749" s="911"/>
      <c r="IGI5749" s="911"/>
      <c r="IGJ5749" s="911"/>
      <c r="IGK5749" s="911"/>
      <c r="IGL5749" s="911"/>
      <c r="IGM5749" s="911"/>
      <c r="IGN5749" s="911"/>
      <c r="IGO5749" s="32"/>
      <c r="IGP5749" s="911" t="s">
        <v>74</v>
      </c>
      <c r="IGQ5749" s="911"/>
      <c r="IGR5749" s="911"/>
      <c r="IGS5749" s="911"/>
      <c r="IGT5749" s="911"/>
      <c r="IGU5749" s="911"/>
      <c r="IGV5749" s="911"/>
      <c r="IGW5749" s="911"/>
      <c r="IGX5749" s="911"/>
      <c r="IGY5749" s="912"/>
      <c r="IHA5749" s="913" t="s">
        <v>1</v>
      </c>
      <c r="IHB5749" s="31"/>
      <c r="IHC5749" s="909" t="s">
        <v>0</v>
      </c>
      <c r="IHD5749" s="909"/>
      <c r="IHE5749" s="909"/>
      <c r="IHF5749" s="909"/>
      <c r="IHG5749" s="909"/>
      <c r="IHH5749" s="909"/>
      <c r="IHI5749" s="907" t="s">
        <v>79</v>
      </c>
      <c r="IHJ5749" s="909" t="s">
        <v>68</v>
      </c>
      <c r="IHK5749" s="910" t="s">
        <v>75</v>
      </c>
      <c r="IHL5749" s="911"/>
      <c r="IHM5749" s="911"/>
      <c r="IHN5749" s="911"/>
      <c r="IHO5749" s="911"/>
      <c r="IHP5749" s="911"/>
      <c r="IHQ5749" s="911"/>
      <c r="IHR5749" s="911"/>
      <c r="IHS5749" s="911"/>
      <c r="IHT5749" s="911"/>
      <c r="IHU5749" s="32"/>
      <c r="IHV5749" s="911" t="s">
        <v>74</v>
      </c>
      <c r="IHW5749" s="911"/>
      <c r="IHX5749" s="911"/>
      <c r="IHY5749" s="911"/>
      <c r="IHZ5749" s="911"/>
      <c r="IIA5749" s="911"/>
      <c r="IIB5749" s="911"/>
      <c r="IIC5749" s="911"/>
      <c r="IID5749" s="911"/>
      <c r="IIE5749" s="912"/>
      <c r="IIG5749" s="913" t="s">
        <v>1</v>
      </c>
      <c r="IIH5749" s="31"/>
      <c r="III5749" s="909" t="s">
        <v>0</v>
      </c>
      <c r="IIJ5749" s="909"/>
      <c r="IIK5749" s="909"/>
      <c r="IIL5749" s="909"/>
      <c r="IIM5749" s="909"/>
      <c r="IIN5749" s="909"/>
      <c r="IIO5749" s="907" t="s">
        <v>79</v>
      </c>
      <c r="IIP5749" s="909" t="s">
        <v>68</v>
      </c>
      <c r="IIQ5749" s="910" t="s">
        <v>75</v>
      </c>
      <c r="IIR5749" s="911"/>
      <c r="IIS5749" s="911"/>
      <c r="IIT5749" s="911"/>
      <c r="IIU5749" s="911"/>
      <c r="IIV5749" s="911"/>
      <c r="IIW5749" s="911"/>
      <c r="IIX5749" s="911"/>
      <c r="IIY5749" s="911"/>
      <c r="IIZ5749" s="911"/>
      <c r="IJA5749" s="32"/>
      <c r="IJB5749" s="911" t="s">
        <v>74</v>
      </c>
      <c r="IJC5749" s="911"/>
      <c r="IJD5749" s="911"/>
      <c r="IJE5749" s="911"/>
      <c r="IJF5749" s="911"/>
      <c r="IJG5749" s="911"/>
      <c r="IJH5749" s="911"/>
      <c r="IJI5749" s="911"/>
      <c r="IJJ5749" s="911"/>
      <c r="IJK5749" s="912"/>
      <c r="IJM5749" s="913" t="s">
        <v>1</v>
      </c>
      <c r="IJN5749" s="31"/>
      <c r="IJO5749" s="909" t="s">
        <v>0</v>
      </c>
      <c r="IJP5749" s="909"/>
      <c r="IJQ5749" s="909"/>
      <c r="IJR5749" s="909"/>
      <c r="IJS5749" s="909"/>
      <c r="IJT5749" s="909"/>
      <c r="IJU5749" s="907" t="s">
        <v>79</v>
      </c>
      <c r="IJV5749" s="909" t="s">
        <v>68</v>
      </c>
      <c r="IJW5749" s="910" t="s">
        <v>75</v>
      </c>
      <c r="IJX5749" s="911"/>
      <c r="IJY5749" s="911"/>
      <c r="IJZ5749" s="911"/>
      <c r="IKA5749" s="911"/>
      <c r="IKB5749" s="911"/>
      <c r="IKC5749" s="911"/>
      <c r="IKD5749" s="911"/>
      <c r="IKE5749" s="911"/>
      <c r="IKF5749" s="911"/>
      <c r="IKG5749" s="32"/>
      <c r="IKH5749" s="911" t="s">
        <v>74</v>
      </c>
      <c r="IKI5749" s="911"/>
      <c r="IKJ5749" s="911"/>
      <c r="IKK5749" s="911"/>
      <c r="IKL5749" s="911"/>
      <c r="IKM5749" s="911"/>
      <c r="IKN5749" s="911"/>
      <c r="IKO5749" s="911"/>
      <c r="IKP5749" s="911"/>
      <c r="IKQ5749" s="912"/>
      <c r="IKS5749" s="913" t="s">
        <v>1</v>
      </c>
      <c r="IKT5749" s="31"/>
      <c r="IKU5749" s="909" t="s">
        <v>0</v>
      </c>
      <c r="IKV5749" s="909"/>
      <c r="IKW5749" s="909"/>
      <c r="IKX5749" s="909"/>
      <c r="IKY5749" s="909"/>
      <c r="IKZ5749" s="909"/>
      <c r="ILA5749" s="907" t="s">
        <v>79</v>
      </c>
      <c r="ILB5749" s="909" t="s">
        <v>68</v>
      </c>
      <c r="ILC5749" s="910" t="s">
        <v>75</v>
      </c>
      <c r="ILD5749" s="911"/>
      <c r="ILE5749" s="911"/>
      <c r="ILF5749" s="911"/>
      <c r="ILG5749" s="911"/>
      <c r="ILH5749" s="911"/>
      <c r="ILI5749" s="911"/>
      <c r="ILJ5749" s="911"/>
      <c r="ILK5749" s="911"/>
      <c r="ILL5749" s="911"/>
      <c r="ILM5749" s="32"/>
      <c r="ILN5749" s="911" t="s">
        <v>74</v>
      </c>
      <c r="ILO5749" s="911"/>
      <c r="ILP5749" s="911"/>
      <c r="ILQ5749" s="911"/>
      <c r="ILR5749" s="911"/>
      <c r="ILS5749" s="911"/>
      <c r="ILT5749" s="911"/>
      <c r="ILU5749" s="911"/>
      <c r="ILV5749" s="911"/>
      <c r="ILW5749" s="912"/>
      <c r="ILY5749" s="913" t="s">
        <v>1</v>
      </c>
      <c r="ILZ5749" s="31"/>
      <c r="IMA5749" s="909" t="s">
        <v>0</v>
      </c>
      <c r="IMB5749" s="909"/>
      <c r="IMC5749" s="909"/>
      <c r="IMD5749" s="909"/>
      <c r="IME5749" s="909"/>
      <c r="IMF5749" s="909"/>
      <c r="IMG5749" s="907" t="s">
        <v>79</v>
      </c>
      <c r="IMH5749" s="909" t="s">
        <v>68</v>
      </c>
      <c r="IMI5749" s="910" t="s">
        <v>75</v>
      </c>
      <c r="IMJ5749" s="911"/>
      <c r="IMK5749" s="911"/>
      <c r="IML5749" s="911"/>
      <c r="IMM5749" s="911"/>
      <c r="IMN5749" s="911"/>
      <c r="IMO5749" s="911"/>
      <c r="IMP5749" s="911"/>
      <c r="IMQ5749" s="911"/>
      <c r="IMR5749" s="911"/>
      <c r="IMS5749" s="32"/>
      <c r="IMT5749" s="911" t="s">
        <v>74</v>
      </c>
      <c r="IMU5749" s="911"/>
      <c r="IMV5749" s="911"/>
      <c r="IMW5749" s="911"/>
      <c r="IMX5749" s="911"/>
      <c r="IMY5749" s="911"/>
      <c r="IMZ5749" s="911"/>
      <c r="INA5749" s="911"/>
      <c r="INB5749" s="911"/>
      <c r="INC5749" s="912"/>
      <c r="INE5749" s="913" t="s">
        <v>1</v>
      </c>
      <c r="INF5749" s="31"/>
      <c r="ING5749" s="909" t="s">
        <v>0</v>
      </c>
      <c r="INH5749" s="909"/>
      <c r="INI5749" s="909"/>
      <c r="INJ5749" s="909"/>
      <c r="INK5749" s="909"/>
      <c r="INL5749" s="909"/>
      <c r="INM5749" s="907" t="s">
        <v>79</v>
      </c>
      <c r="INN5749" s="909" t="s">
        <v>68</v>
      </c>
      <c r="INO5749" s="910" t="s">
        <v>75</v>
      </c>
      <c r="INP5749" s="911"/>
      <c r="INQ5749" s="911"/>
      <c r="INR5749" s="911"/>
      <c r="INS5749" s="911"/>
      <c r="INT5749" s="911"/>
      <c r="INU5749" s="911"/>
      <c r="INV5749" s="911"/>
      <c r="INW5749" s="911"/>
      <c r="INX5749" s="911"/>
      <c r="INY5749" s="32"/>
      <c r="INZ5749" s="911" t="s">
        <v>74</v>
      </c>
      <c r="IOA5749" s="911"/>
      <c r="IOB5749" s="911"/>
      <c r="IOC5749" s="911"/>
      <c r="IOD5749" s="911"/>
      <c r="IOE5749" s="911"/>
      <c r="IOF5749" s="911"/>
      <c r="IOG5749" s="911"/>
      <c r="IOH5749" s="911"/>
      <c r="IOI5749" s="912"/>
      <c r="IOK5749" s="913" t="s">
        <v>1</v>
      </c>
      <c r="IOL5749" s="31"/>
      <c r="IOM5749" s="909" t="s">
        <v>0</v>
      </c>
      <c r="ION5749" s="909"/>
      <c r="IOO5749" s="909"/>
      <c r="IOP5749" s="909"/>
      <c r="IOQ5749" s="909"/>
      <c r="IOR5749" s="909"/>
      <c r="IOS5749" s="907" t="s">
        <v>79</v>
      </c>
      <c r="IOT5749" s="909" t="s">
        <v>68</v>
      </c>
      <c r="IOU5749" s="910" t="s">
        <v>75</v>
      </c>
      <c r="IOV5749" s="911"/>
      <c r="IOW5749" s="911"/>
      <c r="IOX5749" s="911"/>
      <c r="IOY5749" s="911"/>
      <c r="IOZ5749" s="911"/>
      <c r="IPA5749" s="911"/>
      <c r="IPB5749" s="911"/>
      <c r="IPC5749" s="911"/>
      <c r="IPD5749" s="911"/>
      <c r="IPE5749" s="32"/>
      <c r="IPF5749" s="911" t="s">
        <v>74</v>
      </c>
      <c r="IPG5749" s="911"/>
      <c r="IPH5749" s="911"/>
      <c r="IPI5749" s="911"/>
      <c r="IPJ5749" s="911"/>
      <c r="IPK5749" s="911"/>
      <c r="IPL5749" s="911"/>
      <c r="IPM5749" s="911"/>
      <c r="IPN5749" s="911"/>
      <c r="IPO5749" s="912"/>
      <c r="IPQ5749" s="913" t="s">
        <v>1</v>
      </c>
      <c r="IPR5749" s="31"/>
      <c r="IPS5749" s="909" t="s">
        <v>0</v>
      </c>
      <c r="IPT5749" s="909"/>
      <c r="IPU5749" s="909"/>
      <c r="IPV5749" s="909"/>
      <c r="IPW5749" s="909"/>
      <c r="IPX5749" s="909"/>
      <c r="IPY5749" s="907" t="s">
        <v>79</v>
      </c>
      <c r="IPZ5749" s="909" t="s">
        <v>68</v>
      </c>
      <c r="IQA5749" s="910" t="s">
        <v>75</v>
      </c>
      <c r="IQB5749" s="911"/>
      <c r="IQC5749" s="911"/>
      <c r="IQD5749" s="911"/>
      <c r="IQE5749" s="911"/>
      <c r="IQF5749" s="911"/>
      <c r="IQG5749" s="911"/>
      <c r="IQH5749" s="911"/>
      <c r="IQI5749" s="911"/>
      <c r="IQJ5749" s="911"/>
      <c r="IQK5749" s="32"/>
      <c r="IQL5749" s="911" t="s">
        <v>74</v>
      </c>
      <c r="IQM5749" s="911"/>
      <c r="IQN5749" s="911"/>
      <c r="IQO5749" s="911"/>
      <c r="IQP5749" s="911"/>
      <c r="IQQ5749" s="911"/>
      <c r="IQR5749" s="911"/>
      <c r="IQS5749" s="911"/>
      <c r="IQT5749" s="911"/>
      <c r="IQU5749" s="912"/>
      <c r="IQW5749" s="913" t="s">
        <v>1</v>
      </c>
      <c r="IQX5749" s="31"/>
      <c r="IQY5749" s="909" t="s">
        <v>0</v>
      </c>
      <c r="IQZ5749" s="909"/>
      <c r="IRA5749" s="909"/>
      <c r="IRB5749" s="909"/>
      <c r="IRC5749" s="909"/>
      <c r="IRD5749" s="909"/>
      <c r="IRE5749" s="907" t="s">
        <v>79</v>
      </c>
      <c r="IRF5749" s="909" t="s">
        <v>68</v>
      </c>
      <c r="IRG5749" s="910" t="s">
        <v>75</v>
      </c>
      <c r="IRH5749" s="911"/>
      <c r="IRI5749" s="911"/>
      <c r="IRJ5749" s="911"/>
      <c r="IRK5749" s="911"/>
      <c r="IRL5749" s="911"/>
      <c r="IRM5749" s="911"/>
      <c r="IRN5749" s="911"/>
      <c r="IRO5749" s="911"/>
      <c r="IRP5749" s="911"/>
      <c r="IRQ5749" s="32"/>
      <c r="IRR5749" s="911" t="s">
        <v>74</v>
      </c>
      <c r="IRS5749" s="911"/>
      <c r="IRT5749" s="911"/>
      <c r="IRU5749" s="911"/>
      <c r="IRV5749" s="911"/>
      <c r="IRW5749" s="911"/>
      <c r="IRX5749" s="911"/>
      <c r="IRY5749" s="911"/>
      <c r="IRZ5749" s="911"/>
      <c r="ISA5749" s="912"/>
      <c r="ISC5749" s="913" t="s">
        <v>1</v>
      </c>
      <c r="ISD5749" s="31"/>
      <c r="ISE5749" s="909" t="s">
        <v>0</v>
      </c>
      <c r="ISF5749" s="909"/>
      <c r="ISG5749" s="909"/>
      <c r="ISH5749" s="909"/>
      <c r="ISI5749" s="909"/>
      <c r="ISJ5749" s="909"/>
      <c r="ISK5749" s="907" t="s">
        <v>79</v>
      </c>
      <c r="ISL5749" s="909" t="s">
        <v>68</v>
      </c>
      <c r="ISM5749" s="910" t="s">
        <v>75</v>
      </c>
      <c r="ISN5749" s="911"/>
      <c r="ISO5749" s="911"/>
      <c r="ISP5749" s="911"/>
      <c r="ISQ5749" s="911"/>
      <c r="ISR5749" s="911"/>
      <c r="ISS5749" s="911"/>
      <c r="IST5749" s="911"/>
      <c r="ISU5749" s="911"/>
      <c r="ISV5749" s="911"/>
      <c r="ISW5749" s="32"/>
      <c r="ISX5749" s="911" t="s">
        <v>74</v>
      </c>
      <c r="ISY5749" s="911"/>
      <c r="ISZ5749" s="911"/>
      <c r="ITA5749" s="911"/>
      <c r="ITB5749" s="911"/>
      <c r="ITC5749" s="911"/>
      <c r="ITD5749" s="911"/>
      <c r="ITE5749" s="911"/>
      <c r="ITF5749" s="911"/>
      <c r="ITG5749" s="912"/>
      <c r="ITI5749" s="913" t="s">
        <v>1</v>
      </c>
      <c r="ITJ5749" s="31"/>
      <c r="ITK5749" s="909" t="s">
        <v>0</v>
      </c>
      <c r="ITL5749" s="909"/>
      <c r="ITM5749" s="909"/>
      <c r="ITN5749" s="909"/>
      <c r="ITO5749" s="909"/>
      <c r="ITP5749" s="909"/>
      <c r="ITQ5749" s="907" t="s">
        <v>79</v>
      </c>
      <c r="ITR5749" s="909" t="s">
        <v>68</v>
      </c>
      <c r="ITS5749" s="910" t="s">
        <v>75</v>
      </c>
      <c r="ITT5749" s="911"/>
      <c r="ITU5749" s="911"/>
      <c r="ITV5749" s="911"/>
      <c r="ITW5749" s="911"/>
      <c r="ITX5749" s="911"/>
      <c r="ITY5749" s="911"/>
      <c r="ITZ5749" s="911"/>
      <c r="IUA5749" s="911"/>
      <c r="IUB5749" s="911"/>
      <c r="IUC5749" s="32"/>
      <c r="IUD5749" s="911" t="s">
        <v>74</v>
      </c>
      <c r="IUE5749" s="911"/>
      <c r="IUF5749" s="911"/>
      <c r="IUG5749" s="911"/>
      <c r="IUH5749" s="911"/>
      <c r="IUI5749" s="911"/>
      <c r="IUJ5749" s="911"/>
      <c r="IUK5749" s="911"/>
      <c r="IUL5749" s="911"/>
      <c r="IUM5749" s="912"/>
      <c r="IUO5749" s="913" t="s">
        <v>1</v>
      </c>
      <c r="IUP5749" s="31"/>
      <c r="IUQ5749" s="909" t="s">
        <v>0</v>
      </c>
      <c r="IUR5749" s="909"/>
      <c r="IUS5749" s="909"/>
      <c r="IUT5749" s="909"/>
      <c r="IUU5749" s="909"/>
      <c r="IUV5749" s="909"/>
      <c r="IUW5749" s="907" t="s">
        <v>79</v>
      </c>
      <c r="IUX5749" s="909" t="s">
        <v>68</v>
      </c>
      <c r="IUY5749" s="910" t="s">
        <v>75</v>
      </c>
      <c r="IUZ5749" s="911"/>
      <c r="IVA5749" s="911"/>
      <c r="IVB5749" s="911"/>
      <c r="IVC5749" s="911"/>
      <c r="IVD5749" s="911"/>
      <c r="IVE5749" s="911"/>
      <c r="IVF5749" s="911"/>
      <c r="IVG5749" s="911"/>
      <c r="IVH5749" s="911"/>
      <c r="IVI5749" s="32"/>
      <c r="IVJ5749" s="911" t="s">
        <v>74</v>
      </c>
      <c r="IVK5749" s="911"/>
      <c r="IVL5749" s="911"/>
      <c r="IVM5749" s="911"/>
      <c r="IVN5749" s="911"/>
      <c r="IVO5749" s="911"/>
      <c r="IVP5749" s="911"/>
      <c r="IVQ5749" s="911"/>
      <c r="IVR5749" s="911"/>
      <c r="IVS5749" s="912"/>
      <c r="IVU5749" s="913" t="s">
        <v>1</v>
      </c>
      <c r="IVV5749" s="31"/>
      <c r="IVW5749" s="909" t="s">
        <v>0</v>
      </c>
      <c r="IVX5749" s="909"/>
      <c r="IVY5749" s="909"/>
      <c r="IVZ5749" s="909"/>
      <c r="IWA5749" s="909"/>
      <c r="IWB5749" s="909"/>
      <c r="IWC5749" s="907" t="s">
        <v>79</v>
      </c>
      <c r="IWD5749" s="909" t="s">
        <v>68</v>
      </c>
      <c r="IWE5749" s="910" t="s">
        <v>75</v>
      </c>
      <c r="IWF5749" s="911"/>
      <c r="IWG5749" s="911"/>
      <c r="IWH5749" s="911"/>
      <c r="IWI5749" s="911"/>
      <c r="IWJ5749" s="911"/>
      <c r="IWK5749" s="911"/>
      <c r="IWL5749" s="911"/>
      <c r="IWM5749" s="911"/>
      <c r="IWN5749" s="911"/>
      <c r="IWO5749" s="32"/>
      <c r="IWP5749" s="911" t="s">
        <v>74</v>
      </c>
      <c r="IWQ5749" s="911"/>
      <c r="IWR5749" s="911"/>
      <c r="IWS5749" s="911"/>
      <c r="IWT5749" s="911"/>
      <c r="IWU5749" s="911"/>
      <c r="IWV5749" s="911"/>
      <c r="IWW5749" s="911"/>
      <c r="IWX5749" s="911"/>
      <c r="IWY5749" s="912"/>
      <c r="IXA5749" s="913" t="s">
        <v>1</v>
      </c>
      <c r="IXB5749" s="31"/>
      <c r="IXC5749" s="909" t="s">
        <v>0</v>
      </c>
      <c r="IXD5749" s="909"/>
      <c r="IXE5749" s="909"/>
      <c r="IXF5749" s="909"/>
      <c r="IXG5749" s="909"/>
      <c r="IXH5749" s="909"/>
      <c r="IXI5749" s="907" t="s">
        <v>79</v>
      </c>
      <c r="IXJ5749" s="909" t="s">
        <v>68</v>
      </c>
      <c r="IXK5749" s="910" t="s">
        <v>75</v>
      </c>
      <c r="IXL5749" s="911"/>
      <c r="IXM5749" s="911"/>
      <c r="IXN5749" s="911"/>
      <c r="IXO5749" s="911"/>
      <c r="IXP5749" s="911"/>
      <c r="IXQ5749" s="911"/>
      <c r="IXR5749" s="911"/>
      <c r="IXS5749" s="911"/>
      <c r="IXT5749" s="911"/>
      <c r="IXU5749" s="32"/>
      <c r="IXV5749" s="911" t="s">
        <v>74</v>
      </c>
      <c r="IXW5749" s="911"/>
      <c r="IXX5749" s="911"/>
      <c r="IXY5749" s="911"/>
      <c r="IXZ5749" s="911"/>
      <c r="IYA5749" s="911"/>
      <c r="IYB5749" s="911"/>
      <c r="IYC5749" s="911"/>
      <c r="IYD5749" s="911"/>
      <c r="IYE5749" s="912"/>
      <c r="IYG5749" s="913" t="s">
        <v>1</v>
      </c>
      <c r="IYH5749" s="31"/>
      <c r="IYI5749" s="909" t="s">
        <v>0</v>
      </c>
      <c r="IYJ5749" s="909"/>
      <c r="IYK5749" s="909"/>
      <c r="IYL5749" s="909"/>
      <c r="IYM5749" s="909"/>
      <c r="IYN5749" s="909"/>
      <c r="IYO5749" s="907" t="s">
        <v>79</v>
      </c>
      <c r="IYP5749" s="909" t="s">
        <v>68</v>
      </c>
      <c r="IYQ5749" s="910" t="s">
        <v>75</v>
      </c>
      <c r="IYR5749" s="911"/>
      <c r="IYS5749" s="911"/>
      <c r="IYT5749" s="911"/>
      <c r="IYU5749" s="911"/>
      <c r="IYV5749" s="911"/>
      <c r="IYW5749" s="911"/>
      <c r="IYX5749" s="911"/>
      <c r="IYY5749" s="911"/>
      <c r="IYZ5749" s="911"/>
      <c r="IZA5749" s="32"/>
      <c r="IZB5749" s="911" t="s">
        <v>74</v>
      </c>
      <c r="IZC5749" s="911"/>
      <c r="IZD5749" s="911"/>
      <c r="IZE5749" s="911"/>
      <c r="IZF5749" s="911"/>
      <c r="IZG5749" s="911"/>
      <c r="IZH5749" s="911"/>
      <c r="IZI5749" s="911"/>
      <c r="IZJ5749" s="911"/>
      <c r="IZK5749" s="912"/>
      <c r="IZM5749" s="913" t="s">
        <v>1</v>
      </c>
      <c r="IZN5749" s="31"/>
      <c r="IZO5749" s="909" t="s">
        <v>0</v>
      </c>
      <c r="IZP5749" s="909"/>
      <c r="IZQ5749" s="909"/>
      <c r="IZR5749" s="909"/>
      <c r="IZS5749" s="909"/>
      <c r="IZT5749" s="909"/>
      <c r="IZU5749" s="907" t="s">
        <v>79</v>
      </c>
      <c r="IZV5749" s="909" t="s">
        <v>68</v>
      </c>
      <c r="IZW5749" s="910" t="s">
        <v>75</v>
      </c>
      <c r="IZX5749" s="911"/>
      <c r="IZY5749" s="911"/>
      <c r="IZZ5749" s="911"/>
      <c r="JAA5749" s="911"/>
      <c r="JAB5749" s="911"/>
      <c r="JAC5749" s="911"/>
      <c r="JAD5749" s="911"/>
      <c r="JAE5749" s="911"/>
      <c r="JAF5749" s="911"/>
      <c r="JAG5749" s="32"/>
      <c r="JAH5749" s="911" t="s">
        <v>74</v>
      </c>
      <c r="JAI5749" s="911"/>
      <c r="JAJ5749" s="911"/>
      <c r="JAK5749" s="911"/>
      <c r="JAL5749" s="911"/>
      <c r="JAM5749" s="911"/>
      <c r="JAN5749" s="911"/>
      <c r="JAO5749" s="911"/>
      <c r="JAP5749" s="911"/>
      <c r="JAQ5749" s="912"/>
      <c r="JAS5749" s="913" t="s">
        <v>1</v>
      </c>
      <c r="JAT5749" s="31"/>
      <c r="JAU5749" s="909" t="s">
        <v>0</v>
      </c>
      <c r="JAV5749" s="909"/>
      <c r="JAW5749" s="909"/>
      <c r="JAX5749" s="909"/>
      <c r="JAY5749" s="909"/>
      <c r="JAZ5749" s="909"/>
      <c r="JBA5749" s="907" t="s">
        <v>79</v>
      </c>
      <c r="JBB5749" s="909" t="s">
        <v>68</v>
      </c>
      <c r="JBC5749" s="910" t="s">
        <v>75</v>
      </c>
      <c r="JBD5749" s="911"/>
      <c r="JBE5749" s="911"/>
      <c r="JBF5749" s="911"/>
      <c r="JBG5749" s="911"/>
      <c r="JBH5749" s="911"/>
      <c r="JBI5749" s="911"/>
      <c r="JBJ5749" s="911"/>
      <c r="JBK5749" s="911"/>
      <c r="JBL5749" s="911"/>
      <c r="JBM5749" s="32"/>
      <c r="JBN5749" s="911" t="s">
        <v>74</v>
      </c>
      <c r="JBO5749" s="911"/>
      <c r="JBP5749" s="911"/>
      <c r="JBQ5749" s="911"/>
      <c r="JBR5749" s="911"/>
      <c r="JBS5749" s="911"/>
      <c r="JBT5749" s="911"/>
      <c r="JBU5749" s="911"/>
      <c r="JBV5749" s="911"/>
      <c r="JBW5749" s="912"/>
      <c r="JBY5749" s="913" t="s">
        <v>1</v>
      </c>
      <c r="JBZ5749" s="31"/>
      <c r="JCA5749" s="909" t="s">
        <v>0</v>
      </c>
      <c r="JCB5749" s="909"/>
      <c r="JCC5749" s="909"/>
      <c r="JCD5749" s="909"/>
      <c r="JCE5749" s="909"/>
      <c r="JCF5749" s="909"/>
      <c r="JCG5749" s="907" t="s">
        <v>79</v>
      </c>
      <c r="JCH5749" s="909" t="s">
        <v>68</v>
      </c>
      <c r="JCI5749" s="910" t="s">
        <v>75</v>
      </c>
      <c r="JCJ5749" s="911"/>
      <c r="JCK5749" s="911"/>
      <c r="JCL5749" s="911"/>
      <c r="JCM5749" s="911"/>
      <c r="JCN5749" s="911"/>
      <c r="JCO5749" s="911"/>
      <c r="JCP5749" s="911"/>
      <c r="JCQ5749" s="911"/>
      <c r="JCR5749" s="911"/>
      <c r="JCS5749" s="32"/>
      <c r="JCT5749" s="911" t="s">
        <v>74</v>
      </c>
      <c r="JCU5749" s="911"/>
      <c r="JCV5749" s="911"/>
      <c r="JCW5749" s="911"/>
      <c r="JCX5749" s="911"/>
      <c r="JCY5749" s="911"/>
      <c r="JCZ5749" s="911"/>
      <c r="JDA5749" s="911"/>
      <c r="JDB5749" s="911"/>
      <c r="JDC5749" s="912"/>
      <c r="JDE5749" s="913" t="s">
        <v>1</v>
      </c>
      <c r="JDF5749" s="31"/>
      <c r="JDG5749" s="909" t="s">
        <v>0</v>
      </c>
      <c r="JDH5749" s="909"/>
      <c r="JDI5749" s="909"/>
      <c r="JDJ5749" s="909"/>
      <c r="JDK5749" s="909"/>
      <c r="JDL5749" s="909"/>
      <c r="JDM5749" s="907" t="s">
        <v>79</v>
      </c>
      <c r="JDN5749" s="909" t="s">
        <v>68</v>
      </c>
      <c r="JDO5749" s="910" t="s">
        <v>75</v>
      </c>
      <c r="JDP5749" s="911"/>
      <c r="JDQ5749" s="911"/>
      <c r="JDR5749" s="911"/>
      <c r="JDS5749" s="911"/>
      <c r="JDT5749" s="911"/>
      <c r="JDU5749" s="911"/>
      <c r="JDV5749" s="911"/>
      <c r="JDW5749" s="911"/>
      <c r="JDX5749" s="911"/>
      <c r="JDY5749" s="32"/>
      <c r="JDZ5749" s="911" t="s">
        <v>74</v>
      </c>
      <c r="JEA5749" s="911"/>
      <c r="JEB5749" s="911"/>
      <c r="JEC5749" s="911"/>
      <c r="JED5749" s="911"/>
      <c r="JEE5749" s="911"/>
      <c r="JEF5749" s="911"/>
      <c r="JEG5749" s="911"/>
      <c r="JEH5749" s="911"/>
      <c r="JEI5749" s="912"/>
      <c r="JEK5749" s="913" t="s">
        <v>1</v>
      </c>
      <c r="JEL5749" s="31"/>
      <c r="JEM5749" s="909" t="s">
        <v>0</v>
      </c>
      <c r="JEN5749" s="909"/>
      <c r="JEO5749" s="909"/>
      <c r="JEP5749" s="909"/>
      <c r="JEQ5749" s="909"/>
      <c r="JER5749" s="909"/>
      <c r="JES5749" s="907" t="s">
        <v>79</v>
      </c>
      <c r="JET5749" s="909" t="s">
        <v>68</v>
      </c>
      <c r="JEU5749" s="910" t="s">
        <v>75</v>
      </c>
      <c r="JEV5749" s="911"/>
      <c r="JEW5749" s="911"/>
      <c r="JEX5749" s="911"/>
      <c r="JEY5749" s="911"/>
      <c r="JEZ5749" s="911"/>
      <c r="JFA5749" s="911"/>
      <c r="JFB5749" s="911"/>
      <c r="JFC5749" s="911"/>
      <c r="JFD5749" s="911"/>
      <c r="JFE5749" s="32"/>
      <c r="JFF5749" s="911" t="s">
        <v>74</v>
      </c>
      <c r="JFG5749" s="911"/>
      <c r="JFH5749" s="911"/>
      <c r="JFI5749" s="911"/>
      <c r="JFJ5749" s="911"/>
      <c r="JFK5749" s="911"/>
      <c r="JFL5749" s="911"/>
      <c r="JFM5749" s="911"/>
      <c r="JFN5749" s="911"/>
      <c r="JFO5749" s="912"/>
      <c r="JFQ5749" s="913" t="s">
        <v>1</v>
      </c>
      <c r="JFR5749" s="31"/>
      <c r="JFS5749" s="909" t="s">
        <v>0</v>
      </c>
      <c r="JFT5749" s="909"/>
      <c r="JFU5749" s="909"/>
      <c r="JFV5749" s="909"/>
      <c r="JFW5749" s="909"/>
      <c r="JFX5749" s="909"/>
      <c r="JFY5749" s="907" t="s">
        <v>79</v>
      </c>
      <c r="JFZ5749" s="909" t="s">
        <v>68</v>
      </c>
      <c r="JGA5749" s="910" t="s">
        <v>75</v>
      </c>
      <c r="JGB5749" s="911"/>
      <c r="JGC5749" s="911"/>
      <c r="JGD5749" s="911"/>
      <c r="JGE5749" s="911"/>
      <c r="JGF5749" s="911"/>
      <c r="JGG5749" s="911"/>
      <c r="JGH5749" s="911"/>
      <c r="JGI5749" s="911"/>
      <c r="JGJ5749" s="911"/>
      <c r="JGK5749" s="32"/>
      <c r="JGL5749" s="911" t="s">
        <v>74</v>
      </c>
      <c r="JGM5749" s="911"/>
      <c r="JGN5749" s="911"/>
      <c r="JGO5749" s="911"/>
      <c r="JGP5749" s="911"/>
      <c r="JGQ5749" s="911"/>
      <c r="JGR5749" s="911"/>
      <c r="JGS5749" s="911"/>
      <c r="JGT5749" s="911"/>
      <c r="JGU5749" s="912"/>
      <c r="JGW5749" s="913" t="s">
        <v>1</v>
      </c>
      <c r="JGX5749" s="31"/>
      <c r="JGY5749" s="909" t="s">
        <v>0</v>
      </c>
      <c r="JGZ5749" s="909"/>
      <c r="JHA5749" s="909"/>
      <c r="JHB5749" s="909"/>
      <c r="JHC5749" s="909"/>
      <c r="JHD5749" s="909"/>
      <c r="JHE5749" s="907" t="s">
        <v>79</v>
      </c>
      <c r="JHF5749" s="909" t="s">
        <v>68</v>
      </c>
      <c r="JHG5749" s="910" t="s">
        <v>75</v>
      </c>
      <c r="JHH5749" s="911"/>
      <c r="JHI5749" s="911"/>
      <c r="JHJ5749" s="911"/>
      <c r="JHK5749" s="911"/>
      <c r="JHL5749" s="911"/>
      <c r="JHM5749" s="911"/>
      <c r="JHN5749" s="911"/>
      <c r="JHO5749" s="911"/>
      <c r="JHP5749" s="911"/>
      <c r="JHQ5749" s="32"/>
      <c r="JHR5749" s="911" t="s">
        <v>74</v>
      </c>
      <c r="JHS5749" s="911"/>
      <c r="JHT5749" s="911"/>
      <c r="JHU5749" s="911"/>
      <c r="JHV5749" s="911"/>
      <c r="JHW5749" s="911"/>
      <c r="JHX5749" s="911"/>
      <c r="JHY5749" s="911"/>
      <c r="JHZ5749" s="911"/>
      <c r="JIA5749" s="912"/>
      <c r="JIC5749" s="913" t="s">
        <v>1</v>
      </c>
      <c r="JID5749" s="31"/>
      <c r="JIE5749" s="909" t="s">
        <v>0</v>
      </c>
      <c r="JIF5749" s="909"/>
      <c r="JIG5749" s="909"/>
      <c r="JIH5749" s="909"/>
      <c r="JII5749" s="909"/>
      <c r="JIJ5749" s="909"/>
      <c r="JIK5749" s="907" t="s">
        <v>79</v>
      </c>
      <c r="JIL5749" s="909" t="s">
        <v>68</v>
      </c>
      <c r="JIM5749" s="910" t="s">
        <v>75</v>
      </c>
      <c r="JIN5749" s="911"/>
      <c r="JIO5749" s="911"/>
      <c r="JIP5749" s="911"/>
      <c r="JIQ5749" s="911"/>
      <c r="JIR5749" s="911"/>
      <c r="JIS5749" s="911"/>
      <c r="JIT5749" s="911"/>
      <c r="JIU5749" s="911"/>
      <c r="JIV5749" s="911"/>
      <c r="JIW5749" s="32"/>
      <c r="JIX5749" s="911" t="s">
        <v>74</v>
      </c>
      <c r="JIY5749" s="911"/>
      <c r="JIZ5749" s="911"/>
      <c r="JJA5749" s="911"/>
      <c r="JJB5749" s="911"/>
      <c r="JJC5749" s="911"/>
      <c r="JJD5749" s="911"/>
      <c r="JJE5749" s="911"/>
      <c r="JJF5749" s="911"/>
      <c r="JJG5749" s="912"/>
      <c r="JJI5749" s="913" t="s">
        <v>1</v>
      </c>
      <c r="JJJ5749" s="31"/>
      <c r="JJK5749" s="909" t="s">
        <v>0</v>
      </c>
      <c r="JJL5749" s="909"/>
      <c r="JJM5749" s="909"/>
      <c r="JJN5749" s="909"/>
      <c r="JJO5749" s="909"/>
      <c r="JJP5749" s="909"/>
      <c r="JJQ5749" s="907" t="s">
        <v>79</v>
      </c>
      <c r="JJR5749" s="909" t="s">
        <v>68</v>
      </c>
      <c r="JJS5749" s="910" t="s">
        <v>75</v>
      </c>
      <c r="JJT5749" s="911"/>
      <c r="JJU5749" s="911"/>
      <c r="JJV5749" s="911"/>
      <c r="JJW5749" s="911"/>
      <c r="JJX5749" s="911"/>
      <c r="JJY5749" s="911"/>
      <c r="JJZ5749" s="911"/>
      <c r="JKA5749" s="911"/>
      <c r="JKB5749" s="911"/>
      <c r="JKC5749" s="32"/>
      <c r="JKD5749" s="911" t="s">
        <v>74</v>
      </c>
      <c r="JKE5749" s="911"/>
      <c r="JKF5749" s="911"/>
      <c r="JKG5749" s="911"/>
      <c r="JKH5749" s="911"/>
      <c r="JKI5749" s="911"/>
      <c r="JKJ5749" s="911"/>
      <c r="JKK5749" s="911"/>
      <c r="JKL5749" s="911"/>
      <c r="JKM5749" s="912"/>
      <c r="JKO5749" s="913" t="s">
        <v>1</v>
      </c>
      <c r="JKP5749" s="31"/>
      <c r="JKQ5749" s="909" t="s">
        <v>0</v>
      </c>
      <c r="JKR5749" s="909"/>
      <c r="JKS5749" s="909"/>
      <c r="JKT5749" s="909"/>
      <c r="JKU5749" s="909"/>
      <c r="JKV5749" s="909"/>
      <c r="JKW5749" s="907" t="s">
        <v>79</v>
      </c>
      <c r="JKX5749" s="909" t="s">
        <v>68</v>
      </c>
      <c r="JKY5749" s="910" t="s">
        <v>75</v>
      </c>
      <c r="JKZ5749" s="911"/>
      <c r="JLA5749" s="911"/>
      <c r="JLB5749" s="911"/>
      <c r="JLC5749" s="911"/>
      <c r="JLD5749" s="911"/>
      <c r="JLE5749" s="911"/>
      <c r="JLF5749" s="911"/>
      <c r="JLG5749" s="911"/>
      <c r="JLH5749" s="911"/>
      <c r="JLI5749" s="32"/>
      <c r="JLJ5749" s="911" t="s">
        <v>74</v>
      </c>
      <c r="JLK5749" s="911"/>
      <c r="JLL5749" s="911"/>
      <c r="JLM5749" s="911"/>
      <c r="JLN5749" s="911"/>
      <c r="JLO5749" s="911"/>
      <c r="JLP5749" s="911"/>
      <c r="JLQ5749" s="911"/>
      <c r="JLR5749" s="911"/>
      <c r="JLS5749" s="912"/>
      <c r="JLU5749" s="913" t="s">
        <v>1</v>
      </c>
      <c r="JLV5749" s="31"/>
      <c r="JLW5749" s="909" t="s">
        <v>0</v>
      </c>
      <c r="JLX5749" s="909"/>
      <c r="JLY5749" s="909"/>
      <c r="JLZ5749" s="909"/>
      <c r="JMA5749" s="909"/>
      <c r="JMB5749" s="909"/>
      <c r="JMC5749" s="907" t="s">
        <v>79</v>
      </c>
      <c r="JMD5749" s="909" t="s">
        <v>68</v>
      </c>
      <c r="JME5749" s="910" t="s">
        <v>75</v>
      </c>
      <c r="JMF5749" s="911"/>
      <c r="JMG5749" s="911"/>
      <c r="JMH5749" s="911"/>
      <c r="JMI5749" s="911"/>
      <c r="JMJ5749" s="911"/>
      <c r="JMK5749" s="911"/>
      <c r="JML5749" s="911"/>
      <c r="JMM5749" s="911"/>
      <c r="JMN5749" s="911"/>
      <c r="JMO5749" s="32"/>
      <c r="JMP5749" s="911" t="s">
        <v>74</v>
      </c>
      <c r="JMQ5749" s="911"/>
      <c r="JMR5749" s="911"/>
      <c r="JMS5749" s="911"/>
      <c r="JMT5749" s="911"/>
      <c r="JMU5749" s="911"/>
      <c r="JMV5749" s="911"/>
      <c r="JMW5749" s="911"/>
      <c r="JMX5749" s="911"/>
      <c r="JMY5749" s="912"/>
      <c r="JNA5749" s="913" t="s">
        <v>1</v>
      </c>
      <c r="JNB5749" s="31"/>
      <c r="JNC5749" s="909" t="s">
        <v>0</v>
      </c>
      <c r="JND5749" s="909"/>
      <c r="JNE5749" s="909"/>
      <c r="JNF5749" s="909"/>
      <c r="JNG5749" s="909"/>
      <c r="JNH5749" s="909"/>
      <c r="JNI5749" s="907" t="s">
        <v>79</v>
      </c>
      <c r="JNJ5749" s="909" t="s">
        <v>68</v>
      </c>
      <c r="JNK5749" s="910" t="s">
        <v>75</v>
      </c>
      <c r="JNL5749" s="911"/>
      <c r="JNM5749" s="911"/>
      <c r="JNN5749" s="911"/>
      <c r="JNO5749" s="911"/>
      <c r="JNP5749" s="911"/>
      <c r="JNQ5749" s="911"/>
      <c r="JNR5749" s="911"/>
      <c r="JNS5749" s="911"/>
      <c r="JNT5749" s="911"/>
      <c r="JNU5749" s="32"/>
      <c r="JNV5749" s="911" t="s">
        <v>74</v>
      </c>
      <c r="JNW5749" s="911"/>
      <c r="JNX5749" s="911"/>
      <c r="JNY5749" s="911"/>
      <c r="JNZ5749" s="911"/>
      <c r="JOA5749" s="911"/>
      <c r="JOB5749" s="911"/>
      <c r="JOC5749" s="911"/>
      <c r="JOD5749" s="911"/>
      <c r="JOE5749" s="912"/>
      <c r="JOG5749" s="913" t="s">
        <v>1</v>
      </c>
      <c r="JOH5749" s="31"/>
      <c r="JOI5749" s="909" t="s">
        <v>0</v>
      </c>
      <c r="JOJ5749" s="909"/>
      <c r="JOK5749" s="909"/>
      <c r="JOL5749" s="909"/>
      <c r="JOM5749" s="909"/>
      <c r="JON5749" s="909"/>
      <c r="JOO5749" s="907" t="s">
        <v>79</v>
      </c>
      <c r="JOP5749" s="909" t="s">
        <v>68</v>
      </c>
      <c r="JOQ5749" s="910" t="s">
        <v>75</v>
      </c>
      <c r="JOR5749" s="911"/>
      <c r="JOS5749" s="911"/>
      <c r="JOT5749" s="911"/>
      <c r="JOU5749" s="911"/>
      <c r="JOV5749" s="911"/>
      <c r="JOW5749" s="911"/>
      <c r="JOX5749" s="911"/>
      <c r="JOY5749" s="911"/>
      <c r="JOZ5749" s="911"/>
      <c r="JPA5749" s="32"/>
      <c r="JPB5749" s="911" t="s">
        <v>74</v>
      </c>
      <c r="JPC5749" s="911"/>
      <c r="JPD5749" s="911"/>
      <c r="JPE5749" s="911"/>
      <c r="JPF5749" s="911"/>
      <c r="JPG5749" s="911"/>
      <c r="JPH5749" s="911"/>
      <c r="JPI5749" s="911"/>
      <c r="JPJ5749" s="911"/>
      <c r="JPK5749" s="912"/>
      <c r="JPM5749" s="913" t="s">
        <v>1</v>
      </c>
      <c r="JPN5749" s="31"/>
      <c r="JPO5749" s="909" t="s">
        <v>0</v>
      </c>
      <c r="JPP5749" s="909"/>
      <c r="JPQ5749" s="909"/>
      <c r="JPR5749" s="909"/>
      <c r="JPS5749" s="909"/>
      <c r="JPT5749" s="909"/>
      <c r="JPU5749" s="907" t="s">
        <v>79</v>
      </c>
      <c r="JPV5749" s="909" t="s">
        <v>68</v>
      </c>
      <c r="JPW5749" s="910" t="s">
        <v>75</v>
      </c>
      <c r="JPX5749" s="911"/>
      <c r="JPY5749" s="911"/>
      <c r="JPZ5749" s="911"/>
      <c r="JQA5749" s="911"/>
      <c r="JQB5749" s="911"/>
      <c r="JQC5749" s="911"/>
      <c r="JQD5749" s="911"/>
      <c r="JQE5749" s="911"/>
      <c r="JQF5749" s="911"/>
      <c r="JQG5749" s="32"/>
      <c r="JQH5749" s="911" t="s">
        <v>74</v>
      </c>
      <c r="JQI5749" s="911"/>
      <c r="JQJ5749" s="911"/>
      <c r="JQK5749" s="911"/>
      <c r="JQL5749" s="911"/>
      <c r="JQM5749" s="911"/>
      <c r="JQN5749" s="911"/>
      <c r="JQO5749" s="911"/>
      <c r="JQP5749" s="911"/>
      <c r="JQQ5749" s="912"/>
      <c r="JQS5749" s="913" t="s">
        <v>1</v>
      </c>
      <c r="JQT5749" s="31"/>
      <c r="JQU5749" s="909" t="s">
        <v>0</v>
      </c>
      <c r="JQV5749" s="909"/>
      <c r="JQW5749" s="909"/>
      <c r="JQX5749" s="909"/>
      <c r="JQY5749" s="909"/>
      <c r="JQZ5749" s="909"/>
      <c r="JRA5749" s="907" t="s">
        <v>79</v>
      </c>
      <c r="JRB5749" s="909" t="s">
        <v>68</v>
      </c>
      <c r="JRC5749" s="910" t="s">
        <v>75</v>
      </c>
      <c r="JRD5749" s="911"/>
      <c r="JRE5749" s="911"/>
      <c r="JRF5749" s="911"/>
      <c r="JRG5749" s="911"/>
      <c r="JRH5749" s="911"/>
      <c r="JRI5749" s="911"/>
      <c r="JRJ5749" s="911"/>
      <c r="JRK5749" s="911"/>
      <c r="JRL5749" s="911"/>
      <c r="JRM5749" s="32"/>
      <c r="JRN5749" s="911" t="s">
        <v>74</v>
      </c>
      <c r="JRO5749" s="911"/>
      <c r="JRP5749" s="911"/>
      <c r="JRQ5749" s="911"/>
      <c r="JRR5749" s="911"/>
      <c r="JRS5749" s="911"/>
      <c r="JRT5749" s="911"/>
      <c r="JRU5749" s="911"/>
      <c r="JRV5749" s="911"/>
      <c r="JRW5749" s="912"/>
      <c r="JRY5749" s="913" t="s">
        <v>1</v>
      </c>
      <c r="JRZ5749" s="31"/>
      <c r="JSA5749" s="909" t="s">
        <v>0</v>
      </c>
      <c r="JSB5749" s="909"/>
      <c r="JSC5749" s="909"/>
      <c r="JSD5749" s="909"/>
      <c r="JSE5749" s="909"/>
      <c r="JSF5749" s="909"/>
      <c r="JSG5749" s="907" t="s">
        <v>79</v>
      </c>
      <c r="JSH5749" s="909" t="s">
        <v>68</v>
      </c>
      <c r="JSI5749" s="910" t="s">
        <v>75</v>
      </c>
      <c r="JSJ5749" s="911"/>
      <c r="JSK5749" s="911"/>
      <c r="JSL5749" s="911"/>
      <c r="JSM5749" s="911"/>
      <c r="JSN5749" s="911"/>
      <c r="JSO5749" s="911"/>
      <c r="JSP5749" s="911"/>
      <c r="JSQ5749" s="911"/>
      <c r="JSR5749" s="911"/>
      <c r="JSS5749" s="32"/>
      <c r="JST5749" s="911" t="s">
        <v>74</v>
      </c>
      <c r="JSU5749" s="911"/>
      <c r="JSV5749" s="911"/>
      <c r="JSW5749" s="911"/>
      <c r="JSX5749" s="911"/>
      <c r="JSY5749" s="911"/>
      <c r="JSZ5749" s="911"/>
      <c r="JTA5749" s="911"/>
      <c r="JTB5749" s="911"/>
      <c r="JTC5749" s="912"/>
      <c r="JTE5749" s="913" t="s">
        <v>1</v>
      </c>
      <c r="JTF5749" s="31"/>
      <c r="JTG5749" s="909" t="s">
        <v>0</v>
      </c>
      <c r="JTH5749" s="909"/>
      <c r="JTI5749" s="909"/>
      <c r="JTJ5749" s="909"/>
      <c r="JTK5749" s="909"/>
      <c r="JTL5749" s="909"/>
      <c r="JTM5749" s="907" t="s">
        <v>79</v>
      </c>
      <c r="JTN5749" s="909" t="s">
        <v>68</v>
      </c>
      <c r="JTO5749" s="910" t="s">
        <v>75</v>
      </c>
      <c r="JTP5749" s="911"/>
      <c r="JTQ5749" s="911"/>
      <c r="JTR5749" s="911"/>
      <c r="JTS5749" s="911"/>
      <c r="JTT5749" s="911"/>
      <c r="JTU5749" s="911"/>
      <c r="JTV5749" s="911"/>
      <c r="JTW5749" s="911"/>
      <c r="JTX5749" s="911"/>
      <c r="JTY5749" s="32"/>
      <c r="JTZ5749" s="911" t="s">
        <v>74</v>
      </c>
      <c r="JUA5749" s="911"/>
      <c r="JUB5749" s="911"/>
      <c r="JUC5749" s="911"/>
      <c r="JUD5749" s="911"/>
      <c r="JUE5749" s="911"/>
      <c r="JUF5749" s="911"/>
      <c r="JUG5749" s="911"/>
      <c r="JUH5749" s="911"/>
      <c r="JUI5749" s="912"/>
      <c r="JUK5749" s="913" t="s">
        <v>1</v>
      </c>
      <c r="JUL5749" s="31"/>
      <c r="JUM5749" s="909" t="s">
        <v>0</v>
      </c>
      <c r="JUN5749" s="909"/>
      <c r="JUO5749" s="909"/>
      <c r="JUP5749" s="909"/>
      <c r="JUQ5749" s="909"/>
      <c r="JUR5749" s="909"/>
      <c r="JUS5749" s="907" t="s">
        <v>79</v>
      </c>
      <c r="JUT5749" s="909" t="s">
        <v>68</v>
      </c>
      <c r="JUU5749" s="910" t="s">
        <v>75</v>
      </c>
      <c r="JUV5749" s="911"/>
      <c r="JUW5749" s="911"/>
      <c r="JUX5749" s="911"/>
      <c r="JUY5749" s="911"/>
      <c r="JUZ5749" s="911"/>
      <c r="JVA5749" s="911"/>
      <c r="JVB5749" s="911"/>
      <c r="JVC5749" s="911"/>
      <c r="JVD5749" s="911"/>
      <c r="JVE5749" s="32"/>
      <c r="JVF5749" s="911" t="s">
        <v>74</v>
      </c>
      <c r="JVG5749" s="911"/>
      <c r="JVH5749" s="911"/>
      <c r="JVI5749" s="911"/>
      <c r="JVJ5749" s="911"/>
      <c r="JVK5749" s="911"/>
      <c r="JVL5749" s="911"/>
      <c r="JVM5749" s="911"/>
      <c r="JVN5749" s="911"/>
      <c r="JVO5749" s="912"/>
      <c r="JVQ5749" s="913" t="s">
        <v>1</v>
      </c>
      <c r="JVR5749" s="31"/>
      <c r="JVS5749" s="909" t="s">
        <v>0</v>
      </c>
      <c r="JVT5749" s="909"/>
      <c r="JVU5749" s="909"/>
      <c r="JVV5749" s="909"/>
      <c r="JVW5749" s="909"/>
      <c r="JVX5749" s="909"/>
      <c r="JVY5749" s="907" t="s">
        <v>79</v>
      </c>
      <c r="JVZ5749" s="909" t="s">
        <v>68</v>
      </c>
      <c r="JWA5749" s="910" t="s">
        <v>75</v>
      </c>
      <c r="JWB5749" s="911"/>
      <c r="JWC5749" s="911"/>
      <c r="JWD5749" s="911"/>
      <c r="JWE5749" s="911"/>
      <c r="JWF5749" s="911"/>
      <c r="JWG5749" s="911"/>
      <c r="JWH5749" s="911"/>
      <c r="JWI5749" s="911"/>
      <c r="JWJ5749" s="911"/>
      <c r="JWK5749" s="32"/>
      <c r="JWL5749" s="911" t="s">
        <v>74</v>
      </c>
      <c r="JWM5749" s="911"/>
      <c r="JWN5749" s="911"/>
      <c r="JWO5749" s="911"/>
      <c r="JWP5749" s="911"/>
      <c r="JWQ5749" s="911"/>
      <c r="JWR5749" s="911"/>
      <c r="JWS5749" s="911"/>
      <c r="JWT5749" s="911"/>
      <c r="JWU5749" s="912"/>
      <c r="JWW5749" s="913" t="s">
        <v>1</v>
      </c>
      <c r="JWX5749" s="31"/>
      <c r="JWY5749" s="909" t="s">
        <v>0</v>
      </c>
      <c r="JWZ5749" s="909"/>
      <c r="JXA5749" s="909"/>
      <c r="JXB5749" s="909"/>
      <c r="JXC5749" s="909"/>
      <c r="JXD5749" s="909"/>
      <c r="JXE5749" s="907" t="s">
        <v>79</v>
      </c>
      <c r="JXF5749" s="909" t="s">
        <v>68</v>
      </c>
      <c r="JXG5749" s="910" t="s">
        <v>75</v>
      </c>
      <c r="JXH5749" s="911"/>
      <c r="JXI5749" s="911"/>
      <c r="JXJ5749" s="911"/>
      <c r="JXK5749" s="911"/>
      <c r="JXL5749" s="911"/>
      <c r="JXM5749" s="911"/>
      <c r="JXN5749" s="911"/>
      <c r="JXO5749" s="911"/>
      <c r="JXP5749" s="911"/>
      <c r="JXQ5749" s="32"/>
      <c r="JXR5749" s="911" t="s">
        <v>74</v>
      </c>
      <c r="JXS5749" s="911"/>
      <c r="JXT5749" s="911"/>
      <c r="JXU5749" s="911"/>
      <c r="JXV5749" s="911"/>
      <c r="JXW5749" s="911"/>
      <c r="JXX5749" s="911"/>
      <c r="JXY5749" s="911"/>
      <c r="JXZ5749" s="911"/>
      <c r="JYA5749" s="912"/>
      <c r="JYC5749" s="913" t="s">
        <v>1</v>
      </c>
      <c r="JYD5749" s="31"/>
      <c r="JYE5749" s="909" t="s">
        <v>0</v>
      </c>
      <c r="JYF5749" s="909"/>
      <c r="JYG5749" s="909"/>
      <c r="JYH5749" s="909"/>
      <c r="JYI5749" s="909"/>
      <c r="JYJ5749" s="909"/>
      <c r="JYK5749" s="907" t="s">
        <v>79</v>
      </c>
      <c r="JYL5749" s="909" t="s">
        <v>68</v>
      </c>
      <c r="JYM5749" s="910" t="s">
        <v>75</v>
      </c>
      <c r="JYN5749" s="911"/>
      <c r="JYO5749" s="911"/>
      <c r="JYP5749" s="911"/>
      <c r="JYQ5749" s="911"/>
      <c r="JYR5749" s="911"/>
      <c r="JYS5749" s="911"/>
      <c r="JYT5749" s="911"/>
      <c r="JYU5749" s="911"/>
      <c r="JYV5749" s="911"/>
      <c r="JYW5749" s="32"/>
      <c r="JYX5749" s="911" t="s">
        <v>74</v>
      </c>
      <c r="JYY5749" s="911"/>
      <c r="JYZ5749" s="911"/>
      <c r="JZA5749" s="911"/>
      <c r="JZB5749" s="911"/>
      <c r="JZC5749" s="911"/>
      <c r="JZD5749" s="911"/>
      <c r="JZE5749" s="911"/>
      <c r="JZF5749" s="911"/>
      <c r="JZG5749" s="912"/>
      <c r="JZI5749" s="913" t="s">
        <v>1</v>
      </c>
      <c r="JZJ5749" s="31"/>
      <c r="JZK5749" s="909" t="s">
        <v>0</v>
      </c>
      <c r="JZL5749" s="909"/>
      <c r="JZM5749" s="909"/>
      <c r="JZN5749" s="909"/>
      <c r="JZO5749" s="909"/>
      <c r="JZP5749" s="909"/>
      <c r="JZQ5749" s="907" t="s">
        <v>79</v>
      </c>
      <c r="JZR5749" s="909" t="s">
        <v>68</v>
      </c>
      <c r="JZS5749" s="910" t="s">
        <v>75</v>
      </c>
      <c r="JZT5749" s="911"/>
      <c r="JZU5749" s="911"/>
      <c r="JZV5749" s="911"/>
      <c r="JZW5749" s="911"/>
      <c r="JZX5749" s="911"/>
      <c r="JZY5749" s="911"/>
      <c r="JZZ5749" s="911"/>
      <c r="KAA5749" s="911"/>
      <c r="KAB5749" s="911"/>
      <c r="KAC5749" s="32"/>
      <c r="KAD5749" s="911" t="s">
        <v>74</v>
      </c>
      <c r="KAE5749" s="911"/>
      <c r="KAF5749" s="911"/>
      <c r="KAG5749" s="911"/>
      <c r="KAH5749" s="911"/>
      <c r="KAI5749" s="911"/>
      <c r="KAJ5749" s="911"/>
      <c r="KAK5749" s="911"/>
      <c r="KAL5749" s="911"/>
      <c r="KAM5749" s="912"/>
      <c r="KAO5749" s="913" t="s">
        <v>1</v>
      </c>
      <c r="KAP5749" s="31"/>
      <c r="KAQ5749" s="909" t="s">
        <v>0</v>
      </c>
      <c r="KAR5749" s="909"/>
      <c r="KAS5749" s="909"/>
      <c r="KAT5749" s="909"/>
      <c r="KAU5749" s="909"/>
      <c r="KAV5749" s="909"/>
      <c r="KAW5749" s="907" t="s">
        <v>79</v>
      </c>
      <c r="KAX5749" s="909" t="s">
        <v>68</v>
      </c>
      <c r="KAY5749" s="910" t="s">
        <v>75</v>
      </c>
      <c r="KAZ5749" s="911"/>
      <c r="KBA5749" s="911"/>
      <c r="KBB5749" s="911"/>
      <c r="KBC5749" s="911"/>
      <c r="KBD5749" s="911"/>
      <c r="KBE5749" s="911"/>
      <c r="KBF5749" s="911"/>
      <c r="KBG5749" s="911"/>
      <c r="KBH5749" s="911"/>
      <c r="KBI5749" s="32"/>
      <c r="KBJ5749" s="911" t="s">
        <v>74</v>
      </c>
      <c r="KBK5749" s="911"/>
      <c r="KBL5749" s="911"/>
      <c r="KBM5749" s="911"/>
      <c r="KBN5749" s="911"/>
      <c r="KBO5749" s="911"/>
      <c r="KBP5749" s="911"/>
      <c r="KBQ5749" s="911"/>
      <c r="KBR5749" s="911"/>
      <c r="KBS5749" s="912"/>
      <c r="KBU5749" s="913" t="s">
        <v>1</v>
      </c>
      <c r="KBV5749" s="31"/>
      <c r="KBW5749" s="909" t="s">
        <v>0</v>
      </c>
      <c r="KBX5749" s="909"/>
      <c r="KBY5749" s="909"/>
      <c r="KBZ5749" s="909"/>
      <c r="KCA5749" s="909"/>
      <c r="KCB5749" s="909"/>
      <c r="KCC5749" s="907" t="s">
        <v>79</v>
      </c>
      <c r="KCD5749" s="909" t="s">
        <v>68</v>
      </c>
      <c r="KCE5749" s="910" t="s">
        <v>75</v>
      </c>
      <c r="KCF5749" s="911"/>
      <c r="KCG5749" s="911"/>
      <c r="KCH5749" s="911"/>
      <c r="KCI5749" s="911"/>
      <c r="KCJ5749" s="911"/>
      <c r="KCK5749" s="911"/>
      <c r="KCL5749" s="911"/>
      <c r="KCM5749" s="911"/>
      <c r="KCN5749" s="911"/>
      <c r="KCO5749" s="32"/>
      <c r="KCP5749" s="911" t="s">
        <v>74</v>
      </c>
      <c r="KCQ5749" s="911"/>
      <c r="KCR5749" s="911"/>
      <c r="KCS5749" s="911"/>
      <c r="KCT5749" s="911"/>
      <c r="KCU5749" s="911"/>
      <c r="KCV5749" s="911"/>
      <c r="KCW5749" s="911"/>
      <c r="KCX5749" s="911"/>
      <c r="KCY5749" s="912"/>
      <c r="KDA5749" s="913" t="s">
        <v>1</v>
      </c>
      <c r="KDB5749" s="31"/>
      <c r="KDC5749" s="909" t="s">
        <v>0</v>
      </c>
      <c r="KDD5749" s="909"/>
      <c r="KDE5749" s="909"/>
      <c r="KDF5749" s="909"/>
      <c r="KDG5749" s="909"/>
      <c r="KDH5749" s="909"/>
      <c r="KDI5749" s="907" t="s">
        <v>79</v>
      </c>
      <c r="KDJ5749" s="909" t="s">
        <v>68</v>
      </c>
      <c r="KDK5749" s="910" t="s">
        <v>75</v>
      </c>
      <c r="KDL5749" s="911"/>
      <c r="KDM5749" s="911"/>
      <c r="KDN5749" s="911"/>
      <c r="KDO5749" s="911"/>
      <c r="KDP5749" s="911"/>
      <c r="KDQ5749" s="911"/>
      <c r="KDR5749" s="911"/>
      <c r="KDS5749" s="911"/>
      <c r="KDT5749" s="911"/>
      <c r="KDU5749" s="32"/>
      <c r="KDV5749" s="911" t="s">
        <v>74</v>
      </c>
      <c r="KDW5749" s="911"/>
      <c r="KDX5749" s="911"/>
      <c r="KDY5749" s="911"/>
      <c r="KDZ5749" s="911"/>
      <c r="KEA5749" s="911"/>
      <c r="KEB5749" s="911"/>
      <c r="KEC5749" s="911"/>
      <c r="KED5749" s="911"/>
      <c r="KEE5749" s="912"/>
      <c r="KEG5749" s="913" t="s">
        <v>1</v>
      </c>
      <c r="KEH5749" s="31"/>
      <c r="KEI5749" s="909" t="s">
        <v>0</v>
      </c>
      <c r="KEJ5749" s="909"/>
      <c r="KEK5749" s="909"/>
      <c r="KEL5749" s="909"/>
      <c r="KEM5749" s="909"/>
      <c r="KEN5749" s="909"/>
      <c r="KEO5749" s="907" t="s">
        <v>79</v>
      </c>
      <c r="KEP5749" s="909" t="s">
        <v>68</v>
      </c>
      <c r="KEQ5749" s="910" t="s">
        <v>75</v>
      </c>
      <c r="KER5749" s="911"/>
      <c r="KES5749" s="911"/>
      <c r="KET5749" s="911"/>
      <c r="KEU5749" s="911"/>
      <c r="KEV5749" s="911"/>
      <c r="KEW5749" s="911"/>
      <c r="KEX5749" s="911"/>
      <c r="KEY5749" s="911"/>
      <c r="KEZ5749" s="911"/>
      <c r="KFA5749" s="32"/>
      <c r="KFB5749" s="911" t="s">
        <v>74</v>
      </c>
      <c r="KFC5749" s="911"/>
      <c r="KFD5749" s="911"/>
      <c r="KFE5749" s="911"/>
      <c r="KFF5749" s="911"/>
      <c r="KFG5749" s="911"/>
      <c r="KFH5749" s="911"/>
      <c r="KFI5749" s="911"/>
      <c r="KFJ5749" s="911"/>
      <c r="KFK5749" s="912"/>
      <c r="KFM5749" s="913" t="s">
        <v>1</v>
      </c>
      <c r="KFN5749" s="31"/>
      <c r="KFO5749" s="909" t="s">
        <v>0</v>
      </c>
      <c r="KFP5749" s="909"/>
      <c r="KFQ5749" s="909"/>
      <c r="KFR5749" s="909"/>
      <c r="KFS5749" s="909"/>
      <c r="KFT5749" s="909"/>
      <c r="KFU5749" s="907" t="s">
        <v>79</v>
      </c>
      <c r="KFV5749" s="909" t="s">
        <v>68</v>
      </c>
      <c r="KFW5749" s="910" t="s">
        <v>75</v>
      </c>
      <c r="KFX5749" s="911"/>
      <c r="KFY5749" s="911"/>
      <c r="KFZ5749" s="911"/>
      <c r="KGA5749" s="911"/>
      <c r="KGB5749" s="911"/>
      <c r="KGC5749" s="911"/>
      <c r="KGD5749" s="911"/>
      <c r="KGE5749" s="911"/>
      <c r="KGF5749" s="911"/>
      <c r="KGG5749" s="32"/>
      <c r="KGH5749" s="911" t="s">
        <v>74</v>
      </c>
      <c r="KGI5749" s="911"/>
      <c r="KGJ5749" s="911"/>
      <c r="KGK5749" s="911"/>
      <c r="KGL5749" s="911"/>
      <c r="KGM5749" s="911"/>
      <c r="KGN5749" s="911"/>
      <c r="KGO5749" s="911"/>
      <c r="KGP5749" s="911"/>
      <c r="KGQ5749" s="912"/>
      <c r="KGS5749" s="913" t="s">
        <v>1</v>
      </c>
      <c r="KGT5749" s="31"/>
      <c r="KGU5749" s="909" t="s">
        <v>0</v>
      </c>
      <c r="KGV5749" s="909"/>
      <c r="KGW5749" s="909"/>
      <c r="KGX5749" s="909"/>
      <c r="KGY5749" s="909"/>
      <c r="KGZ5749" s="909"/>
      <c r="KHA5749" s="907" t="s">
        <v>79</v>
      </c>
      <c r="KHB5749" s="909" t="s">
        <v>68</v>
      </c>
      <c r="KHC5749" s="910" t="s">
        <v>75</v>
      </c>
      <c r="KHD5749" s="911"/>
      <c r="KHE5749" s="911"/>
      <c r="KHF5749" s="911"/>
      <c r="KHG5749" s="911"/>
      <c r="KHH5749" s="911"/>
      <c r="KHI5749" s="911"/>
      <c r="KHJ5749" s="911"/>
      <c r="KHK5749" s="911"/>
      <c r="KHL5749" s="911"/>
      <c r="KHM5749" s="32"/>
      <c r="KHN5749" s="911" t="s">
        <v>74</v>
      </c>
      <c r="KHO5749" s="911"/>
      <c r="KHP5749" s="911"/>
      <c r="KHQ5749" s="911"/>
      <c r="KHR5749" s="911"/>
      <c r="KHS5749" s="911"/>
      <c r="KHT5749" s="911"/>
      <c r="KHU5749" s="911"/>
      <c r="KHV5749" s="911"/>
      <c r="KHW5749" s="912"/>
      <c r="KHY5749" s="913" t="s">
        <v>1</v>
      </c>
      <c r="KHZ5749" s="31"/>
      <c r="KIA5749" s="909" t="s">
        <v>0</v>
      </c>
      <c r="KIB5749" s="909"/>
      <c r="KIC5749" s="909"/>
      <c r="KID5749" s="909"/>
      <c r="KIE5749" s="909"/>
      <c r="KIF5749" s="909"/>
      <c r="KIG5749" s="907" t="s">
        <v>79</v>
      </c>
      <c r="KIH5749" s="909" t="s">
        <v>68</v>
      </c>
      <c r="KII5749" s="910" t="s">
        <v>75</v>
      </c>
      <c r="KIJ5749" s="911"/>
      <c r="KIK5749" s="911"/>
      <c r="KIL5749" s="911"/>
      <c r="KIM5749" s="911"/>
      <c r="KIN5749" s="911"/>
      <c r="KIO5749" s="911"/>
      <c r="KIP5749" s="911"/>
      <c r="KIQ5749" s="911"/>
      <c r="KIR5749" s="911"/>
      <c r="KIS5749" s="32"/>
      <c r="KIT5749" s="911" t="s">
        <v>74</v>
      </c>
      <c r="KIU5749" s="911"/>
      <c r="KIV5749" s="911"/>
      <c r="KIW5749" s="911"/>
      <c r="KIX5749" s="911"/>
      <c r="KIY5749" s="911"/>
      <c r="KIZ5749" s="911"/>
      <c r="KJA5749" s="911"/>
      <c r="KJB5749" s="911"/>
      <c r="KJC5749" s="912"/>
      <c r="KJE5749" s="913" t="s">
        <v>1</v>
      </c>
      <c r="KJF5749" s="31"/>
      <c r="KJG5749" s="909" t="s">
        <v>0</v>
      </c>
      <c r="KJH5749" s="909"/>
      <c r="KJI5749" s="909"/>
      <c r="KJJ5749" s="909"/>
      <c r="KJK5749" s="909"/>
      <c r="KJL5749" s="909"/>
      <c r="KJM5749" s="907" t="s">
        <v>79</v>
      </c>
      <c r="KJN5749" s="909" t="s">
        <v>68</v>
      </c>
      <c r="KJO5749" s="910" t="s">
        <v>75</v>
      </c>
      <c r="KJP5749" s="911"/>
      <c r="KJQ5749" s="911"/>
      <c r="KJR5749" s="911"/>
      <c r="KJS5749" s="911"/>
      <c r="KJT5749" s="911"/>
      <c r="KJU5749" s="911"/>
      <c r="KJV5749" s="911"/>
      <c r="KJW5749" s="911"/>
      <c r="KJX5749" s="911"/>
      <c r="KJY5749" s="32"/>
      <c r="KJZ5749" s="911" t="s">
        <v>74</v>
      </c>
      <c r="KKA5749" s="911"/>
      <c r="KKB5749" s="911"/>
      <c r="KKC5749" s="911"/>
      <c r="KKD5749" s="911"/>
      <c r="KKE5749" s="911"/>
      <c r="KKF5749" s="911"/>
      <c r="KKG5749" s="911"/>
      <c r="KKH5749" s="911"/>
      <c r="KKI5749" s="912"/>
      <c r="KKK5749" s="913" t="s">
        <v>1</v>
      </c>
      <c r="KKL5749" s="31"/>
      <c r="KKM5749" s="909" t="s">
        <v>0</v>
      </c>
      <c r="KKN5749" s="909"/>
      <c r="KKO5749" s="909"/>
      <c r="KKP5749" s="909"/>
      <c r="KKQ5749" s="909"/>
      <c r="KKR5749" s="909"/>
      <c r="KKS5749" s="907" t="s">
        <v>79</v>
      </c>
      <c r="KKT5749" s="909" t="s">
        <v>68</v>
      </c>
      <c r="KKU5749" s="910" t="s">
        <v>75</v>
      </c>
      <c r="KKV5749" s="911"/>
      <c r="KKW5749" s="911"/>
      <c r="KKX5749" s="911"/>
      <c r="KKY5749" s="911"/>
      <c r="KKZ5749" s="911"/>
      <c r="KLA5749" s="911"/>
      <c r="KLB5749" s="911"/>
      <c r="KLC5749" s="911"/>
      <c r="KLD5749" s="911"/>
      <c r="KLE5749" s="32"/>
      <c r="KLF5749" s="911" t="s">
        <v>74</v>
      </c>
      <c r="KLG5749" s="911"/>
      <c r="KLH5749" s="911"/>
      <c r="KLI5749" s="911"/>
      <c r="KLJ5749" s="911"/>
      <c r="KLK5749" s="911"/>
      <c r="KLL5749" s="911"/>
      <c r="KLM5749" s="911"/>
      <c r="KLN5749" s="911"/>
      <c r="KLO5749" s="912"/>
      <c r="KLQ5749" s="913" t="s">
        <v>1</v>
      </c>
      <c r="KLR5749" s="31"/>
      <c r="KLS5749" s="909" t="s">
        <v>0</v>
      </c>
      <c r="KLT5749" s="909"/>
      <c r="KLU5749" s="909"/>
      <c r="KLV5749" s="909"/>
      <c r="KLW5749" s="909"/>
      <c r="KLX5749" s="909"/>
      <c r="KLY5749" s="907" t="s">
        <v>79</v>
      </c>
      <c r="KLZ5749" s="909" t="s">
        <v>68</v>
      </c>
      <c r="KMA5749" s="910" t="s">
        <v>75</v>
      </c>
      <c r="KMB5749" s="911"/>
      <c r="KMC5749" s="911"/>
      <c r="KMD5749" s="911"/>
      <c r="KME5749" s="911"/>
      <c r="KMF5749" s="911"/>
      <c r="KMG5749" s="911"/>
      <c r="KMH5749" s="911"/>
      <c r="KMI5749" s="911"/>
      <c r="KMJ5749" s="911"/>
      <c r="KMK5749" s="32"/>
      <c r="KML5749" s="911" t="s">
        <v>74</v>
      </c>
      <c r="KMM5749" s="911"/>
      <c r="KMN5749" s="911"/>
      <c r="KMO5749" s="911"/>
      <c r="KMP5749" s="911"/>
      <c r="KMQ5749" s="911"/>
      <c r="KMR5749" s="911"/>
      <c r="KMS5749" s="911"/>
      <c r="KMT5749" s="911"/>
      <c r="KMU5749" s="912"/>
      <c r="KMW5749" s="913" t="s">
        <v>1</v>
      </c>
      <c r="KMX5749" s="31"/>
      <c r="KMY5749" s="909" t="s">
        <v>0</v>
      </c>
      <c r="KMZ5749" s="909"/>
      <c r="KNA5749" s="909"/>
      <c r="KNB5749" s="909"/>
      <c r="KNC5749" s="909"/>
      <c r="KND5749" s="909"/>
      <c r="KNE5749" s="907" t="s">
        <v>79</v>
      </c>
      <c r="KNF5749" s="909" t="s">
        <v>68</v>
      </c>
      <c r="KNG5749" s="910" t="s">
        <v>75</v>
      </c>
      <c r="KNH5749" s="911"/>
      <c r="KNI5749" s="911"/>
      <c r="KNJ5749" s="911"/>
      <c r="KNK5749" s="911"/>
      <c r="KNL5749" s="911"/>
      <c r="KNM5749" s="911"/>
      <c r="KNN5749" s="911"/>
      <c r="KNO5749" s="911"/>
      <c r="KNP5749" s="911"/>
      <c r="KNQ5749" s="32"/>
      <c r="KNR5749" s="911" t="s">
        <v>74</v>
      </c>
      <c r="KNS5749" s="911"/>
      <c r="KNT5749" s="911"/>
      <c r="KNU5749" s="911"/>
      <c r="KNV5749" s="911"/>
      <c r="KNW5749" s="911"/>
      <c r="KNX5749" s="911"/>
      <c r="KNY5749" s="911"/>
      <c r="KNZ5749" s="911"/>
      <c r="KOA5749" s="912"/>
      <c r="KOC5749" s="913" t="s">
        <v>1</v>
      </c>
      <c r="KOD5749" s="31"/>
      <c r="KOE5749" s="909" t="s">
        <v>0</v>
      </c>
      <c r="KOF5749" s="909"/>
      <c r="KOG5749" s="909"/>
      <c r="KOH5749" s="909"/>
      <c r="KOI5749" s="909"/>
      <c r="KOJ5749" s="909"/>
      <c r="KOK5749" s="907" t="s">
        <v>79</v>
      </c>
      <c r="KOL5749" s="909" t="s">
        <v>68</v>
      </c>
      <c r="KOM5749" s="910" t="s">
        <v>75</v>
      </c>
      <c r="KON5749" s="911"/>
      <c r="KOO5749" s="911"/>
      <c r="KOP5749" s="911"/>
      <c r="KOQ5749" s="911"/>
      <c r="KOR5749" s="911"/>
      <c r="KOS5749" s="911"/>
      <c r="KOT5749" s="911"/>
      <c r="KOU5749" s="911"/>
      <c r="KOV5749" s="911"/>
      <c r="KOW5749" s="32"/>
      <c r="KOX5749" s="911" t="s">
        <v>74</v>
      </c>
      <c r="KOY5749" s="911"/>
      <c r="KOZ5749" s="911"/>
      <c r="KPA5749" s="911"/>
      <c r="KPB5749" s="911"/>
      <c r="KPC5749" s="911"/>
      <c r="KPD5749" s="911"/>
      <c r="KPE5749" s="911"/>
      <c r="KPF5749" s="911"/>
      <c r="KPG5749" s="912"/>
      <c r="KPI5749" s="913" t="s">
        <v>1</v>
      </c>
      <c r="KPJ5749" s="31"/>
      <c r="KPK5749" s="909" t="s">
        <v>0</v>
      </c>
      <c r="KPL5749" s="909"/>
      <c r="KPM5749" s="909"/>
      <c r="KPN5749" s="909"/>
      <c r="KPO5749" s="909"/>
      <c r="KPP5749" s="909"/>
      <c r="KPQ5749" s="907" t="s">
        <v>79</v>
      </c>
      <c r="KPR5749" s="909" t="s">
        <v>68</v>
      </c>
      <c r="KPS5749" s="910" t="s">
        <v>75</v>
      </c>
      <c r="KPT5749" s="911"/>
      <c r="KPU5749" s="911"/>
      <c r="KPV5749" s="911"/>
      <c r="KPW5749" s="911"/>
      <c r="KPX5749" s="911"/>
      <c r="KPY5749" s="911"/>
      <c r="KPZ5749" s="911"/>
      <c r="KQA5749" s="911"/>
      <c r="KQB5749" s="911"/>
      <c r="KQC5749" s="32"/>
      <c r="KQD5749" s="911" t="s">
        <v>74</v>
      </c>
      <c r="KQE5749" s="911"/>
      <c r="KQF5749" s="911"/>
      <c r="KQG5749" s="911"/>
      <c r="KQH5749" s="911"/>
      <c r="KQI5749" s="911"/>
      <c r="KQJ5749" s="911"/>
      <c r="KQK5749" s="911"/>
      <c r="KQL5749" s="911"/>
      <c r="KQM5749" s="912"/>
      <c r="KQO5749" s="913" t="s">
        <v>1</v>
      </c>
      <c r="KQP5749" s="31"/>
      <c r="KQQ5749" s="909" t="s">
        <v>0</v>
      </c>
      <c r="KQR5749" s="909"/>
      <c r="KQS5749" s="909"/>
      <c r="KQT5749" s="909"/>
      <c r="KQU5749" s="909"/>
      <c r="KQV5749" s="909"/>
      <c r="KQW5749" s="907" t="s">
        <v>79</v>
      </c>
      <c r="KQX5749" s="909" t="s">
        <v>68</v>
      </c>
      <c r="KQY5749" s="910" t="s">
        <v>75</v>
      </c>
      <c r="KQZ5749" s="911"/>
      <c r="KRA5749" s="911"/>
      <c r="KRB5749" s="911"/>
      <c r="KRC5749" s="911"/>
      <c r="KRD5749" s="911"/>
      <c r="KRE5749" s="911"/>
      <c r="KRF5749" s="911"/>
      <c r="KRG5749" s="911"/>
      <c r="KRH5749" s="911"/>
      <c r="KRI5749" s="32"/>
      <c r="KRJ5749" s="911" t="s">
        <v>74</v>
      </c>
      <c r="KRK5749" s="911"/>
      <c r="KRL5749" s="911"/>
      <c r="KRM5749" s="911"/>
      <c r="KRN5749" s="911"/>
      <c r="KRO5749" s="911"/>
      <c r="KRP5749" s="911"/>
      <c r="KRQ5749" s="911"/>
      <c r="KRR5749" s="911"/>
      <c r="KRS5749" s="912"/>
      <c r="KRU5749" s="913" t="s">
        <v>1</v>
      </c>
      <c r="KRV5749" s="31"/>
      <c r="KRW5749" s="909" t="s">
        <v>0</v>
      </c>
      <c r="KRX5749" s="909"/>
      <c r="KRY5749" s="909"/>
      <c r="KRZ5749" s="909"/>
      <c r="KSA5749" s="909"/>
      <c r="KSB5749" s="909"/>
      <c r="KSC5749" s="907" t="s">
        <v>79</v>
      </c>
      <c r="KSD5749" s="909" t="s">
        <v>68</v>
      </c>
      <c r="KSE5749" s="910" t="s">
        <v>75</v>
      </c>
      <c r="KSF5749" s="911"/>
      <c r="KSG5749" s="911"/>
      <c r="KSH5749" s="911"/>
      <c r="KSI5749" s="911"/>
      <c r="KSJ5749" s="911"/>
      <c r="KSK5749" s="911"/>
      <c r="KSL5749" s="911"/>
      <c r="KSM5749" s="911"/>
      <c r="KSN5749" s="911"/>
      <c r="KSO5749" s="32"/>
      <c r="KSP5749" s="911" t="s">
        <v>74</v>
      </c>
      <c r="KSQ5749" s="911"/>
      <c r="KSR5749" s="911"/>
      <c r="KSS5749" s="911"/>
      <c r="KST5749" s="911"/>
      <c r="KSU5749" s="911"/>
      <c r="KSV5749" s="911"/>
      <c r="KSW5749" s="911"/>
      <c r="KSX5749" s="911"/>
      <c r="KSY5749" s="912"/>
      <c r="KTA5749" s="913" t="s">
        <v>1</v>
      </c>
      <c r="KTB5749" s="31"/>
      <c r="KTC5749" s="909" t="s">
        <v>0</v>
      </c>
      <c r="KTD5749" s="909"/>
      <c r="KTE5749" s="909"/>
      <c r="KTF5749" s="909"/>
      <c r="KTG5749" s="909"/>
      <c r="KTH5749" s="909"/>
      <c r="KTI5749" s="907" t="s">
        <v>79</v>
      </c>
      <c r="KTJ5749" s="909" t="s">
        <v>68</v>
      </c>
      <c r="KTK5749" s="910" t="s">
        <v>75</v>
      </c>
      <c r="KTL5749" s="911"/>
      <c r="KTM5749" s="911"/>
      <c r="KTN5749" s="911"/>
      <c r="KTO5749" s="911"/>
      <c r="KTP5749" s="911"/>
      <c r="KTQ5749" s="911"/>
      <c r="KTR5749" s="911"/>
      <c r="KTS5749" s="911"/>
      <c r="KTT5749" s="911"/>
      <c r="KTU5749" s="32"/>
      <c r="KTV5749" s="911" t="s">
        <v>74</v>
      </c>
      <c r="KTW5749" s="911"/>
      <c r="KTX5749" s="911"/>
      <c r="KTY5749" s="911"/>
      <c r="KTZ5749" s="911"/>
      <c r="KUA5749" s="911"/>
      <c r="KUB5749" s="911"/>
      <c r="KUC5749" s="911"/>
      <c r="KUD5749" s="911"/>
      <c r="KUE5749" s="912"/>
      <c r="KUG5749" s="913" t="s">
        <v>1</v>
      </c>
      <c r="KUH5749" s="31"/>
      <c r="KUI5749" s="909" t="s">
        <v>0</v>
      </c>
      <c r="KUJ5749" s="909"/>
      <c r="KUK5749" s="909"/>
      <c r="KUL5749" s="909"/>
      <c r="KUM5749" s="909"/>
      <c r="KUN5749" s="909"/>
      <c r="KUO5749" s="907" t="s">
        <v>79</v>
      </c>
      <c r="KUP5749" s="909" t="s">
        <v>68</v>
      </c>
      <c r="KUQ5749" s="910" t="s">
        <v>75</v>
      </c>
      <c r="KUR5749" s="911"/>
      <c r="KUS5749" s="911"/>
      <c r="KUT5749" s="911"/>
      <c r="KUU5749" s="911"/>
      <c r="KUV5749" s="911"/>
      <c r="KUW5749" s="911"/>
      <c r="KUX5749" s="911"/>
      <c r="KUY5749" s="911"/>
      <c r="KUZ5749" s="911"/>
      <c r="KVA5749" s="32"/>
      <c r="KVB5749" s="911" t="s">
        <v>74</v>
      </c>
      <c r="KVC5749" s="911"/>
      <c r="KVD5749" s="911"/>
      <c r="KVE5749" s="911"/>
      <c r="KVF5749" s="911"/>
      <c r="KVG5749" s="911"/>
      <c r="KVH5749" s="911"/>
      <c r="KVI5749" s="911"/>
      <c r="KVJ5749" s="911"/>
      <c r="KVK5749" s="912"/>
      <c r="KVM5749" s="913" t="s">
        <v>1</v>
      </c>
      <c r="KVN5749" s="31"/>
      <c r="KVO5749" s="909" t="s">
        <v>0</v>
      </c>
      <c r="KVP5749" s="909"/>
      <c r="KVQ5749" s="909"/>
      <c r="KVR5749" s="909"/>
      <c r="KVS5749" s="909"/>
      <c r="KVT5749" s="909"/>
      <c r="KVU5749" s="907" t="s">
        <v>79</v>
      </c>
      <c r="KVV5749" s="909" t="s">
        <v>68</v>
      </c>
      <c r="KVW5749" s="910" t="s">
        <v>75</v>
      </c>
      <c r="KVX5749" s="911"/>
      <c r="KVY5749" s="911"/>
      <c r="KVZ5749" s="911"/>
      <c r="KWA5749" s="911"/>
      <c r="KWB5749" s="911"/>
      <c r="KWC5749" s="911"/>
      <c r="KWD5749" s="911"/>
      <c r="KWE5749" s="911"/>
      <c r="KWF5749" s="911"/>
      <c r="KWG5749" s="32"/>
      <c r="KWH5749" s="911" t="s">
        <v>74</v>
      </c>
      <c r="KWI5749" s="911"/>
      <c r="KWJ5749" s="911"/>
      <c r="KWK5749" s="911"/>
      <c r="KWL5749" s="911"/>
      <c r="KWM5749" s="911"/>
      <c r="KWN5749" s="911"/>
      <c r="KWO5749" s="911"/>
      <c r="KWP5749" s="911"/>
      <c r="KWQ5749" s="912"/>
      <c r="KWS5749" s="913" t="s">
        <v>1</v>
      </c>
      <c r="KWT5749" s="31"/>
      <c r="KWU5749" s="909" t="s">
        <v>0</v>
      </c>
      <c r="KWV5749" s="909"/>
      <c r="KWW5749" s="909"/>
      <c r="KWX5749" s="909"/>
      <c r="KWY5749" s="909"/>
      <c r="KWZ5749" s="909"/>
      <c r="KXA5749" s="907" t="s">
        <v>79</v>
      </c>
      <c r="KXB5749" s="909" t="s">
        <v>68</v>
      </c>
      <c r="KXC5749" s="910" t="s">
        <v>75</v>
      </c>
      <c r="KXD5749" s="911"/>
      <c r="KXE5749" s="911"/>
      <c r="KXF5749" s="911"/>
      <c r="KXG5749" s="911"/>
      <c r="KXH5749" s="911"/>
      <c r="KXI5749" s="911"/>
      <c r="KXJ5749" s="911"/>
      <c r="KXK5749" s="911"/>
      <c r="KXL5749" s="911"/>
      <c r="KXM5749" s="32"/>
      <c r="KXN5749" s="911" t="s">
        <v>74</v>
      </c>
      <c r="KXO5749" s="911"/>
      <c r="KXP5749" s="911"/>
      <c r="KXQ5749" s="911"/>
      <c r="KXR5749" s="911"/>
      <c r="KXS5749" s="911"/>
      <c r="KXT5749" s="911"/>
      <c r="KXU5749" s="911"/>
      <c r="KXV5749" s="911"/>
      <c r="KXW5749" s="912"/>
      <c r="KXY5749" s="913" t="s">
        <v>1</v>
      </c>
      <c r="KXZ5749" s="31"/>
      <c r="KYA5749" s="909" t="s">
        <v>0</v>
      </c>
      <c r="KYB5749" s="909"/>
      <c r="KYC5749" s="909"/>
      <c r="KYD5749" s="909"/>
      <c r="KYE5749" s="909"/>
      <c r="KYF5749" s="909"/>
      <c r="KYG5749" s="907" t="s">
        <v>79</v>
      </c>
      <c r="KYH5749" s="909" t="s">
        <v>68</v>
      </c>
      <c r="KYI5749" s="910" t="s">
        <v>75</v>
      </c>
      <c r="KYJ5749" s="911"/>
      <c r="KYK5749" s="911"/>
      <c r="KYL5749" s="911"/>
      <c r="KYM5749" s="911"/>
      <c r="KYN5749" s="911"/>
      <c r="KYO5749" s="911"/>
      <c r="KYP5749" s="911"/>
      <c r="KYQ5749" s="911"/>
      <c r="KYR5749" s="911"/>
      <c r="KYS5749" s="32"/>
      <c r="KYT5749" s="911" t="s">
        <v>74</v>
      </c>
      <c r="KYU5749" s="911"/>
      <c r="KYV5749" s="911"/>
      <c r="KYW5749" s="911"/>
      <c r="KYX5749" s="911"/>
      <c r="KYY5749" s="911"/>
      <c r="KYZ5749" s="911"/>
      <c r="KZA5749" s="911"/>
      <c r="KZB5749" s="911"/>
      <c r="KZC5749" s="912"/>
      <c r="KZE5749" s="913" t="s">
        <v>1</v>
      </c>
      <c r="KZF5749" s="31"/>
      <c r="KZG5749" s="909" t="s">
        <v>0</v>
      </c>
      <c r="KZH5749" s="909"/>
      <c r="KZI5749" s="909"/>
      <c r="KZJ5749" s="909"/>
      <c r="KZK5749" s="909"/>
      <c r="KZL5749" s="909"/>
      <c r="KZM5749" s="907" t="s">
        <v>79</v>
      </c>
      <c r="KZN5749" s="909" t="s">
        <v>68</v>
      </c>
      <c r="KZO5749" s="910" t="s">
        <v>75</v>
      </c>
      <c r="KZP5749" s="911"/>
      <c r="KZQ5749" s="911"/>
      <c r="KZR5749" s="911"/>
      <c r="KZS5749" s="911"/>
      <c r="KZT5749" s="911"/>
      <c r="KZU5749" s="911"/>
      <c r="KZV5749" s="911"/>
      <c r="KZW5749" s="911"/>
      <c r="KZX5749" s="911"/>
      <c r="KZY5749" s="32"/>
      <c r="KZZ5749" s="911" t="s">
        <v>74</v>
      </c>
      <c r="LAA5749" s="911"/>
      <c r="LAB5749" s="911"/>
      <c r="LAC5749" s="911"/>
      <c r="LAD5749" s="911"/>
      <c r="LAE5749" s="911"/>
      <c r="LAF5749" s="911"/>
      <c r="LAG5749" s="911"/>
      <c r="LAH5749" s="911"/>
      <c r="LAI5749" s="912"/>
      <c r="LAK5749" s="913" t="s">
        <v>1</v>
      </c>
      <c r="LAL5749" s="31"/>
      <c r="LAM5749" s="909" t="s">
        <v>0</v>
      </c>
      <c r="LAN5749" s="909"/>
      <c r="LAO5749" s="909"/>
      <c r="LAP5749" s="909"/>
      <c r="LAQ5749" s="909"/>
      <c r="LAR5749" s="909"/>
      <c r="LAS5749" s="907" t="s">
        <v>79</v>
      </c>
      <c r="LAT5749" s="909" t="s">
        <v>68</v>
      </c>
      <c r="LAU5749" s="910" t="s">
        <v>75</v>
      </c>
      <c r="LAV5749" s="911"/>
      <c r="LAW5749" s="911"/>
      <c r="LAX5749" s="911"/>
      <c r="LAY5749" s="911"/>
      <c r="LAZ5749" s="911"/>
      <c r="LBA5749" s="911"/>
      <c r="LBB5749" s="911"/>
      <c r="LBC5749" s="911"/>
      <c r="LBD5749" s="911"/>
      <c r="LBE5749" s="32"/>
      <c r="LBF5749" s="911" t="s">
        <v>74</v>
      </c>
      <c r="LBG5749" s="911"/>
      <c r="LBH5749" s="911"/>
      <c r="LBI5749" s="911"/>
      <c r="LBJ5749" s="911"/>
      <c r="LBK5749" s="911"/>
      <c r="LBL5749" s="911"/>
      <c r="LBM5749" s="911"/>
      <c r="LBN5749" s="911"/>
      <c r="LBO5749" s="912"/>
      <c r="LBQ5749" s="913" t="s">
        <v>1</v>
      </c>
      <c r="LBR5749" s="31"/>
      <c r="LBS5749" s="909" t="s">
        <v>0</v>
      </c>
      <c r="LBT5749" s="909"/>
      <c r="LBU5749" s="909"/>
      <c r="LBV5749" s="909"/>
      <c r="LBW5749" s="909"/>
      <c r="LBX5749" s="909"/>
      <c r="LBY5749" s="907" t="s">
        <v>79</v>
      </c>
      <c r="LBZ5749" s="909" t="s">
        <v>68</v>
      </c>
      <c r="LCA5749" s="910" t="s">
        <v>75</v>
      </c>
      <c r="LCB5749" s="911"/>
      <c r="LCC5749" s="911"/>
      <c r="LCD5749" s="911"/>
      <c r="LCE5749" s="911"/>
      <c r="LCF5749" s="911"/>
      <c r="LCG5749" s="911"/>
      <c r="LCH5749" s="911"/>
      <c r="LCI5749" s="911"/>
      <c r="LCJ5749" s="911"/>
      <c r="LCK5749" s="32"/>
      <c r="LCL5749" s="911" t="s">
        <v>74</v>
      </c>
      <c r="LCM5749" s="911"/>
      <c r="LCN5749" s="911"/>
      <c r="LCO5749" s="911"/>
      <c r="LCP5749" s="911"/>
      <c r="LCQ5749" s="911"/>
      <c r="LCR5749" s="911"/>
      <c r="LCS5749" s="911"/>
      <c r="LCT5749" s="911"/>
      <c r="LCU5749" s="912"/>
      <c r="LCW5749" s="913" t="s">
        <v>1</v>
      </c>
      <c r="LCX5749" s="31"/>
      <c r="LCY5749" s="909" t="s">
        <v>0</v>
      </c>
      <c r="LCZ5749" s="909"/>
      <c r="LDA5749" s="909"/>
      <c r="LDB5749" s="909"/>
      <c r="LDC5749" s="909"/>
      <c r="LDD5749" s="909"/>
      <c r="LDE5749" s="907" t="s">
        <v>79</v>
      </c>
      <c r="LDF5749" s="909" t="s">
        <v>68</v>
      </c>
      <c r="LDG5749" s="910" t="s">
        <v>75</v>
      </c>
      <c r="LDH5749" s="911"/>
      <c r="LDI5749" s="911"/>
      <c r="LDJ5749" s="911"/>
      <c r="LDK5749" s="911"/>
      <c r="LDL5749" s="911"/>
      <c r="LDM5749" s="911"/>
      <c r="LDN5749" s="911"/>
      <c r="LDO5749" s="911"/>
      <c r="LDP5749" s="911"/>
      <c r="LDQ5749" s="32"/>
      <c r="LDR5749" s="911" t="s">
        <v>74</v>
      </c>
      <c r="LDS5749" s="911"/>
      <c r="LDT5749" s="911"/>
      <c r="LDU5749" s="911"/>
      <c r="LDV5749" s="911"/>
      <c r="LDW5749" s="911"/>
      <c r="LDX5749" s="911"/>
      <c r="LDY5749" s="911"/>
      <c r="LDZ5749" s="911"/>
      <c r="LEA5749" s="912"/>
      <c r="LEC5749" s="913" t="s">
        <v>1</v>
      </c>
      <c r="LED5749" s="31"/>
      <c r="LEE5749" s="909" t="s">
        <v>0</v>
      </c>
      <c r="LEF5749" s="909"/>
      <c r="LEG5749" s="909"/>
      <c r="LEH5749" s="909"/>
      <c r="LEI5749" s="909"/>
      <c r="LEJ5749" s="909"/>
      <c r="LEK5749" s="907" t="s">
        <v>79</v>
      </c>
      <c r="LEL5749" s="909" t="s">
        <v>68</v>
      </c>
      <c r="LEM5749" s="910" t="s">
        <v>75</v>
      </c>
      <c r="LEN5749" s="911"/>
      <c r="LEO5749" s="911"/>
      <c r="LEP5749" s="911"/>
      <c r="LEQ5749" s="911"/>
      <c r="LER5749" s="911"/>
      <c r="LES5749" s="911"/>
      <c r="LET5749" s="911"/>
      <c r="LEU5749" s="911"/>
      <c r="LEV5749" s="911"/>
      <c r="LEW5749" s="32"/>
      <c r="LEX5749" s="911" t="s">
        <v>74</v>
      </c>
      <c r="LEY5749" s="911"/>
      <c r="LEZ5749" s="911"/>
      <c r="LFA5749" s="911"/>
      <c r="LFB5749" s="911"/>
      <c r="LFC5749" s="911"/>
      <c r="LFD5749" s="911"/>
      <c r="LFE5749" s="911"/>
      <c r="LFF5749" s="911"/>
      <c r="LFG5749" s="912"/>
      <c r="LFI5749" s="913" t="s">
        <v>1</v>
      </c>
      <c r="LFJ5749" s="31"/>
      <c r="LFK5749" s="909" t="s">
        <v>0</v>
      </c>
      <c r="LFL5749" s="909"/>
      <c r="LFM5749" s="909"/>
      <c r="LFN5749" s="909"/>
      <c r="LFO5749" s="909"/>
      <c r="LFP5749" s="909"/>
      <c r="LFQ5749" s="907" t="s">
        <v>79</v>
      </c>
      <c r="LFR5749" s="909" t="s">
        <v>68</v>
      </c>
      <c r="LFS5749" s="910" t="s">
        <v>75</v>
      </c>
      <c r="LFT5749" s="911"/>
      <c r="LFU5749" s="911"/>
      <c r="LFV5749" s="911"/>
      <c r="LFW5749" s="911"/>
      <c r="LFX5749" s="911"/>
      <c r="LFY5749" s="911"/>
      <c r="LFZ5749" s="911"/>
      <c r="LGA5749" s="911"/>
      <c r="LGB5749" s="911"/>
      <c r="LGC5749" s="32"/>
      <c r="LGD5749" s="911" t="s">
        <v>74</v>
      </c>
      <c r="LGE5749" s="911"/>
      <c r="LGF5749" s="911"/>
      <c r="LGG5749" s="911"/>
      <c r="LGH5749" s="911"/>
      <c r="LGI5749" s="911"/>
      <c r="LGJ5749" s="911"/>
      <c r="LGK5749" s="911"/>
      <c r="LGL5749" s="911"/>
      <c r="LGM5749" s="912"/>
      <c r="LGO5749" s="913" t="s">
        <v>1</v>
      </c>
      <c r="LGP5749" s="31"/>
      <c r="LGQ5749" s="909" t="s">
        <v>0</v>
      </c>
      <c r="LGR5749" s="909"/>
      <c r="LGS5749" s="909"/>
      <c r="LGT5749" s="909"/>
      <c r="LGU5749" s="909"/>
      <c r="LGV5749" s="909"/>
      <c r="LGW5749" s="907" t="s">
        <v>79</v>
      </c>
      <c r="LGX5749" s="909" t="s">
        <v>68</v>
      </c>
      <c r="LGY5749" s="910" t="s">
        <v>75</v>
      </c>
      <c r="LGZ5749" s="911"/>
      <c r="LHA5749" s="911"/>
      <c r="LHB5749" s="911"/>
      <c r="LHC5749" s="911"/>
      <c r="LHD5749" s="911"/>
      <c r="LHE5749" s="911"/>
      <c r="LHF5749" s="911"/>
      <c r="LHG5749" s="911"/>
      <c r="LHH5749" s="911"/>
      <c r="LHI5749" s="32"/>
      <c r="LHJ5749" s="911" t="s">
        <v>74</v>
      </c>
      <c r="LHK5749" s="911"/>
      <c r="LHL5749" s="911"/>
      <c r="LHM5749" s="911"/>
      <c r="LHN5749" s="911"/>
      <c r="LHO5749" s="911"/>
      <c r="LHP5749" s="911"/>
      <c r="LHQ5749" s="911"/>
      <c r="LHR5749" s="911"/>
      <c r="LHS5749" s="912"/>
      <c r="LHU5749" s="913" t="s">
        <v>1</v>
      </c>
      <c r="LHV5749" s="31"/>
      <c r="LHW5749" s="909" t="s">
        <v>0</v>
      </c>
      <c r="LHX5749" s="909"/>
      <c r="LHY5749" s="909"/>
      <c r="LHZ5749" s="909"/>
      <c r="LIA5749" s="909"/>
      <c r="LIB5749" s="909"/>
      <c r="LIC5749" s="907" t="s">
        <v>79</v>
      </c>
      <c r="LID5749" s="909" t="s">
        <v>68</v>
      </c>
      <c r="LIE5749" s="910" t="s">
        <v>75</v>
      </c>
      <c r="LIF5749" s="911"/>
      <c r="LIG5749" s="911"/>
      <c r="LIH5749" s="911"/>
      <c r="LII5749" s="911"/>
      <c r="LIJ5749" s="911"/>
      <c r="LIK5749" s="911"/>
      <c r="LIL5749" s="911"/>
      <c r="LIM5749" s="911"/>
      <c r="LIN5749" s="911"/>
      <c r="LIO5749" s="32"/>
      <c r="LIP5749" s="911" t="s">
        <v>74</v>
      </c>
      <c r="LIQ5749" s="911"/>
      <c r="LIR5749" s="911"/>
      <c r="LIS5749" s="911"/>
      <c r="LIT5749" s="911"/>
      <c r="LIU5749" s="911"/>
      <c r="LIV5749" s="911"/>
      <c r="LIW5749" s="911"/>
      <c r="LIX5749" s="911"/>
      <c r="LIY5749" s="912"/>
      <c r="LJA5749" s="913" t="s">
        <v>1</v>
      </c>
      <c r="LJB5749" s="31"/>
      <c r="LJC5749" s="909" t="s">
        <v>0</v>
      </c>
      <c r="LJD5749" s="909"/>
      <c r="LJE5749" s="909"/>
      <c r="LJF5749" s="909"/>
      <c r="LJG5749" s="909"/>
      <c r="LJH5749" s="909"/>
      <c r="LJI5749" s="907" t="s">
        <v>79</v>
      </c>
      <c r="LJJ5749" s="909" t="s">
        <v>68</v>
      </c>
      <c r="LJK5749" s="910" t="s">
        <v>75</v>
      </c>
      <c r="LJL5749" s="911"/>
      <c r="LJM5749" s="911"/>
      <c r="LJN5749" s="911"/>
      <c r="LJO5749" s="911"/>
      <c r="LJP5749" s="911"/>
      <c r="LJQ5749" s="911"/>
      <c r="LJR5749" s="911"/>
      <c r="LJS5749" s="911"/>
      <c r="LJT5749" s="911"/>
      <c r="LJU5749" s="32"/>
      <c r="LJV5749" s="911" t="s">
        <v>74</v>
      </c>
      <c r="LJW5749" s="911"/>
      <c r="LJX5749" s="911"/>
      <c r="LJY5749" s="911"/>
      <c r="LJZ5749" s="911"/>
      <c r="LKA5749" s="911"/>
      <c r="LKB5749" s="911"/>
      <c r="LKC5749" s="911"/>
      <c r="LKD5749" s="911"/>
      <c r="LKE5749" s="912"/>
      <c r="LKG5749" s="913" t="s">
        <v>1</v>
      </c>
      <c r="LKH5749" s="31"/>
      <c r="LKI5749" s="909" t="s">
        <v>0</v>
      </c>
      <c r="LKJ5749" s="909"/>
      <c r="LKK5749" s="909"/>
      <c r="LKL5749" s="909"/>
      <c r="LKM5749" s="909"/>
      <c r="LKN5749" s="909"/>
      <c r="LKO5749" s="907" t="s">
        <v>79</v>
      </c>
      <c r="LKP5749" s="909" t="s">
        <v>68</v>
      </c>
      <c r="LKQ5749" s="910" t="s">
        <v>75</v>
      </c>
      <c r="LKR5749" s="911"/>
      <c r="LKS5749" s="911"/>
      <c r="LKT5749" s="911"/>
      <c r="LKU5749" s="911"/>
      <c r="LKV5749" s="911"/>
      <c r="LKW5749" s="911"/>
      <c r="LKX5749" s="911"/>
      <c r="LKY5749" s="911"/>
      <c r="LKZ5749" s="911"/>
      <c r="LLA5749" s="32"/>
      <c r="LLB5749" s="911" t="s">
        <v>74</v>
      </c>
      <c r="LLC5749" s="911"/>
      <c r="LLD5749" s="911"/>
      <c r="LLE5749" s="911"/>
      <c r="LLF5749" s="911"/>
      <c r="LLG5749" s="911"/>
      <c r="LLH5749" s="911"/>
      <c r="LLI5749" s="911"/>
      <c r="LLJ5749" s="911"/>
      <c r="LLK5749" s="912"/>
      <c r="LLM5749" s="913" t="s">
        <v>1</v>
      </c>
      <c r="LLN5749" s="31"/>
      <c r="LLO5749" s="909" t="s">
        <v>0</v>
      </c>
      <c r="LLP5749" s="909"/>
      <c r="LLQ5749" s="909"/>
      <c r="LLR5749" s="909"/>
      <c r="LLS5749" s="909"/>
      <c r="LLT5749" s="909"/>
      <c r="LLU5749" s="907" t="s">
        <v>79</v>
      </c>
      <c r="LLV5749" s="909" t="s">
        <v>68</v>
      </c>
      <c r="LLW5749" s="910" t="s">
        <v>75</v>
      </c>
      <c r="LLX5749" s="911"/>
      <c r="LLY5749" s="911"/>
      <c r="LLZ5749" s="911"/>
      <c r="LMA5749" s="911"/>
      <c r="LMB5749" s="911"/>
      <c r="LMC5749" s="911"/>
      <c r="LMD5749" s="911"/>
      <c r="LME5749" s="911"/>
      <c r="LMF5749" s="911"/>
      <c r="LMG5749" s="32"/>
      <c r="LMH5749" s="911" t="s">
        <v>74</v>
      </c>
      <c r="LMI5749" s="911"/>
      <c r="LMJ5749" s="911"/>
      <c r="LMK5749" s="911"/>
      <c r="LML5749" s="911"/>
      <c r="LMM5749" s="911"/>
      <c r="LMN5749" s="911"/>
      <c r="LMO5749" s="911"/>
      <c r="LMP5749" s="911"/>
      <c r="LMQ5749" s="912"/>
      <c r="LMS5749" s="913" t="s">
        <v>1</v>
      </c>
      <c r="LMT5749" s="31"/>
      <c r="LMU5749" s="909" t="s">
        <v>0</v>
      </c>
      <c r="LMV5749" s="909"/>
      <c r="LMW5749" s="909"/>
      <c r="LMX5749" s="909"/>
      <c r="LMY5749" s="909"/>
      <c r="LMZ5749" s="909"/>
      <c r="LNA5749" s="907" t="s">
        <v>79</v>
      </c>
      <c r="LNB5749" s="909" t="s">
        <v>68</v>
      </c>
      <c r="LNC5749" s="910" t="s">
        <v>75</v>
      </c>
      <c r="LND5749" s="911"/>
      <c r="LNE5749" s="911"/>
      <c r="LNF5749" s="911"/>
      <c r="LNG5749" s="911"/>
      <c r="LNH5749" s="911"/>
      <c r="LNI5749" s="911"/>
      <c r="LNJ5749" s="911"/>
      <c r="LNK5749" s="911"/>
      <c r="LNL5749" s="911"/>
      <c r="LNM5749" s="32"/>
      <c r="LNN5749" s="911" t="s">
        <v>74</v>
      </c>
      <c r="LNO5749" s="911"/>
      <c r="LNP5749" s="911"/>
      <c r="LNQ5749" s="911"/>
      <c r="LNR5749" s="911"/>
      <c r="LNS5749" s="911"/>
      <c r="LNT5749" s="911"/>
      <c r="LNU5749" s="911"/>
      <c r="LNV5749" s="911"/>
      <c r="LNW5749" s="912"/>
      <c r="LNY5749" s="913" t="s">
        <v>1</v>
      </c>
      <c r="LNZ5749" s="31"/>
      <c r="LOA5749" s="909" t="s">
        <v>0</v>
      </c>
      <c r="LOB5749" s="909"/>
      <c r="LOC5749" s="909"/>
      <c r="LOD5749" s="909"/>
      <c r="LOE5749" s="909"/>
      <c r="LOF5749" s="909"/>
      <c r="LOG5749" s="907" t="s">
        <v>79</v>
      </c>
      <c r="LOH5749" s="909" t="s">
        <v>68</v>
      </c>
      <c r="LOI5749" s="910" t="s">
        <v>75</v>
      </c>
      <c r="LOJ5749" s="911"/>
      <c r="LOK5749" s="911"/>
      <c r="LOL5749" s="911"/>
      <c r="LOM5749" s="911"/>
      <c r="LON5749" s="911"/>
      <c r="LOO5749" s="911"/>
      <c r="LOP5749" s="911"/>
      <c r="LOQ5749" s="911"/>
      <c r="LOR5749" s="911"/>
      <c r="LOS5749" s="32"/>
      <c r="LOT5749" s="911" t="s">
        <v>74</v>
      </c>
      <c r="LOU5749" s="911"/>
      <c r="LOV5749" s="911"/>
      <c r="LOW5749" s="911"/>
      <c r="LOX5749" s="911"/>
      <c r="LOY5749" s="911"/>
      <c r="LOZ5749" s="911"/>
      <c r="LPA5749" s="911"/>
      <c r="LPB5749" s="911"/>
      <c r="LPC5749" s="912"/>
      <c r="LPE5749" s="913" t="s">
        <v>1</v>
      </c>
      <c r="LPF5749" s="31"/>
      <c r="LPG5749" s="909" t="s">
        <v>0</v>
      </c>
      <c r="LPH5749" s="909"/>
      <c r="LPI5749" s="909"/>
      <c r="LPJ5749" s="909"/>
      <c r="LPK5749" s="909"/>
      <c r="LPL5749" s="909"/>
      <c r="LPM5749" s="907" t="s">
        <v>79</v>
      </c>
      <c r="LPN5749" s="909" t="s">
        <v>68</v>
      </c>
      <c r="LPO5749" s="910" t="s">
        <v>75</v>
      </c>
      <c r="LPP5749" s="911"/>
      <c r="LPQ5749" s="911"/>
      <c r="LPR5749" s="911"/>
      <c r="LPS5749" s="911"/>
      <c r="LPT5749" s="911"/>
      <c r="LPU5749" s="911"/>
      <c r="LPV5749" s="911"/>
      <c r="LPW5749" s="911"/>
      <c r="LPX5749" s="911"/>
      <c r="LPY5749" s="32"/>
      <c r="LPZ5749" s="911" t="s">
        <v>74</v>
      </c>
      <c r="LQA5749" s="911"/>
      <c r="LQB5749" s="911"/>
      <c r="LQC5749" s="911"/>
      <c r="LQD5749" s="911"/>
      <c r="LQE5749" s="911"/>
      <c r="LQF5749" s="911"/>
      <c r="LQG5749" s="911"/>
      <c r="LQH5749" s="911"/>
      <c r="LQI5749" s="912"/>
      <c r="LQK5749" s="913" t="s">
        <v>1</v>
      </c>
      <c r="LQL5749" s="31"/>
      <c r="LQM5749" s="909" t="s">
        <v>0</v>
      </c>
      <c r="LQN5749" s="909"/>
      <c r="LQO5749" s="909"/>
      <c r="LQP5749" s="909"/>
      <c r="LQQ5749" s="909"/>
      <c r="LQR5749" s="909"/>
      <c r="LQS5749" s="907" t="s">
        <v>79</v>
      </c>
      <c r="LQT5749" s="909" t="s">
        <v>68</v>
      </c>
      <c r="LQU5749" s="910" t="s">
        <v>75</v>
      </c>
      <c r="LQV5749" s="911"/>
      <c r="LQW5749" s="911"/>
      <c r="LQX5749" s="911"/>
      <c r="LQY5749" s="911"/>
      <c r="LQZ5749" s="911"/>
      <c r="LRA5749" s="911"/>
      <c r="LRB5749" s="911"/>
      <c r="LRC5749" s="911"/>
      <c r="LRD5749" s="911"/>
      <c r="LRE5749" s="32"/>
      <c r="LRF5749" s="911" t="s">
        <v>74</v>
      </c>
      <c r="LRG5749" s="911"/>
      <c r="LRH5749" s="911"/>
      <c r="LRI5749" s="911"/>
      <c r="LRJ5749" s="911"/>
      <c r="LRK5749" s="911"/>
      <c r="LRL5749" s="911"/>
      <c r="LRM5749" s="911"/>
      <c r="LRN5749" s="911"/>
      <c r="LRO5749" s="912"/>
      <c r="LRQ5749" s="913" t="s">
        <v>1</v>
      </c>
      <c r="LRR5749" s="31"/>
      <c r="LRS5749" s="909" t="s">
        <v>0</v>
      </c>
      <c r="LRT5749" s="909"/>
      <c r="LRU5749" s="909"/>
      <c r="LRV5749" s="909"/>
      <c r="LRW5749" s="909"/>
      <c r="LRX5749" s="909"/>
      <c r="LRY5749" s="907" t="s">
        <v>79</v>
      </c>
      <c r="LRZ5749" s="909" t="s">
        <v>68</v>
      </c>
      <c r="LSA5749" s="910" t="s">
        <v>75</v>
      </c>
      <c r="LSB5749" s="911"/>
      <c r="LSC5749" s="911"/>
      <c r="LSD5749" s="911"/>
      <c r="LSE5749" s="911"/>
      <c r="LSF5749" s="911"/>
      <c r="LSG5749" s="911"/>
      <c r="LSH5749" s="911"/>
      <c r="LSI5749" s="911"/>
      <c r="LSJ5749" s="911"/>
      <c r="LSK5749" s="32"/>
      <c r="LSL5749" s="911" t="s">
        <v>74</v>
      </c>
      <c r="LSM5749" s="911"/>
      <c r="LSN5749" s="911"/>
      <c r="LSO5749" s="911"/>
      <c r="LSP5749" s="911"/>
      <c r="LSQ5749" s="911"/>
      <c r="LSR5749" s="911"/>
      <c r="LSS5749" s="911"/>
      <c r="LST5749" s="911"/>
      <c r="LSU5749" s="912"/>
      <c r="LSW5749" s="913" t="s">
        <v>1</v>
      </c>
      <c r="LSX5749" s="31"/>
      <c r="LSY5749" s="909" t="s">
        <v>0</v>
      </c>
      <c r="LSZ5749" s="909"/>
      <c r="LTA5749" s="909"/>
      <c r="LTB5749" s="909"/>
      <c r="LTC5749" s="909"/>
      <c r="LTD5749" s="909"/>
      <c r="LTE5749" s="907" t="s">
        <v>79</v>
      </c>
      <c r="LTF5749" s="909" t="s">
        <v>68</v>
      </c>
      <c r="LTG5749" s="910" t="s">
        <v>75</v>
      </c>
      <c r="LTH5749" s="911"/>
      <c r="LTI5749" s="911"/>
      <c r="LTJ5749" s="911"/>
      <c r="LTK5749" s="911"/>
      <c r="LTL5749" s="911"/>
      <c r="LTM5749" s="911"/>
      <c r="LTN5749" s="911"/>
      <c r="LTO5749" s="911"/>
      <c r="LTP5749" s="911"/>
      <c r="LTQ5749" s="32"/>
      <c r="LTR5749" s="911" t="s">
        <v>74</v>
      </c>
      <c r="LTS5749" s="911"/>
      <c r="LTT5749" s="911"/>
      <c r="LTU5749" s="911"/>
      <c r="LTV5749" s="911"/>
      <c r="LTW5749" s="911"/>
      <c r="LTX5749" s="911"/>
      <c r="LTY5749" s="911"/>
      <c r="LTZ5749" s="911"/>
      <c r="LUA5749" s="912"/>
      <c r="LUC5749" s="913" t="s">
        <v>1</v>
      </c>
      <c r="LUD5749" s="31"/>
      <c r="LUE5749" s="909" t="s">
        <v>0</v>
      </c>
      <c r="LUF5749" s="909"/>
      <c r="LUG5749" s="909"/>
      <c r="LUH5749" s="909"/>
      <c r="LUI5749" s="909"/>
      <c r="LUJ5749" s="909"/>
      <c r="LUK5749" s="907" t="s">
        <v>79</v>
      </c>
      <c r="LUL5749" s="909" t="s">
        <v>68</v>
      </c>
      <c r="LUM5749" s="910" t="s">
        <v>75</v>
      </c>
      <c r="LUN5749" s="911"/>
      <c r="LUO5749" s="911"/>
      <c r="LUP5749" s="911"/>
      <c r="LUQ5749" s="911"/>
      <c r="LUR5749" s="911"/>
      <c r="LUS5749" s="911"/>
      <c r="LUT5749" s="911"/>
      <c r="LUU5749" s="911"/>
      <c r="LUV5749" s="911"/>
      <c r="LUW5749" s="32"/>
      <c r="LUX5749" s="911" t="s">
        <v>74</v>
      </c>
      <c r="LUY5749" s="911"/>
      <c r="LUZ5749" s="911"/>
      <c r="LVA5749" s="911"/>
      <c r="LVB5749" s="911"/>
      <c r="LVC5749" s="911"/>
      <c r="LVD5749" s="911"/>
      <c r="LVE5749" s="911"/>
      <c r="LVF5749" s="911"/>
      <c r="LVG5749" s="912"/>
      <c r="LVI5749" s="913" t="s">
        <v>1</v>
      </c>
      <c r="LVJ5749" s="31"/>
      <c r="LVK5749" s="909" t="s">
        <v>0</v>
      </c>
      <c r="LVL5749" s="909"/>
      <c r="LVM5749" s="909"/>
      <c r="LVN5749" s="909"/>
      <c r="LVO5749" s="909"/>
      <c r="LVP5749" s="909"/>
      <c r="LVQ5749" s="907" t="s">
        <v>79</v>
      </c>
      <c r="LVR5749" s="909" t="s">
        <v>68</v>
      </c>
      <c r="LVS5749" s="910" t="s">
        <v>75</v>
      </c>
      <c r="LVT5749" s="911"/>
      <c r="LVU5749" s="911"/>
      <c r="LVV5749" s="911"/>
      <c r="LVW5749" s="911"/>
      <c r="LVX5749" s="911"/>
      <c r="LVY5749" s="911"/>
      <c r="LVZ5749" s="911"/>
      <c r="LWA5749" s="911"/>
      <c r="LWB5749" s="911"/>
      <c r="LWC5749" s="32"/>
      <c r="LWD5749" s="911" t="s">
        <v>74</v>
      </c>
      <c r="LWE5749" s="911"/>
      <c r="LWF5749" s="911"/>
      <c r="LWG5749" s="911"/>
      <c r="LWH5749" s="911"/>
      <c r="LWI5749" s="911"/>
      <c r="LWJ5749" s="911"/>
      <c r="LWK5749" s="911"/>
      <c r="LWL5749" s="911"/>
      <c r="LWM5749" s="912"/>
      <c r="LWO5749" s="913" t="s">
        <v>1</v>
      </c>
      <c r="LWP5749" s="31"/>
      <c r="LWQ5749" s="909" t="s">
        <v>0</v>
      </c>
      <c r="LWR5749" s="909"/>
      <c r="LWS5749" s="909"/>
      <c r="LWT5749" s="909"/>
      <c r="LWU5749" s="909"/>
      <c r="LWV5749" s="909"/>
      <c r="LWW5749" s="907" t="s">
        <v>79</v>
      </c>
      <c r="LWX5749" s="909" t="s">
        <v>68</v>
      </c>
      <c r="LWY5749" s="910" t="s">
        <v>75</v>
      </c>
      <c r="LWZ5749" s="911"/>
      <c r="LXA5749" s="911"/>
      <c r="LXB5749" s="911"/>
      <c r="LXC5749" s="911"/>
      <c r="LXD5749" s="911"/>
      <c r="LXE5749" s="911"/>
      <c r="LXF5749" s="911"/>
      <c r="LXG5749" s="911"/>
      <c r="LXH5749" s="911"/>
      <c r="LXI5749" s="32"/>
      <c r="LXJ5749" s="911" t="s">
        <v>74</v>
      </c>
      <c r="LXK5749" s="911"/>
      <c r="LXL5749" s="911"/>
      <c r="LXM5749" s="911"/>
      <c r="LXN5749" s="911"/>
      <c r="LXO5749" s="911"/>
      <c r="LXP5749" s="911"/>
      <c r="LXQ5749" s="911"/>
      <c r="LXR5749" s="911"/>
      <c r="LXS5749" s="912"/>
      <c r="LXU5749" s="913" t="s">
        <v>1</v>
      </c>
      <c r="LXV5749" s="31"/>
      <c r="LXW5749" s="909" t="s">
        <v>0</v>
      </c>
      <c r="LXX5749" s="909"/>
      <c r="LXY5749" s="909"/>
      <c r="LXZ5749" s="909"/>
      <c r="LYA5749" s="909"/>
      <c r="LYB5749" s="909"/>
      <c r="LYC5749" s="907" t="s">
        <v>79</v>
      </c>
      <c r="LYD5749" s="909" t="s">
        <v>68</v>
      </c>
      <c r="LYE5749" s="910" t="s">
        <v>75</v>
      </c>
      <c r="LYF5749" s="911"/>
      <c r="LYG5749" s="911"/>
      <c r="LYH5749" s="911"/>
      <c r="LYI5749" s="911"/>
      <c r="LYJ5749" s="911"/>
      <c r="LYK5749" s="911"/>
      <c r="LYL5749" s="911"/>
      <c r="LYM5749" s="911"/>
      <c r="LYN5749" s="911"/>
      <c r="LYO5749" s="32"/>
      <c r="LYP5749" s="911" t="s">
        <v>74</v>
      </c>
      <c r="LYQ5749" s="911"/>
      <c r="LYR5749" s="911"/>
      <c r="LYS5749" s="911"/>
      <c r="LYT5749" s="911"/>
      <c r="LYU5749" s="911"/>
      <c r="LYV5749" s="911"/>
      <c r="LYW5749" s="911"/>
      <c r="LYX5749" s="911"/>
      <c r="LYY5749" s="912"/>
      <c r="LZA5749" s="913" t="s">
        <v>1</v>
      </c>
      <c r="LZB5749" s="31"/>
      <c r="LZC5749" s="909" t="s">
        <v>0</v>
      </c>
      <c r="LZD5749" s="909"/>
      <c r="LZE5749" s="909"/>
      <c r="LZF5749" s="909"/>
      <c r="LZG5749" s="909"/>
      <c r="LZH5749" s="909"/>
      <c r="LZI5749" s="907" t="s">
        <v>79</v>
      </c>
      <c r="LZJ5749" s="909" t="s">
        <v>68</v>
      </c>
      <c r="LZK5749" s="910" t="s">
        <v>75</v>
      </c>
      <c r="LZL5749" s="911"/>
      <c r="LZM5749" s="911"/>
      <c r="LZN5749" s="911"/>
      <c r="LZO5749" s="911"/>
      <c r="LZP5749" s="911"/>
      <c r="LZQ5749" s="911"/>
      <c r="LZR5749" s="911"/>
      <c r="LZS5749" s="911"/>
      <c r="LZT5749" s="911"/>
      <c r="LZU5749" s="32"/>
      <c r="LZV5749" s="911" t="s">
        <v>74</v>
      </c>
      <c r="LZW5749" s="911"/>
      <c r="LZX5749" s="911"/>
      <c r="LZY5749" s="911"/>
      <c r="LZZ5749" s="911"/>
      <c r="MAA5749" s="911"/>
      <c r="MAB5749" s="911"/>
      <c r="MAC5749" s="911"/>
      <c r="MAD5749" s="911"/>
      <c r="MAE5749" s="912"/>
      <c r="MAG5749" s="913" t="s">
        <v>1</v>
      </c>
      <c r="MAH5749" s="31"/>
      <c r="MAI5749" s="909" t="s">
        <v>0</v>
      </c>
      <c r="MAJ5749" s="909"/>
      <c r="MAK5749" s="909"/>
      <c r="MAL5749" s="909"/>
      <c r="MAM5749" s="909"/>
      <c r="MAN5749" s="909"/>
      <c r="MAO5749" s="907" t="s">
        <v>79</v>
      </c>
      <c r="MAP5749" s="909" t="s">
        <v>68</v>
      </c>
      <c r="MAQ5749" s="910" t="s">
        <v>75</v>
      </c>
      <c r="MAR5749" s="911"/>
      <c r="MAS5749" s="911"/>
      <c r="MAT5749" s="911"/>
      <c r="MAU5749" s="911"/>
      <c r="MAV5749" s="911"/>
      <c r="MAW5749" s="911"/>
      <c r="MAX5749" s="911"/>
      <c r="MAY5749" s="911"/>
      <c r="MAZ5749" s="911"/>
      <c r="MBA5749" s="32"/>
      <c r="MBB5749" s="911" t="s">
        <v>74</v>
      </c>
      <c r="MBC5749" s="911"/>
      <c r="MBD5749" s="911"/>
      <c r="MBE5749" s="911"/>
      <c r="MBF5749" s="911"/>
      <c r="MBG5749" s="911"/>
      <c r="MBH5749" s="911"/>
      <c r="MBI5749" s="911"/>
      <c r="MBJ5749" s="911"/>
      <c r="MBK5749" s="912"/>
      <c r="MBM5749" s="913" t="s">
        <v>1</v>
      </c>
      <c r="MBN5749" s="31"/>
      <c r="MBO5749" s="909" t="s">
        <v>0</v>
      </c>
      <c r="MBP5749" s="909"/>
      <c r="MBQ5749" s="909"/>
      <c r="MBR5749" s="909"/>
      <c r="MBS5749" s="909"/>
      <c r="MBT5749" s="909"/>
      <c r="MBU5749" s="907" t="s">
        <v>79</v>
      </c>
      <c r="MBV5749" s="909" t="s">
        <v>68</v>
      </c>
      <c r="MBW5749" s="910" t="s">
        <v>75</v>
      </c>
      <c r="MBX5749" s="911"/>
      <c r="MBY5749" s="911"/>
      <c r="MBZ5749" s="911"/>
      <c r="MCA5749" s="911"/>
      <c r="MCB5749" s="911"/>
      <c r="MCC5749" s="911"/>
      <c r="MCD5749" s="911"/>
      <c r="MCE5749" s="911"/>
      <c r="MCF5749" s="911"/>
      <c r="MCG5749" s="32"/>
      <c r="MCH5749" s="911" t="s">
        <v>74</v>
      </c>
      <c r="MCI5749" s="911"/>
      <c r="MCJ5749" s="911"/>
      <c r="MCK5749" s="911"/>
      <c r="MCL5749" s="911"/>
      <c r="MCM5749" s="911"/>
      <c r="MCN5749" s="911"/>
      <c r="MCO5749" s="911"/>
      <c r="MCP5749" s="911"/>
      <c r="MCQ5749" s="912"/>
      <c r="MCS5749" s="913" t="s">
        <v>1</v>
      </c>
      <c r="MCT5749" s="31"/>
      <c r="MCU5749" s="909" t="s">
        <v>0</v>
      </c>
      <c r="MCV5749" s="909"/>
      <c r="MCW5749" s="909"/>
      <c r="MCX5749" s="909"/>
      <c r="MCY5749" s="909"/>
      <c r="MCZ5749" s="909"/>
      <c r="MDA5749" s="907" t="s">
        <v>79</v>
      </c>
      <c r="MDB5749" s="909" t="s">
        <v>68</v>
      </c>
      <c r="MDC5749" s="910" t="s">
        <v>75</v>
      </c>
      <c r="MDD5749" s="911"/>
      <c r="MDE5749" s="911"/>
      <c r="MDF5749" s="911"/>
      <c r="MDG5749" s="911"/>
      <c r="MDH5749" s="911"/>
      <c r="MDI5749" s="911"/>
      <c r="MDJ5749" s="911"/>
      <c r="MDK5749" s="911"/>
      <c r="MDL5749" s="911"/>
      <c r="MDM5749" s="32"/>
      <c r="MDN5749" s="911" t="s">
        <v>74</v>
      </c>
      <c r="MDO5749" s="911"/>
      <c r="MDP5749" s="911"/>
      <c r="MDQ5749" s="911"/>
      <c r="MDR5749" s="911"/>
      <c r="MDS5749" s="911"/>
      <c r="MDT5749" s="911"/>
      <c r="MDU5749" s="911"/>
      <c r="MDV5749" s="911"/>
      <c r="MDW5749" s="912"/>
      <c r="MDY5749" s="913" t="s">
        <v>1</v>
      </c>
      <c r="MDZ5749" s="31"/>
      <c r="MEA5749" s="909" t="s">
        <v>0</v>
      </c>
      <c r="MEB5749" s="909"/>
      <c r="MEC5749" s="909"/>
      <c r="MED5749" s="909"/>
      <c r="MEE5749" s="909"/>
      <c r="MEF5749" s="909"/>
      <c r="MEG5749" s="907" t="s">
        <v>79</v>
      </c>
      <c r="MEH5749" s="909" t="s">
        <v>68</v>
      </c>
      <c r="MEI5749" s="910" t="s">
        <v>75</v>
      </c>
      <c r="MEJ5749" s="911"/>
      <c r="MEK5749" s="911"/>
      <c r="MEL5749" s="911"/>
      <c r="MEM5749" s="911"/>
      <c r="MEN5749" s="911"/>
      <c r="MEO5749" s="911"/>
      <c r="MEP5749" s="911"/>
      <c r="MEQ5749" s="911"/>
      <c r="MER5749" s="911"/>
      <c r="MES5749" s="32"/>
      <c r="MET5749" s="911" t="s">
        <v>74</v>
      </c>
      <c r="MEU5749" s="911"/>
      <c r="MEV5749" s="911"/>
      <c r="MEW5749" s="911"/>
      <c r="MEX5749" s="911"/>
      <c r="MEY5749" s="911"/>
      <c r="MEZ5749" s="911"/>
      <c r="MFA5749" s="911"/>
      <c r="MFB5749" s="911"/>
      <c r="MFC5749" s="912"/>
      <c r="MFE5749" s="913" t="s">
        <v>1</v>
      </c>
      <c r="MFF5749" s="31"/>
      <c r="MFG5749" s="909" t="s">
        <v>0</v>
      </c>
      <c r="MFH5749" s="909"/>
      <c r="MFI5749" s="909"/>
      <c r="MFJ5749" s="909"/>
      <c r="MFK5749" s="909"/>
      <c r="MFL5749" s="909"/>
      <c r="MFM5749" s="907" t="s">
        <v>79</v>
      </c>
      <c r="MFN5749" s="909" t="s">
        <v>68</v>
      </c>
      <c r="MFO5749" s="910" t="s">
        <v>75</v>
      </c>
      <c r="MFP5749" s="911"/>
      <c r="MFQ5749" s="911"/>
      <c r="MFR5749" s="911"/>
      <c r="MFS5749" s="911"/>
      <c r="MFT5749" s="911"/>
      <c r="MFU5749" s="911"/>
      <c r="MFV5749" s="911"/>
      <c r="MFW5749" s="911"/>
      <c r="MFX5749" s="911"/>
      <c r="MFY5749" s="32"/>
      <c r="MFZ5749" s="911" t="s">
        <v>74</v>
      </c>
      <c r="MGA5749" s="911"/>
      <c r="MGB5749" s="911"/>
      <c r="MGC5749" s="911"/>
      <c r="MGD5749" s="911"/>
      <c r="MGE5749" s="911"/>
      <c r="MGF5749" s="911"/>
      <c r="MGG5749" s="911"/>
      <c r="MGH5749" s="911"/>
      <c r="MGI5749" s="912"/>
      <c r="MGK5749" s="913" t="s">
        <v>1</v>
      </c>
      <c r="MGL5749" s="31"/>
      <c r="MGM5749" s="909" t="s">
        <v>0</v>
      </c>
      <c r="MGN5749" s="909"/>
      <c r="MGO5749" s="909"/>
      <c r="MGP5749" s="909"/>
      <c r="MGQ5749" s="909"/>
      <c r="MGR5749" s="909"/>
      <c r="MGS5749" s="907" t="s">
        <v>79</v>
      </c>
      <c r="MGT5749" s="909" t="s">
        <v>68</v>
      </c>
      <c r="MGU5749" s="910" t="s">
        <v>75</v>
      </c>
      <c r="MGV5749" s="911"/>
      <c r="MGW5749" s="911"/>
      <c r="MGX5749" s="911"/>
      <c r="MGY5749" s="911"/>
      <c r="MGZ5749" s="911"/>
      <c r="MHA5749" s="911"/>
      <c r="MHB5749" s="911"/>
      <c r="MHC5749" s="911"/>
      <c r="MHD5749" s="911"/>
      <c r="MHE5749" s="32"/>
      <c r="MHF5749" s="911" t="s">
        <v>74</v>
      </c>
      <c r="MHG5749" s="911"/>
      <c r="MHH5749" s="911"/>
      <c r="MHI5749" s="911"/>
      <c r="MHJ5749" s="911"/>
      <c r="MHK5749" s="911"/>
      <c r="MHL5749" s="911"/>
      <c r="MHM5749" s="911"/>
      <c r="MHN5749" s="911"/>
      <c r="MHO5749" s="912"/>
      <c r="MHQ5749" s="913" t="s">
        <v>1</v>
      </c>
      <c r="MHR5749" s="31"/>
      <c r="MHS5749" s="909" t="s">
        <v>0</v>
      </c>
      <c r="MHT5749" s="909"/>
      <c r="MHU5749" s="909"/>
      <c r="MHV5749" s="909"/>
      <c r="MHW5749" s="909"/>
      <c r="MHX5749" s="909"/>
      <c r="MHY5749" s="907" t="s">
        <v>79</v>
      </c>
      <c r="MHZ5749" s="909" t="s">
        <v>68</v>
      </c>
      <c r="MIA5749" s="910" t="s">
        <v>75</v>
      </c>
      <c r="MIB5749" s="911"/>
      <c r="MIC5749" s="911"/>
      <c r="MID5749" s="911"/>
      <c r="MIE5749" s="911"/>
      <c r="MIF5749" s="911"/>
      <c r="MIG5749" s="911"/>
      <c r="MIH5749" s="911"/>
      <c r="MII5749" s="911"/>
      <c r="MIJ5749" s="911"/>
      <c r="MIK5749" s="32"/>
      <c r="MIL5749" s="911" t="s">
        <v>74</v>
      </c>
      <c r="MIM5749" s="911"/>
      <c r="MIN5749" s="911"/>
      <c r="MIO5749" s="911"/>
      <c r="MIP5749" s="911"/>
      <c r="MIQ5749" s="911"/>
      <c r="MIR5749" s="911"/>
      <c r="MIS5749" s="911"/>
      <c r="MIT5749" s="911"/>
      <c r="MIU5749" s="912"/>
      <c r="MIW5749" s="913" t="s">
        <v>1</v>
      </c>
      <c r="MIX5749" s="31"/>
      <c r="MIY5749" s="909" t="s">
        <v>0</v>
      </c>
      <c r="MIZ5749" s="909"/>
      <c r="MJA5749" s="909"/>
      <c r="MJB5749" s="909"/>
      <c r="MJC5749" s="909"/>
      <c r="MJD5749" s="909"/>
      <c r="MJE5749" s="907" t="s">
        <v>79</v>
      </c>
      <c r="MJF5749" s="909" t="s">
        <v>68</v>
      </c>
      <c r="MJG5749" s="910" t="s">
        <v>75</v>
      </c>
      <c r="MJH5749" s="911"/>
      <c r="MJI5749" s="911"/>
      <c r="MJJ5749" s="911"/>
      <c r="MJK5749" s="911"/>
      <c r="MJL5749" s="911"/>
      <c r="MJM5749" s="911"/>
      <c r="MJN5749" s="911"/>
      <c r="MJO5749" s="911"/>
      <c r="MJP5749" s="911"/>
      <c r="MJQ5749" s="32"/>
      <c r="MJR5749" s="911" t="s">
        <v>74</v>
      </c>
      <c r="MJS5749" s="911"/>
      <c r="MJT5749" s="911"/>
      <c r="MJU5749" s="911"/>
      <c r="MJV5749" s="911"/>
      <c r="MJW5749" s="911"/>
      <c r="MJX5749" s="911"/>
      <c r="MJY5749" s="911"/>
      <c r="MJZ5749" s="911"/>
      <c r="MKA5749" s="912"/>
      <c r="MKC5749" s="913" t="s">
        <v>1</v>
      </c>
      <c r="MKD5749" s="31"/>
      <c r="MKE5749" s="909" t="s">
        <v>0</v>
      </c>
      <c r="MKF5749" s="909"/>
      <c r="MKG5749" s="909"/>
      <c r="MKH5749" s="909"/>
      <c r="MKI5749" s="909"/>
      <c r="MKJ5749" s="909"/>
      <c r="MKK5749" s="907" t="s">
        <v>79</v>
      </c>
      <c r="MKL5749" s="909" t="s">
        <v>68</v>
      </c>
      <c r="MKM5749" s="910" t="s">
        <v>75</v>
      </c>
      <c r="MKN5749" s="911"/>
      <c r="MKO5749" s="911"/>
      <c r="MKP5749" s="911"/>
      <c r="MKQ5749" s="911"/>
      <c r="MKR5749" s="911"/>
      <c r="MKS5749" s="911"/>
      <c r="MKT5749" s="911"/>
      <c r="MKU5749" s="911"/>
      <c r="MKV5749" s="911"/>
      <c r="MKW5749" s="32"/>
      <c r="MKX5749" s="911" t="s">
        <v>74</v>
      </c>
      <c r="MKY5749" s="911"/>
      <c r="MKZ5749" s="911"/>
      <c r="MLA5749" s="911"/>
      <c r="MLB5749" s="911"/>
      <c r="MLC5749" s="911"/>
      <c r="MLD5749" s="911"/>
      <c r="MLE5749" s="911"/>
      <c r="MLF5749" s="911"/>
      <c r="MLG5749" s="912"/>
      <c r="MLI5749" s="913" t="s">
        <v>1</v>
      </c>
      <c r="MLJ5749" s="31"/>
      <c r="MLK5749" s="909" t="s">
        <v>0</v>
      </c>
      <c r="MLL5749" s="909"/>
      <c r="MLM5749" s="909"/>
      <c r="MLN5749" s="909"/>
      <c r="MLO5749" s="909"/>
      <c r="MLP5749" s="909"/>
      <c r="MLQ5749" s="907" t="s">
        <v>79</v>
      </c>
      <c r="MLR5749" s="909" t="s">
        <v>68</v>
      </c>
      <c r="MLS5749" s="910" t="s">
        <v>75</v>
      </c>
      <c r="MLT5749" s="911"/>
      <c r="MLU5749" s="911"/>
      <c r="MLV5749" s="911"/>
      <c r="MLW5749" s="911"/>
      <c r="MLX5749" s="911"/>
      <c r="MLY5749" s="911"/>
      <c r="MLZ5749" s="911"/>
      <c r="MMA5749" s="911"/>
      <c r="MMB5749" s="911"/>
      <c r="MMC5749" s="32"/>
      <c r="MMD5749" s="911" t="s">
        <v>74</v>
      </c>
      <c r="MME5749" s="911"/>
      <c r="MMF5749" s="911"/>
      <c r="MMG5749" s="911"/>
      <c r="MMH5749" s="911"/>
      <c r="MMI5749" s="911"/>
      <c r="MMJ5749" s="911"/>
      <c r="MMK5749" s="911"/>
      <c r="MML5749" s="911"/>
      <c r="MMM5749" s="912"/>
      <c r="MMO5749" s="913" t="s">
        <v>1</v>
      </c>
      <c r="MMP5749" s="31"/>
      <c r="MMQ5749" s="909" t="s">
        <v>0</v>
      </c>
      <c r="MMR5749" s="909"/>
      <c r="MMS5749" s="909"/>
      <c r="MMT5749" s="909"/>
      <c r="MMU5749" s="909"/>
      <c r="MMV5749" s="909"/>
      <c r="MMW5749" s="907" t="s">
        <v>79</v>
      </c>
      <c r="MMX5749" s="909" t="s">
        <v>68</v>
      </c>
      <c r="MMY5749" s="910" t="s">
        <v>75</v>
      </c>
      <c r="MMZ5749" s="911"/>
      <c r="MNA5749" s="911"/>
      <c r="MNB5749" s="911"/>
      <c r="MNC5749" s="911"/>
      <c r="MND5749" s="911"/>
      <c r="MNE5749" s="911"/>
      <c r="MNF5749" s="911"/>
      <c r="MNG5749" s="911"/>
      <c r="MNH5749" s="911"/>
      <c r="MNI5749" s="32"/>
      <c r="MNJ5749" s="911" t="s">
        <v>74</v>
      </c>
      <c r="MNK5749" s="911"/>
      <c r="MNL5749" s="911"/>
      <c r="MNM5749" s="911"/>
      <c r="MNN5749" s="911"/>
      <c r="MNO5749" s="911"/>
      <c r="MNP5749" s="911"/>
      <c r="MNQ5749" s="911"/>
      <c r="MNR5749" s="911"/>
      <c r="MNS5749" s="912"/>
      <c r="MNU5749" s="913" t="s">
        <v>1</v>
      </c>
      <c r="MNV5749" s="31"/>
      <c r="MNW5749" s="909" t="s">
        <v>0</v>
      </c>
      <c r="MNX5749" s="909"/>
      <c r="MNY5749" s="909"/>
      <c r="MNZ5749" s="909"/>
      <c r="MOA5749" s="909"/>
      <c r="MOB5749" s="909"/>
      <c r="MOC5749" s="907" t="s">
        <v>79</v>
      </c>
      <c r="MOD5749" s="909" t="s">
        <v>68</v>
      </c>
      <c r="MOE5749" s="910" t="s">
        <v>75</v>
      </c>
      <c r="MOF5749" s="911"/>
      <c r="MOG5749" s="911"/>
      <c r="MOH5749" s="911"/>
      <c r="MOI5749" s="911"/>
      <c r="MOJ5749" s="911"/>
      <c r="MOK5749" s="911"/>
      <c r="MOL5749" s="911"/>
      <c r="MOM5749" s="911"/>
      <c r="MON5749" s="911"/>
      <c r="MOO5749" s="32"/>
      <c r="MOP5749" s="911" t="s">
        <v>74</v>
      </c>
      <c r="MOQ5749" s="911"/>
      <c r="MOR5749" s="911"/>
      <c r="MOS5749" s="911"/>
      <c r="MOT5749" s="911"/>
      <c r="MOU5749" s="911"/>
      <c r="MOV5749" s="911"/>
      <c r="MOW5749" s="911"/>
      <c r="MOX5749" s="911"/>
      <c r="MOY5749" s="912"/>
      <c r="MPA5749" s="913" t="s">
        <v>1</v>
      </c>
      <c r="MPB5749" s="31"/>
      <c r="MPC5749" s="909" t="s">
        <v>0</v>
      </c>
      <c r="MPD5749" s="909"/>
      <c r="MPE5749" s="909"/>
      <c r="MPF5749" s="909"/>
      <c r="MPG5749" s="909"/>
      <c r="MPH5749" s="909"/>
      <c r="MPI5749" s="907" t="s">
        <v>79</v>
      </c>
      <c r="MPJ5749" s="909" t="s">
        <v>68</v>
      </c>
      <c r="MPK5749" s="910" t="s">
        <v>75</v>
      </c>
      <c r="MPL5749" s="911"/>
      <c r="MPM5749" s="911"/>
      <c r="MPN5749" s="911"/>
      <c r="MPO5749" s="911"/>
      <c r="MPP5749" s="911"/>
      <c r="MPQ5749" s="911"/>
      <c r="MPR5749" s="911"/>
      <c r="MPS5749" s="911"/>
      <c r="MPT5749" s="911"/>
      <c r="MPU5749" s="32"/>
      <c r="MPV5749" s="911" t="s">
        <v>74</v>
      </c>
      <c r="MPW5749" s="911"/>
      <c r="MPX5749" s="911"/>
      <c r="MPY5749" s="911"/>
      <c r="MPZ5749" s="911"/>
      <c r="MQA5749" s="911"/>
      <c r="MQB5749" s="911"/>
      <c r="MQC5749" s="911"/>
      <c r="MQD5749" s="911"/>
      <c r="MQE5749" s="912"/>
      <c r="MQG5749" s="913" t="s">
        <v>1</v>
      </c>
      <c r="MQH5749" s="31"/>
      <c r="MQI5749" s="909" t="s">
        <v>0</v>
      </c>
      <c r="MQJ5749" s="909"/>
      <c r="MQK5749" s="909"/>
      <c r="MQL5749" s="909"/>
      <c r="MQM5749" s="909"/>
      <c r="MQN5749" s="909"/>
      <c r="MQO5749" s="907" t="s">
        <v>79</v>
      </c>
      <c r="MQP5749" s="909" t="s">
        <v>68</v>
      </c>
      <c r="MQQ5749" s="910" t="s">
        <v>75</v>
      </c>
      <c r="MQR5749" s="911"/>
      <c r="MQS5749" s="911"/>
      <c r="MQT5749" s="911"/>
      <c r="MQU5749" s="911"/>
      <c r="MQV5749" s="911"/>
      <c r="MQW5749" s="911"/>
      <c r="MQX5749" s="911"/>
      <c r="MQY5749" s="911"/>
      <c r="MQZ5749" s="911"/>
      <c r="MRA5749" s="32"/>
      <c r="MRB5749" s="911" t="s">
        <v>74</v>
      </c>
      <c r="MRC5749" s="911"/>
      <c r="MRD5749" s="911"/>
      <c r="MRE5749" s="911"/>
      <c r="MRF5749" s="911"/>
      <c r="MRG5749" s="911"/>
      <c r="MRH5749" s="911"/>
      <c r="MRI5749" s="911"/>
      <c r="MRJ5749" s="911"/>
      <c r="MRK5749" s="912"/>
      <c r="MRM5749" s="913" t="s">
        <v>1</v>
      </c>
      <c r="MRN5749" s="31"/>
      <c r="MRO5749" s="909" t="s">
        <v>0</v>
      </c>
      <c r="MRP5749" s="909"/>
      <c r="MRQ5749" s="909"/>
      <c r="MRR5749" s="909"/>
      <c r="MRS5749" s="909"/>
      <c r="MRT5749" s="909"/>
      <c r="MRU5749" s="907" t="s">
        <v>79</v>
      </c>
      <c r="MRV5749" s="909" t="s">
        <v>68</v>
      </c>
      <c r="MRW5749" s="910" t="s">
        <v>75</v>
      </c>
      <c r="MRX5749" s="911"/>
      <c r="MRY5749" s="911"/>
      <c r="MRZ5749" s="911"/>
      <c r="MSA5749" s="911"/>
      <c r="MSB5749" s="911"/>
      <c r="MSC5749" s="911"/>
      <c r="MSD5749" s="911"/>
      <c r="MSE5749" s="911"/>
      <c r="MSF5749" s="911"/>
      <c r="MSG5749" s="32"/>
      <c r="MSH5749" s="911" t="s">
        <v>74</v>
      </c>
      <c r="MSI5749" s="911"/>
      <c r="MSJ5749" s="911"/>
      <c r="MSK5749" s="911"/>
      <c r="MSL5749" s="911"/>
      <c r="MSM5749" s="911"/>
      <c r="MSN5749" s="911"/>
      <c r="MSO5749" s="911"/>
      <c r="MSP5749" s="911"/>
      <c r="MSQ5749" s="912"/>
      <c r="MSS5749" s="913" t="s">
        <v>1</v>
      </c>
      <c r="MST5749" s="31"/>
      <c r="MSU5749" s="909" t="s">
        <v>0</v>
      </c>
      <c r="MSV5749" s="909"/>
      <c r="MSW5749" s="909"/>
      <c r="MSX5749" s="909"/>
      <c r="MSY5749" s="909"/>
      <c r="MSZ5749" s="909"/>
      <c r="MTA5749" s="907" t="s">
        <v>79</v>
      </c>
      <c r="MTB5749" s="909" t="s">
        <v>68</v>
      </c>
      <c r="MTC5749" s="910" t="s">
        <v>75</v>
      </c>
      <c r="MTD5749" s="911"/>
      <c r="MTE5749" s="911"/>
      <c r="MTF5749" s="911"/>
      <c r="MTG5749" s="911"/>
      <c r="MTH5749" s="911"/>
      <c r="MTI5749" s="911"/>
      <c r="MTJ5749" s="911"/>
      <c r="MTK5749" s="911"/>
      <c r="MTL5749" s="911"/>
      <c r="MTM5749" s="32"/>
      <c r="MTN5749" s="911" t="s">
        <v>74</v>
      </c>
      <c r="MTO5749" s="911"/>
      <c r="MTP5749" s="911"/>
      <c r="MTQ5749" s="911"/>
      <c r="MTR5749" s="911"/>
      <c r="MTS5749" s="911"/>
      <c r="MTT5749" s="911"/>
      <c r="MTU5749" s="911"/>
      <c r="MTV5749" s="911"/>
      <c r="MTW5749" s="912"/>
      <c r="MTY5749" s="913" t="s">
        <v>1</v>
      </c>
      <c r="MTZ5749" s="31"/>
      <c r="MUA5749" s="909" t="s">
        <v>0</v>
      </c>
      <c r="MUB5749" s="909"/>
      <c r="MUC5749" s="909"/>
      <c r="MUD5749" s="909"/>
      <c r="MUE5749" s="909"/>
      <c r="MUF5749" s="909"/>
      <c r="MUG5749" s="907" t="s">
        <v>79</v>
      </c>
      <c r="MUH5749" s="909" t="s">
        <v>68</v>
      </c>
      <c r="MUI5749" s="910" t="s">
        <v>75</v>
      </c>
      <c r="MUJ5749" s="911"/>
      <c r="MUK5749" s="911"/>
      <c r="MUL5749" s="911"/>
      <c r="MUM5749" s="911"/>
      <c r="MUN5749" s="911"/>
      <c r="MUO5749" s="911"/>
      <c r="MUP5749" s="911"/>
      <c r="MUQ5749" s="911"/>
      <c r="MUR5749" s="911"/>
      <c r="MUS5749" s="32"/>
      <c r="MUT5749" s="911" t="s">
        <v>74</v>
      </c>
      <c r="MUU5749" s="911"/>
      <c r="MUV5749" s="911"/>
      <c r="MUW5749" s="911"/>
      <c r="MUX5749" s="911"/>
      <c r="MUY5749" s="911"/>
      <c r="MUZ5749" s="911"/>
      <c r="MVA5749" s="911"/>
      <c r="MVB5749" s="911"/>
      <c r="MVC5749" s="912"/>
      <c r="MVE5749" s="913" t="s">
        <v>1</v>
      </c>
      <c r="MVF5749" s="31"/>
      <c r="MVG5749" s="909" t="s">
        <v>0</v>
      </c>
      <c r="MVH5749" s="909"/>
      <c r="MVI5749" s="909"/>
      <c r="MVJ5749" s="909"/>
      <c r="MVK5749" s="909"/>
      <c r="MVL5749" s="909"/>
      <c r="MVM5749" s="907" t="s">
        <v>79</v>
      </c>
      <c r="MVN5749" s="909" t="s">
        <v>68</v>
      </c>
      <c r="MVO5749" s="910" t="s">
        <v>75</v>
      </c>
      <c r="MVP5749" s="911"/>
      <c r="MVQ5749" s="911"/>
      <c r="MVR5749" s="911"/>
      <c r="MVS5749" s="911"/>
      <c r="MVT5749" s="911"/>
      <c r="MVU5749" s="911"/>
      <c r="MVV5749" s="911"/>
      <c r="MVW5749" s="911"/>
      <c r="MVX5749" s="911"/>
      <c r="MVY5749" s="32"/>
      <c r="MVZ5749" s="911" t="s">
        <v>74</v>
      </c>
      <c r="MWA5749" s="911"/>
      <c r="MWB5749" s="911"/>
      <c r="MWC5749" s="911"/>
      <c r="MWD5749" s="911"/>
      <c r="MWE5749" s="911"/>
      <c r="MWF5749" s="911"/>
      <c r="MWG5749" s="911"/>
      <c r="MWH5749" s="911"/>
      <c r="MWI5749" s="912"/>
      <c r="MWK5749" s="913" t="s">
        <v>1</v>
      </c>
      <c r="MWL5749" s="31"/>
      <c r="MWM5749" s="909" t="s">
        <v>0</v>
      </c>
      <c r="MWN5749" s="909"/>
      <c r="MWO5749" s="909"/>
      <c r="MWP5749" s="909"/>
      <c r="MWQ5749" s="909"/>
      <c r="MWR5749" s="909"/>
      <c r="MWS5749" s="907" t="s">
        <v>79</v>
      </c>
      <c r="MWT5749" s="909" t="s">
        <v>68</v>
      </c>
      <c r="MWU5749" s="910" t="s">
        <v>75</v>
      </c>
      <c r="MWV5749" s="911"/>
      <c r="MWW5749" s="911"/>
      <c r="MWX5749" s="911"/>
      <c r="MWY5749" s="911"/>
      <c r="MWZ5749" s="911"/>
      <c r="MXA5749" s="911"/>
      <c r="MXB5749" s="911"/>
      <c r="MXC5749" s="911"/>
      <c r="MXD5749" s="911"/>
      <c r="MXE5749" s="32"/>
      <c r="MXF5749" s="911" t="s">
        <v>74</v>
      </c>
      <c r="MXG5749" s="911"/>
      <c r="MXH5749" s="911"/>
      <c r="MXI5749" s="911"/>
      <c r="MXJ5749" s="911"/>
      <c r="MXK5749" s="911"/>
      <c r="MXL5749" s="911"/>
      <c r="MXM5749" s="911"/>
      <c r="MXN5749" s="911"/>
      <c r="MXO5749" s="912"/>
      <c r="MXQ5749" s="913" t="s">
        <v>1</v>
      </c>
      <c r="MXR5749" s="31"/>
      <c r="MXS5749" s="909" t="s">
        <v>0</v>
      </c>
      <c r="MXT5749" s="909"/>
      <c r="MXU5749" s="909"/>
      <c r="MXV5749" s="909"/>
      <c r="MXW5749" s="909"/>
      <c r="MXX5749" s="909"/>
      <c r="MXY5749" s="907" t="s">
        <v>79</v>
      </c>
      <c r="MXZ5749" s="909" t="s">
        <v>68</v>
      </c>
      <c r="MYA5749" s="910" t="s">
        <v>75</v>
      </c>
      <c r="MYB5749" s="911"/>
      <c r="MYC5749" s="911"/>
      <c r="MYD5749" s="911"/>
      <c r="MYE5749" s="911"/>
      <c r="MYF5749" s="911"/>
      <c r="MYG5749" s="911"/>
      <c r="MYH5749" s="911"/>
      <c r="MYI5749" s="911"/>
      <c r="MYJ5749" s="911"/>
      <c r="MYK5749" s="32"/>
      <c r="MYL5749" s="911" t="s">
        <v>74</v>
      </c>
      <c r="MYM5749" s="911"/>
      <c r="MYN5749" s="911"/>
      <c r="MYO5749" s="911"/>
      <c r="MYP5749" s="911"/>
      <c r="MYQ5749" s="911"/>
      <c r="MYR5749" s="911"/>
      <c r="MYS5749" s="911"/>
      <c r="MYT5749" s="911"/>
      <c r="MYU5749" s="912"/>
      <c r="MYW5749" s="913" t="s">
        <v>1</v>
      </c>
      <c r="MYX5749" s="31"/>
      <c r="MYY5749" s="909" t="s">
        <v>0</v>
      </c>
      <c r="MYZ5749" s="909"/>
      <c r="MZA5749" s="909"/>
      <c r="MZB5749" s="909"/>
      <c r="MZC5749" s="909"/>
      <c r="MZD5749" s="909"/>
      <c r="MZE5749" s="907" t="s">
        <v>79</v>
      </c>
      <c r="MZF5749" s="909" t="s">
        <v>68</v>
      </c>
      <c r="MZG5749" s="910" t="s">
        <v>75</v>
      </c>
      <c r="MZH5749" s="911"/>
      <c r="MZI5749" s="911"/>
      <c r="MZJ5749" s="911"/>
      <c r="MZK5749" s="911"/>
      <c r="MZL5749" s="911"/>
      <c r="MZM5749" s="911"/>
      <c r="MZN5749" s="911"/>
      <c r="MZO5749" s="911"/>
      <c r="MZP5749" s="911"/>
      <c r="MZQ5749" s="32"/>
      <c r="MZR5749" s="911" t="s">
        <v>74</v>
      </c>
      <c r="MZS5749" s="911"/>
      <c r="MZT5749" s="911"/>
      <c r="MZU5749" s="911"/>
      <c r="MZV5749" s="911"/>
      <c r="MZW5749" s="911"/>
      <c r="MZX5749" s="911"/>
      <c r="MZY5749" s="911"/>
      <c r="MZZ5749" s="911"/>
      <c r="NAA5749" s="912"/>
      <c r="NAC5749" s="913" t="s">
        <v>1</v>
      </c>
      <c r="NAD5749" s="31"/>
      <c r="NAE5749" s="909" t="s">
        <v>0</v>
      </c>
      <c r="NAF5749" s="909"/>
      <c r="NAG5749" s="909"/>
      <c r="NAH5749" s="909"/>
      <c r="NAI5749" s="909"/>
      <c r="NAJ5749" s="909"/>
      <c r="NAK5749" s="907" t="s">
        <v>79</v>
      </c>
      <c r="NAL5749" s="909" t="s">
        <v>68</v>
      </c>
      <c r="NAM5749" s="910" t="s">
        <v>75</v>
      </c>
      <c r="NAN5749" s="911"/>
      <c r="NAO5749" s="911"/>
      <c r="NAP5749" s="911"/>
      <c r="NAQ5749" s="911"/>
      <c r="NAR5749" s="911"/>
      <c r="NAS5749" s="911"/>
      <c r="NAT5749" s="911"/>
      <c r="NAU5749" s="911"/>
      <c r="NAV5749" s="911"/>
      <c r="NAW5749" s="32"/>
      <c r="NAX5749" s="911" t="s">
        <v>74</v>
      </c>
      <c r="NAY5749" s="911"/>
      <c r="NAZ5749" s="911"/>
      <c r="NBA5749" s="911"/>
      <c r="NBB5749" s="911"/>
      <c r="NBC5749" s="911"/>
      <c r="NBD5749" s="911"/>
      <c r="NBE5749" s="911"/>
      <c r="NBF5749" s="911"/>
      <c r="NBG5749" s="912"/>
      <c r="NBI5749" s="913" t="s">
        <v>1</v>
      </c>
      <c r="NBJ5749" s="31"/>
      <c r="NBK5749" s="909" t="s">
        <v>0</v>
      </c>
      <c r="NBL5749" s="909"/>
      <c r="NBM5749" s="909"/>
      <c r="NBN5749" s="909"/>
      <c r="NBO5749" s="909"/>
      <c r="NBP5749" s="909"/>
      <c r="NBQ5749" s="907" t="s">
        <v>79</v>
      </c>
      <c r="NBR5749" s="909" t="s">
        <v>68</v>
      </c>
      <c r="NBS5749" s="910" t="s">
        <v>75</v>
      </c>
      <c r="NBT5749" s="911"/>
      <c r="NBU5749" s="911"/>
      <c r="NBV5749" s="911"/>
      <c r="NBW5749" s="911"/>
      <c r="NBX5749" s="911"/>
      <c r="NBY5749" s="911"/>
      <c r="NBZ5749" s="911"/>
      <c r="NCA5749" s="911"/>
      <c r="NCB5749" s="911"/>
      <c r="NCC5749" s="32"/>
      <c r="NCD5749" s="911" t="s">
        <v>74</v>
      </c>
      <c r="NCE5749" s="911"/>
      <c r="NCF5749" s="911"/>
      <c r="NCG5749" s="911"/>
      <c r="NCH5749" s="911"/>
      <c r="NCI5749" s="911"/>
      <c r="NCJ5749" s="911"/>
      <c r="NCK5749" s="911"/>
      <c r="NCL5749" s="911"/>
      <c r="NCM5749" s="912"/>
      <c r="NCO5749" s="913" t="s">
        <v>1</v>
      </c>
      <c r="NCP5749" s="31"/>
      <c r="NCQ5749" s="909" t="s">
        <v>0</v>
      </c>
      <c r="NCR5749" s="909"/>
      <c r="NCS5749" s="909"/>
      <c r="NCT5749" s="909"/>
      <c r="NCU5749" s="909"/>
      <c r="NCV5749" s="909"/>
      <c r="NCW5749" s="907" t="s">
        <v>79</v>
      </c>
      <c r="NCX5749" s="909" t="s">
        <v>68</v>
      </c>
      <c r="NCY5749" s="910" t="s">
        <v>75</v>
      </c>
      <c r="NCZ5749" s="911"/>
      <c r="NDA5749" s="911"/>
      <c r="NDB5749" s="911"/>
      <c r="NDC5749" s="911"/>
      <c r="NDD5749" s="911"/>
      <c r="NDE5749" s="911"/>
      <c r="NDF5749" s="911"/>
      <c r="NDG5749" s="911"/>
      <c r="NDH5749" s="911"/>
      <c r="NDI5749" s="32"/>
      <c r="NDJ5749" s="911" t="s">
        <v>74</v>
      </c>
      <c r="NDK5749" s="911"/>
      <c r="NDL5749" s="911"/>
      <c r="NDM5749" s="911"/>
      <c r="NDN5749" s="911"/>
      <c r="NDO5749" s="911"/>
      <c r="NDP5749" s="911"/>
      <c r="NDQ5749" s="911"/>
      <c r="NDR5749" s="911"/>
      <c r="NDS5749" s="912"/>
      <c r="NDU5749" s="913" t="s">
        <v>1</v>
      </c>
      <c r="NDV5749" s="31"/>
      <c r="NDW5749" s="909" t="s">
        <v>0</v>
      </c>
      <c r="NDX5749" s="909"/>
      <c r="NDY5749" s="909"/>
      <c r="NDZ5749" s="909"/>
      <c r="NEA5749" s="909"/>
      <c r="NEB5749" s="909"/>
      <c r="NEC5749" s="907" t="s">
        <v>79</v>
      </c>
      <c r="NED5749" s="909" t="s">
        <v>68</v>
      </c>
      <c r="NEE5749" s="910" t="s">
        <v>75</v>
      </c>
      <c r="NEF5749" s="911"/>
      <c r="NEG5749" s="911"/>
      <c r="NEH5749" s="911"/>
      <c r="NEI5749" s="911"/>
      <c r="NEJ5749" s="911"/>
      <c r="NEK5749" s="911"/>
      <c r="NEL5749" s="911"/>
      <c r="NEM5749" s="911"/>
      <c r="NEN5749" s="911"/>
      <c r="NEO5749" s="32"/>
      <c r="NEP5749" s="911" t="s">
        <v>74</v>
      </c>
      <c r="NEQ5749" s="911"/>
      <c r="NER5749" s="911"/>
      <c r="NES5749" s="911"/>
      <c r="NET5749" s="911"/>
      <c r="NEU5749" s="911"/>
      <c r="NEV5749" s="911"/>
      <c r="NEW5749" s="911"/>
      <c r="NEX5749" s="911"/>
      <c r="NEY5749" s="912"/>
      <c r="NFA5749" s="913" t="s">
        <v>1</v>
      </c>
      <c r="NFB5749" s="31"/>
      <c r="NFC5749" s="909" t="s">
        <v>0</v>
      </c>
      <c r="NFD5749" s="909"/>
      <c r="NFE5749" s="909"/>
      <c r="NFF5749" s="909"/>
      <c r="NFG5749" s="909"/>
      <c r="NFH5749" s="909"/>
      <c r="NFI5749" s="907" t="s">
        <v>79</v>
      </c>
      <c r="NFJ5749" s="909" t="s">
        <v>68</v>
      </c>
      <c r="NFK5749" s="910" t="s">
        <v>75</v>
      </c>
      <c r="NFL5749" s="911"/>
      <c r="NFM5749" s="911"/>
      <c r="NFN5749" s="911"/>
      <c r="NFO5749" s="911"/>
      <c r="NFP5749" s="911"/>
      <c r="NFQ5749" s="911"/>
      <c r="NFR5749" s="911"/>
      <c r="NFS5749" s="911"/>
      <c r="NFT5749" s="911"/>
      <c r="NFU5749" s="32"/>
      <c r="NFV5749" s="911" t="s">
        <v>74</v>
      </c>
      <c r="NFW5749" s="911"/>
      <c r="NFX5749" s="911"/>
      <c r="NFY5749" s="911"/>
      <c r="NFZ5749" s="911"/>
      <c r="NGA5749" s="911"/>
      <c r="NGB5749" s="911"/>
      <c r="NGC5749" s="911"/>
      <c r="NGD5749" s="911"/>
      <c r="NGE5749" s="912"/>
      <c r="NGG5749" s="913" t="s">
        <v>1</v>
      </c>
      <c r="NGH5749" s="31"/>
      <c r="NGI5749" s="909" t="s">
        <v>0</v>
      </c>
      <c r="NGJ5749" s="909"/>
      <c r="NGK5749" s="909"/>
      <c r="NGL5749" s="909"/>
      <c r="NGM5749" s="909"/>
      <c r="NGN5749" s="909"/>
      <c r="NGO5749" s="907" t="s">
        <v>79</v>
      </c>
      <c r="NGP5749" s="909" t="s">
        <v>68</v>
      </c>
      <c r="NGQ5749" s="910" t="s">
        <v>75</v>
      </c>
      <c r="NGR5749" s="911"/>
      <c r="NGS5749" s="911"/>
      <c r="NGT5749" s="911"/>
      <c r="NGU5749" s="911"/>
      <c r="NGV5749" s="911"/>
      <c r="NGW5749" s="911"/>
      <c r="NGX5749" s="911"/>
      <c r="NGY5749" s="911"/>
      <c r="NGZ5749" s="911"/>
      <c r="NHA5749" s="32"/>
      <c r="NHB5749" s="911" t="s">
        <v>74</v>
      </c>
      <c r="NHC5749" s="911"/>
      <c r="NHD5749" s="911"/>
      <c r="NHE5749" s="911"/>
      <c r="NHF5749" s="911"/>
      <c r="NHG5749" s="911"/>
      <c r="NHH5749" s="911"/>
      <c r="NHI5749" s="911"/>
      <c r="NHJ5749" s="911"/>
      <c r="NHK5749" s="912"/>
      <c r="NHM5749" s="913" t="s">
        <v>1</v>
      </c>
      <c r="NHN5749" s="31"/>
      <c r="NHO5749" s="909" t="s">
        <v>0</v>
      </c>
      <c r="NHP5749" s="909"/>
      <c r="NHQ5749" s="909"/>
      <c r="NHR5749" s="909"/>
      <c r="NHS5749" s="909"/>
      <c r="NHT5749" s="909"/>
      <c r="NHU5749" s="907" t="s">
        <v>79</v>
      </c>
      <c r="NHV5749" s="909" t="s">
        <v>68</v>
      </c>
      <c r="NHW5749" s="910" t="s">
        <v>75</v>
      </c>
      <c r="NHX5749" s="911"/>
      <c r="NHY5749" s="911"/>
      <c r="NHZ5749" s="911"/>
      <c r="NIA5749" s="911"/>
      <c r="NIB5749" s="911"/>
      <c r="NIC5749" s="911"/>
      <c r="NID5749" s="911"/>
      <c r="NIE5749" s="911"/>
      <c r="NIF5749" s="911"/>
      <c r="NIG5749" s="32"/>
      <c r="NIH5749" s="911" t="s">
        <v>74</v>
      </c>
      <c r="NII5749" s="911"/>
      <c r="NIJ5749" s="911"/>
      <c r="NIK5749" s="911"/>
      <c r="NIL5749" s="911"/>
      <c r="NIM5749" s="911"/>
      <c r="NIN5749" s="911"/>
      <c r="NIO5749" s="911"/>
      <c r="NIP5749" s="911"/>
      <c r="NIQ5749" s="912"/>
      <c r="NIS5749" s="913" t="s">
        <v>1</v>
      </c>
      <c r="NIT5749" s="31"/>
      <c r="NIU5749" s="909" t="s">
        <v>0</v>
      </c>
      <c r="NIV5749" s="909"/>
      <c r="NIW5749" s="909"/>
      <c r="NIX5749" s="909"/>
      <c r="NIY5749" s="909"/>
      <c r="NIZ5749" s="909"/>
      <c r="NJA5749" s="907" t="s">
        <v>79</v>
      </c>
      <c r="NJB5749" s="909" t="s">
        <v>68</v>
      </c>
      <c r="NJC5749" s="910" t="s">
        <v>75</v>
      </c>
      <c r="NJD5749" s="911"/>
      <c r="NJE5749" s="911"/>
      <c r="NJF5749" s="911"/>
      <c r="NJG5749" s="911"/>
      <c r="NJH5749" s="911"/>
      <c r="NJI5749" s="911"/>
      <c r="NJJ5749" s="911"/>
      <c r="NJK5749" s="911"/>
      <c r="NJL5749" s="911"/>
      <c r="NJM5749" s="32"/>
      <c r="NJN5749" s="911" t="s">
        <v>74</v>
      </c>
      <c r="NJO5749" s="911"/>
      <c r="NJP5749" s="911"/>
      <c r="NJQ5749" s="911"/>
      <c r="NJR5749" s="911"/>
      <c r="NJS5749" s="911"/>
      <c r="NJT5749" s="911"/>
      <c r="NJU5749" s="911"/>
      <c r="NJV5749" s="911"/>
      <c r="NJW5749" s="912"/>
      <c r="NJY5749" s="913" t="s">
        <v>1</v>
      </c>
      <c r="NJZ5749" s="31"/>
      <c r="NKA5749" s="909" t="s">
        <v>0</v>
      </c>
      <c r="NKB5749" s="909"/>
      <c r="NKC5749" s="909"/>
      <c r="NKD5749" s="909"/>
      <c r="NKE5749" s="909"/>
      <c r="NKF5749" s="909"/>
      <c r="NKG5749" s="907" t="s">
        <v>79</v>
      </c>
      <c r="NKH5749" s="909" t="s">
        <v>68</v>
      </c>
      <c r="NKI5749" s="910" t="s">
        <v>75</v>
      </c>
      <c r="NKJ5749" s="911"/>
      <c r="NKK5749" s="911"/>
      <c r="NKL5749" s="911"/>
      <c r="NKM5749" s="911"/>
      <c r="NKN5749" s="911"/>
      <c r="NKO5749" s="911"/>
      <c r="NKP5749" s="911"/>
      <c r="NKQ5749" s="911"/>
      <c r="NKR5749" s="911"/>
      <c r="NKS5749" s="32"/>
      <c r="NKT5749" s="911" t="s">
        <v>74</v>
      </c>
      <c r="NKU5749" s="911"/>
      <c r="NKV5749" s="911"/>
      <c r="NKW5749" s="911"/>
      <c r="NKX5749" s="911"/>
      <c r="NKY5749" s="911"/>
      <c r="NKZ5749" s="911"/>
      <c r="NLA5749" s="911"/>
      <c r="NLB5749" s="911"/>
      <c r="NLC5749" s="912"/>
      <c r="NLE5749" s="913" t="s">
        <v>1</v>
      </c>
      <c r="NLF5749" s="31"/>
      <c r="NLG5749" s="909" t="s">
        <v>0</v>
      </c>
      <c r="NLH5749" s="909"/>
      <c r="NLI5749" s="909"/>
      <c r="NLJ5749" s="909"/>
      <c r="NLK5749" s="909"/>
      <c r="NLL5749" s="909"/>
      <c r="NLM5749" s="907" t="s">
        <v>79</v>
      </c>
      <c r="NLN5749" s="909" t="s">
        <v>68</v>
      </c>
      <c r="NLO5749" s="910" t="s">
        <v>75</v>
      </c>
      <c r="NLP5749" s="911"/>
      <c r="NLQ5749" s="911"/>
      <c r="NLR5749" s="911"/>
      <c r="NLS5749" s="911"/>
      <c r="NLT5749" s="911"/>
      <c r="NLU5749" s="911"/>
      <c r="NLV5749" s="911"/>
      <c r="NLW5749" s="911"/>
      <c r="NLX5749" s="911"/>
      <c r="NLY5749" s="32"/>
      <c r="NLZ5749" s="911" t="s">
        <v>74</v>
      </c>
      <c r="NMA5749" s="911"/>
      <c r="NMB5749" s="911"/>
      <c r="NMC5749" s="911"/>
      <c r="NMD5749" s="911"/>
      <c r="NME5749" s="911"/>
      <c r="NMF5749" s="911"/>
      <c r="NMG5749" s="911"/>
      <c r="NMH5749" s="911"/>
      <c r="NMI5749" s="912"/>
      <c r="NMK5749" s="913" t="s">
        <v>1</v>
      </c>
      <c r="NML5749" s="31"/>
      <c r="NMM5749" s="909" t="s">
        <v>0</v>
      </c>
      <c r="NMN5749" s="909"/>
      <c r="NMO5749" s="909"/>
      <c r="NMP5749" s="909"/>
      <c r="NMQ5749" s="909"/>
      <c r="NMR5749" s="909"/>
      <c r="NMS5749" s="907" t="s">
        <v>79</v>
      </c>
      <c r="NMT5749" s="909" t="s">
        <v>68</v>
      </c>
      <c r="NMU5749" s="910" t="s">
        <v>75</v>
      </c>
      <c r="NMV5749" s="911"/>
      <c r="NMW5749" s="911"/>
      <c r="NMX5749" s="911"/>
      <c r="NMY5749" s="911"/>
      <c r="NMZ5749" s="911"/>
      <c r="NNA5749" s="911"/>
      <c r="NNB5749" s="911"/>
      <c r="NNC5749" s="911"/>
      <c r="NND5749" s="911"/>
      <c r="NNE5749" s="32"/>
      <c r="NNF5749" s="911" t="s">
        <v>74</v>
      </c>
      <c r="NNG5749" s="911"/>
      <c r="NNH5749" s="911"/>
      <c r="NNI5749" s="911"/>
      <c r="NNJ5749" s="911"/>
      <c r="NNK5749" s="911"/>
      <c r="NNL5749" s="911"/>
      <c r="NNM5749" s="911"/>
      <c r="NNN5749" s="911"/>
      <c r="NNO5749" s="912"/>
      <c r="NNQ5749" s="913" t="s">
        <v>1</v>
      </c>
      <c r="NNR5749" s="31"/>
      <c r="NNS5749" s="909" t="s">
        <v>0</v>
      </c>
      <c r="NNT5749" s="909"/>
      <c r="NNU5749" s="909"/>
      <c r="NNV5749" s="909"/>
      <c r="NNW5749" s="909"/>
      <c r="NNX5749" s="909"/>
      <c r="NNY5749" s="907" t="s">
        <v>79</v>
      </c>
      <c r="NNZ5749" s="909" t="s">
        <v>68</v>
      </c>
      <c r="NOA5749" s="910" t="s">
        <v>75</v>
      </c>
      <c r="NOB5749" s="911"/>
      <c r="NOC5749" s="911"/>
      <c r="NOD5749" s="911"/>
      <c r="NOE5749" s="911"/>
      <c r="NOF5749" s="911"/>
      <c r="NOG5749" s="911"/>
      <c r="NOH5749" s="911"/>
      <c r="NOI5749" s="911"/>
      <c r="NOJ5749" s="911"/>
      <c r="NOK5749" s="32"/>
      <c r="NOL5749" s="911" t="s">
        <v>74</v>
      </c>
      <c r="NOM5749" s="911"/>
      <c r="NON5749" s="911"/>
      <c r="NOO5749" s="911"/>
      <c r="NOP5749" s="911"/>
      <c r="NOQ5749" s="911"/>
      <c r="NOR5749" s="911"/>
      <c r="NOS5749" s="911"/>
      <c r="NOT5749" s="911"/>
      <c r="NOU5749" s="912"/>
      <c r="NOW5749" s="913" t="s">
        <v>1</v>
      </c>
      <c r="NOX5749" s="31"/>
      <c r="NOY5749" s="909" t="s">
        <v>0</v>
      </c>
      <c r="NOZ5749" s="909"/>
      <c r="NPA5749" s="909"/>
      <c r="NPB5749" s="909"/>
      <c r="NPC5749" s="909"/>
      <c r="NPD5749" s="909"/>
      <c r="NPE5749" s="907" t="s">
        <v>79</v>
      </c>
      <c r="NPF5749" s="909" t="s">
        <v>68</v>
      </c>
      <c r="NPG5749" s="910" t="s">
        <v>75</v>
      </c>
      <c r="NPH5749" s="911"/>
      <c r="NPI5749" s="911"/>
      <c r="NPJ5749" s="911"/>
      <c r="NPK5749" s="911"/>
      <c r="NPL5749" s="911"/>
      <c r="NPM5749" s="911"/>
      <c r="NPN5749" s="911"/>
      <c r="NPO5749" s="911"/>
      <c r="NPP5749" s="911"/>
      <c r="NPQ5749" s="32"/>
      <c r="NPR5749" s="911" t="s">
        <v>74</v>
      </c>
      <c r="NPS5749" s="911"/>
      <c r="NPT5749" s="911"/>
      <c r="NPU5749" s="911"/>
      <c r="NPV5749" s="911"/>
      <c r="NPW5749" s="911"/>
      <c r="NPX5749" s="911"/>
      <c r="NPY5749" s="911"/>
      <c r="NPZ5749" s="911"/>
      <c r="NQA5749" s="912"/>
      <c r="NQC5749" s="913" t="s">
        <v>1</v>
      </c>
      <c r="NQD5749" s="31"/>
      <c r="NQE5749" s="909" t="s">
        <v>0</v>
      </c>
      <c r="NQF5749" s="909"/>
      <c r="NQG5749" s="909"/>
      <c r="NQH5749" s="909"/>
      <c r="NQI5749" s="909"/>
      <c r="NQJ5749" s="909"/>
      <c r="NQK5749" s="907" t="s">
        <v>79</v>
      </c>
      <c r="NQL5749" s="909" t="s">
        <v>68</v>
      </c>
      <c r="NQM5749" s="910" t="s">
        <v>75</v>
      </c>
      <c r="NQN5749" s="911"/>
      <c r="NQO5749" s="911"/>
      <c r="NQP5749" s="911"/>
      <c r="NQQ5749" s="911"/>
      <c r="NQR5749" s="911"/>
      <c r="NQS5749" s="911"/>
      <c r="NQT5749" s="911"/>
      <c r="NQU5749" s="911"/>
      <c r="NQV5749" s="911"/>
      <c r="NQW5749" s="32"/>
      <c r="NQX5749" s="911" t="s">
        <v>74</v>
      </c>
      <c r="NQY5749" s="911"/>
      <c r="NQZ5749" s="911"/>
      <c r="NRA5749" s="911"/>
      <c r="NRB5749" s="911"/>
      <c r="NRC5749" s="911"/>
      <c r="NRD5749" s="911"/>
      <c r="NRE5749" s="911"/>
      <c r="NRF5749" s="911"/>
      <c r="NRG5749" s="912"/>
      <c r="NRI5749" s="913" t="s">
        <v>1</v>
      </c>
      <c r="NRJ5749" s="31"/>
      <c r="NRK5749" s="909" t="s">
        <v>0</v>
      </c>
      <c r="NRL5749" s="909"/>
      <c r="NRM5749" s="909"/>
      <c r="NRN5749" s="909"/>
      <c r="NRO5749" s="909"/>
      <c r="NRP5749" s="909"/>
      <c r="NRQ5749" s="907" t="s">
        <v>79</v>
      </c>
      <c r="NRR5749" s="909" t="s">
        <v>68</v>
      </c>
      <c r="NRS5749" s="910" t="s">
        <v>75</v>
      </c>
      <c r="NRT5749" s="911"/>
      <c r="NRU5749" s="911"/>
      <c r="NRV5749" s="911"/>
      <c r="NRW5749" s="911"/>
      <c r="NRX5749" s="911"/>
      <c r="NRY5749" s="911"/>
      <c r="NRZ5749" s="911"/>
      <c r="NSA5749" s="911"/>
      <c r="NSB5749" s="911"/>
      <c r="NSC5749" s="32"/>
      <c r="NSD5749" s="911" t="s">
        <v>74</v>
      </c>
      <c r="NSE5749" s="911"/>
      <c r="NSF5749" s="911"/>
      <c r="NSG5749" s="911"/>
      <c r="NSH5749" s="911"/>
      <c r="NSI5749" s="911"/>
      <c r="NSJ5749" s="911"/>
      <c r="NSK5749" s="911"/>
      <c r="NSL5749" s="911"/>
      <c r="NSM5749" s="912"/>
      <c r="NSO5749" s="913" t="s">
        <v>1</v>
      </c>
      <c r="NSP5749" s="31"/>
      <c r="NSQ5749" s="909" t="s">
        <v>0</v>
      </c>
      <c r="NSR5749" s="909"/>
      <c r="NSS5749" s="909"/>
      <c r="NST5749" s="909"/>
      <c r="NSU5749" s="909"/>
      <c r="NSV5749" s="909"/>
      <c r="NSW5749" s="907" t="s">
        <v>79</v>
      </c>
      <c r="NSX5749" s="909" t="s">
        <v>68</v>
      </c>
      <c r="NSY5749" s="910" t="s">
        <v>75</v>
      </c>
      <c r="NSZ5749" s="911"/>
      <c r="NTA5749" s="911"/>
      <c r="NTB5749" s="911"/>
      <c r="NTC5749" s="911"/>
      <c r="NTD5749" s="911"/>
      <c r="NTE5749" s="911"/>
      <c r="NTF5749" s="911"/>
      <c r="NTG5749" s="911"/>
      <c r="NTH5749" s="911"/>
      <c r="NTI5749" s="32"/>
      <c r="NTJ5749" s="911" t="s">
        <v>74</v>
      </c>
      <c r="NTK5749" s="911"/>
      <c r="NTL5749" s="911"/>
      <c r="NTM5749" s="911"/>
      <c r="NTN5749" s="911"/>
      <c r="NTO5749" s="911"/>
      <c r="NTP5749" s="911"/>
      <c r="NTQ5749" s="911"/>
      <c r="NTR5749" s="911"/>
      <c r="NTS5749" s="912"/>
      <c r="NTU5749" s="913" t="s">
        <v>1</v>
      </c>
      <c r="NTV5749" s="31"/>
      <c r="NTW5749" s="909" t="s">
        <v>0</v>
      </c>
      <c r="NTX5749" s="909"/>
      <c r="NTY5749" s="909"/>
      <c r="NTZ5749" s="909"/>
      <c r="NUA5749" s="909"/>
      <c r="NUB5749" s="909"/>
      <c r="NUC5749" s="907" t="s">
        <v>79</v>
      </c>
      <c r="NUD5749" s="909" t="s">
        <v>68</v>
      </c>
      <c r="NUE5749" s="910" t="s">
        <v>75</v>
      </c>
      <c r="NUF5749" s="911"/>
      <c r="NUG5749" s="911"/>
      <c r="NUH5749" s="911"/>
      <c r="NUI5749" s="911"/>
      <c r="NUJ5749" s="911"/>
      <c r="NUK5749" s="911"/>
      <c r="NUL5749" s="911"/>
      <c r="NUM5749" s="911"/>
      <c r="NUN5749" s="911"/>
      <c r="NUO5749" s="32"/>
      <c r="NUP5749" s="911" t="s">
        <v>74</v>
      </c>
      <c r="NUQ5749" s="911"/>
      <c r="NUR5749" s="911"/>
      <c r="NUS5749" s="911"/>
      <c r="NUT5749" s="911"/>
      <c r="NUU5749" s="911"/>
      <c r="NUV5749" s="911"/>
      <c r="NUW5749" s="911"/>
      <c r="NUX5749" s="911"/>
      <c r="NUY5749" s="912"/>
      <c r="NVA5749" s="913" t="s">
        <v>1</v>
      </c>
      <c r="NVB5749" s="31"/>
      <c r="NVC5749" s="909" t="s">
        <v>0</v>
      </c>
      <c r="NVD5749" s="909"/>
      <c r="NVE5749" s="909"/>
      <c r="NVF5749" s="909"/>
      <c r="NVG5749" s="909"/>
      <c r="NVH5749" s="909"/>
      <c r="NVI5749" s="907" t="s">
        <v>79</v>
      </c>
      <c r="NVJ5749" s="909" t="s">
        <v>68</v>
      </c>
      <c r="NVK5749" s="910" t="s">
        <v>75</v>
      </c>
      <c r="NVL5749" s="911"/>
      <c r="NVM5749" s="911"/>
      <c r="NVN5749" s="911"/>
      <c r="NVO5749" s="911"/>
      <c r="NVP5749" s="911"/>
      <c r="NVQ5749" s="911"/>
      <c r="NVR5749" s="911"/>
      <c r="NVS5749" s="911"/>
      <c r="NVT5749" s="911"/>
      <c r="NVU5749" s="32"/>
      <c r="NVV5749" s="911" t="s">
        <v>74</v>
      </c>
      <c r="NVW5749" s="911"/>
      <c r="NVX5749" s="911"/>
      <c r="NVY5749" s="911"/>
      <c r="NVZ5749" s="911"/>
      <c r="NWA5749" s="911"/>
      <c r="NWB5749" s="911"/>
      <c r="NWC5749" s="911"/>
      <c r="NWD5749" s="911"/>
      <c r="NWE5749" s="912"/>
      <c r="NWG5749" s="913" t="s">
        <v>1</v>
      </c>
      <c r="NWH5749" s="31"/>
      <c r="NWI5749" s="909" t="s">
        <v>0</v>
      </c>
      <c r="NWJ5749" s="909"/>
      <c r="NWK5749" s="909"/>
      <c r="NWL5749" s="909"/>
      <c r="NWM5749" s="909"/>
      <c r="NWN5749" s="909"/>
      <c r="NWO5749" s="907" t="s">
        <v>79</v>
      </c>
      <c r="NWP5749" s="909" t="s">
        <v>68</v>
      </c>
      <c r="NWQ5749" s="910" t="s">
        <v>75</v>
      </c>
      <c r="NWR5749" s="911"/>
      <c r="NWS5749" s="911"/>
      <c r="NWT5749" s="911"/>
      <c r="NWU5749" s="911"/>
      <c r="NWV5749" s="911"/>
      <c r="NWW5749" s="911"/>
      <c r="NWX5749" s="911"/>
      <c r="NWY5749" s="911"/>
      <c r="NWZ5749" s="911"/>
      <c r="NXA5749" s="32"/>
      <c r="NXB5749" s="911" t="s">
        <v>74</v>
      </c>
      <c r="NXC5749" s="911"/>
      <c r="NXD5749" s="911"/>
      <c r="NXE5749" s="911"/>
      <c r="NXF5749" s="911"/>
      <c r="NXG5749" s="911"/>
      <c r="NXH5749" s="911"/>
      <c r="NXI5749" s="911"/>
      <c r="NXJ5749" s="911"/>
      <c r="NXK5749" s="912"/>
      <c r="NXM5749" s="913" t="s">
        <v>1</v>
      </c>
      <c r="NXN5749" s="31"/>
      <c r="NXO5749" s="909" t="s">
        <v>0</v>
      </c>
      <c r="NXP5749" s="909"/>
      <c r="NXQ5749" s="909"/>
      <c r="NXR5749" s="909"/>
      <c r="NXS5749" s="909"/>
      <c r="NXT5749" s="909"/>
      <c r="NXU5749" s="907" t="s">
        <v>79</v>
      </c>
      <c r="NXV5749" s="909" t="s">
        <v>68</v>
      </c>
      <c r="NXW5749" s="910" t="s">
        <v>75</v>
      </c>
      <c r="NXX5749" s="911"/>
      <c r="NXY5749" s="911"/>
      <c r="NXZ5749" s="911"/>
      <c r="NYA5749" s="911"/>
      <c r="NYB5749" s="911"/>
      <c r="NYC5749" s="911"/>
      <c r="NYD5749" s="911"/>
      <c r="NYE5749" s="911"/>
      <c r="NYF5749" s="911"/>
      <c r="NYG5749" s="32"/>
      <c r="NYH5749" s="911" t="s">
        <v>74</v>
      </c>
      <c r="NYI5749" s="911"/>
      <c r="NYJ5749" s="911"/>
      <c r="NYK5749" s="911"/>
      <c r="NYL5749" s="911"/>
      <c r="NYM5749" s="911"/>
      <c r="NYN5749" s="911"/>
      <c r="NYO5749" s="911"/>
      <c r="NYP5749" s="911"/>
      <c r="NYQ5749" s="912"/>
      <c r="NYS5749" s="913" t="s">
        <v>1</v>
      </c>
      <c r="NYT5749" s="31"/>
      <c r="NYU5749" s="909" t="s">
        <v>0</v>
      </c>
      <c r="NYV5749" s="909"/>
      <c r="NYW5749" s="909"/>
      <c r="NYX5749" s="909"/>
      <c r="NYY5749" s="909"/>
      <c r="NYZ5749" s="909"/>
      <c r="NZA5749" s="907" t="s">
        <v>79</v>
      </c>
      <c r="NZB5749" s="909" t="s">
        <v>68</v>
      </c>
      <c r="NZC5749" s="910" t="s">
        <v>75</v>
      </c>
      <c r="NZD5749" s="911"/>
      <c r="NZE5749" s="911"/>
      <c r="NZF5749" s="911"/>
      <c r="NZG5749" s="911"/>
      <c r="NZH5749" s="911"/>
      <c r="NZI5749" s="911"/>
      <c r="NZJ5749" s="911"/>
      <c r="NZK5749" s="911"/>
      <c r="NZL5749" s="911"/>
      <c r="NZM5749" s="32"/>
      <c r="NZN5749" s="911" t="s">
        <v>74</v>
      </c>
      <c r="NZO5749" s="911"/>
      <c r="NZP5749" s="911"/>
      <c r="NZQ5749" s="911"/>
      <c r="NZR5749" s="911"/>
      <c r="NZS5749" s="911"/>
      <c r="NZT5749" s="911"/>
      <c r="NZU5749" s="911"/>
      <c r="NZV5749" s="911"/>
      <c r="NZW5749" s="912"/>
      <c r="NZY5749" s="913" t="s">
        <v>1</v>
      </c>
      <c r="NZZ5749" s="31"/>
      <c r="OAA5749" s="909" t="s">
        <v>0</v>
      </c>
      <c r="OAB5749" s="909"/>
      <c r="OAC5749" s="909"/>
      <c r="OAD5749" s="909"/>
      <c r="OAE5749" s="909"/>
      <c r="OAF5749" s="909"/>
      <c r="OAG5749" s="907" t="s">
        <v>79</v>
      </c>
      <c r="OAH5749" s="909" t="s">
        <v>68</v>
      </c>
      <c r="OAI5749" s="910" t="s">
        <v>75</v>
      </c>
      <c r="OAJ5749" s="911"/>
      <c r="OAK5749" s="911"/>
      <c r="OAL5749" s="911"/>
      <c r="OAM5749" s="911"/>
      <c r="OAN5749" s="911"/>
      <c r="OAO5749" s="911"/>
      <c r="OAP5749" s="911"/>
      <c r="OAQ5749" s="911"/>
      <c r="OAR5749" s="911"/>
      <c r="OAS5749" s="32"/>
      <c r="OAT5749" s="911" t="s">
        <v>74</v>
      </c>
      <c r="OAU5749" s="911"/>
      <c r="OAV5749" s="911"/>
      <c r="OAW5749" s="911"/>
      <c r="OAX5749" s="911"/>
      <c r="OAY5749" s="911"/>
      <c r="OAZ5749" s="911"/>
      <c r="OBA5749" s="911"/>
      <c r="OBB5749" s="911"/>
      <c r="OBC5749" s="912"/>
      <c r="OBE5749" s="913" t="s">
        <v>1</v>
      </c>
      <c r="OBF5749" s="31"/>
      <c r="OBG5749" s="909" t="s">
        <v>0</v>
      </c>
      <c r="OBH5749" s="909"/>
      <c r="OBI5749" s="909"/>
      <c r="OBJ5749" s="909"/>
      <c r="OBK5749" s="909"/>
      <c r="OBL5749" s="909"/>
      <c r="OBM5749" s="907" t="s">
        <v>79</v>
      </c>
      <c r="OBN5749" s="909" t="s">
        <v>68</v>
      </c>
      <c r="OBO5749" s="910" t="s">
        <v>75</v>
      </c>
      <c r="OBP5749" s="911"/>
      <c r="OBQ5749" s="911"/>
      <c r="OBR5749" s="911"/>
      <c r="OBS5749" s="911"/>
      <c r="OBT5749" s="911"/>
      <c r="OBU5749" s="911"/>
      <c r="OBV5749" s="911"/>
      <c r="OBW5749" s="911"/>
      <c r="OBX5749" s="911"/>
      <c r="OBY5749" s="32"/>
      <c r="OBZ5749" s="911" t="s">
        <v>74</v>
      </c>
      <c r="OCA5749" s="911"/>
      <c r="OCB5749" s="911"/>
      <c r="OCC5749" s="911"/>
      <c r="OCD5749" s="911"/>
      <c r="OCE5749" s="911"/>
      <c r="OCF5749" s="911"/>
      <c r="OCG5749" s="911"/>
      <c r="OCH5749" s="911"/>
      <c r="OCI5749" s="912"/>
      <c r="OCK5749" s="913" t="s">
        <v>1</v>
      </c>
      <c r="OCL5749" s="31"/>
      <c r="OCM5749" s="909" t="s">
        <v>0</v>
      </c>
      <c r="OCN5749" s="909"/>
      <c r="OCO5749" s="909"/>
      <c r="OCP5749" s="909"/>
      <c r="OCQ5749" s="909"/>
      <c r="OCR5749" s="909"/>
      <c r="OCS5749" s="907" t="s">
        <v>79</v>
      </c>
      <c r="OCT5749" s="909" t="s">
        <v>68</v>
      </c>
      <c r="OCU5749" s="910" t="s">
        <v>75</v>
      </c>
      <c r="OCV5749" s="911"/>
      <c r="OCW5749" s="911"/>
      <c r="OCX5749" s="911"/>
      <c r="OCY5749" s="911"/>
      <c r="OCZ5749" s="911"/>
      <c r="ODA5749" s="911"/>
      <c r="ODB5749" s="911"/>
      <c r="ODC5749" s="911"/>
      <c r="ODD5749" s="911"/>
      <c r="ODE5749" s="32"/>
      <c r="ODF5749" s="911" t="s">
        <v>74</v>
      </c>
      <c r="ODG5749" s="911"/>
      <c r="ODH5749" s="911"/>
      <c r="ODI5749" s="911"/>
      <c r="ODJ5749" s="911"/>
      <c r="ODK5749" s="911"/>
      <c r="ODL5749" s="911"/>
      <c r="ODM5749" s="911"/>
      <c r="ODN5749" s="911"/>
      <c r="ODO5749" s="912"/>
      <c r="ODQ5749" s="913" t="s">
        <v>1</v>
      </c>
      <c r="ODR5749" s="31"/>
      <c r="ODS5749" s="909" t="s">
        <v>0</v>
      </c>
      <c r="ODT5749" s="909"/>
      <c r="ODU5749" s="909"/>
      <c r="ODV5749" s="909"/>
      <c r="ODW5749" s="909"/>
      <c r="ODX5749" s="909"/>
      <c r="ODY5749" s="907" t="s">
        <v>79</v>
      </c>
      <c r="ODZ5749" s="909" t="s">
        <v>68</v>
      </c>
      <c r="OEA5749" s="910" t="s">
        <v>75</v>
      </c>
      <c r="OEB5749" s="911"/>
      <c r="OEC5749" s="911"/>
      <c r="OED5749" s="911"/>
      <c r="OEE5749" s="911"/>
      <c r="OEF5749" s="911"/>
      <c r="OEG5749" s="911"/>
      <c r="OEH5749" s="911"/>
      <c r="OEI5749" s="911"/>
      <c r="OEJ5749" s="911"/>
      <c r="OEK5749" s="32"/>
      <c r="OEL5749" s="911" t="s">
        <v>74</v>
      </c>
      <c r="OEM5749" s="911"/>
      <c r="OEN5749" s="911"/>
      <c r="OEO5749" s="911"/>
      <c r="OEP5749" s="911"/>
      <c r="OEQ5749" s="911"/>
      <c r="OER5749" s="911"/>
      <c r="OES5749" s="911"/>
      <c r="OET5749" s="911"/>
      <c r="OEU5749" s="912"/>
      <c r="OEW5749" s="913" t="s">
        <v>1</v>
      </c>
      <c r="OEX5749" s="31"/>
      <c r="OEY5749" s="909" t="s">
        <v>0</v>
      </c>
      <c r="OEZ5749" s="909"/>
      <c r="OFA5749" s="909"/>
      <c r="OFB5749" s="909"/>
      <c r="OFC5749" s="909"/>
      <c r="OFD5749" s="909"/>
      <c r="OFE5749" s="907" t="s">
        <v>79</v>
      </c>
      <c r="OFF5749" s="909" t="s">
        <v>68</v>
      </c>
      <c r="OFG5749" s="910" t="s">
        <v>75</v>
      </c>
      <c r="OFH5749" s="911"/>
      <c r="OFI5749" s="911"/>
      <c r="OFJ5749" s="911"/>
      <c r="OFK5749" s="911"/>
      <c r="OFL5749" s="911"/>
      <c r="OFM5749" s="911"/>
      <c r="OFN5749" s="911"/>
      <c r="OFO5749" s="911"/>
      <c r="OFP5749" s="911"/>
      <c r="OFQ5749" s="32"/>
      <c r="OFR5749" s="911" t="s">
        <v>74</v>
      </c>
      <c r="OFS5749" s="911"/>
      <c r="OFT5749" s="911"/>
      <c r="OFU5749" s="911"/>
      <c r="OFV5749" s="911"/>
      <c r="OFW5749" s="911"/>
      <c r="OFX5749" s="911"/>
      <c r="OFY5749" s="911"/>
      <c r="OFZ5749" s="911"/>
      <c r="OGA5749" s="912"/>
      <c r="OGC5749" s="913" t="s">
        <v>1</v>
      </c>
      <c r="OGD5749" s="31"/>
      <c r="OGE5749" s="909" t="s">
        <v>0</v>
      </c>
      <c r="OGF5749" s="909"/>
      <c r="OGG5749" s="909"/>
      <c r="OGH5749" s="909"/>
      <c r="OGI5749" s="909"/>
      <c r="OGJ5749" s="909"/>
      <c r="OGK5749" s="907" t="s">
        <v>79</v>
      </c>
      <c r="OGL5749" s="909" t="s">
        <v>68</v>
      </c>
      <c r="OGM5749" s="910" t="s">
        <v>75</v>
      </c>
      <c r="OGN5749" s="911"/>
      <c r="OGO5749" s="911"/>
      <c r="OGP5749" s="911"/>
      <c r="OGQ5749" s="911"/>
      <c r="OGR5749" s="911"/>
      <c r="OGS5749" s="911"/>
      <c r="OGT5749" s="911"/>
      <c r="OGU5749" s="911"/>
      <c r="OGV5749" s="911"/>
      <c r="OGW5749" s="32"/>
      <c r="OGX5749" s="911" t="s">
        <v>74</v>
      </c>
      <c r="OGY5749" s="911"/>
      <c r="OGZ5749" s="911"/>
      <c r="OHA5749" s="911"/>
      <c r="OHB5749" s="911"/>
      <c r="OHC5749" s="911"/>
      <c r="OHD5749" s="911"/>
      <c r="OHE5749" s="911"/>
      <c r="OHF5749" s="911"/>
      <c r="OHG5749" s="912"/>
      <c r="OHI5749" s="913" t="s">
        <v>1</v>
      </c>
      <c r="OHJ5749" s="31"/>
      <c r="OHK5749" s="909" t="s">
        <v>0</v>
      </c>
      <c r="OHL5749" s="909"/>
      <c r="OHM5749" s="909"/>
      <c r="OHN5749" s="909"/>
      <c r="OHO5749" s="909"/>
      <c r="OHP5749" s="909"/>
      <c r="OHQ5749" s="907" t="s">
        <v>79</v>
      </c>
      <c r="OHR5749" s="909" t="s">
        <v>68</v>
      </c>
      <c r="OHS5749" s="910" t="s">
        <v>75</v>
      </c>
      <c r="OHT5749" s="911"/>
      <c r="OHU5749" s="911"/>
      <c r="OHV5749" s="911"/>
      <c r="OHW5749" s="911"/>
      <c r="OHX5749" s="911"/>
      <c r="OHY5749" s="911"/>
      <c r="OHZ5749" s="911"/>
      <c r="OIA5749" s="911"/>
      <c r="OIB5749" s="911"/>
      <c r="OIC5749" s="32"/>
      <c r="OID5749" s="911" t="s">
        <v>74</v>
      </c>
      <c r="OIE5749" s="911"/>
      <c r="OIF5749" s="911"/>
      <c r="OIG5749" s="911"/>
      <c r="OIH5749" s="911"/>
      <c r="OII5749" s="911"/>
      <c r="OIJ5749" s="911"/>
      <c r="OIK5749" s="911"/>
      <c r="OIL5749" s="911"/>
      <c r="OIM5749" s="912"/>
      <c r="OIO5749" s="913" t="s">
        <v>1</v>
      </c>
      <c r="OIP5749" s="31"/>
      <c r="OIQ5749" s="909" t="s">
        <v>0</v>
      </c>
      <c r="OIR5749" s="909"/>
      <c r="OIS5749" s="909"/>
      <c r="OIT5749" s="909"/>
      <c r="OIU5749" s="909"/>
      <c r="OIV5749" s="909"/>
      <c r="OIW5749" s="907" t="s">
        <v>79</v>
      </c>
      <c r="OIX5749" s="909" t="s">
        <v>68</v>
      </c>
      <c r="OIY5749" s="910" t="s">
        <v>75</v>
      </c>
      <c r="OIZ5749" s="911"/>
      <c r="OJA5749" s="911"/>
      <c r="OJB5749" s="911"/>
      <c r="OJC5749" s="911"/>
      <c r="OJD5749" s="911"/>
      <c r="OJE5749" s="911"/>
      <c r="OJF5749" s="911"/>
      <c r="OJG5749" s="911"/>
      <c r="OJH5749" s="911"/>
      <c r="OJI5749" s="32"/>
      <c r="OJJ5749" s="911" t="s">
        <v>74</v>
      </c>
      <c r="OJK5749" s="911"/>
      <c r="OJL5749" s="911"/>
      <c r="OJM5749" s="911"/>
      <c r="OJN5749" s="911"/>
      <c r="OJO5749" s="911"/>
      <c r="OJP5749" s="911"/>
      <c r="OJQ5749" s="911"/>
      <c r="OJR5749" s="911"/>
      <c r="OJS5749" s="912"/>
      <c r="OJU5749" s="913" t="s">
        <v>1</v>
      </c>
      <c r="OJV5749" s="31"/>
      <c r="OJW5749" s="909" t="s">
        <v>0</v>
      </c>
      <c r="OJX5749" s="909"/>
      <c r="OJY5749" s="909"/>
      <c r="OJZ5749" s="909"/>
      <c r="OKA5749" s="909"/>
      <c r="OKB5749" s="909"/>
      <c r="OKC5749" s="907" t="s">
        <v>79</v>
      </c>
      <c r="OKD5749" s="909" t="s">
        <v>68</v>
      </c>
      <c r="OKE5749" s="910" t="s">
        <v>75</v>
      </c>
      <c r="OKF5749" s="911"/>
      <c r="OKG5749" s="911"/>
      <c r="OKH5749" s="911"/>
      <c r="OKI5749" s="911"/>
      <c r="OKJ5749" s="911"/>
      <c r="OKK5749" s="911"/>
      <c r="OKL5749" s="911"/>
      <c r="OKM5749" s="911"/>
      <c r="OKN5749" s="911"/>
      <c r="OKO5749" s="32"/>
      <c r="OKP5749" s="911" t="s">
        <v>74</v>
      </c>
      <c r="OKQ5749" s="911"/>
      <c r="OKR5749" s="911"/>
      <c r="OKS5749" s="911"/>
      <c r="OKT5749" s="911"/>
      <c r="OKU5749" s="911"/>
      <c r="OKV5749" s="911"/>
      <c r="OKW5749" s="911"/>
      <c r="OKX5749" s="911"/>
      <c r="OKY5749" s="912"/>
      <c r="OLA5749" s="913" t="s">
        <v>1</v>
      </c>
      <c r="OLB5749" s="31"/>
      <c r="OLC5749" s="909" t="s">
        <v>0</v>
      </c>
      <c r="OLD5749" s="909"/>
      <c r="OLE5749" s="909"/>
      <c r="OLF5749" s="909"/>
      <c r="OLG5749" s="909"/>
      <c r="OLH5749" s="909"/>
      <c r="OLI5749" s="907" t="s">
        <v>79</v>
      </c>
      <c r="OLJ5749" s="909" t="s">
        <v>68</v>
      </c>
      <c r="OLK5749" s="910" t="s">
        <v>75</v>
      </c>
      <c r="OLL5749" s="911"/>
      <c r="OLM5749" s="911"/>
      <c r="OLN5749" s="911"/>
      <c r="OLO5749" s="911"/>
      <c r="OLP5749" s="911"/>
      <c r="OLQ5749" s="911"/>
      <c r="OLR5749" s="911"/>
      <c r="OLS5749" s="911"/>
      <c r="OLT5749" s="911"/>
      <c r="OLU5749" s="32"/>
      <c r="OLV5749" s="911" t="s">
        <v>74</v>
      </c>
      <c r="OLW5749" s="911"/>
      <c r="OLX5749" s="911"/>
      <c r="OLY5749" s="911"/>
      <c r="OLZ5749" s="911"/>
      <c r="OMA5749" s="911"/>
      <c r="OMB5749" s="911"/>
      <c r="OMC5749" s="911"/>
      <c r="OMD5749" s="911"/>
      <c r="OME5749" s="912"/>
      <c r="OMG5749" s="913" t="s">
        <v>1</v>
      </c>
      <c r="OMH5749" s="31"/>
      <c r="OMI5749" s="909" t="s">
        <v>0</v>
      </c>
      <c r="OMJ5749" s="909"/>
      <c r="OMK5749" s="909"/>
      <c r="OML5749" s="909"/>
      <c r="OMM5749" s="909"/>
      <c r="OMN5749" s="909"/>
      <c r="OMO5749" s="907" t="s">
        <v>79</v>
      </c>
      <c r="OMP5749" s="909" t="s">
        <v>68</v>
      </c>
      <c r="OMQ5749" s="910" t="s">
        <v>75</v>
      </c>
      <c r="OMR5749" s="911"/>
      <c r="OMS5749" s="911"/>
      <c r="OMT5749" s="911"/>
      <c r="OMU5749" s="911"/>
      <c r="OMV5749" s="911"/>
      <c r="OMW5749" s="911"/>
      <c r="OMX5749" s="911"/>
      <c r="OMY5749" s="911"/>
      <c r="OMZ5749" s="911"/>
      <c r="ONA5749" s="32"/>
      <c r="ONB5749" s="911" t="s">
        <v>74</v>
      </c>
      <c r="ONC5749" s="911"/>
      <c r="OND5749" s="911"/>
      <c r="ONE5749" s="911"/>
      <c r="ONF5749" s="911"/>
      <c r="ONG5749" s="911"/>
      <c r="ONH5749" s="911"/>
      <c r="ONI5749" s="911"/>
      <c r="ONJ5749" s="911"/>
      <c r="ONK5749" s="912"/>
      <c r="ONM5749" s="913" t="s">
        <v>1</v>
      </c>
      <c r="ONN5749" s="31"/>
      <c r="ONO5749" s="909" t="s">
        <v>0</v>
      </c>
      <c r="ONP5749" s="909"/>
      <c r="ONQ5749" s="909"/>
      <c r="ONR5749" s="909"/>
      <c r="ONS5749" s="909"/>
      <c r="ONT5749" s="909"/>
      <c r="ONU5749" s="907" t="s">
        <v>79</v>
      </c>
      <c r="ONV5749" s="909" t="s">
        <v>68</v>
      </c>
      <c r="ONW5749" s="910" t="s">
        <v>75</v>
      </c>
      <c r="ONX5749" s="911"/>
      <c r="ONY5749" s="911"/>
      <c r="ONZ5749" s="911"/>
      <c r="OOA5749" s="911"/>
      <c r="OOB5749" s="911"/>
      <c r="OOC5749" s="911"/>
      <c r="OOD5749" s="911"/>
      <c r="OOE5749" s="911"/>
      <c r="OOF5749" s="911"/>
      <c r="OOG5749" s="32"/>
      <c r="OOH5749" s="911" t="s">
        <v>74</v>
      </c>
      <c r="OOI5749" s="911"/>
      <c r="OOJ5749" s="911"/>
      <c r="OOK5749" s="911"/>
      <c r="OOL5749" s="911"/>
      <c r="OOM5749" s="911"/>
      <c r="OON5749" s="911"/>
      <c r="OOO5749" s="911"/>
      <c r="OOP5749" s="911"/>
      <c r="OOQ5749" s="912"/>
      <c r="OOS5749" s="913" t="s">
        <v>1</v>
      </c>
      <c r="OOT5749" s="31"/>
      <c r="OOU5749" s="909" t="s">
        <v>0</v>
      </c>
      <c r="OOV5749" s="909"/>
      <c r="OOW5749" s="909"/>
      <c r="OOX5749" s="909"/>
      <c r="OOY5749" s="909"/>
      <c r="OOZ5749" s="909"/>
      <c r="OPA5749" s="907" t="s">
        <v>79</v>
      </c>
      <c r="OPB5749" s="909" t="s">
        <v>68</v>
      </c>
      <c r="OPC5749" s="910" t="s">
        <v>75</v>
      </c>
      <c r="OPD5749" s="911"/>
      <c r="OPE5749" s="911"/>
      <c r="OPF5749" s="911"/>
      <c r="OPG5749" s="911"/>
      <c r="OPH5749" s="911"/>
      <c r="OPI5749" s="911"/>
      <c r="OPJ5749" s="911"/>
      <c r="OPK5749" s="911"/>
      <c r="OPL5749" s="911"/>
      <c r="OPM5749" s="32"/>
      <c r="OPN5749" s="911" t="s">
        <v>74</v>
      </c>
      <c r="OPO5749" s="911"/>
      <c r="OPP5749" s="911"/>
      <c r="OPQ5749" s="911"/>
      <c r="OPR5749" s="911"/>
      <c r="OPS5749" s="911"/>
      <c r="OPT5749" s="911"/>
      <c r="OPU5749" s="911"/>
      <c r="OPV5749" s="911"/>
      <c r="OPW5749" s="912"/>
      <c r="OPY5749" s="913" t="s">
        <v>1</v>
      </c>
      <c r="OPZ5749" s="31"/>
      <c r="OQA5749" s="909" t="s">
        <v>0</v>
      </c>
      <c r="OQB5749" s="909"/>
      <c r="OQC5749" s="909"/>
      <c r="OQD5749" s="909"/>
      <c r="OQE5749" s="909"/>
      <c r="OQF5749" s="909"/>
      <c r="OQG5749" s="907" t="s">
        <v>79</v>
      </c>
      <c r="OQH5749" s="909" t="s">
        <v>68</v>
      </c>
      <c r="OQI5749" s="910" t="s">
        <v>75</v>
      </c>
      <c r="OQJ5749" s="911"/>
      <c r="OQK5749" s="911"/>
      <c r="OQL5749" s="911"/>
      <c r="OQM5749" s="911"/>
      <c r="OQN5749" s="911"/>
      <c r="OQO5749" s="911"/>
      <c r="OQP5749" s="911"/>
      <c r="OQQ5749" s="911"/>
      <c r="OQR5749" s="911"/>
      <c r="OQS5749" s="32"/>
      <c r="OQT5749" s="911" t="s">
        <v>74</v>
      </c>
      <c r="OQU5749" s="911"/>
      <c r="OQV5749" s="911"/>
      <c r="OQW5749" s="911"/>
      <c r="OQX5749" s="911"/>
      <c r="OQY5749" s="911"/>
      <c r="OQZ5749" s="911"/>
      <c r="ORA5749" s="911"/>
      <c r="ORB5749" s="911"/>
      <c r="ORC5749" s="912"/>
      <c r="ORE5749" s="913" t="s">
        <v>1</v>
      </c>
      <c r="ORF5749" s="31"/>
      <c r="ORG5749" s="909" t="s">
        <v>0</v>
      </c>
      <c r="ORH5749" s="909"/>
      <c r="ORI5749" s="909"/>
      <c r="ORJ5749" s="909"/>
      <c r="ORK5749" s="909"/>
      <c r="ORL5749" s="909"/>
      <c r="ORM5749" s="907" t="s">
        <v>79</v>
      </c>
      <c r="ORN5749" s="909" t="s">
        <v>68</v>
      </c>
      <c r="ORO5749" s="910" t="s">
        <v>75</v>
      </c>
      <c r="ORP5749" s="911"/>
      <c r="ORQ5749" s="911"/>
      <c r="ORR5749" s="911"/>
      <c r="ORS5749" s="911"/>
      <c r="ORT5749" s="911"/>
      <c r="ORU5749" s="911"/>
      <c r="ORV5749" s="911"/>
      <c r="ORW5749" s="911"/>
      <c r="ORX5749" s="911"/>
      <c r="ORY5749" s="32"/>
      <c r="ORZ5749" s="911" t="s">
        <v>74</v>
      </c>
      <c r="OSA5749" s="911"/>
      <c r="OSB5749" s="911"/>
      <c r="OSC5749" s="911"/>
      <c r="OSD5749" s="911"/>
      <c r="OSE5749" s="911"/>
      <c r="OSF5749" s="911"/>
      <c r="OSG5749" s="911"/>
      <c r="OSH5749" s="911"/>
      <c r="OSI5749" s="912"/>
      <c r="OSK5749" s="913" t="s">
        <v>1</v>
      </c>
      <c r="OSL5749" s="31"/>
      <c r="OSM5749" s="909" t="s">
        <v>0</v>
      </c>
      <c r="OSN5749" s="909"/>
      <c r="OSO5749" s="909"/>
      <c r="OSP5749" s="909"/>
      <c r="OSQ5749" s="909"/>
      <c r="OSR5749" s="909"/>
      <c r="OSS5749" s="907" t="s">
        <v>79</v>
      </c>
      <c r="OST5749" s="909" t="s">
        <v>68</v>
      </c>
      <c r="OSU5749" s="910" t="s">
        <v>75</v>
      </c>
      <c r="OSV5749" s="911"/>
      <c r="OSW5749" s="911"/>
      <c r="OSX5749" s="911"/>
      <c r="OSY5749" s="911"/>
      <c r="OSZ5749" s="911"/>
      <c r="OTA5749" s="911"/>
      <c r="OTB5749" s="911"/>
      <c r="OTC5749" s="911"/>
      <c r="OTD5749" s="911"/>
      <c r="OTE5749" s="32"/>
      <c r="OTF5749" s="911" t="s">
        <v>74</v>
      </c>
      <c r="OTG5749" s="911"/>
      <c r="OTH5749" s="911"/>
      <c r="OTI5749" s="911"/>
      <c r="OTJ5749" s="911"/>
      <c r="OTK5749" s="911"/>
      <c r="OTL5749" s="911"/>
      <c r="OTM5749" s="911"/>
      <c r="OTN5749" s="911"/>
      <c r="OTO5749" s="912"/>
      <c r="OTQ5749" s="913" t="s">
        <v>1</v>
      </c>
      <c r="OTR5749" s="31"/>
      <c r="OTS5749" s="909" t="s">
        <v>0</v>
      </c>
      <c r="OTT5749" s="909"/>
      <c r="OTU5749" s="909"/>
      <c r="OTV5749" s="909"/>
      <c r="OTW5749" s="909"/>
      <c r="OTX5749" s="909"/>
      <c r="OTY5749" s="907" t="s">
        <v>79</v>
      </c>
      <c r="OTZ5749" s="909" t="s">
        <v>68</v>
      </c>
      <c r="OUA5749" s="910" t="s">
        <v>75</v>
      </c>
      <c r="OUB5749" s="911"/>
      <c r="OUC5749" s="911"/>
      <c r="OUD5749" s="911"/>
      <c r="OUE5749" s="911"/>
      <c r="OUF5749" s="911"/>
      <c r="OUG5749" s="911"/>
      <c r="OUH5749" s="911"/>
      <c r="OUI5749" s="911"/>
      <c r="OUJ5749" s="911"/>
      <c r="OUK5749" s="32"/>
      <c r="OUL5749" s="911" t="s">
        <v>74</v>
      </c>
      <c r="OUM5749" s="911"/>
      <c r="OUN5749" s="911"/>
      <c r="OUO5749" s="911"/>
      <c r="OUP5749" s="911"/>
      <c r="OUQ5749" s="911"/>
      <c r="OUR5749" s="911"/>
      <c r="OUS5749" s="911"/>
      <c r="OUT5749" s="911"/>
      <c r="OUU5749" s="912"/>
      <c r="OUW5749" s="913" t="s">
        <v>1</v>
      </c>
      <c r="OUX5749" s="31"/>
      <c r="OUY5749" s="909" t="s">
        <v>0</v>
      </c>
      <c r="OUZ5749" s="909"/>
      <c r="OVA5749" s="909"/>
      <c r="OVB5749" s="909"/>
      <c r="OVC5749" s="909"/>
      <c r="OVD5749" s="909"/>
      <c r="OVE5749" s="907" t="s">
        <v>79</v>
      </c>
      <c r="OVF5749" s="909" t="s">
        <v>68</v>
      </c>
      <c r="OVG5749" s="910" t="s">
        <v>75</v>
      </c>
      <c r="OVH5749" s="911"/>
      <c r="OVI5749" s="911"/>
      <c r="OVJ5749" s="911"/>
      <c r="OVK5749" s="911"/>
      <c r="OVL5749" s="911"/>
      <c r="OVM5749" s="911"/>
      <c r="OVN5749" s="911"/>
      <c r="OVO5749" s="911"/>
      <c r="OVP5749" s="911"/>
      <c r="OVQ5749" s="32"/>
      <c r="OVR5749" s="911" t="s">
        <v>74</v>
      </c>
      <c r="OVS5749" s="911"/>
      <c r="OVT5749" s="911"/>
      <c r="OVU5749" s="911"/>
      <c r="OVV5749" s="911"/>
      <c r="OVW5749" s="911"/>
      <c r="OVX5749" s="911"/>
      <c r="OVY5749" s="911"/>
      <c r="OVZ5749" s="911"/>
      <c r="OWA5749" s="912"/>
      <c r="OWC5749" s="913" t="s">
        <v>1</v>
      </c>
      <c r="OWD5749" s="31"/>
      <c r="OWE5749" s="909" t="s">
        <v>0</v>
      </c>
      <c r="OWF5749" s="909"/>
      <c r="OWG5749" s="909"/>
      <c r="OWH5749" s="909"/>
      <c r="OWI5749" s="909"/>
      <c r="OWJ5749" s="909"/>
      <c r="OWK5749" s="907" t="s">
        <v>79</v>
      </c>
      <c r="OWL5749" s="909" t="s">
        <v>68</v>
      </c>
      <c r="OWM5749" s="910" t="s">
        <v>75</v>
      </c>
      <c r="OWN5749" s="911"/>
      <c r="OWO5749" s="911"/>
      <c r="OWP5749" s="911"/>
      <c r="OWQ5749" s="911"/>
      <c r="OWR5749" s="911"/>
      <c r="OWS5749" s="911"/>
      <c r="OWT5749" s="911"/>
      <c r="OWU5749" s="911"/>
      <c r="OWV5749" s="911"/>
      <c r="OWW5749" s="32"/>
      <c r="OWX5749" s="911" t="s">
        <v>74</v>
      </c>
      <c r="OWY5749" s="911"/>
      <c r="OWZ5749" s="911"/>
      <c r="OXA5749" s="911"/>
      <c r="OXB5749" s="911"/>
      <c r="OXC5749" s="911"/>
      <c r="OXD5749" s="911"/>
      <c r="OXE5749" s="911"/>
      <c r="OXF5749" s="911"/>
      <c r="OXG5749" s="912"/>
      <c r="OXI5749" s="913" t="s">
        <v>1</v>
      </c>
      <c r="OXJ5749" s="31"/>
      <c r="OXK5749" s="909" t="s">
        <v>0</v>
      </c>
      <c r="OXL5749" s="909"/>
      <c r="OXM5749" s="909"/>
      <c r="OXN5749" s="909"/>
      <c r="OXO5749" s="909"/>
      <c r="OXP5749" s="909"/>
      <c r="OXQ5749" s="907" t="s">
        <v>79</v>
      </c>
      <c r="OXR5749" s="909" t="s">
        <v>68</v>
      </c>
      <c r="OXS5749" s="910" t="s">
        <v>75</v>
      </c>
      <c r="OXT5749" s="911"/>
      <c r="OXU5749" s="911"/>
      <c r="OXV5749" s="911"/>
      <c r="OXW5749" s="911"/>
      <c r="OXX5749" s="911"/>
      <c r="OXY5749" s="911"/>
      <c r="OXZ5749" s="911"/>
      <c r="OYA5749" s="911"/>
      <c r="OYB5749" s="911"/>
      <c r="OYC5749" s="32"/>
      <c r="OYD5749" s="911" t="s">
        <v>74</v>
      </c>
      <c r="OYE5749" s="911"/>
      <c r="OYF5749" s="911"/>
      <c r="OYG5749" s="911"/>
      <c r="OYH5749" s="911"/>
      <c r="OYI5749" s="911"/>
      <c r="OYJ5749" s="911"/>
      <c r="OYK5749" s="911"/>
      <c r="OYL5749" s="911"/>
      <c r="OYM5749" s="912"/>
      <c r="OYO5749" s="913" t="s">
        <v>1</v>
      </c>
      <c r="OYP5749" s="31"/>
      <c r="OYQ5749" s="909" t="s">
        <v>0</v>
      </c>
      <c r="OYR5749" s="909"/>
      <c r="OYS5749" s="909"/>
      <c r="OYT5749" s="909"/>
      <c r="OYU5749" s="909"/>
      <c r="OYV5749" s="909"/>
      <c r="OYW5749" s="907" t="s">
        <v>79</v>
      </c>
      <c r="OYX5749" s="909" t="s">
        <v>68</v>
      </c>
      <c r="OYY5749" s="910" t="s">
        <v>75</v>
      </c>
      <c r="OYZ5749" s="911"/>
      <c r="OZA5749" s="911"/>
      <c r="OZB5749" s="911"/>
      <c r="OZC5749" s="911"/>
      <c r="OZD5749" s="911"/>
      <c r="OZE5749" s="911"/>
      <c r="OZF5749" s="911"/>
      <c r="OZG5749" s="911"/>
      <c r="OZH5749" s="911"/>
      <c r="OZI5749" s="32"/>
      <c r="OZJ5749" s="911" t="s">
        <v>74</v>
      </c>
      <c r="OZK5749" s="911"/>
      <c r="OZL5749" s="911"/>
      <c r="OZM5749" s="911"/>
      <c r="OZN5749" s="911"/>
      <c r="OZO5749" s="911"/>
      <c r="OZP5749" s="911"/>
      <c r="OZQ5749" s="911"/>
      <c r="OZR5749" s="911"/>
      <c r="OZS5749" s="912"/>
      <c r="OZU5749" s="913" t="s">
        <v>1</v>
      </c>
      <c r="OZV5749" s="31"/>
      <c r="OZW5749" s="909" t="s">
        <v>0</v>
      </c>
      <c r="OZX5749" s="909"/>
      <c r="OZY5749" s="909"/>
      <c r="OZZ5749" s="909"/>
      <c r="PAA5749" s="909"/>
      <c r="PAB5749" s="909"/>
      <c r="PAC5749" s="907" t="s">
        <v>79</v>
      </c>
      <c r="PAD5749" s="909" t="s">
        <v>68</v>
      </c>
      <c r="PAE5749" s="910" t="s">
        <v>75</v>
      </c>
      <c r="PAF5749" s="911"/>
      <c r="PAG5749" s="911"/>
      <c r="PAH5749" s="911"/>
      <c r="PAI5749" s="911"/>
      <c r="PAJ5749" s="911"/>
      <c r="PAK5749" s="911"/>
      <c r="PAL5749" s="911"/>
      <c r="PAM5749" s="911"/>
      <c r="PAN5749" s="911"/>
      <c r="PAO5749" s="32"/>
      <c r="PAP5749" s="911" t="s">
        <v>74</v>
      </c>
      <c r="PAQ5749" s="911"/>
      <c r="PAR5749" s="911"/>
      <c r="PAS5749" s="911"/>
      <c r="PAT5749" s="911"/>
      <c r="PAU5749" s="911"/>
      <c r="PAV5749" s="911"/>
      <c r="PAW5749" s="911"/>
      <c r="PAX5749" s="911"/>
      <c r="PAY5749" s="912"/>
      <c r="PBA5749" s="913" t="s">
        <v>1</v>
      </c>
      <c r="PBB5749" s="31"/>
      <c r="PBC5749" s="909" t="s">
        <v>0</v>
      </c>
      <c r="PBD5749" s="909"/>
      <c r="PBE5749" s="909"/>
      <c r="PBF5749" s="909"/>
      <c r="PBG5749" s="909"/>
      <c r="PBH5749" s="909"/>
      <c r="PBI5749" s="907" t="s">
        <v>79</v>
      </c>
      <c r="PBJ5749" s="909" t="s">
        <v>68</v>
      </c>
      <c r="PBK5749" s="910" t="s">
        <v>75</v>
      </c>
      <c r="PBL5749" s="911"/>
      <c r="PBM5749" s="911"/>
      <c r="PBN5749" s="911"/>
      <c r="PBO5749" s="911"/>
      <c r="PBP5749" s="911"/>
      <c r="PBQ5749" s="911"/>
      <c r="PBR5749" s="911"/>
      <c r="PBS5749" s="911"/>
      <c r="PBT5749" s="911"/>
      <c r="PBU5749" s="32"/>
      <c r="PBV5749" s="911" t="s">
        <v>74</v>
      </c>
      <c r="PBW5749" s="911"/>
      <c r="PBX5749" s="911"/>
      <c r="PBY5749" s="911"/>
      <c r="PBZ5749" s="911"/>
      <c r="PCA5749" s="911"/>
      <c r="PCB5749" s="911"/>
      <c r="PCC5749" s="911"/>
      <c r="PCD5749" s="911"/>
      <c r="PCE5749" s="912"/>
      <c r="PCG5749" s="913" t="s">
        <v>1</v>
      </c>
      <c r="PCH5749" s="31"/>
      <c r="PCI5749" s="909" t="s">
        <v>0</v>
      </c>
      <c r="PCJ5749" s="909"/>
      <c r="PCK5749" s="909"/>
      <c r="PCL5749" s="909"/>
      <c r="PCM5749" s="909"/>
      <c r="PCN5749" s="909"/>
      <c r="PCO5749" s="907" t="s">
        <v>79</v>
      </c>
      <c r="PCP5749" s="909" t="s">
        <v>68</v>
      </c>
      <c r="PCQ5749" s="910" t="s">
        <v>75</v>
      </c>
      <c r="PCR5749" s="911"/>
      <c r="PCS5749" s="911"/>
      <c r="PCT5749" s="911"/>
      <c r="PCU5749" s="911"/>
      <c r="PCV5749" s="911"/>
      <c r="PCW5749" s="911"/>
      <c r="PCX5749" s="911"/>
      <c r="PCY5749" s="911"/>
      <c r="PCZ5749" s="911"/>
      <c r="PDA5749" s="32"/>
      <c r="PDB5749" s="911" t="s">
        <v>74</v>
      </c>
      <c r="PDC5749" s="911"/>
      <c r="PDD5749" s="911"/>
      <c r="PDE5749" s="911"/>
      <c r="PDF5749" s="911"/>
      <c r="PDG5749" s="911"/>
      <c r="PDH5749" s="911"/>
      <c r="PDI5749" s="911"/>
      <c r="PDJ5749" s="911"/>
      <c r="PDK5749" s="912"/>
      <c r="PDM5749" s="913" t="s">
        <v>1</v>
      </c>
      <c r="PDN5749" s="31"/>
      <c r="PDO5749" s="909" t="s">
        <v>0</v>
      </c>
      <c r="PDP5749" s="909"/>
      <c r="PDQ5749" s="909"/>
      <c r="PDR5749" s="909"/>
      <c r="PDS5749" s="909"/>
      <c r="PDT5749" s="909"/>
      <c r="PDU5749" s="907" t="s">
        <v>79</v>
      </c>
      <c r="PDV5749" s="909" t="s">
        <v>68</v>
      </c>
      <c r="PDW5749" s="910" t="s">
        <v>75</v>
      </c>
      <c r="PDX5749" s="911"/>
      <c r="PDY5749" s="911"/>
      <c r="PDZ5749" s="911"/>
      <c r="PEA5749" s="911"/>
      <c r="PEB5749" s="911"/>
      <c r="PEC5749" s="911"/>
      <c r="PED5749" s="911"/>
      <c r="PEE5749" s="911"/>
      <c r="PEF5749" s="911"/>
      <c r="PEG5749" s="32"/>
      <c r="PEH5749" s="911" t="s">
        <v>74</v>
      </c>
      <c r="PEI5749" s="911"/>
      <c r="PEJ5749" s="911"/>
      <c r="PEK5749" s="911"/>
      <c r="PEL5749" s="911"/>
      <c r="PEM5749" s="911"/>
      <c r="PEN5749" s="911"/>
      <c r="PEO5749" s="911"/>
      <c r="PEP5749" s="911"/>
      <c r="PEQ5749" s="912"/>
      <c r="PES5749" s="913" t="s">
        <v>1</v>
      </c>
      <c r="PET5749" s="31"/>
      <c r="PEU5749" s="909" t="s">
        <v>0</v>
      </c>
      <c r="PEV5749" s="909"/>
      <c r="PEW5749" s="909"/>
      <c r="PEX5749" s="909"/>
      <c r="PEY5749" s="909"/>
      <c r="PEZ5749" s="909"/>
      <c r="PFA5749" s="907" t="s">
        <v>79</v>
      </c>
      <c r="PFB5749" s="909" t="s">
        <v>68</v>
      </c>
      <c r="PFC5749" s="910" t="s">
        <v>75</v>
      </c>
      <c r="PFD5749" s="911"/>
      <c r="PFE5749" s="911"/>
      <c r="PFF5749" s="911"/>
      <c r="PFG5749" s="911"/>
      <c r="PFH5749" s="911"/>
      <c r="PFI5749" s="911"/>
      <c r="PFJ5749" s="911"/>
      <c r="PFK5749" s="911"/>
      <c r="PFL5749" s="911"/>
      <c r="PFM5749" s="32"/>
      <c r="PFN5749" s="911" t="s">
        <v>74</v>
      </c>
      <c r="PFO5749" s="911"/>
      <c r="PFP5749" s="911"/>
      <c r="PFQ5749" s="911"/>
      <c r="PFR5749" s="911"/>
      <c r="PFS5749" s="911"/>
      <c r="PFT5749" s="911"/>
      <c r="PFU5749" s="911"/>
      <c r="PFV5749" s="911"/>
      <c r="PFW5749" s="912"/>
      <c r="PFY5749" s="913" t="s">
        <v>1</v>
      </c>
      <c r="PFZ5749" s="31"/>
      <c r="PGA5749" s="909" t="s">
        <v>0</v>
      </c>
      <c r="PGB5749" s="909"/>
      <c r="PGC5749" s="909"/>
      <c r="PGD5749" s="909"/>
      <c r="PGE5749" s="909"/>
      <c r="PGF5749" s="909"/>
      <c r="PGG5749" s="907" t="s">
        <v>79</v>
      </c>
      <c r="PGH5749" s="909" t="s">
        <v>68</v>
      </c>
      <c r="PGI5749" s="910" t="s">
        <v>75</v>
      </c>
      <c r="PGJ5749" s="911"/>
      <c r="PGK5749" s="911"/>
      <c r="PGL5749" s="911"/>
      <c r="PGM5749" s="911"/>
      <c r="PGN5749" s="911"/>
      <c r="PGO5749" s="911"/>
      <c r="PGP5749" s="911"/>
      <c r="PGQ5749" s="911"/>
      <c r="PGR5749" s="911"/>
      <c r="PGS5749" s="32"/>
      <c r="PGT5749" s="911" t="s">
        <v>74</v>
      </c>
      <c r="PGU5749" s="911"/>
      <c r="PGV5749" s="911"/>
      <c r="PGW5749" s="911"/>
      <c r="PGX5749" s="911"/>
      <c r="PGY5749" s="911"/>
      <c r="PGZ5749" s="911"/>
      <c r="PHA5749" s="911"/>
      <c r="PHB5749" s="911"/>
      <c r="PHC5749" s="912"/>
      <c r="PHE5749" s="913" t="s">
        <v>1</v>
      </c>
      <c r="PHF5749" s="31"/>
      <c r="PHG5749" s="909" t="s">
        <v>0</v>
      </c>
      <c r="PHH5749" s="909"/>
      <c r="PHI5749" s="909"/>
      <c r="PHJ5749" s="909"/>
      <c r="PHK5749" s="909"/>
      <c r="PHL5749" s="909"/>
      <c r="PHM5749" s="907" t="s">
        <v>79</v>
      </c>
      <c r="PHN5749" s="909" t="s">
        <v>68</v>
      </c>
      <c r="PHO5749" s="910" t="s">
        <v>75</v>
      </c>
      <c r="PHP5749" s="911"/>
      <c r="PHQ5749" s="911"/>
      <c r="PHR5749" s="911"/>
      <c r="PHS5749" s="911"/>
      <c r="PHT5749" s="911"/>
      <c r="PHU5749" s="911"/>
      <c r="PHV5749" s="911"/>
      <c r="PHW5749" s="911"/>
      <c r="PHX5749" s="911"/>
      <c r="PHY5749" s="32"/>
      <c r="PHZ5749" s="911" t="s">
        <v>74</v>
      </c>
      <c r="PIA5749" s="911"/>
      <c r="PIB5749" s="911"/>
      <c r="PIC5749" s="911"/>
      <c r="PID5749" s="911"/>
      <c r="PIE5749" s="911"/>
      <c r="PIF5749" s="911"/>
      <c r="PIG5749" s="911"/>
      <c r="PIH5749" s="911"/>
      <c r="PII5749" s="912"/>
      <c r="PIK5749" s="913" t="s">
        <v>1</v>
      </c>
      <c r="PIL5749" s="31"/>
      <c r="PIM5749" s="909" t="s">
        <v>0</v>
      </c>
      <c r="PIN5749" s="909"/>
      <c r="PIO5749" s="909"/>
      <c r="PIP5749" s="909"/>
      <c r="PIQ5749" s="909"/>
      <c r="PIR5749" s="909"/>
      <c r="PIS5749" s="907" t="s">
        <v>79</v>
      </c>
      <c r="PIT5749" s="909" t="s">
        <v>68</v>
      </c>
      <c r="PIU5749" s="910" t="s">
        <v>75</v>
      </c>
      <c r="PIV5749" s="911"/>
      <c r="PIW5749" s="911"/>
      <c r="PIX5749" s="911"/>
      <c r="PIY5749" s="911"/>
      <c r="PIZ5749" s="911"/>
      <c r="PJA5749" s="911"/>
      <c r="PJB5749" s="911"/>
      <c r="PJC5749" s="911"/>
      <c r="PJD5749" s="911"/>
      <c r="PJE5749" s="32"/>
      <c r="PJF5749" s="911" t="s">
        <v>74</v>
      </c>
      <c r="PJG5749" s="911"/>
      <c r="PJH5749" s="911"/>
      <c r="PJI5749" s="911"/>
      <c r="PJJ5749" s="911"/>
      <c r="PJK5749" s="911"/>
      <c r="PJL5749" s="911"/>
      <c r="PJM5749" s="911"/>
      <c r="PJN5749" s="911"/>
      <c r="PJO5749" s="912"/>
      <c r="PJQ5749" s="913" t="s">
        <v>1</v>
      </c>
      <c r="PJR5749" s="31"/>
      <c r="PJS5749" s="909" t="s">
        <v>0</v>
      </c>
      <c r="PJT5749" s="909"/>
      <c r="PJU5749" s="909"/>
      <c r="PJV5749" s="909"/>
      <c r="PJW5749" s="909"/>
      <c r="PJX5749" s="909"/>
      <c r="PJY5749" s="907" t="s">
        <v>79</v>
      </c>
      <c r="PJZ5749" s="909" t="s">
        <v>68</v>
      </c>
      <c r="PKA5749" s="910" t="s">
        <v>75</v>
      </c>
      <c r="PKB5749" s="911"/>
      <c r="PKC5749" s="911"/>
      <c r="PKD5749" s="911"/>
      <c r="PKE5749" s="911"/>
      <c r="PKF5749" s="911"/>
      <c r="PKG5749" s="911"/>
      <c r="PKH5749" s="911"/>
      <c r="PKI5749" s="911"/>
      <c r="PKJ5749" s="911"/>
      <c r="PKK5749" s="32"/>
      <c r="PKL5749" s="911" t="s">
        <v>74</v>
      </c>
      <c r="PKM5749" s="911"/>
      <c r="PKN5749" s="911"/>
      <c r="PKO5749" s="911"/>
      <c r="PKP5749" s="911"/>
      <c r="PKQ5749" s="911"/>
      <c r="PKR5749" s="911"/>
      <c r="PKS5749" s="911"/>
      <c r="PKT5749" s="911"/>
      <c r="PKU5749" s="912"/>
      <c r="PKW5749" s="913" t="s">
        <v>1</v>
      </c>
      <c r="PKX5749" s="31"/>
      <c r="PKY5749" s="909" t="s">
        <v>0</v>
      </c>
      <c r="PKZ5749" s="909"/>
      <c r="PLA5749" s="909"/>
      <c r="PLB5749" s="909"/>
      <c r="PLC5749" s="909"/>
      <c r="PLD5749" s="909"/>
      <c r="PLE5749" s="907" t="s">
        <v>79</v>
      </c>
      <c r="PLF5749" s="909" t="s">
        <v>68</v>
      </c>
      <c r="PLG5749" s="910" t="s">
        <v>75</v>
      </c>
      <c r="PLH5749" s="911"/>
      <c r="PLI5749" s="911"/>
      <c r="PLJ5749" s="911"/>
      <c r="PLK5749" s="911"/>
      <c r="PLL5749" s="911"/>
      <c r="PLM5749" s="911"/>
      <c r="PLN5749" s="911"/>
      <c r="PLO5749" s="911"/>
      <c r="PLP5749" s="911"/>
      <c r="PLQ5749" s="32"/>
      <c r="PLR5749" s="911" t="s">
        <v>74</v>
      </c>
      <c r="PLS5749" s="911"/>
      <c r="PLT5749" s="911"/>
      <c r="PLU5749" s="911"/>
      <c r="PLV5749" s="911"/>
      <c r="PLW5749" s="911"/>
      <c r="PLX5749" s="911"/>
      <c r="PLY5749" s="911"/>
      <c r="PLZ5749" s="911"/>
      <c r="PMA5749" s="912"/>
      <c r="PMC5749" s="913" t="s">
        <v>1</v>
      </c>
      <c r="PMD5749" s="31"/>
      <c r="PME5749" s="909" t="s">
        <v>0</v>
      </c>
      <c r="PMF5749" s="909"/>
      <c r="PMG5749" s="909"/>
      <c r="PMH5749" s="909"/>
      <c r="PMI5749" s="909"/>
      <c r="PMJ5749" s="909"/>
      <c r="PMK5749" s="907" t="s">
        <v>79</v>
      </c>
      <c r="PML5749" s="909" t="s">
        <v>68</v>
      </c>
      <c r="PMM5749" s="910" t="s">
        <v>75</v>
      </c>
      <c r="PMN5749" s="911"/>
      <c r="PMO5749" s="911"/>
      <c r="PMP5749" s="911"/>
      <c r="PMQ5749" s="911"/>
      <c r="PMR5749" s="911"/>
      <c r="PMS5749" s="911"/>
      <c r="PMT5749" s="911"/>
      <c r="PMU5749" s="911"/>
      <c r="PMV5749" s="911"/>
      <c r="PMW5749" s="32"/>
      <c r="PMX5749" s="911" t="s">
        <v>74</v>
      </c>
      <c r="PMY5749" s="911"/>
      <c r="PMZ5749" s="911"/>
      <c r="PNA5749" s="911"/>
      <c r="PNB5749" s="911"/>
      <c r="PNC5749" s="911"/>
      <c r="PND5749" s="911"/>
      <c r="PNE5749" s="911"/>
      <c r="PNF5749" s="911"/>
      <c r="PNG5749" s="912"/>
      <c r="PNI5749" s="913" t="s">
        <v>1</v>
      </c>
      <c r="PNJ5749" s="31"/>
      <c r="PNK5749" s="909" t="s">
        <v>0</v>
      </c>
      <c r="PNL5749" s="909"/>
      <c r="PNM5749" s="909"/>
      <c r="PNN5749" s="909"/>
      <c r="PNO5749" s="909"/>
      <c r="PNP5749" s="909"/>
      <c r="PNQ5749" s="907" t="s">
        <v>79</v>
      </c>
      <c r="PNR5749" s="909" t="s">
        <v>68</v>
      </c>
      <c r="PNS5749" s="910" t="s">
        <v>75</v>
      </c>
      <c r="PNT5749" s="911"/>
      <c r="PNU5749" s="911"/>
      <c r="PNV5749" s="911"/>
      <c r="PNW5749" s="911"/>
      <c r="PNX5749" s="911"/>
      <c r="PNY5749" s="911"/>
      <c r="PNZ5749" s="911"/>
      <c r="POA5749" s="911"/>
      <c r="POB5749" s="911"/>
      <c r="POC5749" s="32"/>
      <c r="POD5749" s="911" t="s">
        <v>74</v>
      </c>
      <c r="POE5749" s="911"/>
      <c r="POF5749" s="911"/>
      <c r="POG5749" s="911"/>
      <c r="POH5749" s="911"/>
      <c r="POI5749" s="911"/>
      <c r="POJ5749" s="911"/>
      <c r="POK5749" s="911"/>
      <c r="POL5749" s="911"/>
      <c r="POM5749" s="912"/>
      <c r="POO5749" s="913" t="s">
        <v>1</v>
      </c>
      <c r="POP5749" s="31"/>
      <c r="POQ5749" s="909" t="s">
        <v>0</v>
      </c>
      <c r="POR5749" s="909"/>
      <c r="POS5749" s="909"/>
      <c r="POT5749" s="909"/>
      <c r="POU5749" s="909"/>
      <c r="POV5749" s="909"/>
      <c r="POW5749" s="907" t="s">
        <v>79</v>
      </c>
      <c r="POX5749" s="909" t="s">
        <v>68</v>
      </c>
      <c r="POY5749" s="910" t="s">
        <v>75</v>
      </c>
      <c r="POZ5749" s="911"/>
      <c r="PPA5749" s="911"/>
      <c r="PPB5749" s="911"/>
      <c r="PPC5749" s="911"/>
      <c r="PPD5749" s="911"/>
      <c r="PPE5749" s="911"/>
      <c r="PPF5749" s="911"/>
      <c r="PPG5749" s="911"/>
      <c r="PPH5749" s="911"/>
      <c r="PPI5749" s="32"/>
      <c r="PPJ5749" s="911" t="s">
        <v>74</v>
      </c>
      <c r="PPK5749" s="911"/>
      <c r="PPL5749" s="911"/>
      <c r="PPM5749" s="911"/>
      <c r="PPN5749" s="911"/>
      <c r="PPO5749" s="911"/>
      <c r="PPP5749" s="911"/>
      <c r="PPQ5749" s="911"/>
      <c r="PPR5749" s="911"/>
      <c r="PPS5749" s="912"/>
      <c r="PPU5749" s="913" t="s">
        <v>1</v>
      </c>
      <c r="PPV5749" s="31"/>
      <c r="PPW5749" s="909" t="s">
        <v>0</v>
      </c>
      <c r="PPX5749" s="909"/>
      <c r="PPY5749" s="909"/>
      <c r="PPZ5749" s="909"/>
      <c r="PQA5749" s="909"/>
      <c r="PQB5749" s="909"/>
      <c r="PQC5749" s="907" t="s">
        <v>79</v>
      </c>
      <c r="PQD5749" s="909" t="s">
        <v>68</v>
      </c>
      <c r="PQE5749" s="910" t="s">
        <v>75</v>
      </c>
      <c r="PQF5749" s="911"/>
      <c r="PQG5749" s="911"/>
      <c r="PQH5749" s="911"/>
      <c r="PQI5749" s="911"/>
      <c r="PQJ5749" s="911"/>
      <c r="PQK5749" s="911"/>
      <c r="PQL5749" s="911"/>
      <c r="PQM5749" s="911"/>
      <c r="PQN5749" s="911"/>
      <c r="PQO5749" s="32"/>
      <c r="PQP5749" s="911" t="s">
        <v>74</v>
      </c>
      <c r="PQQ5749" s="911"/>
      <c r="PQR5749" s="911"/>
      <c r="PQS5749" s="911"/>
      <c r="PQT5749" s="911"/>
      <c r="PQU5749" s="911"/>
      <c r="PQV5749" s="911"/>
      <c r="PQW5749" s="911"/>
      <c r="PQX5749" s="911"/>
      <c r="PQY5749" s="912"/>
      <c r="PRA5749" s="913" t="s">
        <v>1</v>
      </c>
      <c r="PRB5749" s="31"/>
      <c r="PRC5749" s="909" t="s">
        <v>0</v>
      </c>
      <c r="PRD5749" s="909"/>
      <c r="PRE5749" s="909"/>
      <c r="PRF5749" s="909"/>
      <c r="PRG5749" s="909"/>
      <c r="PRH5749" s="909"/>
      <c r="PRI5749" s="907" t="s">
        <v>79</v>
      </c>
      <c r="PRJ5749" s="909" t="s">
        <v>68</v>
      </c>
      <c r="PRK5749" s="910" t="s">
        <v>75</v>
      </c>
      <c r="PRL5749" s="911"/>
      <c r="PRM5749" s="911"/>
      <c r="PRN5749" s="911"/>
      <c r="PRO5749" s="911"/>
      <c r="PRP5749" s="911"/>
      <c r="PRQ5749" s="911"/>
      <c r="PRR5749" s="911"/>
      <c r="PRS5749" s="911"/>
      <c r="PRT5749" s="911"/>
      <c r="PRU5749" s="32"/>
      <c r="PRV5749" s="911" t="s">
        <v>74</v>
      </c>
      <c r="PRW5749" s="911"/>
      <c r="PRX5749" s="911"/>
      <c r="PRY5749" s="911"/>
      <c r="PRZ5749" s="911"/>
      <c r="PSA5749" s="911"/>
      <c r="PSB5749" s="911"/>
      <c r="PSC5749" s="911"/>
      <c r="PSD5749" s="911"/>
      <c r="PSE5749" s="912"/>
      <c r="PSG5749" s="913" t="s">
        <v>1</v>
      </c>
      <c r="PSH5749" s="31"/>
      <c r="PSI5749" s="909" t="s">
        <v>0</v>
      </c>
      <c r="PSJ5749" s="909"/>
      <c r="PSK5749" s="909"/>
      <c r="PSL5749" s="909"/>
      <c r="PSM5749" s="909"/>
      <c r="PSN5749" s="909"/>
      <c r="PSO5749" s="907" t="s">
        <v>79</v>
      </c>
      <c r="PSP5749" s="909" t="s">
        <v>68</v>
      </c>
      <c r="PSQ5749" s="910" t="s">
        <v>75</v>
      </c>
      <c r="PSR5749" s="911"/>
      <c r="PSS5749" s="911"/>
      <c r="PST5749" s="911"/>
      <c r="PSU5749" s="911"/>
      <c r="PSV5749" s="911"/>
      <c r="PSW5749" s="911"/>
      <c r="PSX5749" s="911"/>
      <c r="PSY5749" s="911"/>
      <c r="PSZ5749" s="911"/>
      <c r="PTA5749" s="32"/>
      <c r="PTB5749" s="911" t="s">
        <v>74</v>
      </c>
      <c r="PTC5749" s="911"/>
      <c r="PTD5749" s="911"/>
      <c r="PTE5749" s="911"/>
      <c r="PTF5749" s="911"/>
      <c r="PTG5749" s="911"/>
      <c r="PTH5749" s="911"/>
      <c r="PTI5749" s="911"/>
      <c r="PTJ5749" s="911"/>
      <c r="PTK5749" s="912"/>
      <c r="PTM5749" s="913" t="s">
        <v>1</v>
      </c>
      <c r="PTN5749" s="31"/>
      <c r="PTO5749" s="909" t="s">
        <v>0</v>
      </c>
      <c r="PTP5749" s="909"/>
      <c r="PTQ5749" s="909"/>
      <c r="PTR5749" s="909"/>
      <c r="PTS5749" s="909"/>
      <c r="PTT5749" s="909"/>
      <c r="PTU5749" s="907" t="s">
        <v>79</v>
      </c>
      <c r="PTV5749" s="909" t="s">
        <v>68</v>
      </c>
      <c r="PTW5749" s="910" t="s">
        <v>75</v>
      </c>
      <c r="PTX5749" s="911"/>
      <c r="PTY5749" s="911"/>
      <c r="PTZ5749" s="911"/>
      <c r="PUA5749" s="911"/>
      <c r="PUB5749" s="911"/>
      <c r="PUC5749" s="911"/>
      <c r="PUD5749" s="911"/>
      <c r="PUE5749" s="911"/>
      <c r="PUF5749" s="911"/>
      <c r="PUG5749" s="32"/>
      <c r="PUH5749" s="911" t="s">
        <v>74</v>
      </c>
      <c r="PUI5749" s="911"/>
      <c r="PUJ5749" s="911"/>
      <c r="PUK5749" s="911"/>
      <c r="PUL5749" s="911"/>
      <c r="PUM5749" s="911"/>
      <c r="PUN5749" s="911"/>
      <c r="PUO5749" s="911"/>
      <c r="PUP5749" s="911"/>
      <c r="PUQ5749" s="912"/>
      <c r="PUS5749" s="913" t="s">
        <v>1</v>
      </c>
      <c r="PUT5749" s="31"/>
      <c r="PUU5749" s="909" t="s">
        <v>0</v>
      </c>
      <c r="PUV5749" s="909"/>
      <c r="PUW5749" s="909"/>
      <c r="PUX5749" s="909"/>
      <c r="PUY5749" s="909"/>
      <c r="PUZ5749" s="909"/>
      <c r="PVA5749" s="907" t="s">
        <v>79</v>
      </c>
      <c r="PVB5749" s="909" t="s">
        <v>68</v>
      </c>
      <c r="PVC5749" s="910" t="s">
        <v>75</v>
      </c>
      <c r="PVD5749" s="911"/>
      <c r="PVE5749" s="911"/>
      <c r="PVF5749" s="911"/>
      <c r="PVG5749" s="911"/>
      <c r="PVH5749" s="911"/>
      <c r="PVI5749" s="911"/>
      <c r="PVJ5749" s="911"/>
      <c r="PVK5749" s="911"/>
      <c r="PVL5749" s="911"/>
      <c r="PVM5749" s="32"/>
      <c r="PVN5749" s="911" t="s">
        <v>74</v>
      </c>
      <c r="PVO5749" s="911"/>
      <c r="PVP5749" s="911"/>
      <c r="PVQ5749" s="911"/>
      <c r="PVR5749" s="911"/>
      <c r="PVS5749" s="911"/>
      <c r="PVT5749" s="911"/>
      <c r="PVU5749" s="911"/>
      <c r="PVV5749" s="911"/>
      <c r="PVW5749" s="912"/>
      <c r="PVY5749" s="913" t="s">
        <v>1</v>
      </c>
      <c r="PVZ5749" s="31"/>
      <c r="PWA5749" s="909" t="s">
        <v>0</v>
      </c>
      <c r="PWB5749" s="909"/>
      <c r="PWC5749" s="909"/>
      <c r="PWD5749" s="909"/>
      <c r="PWE5749" s="909"/>
      <c r="PWF5749" s="909"/>
      <c r="PWG5749" s="907" t="s">
        <v>79</v>
      </c>
      <c r="PWH5749" s="909" t="s">
        <v>68</v>
      </c>
      <c r="PWI5749" s="910" t="s">
        <v>75</v>
      </c>
      <c r="PWJ5749" s="911"/>
      <c r="PWK5749" s="911"/>
      <c r="PWL5749" s="911"/>
      <c r="PWM5749" s="911"/>
      <c r="PWN5749" s="911"/>
      <c r="PWO5749" s="911"/>
      <c r="PWP5749" s="911"/>
      <c r="PWQ5749" s="911"/>
      <c r="PWR5749" s="911"/>
      <c r="PWS5749" s="32"/>
      <c r="PWT5749" s="911" t="s">
        <v>74</v>
      </c>
      <c r="PWU5749" s="911"/>
      <c r="PWV5749" s="911"/>
      <c r="PWW5749" s="911"/>
      <c r="PWX5749" s="911"/>
      <c r="PWY5749" s="911"/>
      <c r="PWZ5749" s="911"/>
      <c r="PXA5749" s="911"/>
      <c r="PXB5749" s="911"/>
      <c r="PXC5749" s="912"/>
      <c r="PXE5749" s="913" t="s">
        <v>1</v>
      </c>
      <c r="PXF5749" s="31"/>
      <c r="PXG5749" s="909" t="s">
        <v>0</v>
      </c>
      <c r="PXH5749" s="909"/>
      <c r="PXI5749" s="909"/>
      <c r="PXJ5749" s="909"/>
      <c r="PXK5749" s="909"/>
      <c r="PXL5749" s="909"/>
      <c r="PXM5749" s="907" t="s">
        <v>79</v>
      </c>
      <c r="PXN5749" s="909" t="s">
        <v>68</v>
      </c>
      <c r="PXO5749" s="910" t="s">
        <v>75</v>
      </c>
      <c r="PXP5749" s="911"/>
      <c r="PXQ5749" s="911"/>
      <c r="PXR5749" s="911"/>
      <c r="PXS5749" s="911"/>
      <c r="PXT5749" s="911"/>
      <c r="PXU5749" s="911"/>
      <c r="PXV5749" s="911"/>
      <c r="PXW5749" s="911"/>
      <c r="PXX5749" s="911"/>
      <c r="PXY5749" s="32"/>
      <c r="PXZ5749" s="911" t="s">
        <v>74</v>
      </c>
      <c r="PYA5749" s="911"/>
      <c r="PYB5749" s="911"/>
      <c r="PYC5749" s="911"/>
      <c r="PYD5749" s="911"/>
      <c r="PYE5749" s="911"/>
      <c r="PYF5749" s="911"/>
      <c r="PYG5749" s="911"/>
      <c r="PYH5749" s="911"/>
      <c r="PYI5749" s="912"/>
      <c r="PYK5749" s="913" t="s">
        <v>1</v>
      </c>
      <c r="PYL5749" s="31"/>
      <c r="PYM5749" s="909" t="s">
        <v>0</v>
      </c>
      <c r="PYN5749" s="909"/>
      <c r="PYO5749" s="909"/>
      <c r="PYP5749" s="909"/>
      <c r="PYQ5749" s="909"/>
      <c r="PYR5749" s="909"/>
      <c r="PYS5749" s="907" t="s">
        <v>79</v>
      </c>
      <c r="PYT5749" s="909" t="s">
        <v>68</v>
      </c>
      <c r="PYU5749" s="910" t="s">
        <v>75</v>
      </c>
      <c r="PYV5749" s="911"/>
      <c r="PYW5749" s="911"/>
      <c r="PYX5749" s="911"/>
      <c r="PYY5749" s="911"/>
      <c r="PYZ5749" s="911"/>
      <c r="PZA5749" s="911"/>
      <c r="PZB5749" s="911"/>
      <c r="PZC5749" s="911"/>
      <c r="PZD5749" s="911"/>
      <c r="PZE5749" s="32"/>
      <c r="PZF5749" s="911" t="s">
        <v>74</v>
      </c>
      <c r="PZG5749" s="911"/>
      <c r="PZH5749" s="911"/>
      <c r="PZI5749" s="911"/>
      <c r="PZJ5749" s="911"/>
      <c r="PZK5749" s="911"/>
      <c r="PZL5749" s="911"/>
      <c r="PZM5749" s="911"/>
      <c r="PZN5749" s="911"/>
      <c r="PZO5749" s="912"/>
      <c r="PZQ5749" s="913" t="s">
        <v>1</v>
      </c>
      <c r="PZR5749" s="31"/>
      <c r="PZS5749" s="909" t="s">
        <v>0</v>
      </c>
      <c r="PZT5749" s="909"/>
      <c r="PZU5749" s="909"/>
      <c r="PZV5749" s="909"/>
      <c r="PZW5749" s="909"/>
      <c r="PZX5749" s="909"/>
      <c r="PZY5749" s="907" t="s">
        <v>79</v>
      </c>
      <c r="PZZ5749" s="909" t="s">
        <v>68</v>
      </c>
      <c r="QAA5749" s="910" t="s">
        <v>75</v>
      </c>
      <c r="QAB5749" s="911"/>
      <c r="QAC5749" s="911"/>
      <c r="QAD5749" s="911"/>
      <c r="QAE5749" s="911"/>
      <c r="QAF5749" s="911"/>
      <c r="QAG5749" s="911"/>
      <c r="QAH5749" s="911"/>
      <c r="QAI5749" s="911"/>
      <c r="QAJ5749" s="911"/>
      <c r="QAK5749" s="32"/>
      <c r="QAL5749" s="911" t="s">
        <v>74</v>
      </c>
      <c r="QAM5749" s="911"/>
      <c r="QAN5749" s="911"/>
      <c r="QAO5749" s="911"/>
      <c r="QAP5749" s="911"/>
      <c r="QAQ5749" s="911"/>
      <c r="QAR5749" s="911"/>
      <c r="QAS5749" s="911"/>
      <c r="QAT5749" s="911"/>
      <c r="QAU5749" s="912"/>
      <c r="QAW5749" s="913" t="s">
        <v>1</v>
      </c>
      <c r="QAX5749" s="31"/>
      <c r="QAY5749" s="909" t="s">
        <v>0</v>
      </c>
      <c r="QAZ5749" s="909"/>
      <c r="QBA5749" s="909"/>
      <c r="QBB5749" s="909"/>
      <c r="QBC5749" s="909"/>
      <c r="QBD5749" s="909"/>
      <c r="QBE5749" s="907" t="s">
        <v>79</v>
      </c>
      <c r="QBF5749" s="909" t="s">
        <v>68</v>
      </c>
      <c r="QBG5749" s="910" t="s">
        <v>75</v>
      </c>
      <c r="QBH5749" s="911"/>
      <c r="QBI5749" s="911"/>
      <c r="QBJ5749" s="911"/>
      <c r="QBK5749" s="911"/>
      <c r="QBL5749" s="911"/>
      <c r="QBM5749" s="911"/>
      <c r="QBN5749" s="911"/>
      <c r="QBO5749" s="911"/>
      <c r="QBP5749" s="911"/>
      <c r="QBQ5749" s="32"/>
      <c r="QBR5749" s="911" t="s">
        <v>74</v>
      </c>
      <c r="QBS5749" s="911"/>
      <c r="QBT5749" s="911"/>
      <c r="QBU5749" s="911"/>
      <c r="QBV5749" s="911"/>
      <c r="QBW5749" s="911"/>
      <c r="QBX5749" s="911"/>
      <c r="QBY5749" s="911"/>
      <c r="QBZ5749" s="911"/>
      <c r="QCA5749" s="912"/>
      <c r="QCC5749" s="913" t="s">
        <v>1</v>
      </c>
      <c r="QCD5749" s="31"/>
      <c r="QCE5749" s="909" t="s">
        <v>0</v>
      </c>
      <c r="QCF5749" s="909"/>
      <c r="QCG5749" s="909"/>
      <c r="QCH5749" s="909"/>
      <c r="QCI5749" s="909"/>
      <c r="QCJ5749" s="909"/>
      <c r="QCK5749" s="907" t="s">
        <v>79</v>
      </c>
      <c r="QCL5749" s="909" t="s">
        <v>68</v>
      </c>
      <c r="QCM5749" s="910" t="s">
        <v>75</v>
      </c>
      <c r="QCN5749" s="911"/>
      <c r="QCO5749" s="911"/>
      <c r="QCP5749" s="911"/>
      <c r="QCQ5749" s="911"/>
      <c r="QCR5749" s="911"/>
      <c r="QCS5749" s="911"/>
      <c r="QCT5749" s="911"/>
      <c r="QCU5749" s="911"/>
      <c r="QCV5749" s="911"/>
      <c r="QCW5749" s="32"/>
      <c r="QCX5749" s="911" t="s">
        <v>74</v>
      </c>
      <c r="QCY5749" s="911"/>
      <c r="QCZ5749" s="911"/>
      <c r="QDA5749" s="911"/>
      <c r="QDB5749" s="911"/>
      <c r="QDC5749" s="911"/>
      <c r="QDD5749" s="911"/>
      <c r="QDE5749" s="911"/>
      <c r="QDF5749" s="911"/>
      <c r="QDG5749" s="912"/>
      <c r="QDI5749" s="913" t="s">
        <v>1</v>
      </c>
      <c r="QDJ5749" s="31"/>
      <c r="QDK5749" s="909" t="s">
        <v>0</v>
      </c>
      <c r="QDL5749" s="909"/>
      <c r="QDM5749" s="909"/>
      <c r="QDN5749" s="909"/>
      <c r="QDO5749" s="909"/>
      <c r="QDP5749" s="909"/>
      <c r="QDQ5749" s="907" t="s">
        <v>79</v>
      </c>
      <c r="QDR5749" s="909" t="s">
        <v>68</v>
      </c>
      <c r="QDS5749" s="910" t="s">
        <v>75</v>
      </c>
      <c r="QDT5749" s="911"/>
      <c r="QDU5749" s="911"/>
      <c r="QDV5749" s="911"/>
      <c r="QDW5749" s="911"/>
      <c r="QDX5749" s="911"/>
      <c r="QDY5749" s="911"/>
      <c r="QDZ5749" s="911"/>
      <c r="QEA5749" s="911"/>
      <c r="QEB5749" s="911"/>
      <c r="QEC5749" s="32"/>
      <c r="QED5749" s="911" t="s">
        <v>74</v>
      </c>
      <c r="QEE5749" s="911"/>
      <c r="QEF5749" s="911"/>
      <c r="QEG5749" s="911"/>
      <c r="QEH5749" s="911"/>
      <c r="QEI5749" s="911"/>
      <c r="QEJ5749" s="911"/>
      <c r="QEK5749" s="911"/>
      <c r="QEL5749" s="911"/>
      <c r="QEM5749" s="912"/>
      <c r="QEO5749" s="913" t="s">
        <v>1</v>
      </c>
      <c r="QEP5749" s="31"/>
      <c r="QEQ5749" s="909" t="s">
        <v>0</v>
      </c>
      <c r="QER5749" s="909"/>
      <c r="QES5749" s="909"/>
      <c r="QET5749" s="909"/>
      <c r="QEU5749" s="909"/>
      <c r="QEV5749" s="909"/>
      <c r="QEW5749" s="907" t="s">
        <v>79</v>
      </c>
      <c r="QEX5749" s="909" t="s">
        <v>68</v>
      </c>
      <c r="QEY5749" s="910" t="s">
        <v>75</v>
      </c>
      <c r="QEZ5749" s="911"/>
      <c r="QFA5749" s="911"/>
      <c r="QFB5749" s="911"/>
      <c r="QFC5749" s="911"/>
      <c r="QFD5749" s="911"/>
      <c r="QFE5749" s="911"/>
      <c r="QFF5749" s="911"/>
      <c r="QFG5749" s="911"/>
      <c r="QFH5749" s="911"/>
      <c r="QFI5749" s="32"/>
      <c r="QFJ5749" s="911" t="s">
        <v>74</v>
      </c>
      <c r="QFK5749" s="911"/>
      <c r="QFL5749" s="911"/>
      <c r="QFM5749" s="911"/>
      <c r="QFN5749" s="911"/>
      <c r="QFO5749" s="911"/>
      <c r="QFP5749" s="911"/>
      <c r="QFQ5749" s="911"/>
      <c r="QFR5749" s="911"/>
      <c r="QFS5749" s="912"/>
      <c r="QFU5749" s="913" t="s">
        <v>1</v>
      </c>
      <c r="QFV5749" s="31"/>
      <c r="QFW5749" s="909" t="s">
        <v>0</v>
      </c>
      <c r="QFX5749" s="909"/>
      <c r="QFY5749" s="909"/>
      <c r="QFZ5749" s="909"/>
      <c r="QGA5749" s="909"/>
      <c r="QGB5749" s="909"/>
      <c r="QGC5749" s="907" t="s">
        <v>79</v>
      </c>
      <c r="QGD5749" s="909" t="s">
        <v>68</v>
      </c>
      <c r="QGE5749" s="910" t="s">
        <v>75</v>
      </c>
      <c r="QGF5749" s="911"/>
      <c r="QGG5749" s="911"/>
      <c r="QGH5749" s="911"/>
      <c r="QGI5749" s="911"/>
      <c r="QGJ5749" s="911"/>
      <c r="QGK5749" s="911"/>
      <c r="QGL5749" s="911"/>
      <c r="QGM5749" s="911"/>
      <c r="QGN5749" s="911"/>
      <c r="QGO5749" s="32"/>
      <c r="QGP5749" s="911" t="s">
        <v>74</v>
      </c>
      <c r="QGQ5749" s="911"/>
      <c r="QGR5749" s="911"/>
      <c r="QGS5749" s="911"/>
      <c r="QGT5749" s="911"/>
      <c r="QGU5749" s="911"/>
      <c r="QGV5749" s="911"/>
      <c r="QGW5749" s="911"/>
      <c r="QGX5749" s="911"/>
      <c r="QGY5749" s="912"/>
      <c r="QHA5749" s="913" t="s">
        <v>1</v>
      </c>
      <c r="QHB5749" s="31"/>
      <c r="QHC5749" s="909" t="s">
        <v>0</v>
      </c>
      <c r="QHD5749" s="909"/>
      <c r="QHE5749" s="909"/>
      <c r="QHF5749" s="909"/>
      <c r="QHG5749" s="909"/>
      <c r="QHH5749" s="909"/>
      <c r="QHI5749" s="907" t="s">
        <v>79</v>
      </c>
      <c r="QHJ5749" s="909" t="s">
        <v>68</v>
      </c>
      <c r="QHK5749" s="910" t="s">
        <v>75</v>
      </c>
      <c r="QHL5749" s="911"/>
      <c r="QHM5749" s="911"/>
      <c r="QHN5749" s="911"/>
      <c r="QHO5749" s="911"/>
      <c r="QHP5749" s="911"/>
      <c r="QHQ5749" s="911"/>
      <c r="QHR5749" s="911"/>
      <c r="QHS5749" s="911"/>
      <c r="QHT5749" s="911"/>
      <c r="QHU5749" s="32"/>
      <c r="QHV5749" s="911" t="s">
        <v>74</v>
      </c>
      <c r="QHW5749" s="911"/>
      <c r="QHX5749" s="911"/>
      <c r="QHY5749" s="911"/>
      <c r="QHZ5749" s="911"/>
      <c r="QIA5749" s="911"/>
      <c r="QIB5749" s="911"/>
      <c r="QIC5749" s="911"/>
      <c r="QID5749" s="911"/>
      <c r="QIE5749" s="912"/>
      <c r="QIG5749" s="913" t="s">
        <v>1</v>
      </c>
      <c r="QIH5749" s="31"/>
      <c r="QII5749" s="909" t="s">
        <v>0</v>
      </c>
      <c r="QIJ5749" s="909"/>
      <c r="QIK5749" s="909"/>
      <c r="QIL5749" s="909"/>
      <c r="QIM5749" s="909"/>
      <c r="QIN5749" s="909"/>
      <c r="QIO5749" s="907" t="s">
        <v>79</v>
      </c>
      <c r="QIP5749" s="909" t="s">
        <v>68</v>
      </c>
      <c r="QIQ5749" s="910" t="s">
        <v>75</v>
      </c>
      <c r="QIR5749" s="911"/>
      <c r="QIS5749" s="911"/>
      <c r="QIT5749" s="911"/>
      <c r="QIU5749" s="911"/>
      <c r="QIV5749" s="911"/>
      <c r="QIW5749" s="911"/>
      <c r="QIX5749" s="911"/>
      <c r="QIY5749" s="911"/>
      <c r="QIZ5749" s="911"/>
      <c r="QJA5749" s="32"/>
      <c r="QJB5749" s="911" t="s">
        <v>74</v>
      </c>
      <c r="QJC5749" s="911"/>
      <c r="QJD5749" s="911"/>
      <c r="QJE5749" s="911"/>
      <c r="QJF5749" s="911"/>
      <c r="QJG5749" s="911"/>
      <c r="QJH5749" s="911"/>
      <c r="QJI5749" s="911"/>
      <c r="QJJ5749" s="911"/>
      <c r="QJK5749" s="912"/>
      <c r="QJM5749" s="913" t="s">
        <v>1</v>
      </c>
      <c r="QJN5749" s="31"/>
      <c r="QJO5749" s="909" t="s">
        <v>0</v>
      </c>
      <c r="QJP5749" s="909"/>
      <c r="QJQ5749" s="909"/>
      <c r="QJR5749" s="909"/>
      <c r="QJS5749" s="909"/>
      <c r="QJT5749" s="909"/>
      <c r="QJU5749" s="907" t="s">
        <v>79</v>
      </c>
      <c r="QJV5749" s="909" t="s">
        <v>68</v>
      </c>
      <c r="QJW5749" s="910" t="s">
        <v>75</v>
      </c>
      <c r="QJX5749" s="911"/>
      <c r="QJY5749" s="911"/>
      <c r="QJZ5749" s="911"/>
      <c r="QKA5749" s="911"/>
      <c r="QKB5749" s="911"/>
      <c r="QKC5749" s="911"/>
      <c r="QKD5749" s="911"/>
      <c r="QKE5749" s="911"/>
      <c r="QKF5749" s="911"/>
      <c r="QKG5749" s="32"/>
      <c r="QKH5749" s="911" t="s">
        <v>74</v>
      </c>
      <c r="QKI5749" s="911"/>
      <c r="QKJ5749" s="911"/>
      <c r="QKK5749" s="911"/>
      <c r="QKL5749" s="911"/>
      <c r="QKM5749" s="911"/>
      <c r="QKN5749" s="911"/>
      <c r="QKO5749" s="911"/>
      <c r="QKP5749" s="911"/>
      <c r="QKQ5749" s="912"/>
      <c r="QKS5749" s="913" t="s">
        <v>1</v>
      </c>
      <c r="QKT5749" s="31"/>
      <c r="QKU5749" s="909" t="s">
        <v>0</v>
      </c>
      <c r="QKV5749" s="909"/>
      <c r="QKW5749" s="909"/>
      <c r="QKX5749" s="909"/>
      <c r="QKY5749" s="909"/>
      <c r="QKZ5749" s="909"/>
      <c r="QLA5749" s="907" t="s">
        <v>79</v>
      </c>
      <c r="QLB5749" s="909" t="s">
        <v>68</v>
      </c>
      <c r="QLC5749" s="910" t="s">
        <v>75</v>
      </c>
      <c r="QLD5749" s="911"/>
      <c r="QLE5749" s="911"/>
      <c r="QLF5749" s="911"/>
      <c r="QLG5749" s="911"/>
      <c r="QLH5749" s="911"/>
      <c r="QLI5749" s="911"/>
      <c r="QLJ5749" s="911"/>
      <c r="QLK5749" s="911"/>
      <c r="QLL5749" s="911"/>
      <c r="QLM5749" s="32"/>
      <c r="QLN5749" s="911" t="s">
        <v>74</v>
      </c>
      <c r="QLO5749" s="911"/>
      <c r="QLP5749" s="911"/>
      <c r="QLQ5749" s="911"/>
      <c r="QLR5749" s="911"/>
      <c r="QLS5749" s="911"/>
      <c r="QLT5749" s="911"/>
      <c r="QLU5749" s="911"/>
      <c r="QLV5749" s="911"/>
      <c r="QLW5749" s="912"/>
      <c r="QLY5749" s="913" t="s">
        <v>1</v>
      </c>
      <c r="QLZ5749" s="31"/>
      <c r="QMA5749" s="909" t="s">
        <v>0</v>
      </c>
      <c r="QMB5749" s="909"/>
      <c r="QMC5749" s="909"/>
      <c r="QMD5749" s="909"/>
      <c r="QME5749" s="909"/>
      <c r="QMF5749" s="909"/>
      <c r="QMG5749" s="907" t="s">
        <v>79</v>
      </c>
      <c r="QMH5749" s="909" t="s">
        <v>68</v>
      </c>
      <c r="QMI5749" s="910" t="s">
        <v>75</v>
      </c>
      <c r="QMJ5749" s="911"/>
      <c r="QMK5749" s="911"/>
      <c r="QML5749" s="911"/>
      <c r="QMM5749" s="911"/>
      <c r="QMN5749" s="911"/>
      <c r="QMO5749" s="911"/>
      <c r="QMP5749" s="911"/>
      <c r="QMQ5749" s="911"/>
      <c r="QMR5749" s="911"/>
      <c r="QMS5749" s="32"/>
      <c r="QMT5749" s="911" t="s">
        <v>74</v>
      </c>
      <c r="QMU5749" s="911"/>
      <c r="QMV5749" s="911"/>
      <c r="QMW5749" s="911"/>
      <c r="QMX5749" s="911"/>
      <c r="QMY5749" s="911"/>
      <c r="QMZ5749" s="911"/>
      <c r="QNA5749" s="911"/>
      <c r="QNB5749" s="911"/>
      <c r="QNC5749" s="912"/>
      <c r="QNE5749" s="913" t="s">
        <v>1</v>
      </c>
      <c r="QNF5749" s="31"/>
      <c r="QNG5749" s="909" t="s">
        <v>0</v>
      </c>
      <c r="QNH5749" s="909"/>
      <c r="QNI5749" s="909"/>
      <c r="QNJ5749" s="909"/>
      <c r="QNK5749" s="909"/>
      <c r="QNL5749" s="909"/>
      <c r="QNM5749" s="907" t="s">
        <v>79</v>
      </c>
      <c r="QNN5749" s="909" t="s">
        <v>68</v>
      </c>
      <c r="QNO5749" s="910" t="s">
        <v>75</v>
      </c>
      <c r="QNP5749" s="911"/>
      <c r="QNQ5749" s="911"/>
      <c r="QNR5749" s="911"/>
      <c r="QNS5749" s="911"/>
      <c r="QNT5749" s="911"/>
      <c r="QNU5749" s="911"/>
      <c r="QNV5749" s="911"/>
      <c r="QNW5749" s="911"/>
      <c r="QNX5749" s="911"/>
      <c r="QNY5749" s="32"/>
      <c r="QNZ5749" s="911" t="s">
        <v>74</v>
      </c>
      <c r="QOA5749" s="911"/>
      <c r="QOB5749" s="911"/>
      <c r="QOC5749" s="911"/>
      <c r="QOD5749" s="911"/>
      <c r="QOE5749" s="911"/>
      <c r="QOF5749" s="911"/>
      <c r="QOG5749" s="911"/>
      <c r="QOH5749" s="911"/>
      <c r="QOI5749" s="912"/>
      <c r="QOK5749" s="913" t="s">
        <v>1</v>
      </c>
      <c r="QOL5749" s="31"/>
      <c r="QOM5749" s="909" t="s">
        <v>0</v>
      </c>
      <c r="QON5749" s="909"/>
      <c r="QOO5749" s="909"/>
      <c r="QOP5749" s="909"/>
      <c r="QOQ5749" s="909"/>
      <c r="QOR5749" s="909"/>
      <c r="QOS5749" s="907" t="s">
        <v>79</v>
      </c>
      <c r="QOT5749" s="909" t="s">
        <v>68</v>
      </c>
      <c r="QOU5749" s="910" t="s">
        <v>75</v>
      </c>
      <c r="QOV5749" s="911"/>
      <c r="QOW5749" s="911"/>
      <c r="QOX5749" s="911"/>
      <c r="QOY5749" s="911"/>
      <c r="QOZ5749" s="911"/>
      <c r="QPA5749" s="911"/>
      <c r="QPB5749" s="911"/>
      <c r="QPC5749" s="911"/>
      <c r="QPD5749" s="911"/>
      <c r="QPE5749" s="32"/>
      <c r="QPF5749" s="911" t="s">
        <v>74</v>
      </c>
      <c r="QPG5749" s="911"/>
      <c r="QPH5749" s="911"/>
      <c r="QPI5749" s="911"/>
      <c r="QPJ5749" s="911"/>
      <c r="QPK5749" s="911"/>
      <c r="QPL5749" s="911"/>
      <c r="QPM5749" s="911"/>
      <c r="QPN5749" s="911"/>
      <c r="QPO5749" s="912"/>
      <c r="QPQ5749" s="913" t="s">
        <v>1</v>
      </c>
      <c r="QPR5749" s="31"/>
      <c r="QPS5749" s="909" t="s">
        <v>0</v>
      </c>
      <c r="QPT5749" s="909"/>
      <c r="QPU5749" s="909"/>
      <c r="QPV5749" s="909"/>
      <c r="QPW5749" s="909"/>
      <c r="QPX5749" s="909"/>
      <c r="QPY5749" s="907" t="s">
        <v>79</v>
      </c>
      <c r="QPZ5749" s="909" t="s">
        <v>68</v>
      </c>
      <c r="QQA5749" s="910" t="s">
        <v>75</v>
      </c>
      <c r="QQB5749" s="911"/>
      <c r="QQC5749" s="911"/>
      <c r="QQD5749" s="911"/>
      <c r="QQE5749" s="911"/>
      <c r="QQF5749" s="911"/>
      <c r="QQG5749" s="911"/>
      <c r="QQH5749" s="911"/>
      <c r="QQI5749" s="911"/>
      <c r="QQJ5749" s="911"/>
      <c r="QQK5749" s="32"/>
      <c r="QQL5749" s="911" t="s">
        <v>74</v>
      </c>
      <c r="QQM5749" s="911"/>
      <c r="QQN5749" s="911"/>
      <c r="QQO5749" s="911"/>
      <c r="QQP5749" s="911"/>
      <c r="QQQ5749" s="911"/>
      <c r="QQR5749" s="911"/>
      <c r="QQS5749" s="911"/>
      <c r="QQT5749" s="911"/>
      <c r="QQU5749" s="912"/>
      <c r="QQW5749" s="913" t="s">
        <v>1</v>
      </c>
      <c r="QQX5749" s="31"/>
      <c r="QQY5749" s="909" t="s">
        <v>0</v>
      </c>
      <c r="QQZ5749" s="909"/>
      <c r="QRA5749" s="909"/>
      <c r="QRB5749" s="909"/>
      <c r="QRC5749" s="909"/>
      <c r="QRD5749" s="909"/>
      <c r="QRE5749" s="907" t="s">
        <v>79</v>
      </c>
      <c r="QRF5749" s="909" t="s">
        <v>68</v>
      </c>
      <c r="QRG5749" s="910" t="s">
        <v>75</v>
      </c>
      <c r="QRH5749" s="911"/>
      <c r="QRI5749" s="911"/>
      <c r="QRJ5749" s="911"/>
      <c r="QRK5749" s="911"/>
      <c r="QRL5749" s="911"/>
      <c r="QRM5749" s="911"/>
      <c r="QRN5749" s="911"/>
      <c r="QRO5749" s="911"/>
      <c r="QRP5749" s="911"/>
      <c r="QRQ5749" s="32"/>
      <c r="QRR5749" s="911" t="s">
        <v>74</v>
      </c>
      <c r="QRS5749" s="911"/>
      <c r="QRT5749" s="911"/>
      <c r="QRU5749" s="911"/>
      <c r="QRV5749" s="911"/>
      <c r="QRW5749" s="911"/>
      <c r="QRX5749" s="911"/>
      <c r="QRY5749" s="911"/>
      <c r="QRZ5749" s="911"/>
      <c r="QSA5749" s="912"/>
      <c r="QSC5749" s="913" t="s">
        <v>1</v>
      </c>
      <c r="QSD5749" s="31"/>
      <c r="QSE5749" s="909" t="s">
        <v>0</v>
      </c>
      <c r="QSF5749" s="909"/>
      <c r="QSG5749" s="909"/>
      <c r="QSH5749" s="909"/>
      <c r="QSI5749" s="909"/>
      <c r="QSJ5749" s="909"/>
      <c r="QSK5749" s="907" t="s">
        <v>79</v>
      </c>
      <c r="QSL5749" s="909" t="s">
        <v>68</v>
      </c>
      <c r="QSM5749" s="910" t="s">
        <v>75</v>
      </c>
      <c r="QSN5749" s="911"/>
      <c r="QSO5749" s="911"/>
      <c r="QSP5749" s="911"/>
      <c r="QSQ5749" s="911"/>
      <c r="QSR5749" s="911"/>
      <c r="QSS5749" s="911"/>
      <c r="QST5749" s="911"/>
      <c r="QSU5749" s="911"/>
      <c r="QSV5749" s="911"/>
      <c r="QSW5749" s="32"/>
      <c r="QSX5749" s="911" t="s">
        <v>74</v>
      </c>
      <c r="QSY5749" s="911"/>
      <c r="QSZ5749" s="911"/>
      <c r="QTA5749" s="911"/>
      <c r="QTB5749" s="911"/>
      <c r="QTC5749" s="911"/>
      <c r="QTD5749" s="911"/>
      <c r="QTE5749" s="911"/>
      <c r="QTF5749" s="911"/>
      <c r="QTG5749" s="912"/>
      <c r="QTI5749" s="913" t="s">
        <v>1</v>
      </c>
      <c r="QTJ5749" s="31"/>
      <c r="QTK5749" s="909" t="s">
        <v>0</v>
      </c>
      <c r="QTL5749" s="909"/>
      <c r="QTM5749" s="909"/>
      <c r="QTN5749" s="909"/>
      <c r="QTO5749" s="909"/>
      <c r="QTP5749" s="909"/>
      <c r="QTQ5749" s="907" t="s">
        <v>79</v>
      </c>
      <c r="QTR5749" s="909" t="s">
        <v>68</v>
      </c>
      <c r="QTS5749" s="910" t="s">
        <v>75</v>
      </c>
      <c r="QTT5749" s="911"/>
      <c r="QTU5749" s="911"/>
      <c r="QTV5749" s="911"/>
      <c r="QTW5749" s="911"/>
      <c r="QTX5749" s="911"/>
      <c r="QTY5749" s="911"/>
      <c r="QTZ5749" s="911"/>
      <c r="QUA5749" s="911"/>
      <c r="QUB5749" s="911"/>
      <c r="QUC5749" s="32"/>
      <c r="QUD5749" s="911" t="s">
        <v>74</v>
      </c>
      <c r="QUE5749" s="911"/>
      <c r="QUF5749" s="911"/>
      <c r="QUG5749" s="911"/>
      <c r="QUH5749" s="911"/>
      <c r="QUI5749" s="911"/>
      <c r="QUJ5749" s="911"/>
      <c r="QUK5749" s="911"/>
      <c r="QUL5749" s="911"/>
      <c r="QUM5749" s="912"/>
      <c r="QUO5749" s="913" t="s">
        <v>1</v>
      </c>
      <c r="QUP5749" s="31"/>
      <c r="QUQ5749" s="909" t="s">
        <v>0</v>
      </c>
      <c r="QUR5749" s="909"/>
      <c r="QUS5749" s="909"/>
      <c r="QUT5749" s="909"/>
      <c r="QUU5749" s="909"/>
      <c r="QUV5749" s="909"/>
      <c r="QUW5749" s="907" t="s">
        <v>79</v>
      </c>
      <c r="QUX5749" s="909" t="s">
        <v>68</v>
      </c>
      <c r="QUY5749" s="910" t="s">
        <v>75</v>
      </c>
      <c r="QUZ5749" s="911"/>
      <c r="QVA5749" s="911"/>
      <c r="QVB5749" s="911"/>
      <c r="QVC5749" s="911"/>
      <c r="QVD5749" s="911"/>
      <c r="QVE5749" s="911"/>
      <c r="QVF5749" s="911"/>
      <c r="QVG5749" s="911"/>
      <c r="QVH5749" s="911"/>
      <c r="QVI5749" s="32"/>
      <c r="QVJ5749" s="911" t="s">
        <v>74</v>
      </c>
      <c r="QVK5749" s="911"/>
      <c r="QVL5749" s="911"/>
      <c r="QVM5749" s="911"/>
      <c r="QVN5749" s="911"/>
      <c r="QVO5749" s="911"/>
      <c r="QVP5749" s="911"/>
      <c r="QVQ5749" s="911"/>
      <c r="QVR5749" s="911"/>
      <c r="QVS5749" s="912"/>
      <c r="QVU5749" s="913" t="s">
        <v>1</v>
      </c>
      <c r="QVV5749" s="31"/>
      <c r="QVW5749" s="909" t="s">
        <v>0</v>
      </c>
      <c r="QVX5749" s="909"/>
      <c r="QVY5749" s="909"/>
      <c r="QVZ5749" s="909"/>
      <c r="QWA5749" s="909"/>
      <c r="QWB5749" s="909"/>
      <c r="QWC5749" s="907" t="s">
        <v>79</v>
      </c>
      <c r="QWD5749" s="909" t="s">
        <v>68</v>
      </c>
      <c r="QWE5749" s="910" t="s">
        <v>75</v>
      </c>
      <c r="QWF5749" s="911"/>
      <c r="QWG5749" s="911"/>
      <c r="QWH5749" s="911"/>
      <c r="QWI5749" s="911"/>
      <c r="QWJ5749" s="911"/>
      <c r="QWK5749" s="911"/>
      <c r="QWL5749" s="911"/>
      <c r="QWM5749" s="911"/>
      <c r="QWN5749" s="911"/>
      <c r="QWO5749" s="32"/>
      <c r="QWP5749" s="911" t="s">
        <v>74</v>
      </c>
      <c r="QWQ5749" s="911"/>
      <c r="QWR5749" s="911"/>
      <c r="QWS5749" s="911"/>
      <c r="QWT5749" s="911"/>
      <c r="QWU5749" s="911"/>
      <c r="QWV5749" s="911"/>
      <c r="QWW5749" s="911"/>
      <c r="QWX5749" s="911"/>
      <c r="QWY5749" s="912"/>
      <c r="QXA5749" s="913" t="s">
        <v>1</v>
      </c>
      <c r="QXB5749" s="31"/>
      <c r="QXC5749" s="909" t="s">
        <v>0</v>
      </c>
      <c r="QXD5749" s="909"/>
      <c r="QXE5749" s="909"/>
      <c r="QXF5749" s="909"/>
      <c r="QXG5749" s="909"/>
      <c r="QXH5749" s="909"/>
      <c r="QXI5749" s="907" t="s">
        <v>79</v>
      </c>
      <c r="QXJ5749" s="909" t="s">
        <v>68</v>
      </c>
      <c r="QXK5749" s="910" t="s">
        <v>75</v>
      </c>
      <c r="QXL5749" s="911"/>
      <c r="QXM5749" s="911"/>
      <c r="QXN5749" s="911"/>
      <c r="QXO5749" s="911"/>
      <c r="QXP5749" s="911"/>
      <c r="QXQ5749" s="911"/>
      <c r="QXR5749" s="911"/>
      <c r="QXS5749" s="911"/>
      <c r="QXT5749" s="911"/>
      <c r="QXU5749" s="32"/>
      <c r="QXV5749" s="911" t="s">
        <v>74</v>
      </c>
      <c r="QXW5749" s="911"/>
      <c r="QXX5749" s="911"/>
      <c r="QXY5749" s="911"/>
      <c r="QXZ5749" s="911"/>
      <c r="QYA5749" s="911"/>
      <c r="QYB5749" s="911"/>
      <c r="QYC5749" s="911"/>
      <c r="QYD5749" s="911"/>
      <c r="QYE5749" s="912"/>
      <c r="QYG5749" s="913" t="s">
        <v>1</v>
      </c>
      <c r="QYH5749" s="31"/>
      <c r="QYI5749" s="909" t="s">
        <v>0</v>
      </c>
      <c r="QYJ5749" s="909"/>
      <c r="QYK5749" s="909"/>
      <c r="QYL5749" s="909"/>
      <c r="QYM5749" s="909"/>
      <c r="QYN5749" s="909"/>
      <c r="QYO5749" s="907" t="s">
        <v>79</v>
      </c>
      <c r="QYP5749" s="909" t="s">
        <v>68</v>
      </c>
      <c r="QYQ5749" s="910" t="s">
        <v>75</v>
      </c>
      <c r="QYR5749" s="911"/>
      <c r="QYS5749" s="911"/>
      <c r="QYT5749" s="911"/>
      <c r="QYU5749" s="911"/>
      <c r="QYV5749" s="911"/>
      <c r="QYW5749" s="911"/>
      <c r="QYX5749" s="911"/>
      <c r="QYY5749" s="911"/>
      <c r="QYZ5749" s="911"/>
      <c r="QZA5749" s="32"/>
      <c r="QZB5749" s="911" t="s">
        <v>74</v>
      </c>
      <c r="QZC5749" s="911"/>
      <c r="QZD5749" s="911"/>
      <c r="QZE5749" s="911"/>
      <c r="QZF5749" s="911"/>
      <c r="QZG5749" s="911"/>
      <c r="QZH5749" s="911"/>
      <c r="QZI5749" s="911"/>
      <c r="QZJ5749" s="911"/>
      <c r="QZK5749" s="912"/>
      <c r="QZM5749" s="913" t="s">
        <v>1</v>
      </c>
      <c r="QZN5749" s="31"/>
      <c r="QZO5749" s="909" t="s">
        <v>0</v>
      </c>
      <c r="QZP5749" s="909"/>
      <c r="QZQ5749" s="909"/>
      <c r="QZR5749" s="909"/>
      <c r="QZS5749" s="909"/>
      <c r="QZT5749" s="909"/>
      <c r="QZU5749" s="907" t="s">
        <v>79</v>
      </c>
      <c r="QZV5749" s="909" t="s">
        <v>68</v>
      </c>
      <c r="QZW5749" s="910" t="s">
        <v>75</v>
      </c>
      <c r="QZX5749" s="911"/>
      <c r="QZY5749" s="911"/>
      <c r="QZZ5749" s="911"/>
      <c r="RAA5749" s="911"/>
      <c r="RAB5749" s="911"/>
      <c r="RAC5749" s="911"/>
      <c r="RAD5749" s="911"/>
      <c r="RAE5749" s="911"/>
      <c r="RAF5749" s="911"/>
      <c r="RAG5749" s="32"/>
      <c r="RAH5749" s="911" t="s">
        <v>74</v>
      </c>
      <c r="RAI5749" s="911"/>
      <c r="RAJ5749" s="911"/>
      <c r="RAK5749" s="911"/>
      <c r="RAL5749" s="911"/>
      <c r="RAM5749" s="911"/>
      <c r="RAN5749" s="911"/>
      <c r="RAO5749" s="911"/>
      <c r="RAP5749" s="911"/>
      <c r="RAQ5749" s="912"/>
      <c r="RAS5749" s="913" t="s">
        <v>1</v>
      </c>
      <c r="RAT5749" s="31"/>
      <c r="RAU5749" s="909" t="s">
        <v>0</v>
      </c>
      <c r="RAV5749" s="909"/>
      <c r="RAW5749" s="909"/>
      <c r="RAX5749" s="909"/>
      <c r="RAY5749" s="909"/>
      <c r="RAZ5749" s="909"/>
      <c r="RBA5749" s="907" t="s">
        <v>79</v>
      </c>
      <c r="RBB5749" s="909" t="s">
        <v>68</v>
      </c>
      <c r="RBC5749" s="910" t="s">
        <v>75</v>
      </c>
      <c r="RBD5749" s="911"/>
      <c r="RBE5749" s="911"/>
      <c r="RBF5749" s="911"/>
      <c r="RBG5749" s="911"/>
      <c r="RBH5749" s="911"/>
      <c r="RBI5749" s="911"/>
      <c r="RBJ5749" s="911"/>
      <c r="RBK5749" s="911"/>
      <c r="RBL5749" s="911"/>
      <c r="RBM5749" s="32"/>
      <c r="RBN5749" s="911" t="s">
        <v>74</v>
      </c>
      <c r="RBO5749" s="911"/>
      <c r="RBP5749" s="911"/>
      <c r="RBQ5749" s="911"/>
      <c r="RBR5749" s="911"/>
      <c r="RBS5749" s="911"/>
      <c r="RBT5749" s="911"/>
      <c r="RBU5749" s="911"/>
      <c r="RBV5749" s="911"/>
      <c r="RBW5749" s="912"/>
      <c r="RBY5749" s="913" t="s">
        <v>1</v>
      </c>
      <c r="RBZ5749" s="31"/>
      <c r="RCA5749" s="909" t="s">
        <v>0</v>
      </c>
      <c r="RCB5749" s="909"/>
      <c r="RCC5749" s="909"/>
      <c r="RCD5749" s="909"/>
      <c r="RCE5749" s="909"/>
      <c r="RCF5749" s="909"/>
      <c r="RCG5749" s="907" t="s">
        <v>79</v>
      </c>
      <c r="RCH5749" s="909" t="s">
        <v>68</v>
      </c>
      <c r="RCI5749" s="910" t="s">
        <v>75</v>
      </c>
      <c r="RCJ5749" s="911"/>
      <c r="RCK5749" s="911"/>
      <c r="RCL5749" s="911"/>
      <c r="RCM5749" s="911"/>
      <c r="RCN5749" s="911"/>
      <c r="RCO5749" s="911"/>
      <c r="RCP5749" s="911"/>
      <c r="RCQ5749" s="911"/>
      <c r="RCR5749" s="911"/>
      <c r="RCS5749" s="32"/>
      <c r="RCT5749" s="911" t="s">
        <v>74</v>
      </c>
      <c r="RCU5749" s="911"/>
      <c r="RCV5749" s="911"/>
      <c r="RCW5749" s="911"/>
      <c r="RCX5749" s="911"/>
      <c r="RCY5749" s="911"/>
      <c r="RCZ5749" s="911"/>
      <c r="RDA5749" s="911"/>
      <c r="RDB5749" s="911"/>
      <c r="RDC5749" s="912"/>
      <c r="RDE5749" s="913" t="s">
        <v>1</v>
      </c>
      <c r="RDF5749" s="31"/>
      <c r="RDG5749" s="909" t="s">
        <v>0</v>
      </c>
      <c r="RDH5749" s="909"/>
      <c r="RDI5749" s="909"/>
      <c r="RDJ5749" s="909"/>
      <c r="RDK5749" s="909"/>
      <c r="RDL5749" s="909"/>
      <c r="RDM5749" s="907" t="s">
        <v>79</v>
      </c>
      <c r="RDN5749" s="909" t="s">
        <v>68</v>
      </c>
      <c r="RDO5749" s="910" t="s">
        <v>75</v>
      </c>
      <c r="RDP5749" s="911"/>
      <c r="RDQ5749" s="911"/>
      <c r="RDR5749" s="911"/>
      <c r="RDS5749" s="911"/>
      <c r="RDT5749" s="911"/>
      <c r="RDU5749" s="911"/>
      <c r="RDV5749" s="911"/>
      <c r="RDW5749" s="911"/>
      <c r="RDX5749" s="911"/>
      <c r="RDY5749" s="32"/>
      <c r="RDZ5749" s="911" t="s">
        <v>74</v>
      </c>
      <c r="REA5749" s="911"/>
      <c r="REB5749" s="911"/>
      <c r="REC5749" s="911"/>
      <c r="RED5749" s="911"/>
      <c r="REE5749" s="911"/>
      <c r="REF5749" s="911"/>
      <c r="REG5749" s="911"/>
      <c r="REH5749" s="911"/>
      <c r="REI5749" s="912"/>
      <c r="REK5749" s="913" t="s">
        <v>1</v>
      </c>
      <c r="REL5749" s="31"/>
      <c r="REM5749" s="909" t="s">
        <v>0</v>
      </c>
      <c r="REN5749" s="909"/>
      <c r="REO5749" s="909"/>
      <c r="REP5749" s="909"/>
      <c r="REQ5749" s="909"/>
      <c r="RER5749" s="909"/>
      <c r="RES5749" s="907" t="s">
        <v>79</v>
      </c>
      <c r="RET5749" s="909" t="s">
        <v>68</v>
      </c>
      <c r="REU5749" s="910" t="s">
        <v>75</v>
      </c>
      <c r="REV5749" s="911"/>
      <c r="REW5749" s="911"/>
      <c r="REX5749" s="911"/>
      <c r="REY5749" s="911"/>
      <c r="REZ5749" s="911"/>
      <c r="RFA5749" s="911"/>
      <c r="RFB5749" s="911"/>
      <c r="RFC5749" s="911"/>
      <c r="RFD5749" s="911"/>
      <c r="RFE5749" s="32"/>
      <c r="RFF5749" s="911" t="s">
        <v>74</v>
      </c>
      <c r="RFG5749" s="911"/>
      <c r="RFH5749" s="911"/>
      <c r="RFI5749" s="911"/>
      <c r="RFJ5749" s="911"/>
      <c r="RFK5749" s="911"/>
      <c r="RFL5749" s="911"/>
      <c r="RFM5749" s="911"/>
      <c r="RFN5749" s="911"/>
      <c r="RFO5749" s="912"/>
      <c r="RFQ5749" s="913" t="s">
        <v>1</v>
      </c>
      <c r="RFR5749" s="31"/>
      <c r="RFS5749" s="909" t="s">
        <v>0</v>
      </c>
      <c r="RFT5749" s="909"/>
      <c r="RFU5749" s="909"/>
      <c r="RFV5749" s="909"/>
      <c r="RFW5749" s="909"/>
      <c r="RFX5749" s="909"/>
      <c r="RFY5749" s="907" t="s">
        <v>79</v>
      </c>
      <c r="RFZ5749" s="909" t="s">
        <v>68</v>
      </c>
      <c r="RGA5749" s="910" t="s">
        <v>75</v>
      </c>
      <c r="RGB5749" s="911"/>
      <c r="RGC5749" s="911"/>
      <c r="RGD5749" s="911"/>
      <c r="RGE5749" s="911"/>
      <c r="RGF5749" s="911"/>
      <c r="RGG5749" s="911"/>
      <c r="RGH5749" s="911"/>
      <c r="RGI5749" s="911"/>
      <c r="RGJ5749" s="911"/>
      <c r="RGK5749" s="32"/>
      <c r="RGL5749" s="911" t="s">
        <v>74</v>
      </c>
      <c r="RGM5749" s="911"/>
      <c r="RGN5749" s="911"/>
      <c r="RGO5749" s="911"/>
      <c r="RGP5749" s="911"/>
      <c r="RGQ5749" s="911"/>
      <c r="RGR5749" s="911"/>
      <c r="RGS5749" s="911"/>
      <c r="RGT5749" s="911"/>
      <c r="RGU5749" s="912"/>
      <c r="RGW5749" s="913" t="s">
        <v>1</v>
      </c>
      <c r="RGX5749" s="31"/>
      <c r="RGY5749" s="909" t="s">
        <v>0</v>
      </c>
      <c r="RGZ5749" s="909"/>
      <c r="RHA5749" s="909"/>
      <c r="RHB5749" s="909"/>
      <c r="RHC5749" s="909"/>
      <c r="RHD5749" s="909"/>
      <c r="RHE5749" s="907" t="s">
        <v>79</v>
      </c>
      <c r="RHF5749" s="909" t="s">
        <v>68</v>
      </c>
      <c r="RHG5749" s="910" t="s">
        <v>75</v>
      </c>
      <c r="RHH5749" s="911"/>
      <c r="RHI5749" s="911"/>
      <c r="RHJ5749" s="911"/>
      <c r="RHK5749" s="911"/>
      <c r="RHL5749" s="911"/>
      <c r="RHM5749" s="911"/>
      <c r="RHN5749" s="911"/>
      <c r="RHO5749" s="911"/>
      <c r="RHP5749" s="911"/>
      <c r="RHQ5749" s="32"/>
      <c r="RHR5749" s="911" t="s">
        <v>74</v>
      </c>
      <c r="RHS5749" s="911"/>
      <c r="RHT5749" s="911"/>
      <c r="RHU5749" s="911"/>
      <c r="RHV5749" s="911"/>
      <c r="RHW5749" s="911"/>
      <c r="RHX5749" s="911"/>
      <c r="RHY5749" s="911"/>
      <c r="RHZ5749" s="911"/>
      <c r="RIA5749" s="912"/>
      <c r="RIC5749" s="913" t="s">
        <v>1</v>
      </c>
      <c r="RID5749" s="31"/>
      <c r="RIE5749" s="909" t="s">
        <v>0</v>
      </c>
      <c r="RIF5749" s="909"/>
      <c r="RIG5749" s="909"/>
      <c r="RIH5749" s="909"/>
      <c r="RII5749" s="909"/>
      <c r="RIJ5749" s="909"/>
      <c r="RIK5749" s="907" t="s">
        <v>79</v>
      </c>
      <c r="RIL5749" s="909" t="s">
        <v>68</v>
      </c>
      <c r="RIM5749" s="910" t="s">
        <v>75</v>
      </c>
      <c r="RIN5749" s="911"/>
      <c r="RIO5749" s="911"/>
      <c r="RIP5749" s="911"/>
      <c r="RIQ5749" s="911"/>
      <c r="RIR5749" s="911"/>
      <c r="RIS5749" s="911"/>
      <c r="RIT5749" s="911"/>
      <c r="RIU5749" s="911"/>
      <c r="RIV5749" s="911"/>
      <c r="RIW5749" s="32"/>
      <c r="RIX5749" s="911" t="s">
        <v>74</v>
      </c>
      <c r="RIY5749" s="911"/>
      <c r="RIZ5749" s="911"/>
      <c r="RJA5749" s="911"/>
      <c r="RJB5749" s="911"/>
      <c r="RJC5749" s="911"/>
      <c r="RJD5749" s="911"/>
      <c r="RJE5749" s="911"/>
      <c r="RJF5749" s="911"/>
      <c r="RJG5749" s="912"/>
      <c r="RJI5749" s="913" t="s">
        <v>1</v>
      </c>
      <c r="RJJ5749" s="31"/>
      <c r="RJK5749" s="909" t="s">
        <v>0</v>
      </c>
      <c r="RJL5749" s="909"/>
      <c r="RJM5749" s="909"/>
      <c r="RJN5749" s="909"/>
      <c r="RJO5749" s="909"/>
      <c r="RJP5749" s="909"/>
      <c r="RJQ5749" s="907" t="s">
        <v>79</v>
      </c>
      <c r="RJR5749" s="909" t="s">
        <v>68</v>
      </c>
      <c r="RJS5749" s="910" t="s">
        <v>75</v>
      </c>
      <c r="RJT5749" s="911"/>
      <c r="RJU5749" s="911"/>
      <c r="RJV5749" s="911"/>
      <c r="RJW5749" s="911"/>
      <c r="RJX5749" s="911"/>
      <c r="RJY5749" s="911"/>
      <c r="RJZ5749" s="911"/>
      <c r="RKA5749" s="911"/>
      <c r="RKB5749" s="911"/>
      <c r="RKC5749" s="32"/>
      <c r="RKD5749" s="911" t="s">
        <v>74</v>
      </c>
      <c r="RKE5749" s="911"/>
      <c r="RKF5749" s="911"/>
      <c r="RKG5749" s="911"/>
      <c r="RKH5749" s="911"/>
      <c r="RKI5749" s="911"/>
      <c r="RKJ5749" s="911"/>
      <c r="RKK5749" s="911"/>
      <c r="RKL5749" s="911"/>
      <c r="RKM5749" s="912"/>
      <c r="RKO5749" s="913" t="s">
        <v>1</v>
      </c>
      <c r="RKP5749" s="31"/>
      <c r="RKQ5749" s="909" t="s">
        <v>0</v>
      </c>
      <c r="RKR5749" s="909"/>
      <c r="RKS5749" s="909"/>
      <c r="RKT5749" s="909"/>
      <c r="RKU5749" s="909"/>
      <c r="RKV5749" s="909"/>
      <c r="RKW5749" s="907" t="s">
        <v>79</v>
      </c>
      <c r="RKX5749" s="909" t="s">
        <v>68</v>
      </c>
      <c r="RKY5749" s="910" t="s">
        <v>75</v>
      </c>
      <c r="RKZ5749" s="911"/>
      <c r="RLA5749" s="911"/>
      <c r="RLB5749" s="911"/>
      <c r="RLC5749" s="911"/>
      <c r="RLD5749" s="911"/>
      <c r="RLE5749" s="911"/>
      <c r="RLF5749" s="911"/>
      <c r="RLG5749" s="911"/>
      <c r="RLH5749" s="911"/>
      <c r="RLI5749" s="32"/>
      <c r="RLJ5749" s="911" t="s">
        <v>74</v>
      </c>
      <c r="RLK5749" s="911"/>
      <c r="RLL5749" s="911"/>
      <c r="RLM5749" s="911"/>
      <c r="RLN5749" s="911"/>
      <c r="RLO5749" s="911"/>
      <c r="RLP5749" s="911"/>
      <c r="RLQ5749" s="911"/>
      <c r="RLR5749" s="911"/>
      <c r="RLS5749" s="912"/>
      <c r="RLU5749" s="913" t="s">
        <v>1</v>
      </c>
      <c r="RLV5749" s="31"/>
      <c r="RLW5749" s="909" t="s">
        <v>0</v>
      </c>
      <c r="RLX5749" s="909"/>
      <c r="RLY5749" s="909"/>
      <c r="RLZ5749" s="909"/>
      <c r="RMA5749" s="909"/>
      <c r="RMB5749" s="909"/>
      <c r="RMC5749" s="907" t="s">
        <v>79</v>
      </c>
      <c r="RMD5749" s="909" t="s">
        <v>68</v>
      </c>
      <c r="RME5749" s="910" t="s">
        <v>75</v>
      </c>
      <c r="RMF5749" s="911"/>
      <c r="RMG5749" s="911"/>
      <c r="RMH5749" s="911"/>
      <c r="RMI5749" s="911"/>
      <c r="RMJ5749" s="911"/>
      <c r="RMK5749" s="911"/>
      <c r="RML5749" s="911"/>
      <c r="RMM5749" s="911"/>
      <c r="RMN5749" s="911"/>
      <c r="RMO5749" s="32"/>
      <c r="RMP5749" s="911" t="s">
        <v>74</v>
      </c>
      <c r="RMQ5749" s="911"/>
      <c r="RMR5749" s="911"/>
      <c r="RMS5749" s="911"/>
      <c r="RMT5749" s="911"/>
      <c r="RMU5749" s="911"/>
      <c r="RMV5749" s="911"/>
      <c r="RMW5749" s="911"/>
      <c r="RMX5749" s="911"/>
      <c r="RMY5749" s="912"/>
      <c r="RNA5749" s="913" t="s">
        <v>1</v>
      </c>
      <c r="RNB5749" s="31"/>
      <c r="RNC5749" s="909" t="s">
        <v>0</v>
      </c>
      <c r="RND5749" s="909"/>
      <c r="RNE5749" s="909"/>
      <c r="RNF5749" s="909"/>
      <c r="RNG5749" s="909"/>
      <c r="RNH5749" s="909"/>
      <c r="RNI5749" s="907" t="s">
        <v>79</v>
      </c>
      <c r="RNJ5749" s="909" t="s">
        <v>68</v>
      </c>
      <c r="RNK5749" s="910" t="s">
        <v>75</v>
      </c>
      <c r="RNL5749" s="911"/>
      <c r="RNM5749" s="911"/>
      <c r="RNN5749" s="911"/>
      <c r="RNO5749" s="911"/>
      <c r="RNP5749" s="911"/>
      <c r="RNQ5749" s="911"/>
      <c r="RNR5749" s="911"/>
      <c r="RNS5749" s="911"/>
      <c r="RNT5749" s="911"/>
      <c r="RNU5749" s="32"/>
      <c r="RNV5749" s="911" t="s">
        <v>74</v>
      </c>
      <c r="RNW5749" s="911"/>
      <c r="RNX5749" s="911"/>
      <c r="RNY5749" s="911"/>
      <c r="RNZ5749" s="911"/>
      <c r="ROA5749" s="911"/>
      <c r="ROB5749" s="911"/>
      <c r="ROC5749" s="911"/>
      <c r="ROD5749" s="911"/>
      <c r="ROE5749" s="912"/>
      <c r="ROG5749" s="913" t="s">
        <v>1</v>
      </c>
      <c r="ROH5749" s="31"/>
      <c r="ROI5749" s="909" t="s">
        <v>0</v>
      </c>
      <c r="ROJ5749" s="909"/>
      <c r="ROK5749" s="909"/>
      <c r="ROL5749" s="909"/>
      <c r="ROM5749" s="909"/>
      <c r="RON5749" s="909"/>
      <c r="ROO5749" s="907" t="s">
        <v>79</v>
      </c>
      <c r="ROP5749" s="909" t="s">
        <v>68</v>
      </c>
      <c r="ROQ5749" s="910" t="s">
        <v>75</v>
      </c>
      <c r="ROR5749" s="911"/>
      <c r="ROS5749" s="911"/>
      <c r="ROT5749" s="911"/>
      <c r="ROU5749" s="911"/>
      <c r="ROV5749" s="911"/>
      <c r="ROW5749" s="911"/>
      <c r="ROX5749" s="911"/>
      <c r="ROY5749" s="911"/>
      <c r="ROZ5749" s="911"/>
      <c r="RPA5749" s="32"/>
      <c r="RPB5749" s="911" t="s">
        <v>74</v>
      </c>
      <c r="RPC5749" s="911"/>
      <c r="RPD5749" s="911"/>
      <c r="RPE5749" s="911"/>
      <c r="RPF5749" s="911"/>
      <c r="RPG5749" s="911"/>
      <c r="RPH5749" s="911"/>
      <c r="RPI5749" s="911"/>
      <c r="RPJ5749" s="911"/>
      <c r="RPK5749" s="912"/>
      <c r="RPM5749" s="913" t="s">
        <v>1</v>
      </c>
      <c r="RPN5749" s="31"/>
      <c r="RPO5749" s="909" t="s">
        <v>0</v>
      </c>
      <c r="RPP5749" s="909"/>
      <c r="RPQ5749" s="909"/>
      <c r="RPR5749" s="909"/>
      <c r="RPS5749" s="909"/>
      <c r="RPT5749" s="909"/>
      <c r="RPU5749" s="907" t="s">
        <v>79</v>
      </c>
      <c r="RPV5749" s="909" t="s">
        <v>68</v>
      </c>
      <c r="RPW5749" s="910" t="s">
        <v>75</v>
      </c>
      <c r="RPX5749" s="911"/>
      <c r="RPY5749" s="911"/>
      <c r="RPZ5749" s="911"/>
      <c r="RQA5749" s="911"/>
      <c r="RQB5749" s="911"/>
      <c r="RQC5749" s="911"/>
      <c r="RQD5749" s="911"/>
      <c r="RQE5749" s="911"/>
      <c r="RQF5749" s="911"/>
      <c r="RQG5749" s="32"/>
      <c r="RQH5749" s="911" t="s">
        <v>74</v>
      </c>
      <c r="RQI5749" s="911"/>
      <c r="RQJ5749" s="911"/>
      <c r="RQK5749" s="911"/>
      <c r="RQL5749" s="911"/>
      <c r="RQM5749" s="911"/>
      <c r="RQN5749" s="911"/>
      <c r="RQO5749" s="911"/>
      <c r="RQP5749" s="911"/>
      <c r="RQQ5749" s="912"/>
      <c r="RQS5749" s="913" t="s">
        <v>1</v>
      </c>
      <c r="RQT5749" s="31"/>
      <c r="RQU5749" s="909" t="s">
        <v>0</v>
      </c>
      <c r="RQV5749" s="909"/>
      <c r="RQW5749" s="909"/>
      <c r="RQX5749" s="909"/>
      <c r="RQY5749" s="909"/>
      <c r="RQZ5749" s="909"/>
      <c r="RRA5749" s="907" t="s">
        <v>79</v>
      </c>
      <c r="RRB5749" s="909" t="s">
        <v>68</v>
      </c>
      <c r="RRC5749" s="910" t="s">
        <v>75</v>
      </c>
      <c r="RRD5749" s="911"/>
      <c r="RRE5749" s="911"/>
      <c r="RRF5749" s="911"/>
      <c r="RRG5749" s="911"/>
      <c r="RRH5749" s="911"/>
      <c r="RRI5749" s="911"/>
      <c r="RRJ5749" s="911"/>
      <c r="RRK5749" s="911"/>
      <c r="RRL5749" s="911"/>
      <c r="RRM5749" s="32"/>
      <c r="RRN5749" s="911" t="s">
        <v>74</v>
      </c>
      <c r="RRO5749" s="911"/>
      <c r="RRP5749" s="911"/>
      <c r="RRQ5749" s="911"/>
      <c r="RRR5749" s="911"/>
      <c r="RRS5749" s="911"/>
      <c r="RRT5749" s="911"/>
      <c r="RRU5749" s="911"/>
      <c r="RRV5749" s="911"/>
      <c r="RRW5749" s="912"/>
      <c r="RRY5749" s="913" t="s">
        <v>1</v>
      </c>
      <c r="RRZ5749" s="31"/>
      <c r="RSA5749" s="909" t="s">
        <v>0</v>
      </c>
      <c r="RSB5749" s="909"/>
      <c r="RSC5749" s="909"/>
      <c r="RSD5749" s="909"/>
      <c r="RSE5749" s="909"/>
      <c r="RSF5749" s="909"/>
      <c r="RSG5749" s="907" t="s">
        <v>79</v>
      </c>
      <c r="RSH5749" s="909" t="s">
        <v>68</v>
      </c>
      <c r="RSI5749" s="910" t="s">
        <v>75</v>
      </c>
      <c r="RSJ5749" s="911"/>
      <c r="RSK5749" s="911"/>
      <c r="RSL5749" s="911"/>
      <c r="RSM5749" s="911"/>
      <c r="RSN5749" s="911"/>
      <c r="RSO5749" s="911"/>
      <c r="RSP5749" s="911"/>
      <c r="RSQ5749" s="911"/>
      <c r="RSR5749" s="911"/>
      <c r="RSS5749" s="32"/>
      <c r="RST5749" s="911" t="s">
        <v>74</v>
      </c>
      <c r="RSU5749" s="911"/>
      <c r="RSV5749" s="911"/>
      <c r="RSW5749" s="911"/>
      <c r="RSX5749" s="911"/>
      <c r="RSY5749" s="911"/>
      <c r="RSZ5749" s="911"/>
      <c r="RTA5749" s="911"/>
      <c r="RTB5749" s="911"/>
      <c r="RTC5749" s="912"/>
      <c r="RTE5749" s="913" t="s">
        <v>1</v>
      </c>
      <c r="RTF5749" s="31"/>
      <c r="RTG5749" s="909" t="s">
        <v>0</v>
      </c>
      <c r="RTH5749" s="909"/>
      <c r="RTI5749" s="909"/>
      <c r="RTJ5749" s="909"/>
      <c r="RTK5749" s="909"/>
      <c r="RTL5749" s="909"/>
      <c r="RTM5749" s="907" t="s">
        <v>79</v>
      </c>
      <c r="RTN5749" s="909" t="s">
        <v>68</v>
      </c>
      <c r="RTO5749" s="910" t="s">
        <v>75</v>
      </c>
      <c r="RTP5749" s="911"/>
      <c r="RTQ5749" s="911"/>
      <c r="RTR5749" s="911"/>
      <c r="RTS5749" s="911"/>
      <c r="RTT5749" s="911"/>
      <c r="RTU5749" s="911"/>
      <c r="RTV5749" s="911"/>
      <c r="RTW5749" s="911"/>
      <c r="RTX5749" s="911"/>
      <c r="RTY5749" s="32"/>
      <c r="RTZ5749" s="911" t="s">
        <v>74</v>
      </c>
      <c r="RUA5749" s="911"/>
      <c r="RUB5749" s="911"/>
      <c r="RUC5749" s="911"/>
      <c r="RUD5749" s="911"/>
      <c r="RUE5749" s="911"/>
      <c r="RUF5749" s="911"/>
      <c r="RUG5749" s="911"/>
      <c r="RUH5749" s="911"/>
      <c r="RUI5749" s="912"/>
      <c r="RUK5749" s="913" t="s">
        <v>1</v>
      </c>
      <c r="RUL5749" s="31"/>
      <c r="RUM5749" s="909" t="s">
        <v>0</v>
      </c>
      <c r="RUN5749" s="909"/>
      <c r="RUO5749" s="909"/>
      <c r="RUP5749" s="909"/>
      <c r="RUQ5749" s="909"/>
      <c r="RUR5749" s="909"/>
      <c r="RUS5749" s="907" t="s">
        <v>79</v>
      </c>
      <c r="RUT5749" s="909" t="s">
        <v>68</v>
      </c>
      <c r="RUU5749" s="910" t="s">
        <v>75</v>
      </c>
      <c r="RUV5749" s="911"/>
      <c r="RUW5749" s="911"/>
      <c r="RUX5749" s="911"/>
      <c r="RUY5749" s="911"/>
      <c r="RUZ5749" s="911"/>
      <c r="RVA5749" s="911"/>
      <c r="RVB5749" s="911"/>
      <c r="RVC5749" s="911"/>
      <c r="RVD5749" s="911"/>
      <c r="RVE5749" s="32"/>
      <c r="RVF5749" s="911" t="s">
        <v>74</v>
      </c>
      <c r="RVG5749" s="911"/>
      <c r="RVH5749" s="911"/>
      <c r="RVI5749" s="911"/>
      <c r="RVJ5749" s="911"/>
      <c r="RVK5749" s="911"/>
      <c r="RVL5749" s="911"/>
      <c r="RVM5749" s="911"/>
      <c r="RVN5749" s="911"/>
      <c r="RVO5749" s="912"/>
      <c r="RVQ5749" s="913" t="s">
        <v>1</v>
      </c>
      <c r="RVR5749" s="31"/>
      <c r="RVS5749" s="909" t="s">
        <v>0</v>
      </c>
      <c r="RVT5749" s="909"/>
      <c r="RVU5749" s="909"/>
      <c r="RVV5749" s="909"/>
      <c r="RVW5749" s="909"/>
      <c r="RVX5749" s="909"/>
      <c r="RVY5749" s="907" t="s">
        <v>79</v>
      </c>
      <c r="RVZ5749" s="909" t="s">
        <v>68</v>
      </c>
      <c r="RWA5749" s="910" t="s">
        <v>75</v>
      </c>
      <c r="RWB5749" s="911"/>
      <c r="RWC5749" s="911"/>
      <c r="RWD5749" s="911"/>
      <c r="RWE5749" s="911"/>
      <c r="RWF5749" s="911"/>
      <c r="RWG5749" s="911"/>
      <c r="RWH5749" s="911"/>
      <c r="RWI5749" s="911"/>
      <c r="RWJ5749" s="911"/>
      <c r="RWK5749" s="32"/>
      <c r="RWL5749" s="911" t="s">
        <v>74</v>
      </c>
      <c r="RWM5749" s="911"/>
      <c r="RWN5749" s="911"/>
      <c r="RWO5749" s="911"/>
      <c r="RWP5749" s="911"/>
      <c r="RWQ5749" s="911"/>
      <c r="RWR5749" s="911"/>
      <c r="RWS5749" s="911"/>
      <c r="RWT5749" s="911"/>
      <c r="RWU5749" s="912"/>
      <c r="RWW5749" s="913" t="s">
        <v>1</v>
      </c>
      <c r="RWX5749" s="31"/>
      <c r="RWY5749" s="909" t="s">
        <v>0</v>
      </c>
      <c r="RWZ5749" s="909"/>
      <c r="RXA5749" s="909"/>
      <c r="RXB5749" s="909"/>
      <c r="RXC5749" s="909"/>
      <c r="RXD5749" s="909"/>
      <c r="RXE5749" s="907" t="s">
        <v>79</v>
      </c>
      <c r="RXF5749" s="909" t="s">
        <v>68</v>
      </c>
      <c r="RXG5749" s="910" t="s">
        <v>75</v>
      </c>
      <c r="RXH5749" s="911"/>
      <c r="RXI5749" s="911"/>
      <c r="RXJ5749" s="911"/>
      <c r="RXK5749" s="911"/>
      <c r="RXL5749" s="911"/>
      <c r="RXM5749" s="911"/>
      <c r="RXN5749" s="911"/>
      <c r="RXO5749" s="911"/>
      <c r="RXP5749" s="911"/>
      <c r="RXQ5749" s="32"/>
      <c r="RXR5749" s="911" t="s">
        <v>74</v>
      </c>
      <c r="RXS5749" s="911"/>
      <c r="RXT5749" s="911"/>
      <c r="RXU5749" s="911"/>
      <c r="RXV5749" s="911"/>
      <c r="RXW5749" s="911"/>
      <c r="RXX5749" s="911"/>
      <c r="RXY5749" s="911"/>
      <c r="RXZ5749" s="911"/>
      <c r="RYA5749" s="912"/>
      <c r="RYC5749" s="913" t="s">
        <v>1</v>
      </c>
      <c r="RYD5749" s="31"/>
      <c r="RYE5749" s="909" t="s">
        <v>0</v>
      </c>
      <c r="RYF5749" s="909"/>
      <c r="RYG5749" s="909"/>
      <c r="RYH5749" s="909"/>
      <c r="RYI5749" s="909"/>
      <c r="RYJ5749" s="909"/>
      <c r="RYK5749" s="907" t="s">
        <v>79</v>
      </c>
      <c r="RYL5749" s="909" t="s">
        <v>68</v>
      </c>
      <c r="RYM5749" s="910" t="s">
        <v>75</v>
      </c>
      <c r="RYN5749" s="911"/>
      <c r="RYO5749" s="911"/>
      <c r="RYP5749" s="911"/>
      <c r="RYQ5749" s="911"/>
      <c r="RYR5749" s="911"/>
      <c r="RYS5749" s="911"/>
      <c r="RYT5749" s="911"/>
      <c r="RYU5749" s="911"/>
      <c r="RYV5749" s="911"/>
      <c r="RYW5749" s="32"/>
      <c r="RYX5749" s="911" t="s">
        <v>74</v>
      </c>
      <c r="RYY5749" s="911"/>
      <c r="RYZ5749" s="911"/>
      <c r="RZA5749" s="911"/>
      <c r="RZB5749" s="911"/>
      <c r="RZC5749" s="911"/>
      <c r="RZD5749" s="911"/>
      <c r="RZE5749" s="911"/>
      <c r="RZF5749" s="911"/>
      <c r="RZG5749" s="912"/>
      <c r="RZI5749" s="913" t="s">
        <v>1</v>
      </c>
      <c r="RZJ5749" s="31"/>
      <c r="RZK5749" s="909" t="s">
        <v>0</v>
      </c>
      <c r="RZL5749" s="909"/>
      <c r="RZM5749" s="909"/>
      <c r="RZN5749" s="909"/>
      <c r="RZO5749" s="909"/>
      <c r="RZP5749" s="909"/>
      <c r="RZQ5749" s="907" t="s">
        <v>79</v>
      </c>
      <c r="RZR5749" s="909" t="s">
        <v>68</v>
      </c>
      <c r="RZS5749" s="910" t="s">
        <v>75</v>
      </c>
      <c r="RZT5749" s="911"/>
      <c r="RZU5749" s="911"/>
      <c r="RZV5749" s="911"/>
      <c r="RZW5749" s="911"/>
      <c r="RZX5749" s="911"/>
      <c r="RZY5749" s="911"/>
      <c r="RZZ5749" s="911"/>
      <c r="SAA5749" s="911"/>
      <c r="SAB5749" s="911"/>
      <c r="SAC5749" s="32"/>
      <c r="SAD5749" s="911" t="s">
        <v>74</v>
      </c>
      <c r="SAE5749" s="911"/>
      <c r="SAF5749" s="911"/>
      <c r="SAG5749" s="911"/>
      <c r="SAH5749" s="911"/>
      <c r="SAI5749" s="911"/>
      <c r="SAJ5749" s="911"/>
      <c r="SAK5749" s="911"/>
      <c r="SAL5749" s="911"/>
      <c r="SAM5749" s="912"/>
      <c r="SAO5749" s="913" t="s">
        <v>1</v>
      </c>
      <c r="SAP5749" s="31"/>
      <c r="SAQ5749" s="909" t="s">
        <v>0</v>
      </c>
      <c r="SAR5749" s="909"/>
      <c r="SAS5749" s="909"/>
      <c r="SAT5749" s="909"/>
      <c r="SAU5749" s="909"/>
      <c r="SAV5749" s="909"/>
      <c r="SAW5749" s="907" t="s">
        <v>79</v>
      </c>
      <c r="SAX5749" s="909" t="s">
        <v>68</v>
      </c>
      <c r="SAY5749" s="910" t="s">
        <v>75</v>
      </c>
      <c r="SAZ5749" s="911"/>
      <c r="SBA5749" s="911"/>
      <c r="SBB5749" s="911"/>
      <c r="SBC5749" s="911"/>
      <c r="SBD5749" s="911"/>
      <c r="SBE5749" s="911"/>
      <c r="SBF5749" s="911"/>
      <c r="SBG5749" s="911"/>
      <c r="SBH5749" s="911"/>
      <c r="SBI5749" s="32"/>
      <c r="SBJ5749" s="911" t="s">
        <v>74</v>
      </c>
      <c r="SBK5749" s="911"/>
      <c r="SBL5749" s="911"/>
      <c r="SBM5749" s="911"/>
      <c r="SBN5749" s="911"/>
      <c r="SBO5749" s="911"/>
      <c r="SBP5749" s="911"/>
      <c r="SBQ5749" s="911"/>
      <c r="SBR5749" s="911"/>
      <c r="SBS5749" s="912"/>
      <c r="SBU5749" s="913" t="s">
        <v>1</v>
      </c>
      <c r="SBV5749" s="31"/>
      <c r="SBW5749" s="909" t="s">
        <v>0</v>
      </c>
      <c r="SBX5749" s="909"/>
      <c r="SBY5749" s="909"/>
      <c r="SBZ5749" s="909"/>
      <c r="SCA5749" s="909"/>
      <c r="SCB5749" s="909"/>
      <c r="SCC5749" s="907" t="s">
        <v>79</v>
      </c>
      <c r="SCD5749" s="909" t="s">
        <v>68</v>
      </c>
      <c r="SCE5749" s="910" t="s">
        <v>75</v>
      </c>
      <c r="SCF5749" s="911"/>
      <c r="SCG5749" s="911"/>
      <c r="SCH5749" s="911"/>
      <c r="SCI5749" s="911"/>
      <c r="SCJ5749" s="911"/>
      <c r="SCK5749" s="911"/>
      <c r="SCL5749" s="911"/>
      <c r="SCM5749" s="911"/>
      <c r="SCN5749" s="911"/>
      <c r="SCO5749" s="32"/>
      <c r="SCP5749" s="911" t="s">
        <v>74</v>
      </c>
      <c r="SCQ5749" s="911"/>
      <c r="SCR5749" s="911"/>
      <c r="SCS5749" s="911"/>
      <c r="SCT5749" s="911"/>
      <c r="SCU5749" s="911"/>
      <c r="SCV5749" s="911"/>
      <c r="SCW5749" s="911"/>
      <c r="SCX5749" s="911"/>
      <c r="SCY5749" s="912"/>
      <c r="SDA5749" s="913" t="s">
        <v>1</v>
      </c>
      <c r="SDB5749" s="31"/>
      <c r="SDC5749" s="909" t="s">
        <v>0</v>
      </c>
      <c r="SDD5749" s="909"/>
      <c r="SDE5749" s="909"/>
      <c r="SDF5749" s="909"/>
      <c r="SDG5749" s="909"/>
      <c r="SDH5749" s="909"/>
      <c r="SDI5749" s="907" t="s">
        <v>79</v>
      </c>
      <c r="SDJ5749" s="909" t="s">
        <v>68</v>
      </c>
      <c r="SDK5749" s="910" t="s">
        <v>75</v>
      </c>
      <c r="SDL5749" s="911"/>
      <c r="SDM5749" s="911"/>
      <c r="SDN5749" s="911"/>
      <c r="SDO5749" s="911"/>
      <c r="SDP5749" s="911"/>
      <c r="SDQ5749" s="911"/>
      <c r="SDR5749" s="911"/>
      <c r="SDS5749" s="911"/>
      <c r="SDT5749" s="911"/>
      <c r="SDU5749" s="32"/>
      <c r="SDV5749" s="911" t="s">
        <v>74</v>
      </c>
      <c r="SDW5749" s="911"/>
      <c r="SDX5749" s="911"/>
      <c r="SDY5749" s="911"/>
      <c r="SDZ5749" s="911"/>
      <c r="SEA5749" s="911"/>
      <c r="SEB5749" s="911"/>
      <c r="SEC5749" s="911"/>
      <c r="SED5749" s="911"/>
      <c r="SEE5749" s="912"/>
      <c r="SEG5749" s="913" t="s">
        <v>1</v>
      </c>
      <c r="SEH5749" s="31"/>
      <c r="SEI5749" s="909" t="s">
        <v>0</v>
      </c>
      <c r="SEJ5749" s="909"/>
      <c r="SEK5749" s="909"/>
      <c r="SEL5749" s="909"/>
      <c r="SEM5749" s="909"/>
      <c r="SEN5749" s="909"/>
      <c r="SEO5749" s="907" t="s">
        <v>79</v>
      </c>
      <c r="SEP5749" s="909" t="s">
        <v>68</v>
      </c>
      <c r="SEQ5749" s="910" t="s">
        <v>75</v>
      </c>
      <c r="SER5749" s="911"/>
      <c r="SES5749" s="911"/>
      <c r="SET5749" s="911"/>
      <c r="SEU5749" s="911"/>
      <c r="SEV5749" s="911"/>
      <c r="SEW5749" s="911"/>
      <c r="SEX5749" s="911"/>
      <c r="SEY5749" s="911"/>
      <c r="SEZ5749" s="911"/>
      <c r="SFA5749" s="32"/>
      <c r="SFB5749" s="911" t="s">
        <v>74</v>
      </c>
      <c r="SFC5749" s="911"/>
      <c r="SFD5749" s="911"/>
      <c r="SFE5749" s="911"/>
      <c r="SFF5749" s="911"/>
      <c r="SFG5749" s="911"/>
      <c r="SFH5749" s="911"/>
      <c r="SFI5749" s="911"/>
      <c r="SFJ5749" s="911"/>
      <c r="SFK5749" s="912"/>
      <c r="SFM5749" s="913" t="s">
        <v>1</v>
      </c>
      <c r="SFN5749" s="31"/>
      <c r="SFO5749" s="909" t="s">
        <v>0</v>
      </c>
      <c r="SFP5749" s="909"/>
      <c r="SFQ5749" s="909"/>
      <c r="SFR5749" s="909"/>
      <c r="SFS5749" s="909"/>
      <c r="SFT5749" s="909"/>
      <c r="SFU5749" s="907" t="s">
        <v>79</v>
      </c>
      <c r="SFV5749" s="909" t="s">
        <v>68</v>
      </c>
      <c r="SFW5749" s="910" t="s">
        <v>75</v>
      </c>
      <c r="SFX5749" s="911"/>
      <c r="SFY5749" s="911"/>
      <c r="SFZ5749" s="911"/>
      <c r="SGA5749" s="911"/>
      <c r="SGB5749" s="911"/>
      <c r="SGC5749" s="911"/>
      <c r="SGD5749" s="911"/>
      <c r="SGE5749" s="911"/>
      <c r="SGF5749" s="911"/>
      <c r="SGG5749" s="32"/>
      <c r="SGH5749" s="911" t="s">
        <v>74</v>
      </c>
      <c r="SGI5749" s="911"/>
      <c r="SGJ5749" s="911"/>
      <c r="SGK5749" s="911"/>
      <c r="SGL5749" s="911"/>
      <c r="SGM5749" s="911"/>
      <c r="SGN5749" s="911"/>
      <c r="SGO5749" s="911"/>
      <c r="SGP5749" s="911"/>
      <c r="SGQ5749" s="912"/>
      <c r="SGS5749" s="913" t="s">
        <v>1</v>
      </c>
      <c r="SGT5749" s="31"/>
      <c r="SGU5749" s="909" t="s">
        <v>0</v>
      </c>
      <c r="SGV5749" s="909"/>
      <c r="SGW5749" s="909"/>
      <c r="SGX5749" s="909"/>
      <c r="SGY5749" s="909"/>
      <c r="SGZ5749" s="909"/>
      <c r="SHA5749" s="907" t="s">
        <v>79</v>
      </c>
      <c r="SHB5749" s="909" t="s">
        <v>68</v>
      </c>
      <c r="SHC5749" s="910" t="s">
        <v>75</v>
      </c>
      <c r="SHD5749" s="911"/>
      <c r="SHE5749" s="911"/>
      <c r="SHF5749" s="911"/>
      <c r="SHG5749" s="911"/>
      <c r="SHH5749" s="911"/>
      <c r="SHI5749" s="911"/>
      <c r="SHJ5749" s="911"/>
      <c r="SHK5749" s="911"/>
      <c r="SHL5749" s="911"/>
      <c r="SHM5749" s="32"/>
      <c r="SHN5749" s="911" t="s">
        <v>74</v>
      </c>
      <c r="SHO5749" s="911"/>
      <c r="SHP5749" s="911"/>
      <c r="SHQ5749" s="911"/>
      <c r="SHR5749" s="911"/>
      <c r="SHS5749" s="911"/>
      <c r="SHT5749" s="911"/>
      <c r="SHU5749" s="911"/>
      <c r="SHV5749" s="911"/>
      <c r="SHW5749" s="912"/>
      <c r="SHY5749" s="913" t="s">
        <v>1</v>
      </c>
      <c r="SHZ5749" s="31"/>
      <c r="SIA5749" s="909" t="s">
        <v>0</v>
      </c>
      <c r="SIB5749" s="909"/>
      <c r="SIC5749" s="909"/>
      <c r="SID5749" s="909"/>
      <c r="SIE5749" s="909"/>
      <c r="SIF5749" s="909"/>
      <c r="SIG5749" s="907" t="s">
        <v>79</v>
      </c>
      <c r="SIH5749" s="909" t="s">
        <v>68</v>
      </c>
      <c r="SII5749" s="910" t="s">
        <v>75</v>
      </c>
      <c r="SIJ5749" s="911"/>
      <c r="SIK5749" s="911"/>
      <c r="SIL5749" s="911"/>
      <c r="SIM5749" s="911"/>
      <c r="SIN5749" s="911"/>
      <c r="SIO5749" s="911"/>
      <c r="SIP5749" s="911"/>
      <c r="SIQ5749" s="911"/>
      <c r="SIR5749" s="911"/>
      <c r="SIS5749" s="32"/>
      <c r="SIT5749" s="911" t="s">
        <v>74</v>
      </c>
      <c r="SIU5749" s="911"/>
      <c r="SIV5749" s="911"/>
      <c r="SIW5749" s="911"/>
      <c r="SIX5749" s="911"/>
      <c r="SIY5749" s="911"/>
      <c r="SIZ5749" s="911"/>
      <c r="SJA5749" s="911"/>
      <c r="SJB5749" s="911"/>
      <c r="SJC5749" s="912"/>
      <c r="SJE5749" s="913" t="s">
        <v>1</v>
      </c>
      <c r="SJF5749" s="31"/>
      <c r="SJG5749" s="909" t="s">
        <v>0</v>
      </c>
      <c r="SJH5749" s="909"/>
      <c r="SJI5749" s="909"/>
      <c r="SJJ5749" s="909"/>
      <c r="SJK5749" s="909"/>
      <c r="SJL5749" s="909"/>
      <c r="SJM5749" s="907" t="s">
        <v>79</v>
      </c>
      <c r="SJN5749" s="909" t="s">
        <v>68</v>
      </c>
      <c r="SJO5749" s="910" t="s">
        <v>75</v>
      </c>
      <c r="SJP5749" s="911"/>
      <c r="SJQ5749" s="911"/>
      <c r="SJR5749" s="911"/>
      <c r="SJS5749" s="911"/>
      <c r="SJT5749" s="911"/>
      <c r="SJU5749" s="911"/>
      <c r="SJV5749" s="911"/>
      <c r="SJW5749" s="911"/>
      <c r="SJX5749" s="911"/>
      <c r="SJY5749" s="32"/>
      <c r="SJZ5749" s="911" t="s">
        <v>74</v>
      </c>
      <c r="SKA5749" s="911"/>
      <c r="SKB5749" s="911"/>
      <c r="SKC5749" s="911"/>
      <c r="SKD5749" s="911"/>
      <c r="SKE5749" s="911"/>
      <c r="SKF5749" s="911"/>
      <c r="SKG5749" s="911"/>
      <c r="SKH5749" s="911"/>
      <c r="SKI5749" s="912"/>
      <c r="SKK5749" s="913" t="s">
        <v>1</v>
      </c>
      <c r="SKL5749" s="31"/>
      <c r="SKM5749" s="909" t="s">
        <v>0</v>
      </c>
      <c r="SKN5749" s="909"/>
      <c r="SKO5749" s="909"/>
      <c r="SKP5749" s="909"/>
      <c r="SKQ5749" s="909"/>
      <c r="SKR5749" s="909"/>
      <c r="SKS5749" s="907" t="s">
        <v>79</v>
      </c>
      <c r="SKT5749" s="909" t="s">
        <v>68</v>
      </c>
      <c r="SKU5749" s="910" t="s">
        <v>75</v>
      </c>
      <c r="SKV5749" s="911"/>
      <c r="SKW5749" s="911"/>
      <c r="SKX5749" s="911"/>
      <c r="SKY5749" s="911"/>
      <c r="SKZ5749" s="911"/>
      <c r="SLA5749" s="911"/>
      <c r="SLB5749" s="911"/>
      <c r="SLC5749" s="911"/>
      <c r="SLD5749" s="911"/>
      <c r="SLE5749" s="32"/>
      <c r="SLF5749" s="911" t="s">
        <v>74</v>
      </c>
      <c r="SLG5749" s="911"/>
      <c r="SLH5749" s="911"/>
      <c r="SLI5749" s="911"/>
      <c r="SLJ5749" s="911"/>
      <c r="SLK5749" s="911"/>
      <c r="SLL5749" s="911"/>
      <c r="SLM5749" s="911"/>
      <c r="SLN5749" s="911"/>
      <c r="SLO5749" s="912"/>
      <c r="SLQ5749" s="913" t="s">
        <v>1</v>
      </c>
      <c r="SLR5749" s="31"/>
      <c r="SLS5749" s="909" t="s">
        <v>0</v>
      </c>
      <c r="SLT5749" s="909"/>
      <c r="SLU5749" s="909"/>
      <c r="SLV5749" s="909"/>
      <c r="SLW5749" s="909"/>
      <c r="SLX5749" s="909"/>
      <c r="SLY5749" s="907" t="s">
        <v>79</v>
      </c>
      <c r="SLZ5749" s="909" t="s">
        <v>68</v>
      </c>
      <c r="SMA5749" s="910" t="s">
        <v>75</v>
      </c>
      <c r="SMB5749" s="911"/>
      <c r="SMC5749" s="911"/>
      <c r="SMD5749" s="911"/>
      <c r="SME5749" s="911"/>
      <c r="SMF5749" s="911"/>
      <c r="SMG5749" s="911"/>
      <c r="SMH5749" s="911"/>
      <c r="SMI5749" s="911"/>
      <c r="SMJ5749" s="911"/>
      <c r="SMK5749" s="32"/>
      <c r="SML5749" s="911" t="s">
        <v>74</v>
      </c>
      <c r="SMM5749" s="911"/>
      <c r="SMN5749" s="911"/>
      <c r="SMO5749" s="911"/>
      <c r="SMP5749" s="911"/>
      <c r="SMQ5749" s="911"/>
      <c r="SMR5749" s="911"/>
      <c r="SMS5749" s="911"/>
      <c r="SMT5749" s="911"/>
      <c r="SMU5749" s="912"/>
      <c r="SMW5749" s="913" t="s">
        <v>1</v>
      </c>
      <c r="SMX5749" s="31"/>
      <c r="SMY5749" s="909" t="s">
        <v>0</v>
      </c>
      <c r="SMZ5749" s="909"/>
      <c r="SNA5749" s="909"/>
      <c r="SNB5749" s="909"/>
      <c r="SNC5749" s="909"/>
      <c r="SND5749" s="909"/>
      <c r="SNE5749" s="907" t="s">
        <v>79</v>
      </c>
      <c r="SNF5749" s="909" t="s">
        <v>68</v>
      </c>
      <c r="SNG5749" s="910" t="s">
        <v>75</v>
      </c>
      <c r="SNH5749" s="911"/>
      <c r="SNI5749" s="911"/>
      <c r="SNJ5749" s="911"/>
      <c r="SNK5749" s="911"/>
      <c r="SNL5749" s="911"/>
      <c r="SNM5749" s="911"/>
      <c r="SNN5749" s="911"/>
      <c r="SNO5749" s="911"/>
      <c r="SNP5749" s="911"/>
      <c r="SNQ5749" s="32"/>
      <c r="SNR5749" s="911" t="s">
        <v>74</v>
      </c>
      <c r="SNS5749" s="911"/>
      <c r="SNT5749" s="911"/>
      <c r="SNU5749" s="911"/>
      <c r="SNV5749" s="911"/>
      <c r="SNW5749" s="911"/>
      <c r="SNX5749" s="911"/>
      <c r="SNY5749" s="911"/>
      <c r="SNZ5749" s="911"/>
      <c r="SOA5749" s="912"/>
      <c r="SOC5749" s="913" t="s">
        <v>1</v>
      </c>
      <c r="SOD5749" s="31"/>
      <c r="SOE5749" s="909" t="s">
        <v>0</v>
      </c>
      <c r="SOF5749" s="909"/>
      <c r="SOG5749" s="909"/>
      <c r="SOH5749" s="909"/>
      <c r="SOI5749" s="909"/>
      <c r="SOJ5749" s="909"/>
      <c r="SOK5749" s="907" t="s">
        <v>79</v>
      </c>
      <c r="SOL5749" s="909" t="s">
        <v>68</v>
      </c>
      <c r="SOM5749" s="910" t="s">
        <v>75</v>
      </c>
      <c r="SON5749" s="911"/>
      <c r="SOO5749" s="911"/>
      <c r="SOP5749" s="911"/>
      <c r="SOQ5749" s="911"/>
      <c r="SOR5749" s="911"/>
      <c r="SOS5749" s="911"/>
      <c r="SOT5749" s="911"/>
      <c r="SOU5749" s="911"/>
      <c r="SOV5749" s="911"/>
      <c r="SOW5749" s="32"/>
      <c r="SOX5749" s="911" t="s">
        <v>74</v>
      </c>
      <c r="SOY5749" s="911"/>
      <c r="SOZ5749" s="911"/>
      <c r="SPA5749" s="911"/>
      <c r="SPB5749" s="911"/>
      <c r="SPC5749" s="911"/>
      <c r="SPD5749" s="911"/>
      <c r="SPE5749" s="911"/>
      <c r="SPF5749" s="911"/>
      <c r="SPG5749" s="912"/>
      <c r="SPI5749" s="913" t="s">
        <v>1</v>
      </c>
      <c r="SPJ5749" s="31"/>
      <c r="SPK5749" s="909" t="s">
        <v>0</v>
      </c>
      <c r="SPL5749" s="909"/>
      <c r="SPM5749" s="909"/>
      <c r="SPN5749" s="909"/>
      <c r="SPO5749" s="909"/>
      <c r="SPP5749" s="909"/>
      <c r="SPQ5749" s="907" t="s">
        <v>79</v>
      </c>
      <c r="SPR5749" s="909" t="s">
        <v>68</v>
      </c>
      <c r="SPS5749" s="910" t="s">
        <v>75</v>
      </c>
      <c r="SPT5749" s="911"/>
      <c r="SPU5749" s="911"/>
      <c r="SPV5749" s="911"/>
      <c r="SPW5749" s="911"/>
      <c r="SPX5749" s="911"/>
      <c r="SPY5749" s="911"/>
      <c r="SPZ5749" s="911"/>
      <c r="SQA5749" s="911"/>
      <c r="SQB5749" s="911"/>
      <c r="SQC5749" s="32"/>
      <c r="SQD5749" s="911" t="s">
        <v>74</v>
      </c>
      <c r="SQE5749" s="911"/>
      <c r="SQF5749" s="911"/>
      <c r="SQG5749" s="911"/>
      <c r="SQH5749" s="911"/>
      <c r="SQI5749" s="911"/>
      <c r="SQJ5749" s="911"/>
      <c r="SQK5749" s="911"/>
      <c r="SQL5749" s="911"/>
      <c r="SQM5749" s="912"/>
      <c r="SQO5749" s="913" t="s">
        <v>1</v>
      </c>
      <c r="SQP5749" s="31"/>
      <c r="SQQ5749" s="909" t="s">
        <v>0</v>
      </c>
      <c r="SQR5749" s="909"/>
      <c r="SQS5749" s="909"/>
      <c r="SQT5749" s="909"/>
      <c r="SQU5749" s="909"/>
      <c r="SQV5749" s="909"/>
      <c r="SQW5749" s="907" t="s">
        <v>79</v>
      </c>
      <c r="SQX5749" s="909" t="s">
        <v>68</v>
      </c>
      <c r="SQY5749" s="910" t="s">
        <v>75</v>
      </c>
      <c r="SQZ5749" s="911"/>
      <c r="SRA5749" s="911"/>
      <c r="SRB5749" s="911"/>
      <c r="SRC5749" s="911"/>
      <c r="SRD5749" s="911"/>
      <c r="SRE5749" s="911"/>
      <c r="SRF5749" s="911"/>
      <c r="SRG5749" s="911"/>
      <c r="SRH5749" s="911"/>
      <c r="SRI5749" s="32"/>
      <c r="SRJ5749" s="911" t="s">
        <v>74</v>
      </c>
      <c r="SRK5749" s="911"/>
      <c r="SRL5749" s="911"/>
      <c r="SRM5749" s="911"/>
      <c r="SRN5749" s="911"/>
      <c r="SRO5749" s="911"/>
      <c r="SRP5749" s="911"/>
      <c r="SRQ5749" s="911"/>
      <c r="SRR5749" s="911"/>
      <c r="SRS5749" s="912"/>
      <c r="SRU5749" s="913" t="s">
        <v>1</v>
      </c>
      <c r="SRV5749" s="31"/>
      <c r="SRW5749" s="909" t="s">
        <v>0</v>
      </c>
      <c r="SRX5749" s="909"/>
      <c r="SRY5749" s="909"/>
      <c r="SRZ5749" s="909"/>
      <c r="SSA5749" s="909"/>
      <c r="SSB5749" s="909"/>
      <c r="SSC5749" s="907" t="s">
        <v>79</v>
      </c>
      <c r="SSD5749" s="909" t="s">
        <v>68</v>
      </c>
      <c r="SSE5749" s="910" t="s">
        <v>75</v>
      </c>
      <c r="SSF5749" s="911"/>
      <c r="SSG5749" s="911"/>
      <c r="SSH5749" s="911"/>
      <c r="SSI5749" s="911"/>
      <c r="SSJ5749" s="911"/>
      <c r="SSK5749" s="911"/>
      <c r="SSL5749" s="911"/>
      <c r="SSM5749" s="911"/>
      <c r="SSN5749" s="911"/>
      <c r="SSO5749" s="32"/>
      <c r="SSP5749" s="911" t="s">
        <v>74</v>
      </c>
      <c r="SSQ5749" s="911"/>
      <c r="SSR5749" s="911"/>
      <c r="SSS5749" s="911"/>
      <c r="SST5749" s="911"/>
      <c r="SSU5749" s="911"/>
      <c r="SSV5749" s="911"/>
      <c r="SSW5749" s="911"/>
      <c r="SSX5749" s="911"/>
      <c r="SSY5749" s="912"/>
      <c r="STA5749" s="913" t="s">
        <v>1</v>
      </c>
      <c r="STB5749" s="31"/>
      <c r="STC5749" s="909" t="s">
        <v>0</v>
      </c>
      <c r="STD5749" s="909"/>
      <c r="STE5749" s="909"/>
      <c r="STF5749" s="909"/>
      <c r="STG5749" s="909"/>
      <c r="STH5749" s="909"/>
      <c r="STI5749" s="907" t="s">
        <v>79</v>
      </c>
      <c r="STJ5749" s="909" t="s">
        <v>68</v>
      </c>
      <c r="STK5749" s="910" t="s">
        <v>75</v>
      </c>
      <c r="STL5749" s="911"/>
      <c r="STM5749" s="911"/>
      <c r="STN5749" s="911"/>
      <c r="STO5749" s="911"/>
      <c r="STP5749" s="911"/>
      <c r="STQ5749" s="911"/>
      <c r="STR5749" s="911"/>
      <c r="STS5749" s="911"/>
      <c r="STT5749" s="911"/>
      <c r="STU5749" s="32"/>
      <c r="STV5749" s="911" t="s">
        <v>74</v>
      </c>
      <c r="STW5749" s="911"/>
      <c r="STX5749" s="911"/>
      <c r="STY5749" s="911"/>
      <c r="STZ5749" s="911"/>
      <c r="SUA5749" s="911"/>
      <c r="SUB5749" s="911"/>
      <c r="SUC5749" s="911"/>
      <c r="SUD5749" s="911"/>
      <c r="SUE5749" s="912"/>
      <c r="SUG5749" s="913" t="s">
        <v>1</v>
      </c>
      <c r="SUH5749" s="31"/>
      <c r="SUI5749" s="909" t="s">
        <v>0</v>
      </c>
      <c r="SUJ5749" s="909"/>
      <c r="SUK5749" s="909"/>
      <c r="SUL5749" s="909"/>
      <c r="SUM5749" s="909"/>
      <c r="SUN5749" s="909"/>
      <c r="SUO5749" s="907" t="s">
        <v>79</v>
      </c>
      <c r="SUP5749" s="909" t="s">
        <v>68</v>
      </c>
      <c r="SUQ5749" s="910" t="s">
        <v>75</v>
      </c>
      <c r="SUR5749" s="911"/>
      <c r="SUS5749" s="911"/>
      <c r="SUT5749" s="911"/>
      <c r="SUU5749" s="911"/>
      <c r="SUV5749" s="911"/>
      <c r="SUW5749" s="911"/>
      <c r="SUX5749" s="911"/>
      <c r="SUY5749" s="911"/>
      <c r="SUZ5749" s="911"/>
      <c r="SVA5749" s="32"/>
      <c r="SVB5749" s="911" t="s">
        <v>74</v>
      </c>
      <c r="SVC5749" s="911"/>
      <c r="SVD5749" s="911"/>
      <c r="SVE5749" s="911"/>
      <c r="SVF5749" s="911"/>
      <c r="SVG5749" s="911"/>
      <c r="SVH5749" s="911"/>
      <c r="SVI5749" s="911"/>
      <c r="SVJ5749" s="911"/>
      <c r="SVK5749" s="912"/>
      <c r="SVM5749" s="913" t="s">
        <v>1</v>
      </c>
      <c r="SVN5749" s="31"/>
      <c r="SVO5749" s="909" t="s">
        <v>0</v>
      </c>
      <c r="SVP5749" s="909"/>
      <c r="SVQ5749" s="909"/>
      <c r="SVR5749" s="909"/>
      <c r="SVS5749" s="909"/>
      <c r="SVT5749" s="909"/>
      <c r="SVU5749" s="907" t="s">
        <v>79</v>
      </c>
      <c r="SVV5749" s="909" t="s">
        <v>68</v>
      </c>
      <c r="SVW5749" s="910" t="s">
        <v>75</v>
      </c>
      <c r="SVX5749" s="911"/>
      <c r="SVY5749" s="911"/>
      <c r="SVZ5749" s="911"/>
      <c r="SWA5749" s="911"/>
      <c r="SWB5749" s="911"/>
      <c r="SWC5749" s="911"/>
      <c r="SWD5749" s="911"/>
      <c r="SWE5749" s="911"/>
      <c r="SWF5749" s="911"/>
      <c r="SWG5749" s="32"/>
      <c r="SWH5749" s="911" t="s">
        <v>74</v>
      </c>
      <c r="SWI5749" s="911"/>
      <c r="SWJ5749" s="911"/>
      <c r="SWK5749" s="911"/>
      <c r="SWL5749" s="911"/>
      <c r="SWM5749" s="911"/>
      <c r="SWN5749" s="911"/>
      <c r="SWO5749" s="911"/>
      <c r="SWP5749" s="911"/>
      <c r="SWQ5749" s="912"/>
      <c r="SWS5749" s="913" t="s">
        <v>1</v>
      </c>
      <c r="SWT5749" s="31"/>
      <c r="SWU5749" s="909" t="s">
        <v>0</v>
      </c>
      <c r="SWV5749" s="909"/>
      <c r="SWW5749" s="909"/>
      <c r="SWX5749" s="909"/>
      <c r="SWY5749" s="909"/>
      <c r="SWZ5749" s="909"/>
      <c r="SXA5749" s="907" t="s">
        <v>79</v>
      </c>
      <c r="SXB5749" s="909" t="s">
        <v>68</v>
      </c>
      <c r="SXC5749" s="910" t="s">
        <v>75</v>
      </c>
      <c r="SXD5749" s="911"/>
      <c r="SXE5749" s="911"/>
      <c r="SXF5749" s="911"/>
      <c r="SXG5749" s="911"/>
      <c r="SXH5749" s="911"/>
      <c r="SXI5749" s="911"/>
      <c r="SXJ5749" s="911"/>
      <c r="SXK5749" s="911"/>
      <c r="SXL5749" s="911"/>
      <c r="SXM5749" s="32"/>
      <c r="SXN5749" s="911" t="s">
        <v>74</v>
      </c>
      <c r="SXO5749" s="911"/>
      <c r="SXP5749" s="911"/>
      <c r="SXQ5749" s="911"/>
      <c r="SXR5749" s="911"/>
      <c r="SXS5749" s="911"/>
      <c r="SXT5749" s="911"/>
      <c r="SXU5749" s="911"/>
      <c r="SXV5749" s="911"/>
      <c r="SXW5749" s="912"/>
      <c r="SXY5749" s="913" t="s">
        <v>1</v>
      </c>
      <c r="SXZ5749" s="31"/>
      <c r="SYA5749" s="909" t="s">
        <v>0</v>
      </c>
      <c r="SYB5749" s="909"/>
      <c r="SYC5749" s="909"/>
      <c r="SYD5749" s="909"/>
      <c r="SYE5749" s="909"/>
      <c r="SYF5749" s="909"/>
      <c r="SYG5749" s="907" t="s">
        <v>79</v>
      </c>
      <c r="SYH5749" s="909" t="s">
        <v>68</v>
      </c>
      <c r="SYI5749" s="910" t="s">
        <v>75</v>
      </c>
      <c r="SYJ5749" s="911"/>
      <c r="SYK5749" s="911"/>
      <c r="SYL5749" s="911"/>
      <c r="SYM5749" s="911"/>
      <c r="SYN5749" s="911"/>
      <c r="SYO5749" s="911"/>
      <c r="SYP5749" s="911"/>
      <c r="SYQ5749" s="911"/>
      <c r="SYR5749" s="911"/>
      <c r="SYS5749" s="32"/>
      <c r="SYT5749" s="911" t="s">
        <v>74</v>
      </c>
      <c r="SYU5749" s="911"/>
      <c r="SYV5749" s="911"/>
      <c r="SYW5749" s="911"/>
      <c r="SYX5749" s="911"/>
      <c r="SYY5749" s="911"/>
      <c r="SYZ5749" s="911"/>
      <c r="SZA5749" s="911"/>
      <c r="SZB5749" s="911"/>
      <c r="SZC5749" s="912"/>
      <c r="SZE5749" s="913" t="s">
        <v>1</v>
      </c>
      <c r="SZF5749" s="31"/>
      <c r="SZG5749" s="909" t="s">
        <v>0</v>
      </c>
      <c r="SZH5749" s="909"/>
      <c r="SZI5749" s="909"/>
      <c r="SZJ5749" s="909"/>
      <c r="SZK5749" s="909"/>
      <c r="SZL5749" s="909"/>
      <c r="SZM5749" s="907" t="s">
        <v>79</v>
      </c>
      <c r="SZN5749" s="909" t="s">
        <v>68</v>
      </c>
      <c r="SZO5749" s="910" t="s">
        <v>75</v>
      </c>
      <c r="SZP5749" s="911"/>
      <c r="SZQ5749" s="911"/>
      <c r="SZR5749" s="911"/>
      <c r="SZS5749" s="911"/>
      <c r="SZT5749" s="911"/>
      <c r="SZU5749" s="911"/>
      <c r="SZV5749" s="911"/>
      <c r="SZW5749" s="911"/>
      <c r="SZX5749" s="911"/>
      <c r="SZY5749" s="32"/>
      <c r="SZZ5749" s="911" t="s">
        <v>74</v>
      </c>
      <c r="TAA5749" s="911"/>
      <c r="TAB5749" s="911"/>
      <c r="TAC5749" s="911"/>
      <c r="TAD5749" s="911"/>
      <c r="TAE5749" s="911"/>
      <c r="TAF5749" s="911"/>
      <c r="TAG5749" s="911"/>
      <c r="TAH5749" s="911"/>
      <c r="TAI5749" s="912"/>
      <c r="TAK5749" s="913" t="s">
        <v>1</v>
      </c>
      <c r="TAL5749" s="31"/>
      <c r="TAM5749" s="909" t="s">
        <v>0</v>
      </c>
      <c r="TAN5749" s="909"/>
      <c r="TAO5749" s="909"/>
      <c r="TAP5749" s="909"/>
      <c r="TAQ5749" s="909"/>
      <c r="TAR5749" s="909"/>
      <c r="TAS5749" s="907" t="s">
        <v>79</v>
      </c>
      <c r="TAT5749" s="909" t="s">
        <v>68</v>
      </c>
      <c r="TAU5749" s="910" t="s">
        <v>75</v>
      </c>
      <c r="TAV5749" s="911"/>
      <c r="TAW5749" s="911"/>
      <c r="TAX5749" s="911"/>
      <c r="TAY5749" s="911"/>
      <c r="TAZ5749" s="911"/>
      <c r="TBA5749" s="911"/>
      <c r="TBB5749" s="911"/>
      <c r="TBC5749" s="911"/>
      <c r="TBD5749" s="911"/>
      <c r="TBE5749" s="32"/>
      <c r="TBF5749" s="911" t="s">
        <v>74</v>
      </c>
      <c r="TBG5749" s="911"/>
      <c r="TBH5749" s="911"/>
      <c r="TBI5749" s="911"/>
      <c r="TBJ5749" s="911"/>
      <c r="TBK5749" s="911"/>
      <c r="TBL5749" s="911"/>
      <c r="TBM5749" s="911"/>
      <c r="TBN5749" s="911"/>
      <c r="TBO5749" s="912"/>
      <c r="TBQ5749" s="913" t="s">
        <v>1</v>
      </c>
      <c r="TBR5749" s="31"/>
      <c r="TBS5749" s="909" t="s">
        <v>0</v>
      </c>
      <c r="TBT5749" s="909"/>
      <c r="TBU5749" s="909"/>
      <c r="TBV5749" s="909"/>
      <c r="TBW5749" s="909"/>
      <c r="TBX5749" s="909"/>
      <c r="TBY5749" s="907" t="s">
        <v>79</v>
      </c>
      <c r="TBZ5749" s="909" t="s">
        <v>68</v>
      </c>
      <c r="TCA5749" s="910" t="s">
        <v>75</v>
      </c>
      <c r="TCB5749" s="911"/>
      <c r="TCC5749" s="911"/>
      <c r="TCD5749" s="911"/>
      <c r="TCE5749" s="911"/>
      <c r="TCF5749" s="911"/>
      <c r="TCG5749" s="911"/>
      <c r="TCH5749" s="911"/>
      <c r="TCI5749" s="911"/>
      <c r="TCJ5749" s="911"/>
      <c r="TCK5749" s="32"/>
      <c r="TCL5749" s="911" t="s">
        <v>74</v>
      </c>
      <c r="TCM5749" s="911"/>
      <c r="TCN5749" s="911"/>
      <c r="TCO5749" s="911"/>
      <c r="TCP5749" s="911"/>
      <c r="TCQ5749" s="911"/>
      <c r="TCR5749" s="911"/>
      <c r="TCS5749" s="911"/>
      <c r="TCT5749" s="911"/>
      <c r="TCU5749" s="912"/>
      <c r="TCW5749" s="913" t="s">
        <v>1</v>
      </c>
      <c r="TCX5749" s="31"/>
      <c r="TCY5749" s="909" t="s">
        <v>0</v>
      </c>
      <c r="TCZ5749" s="909"/>
      <c r="TDA5749" s="909"/>
      <c r="TDB5749" s="909"/>
      <c r="TDC5749" s="909"/>
      <c r="TDD5749" s="909"/>
      <c r="TDE5749" s="907" t="s">
        <v>79</v>
      </c>
      <c r="TDF5749" s="909" t="s">
        <v>68</v>
      </c>
      <c r="TDG5749" s="910" t="s">
        <v>75</v>
      </c>
      <c r="TDH5749" s="911"/>
      <c r="TDI5749" s="911"/>
      <c r="TDJ5749" s="911"/>
      <c r="TDK5749" s="911"/>
      <c r="TDL5749" s="911"/>
      <c r="TDM5749" s="911"/>
      <c r="TDN5749" s="911"/>
      <c r="TDO5749" s="911"/>
      <c r="TDP5749" s="911"/>
      <c r="TDQ5749" s="32"/>
      <c r="TDR5749" s="911" t="s">
        <v>74</v>
      </c>
      <c r="TDS5749" s="911"/>
      <c r="TDT5749" s="911"/>
      <c r="TDU5749" s="911"/>
      <c r="TDV5749" s="911"/>
      <c r="TDW5749" s="911"/>
      <c r="TDX5749" s="911"/>
      <c r="TDY5749" s="911"/>
      <c r="TDZ5749" s="911"/>
      <c r="TEA5749" s="912"/>
      <c r="TEC5749" s="913" t="s">
        <v>1</v>
      </c>
      <c r="TED5749" s="31"/>
      <c r="TEE5749" s="909" t="s">
        <v>0</v>
      </c>
      <c r="TEF5749" s="909"/>
      <c r="TEG5749" s="909"/>
      <c r="TEH5749" s="909"/>
      <c r="TEI5749" s="909"/>
      <c r="TEJ5749" s="909"/>
      <c r="TEK5749" s="907" t="s">
        <v>79</v>
      </c>
      <c r="TEL5749" s="909" t="s">
        <v>68</v>
      </c>
      <c r="TEM5749" s="910" t="s">
        <v>75</v>
      </c>
      <c r="TEN5749" s="911"/>
      <c r="TEO5749" s="911"/>
      <c r="TEP5749" s="911"/>
      <c r="TEQ5749" s="911"/>
      <c r="TER5749" s="911"/>
      <c r="TES5749" s="911"/>
      <c r="TET5749" s="911"/>
      <c r="TEU5749" s="911"/>
      <c r="TEV5749" s="911"/>
      <c r="TEW5749" s="32"/>
      <c r="TEX5749" s="911" t="s">
        <v>74</v>
      </c>
      <c r="TEY5749" s="911"/>
      <c r="TEZ5749" s="911"/>
      <c r="TFA5749" s="911"/>
      <c r="TFB5749" s="911"/>
      <c r="TFC5749" s="911"/>
      <c r="TFD5749" s="911"/>
      <c r="TFE5749" s="911"/>
      <c r="TFF5749" s="911"/>
      <c r="TFG5749" s="912"/>
      <c r="TFI5749" s="913" t="s">
        <v>1</v>
      </c>
      <c r="TFJ5749" s="31"/>
      <c r="TFK5749" s="909" t="s">
        <v>0</v>
      </c>
      <c r="TFL5749" s="909"/>
      <c r="TFM5749" s="909"/>
      <c r="TFN5749" s="909"/>
      <c r="TFO5749" s="909"/>
      <c r="TFP5749" s="909"/>
      <c r="TFQ5749" s="907" t="s">
        <v>79</v>
      </c>
      <c r="TFR5749" s="909" t="s">
        <v>68</v>
      </c>
      <c r="TFS5749" s="910" t="s">
        <v>75</v>
      </c>
      <c r="TFT5749" s="911"/>
      <c r="TFU5749" s="911"/>
      <c r="TFV5749" s="911"/>
      <c r="TFW5749" s="911"/>
      <c r="TFX5749" s="911"/>
      <c r="TFY5749" s="911"/>
      <c r="TFZ5749" s="911"/>
      <c r="TGA5749" s="911"/>
      <c r="TGB5749" s="911"/>
      <c r="TGC5749" s="32"/>
      <c r="TGD5749" s="911" t="s">
        <v>74</v>
      </c>
      <c r="TGE5749" s="911"/>
      <c r="TGF5749" s="911"/>
      <c r="TGG5749" s="911"/>
      <c r="TGH5749" s="911"/>
      <c r="TGI5749" s="911"/>
      <c r="TGJ5749" s="911"/>
      <c r="TGK5749" s="911"/>
      <c r="TGL5749" s="911"/>
      <c r="TGM5749" s="912"/>
      <c r="TGO5749" s="913" t="s">
        <v>1</v>
      </c>
      <c r="TGP5749" s="31"/>
      <c r="TGQ5749" s="909" t="s">
        <v>0</v>
      </c>
      <c r="TGR5749" s="909"/>
      <c r="TGS5749" s="909"/>
      <c r="TGT5749" s="909"/>
      <c r="TGU5749" s="909"/>
      <c r="TGV5749" s="909"/>
      <c r="TGW5749" s="907" t="s">
        <v>79</v>
      </c>
      <c r="TGX5749" s="909" t="s">
        <v>68</v>
      </c>
      <c r="TGY5749" s="910" t="s">
        <v>75</v>
      </c>
      <c r="TGZ5749" s="911"/>
      <c r="THA5749" s="911"/>
      <c r="THB5749" s="911"/>
      <c r="THC5749" s="911"/>
      <c r="THD5749" s="911"/>
      <c r="THE5749" s="911"/>
      <c r="THF5749" s="911"/>
      <c r="THG5749" s="911"/>
      <c r="THH5749" s="911"/>
      <c r="THI5749" s="32"/>
      <c r="THJ5749" s="911" t="s">
        <v>74</v>
      </c>
      <c r="THK5749" s="911"/>
      <c r="THL5749" s="911"/>
      <c r="THM5749" s="911"/>
      <c r="THN5749" s="911"/>
      <c r="THO5749" s="911"/>
      <c r="THP5749" s="911"/>
      <c r="THQ5749" s="911"/>
      <c r="THR5749" s="911"/>
      <c r="THS5749" s="912"/>
      <c r="THU5749" s="913" t="s">
        <v>1</v>
      </c>
      <c r="THV5749" s="31"/>
      <c r="THW5749" s="909" t="s">
        <v>0</v>
      </c>
      <c r="THX5749" s="909"/>
      <c r="THY5749" s="909"/>
      <c r="THZ5749" s="909"/>
      <c r="TIA5749" s="909"/>
      <c r="TIB5749" s="909"/>
      <c r="TIC5749" s="907" t="s">
        <v>79</v>
      </c>
      <c r="TID5749" s="909" t="s">
        <v>68</v>
      </c>
      <c r="TIE5749" s="910" t="s">
        <v>75</v>
      </c>
      <c r="TIF5749" s="911"/>
      <c r="TIG5749" s="911"/>
      <c r="TIH5749" s="911"/>
      <c r="TII5749" s="911"/>
      <c r="TIJ5749" s="911"/>
      <c r="TIK5749" s="911"/>
      <c r="TIL5749" s="911"/>
      <c r="TIM5749" s="911"/>
      <c r="TIN5749" s="911"/>
      <c r="TIO5749" s="32"/>
      <c r="TIP5749" s="911" t="s">
        <v>74</v>
      </c>
      <c r="TIQ5749" s="911"/>
      <c r="TIR5749" s="911"/>
      <c r="TIS5749" s="911"/>
      <c r="TIT5749" s="911"/>
      <c r="TIU5749" s="911"/>
      <c r="TIV5749" s="911"/>
      <c r="TIW5749" s="911"/>
      <c r="TIX5749" s="911"/>
      <c r="TIY5749" s="912"/>
      <c r="TJA5749" s="913" t="s">
        <v>1</v>
      </c>
      <c r="TJB5749" s="31"/>
      <c r="TJC5749" s="909" t="s">
        <v>0</v>
      </c>
      <c r="TJD5749" s="909"/>
      <c r="TJE5749" s="909"/>
      <c r="TJF5749" s="909"/>
      <c r="TJG5749" s="909"/>
      <c r="TJH5749" s="909"/>
      <c r="TJI5749" s="907" t="s">
        <v>79</v>
      </c>
      <c r="TJJ5749" s="909" t="s">
        <v>68</v>
      </c>
      <c r="TJK5749" s="910" t="s">
        <v>75</v>
      </c>
      <c r="TJL5749" s="911"/>
      <c r="TJM5749" s="911"/>
      <c r="TJN5749" s="911"/>
      <c r="TJO5749" s="911"/>
      <c r="TJP5749" s="911"/>
      <c r="TJQ5749" s="911"/>
      <c r="TJR5749" s="911"/>
      <c r="TJS5749" s="911"/>
      <c r="TJT5749" s="911"/>
      <c r="TJU5749" s="32"/>
      <c r="TJV5749" s="911" t="s">
        <v>74</v>
      </c>
      <c r="TJW5749" s="911"/>
      <c r="TJX5749" s="911"/>
      <c r="TJY5749" s="911"/>
      <c r="TJZ5749" s="911"/>
      <c r="TKA5749" s="911"/>
      <c r="TKB5749" s="911"/>
      <c r="TKC5749" s="911"/>
      <c r="TKD5749" s="911"/>
      <c r="TKE5749" s="912"/>
      <c r="TKG5749" s="913" t="s">
        <v>1</v>
      </c>
      <c r="TKH5749" s="31"/>
      <c r="TKI5749" s="909" t="s">
        <v>0</v>
      </c>
      <c r="TKJ5749" s="909"/>
      <c r="TKK5749" s="909"/>
      <c r="TKL5749" s="909"/>
      <c r="TKM5749" s="909"/>
      <c r="TKN5749" s="909"/>
      <c r="TKO5749" s="907" t="s">
        <v>79</v>
      </c>
      <c r="TKP5749" s="909" t="s">
        <v>68</v>
      </c>
      <c r="TKQ5749" s="910" t="s">
        <v>75</v>
      </c>
      <c r="TKR5749" s="911"/>
      <c r="TKS5749" s="911"/>
      <c r="TKT5749" s="911"/>
      <c r="TKU5749" s="911"/>
      <c r="TKV5749" s="911"/>
      <c r="TKW5749" s="911"/>
      <c r="TKX5749" s="911"/>
      <c r="TKY5749" s="911"/>
      <c r="TKZ5749" s="911"/>
      <c r="TLA5749" s="32"/>
      <c r="TLB5749" s="911" t="s">
        <v>74</v>
      </c>
      <c r="TLC5749" s="911"/>
      <c r="TLD5749" s="911"/>
      <c r="TLE5749" s="911"/>
      <c r="TLF5749" s="911"/>
      <c r="TLG5749" s="911"/>
      <c r="TLH5749" s="911"/>
      <c r="TLI5749" s="911"/>
      <c r="TLJ5749" s="911"/>
      <c r="TLK5749" s="912"/>
      <c r="TLM5749" s="913" t="s">
        <v>1</v>
      </c>
      <c r="TLN5749" s="31"/>
      <c r="TLO5749" s="909" t="s">
        <v>0</v>
      </c>
      <c r="TLP5749" s="909"/>
      <c r="TLQ5749" s="909"/>
      <c r="TLR5749" s="909"/>
      <c r="TLS5749" s="909"/>
      <c r="TLT5749" s="909"/>
      <c r="TLU5749" s="907" t="s">
        <v>79</v>
      </c>
      <c r="TLV5749" s="909" t="s">
        <v>68</v>
      </c>
      <c r="TLW5749" s="910" t="s">
        <v>75</v>
      </c>
      <c r="TLX5749" s="911"/>
      <c r="TLY5749" s="911"/>
      <c r="TLZ5749" s="911"/>
      <c r="TMA5749" s="911"/>
      <c r="TMB5749" s="911"/>
      <c r="TMC5749" s="911"/>
      <c r="TMD5749" s="911"/>
      <c r="TME5749" s="911"/>
      <c r="TMF5749" s="911"/>
      <c r="TMG5749" s="32"/>
      <c r="TMH5749" s="911" t="s">
        <v>74</v>
      </c>
      <c r="TMI5749" s="911"/>
      <c r="TMJ5749" s="911"/>
      <c r="TMK5749" s="911"/>
      <c r="TML5749" s="911"/>
      <c r="TMM5749" s="911"/>
      <c r="TMN5749" s="911"/>
      <c r="TMO5749" s="911"/>
      <c r="TMP5749" s="911"/>
      <c r="TMQ5749" s="912"/>
      <c r="TMS5749" s="913" t="s">
        <v>1</v>
      </c>
      <c r="TMT5749" s="31"/>
      <c r="TMU5749" s="909" t="s">
        <v>0</v>
      </c>
      <c r="TMV5749" s="909"/>
      <c r="TMW5749" s="909"/>
      <c r="TMX5749" s="909"/>
      <c r="TMY5749" s="909"/>
      <c r="TMZ5749" s="909"/>
      <c r="TNA5749" s="907" t="s">
        <v>79</v>
      </c>
      <c r="TNB5749" s="909" t="s">
        <v>68</v>
      </c>
      <c r="TNC5749" s="910" t="s">
        <v>75</v>
      </c>
      <c r="TND5749" s="911"/>
      <c r="TNE5749" s="911"/>
      <c r="TNF5749" s="911"/>
      <c r="TNG5749" s="911"/>
      <c r="TNH5749" s="911"/>
      <c r="TNI5749" s="911"/>
      <c r="TNJ5749" s="911"/>
      <c r="TNK5749" s="911"/>
      <c r="TNL5749" s="911"/>
      <c r="TNM5749" s="32"/>
      <c r="TNN5749" s="911" t="s">
        <v>74</v>
      </c>
      <c r="TNO5749" s="911"/>
      <c r="TNP5749" s="911"/>
      <c r="TNQ5749" s="911"/>
      <c r="TNR5749" s="911"/>
      <c r="TNS5749" s="911"/>
      <c r="TNT5749" s="911"/>
      <c r="TNU5749" s="911"/>
      <c r="TNV5749" s="911"/>
      <c r="TNW5749" s="912"/>
      <c r="TNY5749" s="913" t="s">
        <v>1</v>
      </c>
      <c r="TNZ5749" s="31"/>
      <c r="TOA5749" s="909" t="s">
        <v>0</v>
      </c>
      <c r="TOB5749" s="909"/>
      <c r="TOC5749" s="909"/>
      <c r="TOD5749" s="909"/>
      <c r="TOE5749" s="909"/>
      <c r="TOF5749" s="909"/>
      <c r="TOG5749" s="907" t="s">
        <v>79</v>
      </c>
      <c r="TOH5749" s="909" t="s">
        <v>68</v>
      </c>
      <c r="TOI5749" s="910" t="s">
        <v>75</v>
      </c>
      <c r="TOJ5749" s="911"/>
      <c r="TOK5749" s="911"/>
      <c r="TOL5749" s="911"/>
      <c r="TOM5749" s="911"/>
      <c r="TON5749" s="911"/>
      <c r="TOO5749" s="911"/>
      <c r="TOP5749" s="911"/>
      <c r="TOQ5749" s="911"/>
      <c r="TOR5749" s="911"/>
      <c r="TOS5749" s="32"/>
      <c r="TOT5749" s="911" t="s">
        <v>74</v>
      </c>
      <c r="TOU5749" s="911"/>
      <c r="TOV5749" s="911"/>
      <c r="TOW5749" s="911"/>
      <c r="TOX5749" s="911"/>
      <c r="TOY5749" s="911"/>
      <c r="TOZ5749" s="911"/>
      <c r="TPA5749" s="911"/>
      <c r="TPB5749" s="911"/>
      <c r="TPC5749" s="912"/>
      <c r="TPE5749" s="913" t="s">
        <v>1</v>
      </c>
      <c r="TPF5749" s="31"/>
      <c r="TPG5749" s="909" t="s">
        <v>0</v>
      </c>
      <c r="TPH5749" s="909"/>
      <c r="TPI5749" s="909"/>
      <c r="TPJ5749" s="909"/>
      <c r="TPK5749" s="909"/>
      <c r="TPL5749" s="909"/>
      <c r="TPM5749" s="907" t="s">
        <v>79</v>
      </c>
      <c r="TPN5749" s="909" t="s">
        <v>68</v>
      </c>
      <c r="TPO5749" s="910" t="s">
        <v>75</v>
      </c>
      <c r="TPP5749" s="911"/>
      <c r="TPQ5749" s="911"/>
      <c r="TPR5749" s="911"/>
      <c r="TPS5749" s="911"/>
      <c r="TPT5749" s="911"/>
      <c r="TPU5749" s="911"/>
      <c r="TPV5749" s="911"/>
      <c r="TPW5749" s="911"/>
      <c r="TPX5749" s="911"/>
      <c r="TPY5749" s="32"/>
      <c r="TPZ5749" s="911" t="s">
        <v>74</v>
      </c>
      <c r="TQA5749" s="911"/>
      <c r="TQB5749" s="911"/>
      <c r="TQC5749" s="911"/>
      <c r="TQD5749" s="911"/>
      <c r="TQE5749" s="911"/>
      <c r="TQF5749" s="911"/>
      <c r="TQG5749" s="911"/>
      <c r="TQH5749" s="911"/>
      <c r="TQI5749" s="912"/>
      <c r="TQK5749" s="913" t="s">
        <v>1</v>
      </c>
      <c r="TQL5749" s="31"/>
      <c r="TQM5749" s="909" t="s">
        <v>0</v>
      </c>
      <c r="TQN5749" s="909"/>
      <c r="TQO5749" s="909"/>
      <c r="TQP5749" s="909"/>
      <c r="TQQ5749" s="909"/>
      <c r="TQR5749" s="909"/>
      <c r="TQS5749" s="907" t="s">
        <v>79</v>
      </c>
      <c r="TQT5749" s="909" t="s">
        <v>68</v>
      </c>
      <c r="TQU5749" s="910" t="s">
        <v>75</v>
      </c>
      <c r="TQV5749" s="911"/>
      <c r="TQW5749" s="911"/>
      <c r="TQX5749" s="911"/>
      <c r="TQY5749" s="911"/>
      <c r="TQZ5749" s="911"/>
      <c r="TRA5749" s="911"/>
      <c r="TRB5749" s="911"/>
      <c r="TRC5749" s="911"/>
      <c r="TRD5749" s="911"/>
      <c r="TRE5749" s="32"/>
      <c r="TRF5749" s="911" t="s">
        <v>74</v>
      </c>
      <c r="TRG5749" s="911"/>
      <c r="TRH5749" s="911"/>
      <c r="TRI5749" s="911"/>
      <c r="TRJ5749" s="911"/>
      <c r="TRK5749" s="911"/>
      <c r="TRL5749" s="911"/>
      <c r="TRM5749" s="911"/>
      <c r="TRN5749" s="911"/>
      <c r="TRO5749" s="912"/>
      <c r="TRQ5749" s="913" t="s">
        <v>1</v>
      </c>
      <c r="TRR5749" s="31"/>
      <c r="TRS5749" s="909" t="s">
        <v>0</v>
      </c>
      <c r="TRT5749" s="909"/>
      <c r="TRU5749" s="909"/>
      <c r="TRV5749" s="909"/>
      <c r="TRW5749" s="909"/>
      <c r="TRX5749" s="909"/>
      <c r="TRY5749" s="907" t="s">
        <v>79</v>
      </c>
      <c r="TRZ5749" s="909" t="s">
        <v>68</v>
      </c>
      <c r="TSA5749" s="910" t="s">
        <v>75</v>
      </c>
      <c r="TSB5749" s="911"/>
      <c r="TSC5749" s="911"/>
      <c r="TSD5749" s="911"/>
      <c r="TSE5749" s="911"/>
      <c r="TSF5749" s="911"/>
      <c r="TSG5749" s="911"/>
      <c r="TSH5749" s="911"/>
      <c r="TSI5749" s="911"/>
      <c r="TSJ5749" s="911"/>
      <c r="TSK5749" s="32"/>
      <c r="TSL5749" s="911" t="s">
        <v>74</v>
      </c>
      <c r="TSM5749" s="911"/>
      <c r="TSN5749" s="911"/>
      <c r="TSO5749" s="911"/>
      <c r="TSP5749" s="911"/>
      <c r="TSQ5749" s="911"/>
      <c r="TSR5749" s="911"/>
      <c r="TSS5749" s="911"/>
      <c r="TST5749" s="911"/>
      <c r="TSU5749" s="912"/>
      <c r="TSW5749" s="913" t="s">
        <v>1</v>
      </c>
      <c r="TSX5749" s="31"/>
      <c r="TSY5749" s="909" t="s">
        <v>0</v>
      </c>
      <c r="TSZ5749" s="909"/>
      <c r="TTA5749" s="909"/>
      <c r="TTB5749" s="909"/>
      <c r="TTC5749" s="909"/>
      <c r="TTD5749" s="909"/>
      <c r="TTE5749" s="907" t="s">
        <v>79</v>
      </c>
      <c r="TTF5749" s="909" t="s">
        <v>68</v>
      </c>
      <c r="TTG5749" s="910" t="s">
        <v>75</v>
      </c>
      <c r="TTH5749" s="911"/>
      <c r="TTI5749" s="911"/>
      <c r="TTJ5749" s="911"/>
      <c r="TTK5749" s="911"/>
      <c r="TTL5749" s="911"/>
      <c r="TTM5749" s="911"/>
      <c r="TTN5749" s="911"/>
      <c r="TTO5749" s="911"/>
      <c r="TTP5749" s="911"/>
      <c r="TTQ5749" s="32"/>
      <c r="TTR5749" s="911" t="s">
        <v>74</v>
      </c>
      <c r="TTS5749" s="911"/>
      <c r="TTT5749" s="911"/>
      <c r="TTU5749" s="911"/>
      <c r="TTV5749" s="911"/>
      <c r="TTW5749" s="911"/>
      <c r="TTX5749" s="911"/>
      <c r="TTY5749" s="911"/>
      <c r="TTZ5749" s="911"/>
      <c r="TUA5749" s="912"/>
      <c r="TUC5749" s="913" t="s">
        <v>1</v>
      </c>
      <c r="TUD5749" s="31"/>
      <c r="TUE5749" s="909" t="s">
        <v>0</v>
      </c>
      <c r="TUF5749" s="909"/>
      <c r="TUG5749" s="909"/>
      <c r="TUH5749" s="909"/>
      <c r="TUI5749" s="909"/>
      <c r="TUJ5749" s="909"/>
      <c r="TUK5749" s="907" t="s">
        <v>79</v>
      </c>
      <c r="TUL5749" s="909" t="s">
        <v>68</v>
      </c>
      <c r="TUM5749" s="910" t="s">
        <v>75</v>
      </c>
      <c r="TUN5749" s="911"/>
      <c r="TUO5749" s="911"/>
      <c r="TUP5749" s="911"/>
      <c r="TUQ5749" s="911"/>
      <c r="TUR5749" s="911"/>
      <c r="TUS5749" s="911"/>
      <c r="TUT5749" s="911"/>
      <c r="TUU5749" s="911"/>
      <c r="TUV5749" s="911"/>
      <c r="TUW5749" s="32"/>
      <c r="TUX5749" s="911" t="s">
        <v>74</v>
      </c>
      <c r="TUY5749" s="911"/>
      <c r="TUZ5749" s="911"/>
      <c r="TVA5749" s="911"/>
      <c r="TVB5749" s="911"/>
      <c r="TVC5749" s="911"/>
      <c r="TVD5749" s="911"/>
      <c r="TVE5749" s="911"/>
      <c r="TVF5749" s="911"/>
      <c r="TVG5749" s="912"/>
      <c r="TVI5749" s="913" t="s">
        <v>1</v>
      </c>
      <c r="TVJ5749" s="31"/>
      <c r="TVK5749" s="909" t="s">
        <v>0</v>
      </c>
      <c r="TVL5749" s="909"/>
      <c r="TVM5749" s="909"/>
      <c r="TVN5749" s="909"/>
      <c r="TVO5749" s="909"/>
      <c r="TVP5749" s="909"/>
      <c r="TVQ5749" s="907" t="s">
        <v>79</v>
      </c>
      <c r="TVR5749" s="909" t="s">
        <v>68</v>
      </c>
      <c r="TVS5749" s="910" t="s">
        <v>75</v>
      </c>
      <c r="TVT5749" s="911"/>
      <c r="TVU5749" s="911"/>
      <c r="TVV5749" s="911"/>
      <c r="TVW5749" s="911"/>
      <c r="TVX5749" s="911"/>
      <c r="TVY5749" s="911"/>
      <c r="TVZ5749" s="911"/>
      <c r="TWA5749" s="911"/>
      <c r="TWB5749" s="911"/>
      <c r="TWC5749" s="32"/>
      <c r="TWD5749" s="911" t="s">
        <v>74</v>
      </c>
      <c r="TWE5749" s="911"/>
      <c r="TWF5749" s="911"/>
      <c r="TWG5749" s="911"/>
      <c r="TWH5749" s="911"/>
      <c r="TWI5749" s="911"/>
      <c r="TWJ5749" s="911"/>
      <c r="TWK5749" s="911"/>
      <c r="TWL5749" s="911"/>
      <c r="TWM5749" s="912"/>
      <c r="TWO5749" s="913" t="s">
        <v>1</v>
      </c>
      <c r="TWP5749" s="31"/>
      <c r="TWQ5749" s="909" t="s">
        <v>0</v>
      </c>
      <c r="TWR5749" s="909"/>
      <c r="TWS5749" s="909"/>
      <c r="TWT5749" s="909"/>
      <c r="TWU5749" s="909"/>
      <c r="TWV5749" s="909"/>
      <c r="TWW5749" s="907" t="s">
        <v>79</v>
      </c>
      <c r="TWX5749" s="909" t="s">
        <v>68</v>
      </c>
      <c r="TWY5749" s="910" t="s">
        <v>75</v>
      </c>
      <c r="TWZ5749" s="911"/>
      <c r="TXA5749" s="911"/>
      <c r="TXB5749" s="911"/>
      <c r="TXC5749" s="911"/>
      <c r="TXD5749" s="911"/>
      <c r="TXE5749" s="911"/>
      <c r="TXF5749" s="911"/>
      <c r="TXG5749" s="911"/>
      <c r="TXH5749" s="911"/>
      <c r="TXI5749" s="32"/>
      <c r="TXJ5749" s="911" t="s">
        <v>74</v>
      </c>
      <c r="TXK5749" s="911"/>
      <c r="TXL5749" s="911"/>
      <c r="TXM5749" s="911"/>
      <c r="TXN5749" s="911"/>
      <c r="TXO5749" s="911"/>
      <c r="TXP5749" s="911"/>
      <c r="TXQ5749" s="911"/>
      <c r="TXR5749" s="911"/>
      <c r="TXS5749" s="912"/>
      <c r="TXU5749" s="913" t="s">
        <v>1</v>
      </c>
      <c r="TXV5749" s="31"/>
      <c r="TXW5749" s="909" t="s">
        <v>0</v>
      </c>
      <c r="TXX5749" s="909"/>
      <c r="TXY5749" s="909"/>
      <c r="TXZ5749" s="909"/>
      <c r="TYA5749" s="909"/>
      <c r="TYB5749" s="909"/>
      <c r="TYC5749" s="907" t="s">
        <v>79</v>
      </c>
      <c r="TYD5749" s="909" t="s">
        <v>68</v>
      </c>
      <c r="TYE5749" s="910" t="s">
        <v>75</v>
      </c>
      <c r="TYF5749" s="911"/>
      <c r="TYG5749" s="911"/>
      <c r="TYH5749" s="911"/>
      <c r="TYI5749" s="911"/>
      <c r="TYJ5749" s="911"/>
      <c r="TYK5749" s="911"/>
      <c r="TYL5749" s="911"/>
      <c r="TYM5749" s="911"/>
      <c r="TYN5749" s="911"/>
      <c r="TYO5749" s="32"/>
      <c r="TYP5749" s="911" t="s">
        <v>74</v>
      </c>
      <c r="TYQ5749" s="911"/>
      <c r="TYR5749" s="911"/>
      <c r="TYS5749" s="911"/>
      <c r="TYT5749" s="911"/>
      <c r="TYU5749" s="911"/>
      <c r="TYV5749" s="911"/>
      <c r="TYW5749" s="911"/>
      <c r="TYX5749" s="911"/>
      <c r="TYY5749" s="912"/>
      <c r="TZA5749" s="913" t="s">
        <v>1</v>
      </c>
      <c r="TZB5749" s="31"/>
      <c r="TZC5749" s="909" t="s">
        <v>0</v>
      </c>
      <c r="TZD5749" s="909"/>
      <c r="TZE5749" s="909"/>
      <c r="TZF5749" s="909"/>
      <c r="TZG5749" s="909"/>
      <c r="TZH5749" s="909"/>
      <c r="TZI5749" s="907" t="s">
        <v>79</v>
      </c>
      <c r="TZJ5749" s="909" t="s">
        <v>68</v>
      </c>
      <c r="TZK5749" s="910" t="s">
        <v>75</v>
      </c>
      <c r="TZL5749" s="911"/>
      <c r="TZM5749" s="911"/>
      <c r="TZN5749" s="911"/>
      <c r="TZO5749" s="911"/>
      <c r="TZP5749" s="911"/>
      <c r="TZQ5749" s="911"/>
      <c r="TZR5749" s="911"/>
      <c r="TZS5749" s="911"/>
      <c r="TZT5749" s="911"/>
      <c r="TZU5749" s="32"/>
      <c r="TZV5749" s="911" t="s">
        <v>74</v>
      </c>
      <c r="TZW5749" s="911"/>
      <c r="TZX5749" s="911"/>
      <c r="TZY5749" s="911"/>
      <c r="TZZ5749" s="911"/>
      <c r="UAA5749" s="911"/>
      <c r="UAB5749" s="911"/>
      <c r="UAC5749" s="911"/>
      <c r="UAD5749" s="911"/>
      <c r="UAE5749" s="912"/>
      <c r="UAG5749" s="913" t="s">
        <v>1</v>
      </c>
      <c r="UAH5749" s="31"/>
      <c r="UAI5749" s="909" t="s">
        <v>0</v>
      </c>
      <c r="UAJ5749" s="909"/>
      <c r="UAK5749" s="909"/>
      <c r="UAL5749" s="909"/>
      <c r="UAM5749" s="909"/>
      <c r="UAN5749" s="909"/>
      <c r="UAO5749" s="907" t="s">
        <v>79</v>
      </c>
      <c r="UAP5749" s="909" t="s">
        <v>68</v>
      </c>
      <c r="UAQ5749" s="910" t="s">
        <v>75</v>
      </c>
      <c r="UAR5749" s="911"/>
      <c r="UAS5749" s="911"/>
      <c r="UAT5749" s="911"/>
      <c r="UAU5749" s="911"/>
      <c r="UAV5749" s="911"/>
      <c r="UAW5749" s="911"/>
      <c r="UAX5749" s="911"/>
      <c r="UAY5749" s="911"/>
      <c r="UAZ5749" s="911"/>
      <c r="UBA5749" s="32"/>
      <c r="UBB5749" s="911" t="s">
        <v>74</v>
      </c>
      <c r="UBC5749" s="911"/>
      <c r="UBD5749" s="911"/>
      <c r="UBE5749" s="911"/>
      <c r="UBF5749" s="911"/>
      <c r="UBG5749" s="911"/>
      <c r="UBH5749" s="911"/>
      <c r="UBI5749" s="911"/>
      <c r="UBJ5749" s="911"/>
      <c r="UBK5749" s="912"/>
      <c r="UBM5749" s="913" t="s">
        <v>1</v>
      </c>
      <c r="UBN5749" s="31"/>
      <c r="UBO5749" s="909" t="s">
        <v>0</v>
      </c>
      <c r="UBP5749" s="909"/>
      <c r="UBQ5749" s="909"/>
      <c r="UBR5749" s="909"/>
      <c r="UBS5749" s="909"/>
      <c r="UBT5749" s="909"/>
      <c r="UBU5749" s="907" t="s">
        <v>79</v>
      </c>
      <c r="UBV5749" s="909" t="s">
        <v>68</v>
      </c>
      <c r="UBW5749" s="910" t="s">
        <v>75</v>
      </c>
      <c r="UBX5749" s="911"/>
      <c r="UBY5749" s="911"/>
      <c r="UBZ5749" s="911"/>
      <c r="UCA5749" s="911"/>
      <c r="UCB5749" s="911"/>
      <c r="UCC5749" s="911"/>
      <c r="UCD5749" s="911"/>
      <c r="UCE5749" s="911"/>
      <c r="UCF5749" s="911"/>
      <c r="UCG5749" s="32"/>
      <c r="UCH5749" s="911" t="s">
        <v>74</v>
      </c>
      <c r="UCI5749" s="911"/>
      <c r="UCJ5749" s="911"/>
      <c r="UCK5749" s="911"/>
      <c r="UCL5749" s="911"/>
      <c r="UCM5749" s="911"/>
      <c r="UCN5749" s="911"/>
      <c r="UCO5749" s="911"/>
      <c r="UCP5749" s="911"/>
      <c r="UCQ5749" s="912"/>
      <c r="UCS5749" s="913" t="s">
        <v>1</v>
      </c>
      <c r="UCT5749" s="31"/>
      <c r="UCU5749" s="909" t="s">
        <v>0</v>
      </c>
      <c r="UCV5749" s="909"/>
      <c r="UCW5749" s="909"/>
      <c r="UCX5749" s="909"/>
      <c r="UCY5749" s="909"/>
      <c r="UCZ5749" s="909"/>
      <c r="UDA5749" s="907" t="s">
        <v>79</v>
      </c>
      <c r="UDB5749" s="909" t="s">
        <v>68</v>
      </c>
      <c r="UDC5749" s="910" t="s">
        <v>75</v>
      </c>
      <c r="UDD5749" s="911"/>
      <c r="UDE5749" s="911"/>
      <c r="UDF5749" s="911"/>
      <c r="UDG5749" s="911"/>
      <c r="UDH5749" s="911"/>
      <c r="UDI5749" s="911"/>
      <c r="UDJ5749" s="911"/>
      <c r="UDK5749" s="911"/>
      <c r="UDL5749" s="911"/>
      <c r="UDM5749" s="32"/>
      <c r="UDN5749" s="911" t="s">
        <v>74</v>
      </c>
      <c r="UDO5749" s="911"/>
      <c r="UDP5749" s="911"/>
      <c r="UDQ5749" s="911"/>
      <c r="UDR5749" s="911"/>
      <c r="UDS5749" s="911"/>
      <c r="UDT5749" s="911"/>
      <c r="UDU5749" s="911"/>
      <c r="UDV5749" s="911"/>
      <c r="UDW5749" s="912"/>
      <c r="UDY5749" s="913" t="s">
        <v>1</v>
      </c>
      <c r="UDZ5749" s="31"/>
      <c r="UEA5749" s="909" t="s">
        <v>0</v>
      </c>
      <c r="UEB5749" s="909"/>
      <c r="UEC5749" s="909"/>
      <c r="UED5749" s="909"/>
      <c r="UEE5749" s="909"/>
      <c r="UEF5749" s="909"/>
      <c r="UEG5749" s="907" t="s">
        <v>79</v>
      </c>
      <c r="UEH5749" s="909" t="s">
        <v>68</v>
      </c>
      <c r="UEI5749" s="910" t="s">
        <v>75</v>
      </c>
      <c r="UEJ5749" s="911"/>
      <c r="UEK5749" s="911"/>
      <c r="UEL5749" s="911"/>
      <c r="UEM5749" s="911"/>
      <c r="UEN5749" s="911"/>
      <c r="UEO5749" s="911"/>
      <c r="UEP5749" s="911"/>
      <c r="UEQ5749" s="911"/>
      <c r="UER5749" s="911"/>
      <c r="UES5749" s="32"/>
      <c r="UET5749" s="911" t="s">
        <v>74</v>
      </c>
      <c r="UEU5749" s="911"/>
      <c r="UEV5749" s="911"/>
      <c r="UEW5749" s="911"/>
      <c r="UEX5749" s="911"/>
      <c r="UEY5749" s="911"/>
      <c r="UEZ5749" s="911"/>
      <c r="UFA5749" s="911"/>
      <c r="UFB5749" s="911"/>
      <c r="UFC5749" s="912"/>
      <c r="UFE5749" s="913" t="s">
        <v>1</v>
      </c>
      <c r="UFF5749" s="31"/>
      <c r="UFG5749" s="909" t="s">
        <v>0</v>
      </c>
      <c r="UFH5749" s="909"/>
      <c r="UFI5749" s="909"/>
      <c r="UFJ5749" s="909"/>
      <c r="UFK5749" s="909"/>
      <c r="UFL5749" s="909"/>
      <c r="UFM5749" s="907" t="s">
        <v>79</v>
      </c>
      <c r="UFN5749" s="909" t="s">
        <v>68</v>
      </c>
      <c r="UFO5749" s="910" t="s">
        <v>75</v>
      </c>
      <c r="UFP5749" s="911"/>
      <c r="UFQ5749" s="911"/>
      <c r="UFR5749" s="911"/>
      <c r="UFS5749" s="911"/>
      <c r="UFT5749" s="911"/>
      <c r="UFU5749" s="911"/>
      <c r="UFV5749" s="911"/>
      <c r="UFW5749" s="911"/>
      <c r="UFX5749" s="911"/>
      <c r="UFY5749" s="32"/>
      <c r="UFZ5749" s="911" t="s">
        <v>74</v>
      </c>
      <c r="UGA5749" s="911"/>
      <c r="UGB5749" s="911"/>
      <c r="UGC5749" s="911"/>
      <c r="UGD5749" s="911"/>
      <c r="UGE5749" s="911"/>
      <c r="UGF5749" s="911"/>
      <c r="UGG5749" s="911"/>
      <c r="UGH5749" s="911"/>
      <c r="UGI5749" s="912"/>
      <c r="UGK5749" s="913" t="s">
        <v>1</v>
      </c>
      <c r="UGL5749" s="31"/>
      <c r="UGM5749" s="909" t="s">
        <v>0</v>
      </c>
      <c r="UGN5749" s="909"/>
      <c r="UGO5749" s="909"/>
      <c r="UGP5749" s="909"/>
      <c r="UGQ5749" s="909"/>
      <c r="UGR5749" s="909"/>
      <c r="UGS5749" s="907" t="s">
        <v>79</v>
      </c>
      <c r="UGT5749" s="909" t="s">
        <v>68</v>
      </c>
      <c r="UGU5749" s="910" t="s">
        <v>75</v>
      </c>
      <c r="UGV5749" s="911"/>
      <c r="UGW5749" s="911"/>
      <c r="UGX5749" s="911"/>
      <c r="UGY5749" s="911"/>
      <c r="UGZ5749" s="911"/>
      <c r="UHA5749" s="911"/>
      <c r="UHB5749" s="911"/>
      <c r="UHC5749" s="911"/>
      <c r="UHD5749" s="911"/>
      <c r="UHE5749" s="32"/>
      <c r="UHF5749" s="911" t="s">
        <v>74</v>
      </c>
      <c r="UHG5749" s="911"/>
      <c r="UHH5749" s="911"/>
      <c r="UHI5749" s="911"/>
      <c r="UHJ5749" s="911"/>
      <c r="UHK5749" s="911"/>
      <c r="UHL5749" s="911"/>
      <c r="UHM5749" s="911"/>
      <c r="UHN5749" s="911"/>
      <c r="UHO5749" s="912"/>
      <c r="UHQ5749" s="913" t="s">
        <v>1</v>
      </c>
      <c r="UHR5749" s="31"/>
      <c r="UHS5749" s="909" t="s">
        <v>0</v>
      </c>
      <c r="UHT5749" s="909"/>
      <c r="UHU5749" s="909"/>
      <c r="UHV5749" s="909"/>
      <c r="UHW5749" s="909"/>
      <c r="UHX5749" s="909"/>
      <c r="UHY5749" s="907" t="s">
        <v>79</v>
      </c>
      <c r="UHZ5749" s="909" t="s">
        <v>68</v>
      </c>
      <c r="UIA5749" s="910" t="s">
        <v>75</v>
      </c>
      <c r="UIB5749" s="911"/>
      <c r="UIC5749" s="911"/>
      <c r="UID5749" s="911"/>
      <c r="UIE5749" s="911"/>
      <c r="UIF5749" s="911"/>
      <c r="UIG5749" s="911"/>
      <c r="UIH5749" s="911"/>
      <c r="UII5749" s="911"/>
      <c r="UIJ5749" s="911"/>
      <c r="UIK5749" s="32"/>
      <c r="UIL5749" s="911" t="s">
        <v>74</v>
      </c>
      <c r="UIM5749" s="911"/>
      <c r="UIN5749" s="911"/>
      <c r="UIO5749" s="911"/>
      <c r="UIP5749" s="911"/>
      <c r="UIQ5749" s="911"/>
      <c r="UIR5749" s="911"/>
      <c r="UIS5749" s="911"/>
      <c r="UIT5749" s="911"/>
      <c r="UIU5749" s="912"/>
      <c r="UIW5749" s="913" t="s">
        <v>1</v>
      </c>
      <c r="UIX5749" s="31"/>
      <c r="UIY5749" s="909" t="s">
        <v>0</v>
      </c>
      <c r="UIZ5749" s="909"/>
      <c r="UJA5749" s="909"/>
      <c r="UJB5749" s="909"/>
      <c r="UJC5749" s="909"/>
      <c r="UJD5749" s="909"/>
      <c r="UJE5749" s="907" t="s">
        <v>79</v>
      </c>
      <c r="UJF5749" s="909" t="s">
        <v>68</v>
      </c>
      <c r="UJG5749" s="910" t="s">
        <v>75</v>
      </c>
      <c r="UJH5749" s="911"/>
      <c r="UJI5749" s="911"/>
      <c r="UJJ5749" s="911"/>
      <c r="UJK5749" s="911"/>
      <c r="UJL5749" s="911"/>
      <c r="UJM5749" s="911"/>
      <c r="UJN5749" s="911"/>
      <c r="UJO5749" s="911"/>
      <c r="UJP5749" s="911"/>
      <c r="UJQ5749" s="32"/>
      <c r="UJR5749" s="911" t="s">
        <v>74</v>
      </c>
      <c r="UJS5749" s="911"/>
      <c r="UJT5749" s="911"/>
      <c r="UJU5749" s="911"/>
      <c r="UJV5749" s="911"/>
      <c r="UJW5749" s="911"/>
      <c r="UJX5749" s="911"/>
      <c r="UJY5749" s="911"/>
      <c r="UJZ5749" s="911"/>
      <c r="UKA5749" s="912"/>
      <c r="UKC5749" s="913" t="s">
        <v>1</v>
      </c>
      <c r="UKD5749" s="31"/>
      <c r="UKE5749" s="909" t="s">
        <v>0</v>
      </c>
      <c r="UKF5749" s="909"/>
      <c r="UKG5749" s="909"/>
      <c r="UKH5749" s="909"/>
      <c r="UKI5749" s="909"/>
      <c r="UKJ5749" s="909"/>
      <c r="UKK5749" s="907" t="s">
        <v>79</v>
      </c>
      <c r="UKL5749" s="909" t="s">
        <v>68</v>
      </c>
      <c r="UKM5749" s="910" t="s">
        <v>75</v>
      </c>
      <c r="UKN5749" s="911"/>
      <c r="UKO5749" s="911"/>
      <c r="UKP5749" s="911"/>
      <c r="UKQ5749" s="911"/>
      <c r="UKR5749" s="911"/>
      <c r="UKS5749" s="911"/>
      <c r="UKT5749" s="911"/>
      <c r="UKU5749" s="911"/>
      <c r="UKV5749" s="911"/>
      <c r="UKW5749" s="32"/>
      <c r="UKX5749" s="911" t="s">
        <v>74</v>
      </c>
      <c r="UKY5749" s="911"/>
      <c r="UKZ5749" s="911"/>
      <c r="ULA5749" s="911"/>
      <c r="ULB5749" s="911"/>
      <c r="ULC5749" s="911"/>
      <c r="ULD5749" s="911"/>
      <c r="ULE5749" s="911"/>
      <c r="ULF5749" s="911"/>
      <c r="ULG5749" s="912"/>
      <c r="ULI5749" s="913" t="s">
        <v>1</v>
      </c>
      <c r="ULJ5749" s="31"/>
      <c r="ULK5749" s="909" t="s">
        <v>0</v>
      </c>
      <c r="ULL5749" s="909"/>
      <c r="ULM5749" s="909"/>
      <c r="ULN5749" s="909"/>
      <c r="ULO5749" s="909"/>
      <c r="ULP5749" s="909"/>
      <c r="ULQ5749" s="907" t="s">
        <v>79</v>
      </c>
      <c r="ULR5749" s="909" t="s">
        <v>68</v>
      </c>
      <c r="ULS5749" s="910" t="s">
        <v>75</v>
      </c>
      <c r="ULT5749" s="911"/>
      <c r="ULU5749" s="911"/>
      <c r="ULV5749" s="911"/>
      <c r="ULW5749" s="911"/>
      <c r="ULX5749" s="911"/>
      <c r="ULY5749" s="911"/>
      <c r="ULZ5749" s="911"/>
      <c r="UMA5749" s="911"/>
      <c r="UMB5749" s="911"/>
      <c r="UMC5749" s="32"/>
      <c r="UMD5749" s="911" t="s">
        <v>74</v>
      </c>
      <c r="UME5749" s="911"/>
      <c r="UMF5749" s="911"/>
      <c r="UMG5749" s="911"/>
      <c r="UMH5749" s="911"/>
      <c r="UMI5749" s="911"/>
      <c r="UMJ5749" s="911"/>
      <c r="UMK5749" s="911"/>
      <c r="UML5749" s="911"/>
      <c r="UMM5749" s="912"/>
      <c r="UMO5749" s="913" t="s">
        <v>1</v>
      </c>
      <c r="UMP5749" s="31"/>
      <c r="UMQ5749" s="909" t="s">
        <v>0</v>
      </c>
      <c r="UMR5749" s="909"/>
      <c r="UMS5749" s="909"/>
      <c r="UMT5749" s="909"/>
      <c r="UMU5749" s="909"/>
      <c r="UMV5749" s="909"/>
      <c r="UMW5749" s="907" t="s">
        <v>79</v>
      </c>
      <c r="UMX5749" s="909" t="s">
        <v>68</v>
      </c>
      <c r="UMY5749" s="910" t="s">
        <v>75</v>
      </c>
      <c r="UMZ5749" s="911"/>
      <c r="UNA5749" s="911"/>
      <c r="UNB5749" s="911"/>
      <c r="UNC5749" s="911"/>
      <c r="UND5749" s="911"/>
      <c r="UNE5749" s="911"/>
      <c r="UNF5749" s="911"/>
      <c r="UNG5749" s="911"/>
      <c r="UNH5749" s="911"/>
      <c r="UNI5749" s="32"/>
      <c r="UNJ5749" s="911" t="s">
        <v>74</v>
      </c>
      <c r="UNK5749" s="911"/>
      <c r="UNL5749" s="911"/>
      <c r="UNM5749" s="911"/>
      <c r="UNN5749" s="911"/>
      <c r="UNO5749" s="911"/>
      <c r="UNP5749" s="911"/>
      <c r="UNQ5749" s="911"/>
      <c r="UNR5749" s="911"/>
      <c r="UNS5749" s="912"/>
      <c r="UNU5749" s="913" t="s">
        <v>1</v>
      </c>
      <c r="UNV5749" s="31"/>
      <c r="UNW5749" s="909" t="s">
        <v>0</v>
      </c>
      <c r="UNX5749" s="909"/>
      <c r="UNY5749" s="909"/>
      <c r="UNZ5749" s="909"/>
      <c r="UOA5749" s="909"/>
      <c r="UOB5749" s="909"/>
      <c r="UOC5749" s="907" t="s">
        <v>79</v>
      </c>
      <c r="UOD5749" s="909" t="s">
        <v>68</v>
      </c>
      <c r="UOE5749" s="910" t="s">
        <v>75</v>
      </c>
      <c r="UOF5749" s="911"/>
      <c r="UOG5749" s="911"/>
      <c r="UOH5749" s="911"/>
      <c r="UOI5749" s="911"/>
      <c r="UOJ5749" s="911"/>
      <c r="UOK5749" s="911"/>
      <c r="UOL5749" s="911"/>
      <c r="UOM5749" s="911"/>
      <c r="UON5749" s="911"/>
      <c r="UOO5749" s="32"/>
      <c r="UOP5749" s="911" t="s">
        <v>74</v>
      </c>
      <c r="UOQ5749" s="911"/>
      <c r="UOR5749" s="911"/>
      <c r="UOS5749" s="911"/>
      <c r="UOT5749" s="911"/>
      <c r="UOU5749" s="911"/>
      <c r="UOV5749" s="911"/>
      <c r="UOW5749" s="911"/>
      <c r="UOX5749" s="911"/>
      <c r="UOY5749" s="912"/>
      <c r="UPA5749" s="913" t="s">
        <v>1</v>
      </c>
      <c r="UPB5749" s="31"/>
      <c r="UPC5749" s="909" t="s">
        <v>0</v>
      </c>
      <c r="UPD5749" s="909"/>
      <c r="UPE5749" s="909"/>
      <c r="UPF5749" s="909"/>
      <c r="UPG5749" s="909"/>
      <c r="UPH5749" s="909"/>
      <c r="UPI5749" s="907" t="s">
        <v>79</v>
      </c>
      <c r="UPJ5749" s="909" t="s">
        <v>68</v>
      </c>
      <c r="UPK5749" s="910" t="s">
        <v>75</v>
      </c>
      <c r="UPL5749" s="911"/>
      <c r="UPM5749" s="911"/>
      <c r="UPN5749" s="911"/>
      <c r="UPO5749" s="911"/>
      <c r="UPP5749" s="911"/>
      <c r="UPQ5749" s="911"/>
      <c r="UPR5749" s="911"/>
      <c r="UPS5749" s="911"/>
      <c r="UPT5749" s="911"/>
      <c r="UPU5749" s="32"/>
      <c r="UPV5749" s="911" t="s">
        <v>74</v>
      </c>
      <c r="UPW5749" s="911"/>
      <c r="UPX5749" s="911"/>
      <c r="UPY5749" s="911"/>
      <c r="UPZ5749" s="911"/>
      <c r="UQA5749" s="911"/>
      <c r="UQB5749" s="911"/>
      <c r="UQC5749" s="911"/>
      <c r="UQD5749" s="911"/>
      <c r="UQE5749" s="912"/>
      <c r="UQG5749" s="913" t="s">
        <v>1</v>
      </c>
      <c r="UQH5749" s="31"/>
      <c r="UQI5749" s="909" t="s">
        <v>0</v>
      </c>
      <c r="UQJ5749" s="909"/>
      <c r="UQK5749" s="909"/>
      <c r="UQL5749" s="909"/>
      <c r="UQM5749" s="909"/>
      <c r="UQN5749" s="909"/>
      <c r="UQO5749" s="907" t="s">
        <v>79</v>
      </c>
      <c r="UQP5749" s="909" t="s">
        <v>68</v>
      </c>
      <c r="UQQ5749" s="910" t="s">
        <v>75</v>
      </c>
      <c r="UQR5749" s="911"/>
      <c r="UQS5749" s="911"/>
      <c r="UQT5749" s="911"/>
      <c r="UQU5749" s="911"/>
      <c r="UQV5749" s="911"/>
      <c r="UQW5749" s="911"/>
      <c r="UQX5749" s="911"/>
      <c r="UQY5749" s="911"/>
      <c r="UQZ5749" s="911"/>
      <c r="URA5749" s="32"/>
      <c r="URB5749" s="911" t="s">
        <v>74</v>
      </c>
      <c r="URC5749" s="911"/>
      <c r="URD5749" s="911"/>
      <c r="URE5749" s="911"/>
      <c r="URF5749" s="911"/>
      <c r="URG5749" s="911"/>
      <c r="URH5749" s="911"/>
      <c r="URI5749" s="911"/>
      <c r="URJ5749" s="911"/>
      <c r="URK5749" s="912"/>
      <c r="URM5749" s="913" t="s">
        <v>1</v>
      </c>
      <c r="URN5749" s="31"/>
      <c r="URO5749" s="909" t="s">
        <v>0</v>
      </c>
      <c r="URP5749" s="909"/>
      <c r="URQ5749" s="909"/>
      <c r="URR5749" s="909"/>
      <c r="URS5749" s="909"/>
      <c r="URT5749" s="909"/>
      <c r="URU5749" s="907" t="s">
        <v>79</v>
      </c>
      <c r="URV5749" s="909" t="s">
        <v>68</v>
      </c>
      <c r="URW5749" s="910" t="s">
        <v>75</v>
      </c>
      <c r="URX5749" s="911"/>
      <c r="URY5749" s="911"/>
      <c r="URZ5749" s="911"/>
      <c r="USA5749" s="911"/>
      <c r="USB5749" s="911"/>
      <c r="USC5749" s="911"/>
      <c r="USD5749" s="911"/>
      <c r="USE5749" s="911"/>
      <c r="USF5749" s="911"/>
      <c r="USG5749" s="32"/>
      <c r="USH5749" s="911" t="s">
        <v>74</v>
      </c>
      <c r="USI5749" s="911"/>
      <c r="USJ5749" s="911"/>
      <c r="USK5749" s="911"/>
      <c r="USL5749" s="911"/>
      <c r="USM5749" s="911"/>
      <c r="USN5749" s="911"/>
      <c r="USO5749" s="911"/>
      <c r="USP5749" s="911"/>
      <c r="USQ5749" s="912"/>
      <c r="USS5749" s="913" t="s">
        <v>1</v>
      </c>
      <c r="UST5749" s="31"/>
      <c r="USU5749" s="909" t="s">
        <v>0</v>
      </c>
      <c r="USV5749" s="909"/>
      <c r="USW5749" s="909"/>
      <c r="USX5749" s="909"/>
      <c r="USY5749" s="909"/>
      <c r="USZ5749" s="909"/>
      <c r="UTA5749" s="907" t="s">
        <v>79</v>
      </c>
      <c r="UTB5749" s="909" t="s">
        <v>68</v>
      </c>
      <c r="UTC5749" s="910" t="s">
        <v>75</v>
      </c>
      <c r="UTD5749" s="911"/>
      <c r="UTE5749" s="911"/>
      <c r="UTF5749" s="911"/>
      <c r="UTG5749" s="911"/>
      <c r="UTH5749" s="911"/>
      <c r="UTI5749" s="911"/>
      <c r="UTJ5749" s="911"/>
      <c r="UTK5749" s="911"/>
      <c r="UTL5749" s="911"/>
      <c r="UTM5749" s="32"/>
      <c r="UTN5749" s="911" t="s">
        <v>74</v>
      </c>
      <c r="UTO5749" s="911"/>
      <c r="UTP5749" s="911"/>
      <c r="UTQ5749" s="911"/>
      <c r="UTR5749" s="911"/>
      <c r="UTS5749" s="911"/>
      <c r="UTT5749" s="911"/>
      <c r="UTU5749" s="911"/>
      <c r="UTV5749" s="911"/>
      <c r="UTW5749" s="912"/>
      <c r="UTY5749" s="913" t="s">
        <v>1</v>
      </c>
      <c r="UTZ5749" s="31"/>
      <c r="UUA5749" s="909" t="s">
        <v>0</v>
      </c>
      <c r="UUB5749" s="909"/>
      <c r="UUC5749" s="909"/>
      <c r="UUD5749" s="909"/>
      <c r="UUE5749" s="909"/>
      <c r="UUF5749" s="909"/>
      <c r="UUG5749" s="907" t="s">
        <v>79</v>
      </c>
      <c r="UUH5749" s="909" t="s">
        <v>68</v>
      </c>
      <c r="UUI5749" s="910" t="s">
        <v>75</v>
      </c>
      <c r="UUJ5749" s="911"/>
      <c r="UUK5749" s="911"/>
      <c r="UUL5749" s="911"/>
      <c r="UUM5749" s="911"/>
      <c r="UUN5749" s="911"/>
      <c r="UUO5749" s="911"/>
      <c r="UUP5749" s="911"/>
      <c r="UUQ5749" s="911"/>
      <c r="UUR5749" s="911"/>
      <c r="UUS5749" s="32"/>
      <c r="UUT5749" s="911" t="s">
        <v>74</v>
      </c>
      <c r="UUU5749" s="911"/>
      <c r="UUV5749" s="911"/>
      <c r="UUW5749" s="911"/>
      <c r="UUX5749" s="911"/>
      <c r="UUY5749" s="911"/>
      <c r="UUZ5749" s="911"/>
      <c r="UVA5749" s="911"/>
      <c r="UVB5749" s="911"/>
      <c r="UVC5749" s="912"/>
      <c r="UVE5749" s="913" t="s">
        <v>1</v>
      </c>
      <c r="UVF5749" s="31"/>
      <c r="UVG5749" s="909" t="s">
        <v>0</v>
      </c>
      <c r="UVH5749" s="909"/>
      <c r="UVI5749" s="909"/>
      <c r="UVJ5749" s="909"/>
      <c r="UVK5749" s="909"/>
      <c r="UVL5749" s="909"/>
      <c r="UVM5749" s="907" t="s">
        <v>79</v>
      </c>
      <c r="UVN5749" s="909" t="s">
        <v>68</v>
      </c>
      <c r="UVO5749" s="910" t="s">
        <v>75</v>
      </c>
      <c r="UVP5749" s="911"/>
      <c r="UVQ5749" s="911"/>
      <c r="UVR5749" s="911"/>
      <c r="UVS5749" s="911"/>
      <c r="UVT5749" s="911"/>
      <c r="UVU5749" s="911"/>
      <c r="UVV5749" s="911"/>
      <c r="UVW5749" s="911"/>
      <c r="UVX5749" s="911"/>
      <c r="UVY5749" s="32"/>
      <c r="UVZ5749" s="911" t="s">
        <v>74</v>
      </c>
      <c r="UWA5749" s="911"/>
      <c r="UWB5749" s="911"/>
      <c r="UWC5749" s="911"/>
      <c r="UWD5749" s="911"/>
      <c r="UWE5749" s="911"/>
      <c r="UWF5749" s="911"/>
      <c r="UWG5749" s="911"/>
      <c r="UWH5749" s="911"/>
      <c r="UWI5749" s="912"/>
      <c r="UWK5749" s="913" t="s">
        <v>1</v>
      </c>
      <c r="UWL5749" s="31"/>
      <c r="UWM5749" s="909" t="s">
        <v>0</v>
      </c>
      <c r="UWN5749" s="909"/>
      <c r="UWO5749" s="909"/>
      <c r="UWP5749" s="909"/>
      <c r="UWQ5749" s="909"/>
      <c r="UWR5749" s="909"/>
      <c r="UWS5749" s="907" t="s">
        <v>79</v>
      </c>
      <c r="UWT5749" s="909" t="s">
        <v>68</v>
      </c>
      <c r="UWU5749" s="910" t="s">
        <v>75</v>
      </c>
      <c r="UWV5749" s="911"/>
      <c r="UWW5749" s="911"/>
      <c r="UWX5749" s="911"/>
      <c r="UWY5749" s="911"/>
      <c r="UWZ5749" s="911"/>
      <c r="UXA5749" s="911"/>
      <c r="UXB5749" s="911"/>
      <c r="UXC5749" s="911"/>
      <c r="UXD5749" s="911"/>
      <c r="UXE5749" s="32"/>
      <c r="UXF5749" s="911" t="s">
        <v>74</v>
      </c>
      <c r="UXG5749" s="911"/>
      <c r="UXH5749" s="911"/>
      <c r="UXI5749" s="911"/>
      <c r="UXJ5749" s="911"/>
      <c r="UXK5749" s="911"/>
      <c r="UXL5749" s="911"/>
      <c r="UXM5749" s="911"/>
      <c r="UXN5749" s="911"/>
      <c r="UXO5749" s="912"/>
      <c r="UXQ5749" s="913" t="s">
        <v>1</v>
      </c>
      <c r="UXR5749" s="31"/>
      <c r="UXS5749" s="909" t="s">
        <v>0</v>
      </c>
      <c r="UXT5749" s="909"/>
      <c r="UXU5749" s="909"/>
      <c r="UXV5749" s="909"/>
      <c r="UXW5749" s="909"/>
      <c r="UXX5749" s="909"/>
      <c r="UXY5749" s="907" t="s">
        <v>79</v>
      </c>
      <c r="UXZ5749" s="909" t="s">
        <v>68</v>
      </c>
      <c r="UYA5749" s="910" t="s">
        <v>75</v>
      </c>
      <c r="UYB5749" s="911"/>
      <c r="UYC5749" s="911"/>
      <c r="UYD5749" s="911"/>
      <c r="UYE5749" s="911"/>
      <c r="UYF5749" s="911"/>
      <c r="UYG5749" s="911"/>
      <c r="UYH5749" s="911"/>
      <c r="UYI5749" s="911"/>
      <c r="UYJ5749" s="911"/>
      <c r="UYK5749" s="32"/>
      <c r="UYL5749" s="911" t="s">
        <v>74</v>
      </c>
      <c r="UYM5749" s="911"/>
      <c r="UYN5749" s="911"/>
      <c r="UYO5749" s="911"/>
      <c r="UYP5749" s="911"/>
      <c r="UYQ5749" s="911"/>
      <c r="UYR5749" s="911"/>
      <c r="UYS5749" s="911"/>
      <c r="UYT5749" s="911"/>
      <c r="UYU5749" s="912"/>
      <c r="UYW5749" s="913" t="s">
        <v>1</v>
      </c>
      <c r="UYX5749" s="31"/>
      <c r="UYY5749" s="909" t="s">
        <v>0</v>
      </c>
      <c r="UYZ5749" s="909"/>
      <c r="UZA5749" s="909"/>
      <c r="UZB5749" s="909"/>
      <c r="UZC5749" s="909"/>
      <c r="UZD5749" s="909"/>
      <c r="UZE5749" s="907" t="s">
        <v>79</v>
      </c>
      <c r="UZF5749" s="909" t="s">
        <v>68</v>
      </c>
      <c r="UZG5749" s="910" t="s">
        <v>75</v>
      </c>
      <c r="UZH5749" s="911"/>
      <c r="UZI5749" s="911"/>
      <c r="UZJ5749" s="911"/>
      <c r="UZK5749" s="911"/>
      <c r="UZL5749" s="911"/>
      <c r="UZM5749" s="911"/>
      <c r="UZN5749" s="911"/>
      <c r="UZO5749" s="911"/>
      <c r="UZP5749" s="911"/>
      <c r="UZQ5749" s="32"/>
      <c r="UZR5749" s="911" t="s">
        <v>74</v>
      </c>
      <c r="UZS5749" s="911"/>
      <c r="UZT5749" s="911"/>
      <c r="UZU5749" s="911"/>
      <c r="UZV5749" s="911"/>
      <c r="UZW5749" s="911"/>
      <c r="UZX5749" s="911"/>
      <c r="UZY5749" s="911"/>
      <c r="UZZ5749" s="911"/>
      <c r="VAA5749" s="912"/>
      <c r="VAC5749" s="913" t="s">
        <v>1</v>
      </c>
      <c r="VAD5749" s="31"/>
      <c r="VAE5749" s="909" t="s">
        <v>0</v>
      </c>
      <c r="VAF5749" s="909"/>
      <c r="VAG5749" s="909"/>
      <c r="VAH5749" s="909"/>
      <c r="VAI5749" s="909"/>
      <c r="VAJ5749" s="909"/>
      <c r="VAK5749" s="907" t="s">
        <v>79</v>
      </c>
      <c r="VAL5749" s="909" t="s">
        <v>68</v>
      </c>
      <c r="VAM5749" s="910" t="s">
        <v>75</v>
      </c>
      <c r="VAN5749" s="911"/>
      <c r="VAO5749" s="911"/>
      <c r="VAP5749" s="911"/>
      <c r="VAQ5749" s="911"/>
      <c r="VAR5749" s="911"/>
      <c r="VAS5749" s="911"/>
      <c r="VAT5749" s="911"/>
      <c r="VAU5749" s="911"/>
      <c r="VAV5749" s="911"/>
      <c r="VAW5749" s="32"/>
      <c r="VAX5749" s="911" t="s">
        <v>74</v>
      </c>
      <c r="VAY5749" s="911"/>
      <c r="VAZ5749" s="911"/>
      <c r="VBA5749" s="911"/>
      <c r="VBB5749" s="911"/>
      <c r="VBC5749" s="911"/>
      <c r="VBD5749" s="911"/>
      <c r="VBE5749" s="911"/>
      <c r="VBF5749" s="911"/>
      <c r="VBG5749" s="912"/>
      <c r="VBI5749" s="913" t="s">
        <v>1</v>
      </c>
      <c r="VBJ5749" s="31"/>
      <c r="VBK5749" s="909" t="s">
        <v>0</v>
      </c>
      <c r="VBL5749" s="909"/>
      <c r="VBM5749" s="909"/>
      <c r="VBN5749" s="909"/>
      <c r="VBO5749" s="909"/>
      <c r="VBP5749" s="909"/>
      <c r="VBQ5749" s="907" t="s">
        <v>79</v>
      </c>
      <c r="VBR5749" s="909" t="s">
        <v>68</v>
      </c>
      <c r="VBS5749" s="910" t="s">
        <v>75</v>
      </c>
      <c r="VBT5749" s="911"/>
      <c r="VBU5749" s="911"/>
      <c r="VBV5749" s="911"/>
      <c r="VBW5749" s="911"/>
      <c r="VBX5749" s="911"/>
      <c r="VBY5749" s="911"/>
      <c r="VBZ5749" s="911"/>
      <c r="VCA5749" s="911"/>
      <c r="VCB5749" s="911"/>
      <c r="VCC5749" s="32"/>
      <c r="VCD5749" s="911" t="s">
        <v>74</v>
      </c>
      <c r="VCE5749" s="911"/>
      <c r="VCF5749" s="911"/>
      <c r="VCG5749" s="911"/>
      <c r="VCH5749" s="911"/>
      <c r="VCI5749" s="911"/>
      <c r="VCJ5749" s="911"/>
      <c r="VCK5749" s="911"/>
      <c r="VCL5749" s="911"/>
      <c r="VCM5749" s="912"/>
      <c r="VCO5749" s="913" t="s">
        <v>1</v>
      </c>
      <c r="VCP5749" s="31"/>
      <c r="VCQ5749" s="909" t="s">
        <v>0</v>
      </c>
      <c r="VCR5749" s="909"/>
      <c r="VCS5749" s="909"/>
      <c r="VCT5749" s="909"/>
      <c r="VCU5749" s="909"/>
      <c r="VCV5749" s="909"/>
      <c r="VCW5749" s="907" t="s">
        <v>79</v>
      </c>
      <c r="VCX5749" s="909" t="s">
        <v>68</v>
      </c>
      <c r="VCY5749" s="910" t="s">
        <v>75</v>
      </c>
      <c r="VCZ5749" s="911"/>
      <c r="VDA5749" s="911"/>
      <c r="VDB5749" s="911"/>
      <c r="VDC5749" s="911"/>
      <c r="VDD5749" s="911"/>
      <c r="VDE5749" s="911"/>
      <c r="VDF5749" s="911"/>
      <c r="VDG5749" s="911"/>
      <c r="VDH5749" s="911"/>
      <c r="VDI5749" s="32"/>
      <c r="VDJ5749" s="911" t="s">
        <v>74</v>
      </c>
      <c r="VDK5749" s="911"/>
      <c r="VDL5749" s="911"/>
      <c r="VDM5749" s="911"/>
      <c r="VDN5749" s="911"/>
      <c r="VDO5749" s="911"/>
      <c r="VDP5749" s="911"/>
      <c r="VDQ5749" s="911"/>
      <c r="VDR5749" s="911"/>
      <c r="VDS5749" s="912"/>
      <c r="VDU5749" s="913" t="s">
        <v>1</v>
      </c>
      <c r="VDV5749" s="31"/>
      <c r="VDW5749" s="909" t="s">
        <v>0</v>
      </c>
      <c r="VDX5749" s="909"/>
      <c r="VDY5749" s="909"/>
      <c r="VDZ5749" s="909"/>
      <c r="VEA5749" s="909"/>
      <c r="VEB5749" s="909"/>
      <c r="VEC5749" s="907" t="s">
        <v>79</v>
      </c>
      <c r="VED5749" s="909" t="s">
        <v>68</v>
      </c>
      <c r="VEE5749" s="910" t="s">
        <v>75</v>
      </c>
      <c r="VEF5749" s="911"/>
      <c r="VEG5749" s="911"/>
      <c r="VEH5749" s="911"/>
      <c r="VEI5749" s="911"/>
      <c r="VEJ5749" s="911"/>
      <c r="VEK5749" s="911"/>
      <c r="VEL5749" s="911"/>
      <c r="VEM5749" s="911"/>
      <c r="VEN5749" s="911"/>
      <c r="VEO5749" s="32"/>
      <c r="VEP5749" s="911" t="s">
        <v>74</v>
      </c>
      <c r="VEQ5749" s="911"/>
      <c r="VER5749" s="911"/>
      <c r="VES5749" s="911"/>
      <c r="VET5749" s="911"/>
      <c r="VEU5749" s="911"/>
      <c r="VEV5749" s="911"/>
      <c r="VEW5749" s="911"/>
      <c r="VEX5749" s="911"/>
      <c r="VEY5749" s="912"/>
      <c r="VFA5749" s="913" t="s">
        <v>1</v>
      </c>
      <c r="VFB5749" s="31"/>
      <c r="VFC5749" s="909" t="s">
        <v>0</v>
      </c>
      <c r="VFD5749" s="909"/>
      <c r="VFE5749" s="909"/>
      <c r="VFF5749" s="909"/>
      <c r="VFG5749" s="909"/>
      <c r="VFH5749" s="909"/>
      <c r="VFI5749" s="907" t="s">
        <v>79</v>
      </c>
      <c r="VFJ5749" s="909" t="s">
        <v>68</v>
      </c>
      <c r="VFK5749" s="910" t="s">
        <v>75</v>
      </c>
      <c r="VFL5749" s="911"/>
      <c r="VFM5749" s="911"/>
      <c r="VFN5749" s="911"/>
      <c r="VFO5749" s="911"/>
      <c r="VFP5749" s="911"/>
      <c r="VFQ5749" s="911"/>
      <c r="VFR5749" s="911"/>
      <c r="VFS5749" s="911"/>
      <c r="VFT5749" s="911"/>
      <c r="VFU5749" s="32"/>
      <c r="VFV5749" s="911" t="s">
        <v>74</v>
      </c>
      <c r="VFW5749" s="911"/>
      <c r="VFX5749" s="911"/>
      <c r="VFY5749" s="911"/>
      <c r="VFZ5749" s="911"/>
      <c r="VGA5749" s="911"/>
      <c r="VGB5749" s="911"/>
      <c r="VGC5749" s="911"/>
      <c r="VGD5749" s="911"/>
      <c r="VGE5749" s="912"/>
      <c r="VGG5749" s="913" t="s">
        <v>1</v>
      </c>
      <c r="VGH5749" s="31"/>
      <c r="VGI5749" s="909" t="s">
        <v>0</v>
      </c>
      <c r="VGJ5749" s="909"/>
      <c r="VGK5749" s="909"/>
      <c r="VGL5749" s="909"/>
      <c r="VGM5749" s="909"/>
      <c r="VGN5749" s="909"/>
      <c r="VGO5749" s="907" t="s">
        <v>79</v>
      </c>
      <c r="VGP5749" s="909" t="s">
        <v>68</v>
      </c>
      <c r="VGQ5749" s="910" t="s">
        <v>75</v>
      </c>
      <c r="VGR5749" s="911"/>
      <c r="VGS5749" s="911"/>
      <c r="VGT5749" s="911"/>
      <c r="VGU5749" s="911"/>
      <c r="VGV5749" s="911"/>
      <c r="VGW5749" s="911"/>
      <c r="VGX5749" s="911"/>
      <c r="VGY5749" s="911"/>
      <c r="VGZ5749" s="911"/>
      <c r="VHA5749" s="32"/>
      <c r="VHB5749" s="911" t="s">
        <v>74</v>
      </c>
      <c r="VHC5749" s="911"/>
      <c r="VHD5749" s="911"/>
      <c r="VHE5749" s="911"/>
      <c r="VHF5749" s="911"/>
      <c r="VHG5749" s="911"/>
      <c r="VHH5749" s="911"/>
      <c r="VHI5749" s="911"/>
      <c r="VHJ5749" s="911"/>
      <c r="VHK5749" s="912"/>
      <c r="VHM5749" s="913" t="s">
        <v>1</v>
      </c>
      <c r="VHN5749" s="31"/>
      <c r="VHO5749" s="909" t="s">
        <v>0</v>
      </c>
      <c r="VHP5749" s="909"/>
      <c r="VHQ5749" s="909"/>
      <c r="VHR5749" s="909"/>
      <c r="VHS5749" s="909"/>
      <c r="VHT5749" s="909"/>
      <c r="VHU5749" s="907" t="s">
        <v>79</v>
      </c>
      <c r="VHV5749" s="909" t="s">
        <v>68</v>
      </c>
      <c r="VHW5749" s="910" t="s">
        <v>75</v>
      </c>
      <c r="VHX5749" s="911"/>
      <c r="VHY5749" s="911"/>
      <c r="VHZ5749" s="911"/>
      <c r="VIA5749" s="911"/>
      <c r="VIB5749" s="911"/>
      <c r="VIC5749" s="911"/>
      <c r="VID5749" s="911"/>
      <c r="VIE5749" s="911"/>
      <c r="VIF5749" s="911"/>
      <c r="VIG5749" s="32"/>
      <c r="VIH5749" s="911" t="s">
        <v>74</v>
      </c>
      <c r="VII5749" s="911"/>
      <c r="VIJ5749" s="911"/>
      <c r="VIK5749" s="911"/>
      <c r="VIL5749" s="911"/>
      <c r="VIM5749" s="911"/>
      <c r="VIN5749" s="911"/>
      <c r="VIO5749" s="911"/>
      <c r="VIP5749" s="911"/>
      <c r="VIQ5749" s="912"/>
      <c r="VIS5749" s="913" t="s">
        <v>1</v>
      </c>
      <c r="VIT5749" s="31"/>
      <c r="VIU5749" s="909" t="s">
        <v>0</v>
      </c>
      <c r="VIV5749" s="909"/>
      <c r="VIW5749" s="909"/>
      <c r="VIX5749" s="909"/>
      <c r="VIY5749" s="909"/>
      <c r="VIZ5749" s="909"/>
      <c r="VJA5749" s="907" t="s">
        <v>79</v>
      </c>
      <c r="VJB5749" s="909" t="s">
        <v>68</v>
      </c>
      <c r="VJC5749" s="910" t="s">
        <v>75</v>
      </c>
      <c r="VJD5749" s="911"/>
      <c r="VJE5749" s="911"/>
      <c r="VJF5749" s="911"/>
      <c r="VJG5749" s="911"/>
      <c r="VJH5749" s="911"/>
      <c r="VJI5749" s="911"/>
      <c r="VJJ5749" s="911"/>
      <c r="VJK5749" s="911"/>
      <c r="VJL5749" s="911"/>
      <c r="VJM5749" s="32"/>
      <c r="VJN5749" s="911" t="s">
        <v>74</v>
      </c>
      <c r="VJO5749" s="911"/>
      <c r="VJP5749" s="911"/>
      <c r="VJQ5749" s="911"/>
      <c r="VJR5749" s="911"/>
      <c r="VJS5749" s="911"/>
      <c r="VJT5749" s="911"/>
      <c r="VJU5749" s="911"/>
      <c r="VJV5749" s="911"/>
      <c r="VJW5749" s="912"/>
      <c r="VJY5749" s="913" t="s">
        <v>1</v>
      </c>
      <c r="VJZ5749" s="31"/>
      <c r="VKA5749" s="909" t="s">
        <v>0</v>
      </c>
      <c r="VKB5749" s="909"/>
      <c r="VKC5749" s="909"/>
      <c r="VKD5749" s="909"/>
      <c r="VKE5749" s="909"/>
      <c r="VKF5749" s="909"/>
      <c r="VKG5749" s="907" t="s">
        <v>79</v>
      </c>
      <c r="VKH5749" s="909" t="s">
        <v>68</v>
      </c>
      <c r="VKI5749" s="910" t="s">
        <v>75</v>
      </c>
      <c r="VKJ5749" s="911"/>
      <c r="VKK5749" s="911"/>
      <c r="VKL5749" s="911"/>
      <c r="VKM5749" s="911"/>
      <c r="VKN5749" s="911"/>
      <c r="VKO5749" s="911"/>
      <c r="VKP5749" s="911"/>
      <c r="VKQ5749" s="911"/>
      <c r="VKR5749" s="911"/>
      <c r="VKS5749" s="32"/>
      <c r="VKT5749" s="911" t="s">
        <v>74</v>
      </c>
      <c r="VKU5749" s="911"/>
      <c r="VKV5749" s="911"/>
      <c r="VKW5749" s="911"/>
      <c r="VKX5749" s="911"/>
      <c r="VKY5749" s="911"/>
      <c r="VKZ5749" s="911"/>
      <c r="VLA5749" s="911"/>
      <c r="VLB5749" s="911"/>
      <c r="VLC5749" s="912"/>
      <c r="VLE5749" s="913" t="s">
        <v>1</v>
      </c>
      <c r="VLF5749" s="31"/>
      <c r="VLG5749" s="909" t="s">
        <v>0</v>
      </c>
      <c r="VLH5749" s="909"/>
      <c r="VLI5749" s="909"/>
      <c r="VLJ5749" s="909"/>
      <c r="VLK5749" s="909"/>
      <c r="VLL5749" s="909"/>
      <c r="VLM5749" s="907" t="s">
        <v>79</v>
      </c>
      <c r="VLN5749" s="909" t="s">
        <v>68</v>
      </c>
      <c r="VLO5749" s="910" t="s">
        <v>75</v>
      </c>
      <c r="VLP5749" s="911"/>
      <c r="VLQ5749" s="911"/>
      <c r="VLR5749" s="911"/>
      <c r="VLS5749" s="911"/>
      <c r="VLT5749" s="911"/>
      <c r="VLU5749" s="911"/>
      <c r="VLV5749" s="911"/>
      <c r="VLW5749" s="911"/>
      <c r="VLX5749" s="911"/>
      <c r="VLY5749" s="32"/>
      <c r="VLZ5749" s="911" t="s">
        <v>74</v>
      </c>
      <c r="VMA5749" s="911"/>
      <c r="VMB5749" s="911"/>
      <c r="VMC5749" s="911"/>
      <c r="VMD5749" s="911"/>
      <c r="VME5749" s="911"/>
      <c r="VMF5749" s="911"/>
      <c r="VMG5749" s="911"/>
      <c r="VMH5749" s="911"/>
      <c r="VMI5749" s="912"/>
      <c r="VMK5749" s="913" t="s">
        <v>1</v>
      </c>
      <c r="VML5749" s="31"/>
      <c r="VMM5749" s="909" t="s">
        <v>0</v>
      </c>
      <c r="VMN5749" s="909"/>
      <c r="VMO5749" s="909"/>
      <c r="VMP5749" s="909"/>
      <c r="VMQ5749" s="909"/>
      <c r="VMR5749" s="909"/>
      <c r="VMS5749" s="907" t="s">
        <v>79</v>
      </c>
      <c r="VMT5749" s="909" t="s">
        <v>68</v>
      </c>
      <c r="VMU5749" s="910" t="s">
        <v>75</v>
      </c>
      <c r="VMV5749" s="911"/>
      <c r="VMW5749" s="911"/>
      <c r="VMX5749" s="911"/>
      <c r="VMY5749" s="911"/>
      <c r="VMZ5749" s="911"/>
      <c r="VNA5749" s="911"/>
      <c r="VNB5749" s="911"/>
      <c r="VNC5749" s="911"/>
      <c r="VND5749" s="911"/>
      <c r="VNE5749" s="32"/>
      <c r="VNF5749" s="911" t="s">
        <v>74</v>
      </c>
      <c r="VNG5749" s="911"/>
      <c r="VNH5749" s="911"/>
      <c r="VNI5749" s="911"/>
      <c r="VNJ5749" s="911"/>
      <c r="VNK5749" s="911"/>
      <c r="VNL5749" s="911"/>
      <c r="VNM5749" s="911"/>
      <c r="VNN5749" s="911"/>
      <c r="VNO5749" s="912"/>
      <c r="VNQ5749" s="913" t="s">
        <v>1</v>
      </c>
      <c r="VNR5749" s="31"/>
      <c r="VNS5749" s="909" t="s">
        <v>0</v>
      </c>
      <c r="VNT5749" s="909"/>
      <c r="VNU5749" s="909"/>
      <c r="VNV5749" s="909"/>
      <c r="VNW5749" s="909"/>
      <c r="VNX5749" s="909"/>
      <c r="VNY5749" s="907" t="s">
        <v>79</v>
      </c>
      <c r="VNZ5749" s="909" t="s">
        <v>68</v>
      </c>
      <c r="VOA5749" s="910" t="s">
        <v>75</v>
      </c>
      <c r="VOB5749" s="911"/>
      <c r="VOC5749" s="911"/>
      <c r="VOD5749" s="911"/>
      <c r="VOE5749" s="911"/>
      <c r="VOF5749" s="911"/>
      <c r="VOG5749" s="911"/>
      <c r="VOH5749" s="911"/>
      <c r="VOI5749" s="911"/>
      <c r="VOJ5749" s="911"/>
      <c r="VOK5749" s="32"/>
      <c r="VOL5749" s="911" t="s">
        <v>74</v>
      </c>
      <c r="VOM5749" s="911"/>
      <c r="VON5749" s="911"/>
      <c r="VOO5749" s="911"/>
      <c r="VOP5749" s="911"/>
      <c r="VOQ5749" s="911"/>
      <c r="VOR5749" s="911"/>
      <c r="VOS5749" s="911"/>
      <c r="VOT5749" s="911"/>
      <c r="VOU5749" s="912"/>
      <c r="VOW5749" s="913" t="s">
        <v>1</v>
      </c>
      <c r="VOX5749" s="31"/>
      <c r="VOY5749" s="909" t="s">
        <v>0</v>
      </c>
      <c r="VOZ5749" s="909"/>
      <c r="VPA5749" s="909"/>
      <c r="VPB5749" s="909"/>
      <c r="VPC5749" s="909"/>
      <c r="VPD5749" s="909"/>
      <c r="VPE5749" s="907" t="s">
        <v>79</v>
      </c>
      <c r="VPF5749" s="909" t="s">
        <v>68</v>
      </c>
      <c r="VPG5749" s="910" t="s">
        <v>75</v>
      </c>
      <c r="VPH5749" s="911"/>
      <c r="VPI5749" s="911"/>
      <c r="VPJ5749" s="911"/>
      <c r="VPK5749" s="911"/>
      <c r="VPL5749" s="911"/>
      <c r="VPM5749" s="911"/>
      <c r="VPN5749" s="911"/>
      <c r="VPO5749" s="911"/>
      <c r="VPP5749" s="911"/>
      <c r="VPQ5749" s="32"/>
      <c r="VPR5749" s="911" t="s">
        <v>74</v>
      </c>
      <c r="VPS5749" s="911"/>
      <c r="VPT5749" s="911"/>
      <c r="VPU5749" s="911"/>
      <c r="VPV5749" s="911"/>
      <c r="VPW5749" s="911"/>
      <c r="VPX5749" s="911"/>
      <c r="VPY5749" s="911"/>
      <c r="VPZ5749" s="911"/>
      <c r="VQA5749" s="912"/>
      <c r="VQC5749" s="913" t="s">
        <v>1</v>
      </c>
      <c r="VQD5749" s="31"/>
      <c r="VQE5749" s="909" t="s">
        <v>0</v>
      </c>
      <c r="VQF5749" s="909"/>
      <c r="VQG5749" s="909"/>
      <c r="VQH5749" s="909"/>
      <c r="VQI5749" s="909"/>
      <c r="VQJ5749" s="909"/>
      <c r="VQK5749" s="907" t="s">
        <v>79</v>
      </c>
      <c r="VQL5749" s="909" t="s">
        <v>68</v>
      </c>
      <c r="VQM5749" s="910" t="s">
        <v>75</v>
      </c>
      <c r="VQN5749" s="911"/>
      <c r="VQO5749" s="911"/>
      <c r="VQP5749" s="911"/>
      <c r="VQQ5749" s="911"/>
      <c r="VQR5749" s="911"/>
      <c r="VQS5749" s="911"/>
      <c r="VQT5749" s="911"/>
      <c r="VQU5749" s="911"/>
      <c r="VQV5749" s="911"/>
      <c r="VQW5749" s="32"/>
      <c r="VQX5749" s="911" t="s">
        <v>74</v>
      </c>
      <c r="VQY5749" s="911"/>
      <c r="VQZ5749" s="911"/>
      <c r="VRA5749" s="911"/>
      <c r="VRB5749" s="911"/>
      <c r="VRC5749" s="911"/>
      <c r="VRD5749" s="911"/>
      <c r="VRE5749" s="911"/>
      <c r="VRF5749" s="911"/>
      <c r="VRG5749" s="912"/>
      <c r="VRI5749" s="913" t="s">
        <v>1</v>
      </c>
      <c r="VRJ5749" s="31"/>
      <c r="VRK5749" s="909" t="s">
        <v>0</v>
      </c>
      <c r="VRL5749" s="909"/>
      <c r="VRM5749" s="909"/>
      <c r="VRN5749" s="909"/>
      <c r="VRO5749" s="909"/>
      <c r="VRP5749" s="909"/>
      <c r="VRQ5749" s="907" t="s">
        <v>79</v>
      </c>
      <c r="VRR5749" s="909" t="s">
        <v>68</v>
      </c>
      <c r="VRS5749" s="910" t="s">
        <v>75</v>
      </c>
      <c r="VRT5749" s="911"/>
      <c r="VRU5749" s="911"/>
      <c r="VRV5749" s="911"/>
      <c r="VRW5749" s="911"/>
      <c r="VRX5749" s="911"/>
      <c r="VRY5749" s="911"/>
      <c r="VRZ5749" s="911"/>
      <c r="VSA5749" s="911"/>
      <c r="VSB5749" s="911"/>
      <c r="VSC5749" s="32"/>
      <c r="VSD5749" s="911" t="s">
        <v>74</v>
      </c>
      <c r="VSE5749" s="911"/>
      <c r="VSF5749" s="911"/>
      <c r="VSG5749" s="911"/>
      <c r="VSH5749" s="911"/>
      <c r="VSI5749" s="911"/>
      <c r="VSJ5749" s="911"/>
      <c r="VSK5749" s="911"/>
      <c r="VSL5749" s="911"/>
      <c r="VSM5749" s="912"/>
      <c r="VSO5749" s="913" t="s">
        <v>1</v>
      </c>
      <c r="VSP5749" s="31"/>
      <c r="VSQ5749" s="909" t="s">
        <v>0</v>
      </c>
      <c r="VSR5749" s="909"/>
      <c r="VSS5749" s="909"/>
      <c r="VST5749" s="909"/>
      <c r="VSU5749" s="909"/>
      <c r="VSV5749" s="909"/>
      <c r="VSW5749" s="907" t="s">
        <v>79</v>
      </c>
      <c r="VSX5749" s="909" t="s">
        <v>68</v>
      </c>
      <c r="VSY5749" s="910" t="s">
        <v>75</v>
      </c>
      <c r="VSZ5749" s="911"/>
      <c r="VTA5749" s="911"/>
      <c r="VTB5749" s="911"/>
      <c r="VTC5749" s="911"/>
      <c r="VTD5749" s="911"/>
      <c r="VTE5749" s="911"/>
      <c r="VTF5749" s="911"/>
      <c r="VTG5749" s="911"/>
      <c r="VTH5749" s="911"/>
      <c r="VTI5749" s="32"/>
      <c r="VTJ5749" s="911" t="s">
        <v>74</v>
      </c>
      <c r="VTK5749" s="911"/>
      <c r="VTL5749" s="911"/>
      <c r="VTM5749" s="911"/>
      <c r="VTN5749" s="911"/>
      <c r="VTO5749" s="911"/>
      <c r="VTP5749" s="911"/>
      <c r="VTQ5749" s="911"/>
      <c r="VTR5749" s="911"/>
      <c r="VTS5749" s="912"/>
      <c r="VTU5749" s="913" t="s">
        <v>1</v>
      </c>
      <c r="VTV5749" s="31"/>
      <c r="VTW5749" s="909" t="s">
        <v>0</v>
      </c>
      <c r="VTX5749" s="909"/>
      <c r="VTY5749" s="909"/>
      <c r="VTZ5749" s="909"/>
      <c r="VUA5749" s="909"/>
      <c r="VUB5749" s="909"/>
      <c r="VUC5749" s="907" t="s">
        <v>79</v>
      </c>
      <c r="VUD5749" s="909" t="s">
        <v>68</v>
      </c>
      <c r="VUE5749" s="910" t="s">
        <v>75</v>
      </c>
      <c r="VUF5749" s="911"/>
      <c r="VUG5749" s="911"/>
      <c r="VUH5749" s="911"/>
      <c r="VUI5749" s="911"/>
      <c r="VUJ5749" s="911"/>
      <c r="VUK5749" s="911"/>
      <c r="VUL5749" s="911"/>
      <c r="VUM5749" s="911"/>
      <c r="VUN5749" s="911"/>
      <c r="VUO5749" s="32"/>
      <c r="VUP5749" s="911" t="s">
        <v>74</v>
      </c>
      <c r="VUQ5749" s="911"/>
      <c r="VUR5749" s="911"/>
      <c r="VUS5749" s="911"/>
      <c r="VUT5749" s="911"/>
      <c r="VUU5749" s="911"/>
      <c r="VUV5749" s="911"/>
      <c r="VUW5749" s="911"/>
      <c r="VUX5749" s="911"/>
      <c r="VUY5749" s="912"/>
      <c r="VVA5749" s="913" t="s">
        <v>1</v>
      </c>
      <c r="VVB5749" s="31"/>
      <c r="VVC5749" s="909" t="s">
        <v>0</v>
      </c>
      <c r="VVD5749" s="909"/>
      <c r="VVE5749" s="909"/>
      <c r="VVF5749" s="909"/>
      <c r="VVG5749" s="909"/>
      <c r="VVH5749" s="909"/>
      <c r="VVI5749" s="907" t="s">
        <v>79</v>
      </c>
      <c r="VVJ5749" s="909" t="s">
        <v>68</v>
      </c>
      <c r="VVK5749" s="910" t="s">
        <v>75</v>
      </c>
      <c r="VVL5749" s="911"/>
      <c r="VVM5749" s="911"/>
      <c r="VVN5749" s="911"/>
      <c r="VVO5749" s="911"/>
      <c r="VVP5749" s="911"/>
      <c r="VVQ5749" s="911"/>
      <c r="VVR5749" s="911"/>
      <c r="VVS5749" s="911"/>
      <c r="VVT5749" s="911"/>
      <c r="VVU5749" s="32"/>
      <c r="VVV5749" s="911" t="s">
        <v>74</v>
      </c>
      <c r="VVW5749" s="911"/>
      <c r="VVX5749" s="911"/>
      <c r="VVY5749" s="911"/>
      <c r="VVZ5749" s="911"/>
      <c r="VWA5749" s="911"/>
      <c r="VWB5749" s="911"/>
      <c r="VWC5749" s="911"/>
      <c r="VWD5749" s="911"/>
      <c r="VWE5749" s="912"/>
      <c r="VWG5749" s="913" t="s">
        <v>1</v>
      </c>
      <c r="VWH5749" s="31"/>
      <c r="VWI5749" s="909" t="s">
        <v>0</v>
      </c>
      <c r="VWJ5749" s="909"/>
      <c r="VWK5749" s="909"/>
      <c r="VWL5749" s="909"/>
      <c r="VWM5749" s="909"/>
      <c r="VWN5749" s="909"/>
      <c r="VWO5749" s="907" t="s">
        <v>79</v>
      </c>
      <c r="VWP5749" s="909" t="s">
        <v>68</v>
      </c>
      <c r="VWQ5749" s="910" t="s">
        <v>75</v>
      </c>
      <c r="VWR5749" s="911"/>
      <c r="VWS5749" s="911"/>
      <c r="VWT5749" s="911"/>
      <c r="VWU5749" s="911"/>
      <c r="VWV5749" s="911"/>
      <c r="VWW5749" s="911"/>
      <c r="VWX5749" s="911"/>
      <c r="VWY5749" s="911"/>
      <c r="VWZ5749" s="911"/>
      <c r="VXA5749" s="32"/>
      <c r="VXB5749" s="911" t="s">
        <v>74</v>
      </c>
      <c r="VXC5749" s="911"/>
      <c r="VXD5749" s="911"/>
      <c r="VXE5749" s="911"/>
      <c r="VXF5749" s="911"/>
      <c r="VXG5749" s="911"/>
      <c r="VXH5749" s="911"/>
      <c r="VXI5749" s="911"/>
      <c r="VXJ5749" s="911"/>
      <c r="VXK5749" s="912"/>
      <c r="VXM5749" s="913" t="s">
        <v>1</v>
      </c>
      <c r="VXN5749" s="31"/>
      <c r="VXO5749" s="909" t="s">
        <v>0</v>
      </c>
      <c r="VXP5749" s="909"/>
      <c r="VXQ5749" s="909"/>
      <c r="VXR5749" s="909"/>
      <c r="VXS5749" s="909"/>
      <c r="VXT5749" s="909"/>
      <c r="VXU5749" s="907" t="s">
        <v>79</v>
      </c>
      <c r="VXV5749" s="909" t="s">
        <v>68</v>
      </c>
      <c r="VXW5749" s="910" t="s">
        <v>75</v>
      </c>
      <c r="VXX5749" s="911"/>
      <c r="VXY5749" s="911"/>
      <c r="VXZ5749" s="911"/>
      <c r="VYA5749" s="911"/>
      <c r="VYB5749" s="911"/>
      <c r="VYC5749" s="911"/>
      <c r="VYD5749" s="911"/>
      <c r="VYE5749" s="911"/>
      <c r="VYF5749" s="911"/>
      <c r="VYG5749" s="32"/>
      <c r="VYH5749" s="911" t="s">
        <v>74</v>
      </c>
      <c r="VYI5749" s="911"/>
      <c r="VYJ5749" s="911"/>
      <c r="VYK5749" s="911"/>
      <c r="VYL5749" s="911"/>
      <c r="VYM5749" s="911"/>
      <c r="VYN5749" s="911"/>
      <c r="VYO5749" s="911"/>
      <c r="VYP5749" s="911"/>
      <c r="VYQ5749" s="912"/>
      <c r="VYS5749" s="913" t="s">
        <v>1</v>
      </c>
      <c r="VYT5749" s="31"/>
      <c r="VYU5749" s="909" t="s">
        <v>0</v>
      </c>
      <c r="VYV5749" s="909"/>
      <c r="VYW5749" s="909"/>
      <c r="VYX5749" s="909"/>
      <c r="VYY5749" s="909"/>
      <c r="VYZ5749" s="909"/>
      <c r="VZA5749" s="907" t="s">
        <v>79</v>
      </c>
      <c r="VZB5749" s="909" t="s">
        <v>68</v>
      </c>
      <c r="VZC5749" s="910" t="s">
        <v>75</v>
      </c>
      <c r="VZD5749" s="911"/>
      <c r="VZE5749" s="911"/>
      <c r="VZF5749" s="911"/>
      <c r="VZG5749" s="911"/>
      <c r="VZH5749" s="911"/>
      <c r="VZI5749" s="911"/>
      <c r="VZJ5749" s="911"/>
      <c r="VZK5749" s="911"/>
      <c r="VZL5749" s="911"/>
      <c r="VZM5749" s="32"/>
      <c r="VZN5749" s="911" t="s">
        <v>74</v>
      </c>
      <c r="VZO5749" s="911"/>
      <c r="VZP5749" s="911"/>
      <c r="VZQ5749" s="911"/>
      <c r="VZR5749" s="911"/>
      <c r="VZS5749" s="911"/>
      <c r="VZT5749" s="911"/>
      <c r="VZU5749" s="911"/>
      <c r="VZV5749" s="911"/>
      <c r="VZW5749" s="912"/>
      <c r="VZY5749" s="913" t="s">
        <v>1</v>
      </c>
      <c r="VZZ5749" s="31"/>
      <c r="WAA5749" s="909" t="s">
        <v>0</v>
      </c>
      <c r="WAB5749" s="909"/>
      <c r="WAC5749" s="909"/>
      <c r="WAD5749" s="909"/>
      <c r="WAE5749" s="909"/>
      <c r="WAF5749" s="909"/>
      <c r="WAG5749" s="907" t="s">
        <v>79</v>
      </c>
      <c r="WAH5749" s="909" t="s">
        <v>68</v>
      </c>
      <c r="WAI5749" s="910" t="s">
        <v>75</v>
      </c>
      <c r="WAJ5749" s="911"/>
      <c r="WAK5749" s="911"/>
      <c r="WAL5749" s="911"/>
      <c r="WAM5749" s="911"/>
      <c r="WAN5749" s="911"/>
      <c r="WAO5749" s="911"/>
      <c r="WAP5749" s="911"/>
      <c r="WAQ5749" s="911"/>
      <c r="WAR5749" s="911"/>
      <c r="WAS5749" s="32"/>
      <c r="WAT5749" s="911" t="s">
        <v>74</v>
      </c>
      <c r="WAU5749" s="911"/>
      <c r="WAV5749" s="911"/>
      <c r="WAW5749" s="911"/>
      <c r="WAX5749" s="911"/>
      <c r="WAY5749" s="911"/>
      <c r="WAZ5749" s="911"/>
      <c r="WBA5749" s="911"/>
      <c r="WBB5749" s="911"/>
      <c r="WBC5749" s="912"/>
      <c r="WBE5749" s="913" t="s">
        <v>1</v>
      </c>
      <c r="WBF5749" s="31"/>
      <c r="WBG5749" s="909" t="s">
        <v>0</v>
      </c>
      <c r="WBH5749" s="909"/>
      <c r="WBI5749" s="909"/>
      <c r="WBJ5749" s="909"/>
      <c r="WBK5749" s="909"/>
      <c r="WBL5749" s="909"/>
      <c r="WBM5749" s="907" t="s">
        <v>79</v>
      </c>
      <c r="WBN5749" s="909" t="s">
        <v>68</v>
      </c>
      <c r="WBO5749" s="910" t="s">
        <v>75</v>
      </c>
      <c r="WBP5749" s="911"/>
      <c r="WBQ5749" s="911"/>
      <c r="WBR5749" s="911"/>
      <c r="WBS5749" s="911"/>
      <c r="WBT5749" s="911"/>
      <c r="WBU5749" s="911"/>
      <c r="WBV5749" s="911"/>
      <c r="WBW5749" s="911"/>
      <c r="WBX5749" s="911"/>
      <c r="WBY5749" s="32"/>
      <c r="WBZ5749" s="911" t="s">
        <v>74</v>
      </c>
      <c r="WCA5749" s="911"/>
      <c r="WCB5749" s="911"/>
      <c r="WCC5749" s="911"/>
      <c r="WCD5749" s="911"/>
      <c r="WCE5749" s="911"/>
      <c r="WCF5749" s="911"/>
      <c r="WCG5749" s="911"/>
      <c r="WCH5749" s="911"/>
      <c r="WCI5749" s="912"/>
      <c r="WCK5749" s="913" t="s">
        <v>1</v>
      </c>
      <c r="WCL5749" s="31"/>
      <c r="WCM5749" s="909" t="s">
        <v>0</v>
      </c>
      <c r="WCN5749" s="909"/>
      <c r="WCO5749" s="909"/>
      <c r="WCP5749" s="909"/>
      <c r="WCQ5749" s="909"/>
      <c r="WCR5749" s="909"/>
      <c r="WCS5749" s="907" t="s">
        <v>79</v>
      </c>
      <c r="WCT5749" s="909" t="s">
        <v>68</v>
      </c>
      <c r="WCU5749" s="910" t="s">
        <v>75</v>
      </c>
      <c r="WCV5749" s="911"/>
      <c r="WCW5749" s="911"/>
      <c r="WCX5749" s="911"/>
      <c r="WCY5749" s="911"/>
      <c r="WCZ5749" s="911"/>
      <c r="WDA5749" s="911"/>
      <c r="WDB5749" s="911"/>
      <c r="WDC5749" s="911"/>
      <c r="WDD5749" s="911"/>
      <c r="WDE5749" s="32"/>
      <c r="WDF5749" s="911" t="s">
        <v>74</v>
      </c>
      <c r="WDG5749" s="911"/>
      <c r="WDH5749" s="911"/>
      <c r="WDI5749" s="911"/>
      <c r="WDJ5749" s="911"/>
      <c r="WDK5749" s="911"/>
      <c r="WDL5749" s="911"/>
      <c r="WDM5749" s="911"/>
      <c r="WDN5749" s="911"/>
      <c r="WDO5749" s="912"/>
      <c r="WDQ5749" s="913" t="s">
        <v>1</v>
      </c>
      <c r="WDR5749" s="31"/>
      <c r="WDS5749" s="909" t="s">
        <v>0</v>
      </c>
      <c r="WDT5749" s="909"/>
      <c r="WDU5749" s="909"/>
      <c r="WDV5749" s="909"/>
      <c r="WDW5749" s="909"/>
      <c r="WDX5749" s="909"/>
      <c r="WDY5749" s="907" t="s">
        <v>79</v>
      </c>
      <c r="WDZ5749" s="909" t="s">
        <v>68</v>
      </c>
      <c r="WEA5749" s="910" t="s">
        <v>75</v>
      </c>
      <c r="WEB5749" s="911"/>
      <c r="WEC5749" s="911"/>
      <c r="WED5749" s="911"/>
      <c r="WEE5749" s="911"/>
      <c r="WEF5749" s="911"/>
      <c r="WEG5749" s="911"/>
      <c r="WEH5749" s="911"/>
      <c r="WEI5749" s="911"/>
      <c r="WEJ5749" s="911"/>
      <c r="WEK5749" s="32"/>
      <c r="WEL5749" s="911" t="s">
        <v>74</v>
      </c>
      <c r="WEM5749" s="911"/>
      <c r="WEN5749" s="911"/>
      <c r="WEO5749" s="911"/>
      <c r="WEP5749" s="911"/>
      <c r="WEQ5749" s="911"/>
      <c r="WER5749" s="911"/>
      <c r="WES5749" s="911"/>
      <c r="WET5749" s="911"/>
      <c r="WEU5749" s="912"/>
      <c r="WEW5749" s="913" t="s">
        <v>1</v>
      </c>
      <c r="WEX5749" s="31"/>
      <c r="WEY5749" s="909" t="s">
        <v>0</v>
      </c>
      <c r="WEZ5749" s="909"/>
      <c r="WFA5749" s="909"/>
      <c r="WFB5749" s="909"/>
      <c r="WFC5749" s="909"/>
      <c r="WFD5749" s="909"/>
      <c r="WFE5749" s="907" t="s">
        <v>79</v>
      </c>
      <c r="WFF5749" s="909" t="s">
        <v>68</v>
      </c>
      <c r="WFG5749" s="910" t="s">
        <v>75</v>
      </c>
      <c r="WFH5749" s="911"/>
      <c r="WFI5749" s="911"/>
      <c r="WFJ5749" s="911"/>
      <c r="WFK5749" s="911"/>
      <c r="WFL5749" s="911"/>
      <c r="WFM5749" s="911"/>
      <c r="WFN5749" s="911"/>
      <c r="WFO5749" s="911"/>
      <c r="WFP5749" s="911"/>
      <c r="WFQ5749" s="32"/>
      <c r="WFR5749" s="911" t="s">
        <v>74</v>
      </c>
      <c r="WFS5749" s="911"/>
      <c r="WFT5749" s="911"/>
      <c r="WFU5749" s="911"/>
      <c r="WFV5749" s="911"/>
      <c r="WFW5749" s="911"/>
      <c r="WFX5749" s="911"/>
      <c r="WFY5749" s="911"/>
      <c r="WFZ5749" s="911"/>
      <c r="WGA5749" s="912"/>
      <c r="WGC5749" s="913" t="s">
        <v>1</v>
      </c>
      <c r="WGD5749" s="31"/>
      <c r="WGE5749" s="909" t="s">
        <v>0</v>
      </c>
      <c r="WGF5749" s="909"/>
      <c r="WGG5749" s="909"/>
      <c r="WGH5749" s="909"/>
      <c r="WGI5749" s="909"/>
      <c r="WGJ5749" s="909"/>
      <c r="WGK5749" s="907" t="s">
        <v>79</v>
      </c>
      <c r="WGL5749" s="909" t="s">
        <v>68</v>
      </c>
      <c r="WGM5749" s="910" t="s">
        <v>75</v>
      </c>
      <c r="WGN5749" s="911"/>
      <c r="WGO5749" s="911"/>
      <c r="WGP5749" s="911"/>
      <c r="WGQ5749" s="911"/>
      <c r="WGR5749" s="911"/>
      <c r="WGS5749" s="911"/>
      <c r="WGT5749" s="911"/>
      <c r="WGU5749" s="911"/>
      <c r="WGV5749" s="911"/>
      <c r="WGW5749" s="32"/>
      <c r="WGX5749" s="911" t="s">
        <v>74</v>
      </c>
      <c r="WGY5749" s="911"/>
      <c r="WGZ5749" s="911"/>
      <c r="WHA5749" s="911"/>
      <c r="WHB5749" s="911"/>
      <c r="WHC5749" s="911"/>
      <c r="WHD5749" s="911"/>
      <c r="WHE5749" s="911"/>
      <c r="WHF5749" s="911"/>
      <c r="WHG5749" s="912"/>
      <c r="WHI5749" s="913" t="s">
        <v>1</v>
      </c>
      <c r="WHJ5749" s="31"/>
      <c r="WHK5749" s="909" t="s">
        <v>0</v>
      </c>
      <c r="WHL5749" s="909"/>
      <c r="WHM5749" s="909"/>
      <c r="WHN5749" s="909"/>
      <c r="WHO5749" s="909"/>
      <c r="WHP5749" s="909"/>
      <c r="WHQ5749" s="907" t="s">
        <v>79</v>
      </c>
      <c r="WHR5749" s="909" t="s">
        <v>68</v>
      </c>
      <c r="WHS5749" s="910" t="s">
        <v>75</v>
      </c>
      <c r="WHT5749" s="911"/>
      <c r="WHU5749" s="911"/>
      <c r="WHV5749" s="911"/>
      <c r="WHW5749" s="911"/>
      <c r="WHX5749" s="911"/>
      <c r="WHY5749" s="911"/>
      <c r="WHZ5749" s="911"/>
      <c r="WIA5749" s="911"/>
      <c r="WIB5749" s="911"/>
      <c r="WIC5749" s="32"/>
      <c r="WID5749" s="911" t="s">
        <v>74</v>
      </c>
      <c r="WIE5749" s="911"/>
      <c r="WIF5749" s="911"/>
      <c r="WIG5749" s="911"/>
      <c r="WIH5749" s="911"/>
      <c r="WII5749" s="911"/>
      <c r="WIJ5749" s="911"/>
      <c r="WIK5749" s="911"/>
      <c r="WIL5749" s="911"/>
      <c r="WIM5749" s="912"/>
      <c r="WIO5749" s="913" t="s">
        <v>1</v>
      </c>
      <c r="WIP5749" s="31"/>
      <c r="WIQ5749" s="909" t="s">
        <v>0</v>
      </c>
      <c r="WIR5749" s="909"/>
      <c r="WIS5749" s="909"/>
      <c r="WIT5749" s="909"/>
      <c r="WIU5749" s="909"/>
      <c r="WIV5749" s="909"/>
      <c r="WIW5749" s="907" t="s">
        <v>79</v>
      </c>
      <c r="WIX5749" s="909" t="s">
        <v>68</v>
      </c>
      <c r="WIY5749" s="910" t="s">
        <v>75</v>
      </c>
      <c r="WIZ5749" s="911"/>
      <c r="WJA5749" s="911"/>
      <c r="WJB5749" s="911"/>
      <c r="WJC5749" s="911"/>
      <c r="WJD5749" s="911"/>
      <c r="WJE5749" s="911"/>
      <c r="WJF5749" s="911"/>
      <c r="WJG5749" s="911"/>
      <c r="WJH5749" s="911"/>
      <c r="WJI5749" s="32"/>
      <c r="WJJ5749" s="911" t="s">
        <v>74</v>
      </c>
      <c r="WJK5749" s="911"/>
      <c r="WJL5749" s="911"/>
      <c r="WJM5749" s="911"/>
      <c r="WJN5749" s="911"/>
      <c r="WJO5749" s="911"/>
      <c r="WJP5749" s="911"/>
      <c r="WJQ5749" s="911"/>
      <c r="WJR5749" s="911"/>
      <c r="WJS5749" s="912"/>
      <c r="WJU5749" s="913" t="s">
        <v>1</v>
      </c>
      <c r="WJV5749" s="31"/>
      <c r="WJW5749" s="909" t="s">
        <v>0</v>
      </c>
      <c r="WJX5749" s="909"/>
      <c r="WJY5749" s="909"/>
      <c r="WJZ5749" s="909"/>
      <c r="WKA5749" s="909"/>
      <c r="WKB5749" s="909"/>
      <c r="WKC5749" s="907" t="s">
        <v>79</v>
      </c>
      <c r="WKD5749" s="909" t="s">
        <v>68</v>
      </c>
      <c r="WKE5749" s="910" t="s">
        <v>75</v>
      </c>
      <c r="WKF5749" s="911"/>
      <c r="WKG5749" s="911"/>
      <c r="WKH5749" s="911"/>
      <c r="WKI5749" s="911"/>
      <c r="WKJ5749" s="911"/>
      <c r="WKK5749" s="911"/>
      <c r="WKL5749" s="911"/>
      <c r="WKM5749" s="911"/>
      <c r="WKN5749" s="911"/>
      <c r="WKO5749" s="32"/>
      <c r="WKP5749" s="911" t="s">
        <v>74</v>
      </c>
      <c r="WKQ5749" s="911"/>
      <c r="WKR5749" s="911"/>
      <c r="WKS5749" s="911"/>
      <c r="WKT5749" s="911"/>
      <c r="WKU5749" s="911"/>
      <c r="WKV5749" s="911"/>
      <c r="WKW5749" s="911"/>
      <c r="WKX5749" s="911"/>
      <c r="WKY5749" s="912"/>
      <c r="WLA5749" s="913" t="s">
        <v>1</v>
      </c>
      <c r="WLB5749" s="31"/>
      <c r="WLC5749" s="909" t="s">
        <v>0</v>
      </c>
      <c r="WLD5749" s="909"/>
      <c r="WLE5749" s="909"/>
      <c r="WLF5749" s="909"/>
      <c r="WLG5749" s="909"/>
      <c r="WLH5749" s="909"/>
      <c r="WLI5749" s="907" t="s">
        <v>79</v>
      </c>
      <c r="WLJ5749" s="909" t="s">
        <v>68</v>
      </c>
      <c r="WLK5749" s="910" t="s">
        <v>75</v>
      </c>
      <c r="WLL5749" s="911"/>
      <c r="WLM5749" s="911"/>
      <c r="WLN5749" s="911"/>
      <c r="WLO5749" s="911"/>
      <c r="WLP5749" s="911"/>
      <c r="WLQ5749" s="911"/>
      <c r="WLR5749" s="911"/>
      <c r="WLS5749" s="911"/>
      <c r="WLT5749" s="911"/>
      <c r="WLU5749" s="32"/>
      <c r="WLV5749" s="911" t="s">
        <v>74</v>
      </c>
      <c r="WLW5749" s="911"/>
      <c r="WLX5749" s="911"/>
      <c r="WLY5749" s="911"/>
      <c r="WLZ5749" s="911"/>
      <c r="WMA5749" s="911"/>
      <c r="WMB5749" s="911"/>
      <c r="WMC5749" s="911"/>
      <c r="WMD5749" s="911"/>
      <c r="WME5749" s="912"/>
      <c r="WMG5749" s="913" t="s">
        <v>1</v>
      </c>
      <c r="WMH5749" s="31"/>
      <c r="WMI5749" s="909" t="s">
        <v>0</v>
      </c>
      <c r="WMJ5749" s="909"/>
      <c r="WMK5749" s="909"/>
      <c r="WML5749" s="909"/>
      <c r="WMM5749" s="909"/>
      <c r="WMN5749" s="909"/>
      <c r="WMO5749" s="907" t="s">
        <v>79</v>
      </c>
      <c r="WMP5749" s="909" t="s">
        <v>68</v>
      </c>
      <c r="WMQ5749" s="910" t="s">
        <v>75</v>
      </c>
      <c r="WMR5749" s="911"/>
      <c r="WMS5749" s="911"/>
      <c r="WMT5749" s="911"/>
      <c r="WMU5749" s="911"/>
      <c r="WMV5749" s="911"/>
      <c r="WMW5749" s="911"/>
      <c r="WMX5749" s="911"/>
      <c r="WMY5749" s="911"/>
      <c r="WMZ5749" s="911"/>
      <c r="WNA5749" s="32"/>
      <c r="WNB5749" s="911" t="s">
        <v>74</v>
      </c>
      <c r="WNC5749" s="911"/>
      <c r="WND5749" s="911"/>
      <c r="WNE5749" s="911"/>
      <c r="WNF5749" s="911"/>
      <c r="WNG5749" s="911"/>
      <c r="WNH5749" s="911"/>
      <c r="WNI5749" s="911"/>
      <c r="WNJ5749" s="911"/>
      <c r="WNK5749" s="912"/>
      <c r="WNM5749" s="913" t="s">
        <v>1</v>
      </c>
      <c r="WNN5749" s="31"/>
      <c r="WNO5749" s="909" t="s">
        <v>0</v>
      </c>
      <c r="WNP5749" s="909"/>
      <c r="WNQ5749" s="909"/>
      <c r="WNR5749" s="909"/>
      <c r="WNS5749" s="909"/>
      <c r="WNT5749" s="909"/>
      <c r="WNU5749" s="907" t="s">
        <v>79</v>
      </c>
      <c r="WNV5749" s="909" t="s">
        <v>68</v>
      </c>
      <c r="WNW5749" s="910" t="s">
        <v>75</v>
      </c>
      <c r="WNX5749" s="911"/>
      <c r="WNY5749" s="911"/>
      <c r="WNZ5749" s="911"/>
      <c r="WOA5749" s="911"/>
      <c r="WOB5749" s="911"/>
      <c r="WOC5749" s="911"/>
      <c r="WOD5749" s="911"/>
      <c r="WOE5749" s="911"/>
      <c r="WOF5749" s="911"/>
      <c r="WOG5749" s="32"/>
      <c r="WOH5749" s="911" t="s">
        <v>74</v>
      </c>
      <c r="WOI5749" s="911"/>
      <c r="WOJ5749" s="911"/>
      <c r="WOK5749" s="911"/>
      <c r="WOL5749" s="911"/>
      <c r="WOM5749" s="911"/>
      <c r="WON5749" s="911"/>
      <c r="WOO5749" s="911"/>
      <c r="WOP5749" s="911"/>
      <c r="WOQ5749" s="912"/>
      <c r="WOS5749" s="913" t="s">
        <v>1</v>
      </c>
      <c r="WOT5749" s="31"/>
      <c r="WOU5749" s="909" t="s">
        <v>0</v>
      </c>
      <c r="WOV5749" s="909"/>
      <c r="WOW5749" s="909"/>
      <c r="WOX5749" s="909"/>
      <c r="WOY5749" s="909"/>
      <c r="WOZ5749" s="909"/>
      <c r="WPA5749" s="907" t="s">
        <v>79</v>
      </c>
      <c r="WPB5749" s="909" t="s">
        <v>68</v>
      </c>
      <c r="WPC5749" s="910" t="s">
        <v>75</v>
      </c>
      <c r="WPD5749" s="911"/>
      <c r="WPE5749" s="911"/>
      <c r="WPF5749" s="911"/>
      <c r="WPG5749" s="911"/>
      <c r="WPH5749" s="911"/>
      <c r="WPI5749" s="911"/>
      <c r="WPJ5749" s="911"/>
      <c r="WPK5749" s="911"/>
      <c r="WPL5749" s="911"/>
      <c r="WPM5749" s="32"/>
      <c r="WPN5749" s="911" t="s">
        <v>74</v>
      </c>
      <c r="WPO5749" s="911"/>
      <c r="WPP5749" s="911"/>
      <c r="WPQ5749" s="911"/>
      <c r="WPR5749" s="911"/>
      <c r="WPS5749" s="911"/>
      <c r="WPT5749" s="911"/>
      <c r="WPU5749" s="911"/>
      <c r="WPV5749" s="911"/>
      <c r="WPW5749" s="912"/>
      <c r="WPY5749" s="913" t="s">
        <v>1</v>
      </c>
      <c r="WPZ5749" s="31"/>
      <c r="WQA5749" s="909" t="s">
        <v>0</v>
      </c>
      <c r="WQB5749" s="909"/>
      <c r="WQC5749" s="909"/>
      <c r="WQD5749" s="909"/>
      <c r="WQE5749" s="909"/>
      <c r="WQF5749" s="909"/>
      <c r="WQG5749" s="907" t="s">
        <v>79</v>
      </c>
      <c r="WQH5749" s="909" t="s">
        <v>68</v>
      </c>
      <c r="WQI5749" s="910" t="s">
        <v>75</v>
      </c>
      <c r="WQJ5749" s="911"/>
      <c r="WQK5749" s="911"/>
      <c r="WQL5749" s="911"/>
      <c r="WQM5749" s="911"/>
      <c r="WQN5749" s="911"/>
      <c r="WQO5749" s="911"/>
      <c r="WQP5749" s="911"/>
      <c r="WQQ5749" s="911"/>
      <c r="WQR5749" s="911"/>
      <c r="WQS5749" s="32"/>
      <c r="WQT5749" s="911" t="s">
        <v>74</v>
      </c>
      <c r="WQU5749" s="911"/>
      <c r="WQV5749" s="911"/>
      <c r="WQW5749" s="911"/>
      <c r="WQX5749" s="911"/>
      <c r="WQY5749" s="911"/>
      <c r="WQZ5749" s="911"/>
      <c r="WRA5749" s="911"/>
      <c r="WRB5749" s="911"/>
      <c r="WRC5749" s="912"/>
      <c r="WRE5749" s="913" t="s">
        <v>1</v>
      </c>
      <c r="WRF5749" s="31"/>
      <c r="WRG5749" s="909" t="s">
        <v>0</v>
      </c>
      <c r="WRH5749" s="909"/>
      <c r="WRI5749" s="909"/>
      <c r="WRJ5749" s="909"/>
      <c r="WRK5749" s="909"/>
      <c r="WRL5749" s="909"/>
      <c r="WRM5749" s="907" t="s">
        <v>79</v>
      </c>
      <c r="WRN5749" s="909" t="s">
        <v>68</v>
      </c>
      <c r="WRO5749" s="910" t="s">
        <v>75</v>
      </c>
      <c r="WRP5749" s="911"/>
      <c r="WRQ5749" s="911"/>
      <c r="WRR5749" s="911"/>
      <c r="WRS5749" s="911"/>
      <c r="WRT5749" s="911"/>
      <c r="WRU5749" s="911"/>
      <c r="WRV5749" s="911"/>
      <c r="WRW5749" s="911"/>
      <c r="WRX5749" s="911"/>
      <c r="WRY5749" s="32"/>
      <c r="WRZ5749" s="911" t="s">
        <v>74</v>
      </c>
      <c r="WSA5749" s="911"/>
      <c r="WSB5749" s="911"/>
      <c r="WSC5749" s="911"/>
      <c r="WSD5749" s="911"/>
      <c r="WSE5749" s="911"/>
      <c r="WSF5749" s="911"/>
      <c r="WSG5749" s="911"/>
      <c r="WSH5749" s="911"/>
      <c r="WSI5749" s="912"/>
      <c r="WSK5749" s="913" t="s">
        <v>1</v>
      </c>
      <c r="WSL5749" s="31"/>
      <c r="WSM5749" s="909" t="s">
        <v>0</v>
      </c>
      <c r="WSN5749" s="909"/>
      <c r="WSO5749" s="909"/>
      <c r="WSP5749" s="909"/>
      <c r="WSQ5749" s="909"/>
      <c r="WSR5749" s="909"/>
      <c r="WSS5749" s="907" t="s">
        <v>79</v>
      </c>
      <c r="WST5749" s="909" t="s">
        <v>68</v>
      </c>
      <c r="WSU5749" s="910" t="s">
        <v>75</v>
      </c>
      <c r="WSV5749" s="911"/>
      <c r="WSW5749" s="911"/>
      <c r="WSX5749" s="911"/>
      <c r="WSY5749" s="911"/>
      <c r="WSZ5749" s="911"/>
      <c r="WTA5749" s="911"/>
      <c r="WTB5749" s="911"/>
      <c r="WTC5749" s="911"/>
      <c r="WTD5749" s="911"/>
      <c r="WTE5749" s="32"/>
      <c r="WTF5749" s="911" t="s">
        <v>74</v>
      </c>
      <c r="WTG5749" s="911"/>
      <c r="WTH5749" s="911"/>
      <c r="WTI5749" s="911"/>
      <c r="WTJ5749" s="911"/>
      <c r="WTK5749" s="911"/>
      <c r="WTL5749" s="911"/>
      <c r="WTM5749" s="911"/>
      <c r="WTN5749" s="911"/>
      <c r="WTO5749" s="912"/>
      <c r="WTQ5749" s="913" t="s">
        <v>1</v>
      </c>
      <c r="WTR5749" s="31"/>
      <c r="WTS5749" s="909" t="s">
        <v>0</v>
      </c>
      <c r="WTT5749" s="909"/>
      <c r="WTU5749" s="909"/>
      <c r="WTV5749" s="909"/>
      <c r="WTW5749" s="909"/>
      <c r="WTX5749" s="909"/>
      <c r="WTY5749" s="907" t="s">
        <v>79</v>
      </c>
      <c r="WTZ5749" s="909" t="s">
        <v>68</v>
      </c>
      <c r="WUA5749" s="910" t="s">
        <v>75</v>
      </c>
      <c r="WUB5749" s="911"/>
      <c r="WUC5749" s="911"/>
      <c r="WUD5749" s="911"/>
      <c r="WUE5749" s="911"/>
      <c r="WUF5749" s="911"/>
      <c r="WUG5749" s="911"/>
      <c r="WUH5749" s="911"/>
      <c r="WUI5749" s="911"/>
      <c r="WUJ5749" s="911"/>
      <c r="WUK5749" s="32"/>
      <c r="WUL5749" s="911" t="s">
        <v>74</v>
      </c>
      <c r="WUM5749" s="911"/>
      <c r="WUN5749" s="911"/>
      <c r="WUO5749" s="911"/>
      <c r="WUP5749" s="911"/>
      <c r="WUQ5749" s="911"/>
      <c r="WUR5749" s="911"/>
      <c r="WUS5749" s="911"/>
      <c r="WUT5749" s="911"/>
      <c r="WUU5749" s="912"/>
      <c r="WUW5749" s="913" t="s">
        <v>1</v>
      </c>
      <c r="WUX5749" s="31"/>
      <c r="WUY5749" s="909" t="s">
        <v>0</v>
      </c>
      <c r="WUZ5749" s="909"/>
      <c r="WVA5749" s="909"/>
      <c r="WVB5749" s="909"/>
      <c r="WVC5749" s="909"/>
      <c r="WVD5749" s="909"/>
      <c r="WVE5749" s="907" t="s">
        <v>79</v>
      </c>
      <c r="WVF5749" s="909" t="s">
        <v>68</v>
      </c>
      <c r="WVG5749" s="910" t="s">
        <v>75</v>
      </c>
      <c r="WVH5749" s="911"/>
      <c r="WVI5749" s="911"/>
      <c r="WVJ5749" s="911"/>
      <c r="WVK5749" s="911"/>
      <c r="WVL5749" s="911"/>
      <c r="WVM5749" s="911"/>
      <c r="WVN5749" s="911"/>
      <c r="WVO5749" s="911"/>
      <c r="WVP5749" s="911"/>
      <c r="WVQ5749" s="32"/>
      <c r="WVR5749" s="911" t="s">
        <v>74</v>
      </c>
      <c r="WVS5749" s="911"/>
      <c r="WVT5749" s="911"/>
      <c r="WVU5749" s="911"/>
      <c r="WVV5749" s="911"/>
      <c r="WVW5749" s="911"/>
      <c r="WVX5749" s="911"/>
      <c r="WVY5749" s="911"/>
      <c r="WVZ5749" s="911"/>
      <c r="WWA5749" s="912"/>
      <c r="WWC5749" s="913" t="s">
        <v>1</v>
      </c>
      <c r="WWD5749" s="31"/>
      <c r="WWE5749" s="909" t="s">
        <v>0</v>
      </c>
      <c r="WWF5749" s="909"/>
      <c r="WWG5749" s="909"/>
      <c r="WWH5749" s="909"/>
      <c r="WWI5749" s="909"/>
      <c r="WWJ5749" s="909"/>
      <c r="WWK5749" s="907" t="s">
        <v>79</v>
      </c>
      <c r="WWL5749" s="909" t="s">
        <v>68</v>
      </c>
      <c r="WWM5749" s="910" t="s">
        <v>75</v>
      </c>
      <c r="WWN5749" s="911"/>
      <c r="WWO5749" s="911"/>
      <c r="WWP5749" s="911"/>
      <c r="WWQ5749" s="911"/>
      <c r="WWR5749" s="911"/>
      <c r="WWS5749" s="911"/>
      <c r="WWT5749" s="911"/>
      <c r="WWU5749" s="911"/>
      <c r="WWV5749" s="911"/>
      <c r="WWW5749" s="32"/>
      <c r="WWX5749" s="911" t="s">
        <v>74</v>
      </c>
      <c r="WWY5749" s="911"/>
      <c r="WWZ5749" s="911"/>
      <c r="WXA5749" s="911"/>
      <c r="WXB5749" s="911"/>
      <c r="WXC5749" s="911"/>
      <c r="WXD5749" s="911"/>
      <c r="WXE5749" s="911"/>
      <c r="WXF5749" s="911"/>
      <c r="WXG5749" s="912"/>
      <c r="WXI5749" s="913" t="s">
        <v>1</v>
      </c>
      <c r="WXJ5749" s="31"/>
      <c r="WXK5749" s="909" t="s">
        <v>0</v>
      </c>
      <c r="WXL5749" s="909"/>
      <c r="WXM5749" s="909"/>
      <c r="WXN5749" s="909"/>
      <c r="WXO5749" s="909"/>
      <c r="WXP5749" s="909"/>
      <c r="WXQ5749" s="907" t="s">
        <v>79</v>
      </c>
      <c r="WXR5749" s="909" t="s">
        <v>68</v>
      </c>
      <c r="WXS5749" s="910" t="s">
        <v>75</v>
      </c>
      <c r="WXT5749" s="911"/>
      <c r="WXU5749" s="911"/>
      <c r="WXV5749" s="911"/>
      <c r="WXW5749" s="911"/>
      <c r="WXX5749" s="911"/>
      <c r="WXY5749" s="911"/>
      <c r="WXZ5749" s="911"/>
      <c r="WYA5749" s="911"/>
      <c r="WYB5749" s="911"/>
      <c r="WYC5749" s="32"/>
      <c r="WYD5749" s="911" t="s">
        <v>74</v>
      </c>
      <c r="WYE5749" s="911"/>
      <c r="WYF5749" s="911"/>
      <c r="WYG5749" s="911"/>
      <c r="WYH5749" s="911"/>
      <c r="WYI5749" s="911"/>
      <c r="WYJ5749" s="911"/>
      <c r="WYK5749" s="911"/>
      <c r="WYL5749" s="911"/>
      <c r="WYM5749" s="912"/>
      <c r="WYO5749" s="913" t="s">
        <v>1</v>
      </c>
      <c r="WYP5749" s="31"/>
      <c r="WYQ5749" s="909" t="s">
        <v>0</v>
      </c>
      <c r="WYR5749" s="909"/>
      <c r="WYS5749" s="909"/>
      <c r="WYT5749" s="909"/>
      <c r="WYU5749" s="909"/>
      <c r="WYV5749" s="909"/>
      <c r="WYW5749" s="907" t="s">
        <v>79</v>
      </c>
      <c r="WYX5749" s="909" t="s">
        <v>68</v>
      </c>
      <c r="WYY5749" s="910" t="s">
        <v>75</v>
      </c>
      <c r="WYZ5749" s="911"/>
      <c r="WZA5749" s="911"/>
      <c r="WZB5749" s="911"/>
      <c r="WZC5749" s="911"/>
      <c r="WZD5749" s="911"/>
      <c r="WZE5749" s="911"/>
      <c r="WZF5749" s="911"/>
      <c r="WZG5749" s="911"/>
      <c r="WZH5749" s="911"/>
      <c r="WZI5749" s="32"/>
      <c r="WZJ5749" s="911" t="s">
        <v>74</v>
      </c>
      <c r="WZK5749" s="911"/>
      <c r="WZL5749" s="911"/>
      <c r="WZM5749" s="911"/>
      <c r="WZN5749" s="911"/>
      <c r="WZO5749" s="911"/>
      <c r="WZP5749" s="911"/>
      <c r="WZQ5749" s="911"/>
      <c r="WZR5749" s="911"/>
      <c r="WZS5749" s="912"/>
      <c r="WZU5749" s="913" t="s">
        <v>1</v>
      </c>
      <c r="WZV5749" s="31"/>
      <c r="WZW5749" s="909" t="s">
        <v>0</v>
      </c>
      <c r="WZX5749" s="909"/>
      <c r="WZY5749" s="909"/>
      <c r="WZZ5749" s="909"/>
      <c r="XAA5749" s="909"/>
      <c r="XAB5749" s="909"/>
      <c r="XAC5749" s="907" t="s">
        <v>79</v>
      </c>
      <c r="XAD5749" s="909" t="s">
        <v>68</v>
      </c>
      <c r="XAE5749" s="910" t="s">
        <v>75</v>
      </c>
      <c r="XAF5749" s="911"/>
      <c r="XAG5749" s="911"/>
      <c r="XAH5749" s="911"/>
      <c r="XAI5749" s="911"/>
      <c r="XAJ5749" s="911"/>
      <c r="XAK5749" s="911"/>
      <c r="XAL5749" s="911"/>
      <c r="XAM5749" s="911"/>
      <c r="XAN5749" s="911"/>
      <c r="XAO5749" s="32"/>
      <c r="XAP5749" s="911" t="s">
        <v>74</v>
      </c>
      <c r="XAQ5749" s="911"/>
      <c r="XAR5749" s="911"/>
      <c r="XAS5749" s="911"/>
      <c r="XAT5749" s="911"/>
      <c r="XAU5749" s="911"/>
      <c r="XAV5749" s="911"/>
      <c r="XAW5749" s="911"/>
      <c r="XAX5749" s="911"/>
      <c r="XAY5749" s="912"/>
      <c r="XBA5749" s="913" t="s">
        <v>1</v>
      </c>
      <c r="XBB5749" s="31"/>
      <c r="XBC5749" s="909" t="s">
        <v>0</v>
      </c>
      <c r="XBD5749" s="909"/>
      <c r="XBE5749" s="909"/>
      <c r="XBF5749" s="909"/>
      <c r="XBG5749" s="909"/>
      <c r="XBH5749" s="909"/>
      <c r="XBI5749" s="907" t="s">
        <v>79</v>
      </c>
      <c r="XBJ5749" s="909" t="s">
        <v>68</v>
      </c>
      <c r="XBK5749" s="910" t="s">
        <v>75</v>
      </c>
      <c r="XBL5749" s="911"/>
      <c r="XBM5749" s="911"/>
      <c r="XBN5749" s="911"/>
      <c r="XBO5749" s="911"/>
      <c r="XBP5749" s="911"/>
      <c r="XBQ5749" s="911"/>
      <c r="XBR5749" s="911"/>
      <c r="XBS5749" s="911"/>
      <c r="XBT5749" s="911"/>
      <c r="XBU5749" s="32"/>
      <c r="XBV5749" s="911" t="s">
        <v>74</v>
      </c>
      <c r="XBW5749" s="911"/>
      <c r="XBX5749" s="911"/>
      <c r="XBY5749" s="911"/>
      <c r="XBZ5749" s="911"/>
      <c r="XCA5749" s="911"/>
      <c r="XCB5749" s="911"/>
      <c r="XCC5749" s="911"/>
      <c r="XCD5749" s="911"/>
      <c r="XCE5749" s="912"/>
      <c r="XCG5749" s="913" t="s">
        <v>1</v>
      </c>
      <c r="XCH5749" s="31"/>
      <c r="XCI5749" s="909" t="s">
        <v>0</v>
      </c>
      <c r="XCJ5749" s="909"/>
      <c r="XCK5749" s="909"/>
      <c r="XCL5749" s="909"/>
      <c r="XCM5749" s="909"/>
      <c r="XCN5749" s="909"/>
      <c r="XCO5749" s="907" t="s">
        <v>79</v>
      </c>
      <c r="XCP5749" s="909" t="s">
        <v>68</v>
      </c>
      <c r="XCQ5749" s="910" t="s">
        <v>75</v>
      </c>
      <c r="XCR5749" s="911"/>
      <c r="XCS5749" s="911"/>
      <c r="XCT5749" s="911"/>
      <c r="XCU5749" s="911"/>
      <c r="XCV5749" s="911"/>
      <c r="XCW5749" s="911"/>
      <c r="XCX5749" s="911"/>
      <c r="XCY5749" s="911"/>
      <c r="XCZ5749" s="911"/>
      <c r="XDA5749" s="32"/>
      <c r="XDB5749" s="911" t="s">
        <v>74</v>
      </c>
      <c r="XDC5749" s="911"/>
      <c r="XDD5749" s="911"/>
      <c r="XDE5749" s="911"/>
      <c r="XDF5749" s="911"/>
      <c r="XDG5749" s="911"/>
      <c r="XDH5749" s="911"/>
      <c r="XDI5749" s="911"/>
      <c r="XDJ5749" s="911"/>
      <c r="XDK5749" s="912"/>
      <c r="XDM5749" s="913" t="s">
        <v>1</v>
      </c>
      <c r="XDN5749" s="31"/>
      <c r="XDO5749" s="909" t="s">
        <v>0</v>
      </c>
      <c r="XDP5749" s="909"/>
      <c r="XDQ5749" s="909"/>
      <c r="XDR5749" s="909"/>
      <c r="XDS5749" s="909"/>
      <c r="XDT5749" s="909"/>
      <c r="XDU5749" s="907" t="s">
        <v>79</v>
      </c>
      <c r="XDV5749" s="909" t="s">
        <v>68</v>
      </c>
      <c r="XDW5749" s="910" t="s">
        <v>75</v>
      </c>
      <c r="XDX5749" s="911"/>
      <c r="XDY5749" s="911"/>
      <c r="XDZ5749" s="911"/>
      <c r="XEA5749" s="911"/>
      <c r="XEB5749" s="911"/>
      <c r="XEC5749" s="911"/>
      <c r="XED5749" s="911"/>
      <c r="XEE5749" s="911"/>
      <c r="XEF5749" s="911"/>
      <c r="XEG5749" s="32"/>
      <c r="XEH5749" s="911" t="s">
        <v>74</v>
      </c>
      <c r="XEI5749" s="911"/>
      <c r="XEJ5749" s="911"/>
      <c r="XEK5749" s="911"/>
      <c r="XEL5749" s="911"/>
      <c r="XEM5749" s="911"/>
      <c r="XEN5749" s="911"/>
      <c r="XEO5749" s="911"/>
      <c r="XEP5749" s="911"/>
      <c r="XEQ5749" s="912"/>
    </row>
    <row r="5750" spans="2:16372">
      <c r="B5750" s="19"/>
      <c r="C5750" s="19"/>
      <c r="D5750" s="19"/>
      <c r="E5750" s="19"/>
      <c r="F5750" s="19"/>
      <c r="G5750" s="19"/>
      <c r="H5750" s="19"/>
      <c r="I5750" s="19"/>
      <c r="J5750" s="19"/>
      <c r="K5750" s="421"/>
      <c r="L5750" s="23"/>
      <c r="M5750" s="19"/>
      <c r="N5750" s="19"/>
      <c r="O5750" s="19"/>
      <c r="P5750" s="19"/>
      <c r="Q5750" s="19"/>
      <c r="AC5750" s="919"/>
      <c r="AD5750" s="918"/>
      <c r="AE5750" s="33"/>
      <c r="AF5750" s="33"/>
      <c r="AG5750" s="33"/>
      <c r="AH5750" s="33"/>
      <c r="AI5750" s="33"/>
      <c r="AJ5750" s="33"/>
      <c r="AK5750" s="33"/>
      <c r="AL5750" s="33"/>
      <c r="AM5750" s="33"/>
      <c r="AN5750" s="33"/>
      <c r="AO5750" s="33"/>
      <c r="AP5750" s="33"/>
      <c r="AQ5750" s="33"/>
      <c r="AR5750" s="33"/>
      <c r="AS5750" s="33"/>
      <c r="AT5750" s="33"/>
      <c r="AU5750" s="33"/>
      <c r="AV5750" s="33"/>
      <c r="AW5750" s="33"/>
      <c r="AX5750" s="33"/>
      <c r="AY5750" s="33"/>
      <c r="BA5750" s="913"/>
      <c r="BB5750" s="31">
        <v>1</v>
      </c>
      <c r="BC5750" s="34">
        <v>0</v>
      </c>
      <c r="BD5750" s="34">
        <v>-1</v>
      </c>
      <c r="BE5750" s="34">
        <v>-2</v>
      </c>
      <c r="BF5750" s="34">
        <v>-3</v>
      </c>
      <c r="BG5750" s="34">
        <v>-4</v>
      </c>
      <c r="BH5750" s="34">
        <v>-5</v>
      </c>
      <c r="BI5750" s="908"/>
      <c r="BJ5750" s="909"/>
      <c r="BK5750" s="34">
        <v>-5</v>
      </c>
      <c r="BL5750" s="34">
        <v>-4.5</v>
      </c>
      <c r="BM5750" s="34">
        <v>-4</v>
      </c>
      <c r="BN5750" s="34">
        <v>-3.5</v>
      </c>
      <c r="BO5750" s="34">
        <v>-3</v>
      </c>
      <c r="BP5750" s="34">
        <v>-2.5</v>
      </c>
      <c r="BQ5750" s="34">
        <v>-2</v>
      </c>
      <c r="BR5750" s="34">
        <v>-1.5</v>
      </c>
      <c r="BS5750" s="34">
        <v>-1</v>
      </c>
      <c r="BT5750" s="34">
        <v>-0.5</v>
      </c>
      <c r="BU5750" s="34">
        <v>0</v>
      </c>
      <c r="BV5750" s="34">
        <v>0.5</v>
      </c>
      <c r="BW5750" s="34">
        <v>1</v>
      </c>
      <c r="BX5750" s="34">
        <v>1.5</v>
      </c>
      <c r="BY5750" s="34">
        <v>2</v>
      </c>
      <c r="BZ5750" s="34">
        <v>2.5</v>
      </c>
      <c r="CA5750" s="34">
        <v>3</v>
      </c>
      <c r="CB5750" s="34">
        <v>3.5</v>
      </c>
      <c r="CC5750" s="34">
        <v>4</v>
      </c>
      <c r="CD5750" s="34">
        <v>4.5</v>
      </c>
      <c r="CE5750" s="34">
        <v>5</v>
      </c>
      <c r="CG5750" s="913"/>
      <c r="CH5750" s="31">
        <v>1</v>
      </c>
      <c r="CI5750" s="34">
        <v>0</v>
      </c>
      <c r="CJ5750" s="34">
        <v>-1</v>
      </c>
      <c r="CK5750" s="34">
        <v>-2</v>
      </c>
      <c r="CL5750" s="34">
        <v>-3</v>
      </c>
      <c r="CM5750" s="34">
        <v>-4</v>
      </c>
      <c r="CN5750" s="34">
        <v>-5</v>
      </c>
      <c r="CO5750" s="908"/>
      <c r="CP5750" s="909"/>
      <c r="CQ5750" s="34">
        <v>-5</v>
      </c>
      <c r="CR5750" s="34">
        <v>-4.5</v>
      </c>
      <c r="CS5750" s="34">
        <v>-4</v>
      </c>
      <c r="CT5750" s="34">
        <v>-3.5</v>
      </c>
      <c r="CU5750" s="34">
        <v>-3</v>
      </c>
      <c r="CV5750" s="34">
        <v>-2.5</v>
      </c>
      <c r="CW5750" s="34">
        <v>-2</v>
      </c>
      <c r="CX5750" s="34">
        <v>-1.5</v>
      </c>
      <c r="CY5750" s="34">
        <v>-1</v>
      </c>
      <c r="CZ5750" s="34">
        <v>-0.5</v>
      </c>
      <c r="DA5750" s="34">
        <v>0</v>
      </c>
      <c r="DB5750" s="34">
        <v>0.5</v>
      </c>
      <c r="DC5750" s="34">
        <v>1</v>
      </c>
      <c r="DD5750" s="34">
        <v>1.5</v>
      </c>
      <c r="DE5750" s="34">
        <v>2</v>
      </c>
      <c r="DF5750" s="34">
        <v>2.5</v>
      </c>
      <c r="DG5750" s="34">
        <v>3</v>
      </c>
      <c r="DH5750" s="34">
        <v>3.5</v>
      </c>
      <c r="DI5750" s="34">
        <v>4</v>
      </c>
      <c r="DJ5750" s="34">
        <v>4.5</v>
      </c>
      <c r="DK5750" s="34">
        <v>5</v>
      </c>
      <c r="DM5750" s="913"/>
      <c r="DN5750" s="31">
        <v>1</v>
      </c>
      <c r="DO5750" s="34">
        <v>0</v>
      </c>
      <c r="DP5750" s="34">
        <v>-1</v>
      </c>
      <c r="DQ5750" s="34">
        <v>-2</v>
      </c>
      <c r="DR5750" s="34">
        <v>-3</v>
      </c>
      <c r="DS5750" s="34">
        <v>-4</v>
      </c>
      <c r="DT5750" s="34">
        <v>-5</v>
      </c>
      <c r="DU5750" s="908"/>
      <c r="DV5750" s="909"/>
      <c r="DW5750" s="34">
        <v>-5</v>
      </c>
      <c r="DX5750" s="34">
        <v>-4.5</v>
      </c>
      <c r="DY5750" s="34">
        <v>-4</v>
      </c>
      <c r="DZ5750" s="34">
        <v>-3.5</v>
      </c>
      <c r="EA5750" s="34">
        <v>-3</v>
      </c>
      <c r="EB5750" s="34">
        <v>-2.5</v>
      </c>
      <c r="EC5750" s="34">
        <v>-2</v>
      </c>
      <c r="ED5750" s="34">
        <v>-1.5</v>
      </c>
      <c r="EE5750" s="34">
        <v>-1</v>
      </c>
      <c r="EF5750" s="34">
        <v>-0.5</v>
      </c>
      <c r="EG5750" s="34">
        <v>0</v>
      </c>
      <c r="EH5750" s="34">
        <v>0.5</v>
      </c>
      <c r="EI5750" s="34">
        <v>1</v>
      </c>
      <c r="EJ5750" s="34">
        <v>1.5</v>
      </c>
      <c r="EK5750" s="34">
        <v>2</v>
      </c>
      <c r="EL5750" s="34">
        <v>2.5</v>
      </c>
      <c r="EM5750" s="34">
        <v>3</v>
      </c>
      <c r="EN5750" s="34">
        <v>3.5</v>
      </c>
      <c r="EO5750" s="34">
        <v>4</v>
      </c>
      <c r="EP5750" s="34">
        <v>4.5</v>
      </c>
      <c r="EQ5750" s="34">
        <v>5</v>
      </c>
      <c r="ES5750" s="913"/>
      <c r="ET5750" s="31">
        <v>1</v>
      </c>
      <c r="EU5750" s="34">
        <v>0</v>
      </c>
      <c r="EV5750" s="34">
        <v>-1</v>
      </c>
      <c r="EW5750" s="34">
        <v>-2</v>
      </c>
      <c r="EX5750" s="34">
        <v>-3</v>
      </c>
      <c r="EY5750" s="34">
        <v>-4</v>
      </c>
      <c r="EZ5750" s="34">
        <v>-5</v>
      </c>
      <c r="FA5750" s="908"/>
      <c r="FB5750" s="909"/>
      <c r="FC5750" s="34">
        <v>-5</v>
      </c>
      <c r="FD5750" s="34">
        <v>-4.5</v>
      </c>
      <c r="FE5750" s="34">
        <v>-4</v>
      </c>
      <c r="FF5750" s="34">
        <v>-3.5</v>
      </c>
      <c r="FG5750" s="34">
        <v>-3</v>
      </c>
      <c r="FH5750" s="34">
        <v>-2.5</v>
      </c>
      <c r="FI5750" s="34">
        <v>-2</v>
      </c>
      <c r="FJ5750" s="34">
        <v>-1.5</v>
      </c>
      <c r="FK5750" s="34">
        <v>-1</v>
      </c>
      <c r="FL5750" s="34">
        <v>-0.5</v>
      </c>
      <c r="FM5750" s="34">
        <v>0</v>
      </c>
      <c r="FN5750" s="34">
        <v>0.5</v>
      </c>
      <c r="FO5750" s="34">
        <v>1</v>
      </c>
      <c r="FP5750" s="34">
        <v>1.5</v>
      </c>
      <c r="FQ5750" s="34">
        <v>2</v>
      </c>
      <c r="FR5750" s="34">
        <v>2.5</v>
      </c>
      <c r="FS5750" s="34">
        <v>3</v>
      </c>
      <c r="FT5750" s="34">
        <v>3.5</v>
      </c>
      <c r="FU5750" s="34">
        <v>4</v>
      </c>
      <c r="FV5750" s="34">
        <v>4.5</v>
      </c>
      <c r="FW5750" s="34">
        <v>5</v>
      </c>
      <c r="FY5750" s="913"/>
      <c r="FZ5750" s="31">
        <v>1</v>
      </c>
      <c r="GA5750" s="34">
        <v>0</v>
      </c>
      <c r="GB5750" s="34">
        <v>-1</v>
      </c>
      <c r="GC5750" s="34">
        <v>-2</v>
      </c>
      <c r="GD5750" s="34">
        <v>-3</v>
      </c>
      <c r="GE5750" s="34">
        <v>-4</v>
      </c>
      <c r="GF5750" s="34">
        <v>-5</v>
      </c>
      <c r="GG5750" s="908"/>
      <c r="GH5750" s="909"/>
      <c r="GI5750" s="34">
        <v>-5</v>
      </c>
      <c r="GJ5750" s="34">
        <v>-4.5</v>
      </c>
      <c r="GK5750" s="34">
        <v>-4</v>
      </c>
      <c r="GL5750" s="34">
        <v>-3.5</v>
      </c>
      <c r="GM5750" s="34">
        <v>-3</v>
      </c>
      <c r="GN5750" s="34">
        <v>-2.5</v>
      </c>
      <c r="GO5750" s="34">
        <v>-2</v>
      </c>
      <c r="GP5750" s="34">
        <v>-1.5</v>
      </c>
      <c r="GQ5750" s="34">
        <v>-1</v>
      </c>
      <c r="GR5750" s="34">
        <v>-0.5</v>
      </c>
      <c r="GS5750" s="34">
        <v>0</v>
      </c>
      <c r="GT5750" s="34">
        <v>0.5</v>
      </c>
      <c r="GU5750" s="34">
        <v>1</v>
      </c>
      <c r="GV5750" s="34">
        <v>1.5</v>
      </c>
      <c r="GW5750" s="34">
        <v>2</v>
      </c>
      <c r="GX5750" s="34">
        <v>2.5</v>
      </c>
      <c r="GY5750" s="34">
        <v>3</v>
      </c>
      <c r="GZ5750" s="34">
        <v>3.5</v>
      </c>
      <c r="HA5750" s="34">
        <v>4</v>
      </c>
      <c r="HB5750" s="34">
        <v>4.5</v>
      </c>
      <c r="HC5750" s="34">
        <v>5</v>
      </c>
      <c r="HE5750" s="913"/>
      <c r="HF5750" s="31">
        <v>1</v>
      </c>
      <c r="HG5750" s="34">
        <v>0</v>
      </c>
      <c r="HH5750" s="34">
        <v>-1</v>
      </c>
      <c r="HI5750" s="34">
        <v>-2</v>
      </c>
      <c r="HJ5750" s="34">
        <v>-3</v>
      </c>
      <c r="HK5750" s="34">
        <v>-4</v>
      </c>
      <c r="HL5750" s="34">
        <v>-5</v>
      </c>
      <c r="HM5750" s="908"/>
      <c r="HN5750" s="909"/>
      <c r="HO5750" s="34">
        <v>-5</v>
      </c>
      <c r="HP5750" s="34">
        <v>-4.5</v>
      </c>
      <c r="HQ5750" s="34">
        <v>-4</v>
      </c>
      <c r="HR5750" s="34">
        <v>-3.5</v>
      </c>
      <c r="HS5750" s="34">
        <v>-3</v>
      </c>
      <c r="HT5750" s="34">
        <v>-2.5</v>
      </c>
      <c r="HU5750" s="34">
        <v>-2</v>
      </c>
      <c r="HV5750" s="34">
        <v>-1.5</v>
      </c>
      <c r="HW5750" s="34">
        <v>-1</v>
      </c>
      <c r="HX5750" s="34">
        <v>-0.5</v>
      </c>
      <c r="HY5750" s="34">
        <v>0</v>
      </c>
      <c r="HZ5750" s="34">
        <v>0.5</v>
      </c>
      <c r="IA5750" s="34">
        <v>1</v>
      </c>
      <c r="IB5750" s="34">
        <v>1.5</v>
      </c>
      <c r="IC5750" s="34">
        <v>2</v>
      </c>
      <c r="ID5750" s="34">
        <v>2.5</v>
      </c>
      <c r="IE5750" s="34">
        <v>3</v>
      </c>
      <c r="IF5750" s="34">
        <v>3.5</v>
      </c>
      <c r="IG5750" s="34">
        <v>4</v>
      </c>
      <c r="IH5750" s="34">
        <v>4.5</v>
      </c>
      <c r="II5750" s="34">
        <v>5</v>
      </c>
      <c r="IK5750" s="913"/>
      <c r="IL5750" s="31">
        <v>1</v>
      </c>
      <c r="IM5750" s="34">
        <v>0</v>
      </c>
      <c r="IN5750" s="34">
        <v>-1</v>
      </c>
      <c r="IO5750" s="34">
        <v>-2</v>
      </c>
      <c r="IP5750" s="34">
        <v>-3</v>
      </c>
      <c r="IQ5750" s="34">
        <v>-4</v>
      </c>
      <c r="IR5750" s="34">
        <v>-5</v>
      </c>
      <c r="IS5750" s="908"/>
      <c r="IT5750" s="909"/>
      <c r="IU5750" s="34">
        <v>-5</v>
      </c>
      <c r="IV5750" s="34">
        <v>-4.5</v>
      </c>
      <c r="IW5750" s="34">
        <v>-4</v>
      </c>
      <c r="IX5750" s="34">
        <v>-3.5</v>
      </c>
      <c r="IY5750" s="34">
        <v>-3</v>
      </c>
      <c r="IZ5750" s="34">
        <v>-2.5</v>
      </c>
      <c r="JA5750" s="34">
        <v>-2</v>
      </c>
      <c r="JB5750" s="34">
        <v>-1.5</v>
      </c>
      <c r="JC5750" s="34">
        <v>-1</v>
      </c>
      <c r="JD5750" s="34">
        <v>-0.5</v>
      </c>
      <c r="JE5750" s="34">
        <v>0</v>
      </c>
      <c r="JF5750" s="34">
        <v>0.5</v>
      </c>
      <c r="JG5750" s="34">
        <v>1</v>
      </c>
      <c r="JH5750" s="34">
        <v>1.5</v>
      </c>
      <c r="JI5750" s="34">
        <v>2</v>
      </c>
      <c r="JJ5750" s="34">
        <v>2.5</v>
      </c>
      <c r="JK5750" s="34">
        <v>3</v>
      </c>
      <c r="JL5750" s="34">
        <v>3.5</v>
      </c>
      <c r="JM5750" s="34">
        <v>4</v>
      </c>
      <c r="JN5750" s="34">
        <v>4.5</v>
      </c>
      <c r="JO5750" s="34">
        <v>5</v>
      </c>
      <c r="JQ5750" s="913"/>
      <c r="JR5750" s="31">
        <v>1</v>
      </c>
      <c r="JS5750" s="34">
        <v>0</v>
      </c>
      <c r="JT5750" s="34">
        <v>-1</v>
      </c>
      <c r="JU5750" s="34">
        <v>-2</v>
      </c>
      <c r="JV5750" s="34">
        <v>-3</v>
      </c>
      <c r="JW5750" s="34">
        <v>-4</v>
      </c>
      <c r="JX5750" s="34">
        <v>-5</v>
      </c>
      <c r="JY5750" s="908"/>
      <c r="JZ5750" s="909"/>
      <c r="KA5750" s="34">
        <v>-5</v>
      </c>
      <c r="KB5750" s="34">
        <v>-4.5</v>
      </c>
      <c r="KC5750" s="34">
        <v>-4</v>
      </c>
      <c r="KD5750" s="34">
        <v>-3.5</v>
      </c>
      <c r="KE5750" s="34">
        <v>-3</v>
      </c>
      <c r="KF5750" s="34">
        <v>-2.5</v>
      </c>
      <c r="KG5750" s="34">
        <v>-2</v>
      </c>
      <c r="KH5750" s="34">
        <v>-1.5</v>
      </c>
      <c r="KI5750" s="34">
        <v>-1</v>
      </c>
      <c r="KJ5750" s="34">
        <v>-0.5</v>
      </c>
      <c r="KK5750" s="34">
        <v>0</v>
      </c>
      <c r="KL5750" s="34">
        <v>0.5</v>
      </c>
      <c r="KM5750" s="34">
        <v>1</v>
      </c>
      <c r="KN5750" s="34">
        <v>1.5</v>
      </c>
      <c r="KO5750" s="34">
        <v>2</v>
      </c>
      <c r="KP5750" s="34">
        <v>2.5</v>
      </c>
      <c r="KQ5750" s="34">
        <v>3</v>
      </c>
      <c r="KR5750" s="34">
        <v>3.5</v>
      </c>
      <c r="KS5750" s="34">
        <v>4</v>
      </c>
      <c r="KT5750" s="34">
        <v>4.5</v>
      </c>
      <c r="KU5750" s="34">
        <v>5</v>
      </c>
      <c r="KW5750" s="913"/>
      <c r="KX5750" s="31">
        <v>1</v>
      </c>
      <c r="KY5750" s="34">
        <v>0</v>
      </c>
      <c r="KZ5750" s="34">
        <v>-1</v>
      </c>
      <c r="LA5750" s="34">
        <v>-2</v>
      </c>
      <c r="LB5750" s="34">
        <v>-3</v>
      </c>
      <c r="LC5750" s="34">
        <v>-4</v>
      </c>
      <c r="LD5750" s="34">
        <v>-5</v>
      </c>
      <c r="LE5750" s="908"/>
      <c r="LF5750" s="909"/>
      <c r="LG5750" s="34">
        <v>-5</v>
      </c>
      <c r="LH5750" s="34">
        <v>-4.5</v>
      </c>
      <c r="LI5750" s="34">
        <v>-4</v>
      </c>
      <c r="LJ5750" s="34">
        <v>-3.5</v>
      </c>
      <c r="LK5750" s="34">
        <v>-3</v>
      </c>
      <c r="LL5750" s="34">
        <v>-2.5</v>
      </c>
      <c r="LM5750" s="34">
        <v>-2</v>
      </c>
      <c r="LN5750" s="34">
        <v>-1.5</v>
      </c>
      <c r="LO5750" s="34">
        <v>-1</v>
      </c>
      <c r="LP5750" s="34">
        <v>-0.5</v>
      </c>
      <c r="LQ5750" s="34">
        <v>0</v>
      </c>
      <c r="LR5750" s="34">
        <v>0.5</v>
      </c>
      <c r="LS5750" s="34">
        <v>1</v>
      </c>
      <c r="LT5750" s="34">
        <v>1.5</v>
      </c>
      <c r="LU5750" s="34">
        <v>2</v>
      </c>
      <c r="LV5750" s="34">
        <v>2.5</v>
      </c>
      <c r="LW5750" s="34">
        <v>3</v>
      </c>
      <c r="LX5750" s="34">
        <v>3.5</v>
      </c>
      <c r="LY5750" s="34">
        <v>4</v>
      </c>
      <c r="LZ5750" s="34">
        <v>4.5</v>
      </c>
      <c r="MA5750" s="34">
        <v>5</v>
      </c>
      <c r="MC5750" s="913"/>
      <c r="MD5750" s="31">
        <v>1</v>
      </c>
      <c r="ME5750" s="34">
        <v>0</v>
      </c>
      <c r="MF5750" s="34">
        <v>-1</v>
      </c>
      <c r="MG5750" s="34">
        <v>-2</v>
      </c>
      <c r="MH5750" s="34">
        <v>-3</v>
      </c>
      <c r="MI5750" s="34">
        <v>-4</v>
      </c>
      <c r="MJ5750" s="34">
        <v>-5</v>
      </c>
      <c r="MK5750" s="908"/>
      <c r="ML5750" s="909"/>
      <c r="MM5750" s="34">
        <v>-5</v>
      </c>
      <c r="MN5750" s="34">
        <v>-4.5</v>
      </c>
      <c r="MO5750" s="34">
        <v>-4</v>
      </c>
      <c r="MP5750" s="34">
        <v>-3.5</v>
      </c>
      <c r="MQ5750" s="34">
        <v>-3</v>
      </c>
      <c r="MR5750" s="34">
        <v>-2.5</v>
      </c>
      <c r="MS5750" s="34">
        <v>-2</v>
      </c>
      <c r="MT5750" s="34">
        <v>-1.5</v>
      </c>
      <c r="MU5750" s="34">
        <v>-1</v>
      </c>
      <c r="MV5750" s="34">
        <v>-0.5</v>
      </c>
      <c r="MW5750" s="34">
        <v>0</v>
      </c>
      <c r="MX5750" s="34">
        <v>0.5</v>
      </c>
      <c r="MY5750" s="34">
        <v>1</v>
      </c>
      <c r="MZ5750" s="34">
        <v>1.5</v>
      </c>
      <c r="NA5750" s="34">
        <v>2</v>
      </c>
      <c r="NB5750" s="34">
        <v>2.5</v>
      </c>
      <c r="NC5750" s="34">
        <v>3</v>
      </c>
      <c r="ND5750" s="34">
        <v>3.5</v>
      </c>
      <c r="NE5750" s="34">
        <v>4</v>
      </c>
      <c r="NF5750" s="34">
        <v>4.5</v>
      </c>
      <c r="NG5750" s="34">
        <v>5</v>
      </c>
      <c r="NI5750" s="913"/>
      <c r="NJ5750" s="31">
        <v>1</v>
      </c>
      <c r="NK5750" s="34">
        <v>0</v>
      </c>
      <c r="NL5750" s="34">
        <v>-1</v>
      </c>
      <c r="NM5750" s="34">
        <v>-2</v>
      </c>
      <c r="NN5750" s="34">
        <v>-3</v>
      </c>
      <c r="NO5750" s="34">
        <v>-4</v>
      </c>
      <c r="NP5750" s="34">
        <v>-5</v>
      </c>
      <c r="NQ5750" s="908"/>
      <c r="NR5750" s="909"/>
      <c r="NS5750" s="34">
        <v>-5</v>
      </c>
      <c r="NT5750" s="34">
        <v>-4.5</v>
      </c>
      <c r="NU5750" s="34">
        <v>-4</v>
      </c>
      <c r="NV5750" s="34">
        <v>-3.5</v>
      </c>
      <c r="NW5750" s="34">
        <v>-3</v>
      </c>
      <c r="NX5750" s="34">
        <v>-2.5</v>
      </c>
      <c r="NY5750" s="34">
        <v>-2</v>
      </c>
      <c r="NZ5750" s="34">
        <v>-1.5</v>
      </c>
      <c r="OA5750" s="34">
        <v>-1</v>
      </c>
      <c r="OB5750" s="34">
        <v>-0.5</v>
      </c>
      <c r="OC5750" s="34">
        <v>0</v>
      </c>
      <c r="OD5750" s="34">
        <v>0.5</v>
      </c>
      <c r="OE5750" s="34">
        <v>1</v>
      </c>
      <c r="OF5750" s="34">
        <v>1.5</v>
      </c>
      <c r="OG5750" s="34">
        <v>2</v>
      </c>
      <c r="OH5750" s="34">
        <v>2.5</v>
      </c>
      <c r="OI5750" s="34">
        <v>3</v>
      </c>
      <c r="OJ5750" s="34">
        <v>3.5</v>
      </c>
      <c r="OK5750" s="34">
        <v>4</v>
      </c>
      <c r="OL5750" s="34">
        <v>4.5</v>
      </c>
      <c r="OM5750" s="34">
        <v>5</v>
      </c>
      <c r="OO5750" s="913"/>
      <c r="OP5750" s="31">
        <v>1</v>
      </c>
      <c r="OQ5750" s="34">
        <v>0</v>
      </c>
      <c r="OR5750" s="34">
        <v>-1</v>
      </c>
      <c r="OS5750" s="34">
        <v>-2</v>
      </c>
      <c r="OT5750" s="34">
        <v>-3</v>
      </c>
      <c r="OU5750" s="34">
        <v>-4</v>
      </c>
      <c r="OV5750" s="34">
        <v>-5</v>
      </c>
      <c r="OW5750" s="908"/>
      <c r="OX5750" s="909"/>
      <c r="OY5750" s="34">
        <v>-5</v>
      </c>
      <c r="OZ5750" s="34">
        <v>-4.5</v>
      </c>
      <c r="PA5750" s="34">
        <v>-4</v>
      </c>
      <c r="PB5750" s="34">
        <v>-3.5</v>
      </c>
      <c r="PC5750" s="34">
        <v>-3</v>
      </c>
      <c r="PD5750" s="34">
        <v>-2.5</v>
      </c>
      <c r="PE5750" s="34">
        <v>-2</v>
      </c>
      <c r="PF5750" s="34">
        <v>-1.5</v>
      </c>
      <c r="PG5750" s="34">
        <v>-1</v>
      </c>
      <c r="PH5750" s="34">
        <v>-0.5</v>
      </c>
      <c r="PI5750" s="34">
        <v>0</v>
      </c>
      <c r="PJ5750" s="34">
        <v>0.5</v>
      </c>
      <c r="PK5750" s="34">
        <v>1</v>
      </c>
      <c r="PL5750" s="34">
        <v>1.5</v>
      </c>
      <c r="PM5750" s="34">
        <v>2</v>
      </c>
      <c r="PN5750" s="34">
        <v>2.5</v>
      </c>
      <c r="PO5750" s="34">
        <v>3</v>
      </c>
      <c r="PP5750" s="34">
        <v>3.5</v>
      </c>
      <c r="PQ5750" s="34">
        <v>4</v>
      </c>
      <c r="PR5750" s="34">
        <v>4.5</v>
      </c>
      <c r="PS5750" s="34">
        <v>5</v>
      </c>
      <c r="PU5750" s="913"/>
      <c r="PV5750" s="31">
        <v>1</v>
      </c>
      <c r="PW5750" s="34">
        <v>0</v>
      </c>
      <c r="PX5750" s="34">
        <v>-1</v>
      </c>
      <c r="PY5750" s="34">
        <v>-2</v>
      </c>
      <c r="PZ5750" s="34">
        <v>-3</v>
      </c>
      <c r="QA5750" s="34">
        <v>-4</v>
      </c>
      <c r="QB5750" s="34">
        <v>-5</v>
      </c>
      <c r="QC5750" s="908"/>
      <c r="QD5750" s="909"/>
      <c r="QE5750" s="34">
        <v>-5</v>
      </c>
      <c r="QF5750" s="34">
        <v>-4.5</v>
      </c>
      <c r="QG5750" s="34">
        <v>-4</v>
      </c>
      <c r="QH5750" s="34">
        <v>-3.5</v>
      </c>
      <c r="QI5750" s="34">
        <v>-3</v>
      </c>
      <c r="QJ5750" s="34">
        <v>-2.5</v>
      </c>
      <c r="QK5750" s="34">
        <v>-2</v>
      </c>
      <c r="QL5750" s="34">
        <v>-1.5</v>
      </c>
      <c r="QM5750" s="34">
        <v>-1</v>
      </c>
      <c r="QN5750" s="34">
        <v>-0.5</v>
      </c>
      <c r="QO5750" s="34">
        <v>0</v>
      </c>
      <c r="QP5750" s="34">
        <v>0.5</v>
      </c>
      <c r="QQ5750" s="34">
        <v>1</v>
      </c>
      <c r="QR5750" s="34">
        <v>1.5</v>
      </c>
      <c r="QS5750" s="34">
        <v>2</v>
      </c>
      <c r="QT5750" s="34">
        <v>2.5</v>
      </c>
      <c r="QU5750" s="34">
        <v>3</v>
      </c>
      <c r="QV5750" s="34">
        <v>3.5</v>
      </c>
      <c r="QW5750" s="34">
        <v>4</v>
      </c>
      <c r="QX5750" s="34">
        <v>4.5</v>
      </c>
      <c r="QY5750" s="34">
        <v>5</v>
      </c>
      <c r="RA5750" s="913"/>
      <c r="RB5750" s="31">
        <v>1</v>
      </c>
      <c r="RC5750" s="34">
        <v>0</v>
      </c>
      <c r="RD5750" s="34">
        <v>-1</v>
      </c>
      <c r="RE5750" s="34">
        <v>-2</v>
      </c>
      <c r="RF5750" s="34">
        <v>-3</v>
      </c>
      <c r="RG5750" s="34">
        <v>-4</v>
      </c>
      <c r="RH5750" s="34">
        <v>-5</v>
      </c>
      <c r="RI5750" s="908"/>
      <c r="RJ5750" s="909"/>
      <c r="RK5750" s="34">
        <v>-5</v>
      </c>
      <c r="RL5750" s="34">
        <v>-4.5</v>
      </c>
      <c r="RM5750" s="34">
        <v>-4</v>
      </c>
      <c r="RN5750" s="34">
        <v>-3.5</v>
      </c>
      <c r="RO5750" s="34">
        <v>-3</v>
      </c>
      <c r="RP5750" s="34">
        <v>-2.5</v>
      </c>
      <c r="RQ5750" s="34">
        <v>-2</v>
      </c>
      <c r="RR5750" s="34">
        <v>-1.5</v>
      </c>
      <c r="RS5750" s="34">
        <v>-1</v>
      </c>
      <c r="RT5750" s="34">
        <v>-0.5</v>
      </c>
      <c r="RU5750" s="34">
        <v>0</v>
      </c>
      <c r="RV5750" s="34">
        <v>0.5</v>
      </c>
      <c r="RW5750" s="34">
        <v>1</v>
      </c>
      <c r="RX5750" s="34">
        <v>1.5</v>
      </c>
      <c r="RY5750" s="34">
        <v>2</v>
      </c>
      <c r="RZ5750" s="34">
        <v>2.5</v>
      </c>
      <c r="SA5750" s="34">
        <v>3</v>
      </c>
      <c r="SB5750" s="34">
        <v>3.5</v>
      </c>
      <c r="SC5750" s="34">
        <v>4</v>
      </c>
      <c r="SD5750" s="34">
        <v>4.5</v>
      </c>
      <c r="SE5750" s="34">
        <v>5</v>
      </c>
      <c r="SG5750" s="913"/>
      <c r="SH5750" s="31">
        <v>1</v>
      </c>
      <c r="SI5750" s="34">
        <v>0</v>
      </c>
      <c r="SJ5750" s="34">
        <v>-1</v>
      </c>
      <c r="SK5750" s="34">
        <v>-2</v>
      </c>
      <c r="SL5750" s="34">
        <v>-3</v>
      </c>
      <c r="SM5750" s="34">
        <v>-4</v>
      </c>
      <c r="SN5750" s="34">
        <v>-5</v>
      </c>
      <c r="SO5750" s="908"/>
      <c r="SP5750" s="909"/>
      <c r="SQ5750" s="34">
        <v>-5</v>
      </c>
      <c r="SR5750" s="34">
        <v>-4.5</v>
      </c>
      <c r="SS5750" s="34">
        <v>-4</v>
      </c>
      <c r="ST5750" s="34">
        <v>-3.5</v>
      </c>
      <c r="SU5750" s="34">
        <v>-3</v>
      </c>
      <c r="SV5750" s="34">
        <v>-2.5</v>
      </c>
      <c r="SW5750" s="34">
        <v>-2</v>
      </c>
      <c r="SX5750" s="34">
        <v>-1.5</v>
      </c>
      <c r="SY5750" s="34">
        <v>-1</v>
      </c>
      <c r="SZ5750" s="34">
        <v>-0.5</v>
      </c>
      <c r="TA5750" s="34">
        <v>0</v>
      </c>
      <c r="TB5750" s="34">
        <v>0.5</v>
      </c>
      <c r="TC5750" s="34">
        <v>1</v>
      </c>
      <c r="TD5750" s="34">
        <v>1.5</v>
      </c>
      <c r="TE5750" s="34">
        <v>2</v>
      </c>
      <c r="TF5750" s="34">
        <v>2.5</v>
      </c>
      <c r="TG5750" s="34">
        <v>3</v>
      </c>
      <c r="TH5750" s="34">
        <v>3.5</v>
      </c>
      <c r="TI5750" s="34">
        <v>4</v>
      </c>
      <c r="TJ5750" s="34">
        <v>4.5</v>
      </c>
      <c r="TK5750" s="34">
        <v>5</v>
      </c>
      <c r="TM5750" s="913"/>
      <c r="TN5750" s="31">
        <v>1</v>
      </c>
      <c r="TO5750" s="34">
        <v>0</v>
      </c>
      <c r="TP5750" s="34">
        <v>-1</v>
      </c>
      <c r="TQ5750" s="34">
        <v>-2</v>
      </c>
      <c r="TR5750" s="34">
        <v>-3</v>
      </c>
      <c r="TS5750" s="34">
        <v>-4</v>
      </c>
      <c r="TT5750" s="34">
        <v>-5</v>
      </c>
      <c r="TU5750" s="908"/>
      <c r="TV5750" s="909"/>
      <c r="TW5750" s="34">
        <v>-5</v>
      </c>
      <c r="TX5750" s="34">
        <v>-4.5</v>
      </c>
      <c r="TY5750" s="34">
        <v>-4</v>
      </c>
      <c r="TZ5750" s="34">
        <v>-3.5</v>
      </c>
      <c r="UA5750" s="34">
        <v>-3</v>
      </c>
      <c r="UB5750" s="34">
        <v>-2.5</v>
      </c>
      <c r="UC5750" s="34">
        <v>-2</v>
      </c>
      <c r="UD5750" s="34">
        <v>-1.5</v>
      </c>
      <c r="UE5750" s="34">
        <v>-1</v>
      </c>
      <c r="UF5750" s="34">
        <v>-0.5</v>
      </c>
      <c r="UG5750" s="34">
        <v>0</v>
      </c>
      <c r="UH5750" s="34">
        <v>0.5</v>
      </c>
      <c r="UI5750" s="34">
        <v>1</v>
      </c>
      <c r="UJ5750" s="34">
        <v>1.5</v>
      </c>
      <c r="UK5750" s="34">
        <v>2</v>
      </c>
      <c r="UL5750" s="34">
        <v>2.5</v>
      </c>
      <c r="UM5750" s="34">
        <v>3</v>
      </c>
      <c r="UN5750" s="34">
        <v>3.5</v>
      </c>
      <c r="UO5750" s="34">
        <v>4</v>
      </c>
      <c r="UP5750" s="34">
        <v>4.5</v>
      </c>
      <c r="UQ5750" s="34">
        <v>5</v>
      </c>
      <c r="US5750" s="913"/>
      <c r="UT5750" s="31">
        <v>1</v>
      </c>
      <c r="UU5750" s="34">
        <v>0</v>
      </c>
      <c r="UV5750" s="34">
        <v>-1</v>
      </c>
      <c r="UW5750" s="34">
        <v>-2</v>
      </c>
      <c r="UX5750" s="34">
        <v>-3</v>
      </c>
      <c r="UY5750" s="34">
        <v>-4</v>
      </c>
      <c r="UZ5750" s="34">
        <v>-5</v>
      </c>
      <c r="VA5750" s="908"/>
      <c r="VB5750" s="909"/>
      <c r="VC5750" s="34">
        <v>-5</v>
      </c>
      <c r="VD5750" s="34">
        <v>-4.5</v>
      </c>
      <c r="VE5750" s="34">
        <v>-4</v>
      </c>
      <c r="VF5750" s="34">
        <v>-3.5</v>
      </c>
      <c r="VG5750" s="34">
        <v>-3</v>
      </c>
      <c r="VH5750" s="34">
        <v>-2.5</v>
      </c>
      <c r="VI5750" s="34">
        <v>-2</v>
      </c>
      <c r="VJ5750" s="34">
        <v>-1.5</v>
      </c>
      <c r="VK5750" s="34">
        <v>-1</v>
      </c>
      <c r="VL5750" s="34">
        <v>-0.5</v>
      </c>
      <c r="VM5750" s="34">
        <v>0</v>
      </c>
      <c r="VN5750" s="34">
        <v>0.5</v>
      </c>
      <c r="VO5750" s="34">
        <v>1</v>
      </c>
      <c r="VP5750" s="34">
        <v>1.5</v>
      </c>
      <c r="VQ5750" s="34">
        <v>2</v>
      </c>
      <c r="VR5750" s="34">
        <v>2.5</v>
      </c>
      <c r="VS5750" s="34">
        <v>3</v>
      </c>
      <c r="VT5750" s="34">
        <v>3.5</v>
      </c>
      <c r="VU5750" s="34">
        <v>4</v>
      </c>
      <c r="VV5750" s="34">
        <v>4.5</v>
      </c>
      <c r="VW5750" s="34">
        <v>5</v>
      </c>
      <c r="VY5750" s="913"/>
      <c r="VZ5750" s="31">
        <v>1</v>
      </c>
      <c r="WA5750" s="34">
        <v>0</v>
      </c>
      <c r="WB5750" s="34">
        <v>-1</v>
      </c>
      <c r="WC5750" s="34">
        <v>-2</v>
      </c>
      <c r="WD5750" s="34">
        <v>-3</v>
      </c>
      <c r="WE5750" s="34">
        <v>-4</v>
      </c>
      <c r="WF5750" s="34">
        <v>-5</v>
      </c>
      <c r="WG5750" s="908"/>
      <c r="WH5750" s="909"/>
      <c r="WI5750" s="34">
        <v>-5</v>
      </c>
      <c r="WJ5750" s="34">
        <v>-4.5</v>
      </c>
      <c r="WK5750" s="34">
        <v>-4</v>
      </c>
      <c r="WL5750" s="34">
        <v>-3.5</v>
      </c>
      <c r="WM5750" s="34">
        <v>-3</v>
      </c>
      <c r="WN5750" s="34">
        <v>-2.5</v>
      </c>
      <c r="WO5750" s="34">
        <v>-2</v>
      </c>
      <c r="WP5750" s="34">
        <v>-1.5</v>
      </c>
      <c r="WQ5750" s="34">
        <v>-1</v>
      </c>
      <c r="WR5750" s="34">
        <v>-0.5</v>
      </c>
      <c r="WS5750" s="34">
        <v>0</v>
      </c>
      <c r="WT5750" s="34">
        <v>0.5</v>
      </c>
      <c r="WU5750" s="34">
        <v>1</v>
      </c>
      <c r="WV5750" s="34">
        <v>1.5</v>
      </c>
      <c r="WW5750" s="34">
        <v>2</v>
      </c>
      <c r="WX5750" s="34">
        <v>2.5</v>
      </c>
      <c r="WY5750" s="34">
        <v>3</v>
      </c>
      <c r="WZ5750" s="34">
        <v>3.5</v>
      </c>
      <c r="XA5750" s="34">
        <v>4</v>
      </c>
      <c r="XB5750" s="34">
        <v>4.5</v>
      </c>
      <c r="XC5750" s="34">
        <v>5</v>
      </c>
      <c r="XE5750" s="913"/>
      <c r="XF5750" s="31">
        <v>1</v>
      </c>
      <c r="XG5750" s="34">
        <v>0</v>
      </c>
      <c r="XH5750" s="34">
        <v>-1</v>
      </c>
      <c r="XI5750" s="34">
        <v>-2</v>
      </c>
      <c r="XJ5750" s="34">
        <v>-3</v>
      </c>
      <c r="XK5750" s="34">
        <v>-4</v>
      </c>
      <c r="XL5750" s="34">
        <v>-5</v>
      </c>
      <c r="XM5750" s="908"/>
      <c r="XN5750" s="909"/>
      <c r="XO5750" s="34">
        <v>-5</v>
      </c>
      <c r="XP5750" s="34">
        <v>-4.5</v>
      </c>
      <c r="XQ5750" s="34">
        <v>-4</v>
      </c>
      <c r="XR5750" s="34">
        <v>-3.5</v>
      </c>
      <c r="XS5750" s="34">
        <v>-3</v>
      </c>
      <c r="XT5750" s="34">
        <v>-2.5</v>
      </c>
      <c r="XU5750" s="34">
        <v>-2</v>
      </c>
      <c r="XV5750" s="34">
        <v>-1.5</v>
      </c>
      <c r="XW5750" s="34">
        <v>-1</v>
      </c>
      <c r="XX5750" s="34">
        <v>-0.5</v>
      </c>
      <c r="XY5750" s="34">
        <v>0</v>
      </c>
      <c r="XZ5750" s="34">
        <v>0.5</v>
      </c>
      <c r="YA5750" s="34">
        <v>1</v>
      </c>
      <c r="YB5750" s="34">
        <v>1.5</v>
      </c>
      <c r="YC5750" s="34">
        <v>2</v>
      </c>
      <c r="YD5750" s="34">
        <v>2.5</v>
      </c>
      <c r="YE5750" s="34">
        <v>3</v>
      </c>
      <c r="YF5750" s="34">
        <v>3.5</v>
      </c>
      <c r="YG5750" s="34">
        <v>4</v>
      </c>
      <c r="YH5750" s="34">
        <v>4.5</v>
      </c>
      <c r="YI5750" s="34">
        <v>5</v>
      </c>
      <c r="YK5750" s="913"/>
      <c r="YL5750" s="31">
        <v>1</v>
      </c>
      <c r="YM5750" s="34">
        <v>0</v>
      </c>
      <c r="YN5750" s="34">
        <v>-1</v>
      </c>
      <c r="YO5750" s="34">
        <v>-2</v>
      </c>
      <c r="YP5750" s="34">
        <v>-3</v>
      </c>
      <c r="YQ5750" s="34">
        <v>-4</v>
      </c>
      <c r="YR5750" s="34">
        <v>-5</v>
      </c>
      <c r="YS5750" s="908"/>
      <c r="YT5750" s="909"/>
      <c r="YU5750" s="34">
        <v>-5</v>
      </c>
      <c r="YV5750" s="34">
        <v>-4.5</v>
      </c>
      <c r="YW5750" s="34">
        <v>-4</v>
      </c>
      <c r="YX5750" s="34">
        <v>-3.5</v>
      </c>
      <c r="YY5750" s="34">
        <v>-3</v>
      </c>
      <c r="YZ5750" s="34">
        <v>-2.5</v>
      </c>
      <c r="ZA5750" s="34">
        <v>-2</v>
      </c>
      <c r="ZB5750" s="34">
        <v>-1.5</v>
      </c>
      <c r="ZC5750" s="34">
        <v>-1</v>
      </c>
      <c r="ZD5750" s="34">
        <v>-0.5</v>
      </c>
      <c r="ZE5750" s="34">
        <v>0</v>
      </c>
      <c r="ZF5750" s="34">
        <v>0.5</v>
      </c>
      <c r="ZG5750" s="34">
        <v>1</v>
      </c>
      <c r="ZH5750" s="34">
        <v>1.5</v>
      </c>
      <c r="ZI5750" s="34">
        <v>2</v>
      </c>
      <c r="ZJ5750" s="34">
        <v>2.5</v>
      </c>
      <c r="ZK5750" s="34">
        <v>3</v>
      </c>
      <c r="ZL5750" s="34">
        <v>3.5</v>
      </c>
      <c r="ZM5750" s="34">
        <v>4</v>
      </c>
      <c r="ZN5750" s="34">
        <v>4.5</v>
      </c>
      <c r="ZO5750" s="34">
        <v>5</v>
      </c>
      <c r="ZQ5750" s="913"/>
      <c r="ZR5750" s="31">
        <v>1</v>
      </c>
      <c r="ZS5750" s="34">
        <v>0</v>
      </c>
      <c r="ZT5750" s="34">
        <v>-1</v>
      </c>
      <c r="ZU5750" s="34">
        <v>-2</v>
      </c>
      <c r="ZV5750" s="34">
        <v>-3</v>
      </c>
      <c r="ZW5750" s="34">
        <v>-4</v>
      </c>
      <c r="ZX5750" s="34">
        <v>-5</v>
      </c>
      <c r="ZY5750" s="908"/>
      <c r="ZZ5750" s="909"/>
      <c r="AAA5750" s="34">
        <v>-5</v>
      </c>
      <c r="AAB5750" s="34">
        <v>-4.5</v>
      </c>
      <c r="AAC5750" s="34">
        <v>-4</v>
      </c>
      <c r="AAD5750" s="34">
        <v>-3.5</v>
      </c>
      <c r="AAE5750" s="34">
        <v>-3</v>
      </c>
      <c r="AAF5750" s="34">
        <v>-2.5</v>
      </c>
      <c r="AAG5750" s="34">
        <v>-2</v>
      </c>
      <c r="AAH5750" s="34">
        <v>-1.5</v>
      </c>
      <c r="AAI5750" s="34">
        <v>-1</v>
      </c>
      <c r="AAJ5750" s="34">
        <v>-0.5</v>
      </c>
      <c r="AAK5750" s="34">
        <v>0</v>
      </c>
      <c r="AAL5750" s="34">
        <v>0.5</v>
      </c>
      <c r="AAM5750" s="34">
        <v>1</v>
      </c>
      <c r="AAN5750" s="34">
        <v>1.5</v>
      </c>
      <c r="AAO5750" s="34">
        <v>2</v>
      </c>
      <c r="AAP5750" s="34">
        <v>2.5</v>
      </c>
      <c r="AAQ5750" s="34">
        <v>3</v>
      </c>
      <c r="AAR5750" s="34">
        <v>3.5</v>
      </c>
      <c r="AAS5750" s="34">
        <v>4</v>
      </c>
      <c r="AAT5750" s="34">
        <v>4.5</v>
      </c>
      <c r="AAU5750" s="34">
        <v>5</v>
      </c>
      <c r="AAW5750" s="913"/>
      <c r="AAX5750" s="31">
        <v>1</v>
      </c>
      <c r="AAY5750" s="34">
        <v>0</v>
      </c>
      <c r="AAZ5750" s="34">
        <v>-1</v>
      </c>
      <c r="ABA5750" s="34">
        <v>-2</v>
      </c>
      <c r="ABB5750" s="34">
        <v>-3</v>
      </c>
      <c r="ABC5750" s="34">
        <v>-4</v>
      </c>
      <c r="ABD5750" s="34">
        <v>-5</v>
      </c>
      <c r="ABE5750" s="908"/>
      <c r="ABF5750" s="909"/>
      <c r="ABG5750" s="34">
        <v>-5</v>
      </c>
      <c r="ABH5750" s="34">
        <v>-4.5</v>
      </c>
      <c r="ABI5750" s="34">
        <v>-4</v>
      </c>
      <c r="ABJ5750" s="34">
        <v>-3.5</v>
      </c>
      <c r="ABK5750" s="34">
        <v>-3</v>
      </c>
      <c r="ABL5750" s="34">
        <v>-2.5</v>
      </c>
      <c r="ABM5750" s="34">
        <v>-2</v>
      </c>
      <c r="ABN5750" s="34">
        <v>-1.5</v>
      </c>
      <c r="ABO5750" s="34">
        <v>-1</v>
      </c>
      <c r="ABP5750" s="34">
        <v>-0.5</v>
      </c>
      <c r="ABQ5750" s="34">
        <v>0</v>
      </c>
      <c r="ABR5750" s="34">
        <v>0.5</v>
      </c>
      <c r="ABS5750" s="34">
        <v>1</v>
      </c>
      <c r="ABT5750" s="34">
        <v>1.5</v>
      </c>
      <c r="ABU5750" s="34">
        <v>2</v>
      </c>
      <c r="ABV5750" s="34">
        <v>2.5</v>
      </c>
      <c r="ABW5750" s="34">
        <v>3</v>
      </c>
      <c r="ABX5750" s="34">
        <v>3.5</v>
      </c>
      <c r="ABY5750" s="34">
        <v>4</v>
      </c>
      <c r="ABZ5750" s="34">
        <v>4.5</v>
      </c>
      <c r="ACA5750" s="34">
        <v>5</v>
      </c>
      <c r="ACC5750" s="913"/>
      <c r="ACD5750" s="31">
        <v>1</v>
      </c>
      <c r="ACE5750" s="34">
        <v>0</v>
      </c>
      <c r="ACF5750" s="34">
        <v>-1</v>
      </c>
      <c r="ACG5750" s="34">
        <v>-2</v>
      </c>
      <c r="ACH5750" s="34">
        <v>-3</v>
      </c>
      <c r="ACI5750" s="34">
        <v>-4</v>
      </c>
      <c r="ACJ5750" s="34">
        <v>-5</v>
      </c>
      <c r="ACK5750" s="908"/>
      <c r="ACL5750" s="909"/>
      <c r="ACM5750" s="34">
        <v>-5</v>
      </c>
      <c r="ACN5750" s="34">
        <v>-4.5</v>
      </c>
      <c r="ACO5750" s="34">
        <v>-4</v>
      </c>
      <c r="ACP5750" s="34">
        <v>-3.5</v>
      </c>
      <c r="ACQ5750" s="34">
        <v>-3</v>
      </c>
      <c r="ACR5750" s="34">
        <v>-2.5</v>
      </c>
      <c r="ACS5750" s="34">
        <v>-2</v>
      </c>
      <c r="ACT5750" s="34">
        <v>-1.5</v>
      </c>
      <c r="ACU5750" s="34">
        <v>-1</v>
      </c>
      <c r="ACV5750" s="34">
        <v>-0.5</v>
      </c>
      <c r="ACW5750" s="34">
        <v>0</v>
      </c>
      <c r="ACX5750" s="34">
        <v>0.5</v>
      </c>
      <c r="ACY5750" s="34">
        <v>1</v>
      </c>
      <c r="ACZ5750" s="34">
        <v>1.5</v>
      </c>
      <c r="ADA5750" s="34">
        <v>2</v>
      </c>
      <c r="ADB5750" s="34">
        <v>2.5</v>
      </c>
      <c r="ADC5750" s="34">
        <v>3</v>
      </c>
      <c r="ADD5750" s="34">
        <v>3.5</v>
      </c>
      <c r="ADE5750" s="34">
        <v>4</v>
      </c>
      <c r="ADF5750" s="34">
        <v>4.5</v>
      </c>
      <c r="ADG5750" s="34">
        <v>5</v>
      </c>
      <c r="ADI5750" s="913"/>
      <c r="ADJ5750" s="31">
        <v>1</v>
      </c>
      <c r="ADK5750" s="34">
        <v>0</v>
      </c>
      <c r="ADL5750" s="34">
        <v>-1</v>
      </c>
      <c r="ADM5750" s="34">
        <v>-2</v>
      </c>
      <c r="ADN5750" s="34">
        <v>-3</v>
      </c>
      <c r="ADO5750" s="34">
        <v>-4</v>
      </c>
      <c r="ADP5750" s="34">
        <v>-5</v>
      </c>
      <c r="ADQ5750" s="908"/>
      <c r="ADR5750" s="909"/>
      <c r="ADS5750" s="34">
        <v>-5</v>
      </c>
      <c r="ADT5750" s="34">
        <v>-4.5</v>
      </c>
      <c r="ADU5750" s="34">
        <v>-4</v>
      </c>
      <c r="ADV5750" s="34">
        <v>-3.5</v>
      </c>
      <c r="ADW5750" s="34">
        <v>-3</v>
      </c>
      <c r="ADX5750" s="34">
        <v>-2.5</v>
      </c>
      <c r="ADY5750" s="34">
        <v>-2</v>
      </c>
      <c r="ADZ5750" s="34">
        <v>-1.5</v>
      </c>
      <c r="AEA5750" s="34">
        <v>-1</v>
      </c>
      <c r="AEB5750" s="34">
        <v>-0.5</v>
      </c>
      <c r="AEC5750" s="34">
        <v>0</v>
      </c>
      <c r="AED5750" s="34">
        <v>0.5</v>
      </c>
      <c r="AEE5750" s="34">
        <v>1</v>
      </c>
      <c r="AEF5750" s="34">
        <v>1.5</v>
      </c>
      <c r="AEG5750" s="34">
        <v>2</v>
      </c>
      <c r="AEH5750" s="34">
        <v>2.5</v>
      </c>
      <c r="AEI5750" s="34">
        <v>3</v>
      </c>
      <c r="AEJ5750" s="34">
        <v>3.5</v>
      </c>
      <c r="AEK5750" s="34">
        <v>4</v>
      </c>
      <c r="AEL5750" s="34">
        <v>4.5</v>
      </c>
      <c r="AEM5750" s="34">
        <v>5</v>
      </c>
      <c r="AEO5750" s="913"/>
      <c r="AEP5750" s="31">
        <v>1</v>
      </c>
      <c r="AEQ5750" s="34">
        <v>0</v>
      </c>
      <c r="AER5750" s="34">
        <v>-1</v>
      </c>
      <c r="AES5750" s="34">
        <v>-2</v>
      </c>
      <c r="AET5750" s="34">
        <v>-3</v>
      </c>
      <c r="AEU5750" s="34">
        <v>-4</v>
      </c>
      <c r="AEV5750" s="34">
        <v>-5</v>
      </c>
      <c r="AEW5750" s="908"/>
      <c r="AEX5750" s="909"/>
      <c r="AEY5750" s="34">
        <v>-5</v>
      </c>
      <c r="AEZ5750" s="34">
        <v>-4.5</v>
      </c>
      <c r="AFA5750" s="34">
        <v>-4</v>
      </c>
      <c r="AFB5750" s="34">
        <v>-3.5</v>
      </c>
      <c r="AFC5750" s="34">
        <v>-3</v>
      </c>
      <c r="AFD5750" s="34">
        <v>-2.5</v>
      </c>
      <c r="AFE5750" s="34">
        <v>-2</v>
      </c>
      <c r="AFF5750" s="34">
        <v>-1.5</v>
      </c>
      <c r="AFG5750" s="34">
        <v>-1</v>
      </c>
      <c r="AFH5750" s="34">
        <v>-0.5</v>
      </c>
      <c r="AFI5750" s="34">
        <v>0</v>
      </c>
      <c r="AFJ5750" s="34">
        <v>0.5</v>
      </c>
      <c r="AFK5750" s="34">
        <v>1</v>
      </c>
      <c r="AFL5750" s="34">
        <v>1.5</v>
      </c>
      <c r="AFM5750" s="34">
        <v>2</v>
      </c>
      <c r="AFN5750" s="34">
        <v>2.5</v>
      </c>
      <c r="AFO5750" s="34">
        <v>3</v>
      </c>
      <c r="AFP5750" s="34">
        <v>3.5</v>
      </c>
      <c r="AFQ5750" s="34">
        <v>4</v>
      </c>
      <c r="AFR5750" s="34">
        <v>4.5</v>
      </c>
      <c r="AFS5750" s="34">
        <v>5</v>
      </c>
      <c r="AFU5750" s="913"/>
      <c r="AFV5750" s="31">
        <v>1</v>
      </c>
      <c r="AFW5750" s="34">
        <v>0</v>
      </c>
      <c r="AFX5750" s="34">
        <v>-1</v>
      </c>
      <c r="AFY5750" s="34">
        <v>-2</v>
      </c>
      <c r="AFZ5750" s="34">
        <v>-3</v>
      </c>
      <c r="AGA5750" s="34">
        <v>-4</v>
      </c>
      <c r="AGB5750" s="34">
        <v>-5</v>
      </c>
      <c r="AGC5750" s="908"/>
      <c r="AGD5750" s="909"/>
      <c r="AGE5750" s="34">
        <v>-5</v>
      </c>
      <c r="AGF5750" s="34">
        <v>-4.5</v>
      </c>
      <c r="AGG5750" s="34">
        <v>-4</v>
      </c>
      <c r="AGH5750" s="34">
        <v>-3.5</v>
      </c>
      <c r="AGI5750" s="34">
        <v>-3</v>
      </c>
      <c r="AGJ5750" s="34">
        <v>-2.5</v>
      </c>
      <c r="AGK5750" s="34">
        <v>-2</v>
      </c>
      <c r="AGL5750" s="34">
        <v>-1.5</v>
      </c>
      <c r="AGM5750" s="34">
        <v>-1</v>
      </c>
      <c r="AGN5750" s="34">
        <v>-0.5</v>
      </c>
      <c r="AGO5750" s="34">
        <v>0</v>
      </c>
      <c r="AGP5750" s="34">
        <v>0.5</v>
      </c>
      <c r="AGQ5750" s="34">
        <v>1</v>
      </c>
      <c r="AGR5750" s="34">
        <v>1.5</v>
      </c>
      <c r="AGS5750" s="34">
        <v>2</v>
      </c>
      <c r="AGT5750" s="34">
        <v>2.5</v>
      </c>
      <c r="AGU5750" s="34">
        <v>3</v>
      </c>
      <c r="AGV5750" s="34">
        <v>3.5</v>
      </c>
      <c r="AGW5750" s="34">
        <v>4</v>
      </c>
      <c r="AGX5750" s="34">
        <v>4.5</v>
      </c>
      <c r="AGY5750" s="34">
        <v>5</v>
      </c>
      <c r="AHA5750" s="913"/>
      <c r="AHB5750" s="31">
        <v>1</v>
      </c>
      <c r="AHC5750" s="34">
        <v>0</v>
      </c>
      <c r="AHD5750" s="34">
        <v>-1</v>
      </c>
      <c r="AHE5750" s="34">
        <v>-2</v>
      </c>
      <c r="AHF5750" s="34">
        <v>-3</v>
      </c>
      <c r="AHG5750" s="34">
        <v>-4</v>
      </c>
      <c r="AHH5750" s="34">
        <v>-5</v>
      </c>
      <c r="AHI5750" s="908"/>
      <c r="AHJ5750" s="909"/>
      <c r="AHK5750" s="34">
        <v>-5</v>
      </c>
      <c r="AHL5750" s="34">
        <v>-4.5</v>
      </c>
      <c r="AHM5750" s="34">
        <v>-4</v>
      </c>
      <c r="AHN5750" s="34">
        <v>-3.5</v>
      </c>
      <c r="AHO5750" s="34">
        <v>-3</v>
      </c>
      <c r="AHP5750" s="34">
        <v>-2.5</v>
      </c>
      <c r="AHQ5750" s="34">
        <v>-2</v>
      </c>
      <c r="AHR5750" s="34">
        <v>-1.5</v>
      </c>
      <c r="AHS5750" s="34">
        <v>-1</v>
      </c>
      <c r="AHT5750" s="34">
        <v>-0.5</v>
      </c>
      <c r="AHU5750" s="34">
        <v>0</v>
      </c>
      <c r="AHV5750" s="34">
        <v>0.5</v>
      </c>
      <c r="AHW5750" s="34">
        <v>1</v>
      </c>
      <c r="AHX5750" s="34">
        <v>1.5</v>
      </c>
      <c r="AHY5750" s="34">
        <v>2</v>
      </c>
      <c r="AHZ5750" s="34">
        <v>2.5</v>
      </c>
      <c r="AIA5750" s="34">
        <v>3</v>
      </c>
      <c r="AIB5750" s="34">
        <v>3.5</v>
      </c>
      <c r="AIC5750" s="34">
        <v>4</v>
      </c>
      <c r="AID5750" s="34">
        <v>4.5</v>
      </c>
      <c r="AIE5750" s="34">
        <v>5</v>
      </c>
      <c r="AIG5750" s="913"/>
      <c r="AIH5750" s="31">
        <v>1</v>
      </c>
      <c r="AII5750" s="34">
        <v>0</v>
      </c>
      <c r="AIJ5750" s="34">
        <v>-1</v>
      </c>
      <c r="AIK5750" s="34">
        <v>-2</v>
      </c>
      <c r="AIL5750" s="34">
        <v>-3</v>
      </c>
      <c r="AIM5750" s="34">
        <v>-4</v>
      </c>
      <c r="AIN5750" s="34">
        <v>-5</v>
      </c>
      <c r="AIO5750" s="908"/>
      <c r="AIP5750" s="909"/>
      <c r="AIQ5750" s="34">
        <v>-5</v>
      </c>
      <c r="AIR5750" s="34">
        <v>-4.5</v>
      </c>
      <c r="AIS5750" s="34">
        <v>-4</v>
      </c>
      <c r="AIT5750" s="34">
        <v>-3.5</v>
      </c>
      <c r="AIU5750" s="34">
        <v>-3</v>
      </c>
      <c r="AIV5750" s="34">
        <v>-2.5</v>
      </c>
      <c r="AIW5750" s="34">
        <v>-2</v>
      </c>
      <c r="AIX5750" s="34">
        <v>-1.5</v>
      </c>
      <c r="AIY5750" s="34">
        <v>-1</v>
      </c>
      <c r="AIZ5750" s="34">
        <v>-0.5</v>
      </c>
      <c r="AJA5750" s="34">
        <v>0</v>
      </c>
      <c r="AJB5750" s="34">
        <v>0.5</v>
      </c>
      <c r="AJC5750" s="34">
        <v>1</v>
      </c>
      <c r="AJD5750" s="34">
        <v>1.5</v>
      </c>
      <c r="AJE5750" s="34">
        <v>2</v>
      </c>
      <c r="AJF5750" s="34">
        <v>2.5</v>
      </c>
      <c r="AJG5750" s="34">
        <v>3</v>
      </c>
      <c r="AJH5750" s="34">
        <v>3.5</v>
      </c>
      <c r="AJI5750" s="34">
        <v>4</v>
      </c>
      <c r="AJJ5750" s="34">
        <v>4.5</v>
      </c>
      <c r="AJK5750" s="34">
        <v>5</v>
      </c>
      <c r="AJM5750" s="913"/>
      <c r="AJN5750" s="31">
        <v>1</v>
      </c>
      <c r="AJO5750" s="34">
        <v>0</v>
      </c>
      <c r="AJP5750" s="34">
        <v>-1</v>
      </c>
      <c r="AJQ5750" s="34">
        <v>-2</v>
      </c>
      <c r="AJR5750" s="34">
        <v>-3</v>
      </c>
      <c r="AJS5750" s="34">
        <v>-4</v>
      </c>
      <c r="AJT5750" s="34">
        <v>-5</v>
      </c>
      <c r="AJU5750" s="908"/>
      <c r="AJV5750" s="909"/>
      <c r="AJW5750" s="34">
        <v>-5</v>
      </c>
      <c r="AJX5750" s="34">
        <v>-4.5</v>
      </c>
      <c r="AJY5750" s="34">
        <v>-4</v>
      </c>
      <c r="AJZ5750" s="34">
        <v>-3.5</v>
      </c>
      <c r="AKA5750" s="34">
        <v>-3</v>
      </c>
      <c r="AKB5750" s="34">
        <v>-2.5</v>
      </c>
      <c r="AKC5750" s="34">
        <v>-2</v>
      </c>
      <c r="AKD5750" s="34">
        <v>-1.5</v>
      </c>
      <c r="AKE5750" s="34">
        <v>-1</v>
      </c>
      <c r="AKF5750" s="34">
        <v>-0.5</v>
      </c>
      <c r="AKG5750" s="34">
        <v>0</v>
      </c>
      <c r="AKH5750" s="34">
        <v>0.5</v>
      </c>
      <c r="AKI5750" s="34">
        <v>1</v>
      </c>
      <c r="AKJ5750" s="34">
        <v>1.5</v>
      </c>
      <c r="AKK5750" s="34">
        <v>2</v>
      </c>
      <c r="AKL5750" s="34">
        <v>2.5</v>
      </c>
      <c r="AKM5750" s="34">
        <v>3</v>
      </c>
      <c r="AKN5750" s="34">
        <v>3.5</v>
      </c>
      <c r="AKO5750" s="34">
        <v>4</v>
      </c>
      <c r="AKP5750" s="34">
        <v>4.5</v>
      </c>
      <c r="AKQ5750" s="34">
        <v>5</v>
      </c>
      <c r="AKS5750" s="913"/>
      <c r="AKT5750" s="31">
        <v>1</v>
      </c>
      <c r="AKU5750" s="34">
        <v>0</v>
      </c>
      <c r="AKV5750" s="34">
        <v>-1</v>
      </c>
      <c r="AKW5750" s="34">
        <v>-2</v>
      </c>
      <c r="AKX5750" s="34">
        <v>-3</v>
      </c>
      <c r="AKY5750" s="34">
        <v>-4</v>
      </c>
      <c r="AKZ5750" s="34">
        <v>-5</v>
      </c>
      <c r="ALA5750" s="908"/>
      <c r="ALB5750" s="909"/>
      <c r="ALC5750" s="34">
        <v>-5</v>
      </c>
      <c r="ALD5750" s="34">
        <v>-4.5</v>
      </c>
      <c r="ALE5750" s="34">
        <v>-4</v>
      </c>
      <c r="ALF5750" s="34">
        <v>-3.5</v>
      </c>
      <c r="ALG5750" s="34">
        <v>-3</v>
      </c>
      <c r="ALH5750" s="34">
        <v>-2.5</v>
      </c>
      <c r="ALI5750" s="34">
        <v>-2</v>
      </c>
      <c r="ALJ5750" s="34">
        <v>-1.5</v>
      </c>
      <c r="ALK5750" s="34">
        <v>-1</v>
      </c>
      <c r="ALL5750" s="34">
        <v>-0.5</v>
      </c>
      <c r="ALM5750" s="34">
        <v>0</v>
      </c>
      <c r="ALN5750" s="34">
        <v>0.5</v>
      </c>
      <c r="ALO5750" s="34">
        <v>1</v>
      </c>
      <c r="ALP5750" s="34">
        <v>1.5</v>
      </c>
      <c r="ALQ5750" s="34">
        <v>2</v>
      </c>
      <c r="ALR5750" s="34">
        <v>2.5</v>
      </c>
      <c r="ALS5750" s="34">
        <v>3</v>
      </c>
      <c r="ALT5750" s="34">
        <v>3.5</v>
      </c>
      <c r="ALU5750" s="34">
        <v>4</v>
      </c>
      <c r="ALV5750" s="34">
        <v>4.5</v>
      </c>
      <c r="ALW5750" s="34">
        <v>5</v>
      </c>
      <c r="ALY5750" s="913"/>
      <c r="ALZ5750" s="31">
        <v>1</v>
      </c>
      <c r="AMA5750" s="34">
        <v>0</v>
      </c>
      <c r="AMB5750" s="34">
        <v>-1</v>
      </c>
      <c r="AMC5750" s="34">
        <v>-2</v>
      </c>
      <c r="AMD5750" s="34">
        <v>-3</v>
      </c>
      <c r="AME5750" s="34">
        <v>-4</v>
      </c>
      <c r="AMF5750" s="34">
        <v>-5</v>
      </c>
      <c r="AMG5750" s="908"/>
      <c r="AMH5750" s="909"/>
      <c r="AMI5750" s="34">
        <v>-5</v>
      </c>
      <c r="AMJ5750" s="34">
        <v>-4.5</v>
      </c>
      <c r="AMK5750" s="34">
        <v>-4</v>
      </c>
      <c r="AML5750" s="34">
        <v>-3.5</v>
      </c>
      <c r="AMM5750" s="34">
        <v>-3</v>
      </c>
      <c r="AMN5750" s="34">
        <v>-2.5</v>
      </c>
      <c r="AMO5750" s="34">
        <v>-2</v>
      </c>
      <c r="AMP5750" s="34">
        <v>-1.5</v>
      </c>
      <c r="AMQ5750" s="34">
        <v>-1</v>
      </c>
      <c r="AMR5750" s="34">
        <v>-0.5</v>
      </c>
      <c r="AMS5750" s="34">
        <v>0</v>
      </c>
      <c r="AMT5750" s="34">
        <v>0.5</v>
      </c>
      <c r="AMU5750" s="34">
        <v>1</v>
      </c>
      <c r="AMV5750" s="34">
        <v>1.5</v>
      </c>
      <c r="AMW5750" s="34">
        <v>2</v>
      </c>
      <c r="AMX5750" s="34">
        <v>2.5</v>
      </c>
      <c r="AMY5750" s="34">
        <v>3</v>
      </c>
      <c r="AMZ5750" s="34">
        <v>3.5</v>
      </c>
      <c r="ANA5750" s="34">
        <v>4</v>
      </c>
      <c r="ANB5750" s="34">
        <v>4.5</v>
      </c>
      <c r="ANC5750" s="34">
        <v>5</v>
      </c>
      <c r="ANE5750" s="913"/>
      <c r="ANF5750" s="31">
        <v>1</v>
      </c>
      <c r="ANG5750" s="34">
        <v>0</v>
      </c>
      <c r="ANH5750" s="34">
        <v>-1</v>
      </c>
      <c r="ANI5750" s="34">
        <v>-2</v>
      </c>
      <c r="ANJ5750" s="34">
        <v>-3</v>
      </c>
      <c r="ANK5750" s="34">
        <v>-4</v>
      </c>
      <c r="ANL5750" s="34">
        <v>-5</v>
      </c>
      <c r="ANM5750" s="908"/>
      <c r="ANN5750" s="909"/>
      <c r="ANO5750" s="34">
        <v>-5</v>
      </c>
      <c r="ANP5750" s="34">
        <v>-4.5</v>
      </c>
      <c r="ANQ5750" s="34">
        <v>-4</v>
      </c>
      <c r="ANR5750" s="34">
        <v>-3.5</v>
      </c>
      <c r="ANS5750" s="34">
        <v>-3</v>
      </c>
      <c r="ANT5750" s="34">
        <v>-2.5</v>
      </c>
      <c r="ANU5750" s="34">
        <v>-2</v>
      </c>
      <c r="ANV5750" s="34">
        <v>-1.5</v>
      </c>
      <c r="ANW5750" s="34">
        <v>-1</v>
      </c>
      <c r="ANX5750" s="34">
        <v>-0.5</v>
      </c>
      <c r="ANY5750" s="34">
        <v>0</v>
      </c>
      <c r="ANZ5750" s="34">
        <v>0.5</v>
      </c>
      <c r="AOA5750" s="34">
        <v>1</v>
      </c>
      <c r="AOB5750" s="34">
        <v>1.5</v>
      </c>
      <c r="AOC5750" s="34">
        <v>2</v>
      </c>
      <c r="AOD5750" s="34">
        <v>2.5</v>
      </c>
      <c r="AOE5750" s="34">
        <v>3</v>
      </c>
      <c r="AOF5750" s="34">
        <v>3.5</v>
      </c>
      <c r="AOG5750" s="34">
        <v>4</v>
      </c>
      <c r="AOH5750" s="34">
        <v>4.5</v>
      </c>
      <c r="AOI5750" s="34">
        <v>5</v>
      </c>
      <c r="AOK5750" s="913"/>
      <c r="AOL5750" s="31">
        <v>1</v>
      </c>
      <c r="AOM5750" s="34">
        <v>0</v>
      </c>
      <c r="AON5750" s="34">
        <v>-1</v>
      </c>
      <c r="AOO5750" s="34">
        <v>-2</v>
      </c>
      <c r="AOP5750" s="34">
        <v>-3</v>
      </c>
      <c r="AOQ5750" s="34">
        <v>-4</v>
      </c>
      <c r="AOR5750" s="34">
        <v>-5</v>
      </c>
      <c r="AOS5750" s="908"/>
      <c r="AOT5750" s="909"/>
      <c r="AOU5750" s="34">
        <v>-5</v>
      </c>
      <c r="AOV5750" s="34">
        <v>-4.5</v>
      </c>
      <c r="AOW5750" s="34">
        <v>-4</v>
      </c>
      <c r="AOX5750" s="34">
        <v>-3.5</v>
      </c>
      <c r="AOY5750" s="34">
        <v>-3</v>
      </c>
      <c r="AOZ5750" s="34">
        <v>-2.5</v>
      </c>
      <c r="APA5750" s="34">
        <v>-2</v>
      </c>
      <c r="APB5750" s="34">
        <v>-1.5</v>
      </c>
      <c r="APC5750" s="34">
        <v>-1</v>
      </c>
      <c r="APD5750" s="34">
        <v>-0.5</v>
      </c>
      <c r="APE5750" s="34">
        <v>0</v>
      </c>
      <c r="APF5750" s="34">
        <v>0.5</v>
      </c>
      <c r="APG5750" s="34">
        <v>1</v>
      </c>
      <c r="APH5750" s="34">
        <v>1.5</v>
      </c>
      <c r="API5750" s="34">
        <v>2</v>
      </c>
      <c r="APJ5750" s="34">
        <v>2.5</v>
      </c>
      <c r="APK5750" s="34">
        <v>3</v>
      </c>
      <c r="APL5750" s="34">
        <v>3.5</v>
      </c>
      <c r="APM5750" s="34">
        <v>4</v>
      </c>
      <c r="APN5750" s="34">
        <v>4.5</v>
      </c>
      <c r="APO5750" s="34">
        <v>5</v>
      </c>
      <c r="APQ5750" s="913"/>
      <c r="APR5750" s="31">
        <v>1</v>
      </c>
      <c r="APS5750" s="34">
        <v>0</v>
      </c>
      <c r="APT5750" s="34">
        <v>-1</v>
      </c>
      <c r="APU5750" s="34">
        <v>-2</v>
      </c>
      <c r="APV5750" s="34">
        <v>-3</v>
      </c>
      <c r="APW5750" s="34">
        <v>-4</v>
      </c>
      <c r="APX5750" s="34">
        <v>-5</v>
      </c>
      <c r="APY5750" s="908"/>
      <c r="APZ5750" s="909"/>
      <c r="AQA5750" s="34">
        <v>-5</v>
      </c>
      <c r="AQB5750" s="34">
        <v>-4.5</v>
      </c>
      <c r="AQC5750" s="34">
        <v>-4</v>
      </c>
      <c r="AQD5750" s="34">
        <v>-3.5</v>
      </c>
      <c r="AQE5750" s="34">
        <v>-3</v>
      </c>
      <c r="AQF5750" s="34">
        <v>-2.5</v>
      </c>
      <c r="AQG5750" s="34">
        <v>-2</v>
      </c>
      <c r="AQH5750" s="34">
        <v>-1.5</v>
      </c>
      <c r="AQI5750" s="34">
        <v>-1</v>
      </c>
      <c r="AQJ5750" s="34">
        <v>-0.5</v>
      </c>
      <c r="AQK5750" s="34">
        <v>0</v>
      </c>
      <c r="AQL5750" s="34">
        <v>0.5</v>
      </c>
      <c r="AQM5750" s="34">
        <v>1</v>
      </c>
      <c r="AQN5750" s="34">
        <v>1.5</v>
      </c>
      <c r="AQO5750" s="34">
        <v>2</v>
      </c>
      <c r="AQP5750" s="34">
        <v>2.5</v>
      </c>
      <c r="AQQ5750" s="34">
        <v>3</v>
      </c>
      <c r="AQR5750" s="34">
        <v>3.5</v>
      </c>
      <c r="AQS5750" s="34">
        <v>4</v>
      </c>
      <c r="AQT5750" s="34">
        <v>4.5</v>
      </c>
      <c r="AQU5750" s="34">
        <v>5</v>
      </c>
      <c r="AQW5750" s="913"/>
      <c r="AQX5750" s="31">
        <v>1</v>
      </c>
      <c r="AQY5750" s="34">
        <v>0</v>
      </c>
      <c r="AQZ5750" s="34">
        <v>-1</v>
      </c>
      <c r="ARA5750" s="34">
        <v>-2</v>
      </c>
      <c r="ARB5750" s="34">
        <v>-3</v>
      </c>
      <c r="ARC5750" s="34">
        <v>-4</v>
      </c>
      <c r="ARD5750" s="34">
        <v>-5</v>
      </c>
      <c r="ARE5750" s="908"/>
      <c r="ARF5750" s="909"/>
      <c r="ARG5750" s="34">
        <v>-5</v>
      </c>
      <c r="ARH5750" s="34">
        <v>-4.5</v>
      </c>
      <c r="ARI5750" s="34">
        <v>-4</v>
      </c>
      <c r="ARJ5750" s="34">
        <v>-3.5</v>
      </c>
      <c r="ARK5750" s="34">
        <v>-3</v>
      </c>
      <c r="ARL5750" s="34">
        <v>-2.5</v>
      </c>
      <c r="ARM5750" s="34">
        <v>-2</v>
      </c>
      <c r="ARN5750" s="34">
        <v>-1.5</v>
      </c>
      <c r="ARO5750" s="34">
        <v>-1</v>
      </c>
      <c r="ARP5750" s="34">
        <v>-0.5</v>
      </c>
      <c r="ARQ5750" s="34">
        <v>0</v>
      </c>
      <c r="ARR5750" s="34">
        <v>0.5</v>
      </c>
      <c r="ARS5750" s="34">
        <v>1</v>
      </c>
      <c r="ART5750" s="34">
        <v>1.5</v>
      </c>
      <c r="ARU5750" s="34">
        <v>2</v>
      </c>
      <c r="ARV5750" s="34">
        <v>2.5</v>
      </c>
      <c r="ARW5750" s="34">
        <v>3</v>
      </c>
      <c r="ARX5750" s="34">
        <v>3.5</v>
      </c>
      <c r="ARY5750" s="34">
        <v>4</v>
      </c>
      <c r="ARZ5750" s="34">
        <v>4.5</v>
      </c>
      <c r="ASA5750" s="34">
        <v>5</v>
      </c>
      <c r="ASC5750" s="913"/>
      <c r="ASD5750" s="31">
        <v>1</v>
      </c>
      <c r="ASE5750" s="34">
        <v>0</v>
      </c>
      <c r="ASF5750" s="34">
        <v>-1</v>
      </c>
      <c r="ASG5750" s="34">
        <v>-2</v>
      </c>
      <c r="ASH5750" s="34">
        <v>-3</v>
      </c>
      <c r="ASI5750" s="34">
        <v>-4</v>
      </c>
      <c r="ASJ5750" s="34">
        <v>-5</v>
      </c>
      <c r="ASK5750" s="908"/>
      <c r="ASL5750" s="909"/>
      <c r="ASM5750" s="34">
        <v>-5</v>
      </c>
      <c r="ASN5750" s="34">
        <v>-4.5</v>
      </c>
      <c r="ASO5750" s="34">
        <v>-4</v>
      </c>
      <c r="ASP5750" s="34">
        <v>-3.5</v>
      </c>
      <c r="ASQ5750" s="34">
        <v>-3</v>
      </c>
      <c r="ASR5750" s="34">
        <v>-2.5</v>
      </c>
      <c r="ASS5750" s="34">
        <v>-2</v>
      </c>
      <c r="AST5750" s="34">
        <v>-1.5</v>
      </c>
      <c r="ASU5750" s="34">
        <v>-1</v>
      </c>
      <c r="ASV5750" s="34">
        <v>-0.5</v>
      </c>
      <c r="ASW5750" s="34">
        <v>0</v>
      </c>
      <c r="ASX5750" s="34">
        <v>0.5</v>
      </c>
      <c r="ASY5750" s="34">
        <v>1</v>
      </c>
      <c r="ASZ5750" s="34">
        <v>1.5</v>
      </c>
      <c r="ATA5750" s="34">
        <v>2</v>
      </c>
      <c r="ATB5750" s="34">
        <v>2.5</v>
      </c>
      <c r="ATC5750" s="34">
        <v>3</v>
      </c>
      <c r="ATD5750" s="34">
        <v>3.5</v>
      </c>
      <c r="ATE5750" s="34">
        <v>4</v>
      </c>
      <c r="ATF5750" s="34">
        <v>4.5</v>
      </c>
      <c r="ATG5750" s="34">
        <v>5</v>
      </c>
      <c r="ATI5750" s="913"/>
      <c r="ATJ5750" s="31">
        <v>1</v>
      </c>
      <c r="ATK5750" s="34">
        <v>0</v>
      </c>
      <c r="ATL5750" s="34">
        <v>-1</v>
      </c>
      <c r="ATM5750" s="34">
        <v>-2</v>
      </c>
      <c r="ATN5750" s="34">
        <v>-3</v>
      </c>
      <c r="ATO5750" s="34">
        <v>-4</v>
      </c>
      <c r="ATP5750" s="34">
        <v>-5</v>
      </c>
      <c r="ATQ5750" s="908"/>
      <c r="ATR5750" s="909"/>
      <c r="ATS5750" s="34">
        <v>-5</v>
      </c>
      <c r="ATT5750" s="34">
        <v>-4.5</v>
      </c>
      <c r="ATU5750" s="34">
        <v>-4</v>
      </c>
      <c r="ATV5750" s="34">
        <v>-3.5</v>
      </c>
      <c r="ATW5750" s="34">
        <v>-3</v>
      </c>
      <c r="ATX5750" s="34">
        <v>-2.5</v>
      </c>
      <c r="ATY5750" s="34">
        <v>-2</v>
      </c>
      <c r="ATZ5750" s="34">
        <v>-1.5</v>
      </c>
      <c r="AUA5750" s="34">
        <v>-1</v>
      </c>
      <c r="AUB5750" s="34">
        <v>-0.5</v>
      </c>
      <c r="AUC5750" s="34">
        <v>0</v>
      </c>
      <c r="AUD5750" s="34">
        <v>0.5</v>
      </c>
      <c r="AUE5750" s="34">
        <v>1</v>
      </c>
      <c r="AUF5750" s="34">
        <v>1.5</v>
      </c>
      <c r="AUG5750" s="34">
        <v>2</v>
      </c>
      <c r="AUH5750" s="34">
        <v>2.5</v>
      </c>
      <c r="AUI5750" s="34">
        <v>3</v>
      </c>
      <c r="AUJ5750" s="34">
        <v>3.5</v>
      </c>
      <c r="AUK5750" s="34">
        <v>4</v>
      </c>
      <c r="AUL5750" s="34">
        <v>4.5</v>
      </c>
      <c r="AUM5750" s="34">
        <v>5</v>
      </c>
      <c r="AUO5750" s="913"/>
      <c r="AUP5750" s="31">
        <v>1</v>
      </c>
      <c r="AUQ5750" s="34">
        <v>0</v>
      </c>
      <c r="AUR5750" s="34">
        <v>-1</v>
      </c>
      <c r="AUS5750" s="34">
        <v>-2</v>
      </c>
      <c r="AUT5750" s="34">
        <v>-3</v>
      </c>
      <c r="AUU5750" s="34">
        <v>-4</v>
      </c>
      <c r="AUV5750" s="34">
        <v>-5</v>
      </c>
      <c r="AUW5750" s="908"/>
      <c r="AUX5750" s="909"/>
      <c r="AUY5750" s="34">
        <v>-5</v>
      </c>
      <c r="AUZ5750" s="34">
        <v>-4.5</v>
      </c>
      <c r="AVA5750" s="34">
        <v>-4</v>
      </c>
      <c r="AVB5750" s="34">
        <v>-3.5</v>
      </c>
      <c r="AVC5750" s="34">
        <v>-3</v>
      </c>
      <c r="AVD5750" s="34">
        <v>-2.5</v>
      </c>
      <c r="AVE5750" s="34">
        <v>-2</v>
      </c>
      <c r="AVF5750" s="34">
        <v>-1.5</v>
      </c>
      <c r="AVG5750" s="34">
        <v>-1</v>
      </c>
      <c r="AVH5750" s="34">
        <v>-0.5</v>
      </c>
      <c r="AVI5750" s="34">
        <v>0</v>
      </c>
      <c r="AVJ5750" s="34">
        <v>0.5</v>
      </c>
      <c r="AVK5750" s="34">
        <v>1</v>
      </c>
      <c r="AVL5750" s="34">
        <v>1.5</v>
      </c>
      <c r="AVM5750" s="34">
        <v>2</v>
      </c>
      <c r="AVN5750" s="34">
        <v>2.5</v>
      </c>
      <c r="AVO5750" s="34">
        <v>3</v>
      </c>
      <c r="AVP5750" s="34">
        <v>3.5</v>
      </c>
      <c r="AVQ5750" s="34">
        <v>4</v>
      </c>
      <c r="AVR5750" s="34">
        <v>4.5</v>
      </c>
      <c r="AVS5750" s="34">
        <v>5</v>
      </c>
      <c r="AVU5750" s="913"/>
      <c r="AVV5750" s="31">
        <v>1</v>
      </c>
      <c r="AVW5750" s="34">
        <v>0</v>
      </c>
      <c r="AVX5750" s="34">
        <v>-1</v>
      </c>
      <c r="AVY5750" s="34">
        <v>-2</v>
      </c>
      <c r="AVZ5750" s="34">
        <v>-3</v>
      </c>
      <c r="AWA5750" s="34">
        <v>-4</v>
      </c>
      <c r="AWB5750" s="34">
        <v>-5</v>
      </c>
      <c r="AWC5750" s="908"/>
      <c r="AWD5750" s="909"/>
      <c r="AWE5750" s="34">
        <v>-5</v>
      </c>
      <c r="AWF5750" s="34">
        <v>-4.5</v>
      </c>
      <c r="AWG5750" s="34">
        <v>-4</v>
      </c>
      <c r="AWH5750" s="34">
        <v>-3.5</v>
      </c>
      <c r="AWI5750" s="34">
        <v>-3</v>
      </c>
      <c r="AWJ5750" s="34">
        <v>-2.5</v>
      </c>
      <c r="AWK5750" s="34">
        <v>-2</v>
      </c>
      <c r="AWL5750" s="34">
        <v>-1.5</v>
      </c>
      <c r="AWM5750" s="34">
        <v>-1</v>
      </c>
      <c r="AWN5750" s="34">
        <v>-0.5</v>
      </c>
      <c r="AWO5750" s="34">
        <v>0</v>
      </c>
      <c r="AWP5750" s="34">
        <v>0.5</v>
      </c>
      <c r="AWQ5750" s="34">
        <v>1</v>
      </c>
      <c r="AWR5750" s="34">
        <v>1.5</v>
      </c>
      <c r="AWS5750" s="34">
        <v>2</v>
      </c>
      <c r="AWT5750" s="34">
        <v>2.5</v>
      </c>
      <c r="AWU5750" s="34">
        <v>3</v>
      </c>
      <c r="AWV5750" s="34">
        <v>3.5</v>
      </c>
      <c r="AWW5750" s="34">
        <v>4</v>
      </c>
      <c r="AWX5750" s="34">
        <v>4.5</v>
      </c>
      <c r="AWY5750" s="34">
        <v>5</v>
      </c>
      <c r="AXA5750" s="913"/>
      <c r="AXB5750" s="31">
        <v>1</v>
      </c>
      <c r="AXC5750" s="34">
        <v>0</v>
      </c>
      <c r="AXD5750" s="34">
        <v>-1</v>
      </c>
      <c r="AXE5750" s="34">
        <v>-2</v>
      </c>
      <c r="AXF5750" s="34">
        <v>-3</v>
      </c>
      <c r="AXG5750" s="34">
        <v>-4</v>
      </c>
      <c r="AXH5750" s="34">
        <v>-5</v>
      </c>
      <c r="AXI5750" s="908"/>
      <c r="AXJ5750" s="909"/>
      <c r="AXK5750" s="34">
        <v>-5</v>
      </c>
      <c r="AXL5750" s="34">
        <v>-4.5</v>
      </c>
      <c r="AXM5750" s="34">
        <v>-4</v>
      </c>
      <c r="AXN5750" s="34">
        <v>-3.5</v>
      </c>
      <c r="AXO5750" s="34">
        <v>-3</v>
      </c>
      <c r="AXP5750" s="34">
        <v>-2.5</v>
      </c>
      <c r="AXQ5750" s="34">
        <v>-2</v>
      </c>
      <c r="AXR5750" s="34">
        <v>-1.5</v>
      </c>
      <c r="AXS5750" s="34">
        <v>-1</v>
      </c>
      <c r="AXT5750" s="34">
        <v>-0.5</v>
      </c>
      <c r="AXU5750" s="34">
        <v>0</v>
      </c>
      <c r="AXV5750" s="34">
        <v>0.5</v>
      </c>
      <c r="AXW5750" s="34">
        <v>1</v>
      </c>
      <c r="AXX5750" s="34">
        <v>1.5</v>
      </c>
      <c r="AXY5750" s="34">
        <v>2</v>
      </c>
      <c r="AXZ5750" s="34">
        <v>2.5</v>
      </c>
      <c r="AYA5750" s="34">
        <v>3</v>
      </c>
      <c r="AYB5750" s="34">
        <v>3.5</v>
      </c>
      <c r="AYC5750" s="34">
        <v>4</v>
      </c>
      <c r="AYD5750" s="34">
        <v>4.5</v>
      </c>
      <c r="AYE5750" s="34">
        <v>5</v>
      </c>
      <c r="AYG5750" s="913"/>
      <c r="AYH5750" s="31">
        <v>1</v>
      </c>
      <c r="AYI5750" s="34">
        <v>0</v>
      </c>
      <c r="AYJ5750" s="34">
        <v>-1</v>
      </c>
      <c r="AYK5750" s="34">
        <v>-2</v>
      </c>
      <c r="AYL5750" s="34">
        <v>-3</v>
      </c>
      <c r="AYM5750" s="34">
        <v>-4</v>
      </c>
      <c r="AYN5750" s="34">
        <v>-5</v>
      </c>
      <c r="AYO5750" s="908"/>
      <c r="AYP5750" s="909"/>
      <c r="AYQ5750" s="34">
        <v>-5</v>
      </c>
      <c r="AYR5750" s="34">
        <v>-4.5</v>
      </c>
      <c r="AYS5750" s="34">
        <v>-4</v>
      </c>
      <c r="AYT5750" s="34">
        <v>-3.5</v>
      </c>
      <c r="AYU5750" s="34">
        <v>-3</v>
      </c>
      <c r="AYV5750" s="34">
        <v>-2.5</v>
      </c>
      <c r="AYW5750" s="34">
        <v>-2</v>
      </c>
      <c r="AYX5750" s="34">
        <v>-1.5</v>
      </c>
      <c r="AYY5750" s="34">
        <v>-1</v>
      </c>
      <c r="AYZ5750" s="34">
        <v>-0.5</v>
      </c>
      <c r="AZA5750" s="34">
        <v>0</v>
      </c>
      <c r="AZB5750" s="34">
        <v>0.5</v>
      </c>
      <c r="AZC5750" s="34">
        <v>1</v>
      </c>
      <c r="AZD5750" s="34">
        <v>1.5</v>
      </c>
      <c r="AZE5750" s="34">
        <v>2</v>
      </c>
      <c r="AZF5750" s="34">
        <v>2.5</v>
      </c>
      <c r="AZG5750" s="34">
        <v>3</v>
      </c>
      <c r="AZH5750" s="34">
        <v>3.5</v>
      </c>
      <c r="AZI5750" s="34">
        <v>4</v>
      </c>
      <c r="AZJ5750" s="34">
        <v>4.5</v>
      </c>
      <c r="AZK5750" s="34">
        <v>5</v>
      </c>
      <c r="AZM5750" s="913"/>
      <c r="AZN5750" s="31">
        <v>1</v>
      </c>
      <c r="AZO5750" s="34">
        <v>0</v>
      </c>
      <c r="AZP5750" s="34">
        <v>-1</v>
      </c>
      <c r="AZQ5750" s="34">
        <v>-2</v>
      </c>
      <c r="AZR5750" s="34">
        <v>-3</v>
      </c>
      <c r="AZS5750" s="34">
        <v>-4</v>
      </c>
      <c r="AZT5750" s="34">
        <v>-5</v>
      </c>
      <c r="AZU5750" s="908"/>
      <c r="AZV5750" s="909"/>
      <c r="AZW5750" s="34">
        <v>-5</v>
      </c>
      <c r="AZX5750" s="34">
        <v>-4.5</v>
      </c>
      <c r="AZY5750" s="34">
        <v>-4</v>
      </c>
      <c r="AZZ5750" s="34">
        <v>-3.5</v>
      </c>
      <c r="BAA5750" s="34">
        <v>-3</v>
      </c>
      <c r="BAB5750" s="34">
        <v>-2.5</v>
      </c>
      <c r="BAC5750" s="34">
        <v>-2</v>
      </c>
      <c r="BAD5750" s="34">
        <v>-1.5</v>
      </c>
      <c r="BAE5750" s="34">
        <v>-1</v>
      </c>
      <c r="BAF5750" s="34">
        <v>-0.5</v>
      </c>
      <c r="BAG5750" s="34">
        <v>0</v>
      </c>
      <c r="BAH5750" s="34">
        <v>0.5</v>
      </c>
      <c r="BAI5750" s="34">
        <v>1</v>
      </c>
      <c r="BAJ5750" s="34">
        <v>1.5</v>
      </c>
      <c r="BAK5750" s="34">
        <v>2</v>
      </c>
      <c r="BAL5750" s="34">
        <v>2.5</v>
      </c>
      <c r="BAM5750" s="34">
        <v>3</v>
      </c>
      <c r="BAN5750" s="34">
        <v>3.5</v>
      </c>
      <c r="BAO5750" s="34">
        <v>4</v>
      </c>
      <c r="BAP5750" s="34">
        <v>4.5</v>
      </c>
      <c r="BAQ5750" s="34">
        <v>5</v>
      </c>
      <c r="BAS5750" s="913"/>
      <c r="BAT5750" s="31">
        <v>1</v>
      </c>
      <c r="BAU5750" s="34">
        <v>0</v>
      </c>
      <c r="BAV5750" s="34">
        <v>-1</v>
      </c>
      <c r="BAW5750" s="34">
        <v>-2</v>
      </c>
      <c r="BAX5750" s="34">
        <v>-3</v>
      </c>
      <c r="BAY5750" s="34">
        <v>-4</v>
      </c>
      <c r="BAZ5750" s="34">
        <v>-5</v>
      </c>
      <c r="BBA5750" s="908"/>
      <c r="BBB5750" s="909"/>
      <c r="BBC5750" s="34">
        <v>-5</v>
      </c>
      <c r="BBD5750" s="34">
        <v>-4.5</v>
      </c>
      <c r="BBE5750" s="34">
        <v>-4</v>
      </c>
      <c r="BBF5750" s="34">
        <v>-3.5</v>
      </c>
      <c r="BBG5750" s="34">
        <v>-3</v>
      </c>
      <c r="BBH5750" s="34">
        <v>-2.5</v>
      </c>
      <c r="BBI5750" s="34">
        <v>-2</v>
      </c>
      <c r="BBJ5750" s="34">
        <v>-1.5</v>
      </c>
      <c r="BBK5750" s="34">
        <v>-1</v>
      </c>
      <c r="BBL5750" s="34">
        <v>-0.5</v>
      </c>
      <c r="BBM5750" s="34">
        <v>0</v>
      </c>
      <c r="BBN5750" s="34">
        <v>0.5</v>
      </c>
      <c r="BBO5750" s="34">
        <v>1</v>
      </c>
      <c r="BBP5750" s="34">
        <v>1.5</v>
      </c>
      <c r="BBQ5750" s="34">
        <v>2</v>
      </c>
      <c r="BBR5750" s="34">
        <v>2.5</v>
      </c>
      <c r="BBS5750" s="34">
        <v>3</v>
      </c>
      <c r="BBT5750" s="34">
        <v>3.5</v>
      </c>
      <c r="BBU5750" s="34">
        <v>4</v>
      </c>
      <c r="BBV5750" s="34">
        <v>4.5</v>
      </c>
      <c r="BBW5750" s="34">
        <v>5</v>
      </c>
      <c r="BBY5750" s="913"/>
      <c r="BBZ5750" s="31">
        <v>1</v>
      </c>
      <c r="BCA5750" s="34">
        <v>0</v>
      </c>
      <c r="BCB5750" s="34">
        <v>-1</v>
      </c>
      <c r="BCC5750" s="34">
        <v>-2</v>
      </c>
      <c r="BCD5750" s="34">
        <v>-3</v>
      </c>
      <c r="BCE5750" s="34">
        <v>-4</v>
      </c>
      <c r="BCF5750" s="34">
        <v>-5</v>
      </c>
      <c r="BCG5750" s="908"/>
      <c r="BCH5750" s="909"/>
      <c r="BCI5750" s="34">
        <v>-5</v>
      </c>
      <c r="BCJ5750" s="34">
        <v>-4.5</v>
      </c>
      <c r="BCK5750" s="34">
        <v>-4</v>
      </c>
      <c r="BCL5750" s="34">
        <v>-3.5</v>
      </c>
      <c r="BCM5750" s="34">
        <v>-3</v>
      </c>
      <c r="BCN5750" s="34">
        <v>-2.5</v>
      </c>
      <c r="BCO5750" s="34">
        <v>-2</v>
      </c>
      <c r="BCP5750" s="34">
        <v>-1.5</v>
      </c>
      <c r="BCQ5750" s="34">
        <v>-1</v>
      </c>
      <c r="BCR5750" s="34">
        <v>-0.5</v>
      </c>
      <c r="BCS5750" s="34">
        <v>0</v>
      </c>
      <c r="BCT5750" s="34">
        <v>0.5</v>
      </c>
      <c r="BCU5750" s="34">
        <v>1</v>
      </c>
      <c r="BCV5750" s="34">
        <v>1.5</v>
      </c>
      <c r="BCW5750" s="34">
        <v>2</v>
      </c>
      <c r="BCX5750" s="34">
        <v>2.5</v>
      </c>
      <c r="BCY5750" s="34">
        <v>3</v>
      </c>
      <c r="BCZ5750" s="34">
        <v>3.5</v>
      </c>
      <c r="BDA5750" s="34">
        <v>4</v>
      </c>
      <c r="BDB5750" s="34">
        <v>4.5</v>
      </c>
      <c r="BDC5750" s="34">
        <v>5</v>
      </c>
      <c r="BDE5750" s="913"/>
      <c r="BDF5750" s="31">
        <v>1</v>
      </c>
      <c r="BDG5750" s="34">
        <v>0</v>
      </c>
      <c r="BDH5750" s="34">
        <v>-1</v>
      </c>
      <c r="BDI5750" s="34">
        <v>-2</v>
      </c>
      <c r="BDJ5750" s="34">
        <v>-3</v>
      </c>
      <c r="BDK5750" s="34">
        <v>-4</v>
      </c>
      <c r="BDL5750" s="34">
        <v>-5</v>
      </c>
      <c r="BDM5750" s="908"/>
      <c r="BDN5750" s="909"/>
      <c r="BDO5750" s="34">
        <v>-5</v>
      </c>
      <c r="BDP5750" s="34">
        <v>-4.5</v>
      </c>
      <c r="BDQ5750" s="34">
        <v>-4</v>
      </c>
      <c r="BDR5750" s="34">
        <v>-3.5</v>
      </c>
      <c r="BDS5750" s="34">
        <v>-3</v>
      </c>
      <c r="BDT5750" s="34">
        <v>-2.5</v>
      </c>
      <c r="BDU5750" s="34">
        <v>-2</v>
      </c>
      <c r="BDV5750" s="34">
        <v>-1.5</v>
      </c>
      <c r="BDW5750" s="34">
        <v>-1</v>
      </c>
      <c r="BDX5750" s="34">
        <v>-0.5</v>
      </c>
      <c r="BDY5750" s="34">
        <v>0</v>
      </c>
      <c r="BDZ5750" s="34">
        <v>0.5</v>
      </c>
      <c r="BEA5750" s="34">
        <v>1</v>
      </c>
      <c r="BEB5750" s="34">
        <v>1.5</v>
      </c>
      <c r="BEC5750" s="34">
        <v>2</v>
      </c>
      <c r="BED5750" s="34">
        <v>2.5</v>
      </c>
      <c r="BEE5750" s="34">
        <v>3</v>
      </c>
      <c r="BEF5750" s="34">
        <v>3.5</v>
      </c>
      <c r="BEG5750" s="34">
        <v>4</v>
      </c>
      <c r="BEH5750" s="34">
        <v>4.5</v>
      </c>
      <c r="BEI5750" s="34">
        <v>5</v>
      </c>
      <c r="BEK5750" s="913"/>
      <c r="BEL5750" s="31">
        <v>1</v>
      </c>
      <c r="BEM5750" s="34">
        <v>0</v>
      </c>
      <c r="BEN5750" s="34">
        <v>-1</v>
      </c>
      <c r="BEO5750" s="34">
        <v>-2</v>
      </c>
      <c r="BEP5750" s="34">
        <v>-3</v>
      </c>
      <c r="BEQ5750" s="34">
        <v>-4</v>
      </c>
      <c r="BER5750" s="34">
        <v>-5</v>
      </c>
      <c r="BES5750" s="908"/>
      <c r="BET5750" s="909"/>
      <c r="BEU5750" s="34">
        <v>-5</v>
      </c>
      <c r="BEV5750" s="34">
        <v>-4.5</v>
      </c>
      <c r="BEW5750" s="34">
        <v>-4</v>
      </c>
      <c r="BEX5750" s="34">
        <v>-3.5</v>
      </c>
      <c r="BEY5750" s="34">
        <v>-3</v>
      </c>
      <c r="BEZ5750" s="34">
        <v>-2.5</v>
      </c>
      <c r="BFA5750" s="34">
        <v>-2</v>
      </c>
      <c r="BFB5750" s="34">
        <v>-1.5</v>
      </c>
      <c r="BFC5750" s="34">
        <v>-1</v>
      </c>
      <c r="BFD5750" s="34">
        <v>-0.5</v>
      </c>
      <c r="BFE5750" s="34">
        <v>0</v>
      </c>
      <c r="BFF5750" s="34">
        <v>0.5</v>
      </c>
      <c r="BFG5750" s="34">
        <v>1</v>
      </c>
      <c r="BFH5750" s="34">
        <v>1.5</v>
      </c>
      <c r="BFI5750" s="34">
        <v>2</v>
      </c>
      <c r="BFJ5750" s="34">
        <v>2.5</v>
      </c>
      <c r="BFK5750" s="34">
        <v>3</v>
      </c>
      <c r="BFL5750" s="34">
        <v>3.5</v>
      </c>
      <c r="BFM5750" s="34">
        <v>4</v>
      </c>
      <c r="BFN5750" s="34">
        <v>4.5</v>
      </c>
      <c r="BFO5750" s="34">
        <v>5</v>
      </c>
      <c r="BFQ5750" s="913"/>
      <c r="BFR5750" s="31">
        <v>1</v>
      </c>
      <c r="BFS5750" s="34">
        <v>0</v>
      </c>
      <c r="BFT5750" s="34">
        <v>-1</v>
      </c>
      <c r="BFU5750" s="34">
        <v>-2</v>
      </c>
      <c r="BFV5750" s="34">
        <v>-3</v>
      </c>
      <c r="BFW5750" s="34">
        <v>-4</v>
      </c>
      <c r="BFX5750" s="34">
        <v>-5</v>
      </c>
      <c r="BFY5750" s="908"/>
      <c r="BFZ5750" s="909"/>
      <c r="BGA5750" s="34">
        <v>-5</v>
      </c>
      <c r="BGB5750" s="34">
        <v>-4.5</v>
      </c>
      <c r="BGC5750" s="34">
        <v>-4</v>
      </c>
      <c r="BGD5750" s="34">
        <v>-3.5</v>
      </c>
      <c r="BGE5750" s="34">
        <v>-3</v>
      </c>
      <c r="BGF5750" s="34">
        <v>-2.5</v>
      </c>
      <c r="BGG5750" s="34">
        <v>-2</v>
      </c>
      <c r="BGH5750" s="34">
        <v>-1.5</v>
      </c>
      <c r="BGI5750" s="34">
        <v>-1</v>
      </c>
      <c r="BGJ5750" s="34">
        <v>-0.5</v>
      </c>
      <c r="BGK5750" s="34">
        <v>0</v>
      </c>
      <c r="BGL5750" s="34">
        <v>0.5</v>
      </c>
      <c r="BGM5750" s="34">
        <v>1</v>
      </c>
      <c r="BGN5750" s="34">
        <v>1.5</v>
      </c>
      <c r="BGO5750" s="34">
        <v>2</v>
      </c>
      <c r="BGP5750" s="34">
        <v>2.5</v>
      </c>
      <c r="BGQ5750" s="34">
        <v>3</v>
      </c>
      <c r="BGR5750" s="34">
        <v>3.5</v>
      </c>
      <c r="BGS5750" s="34">
        <v>4</v>
      </c>
      <c r="BGT5750" s="34">
        <v>4.5</v>
      </c>
      <c r="BGU5750" s="34">
        <v>5</v>
      </c>
      <c r="BGW5750" s="913"/>
      <c r="BGX5750" s="31">
        <v>1</v>
      </c>
      <c r="BGY5750" s="34">
        <v>0</v>
      </c>
      <c r="BGZ5750" s="34">
        <v>-1</v>
      </c>
      <c r="BHA5750" s="34">
        <v>-2</v>
      </c>
      <c r="BHB5750" s="34">
        <v>-3</v>
      </c>
      <c r="BHC5750" s="34">
        <v>-4</v>
      </c>
      <c r="BHD5750" s="34">
        <v>-5</v>
      </c>
      <c r="BHE5750" s="908"/>
      <c r="BHF5750" s="909"/>
      <c r="BHG5750" s="34">
        <v>-5</v>
      </c>
      <c r="BHH5750" s="34">
        <v>-4.5</v>
      </c>
      <c r="BHI5750" s="34">
        <v>-4</v>
      </c>
      <c r="BHJ5750" s="34">
        <v>-3.5</v>
      </c>
      <c r="BHK5750" s="34">
        <v>-3</v>
      </c>
      <c r="BHL5750" s="34">
        <v>-2.5</v>
      </c>
      <c r="BHM5750" s="34">
        <v>-2</v>
      </c>
      <c r="BHN5750" s="34">
        <v>-1.5</v>
      </c>
      <c r="BHO5750" s="34">
        <v>-1</v>
      </c>
      <c r="BHP5750" s="34">
        <v>-0.5</v>
      </c>
      <c r="BHQ5750" s="34">
        <v>0</v>
      </c>
      <c r="BHR5750" s="34">
        <v>0.5</v>
      </c>
      <c r="BHS5750" s="34">
        <v>1</v>
      </c>
      <c r="BHT5750" s="34">
        <v>1.5</v>
      </c>
      <c r="BHU5750" s="34">
        <v>2</v>
      </c>
      <c r="BHV5750" s="34">
        <v>2.5</v>
      </c>
      <c r="BHW5750" s="34">
        <v>3</v>
      </c>
      <c r="BHX5750" s="34">
        <v>3.5</v>
      </c>
      <c r="BHY5750" s="34">
        <v>4</v>
      </c>
      <c r="BHZ5750" s="34">
        <v>4.5</v>
      </c>
      <c r="BIA5750" s="34">
        <v>5</v>
      </c>
      <c r="BIC5750" s="913"/>
      <c r="BID5750" s="31">
        <v>1</v>
      </c>
      <c r="BIE5750" s="34">
        <v>0</v>
      </c>
      <c r="BIF5750" s="34">
        <v>-1</v>
      </c>
      <c r="BIG5750" s="34">
        <v>-2</v>
      </c>
      <c r="BIH5750" s="34">
        <v>-3</v>
      </c>
      <c r="BII5750" s="34">
        <v>-4</v>
      </c>
      <c r="BIJ5750" s="34">
        <v>-5</v>
      </c>
      <c r="BIK5750" s="908"/>
      <c r="BIL5750" s="909"/>
      <c r="BIM5750" s="34">
        <v>-5</v>
      </c>
      <c r="BIN5750" s="34">
        <v>-4.5</v>
      </c>
      <c r="BIO5750" s="34">
        <v>-4</v>
      </c>
      <c r="BIP5750" s="34">
        <v>-3.5</v>
      </c>
      <c r="BIQ5750" s="34">
        <v>-3</v>
      </c>
      <c r="BIR5750" s="34">
        <v>-2.5</v>
      </c>
      <c r="BIS5750" s="34">
        <v>-2</v>
      </c>
      <c r="BIT5750" s="34">
        <v>-1.5</v>
      </c>
      <c r="BIU5750" s="34">
        <v>-1</v>
      </c>
      <c r="BIV5750" s="34">
        <v>-0.5</v>
      </c>
      <c r="BIW5750" s="34">
        <v>0</v>
      </c>
      <c r="BIX5750" s="34">
        <v>0.5</v>
      </c>
      <c r="BIY5750" s="34">
        <v>1</v>
      </c>
      <c r="BIZ5750" s="34">
        <v>1.5</v>
      </c>
      <c r="BJA5750" s="34">
        <v>2</v>
      </c>
      <c r="BJB5750" s="34">
        <v>2.5</v>
      </c>
      <c r="BJC5750" s="34">
        <v>3</v>
      </c>
      <c r="BJD5750" s="34">
        <v>3.5</v>
      </c>
      <c r="BJE5750" s="34">
        <v>4</v>
      </c>
      <c r="BJF5750" s="34">
        <v>4.5</v>
      </c>
      <c r="BJG5750" s="34">
        <v>5</v>
      </c>
      <c r="BJI5750" s="913"/>
      <c r="BJJ5750" s="31">
        <v>1</v>
      </c>
      <c r="BJK5750" s="34">
        <v>0</v>
      </c>
      <c r="BJL5750" s="34">
        <v>-1</v>
      </c>
      <c r="BJM5750" s="34">
        <v>-2</v>
      </c>
      <c r="BJN5750" s="34">
        <v>-3</v>
      </c>
      <c r="BJO5750" s="34">
        <v>-4</v>
      </c>
      <c r="BJP5750" s="34">
        <v>-5</v>
      </c>
      <c r="BJQ5750" s="908"/>
      <c r="BJR5750" s="909"/>
      <c r="BJS5750" s="34">
        <v>-5</v>
      </c>
      <c r="BJT5750" s="34">
        <v>-4.5</v>
      </c>
      <c r="BJU5750" s="34">
        <v>-4</v>
      </c>
      <c r="BJV5750" s="34">
        <v>-3.5</v>
      </c>
      <c r="BJW5750" s="34">
        <v>-3</v>
      </c>
      <c r="BJX5750" s="34">
        <v>-2.5</v>
      </c>
      <c r="BJY5750" s="34">
        <v>-2</v>
      </c>
      <c r="BJZ5750" s="34">
        <v>-1.5</v>
      </c>
      <c r="BKA5750" s="34">
        <v>-1</v>
      </c>
      <c r="BKB5750" s="34">
        <v>-0.5</v>
      </c>
      <c r="BKC5750" s="34">
        <v>0</v>
      </c>
      <c r="BKD5750" s="34">
        <v>0.5</v>
      </c>
      <c r="BKE5750" s="34">
        <v>1</v>
      </c>
      <c r="BKF5750" s="34">
        <v>1.5</v>
      </c>
      <c r="BKG5750" s="34">
        <v>2</v>
      </c>
      <c r="BKH5750" s="34">
        <v>2.5</v>
      </c>
      <c r="BKI5750" s="34">
        <v>3</v>
      </c>
      <c r="BKJ5750" s="34">
        <v>3.5</v>
      </c>
      <c r="BKK5750" s="34">
        <v>4</v>
      </c>
      <c r="BKL5750" s="34">
        <v>4.5</v>
      </c>
      <c r="BKM5750" s="34">
        <v>5</v>
      </c>
      <c r="BKO5750" s="913"/>
      <c r="BKP5750" s="31">
        <v>1</v>
      </c>
      <c r="BKQ5750" s="34">
        <v>0</v>
      </c>
      <c r="BKR5750" s="34">
        <v>-1</v>
      </c>
      <c r="BKS5750" s="34">
        <v>-2</v>
      </c>
      <c r="BKT5750" s="34">
        <v>-3</v>
      </c>
      <c r="BKU5750" s="34">
        <v>-4</v>
      </c>
      <c r="BKV5750" s="34">
        <v>-5</v>
      </c>
      <c r="BKW5750" s="908"/>
      <c r="BKX5750" s="909"/>
      <c r="BKY5750" s="34">
        <v>-5</v>
      </c>
      <c r="BKZ5750" s="34">
        <v>-4.5</v>
      </c>
      <c r="BLA5750" s="34">
        <v>-4</v>
      </c>
      <c r="BLB5750" s="34">
        <v>-3.5</v>
      </c>
      <c r="BLC5750" s="34">
        <v>-3</v>
      </c>
      <c r="BLD5750" s="34">
        <v>-2.5</v>
      </c>
      <c r="BLE5750" s="34">
        <v>-2</v>
      </c>
      <c r="BLF5750" s="34">
        <v>-1.5</v>
      </c>
      <c r="BLG5750" s="34">
        <v>-1</v>
      </c>
      <c r="BLH5750" s="34">
        <v>-0.5</v>
      </c>
      <c r="BLI5750" s="34">
        <v>0</v>
      </c>
      <c r="BLJ5750" s="34">
        <v>0.5</v>
      </c>
      <c r="BLK5750" s="34">
        <v>1</v>
      </c>
      <c r="BLL5750" s="34">
        <v>1.5</v>
      </c>
      <c r="BLM5750" s="34">
        <v>2</v>
      </c>
      <c r="BLN5750" s="34">
        <v>2.5</v>
      </c>
      <c r="BLO5750" s="34">
        <v>3</v>
      </c>
      <c r="BLP5750" s="34">
        <v>3.5</v>
      </c>
      <c r="BLQ5750" s="34">
        <v>4</v>
      </c>
      <c r="BLR5750" s="34">
        <v>4.5</v>
      </c>
      <c r="BLS5750" s="34">
        <v>5</v>
      </c>
      <c r="BLU5750" s="913"/>
      <c r="BLV5750" s="31">
        <v>1</v>
      </c>
      <c r="BLW5750" s="34">
        <v>0</v>
      </c>
      <c r="BLX5750" s="34">
        <v>-1</v>
      </c>
      <c r="BLY5750" s="34">
        <v>-2</v>
      </c>
      <c r="BLZ5750" s="34">
        <v>-3</v>
      </c>
      <c r="BMA5750" s="34">
        <v>-4</v>
      </c>
      <c r="BMB5750" s="34">
        <v>-5</v>
      </c>
      <c r="BMC5750" s="908"/>
      <c r="BMD5750" s="909"/>
      <c r="BME5750" s="34">
        <v>-5</v>
      </c>
      <c r="BMF5750" s="34">
        <v>-4.5</v>
      </c>
      <c r="BMG5750" s="34">
        <v>-4</v>
      </c>
      <c r="BMH5750" s="34">
        <v>-3.5</v>
      </c>
      <c r="BMI5750" s="34">
        <v>-3</v>
      </c>
      <c r="BMJ5750" s="34">
        <v>-2.5</v>
      </c>
      <c r="BMK5750" s="34">
        <v>-2</v>
      </c>
      <c r="BML5750" s="34">
        <v>-1.5</v>
      </c>
      <c r="BMM5750" s="34">
        <v>-1</v>
      </c>
      <c r="BMN5750" s="34">
        <v>-0.5</v>
      </c>
      <c r="BMO5750" s="34">
        <v>0</v>
      </c>
      <c r="BMP5750" s="34">
        <v>0.5</v>
      </c>
      <c r="BMQ5750" s="34">
        <v>1</v>
      </c>
      <c r="BMR5750" s="34">
        <v>1.5</v>
      </c>
      <c r="BMS5750" s="34">
        <v>2</v>
      </c>
      <c r="BMT5750" s="34">
        <v>2.5</v>
      </c>
      <c r="BMU5750" s="34">
        <v>3</v>
      </c>
      <c r="BMV5750" s="34">
        <v>3.5</v>
      </c>
      <c r="BMW5750" s="34">
        <v>4</v>
      </c>
      <c r="BMX5750" s="34">
        <v>4.5</v>
      </c>
      <c r="BMY5750" s="34">
        <v>5</v>
      </c>
      <c r="BNA5750" s="913"/>
      <c r="BNB5750" s="31">
        <v>1</v>
      </c>
      <c r="BNC5750" s="34">
        <v>0</v>
      </c>
      <c r="BND5750" s="34">
        <v>-1</v>
      </c>
      <c r="BNE5750" s="34">
        <v>-2</v>
      </c>
      <c r="BNF5750" s="34">
        <v>-3</v>
      </c>
      <c r="BNG5750" s="34">
        <v>-4</v>
      </c>
      <c r="BNH5750" s="34">
        <v>-5</v>
      </c>
      <c r="BNI5750" s="908"/>
      <c r="BNJ5750" s="909"/>
      <c r="BNK5750" s="34">
        <v>-5</v>
      </c>
      <c r="BNL5750" s="34">
        <v>-4.5</v>
      </c>
      <c r="BNM5750" s="34">
        <v>-4</v>
      </c>
      <c r="BNN5750" s="34">
        <v>-3.5</v>
      </c>
      <c r="BNO5750" s="34">
        <v>-3</v>
      </c>
      <c r="BNP5750" s="34">
        <v>-2.5</v>
      </c>
      <c r="BNQ5750" s="34">
        <v>-2</v>
      </c>
      <c r="BNR5750" s="34">
        <v>-1.5</v>
      </c>
      <c r="BNS5750" s="34">
        <v>-1</v>
      </c>
      <c r="BNT5750" s="34">
        <v>-0.5</v>
      </c>
      <c r="BNU5750" s="34">
        <v>0</v>
      </c>
      <c r="BNV5750" s="34">
        <v>0.5</v>
      </c>
      <c r="BNW5750" s="34">
        <v>1</v>
      </c>
      <c r="BNX5750" s="34">
        <v>1.5</v>
      </c>
      <c r="BNY5750" s="34">
        <v>2</v>
      </c>
      <c r="BNZ5750" s="34">
        <v>2.5</v>
      </c>
      <c r="BOA5750" s="34">
        <v>3</v>
      </c>
      <c r="BOB5750" s="34">
        <v>3.5</v>
      </c>
      <c r="BOC5750" s="34">
        <v>4</v>
      </c>
      <c r="BOD5750" s="34">
        <v>4.5</v>
      </c>
      <c r="BOE5750" s="34">
        <v>5</v>
      </c>
      <c r="BOG5750" s="913"/>
      <c r="BOH5750" s="31">
        <v>1</v>
      </c>
      <c r="BOI5750" s="34">
        <v>0</v>
      </c>
      <c r="BOJ5750" s="34">
        <v>-1</v>
      </c>
      <c r="BOK5750" s="34">
        <v>-2</v>
      </c>
      <c r="BOL5750" s="34">
        <v>-3</v>
      </c>
      <c r="BOM5750" s="34">
        <v>-4</v>
      </c>
      <c r="BON5750" s="34">
        <v>-5</v>
      </c>
      <c r="BOO5750" s="908"/>
      <c r="BOP5750" s="909"/>
      <c r="BOQ5750" s="34">
        <v>-5</v>
      </c>
      <c r="BOR5750" s="34">
        <v>-4.5</v>
      </c>
      <c r="BOS5750" s="34">
        <v>-4</v>
      </c>
      <c r="BOT5750" s="34">
        <v>-3.5</v>
      </c>
      <c r="BOU5750" s="34">
        <v>-3</v>
      </c>
      <c r="BOV5750" s="34">
        <v>-2.5</v>
      </c>
      <c r="BOW5750" s="34">
        <v>-2</v>
      </c>
      <c r="BOX5750" s="34">
        <v>-1.5</v>
      </c>
      <c r="BOY5750" s="34">
        <v>-1</v>
      </c>
      <c r="BOZ5750" s="34">
        <v>-0.5</v>
      </c>
      <c r="BPA5750" s="34">
        <v>0</v>
      </c>
      <c r="BPB5750" s="34">
        <v>0.5</v>
      </c>
      <c r="BPC5750" s="34">
        <v>1</v>
      </c>
      <c r="BPD5750" s="34">
        <v>1.5</v>
      </c>
      <c r="BPE5750" s="34">
        <v>2</v>
      </c>
      <c r="BPF5750" s="34">
        <v>2.5</v>
      </c>
      <c r="BPG5750" s="34">
        <v>3</v>
      </c>
      <c r="BPH5750" s="34">
        <v>3.5</v>
      </c>
      <c r="BPI5750" s="34">
        <v>4</v>
      </c>
      <c r="BPJ5750" s="34">
        <v>4.5</v>
      </c>
      <c r="BPK5750" s="34">
        <v>5</v>
      </c>
      <c r="BPM5750" s="913"/>
      <c r="BPN5750" s="31">
        <v>1</v>
      </c>
      <c r="BPO5750" s="34">
        <v>0</v>
      </c>
      <c r="BPP5750" s="34">
        <v>-1</v>
      </c>
      <c r="BPQ5750" s="34">
        <v>-2</v>
      </c>
      <c r="BPR5750" s="34">
        <v>-3</v>
      </c>
      <c r="BPS5750" s="34">
        <v>-4</v>
      </c>
      <c r="BPT5750" s="34">
        <v>-5</v>
      </c>
      <c r="BPU5750" s="908"/>
      <c r="BPV5750" s="909"/>
      <c r="BPW5750" s="34">
        <v>-5</v>
      </c>
      <c r="BPX5750" s="34">
        <v>-4.5</v>
      </c>
      <c r="BPY5750" s="34">
        <v>-4</v>
      </c>
      <c r="BPZ5750" s="34">
        <v>-3.5</v>
      </c>
      <c r="BQA5750" s="34">
        <v>-3</v>
      </c>
      <c r="BQB5750" s="34">
        <v>-2.5</v>
      </c>
      <c r="BQC5750" s="34">
        <v>-2</v>
      </c>
      <c r="BQD5750" s="34">
        <v>-1.5</v>
      </c>
      <c r="BQE5750" s="34">
        <v>-1</v>
      </c>
      <c r="BQF5750" s="34">
        <v>-0.5</v>
      </c>
      <c r="BQG5750" s="34">
        <v>0</v>
      </c>
      <c r="BQH5750" s="34">
        <v>0.5</v>
      </c>
      <c r="BQI5750" s="34">
        <v>1</v>
      </c>
      <c r="BQJ5750" s="34">
        <v>1.5</v>
      </c>
      <c r="BQK5750" s="34">
        <v>2</v>
      </c>
      <c r="BQL5750" s="34">
        <v>2.5</v>
      </c>
      <c r="BQM5750" s="34">
        <v>3</v>
      </c>
      <c r="BQN5750" s="34">
        <v>3.5</v>
      </c>
      <c r="BQO5750" s="34">
        <v>4</v>
      </c>
      <c r="BQP5750" s="34">
        <v>4.5</v>
      </c>
      <c r="BQQ5750" s="34">
        <v>5</v>
      </c>
      <c r="BQS5750" s="913"/>
      <c r="BQT5750" s="31">
        <v>1</v>
      </c>
      <c r="BQU5750" s="34">
        <v>0</v>
      </c>
      <c r="BQV5750" s="34">
        <v>-1</v>
      </c>
      <c r="BQW5750" s="34">
        <v>-2</v>
      </c>
      <c r="BQX5750" s="34">
        <v>-3</v>
      </c>
      <c r="BQY5750" s="34">
        <v>-4</v>
      </c>
      <c r="BQZ5750" s="34">
        <v>-5</v>
      </c>
      <c r="BRA5750" s="908"/>
      <c r="BRB5750" s="909"/>
      <c r="BRC5750" s="34">
        <v>-5</v>
      </c>
      <c r="BRD5750" s="34">
        <v>-4.5</v>
      </c>
      <c r="BRE5750" s="34">
        <v>-4</v>
      </c>
      <c r="BRF5750" s="34">
        <v>-3.5</v>
      </c>
      <c r="BRG5750" s="34">
        <v>-3</v>
      </c>
      <c r="BRH5750" s="34">
        <v>-2.5</v>
      </c>
      <c r="BRI5750" s="34">
        <v>-2</v>
      </c>
      <c r="BRJ5750" s="34">
        <v>-1.5</v>
      </c>
      <c r="BRK5750" s="34">
        <v>-1</v>
      </c>
      <c r="BRL5750" s="34">
        <v>-0.5</v>
      </c>
      <c r="BRM5750" s="34">
        <v>0</v>
      </c>
      <c r="BRN5750" s="34">
        <v>0.5</v>
      </c>
      <c r="BRO5750" s="34">
        <v>1</v>
      </c>
      <c r="BRP5750" s="34">
        <v>1.5</v>
      </c>
      <c r="BRQ5750" s="34">
        <v>2</v>
      </c>
      <c r="BRR5750" s="34">
        <v>2.5</v>
      </c>
      <c r="BRS5750" s="34">
        <v>3</v>
      </c>
      <c r="BRT5750" s="34">
        <v>3.5</v>
      </c>
      <c r="BRU5750" s="34">
        <v>4</v>
      </c>
      <c r="BRV5750" s="34">
        <v>4.5</v>
      </c>
      <c r="BRW5750" s="34">
        <v>5</v>
      </c>
      <c r="BRY5750" s="913"/>
      <c r="BRZ5750" s="31">
        <v>1</v>
      </c>
      <c r="BSA5750" s="34">
        <v>0</v>
      </c>
      <c r="BSB5750" s="34">
        <v>-1</v>
      </c>
      <c r="BSC5750" s="34">
        <v>-2</v>
      </c>
      <c r="BSD5750" s="34">
        <v>-3</v>
      </c>
      <c r="BSE5750" s="34">
        <v>-4</v>
      </c>
      <c r="BSF5750" s="34">
        <v>-5</v>
      </c>
      <c r="BSG5750" s="908"/>
      <c r="BSH5750" s="909"/>
      <c r="BSI5750" s="34">
        <v>-5</v>
      </c>
      <c r="BSJ5750" s="34">
        <v>-4.5</v>
      </c>
      <c r="BSK5750" s="34">
        <v>-4</v>
      </c>
      <c r="BSL5750" s="34">
        <v>-3.5</v>
      </c>
      <c r="BSM5750" s="34">
        <v>-3</v>
      </c>
      <c r="BSN5750" s="34">
        <v>-2.5</v>
      </c>
      <c r="BSO5750" s="34">
        <v>-2</v>
      </c>
      <c r="BSP5750" s="34">
        <v>-1.5</v>
      </c>
      <c r="BSQ5750" s="34">
        <v>-1</v>
      </c>
      <c r="BSR5750" s="34">
        <v>-0.5</v>
      </c>
      <c r="BSS5750" s="34">
        <v>0</v>
      </c>
      <c r="BST5750" s="34">
        <v>0.5</v>
      </c>
      <c r="BSU5750" s="34">
        <v>1</v>
      </c>
      <c r="BSV5750" s="34">
        <v>1.5</v>
      </c>
      <c r="BSW5750" s="34">
        <v>2</v>
      </c>
      <c r="BSX5750" s="34">
        <v>2.5</v>
      </c>
      <c r="BSY5750" s="34">
        <v>3</v>
      </c>
      <c r="BSZ5750" s="34">
        <v>3.5</v>
      </c>
      <c r="BTA5750" s="34">
        <v>4</v>
      </c>
      <c r="BTB5750" s="34">
        <v>4.5</v>
      </c>
      <c r="BTC5750" s="34">
        <v>5</v>
      </c>
      <c r="BTE5750" s="913"/>
      <c r="BTF5750" s="31">
        <v>1</v>
      </c>
      <c r="BTG5750" s="34">
        <v>0</v>
      </c>
      <c r="BTH5750" s="34">
        <v>-1</v>
      </c>
      <c r="BTI5750" s="34">
        <v>-2</v>
      </c>
      <c r="BTJ5750" s="34">
        <v>-3</v>
      </c>
      <c r="BTK5750" s="34">
        <v>-4</v>
      </c>
      <c r="BTL5750" s="34">
        <v>-5</v>
      </c>
      <c r="BTM5750" s="908"/>
      <c r="BTN5750" s="909"/>
      <c r="BTO5750" s="34">
        <v>-5</v>
      </c>
      <c r="BTP5750" s="34">
        <v>-4.5</v>
      </c>
      <c r="BTQ5750" s="34">
        <v>-4</v>
      </c>
      <c r="BTR5750" s="34">
        <v>-3.5</v>
      </c>
      <c r="BTS5750" s="34">
        <v>-3</v>
      </c>
      <c r="BTT5750" s="34">
        <v>-2.5</v>
      </c>
      <c r="BTU5750" s="34">
        <v>-2</v>
      </c>
      <c r="BTV5750" s="34">
        <v>-1.5</v>
      </c>
      <c r="BTW5750" s="34">
        <v>-1</v>
      </c>
      <c r="BTX5750" s="34">
        <v>-0.5</v>
      </c>
      <c r="BTY5750" s="34">
        <v>0</v>
      </c>
      <c r="BTZ5750" s="34">
        <v>0.5</v>
      </c>
      <c r="BUA5750" s="34">
        <v>1</v>
      </c>
      <c r="BUB5750" s="34">
        <v>1.5</v>
      </c>
      <c r="BUC5750" s="34">
        <v>2</v>
      </c>
      <c r="BUD5750" s="34">
        <v>2.5</v>
      </c>
      <c r="BUE5750" s="34">
        <v>3</v>
      </c>
      <c r="BUF5750" s="34">
        <v>3.5</v>
      </c>
      <c r="BUG5750" s="34">
        <v>4</v>
      </c>
      <c r="BUH5750" s="34">
        <v>4.5</v>
      </c>
      <c r="BUI5750" s="34">
        <v>5</v>
      </c>
      <c r="BUK5750" s="913"/>
      <c r="BUL5750" s="31">
        <v>1</v>
      </c>
      <c r="BUM5750" s="34">
        <v>0</v>
      </c>
      <c r="BUN5750" s="34">
        <v>-1</v>
      </c>
      <c r="BUO5750" s="34">
        <v>-2</v>
      </c>
      <c r="BUP5750" s="34">
        <v>-3</v>
      </c>
      <c r="BUQ5750" s="34">
        <v>-4</v>
      </c>
      <c r="BUR5750" s="34">
        <v>-5</v>
      </c>
      <c r="BUS5750" s="908"/>
      <c r="BUT5750" s="909"/>
      <c r="BUU5750" s="34">
        <v>-5</v>
      </c>
      <c r="BUV5750" s="34">
        <v>-4.5</v>
      </c>
      <c r="BUW5750" s="34">
        <v>-4</v>
      </c>
      <c r="BUX5750" s="34">
        <v>-3.5</v>
      </c>
      <c r="BUY5750" s="34">
        <v>-3</v>
      </c>
      <c r="BUZ5750" s="34">
        <v>-2.5</v>
      </c>
      <c r="BVA5750" s="34">
        <v>-2</v>
      </c>
      <c r="BVB5750" s="34">
        <v>-1.5</v>
      </c>
      <c r="BVC5750" s="34">
        <v>-1</v>
      </c>
      <c r="BVD5750" s="34">
        <v>-0.5</v>
      </c>
      <c r="BVE5750" s="34">
        <v>0</v>
      </c>
      <c r="BVF5750" s="34">
        <v>0.5</v>
      </c>
      <c r="BVG5750" s="34">
        <v>1</v>
      </c>
      <c r="BVH5750" s="34">
        <v>1.5</v>
      </c>
      <c r="BVI5750" s="34">
        <v>2</v>
      </c>
      <c r="BVJ5750" s="34">
        <v>2.5</v>
      </c>
      <c r="BVK5750" s="34">
        <v>3</v>
      </c>
      <c r="BVL5750" s="34">
        <v>3.5</v>
      </c>
      <c r="BVM5750" s="34">
        <v>4</v>
      </c>
      <c r="BVN5750" s="34">
        <v>4.5</v>
      </c>
      <c r="BVO5750" s="34">
        <v>5</v>
      </c>
      <c r="BVQ5750" s="913"/>
      <c r="BVR5750" s="31">
        <v>1</v>
      </c>
      <c r="BVS5750" s="34">
        <v>0</v>
      </c>
      <c r="BVT5750" s="34">
        <v>-1</v>
      </c>
      <c r="BVU5750" s="34">
        <v>-2</v>
      </c>
      <c r="BVV5750" s="34">
        <v>-3</v>
      </c>
      <c r="BVW5750" s="34">
        <v>-4</v>
      </c>
      <c r="BVX5750" s="34">
        <v>-5</v>
      </c>
      <c r="BVY5750" s="908"/>
      <c r="BVZ5750" s="909"/>
      <c r="BWA5750" s="34">
        <v>-5</v>
      </c>
      <c r="BWB5750" s="34">
        <v>-4.5</v>
      </c>
      <c r="BWC5750" s="34">
        <v>-4</v>
      </c>
      <c r="BWD5750" s="34">
        <v>-3.5</v>
      </c>
      <c r="BWE5750" s="34">
        <v>-3</v>
      </c>
      <c r="BWF5750" s="34">
        <v>-2.5</v>
      </c>
      <c r="BWG5750" s="34">
        <v>-2</v>
      </c>
      <c r="BWH5750" s="34">
        <v>-1.5</v>
      </c>
      <c r="BWI5750" s="34">
        <v>-1</v>
      </c>
      <c r="BWJ5750" s="34">
        <v>-0.5</v>
      </c>
      <c r="BWK5750" s="34">
        <v>0</v>
      </c>
      <c r="BWL5750" s="34">
        <v>0.5</v>
      </c>
      <c r="BWM5750" s="34">
        <v>1</v>
      </c>
      <c r="BWN5750" s="34">
        <v>1.5</v>
      </c>
      <c r="BWO5750" s="34">
        <v>2</v>
      </c>
      <c r="BWP5750" s="34">
        <v>2.5</v>
      </c>
      <c r="BWQ5750" s="34">
        <v>3</v>
      </c>
      <c r="BWR5750" s="34">
        <v>3.5</v>
      </c>
      <c r="BWS5750" s="34">
        <v>4</v>
      </c>
      <c r="BWT5750" s="34">
        <v>4.5</v>
      </c>
      <c r="BWU5750" s="34">
        <v>5</v>
      </c>
      <c r="BWW5750" s="913"/>
      <c r="BWX5750" s="31">
        <v>1</v>
      </c>
      <c r="BWY5750" s="34">
        <v>0</v>
      </c>
      <c r="BWZ5750" s="34">
        <v>-1</v>
      </c>
      <c r="BXA5750" s="34">
        <v>-2</v>
      </c>
      <c r="BXB5750" s="34">
        <v>-3</v>
      </c>
      <c r="BXC5750" s="34">
        <v>-4</v>
      </c>
      <c r="BXD5750" s="34">
        <v>-5</v>
      </c>
      <c r="BXE5750" s="908"/>
      <c r="BXF5750" s="909"/>
      <c r="BXG5750" s="34">
        <v>-5</v>
      </c>
      <c r="BXH5750" s="34">
        <v>-4.5</v>
      </c>
      <c r="BXI5750" s="34">
        <v>-4</v>
      </c>
      <c r="BXJ5750" s="34">
        <v>-3.5</v>
      </c>
      <c r="BXK5750" s="34">
        <v>-3</v>
      </c>
      <c r="BXL5750" s="34">
        <v>-2.5</v>
      </c>
      <c r="BXM5750" s="34">
        <v>-2</v>
      </c>
      <c r="BXN5750" s="34">
        <v>-1.5</v>
      </c>
      <c r="BXO5750" s="34">
        <v>-1</v>
      </c>
      <c r="BXP5750" s="34">
        <v>-0.5</v>
      </c>
      <c r="BXQ5750" s="34">
        <v>0</v>
      </c>
      <c r="BXR5750" s="34">
        <v>0.5</v>
      </c>
      <c r="BXS5750" s="34">
        <v>1</v>
      </c>
      <c r="BXT5750" s="34">
        <v>1.5</v>
      </c>
      <c r="BXU5750" s="34">
        <v>2</v>
      </c>
      <c r="BXV5750" s="34">
        <v>2.5</v>
      </c>
      <c r="BXW5750" s="34">
        <v>3</v>
      </c>
      <c r="BXX5750" s="34">
        <v>3.5</v>
      </c>
      <c r="BXY5750" s="34">
        <v>4</v>
      </c>
      <c r="BXZ5750" s="34">
        <v>4.5</v>
      </c>
      <c r="BYA5750" s="34">
        <v>5</v>
      </c>
      <c r="BYC5750" s="913"/>
      <c r="BYD5750" s="31">
        <v>1</v>
      </c>
      <c r="BYE5750" s="34">
        <v>0</v>
      </c>
      <c r="BYF5750" s="34">
        <v>-1</v>
      </c>
      <c r="BYG5750" s="34">
        <v>-2</v>
      </c>
      <c r="BYH5750" s="34">
        <v>-3</v>
      </c>
      <c r="BYI5750" s="34">
        <v>-4</v>
      </c>
      <c r="BYJ5750" s="34">
        <v>-5</v>
      </c>
      <c r="BYK5750" s="908"/>
      <c r="BYL5750" s="909"/>
      <c r="BYM5750" s="34">
        <v>-5</v>
      </c>
      <c r="BYN5750" s="34">
        <v>-4.5</v>
      </c>
      <c r="BYO5750" s="34">
        <v>-4</v>
      </c>
      <c r="BYP5750" s="34">
        <v>-3.5</v>
      </c>
      <c r="BYQ5750" s="34">
        <v>-3</v>
      </c>
      <c r="BYR5750" s="34">
        <v>-2.5</v>
      </c>
      <c r="BYS5750" s="34">
        <v>-2</v>
      </c>
      <c r="BYT5750" s="34">
        <v>-1.5</v>
      </c>
      <c r="BYU5750" s="34">
        <v>-1</v>
      </c>
      <c r="BYV5750" s="34">
        <v>-0.5</v>
      </c>
      <c r="BYW5750" s="34">
        <v>0</v>
      </c>
      <c r="BYX5750" s="34">
        <v>0.5</v>
      </c>
      <c r="BYY5750" s="34">
        <v>1</v>
      </c>
      <c r="BYZ5750" s="34">
        <v>1.5</v>
      </c>
      <c r="BZA5750" s="34">
        <v>2</v>
      </c>
      <c r="BZB5750" s="34">
        <v>2.5</v>
      </c>
      <c r="BZC5750" s="34">
        <v>3</v>
      </c>
      <c r="BZD5750" s="34">
        <v>3.5</v>
      </c>
      <c r="BZE5750" s="34">
        <v>4</v>
      </c>
      <c r="BZF5750" s="34">
        <v>4.5</v>
      </c>
      <c r="BZG5750" s="34">
        <v>5</v>
      </c>
      <c r="BZI5750" s="913"/>
      <c r="BZJ5750" s="31">
        <v>1</v>
      </c>
      <c r="BZK5750" s="34">
        <v>0</v>
      </c>
      <c r="BZL5750" s="34">
        <v>-1</v>
      </c>
      <c r="BZM5750" s="34">
        <v>-2</v>
      </c>
      <c r="BZN5750" s="34">
        <v>-3</v>
      </c>
      <c r="BZO5750" s="34">
        <v>-4</v>
      </c>
      <c r="BZP5750" s="34">
        <v>-5</v>
      </c>
      <c r="BZQ5750" s="908"/>
      <c r="BZR5750" s="909"/>
      <c r="BZS5750" s="34">
        <v>-5</v>
      </c>
      <c r="BZT5750" s="34">
        <v>-4.5</v>
      </c>
      <c r="BZU5750" s="34">
        <v>-4</v>
      </c>
      <c r="BZV5750" s="34">
        <v>-3.5</v>
      </c>
      <c r="BZW5750" s="34">
        <v>-3</v>
      </c>
      <c r="BZX5750" s="34">
        <v>-2.5</v>
      </c>
      <c r="BZY5750" s="34">
        <v>-2</v>
      </c>
      <c r="BZZ5750" s="34">
        <v>-1.5</v>
      </c>
      <c r="CAA5750" s="34">
        <v>-1</v>
      </c>
      <c r="CAB5750" s="34">
        <v>-0.5</v>
      </c>
      <c r="CAC5750" s="34">
        <v>0</v>
      </c>
      <c r="CAD5750" s="34">
        <v>0.5</v>
      </c>
      <c r="CAE5750" s="34">
        <v>1</v>
      </c>
      <c r="CAF5750" s="34">
        <v>1.5</v>
      </c>
      <c r="CAG5750" s="34">
        <v>2</v>
      </c>
      <c r="CAH5750" s="34">
        <v>2.5</v>
      </c>
      <c r="CAI5750" s="34">
        <v>3</v>
      </c>
      <c r="CAJ5750" s="34">
        <v>3.5</v>
      </c>
      <c r="CAK5750" s="34">
        <v>4</v>
      </c>
      <c r="CAL5750" s="34">
        <v>4.5</v>
      </c>
      <c r="CAM5750" s="34">
        <v>5</v>
      </c>
      <c r="CAO5750" s="913"/>
      <c r="CAP5750" s="31">
        <v>1</v>
      </c>
      <c r="CAQ5750" s="34">
        <v>0</v>
      </c>
      <c r="CAR5750" s="34">
        <v>-1</v>
      </c>
      <c r="CAS5750" s="34">
        <v>-2</v>
      </c>
      <c r="CAT5750" s="34">
        <v>-3</v>
      </c>
      <c r="CAU5750" s="34">
        <v>-4</v>
      </c>
      <c r="CAV5750" s="34">
        <v>-5</v>
      </c>
      <c r="CAW5750" s="908"/>
      <c r="CAX5750" s="909"/>
      <c r="CAY5750" s="34">
        <v>-5</v>
      </c>
      <c r="CAZ5750" s="34">
        <v>-4.5</v>
      </c>
      <c r="CBA5750" s="34">
        <v>-4</v>
      </c>
      <c r="CBB5750" s="34">
        <v>-3.5</v>
      </c>
      <c r="CBC5750" s="34">
        <v>-3</v>
      </c>
      <c r="CBD5750" s="34">
        <v>-2.5</v>
      </c>
      <c r="CBE5750" s="34">
        <v>-2</v>
      </c>
      <c r="CBF5750" s="34">
        <v>-1.5</v>
      </c>
      <c r="CBG5750" s="34">
        <v>-1</v>
      </c>
      <c r="CBH5750" s="34">
        <v>-0.5</v>
      </c>
      <c r="CBI5750" s="34">
        <v>0</v>
      </c>
      <c r="CBJ5750" s="34">
        <v>0.5</v>
      </c>
      <c r="CBK5750" s="34">
        <v>1</v>
      </c>
      <c r="CBL5750" s="34">
        <v>1.5</v>
      </c>
      <c r="CBM5750" s="34">
        <v>2</v>
      </c>
      <c r="CBN5750" s="34">
        <v>2.5</v>
      </c>
      <c r="CBO5750" s="34">
        <v>3</v>
      </c>
      <c r="CBP5750" s="34">
        <v>3.5</v>
      </c>
      <c r="CBQ5750" s="34">
        <v>4</v>
      </c>
      <c r="CBR5750" s="34">
        <v>4.5</v>
      </c>
      <c r="CBS5750" s="34">
        <v>5</v>
      </c>
      <c r="CBU5750" s="913"/>
      <c r="CBV5750" s="31">
        <v>1</v>
      </c>
      <c r="CBW5750" s="34">
        <v>0</v>
      </c>
      <c r="CBX5750" s="34">
        <v>-1</v>
      </c>
      <c r="CBY5750" s="34">
        <v>-2</v>
      </c>
      <c r="CBZ5750" s="34">
        <v>-3</v>
      </c>
      <c r="CCA5750" s="34">
        <v>-4</v>
      </c>
      <c r="CCB5750" s="34">
        <v>-5</v>
      </c>
      <c r="CCC5750" s="908"/>
      <c r="CCD5750" s="909"/>
      <c r="CCE5750" s="34">
        <v>-5</v>
      </c>
      <c r="CCF5750" s="34">
        <v>-4.5</v>
      </c>
      <c r="CCG5750" s="34">
        <v>-4</v>
      </c>
      <c r="CCH5750" s="34">
        <v>-3.5</v>
      </c>
      <c r="CCI5750" s="34">
        <v>-3</v>
      </c>
      <c r="CCJ5750" s="34">
        <v>-2.5</v>
      </c>
      <c r="CCK5750" s="34">
        <v>-2</v>
      </c>
      <c r="CCL5750" s="34">
        <v>-1.5</v>
      </c>
      <c r="CCM5750" s="34">
        <v>-1</v>
      </c>
      <c r="CCN5750" s="34">
        <v>-0.5</v>
      </c>
      <c r="CCO5750" s="34">
        <v>0</v>
      </c>
      <c r="CCP5750" s="34">
        <v>0.5</v>
      </c>
      <c r="CCQ5750" s="34">
        <v>1</v>
      </c>
      <c r="CCR5750" s="34">
        <v>1.5</v>
      </c>
      <c r="CCS5750" s="34">
        <v>2</v>
      </c>
      <c r="CCT5750" s="34">
        <v>2.5</v>
      </c>
      <c r="CCU5750" s="34">
        <v>3</v>
      </c>
      <c r="CCV5750" s="34">
        <v>3.5</v>
      </c>
      <c r="CCW5750" s="34">
        <v>4</v>
      </c>
      <c r="CCX5750" s="34">
        <v>4.5</v>
      </c>
      <c r="CCY5750" s="34">
        <v>5</v>
      </c>
      <c r="CDA5750" s="913"/>
      <c r="CDB5750" s="31">
        <v>1</v>
      </c>
      <c r="CDC5750" s="34">
        <v>0</v>
      </c>
      <c r="CDD5750" s="34">
        <v>-1</v>
      </c>
      <c r="CDE5750" s="34">
        <v>-2</v>
      </c>
      <c r="CDF5750" s="34">
        <v>-3</v>
      </c>
      <c r="CDG5750" s="34">
        <v>-4</v>
      </c>
      <c r="CDH5750" s="34">
        <v>-5</v>
      </c>
      <c r="CDI5750" s="908"/>
      <c r="CDJ5750" s="909"/>
      <c r="CDK5750" s="34">
        <v>-5</v>
      </c>
      <c r="CDL5750" s="34">
        <v>-4.5</v>
      </c>
      <c r="CDM5750" s="34">
        <v>-4</v>
      </c>
      <c r="CDN5750" s="34">
        <v>-3.5</v>
      </c>
      <c r="CDO5750" s="34">
        <v>-3</v>
      </c>
      <c r="CDP5750" s="34">
        <v>-2.5</v>
      </c>
      <c r="CDQ5750" s="34">
        <v>-2</v>
      </c>
      <c r="CDR5750" s="34">
        <v>-1.5</v>
      </c>
      <c r="CDS5750" s="34">
        <v>-1</v>
      </c>
      <c r="CDT5750" s="34">
        <v>-0.5</v>
      </c>
      <c r="CDU5750" s="34">
        <v>0</v>
      </c>
      <c r="CDV5750" s="34">
        <v>0.5</v>
      </c>
      <c r="CDW5750" s="34">
        <v>1</v>
      </c>
      <c r="CDX5750" s="34">
        <v>1.5</v>
      </c>
      <c r="CDY5750" s="34">
        <v>2</v>
      </c>
      <c r="CDZ5750" s="34">
        <v>2.5</v>
      </c>
      <c r="CEA5750" s="34">
        <v>3</v>
      </c>
      <c r="CEB5750" s="34">
        <v>3.5</v>
      </c>
      <c r="CEC5750" s="34">
        <v>4</v>
      </c>
      <c r="CED5750" s="34">
        <v>4.5</v>
      </c>
      <c r="CEE5750" s="34">
        <v>5</v>
      </c>
      <c r="CEG5750" s="913"/>
      <c r="CEH5750" s="31">
        <v>1</v>
      </c>
      <c r="CEI5750" s="34">
        <v>0</v>
      </c>
      <c r="CEJ5750" s="34">
        <v>-1</v>
      </c>
      <c r="CEK5750" s="34">
        <v>-2</v>
      </c>
      <c r="CEL5750" s="34">
        <v>-3</v>
      </c>
      <c r="CEM5750" s="34">
        <v>-4</v>
      </c>
      <c r="CEN5750" s="34">
        <v>-5</v>
      </c>
      <c r="CEO5750" s="908"/>
      <c r="CEP5750" s="909"/>
      <c r="CEQ5750" s="34">
        <v>-5</v>
      </c>
      <c r="CER5750" s="34">
        <v>-4.5</v>
      </c>
      <c r="CES5750" s="34">
        <v>-4</v>
      </c>
      <c r="CET5750" s="34">
        <v>-3.5</v>
      </c>
      <c r="CEU5750" s="34">
        <v>-3</v>
      </c>
      <c r="CEV5750" s="34">
        <v>-2.5</v>
      </c>
      <c r="CEW5750" s="34">
        <v>-2</v>
      </c>
      <c r="CEX5750" s="34">
        <v>-1.5</v>
      </c>
      <c r="CEY5750" s="34">
        <v>-1</v>
      </c>
      <c r="CEZ5750" s="34">
        <v>-0.5</v>
      </c>
      <c r="CFA5750" s="34">
        <v>0</v>
      </c>
      <c r="CFB5750" s="34">
        <v>0.5</v>
      </c>
      <c r="CFC5750" s="34">
        <v>1</v>
      </c>
      <c r="CFD5750" s="34">
        <v>1.5</v>
      </c>
      <c r="CFE5750" s="34">
        <v>2</v>
      </c>
      <c r="CFF5750" s="34">
        <v>2.5</v>
      </c>
      <c r="CFG5750" s="34">
        <v>3</v>
      </c>
      <c r="CFH5750" s="34">
        <v>3.5</v>
      </c>
      <c r="CFI5750" s="34">
        <v>4</v>
      </c>
      <c r="CFJ5750" s="34">
        <v>4.5</v>
      </c>
      <c r="CFK5750" s="34">
        <v>5</v>
      </c>
      <c r="CFM5750" s="913"/>
      <c r="CFN5750" s="31">
        <v>1</v>
      </c>
      <c r="CFO5750" s="34">
        <v>0</v>
      </c>
      <c r="CFP5750" s="34">
        <v>-1</v>
      </c>
      <c r="CFQ5750" s="34">
        <v>-2</v>
      </c>
      <c r="CFR5750" s="34">
        <v>-3</v>
      </c>
      <c r="CFS5750" s="34">
        <v>-4</v>
      </c>
      <c r="CFT5750" s="34">
        <v>-5</v>
      </c>
      <c r="CFU5750" s="908"/>
      <c r="CFV5750" s="909"/>
      <c r="CFW5750" s="34">
        <v>-5</v>
      </c>
      <c r="CFX5750" s="34">
        <v>-4.5</v>
      </c>
      <c r="CFY5750" s="34">
        <v>-4</v>
      </c>
      <c r="CFZ5750" s="34">
        <v>-3.5</v>
      </c>
      <c r="CGA5750" s="34">
        <v>-3</v>
      </c>
      <c r="CGB5750" s="34">
        <v>-2.5</v>
      </c>
      <c r="CGC5750" s="34">
        <v>-2</v>
      </c>
      <c r="CGD5750" s="34">
        <v>-1.5</v>
      </c>
      <c r="CGE5750" s="34">
        <v>-1</v>
      </c>
      <c r="CGF5750" s="34">
        <v>-0.5</v>
      </c>
      <c r="CGG5750" s="34">
        <v>0</v>
      </c>
      <c r="CGH5750" s="34">
        <v>0.5</v>
      </c>
      <c r="CGI5750" s="34">
        <v>1</v>
      </c>
      <c r="CGJ5750" s="34">
        <v>1.5</v>
      </c>
      <c r="CGK5750" s="34">
        <v>2</v>
      </c>
      <c r="CGL5750" s="34">
        <v>2.5</v>
      </c>
      <c r="CGM5750" s="34">
        <v>3</v>
      </c>
      <c r="CGN5750" s="34">
        <v>3.5</v>
      </c>
      <c r="CGO5750" s="34">
        <v>4</v>
      </c>
      <c r="CGP5750" s="34">
        <v>4.5</v>
      </c>
      <c r="CGQ5750" s="34">
        <v>5</v>
      </c>
      <c r="CGS5750" s="913"/>
      <c r="CGT5750" s="31">
        <v>1</v>
      </c>
      <c r="CGU5750" s="34">
        <v>0</v>
      </c>
      <c r="CGV5750" s="34">
        <v>-1</v>
      </c>
      <c r="CGW5750" s="34">
        <v>-2</v>
      </c>
      <c r="CGX5750" s="34">
        <v>-3</v>
      </c>
      <c r="CGY5750" s="34">
        <v>-4</v>
      </c>
      <c r="CGZ5750" s="34">
        <v>-5</v>
      </c>
      <c r="CHA5750" s="908"/>
      <c r="CHB5750" s="909"/>
      <c r="CHC5750" s="34">
        <v>-5</v>
      </c>
      <c r="CHD5750" s="34">
        <v>-4.5</v>
      </c>
      <c r="CHE5750" s="34">
        <v>-4</v>
      </c>
      <c r="CHF5750" s="34">
        <v>-3.5</v>
      </c>
      <c r="CHG5750" s="34">
        <v>-3</v>
      </c>
      <c r="CHH5750" s="34">
        <v>-2.5</v>
      </c>
      <c r="CHI5750" s="34">
        <v>-2</v>
      </c>
      <c r="CHJ5750" s="34">
        <v>-1.5</v>
      </c>
      <c r="CHK5750" s="34">
        <v>-1</v>
      </c>
      <c r="CHL5750" s="34">
        <v>-0.5</v>
      </c>
      <c r="CHM5750" s="34">
        <v>0</v>
      </c>
      <c r="CHN5750" s="34">
        <v>0.5</v>
      </c>
      <c r="CHO5750" s="34">
        <v>1</v>
      </c>
      <c r="CHP5750" s="34">
        <v>1.5</v>
      </c>
      <c r="CHQ5750" s="34">
        <v>2</v>
      </c>
      <c r="CHR5750" s="34">
        <v>2.5</v>
      </c>
      <c r="CHS5750" s="34">
        <v>3</v>
      </c>
      <c r="CHT5750" s="34">
        <v>3.5</v>
      </c>
      <c r="CHU5750" s="34">
        <v>4</v>
      </c>
      <c r="CHV5750" s="34">
        <v>4.5</v>
      </c>
      <c r="CHW5750" s="34">
        <v>5</v>
      </c>
      <c r="CHY5750" s="913"/>
      <c r="CHZ5750" s="31">
        <v>1</v>
      </c>
      <c r="CIA5750" s="34">
        <v>0</v>
      </c>
      <c r="CIB5750" s="34">
        <v>-1</v>
      </c>
      <c r="CIC5750" s="34">
        <v>-2</v>
      </c>
      <c r="CID5750" s="34">
        <v>-3</v>
      </c>
      <c r="CIE5750" s="34">
        <v>-4</v>
      </c>
      <c r="CIF5750" s="34">
        <v>-5</v>
      </c>
      <c r="CIG5750" s="908"/>
      <c r="CIH5750" s="909"/>
      <c r="CII5750" s="34">
        <v>-5</v>
      </c>
      <c r="CIJ5750" s="34">
        <v>-4.5</v>
      </c>
      <c r="CIK5750" s="34">
        <v>-4</v>
      </c>
      <c r="CIL5750" s="34">
        <v>-3.5</v>
      </c>
      <c r="CIM5750" s="34">
        <v>-3</v>
      </c>
      <c r="CIN5750" s="34">
        <v>-2.5</v>
      </c>
      <c r="CIO5750" s="34">
        <v>-2</v>
      </c>
      <c r="CIP5750" s="34">
        <v>-1.5</v>
      </c>
      <c r="CIQ5750" s="34">
        <v>-1</v>
      </c>
      <c r="CIR5750" s="34">
        <v>-0.5</v>
      </c>
      <c r="CIS5750" s="34">
        <v>0</v>
      </c>
      <c r="CIT5750" s="34">
        <v>0.5</v>
      </c>
      <c r="CIU5750" s="34">
        <v>1</v>
      </c>
      <c r="CIV5750" s="34">
        <v>1.5</v>
      </c>
      <c r="CIW5750" s="34">
        <v>2</v>
      </c>
      <c r="CIX5750" s="34">
        <v>2.5</v>
      </c>
      <c r="CIY5750" s="34">
        <v>3</v>
      </c>
      <c r="CIZ5750" s="34">
        <v>3.5</v>
      </c>
      <c r="CJA5750" s="34">
        <v>4</v>
      </c>
      <c r="CJB5750" s="34">
        <v>4.5</v>
      </c>
      <c r="CJC5750" s="34">
        <v>5</v>
      </c>
      <c r="CJE5750" s="913"/>
      <c r="CJF5750" s="31">
        <v>1</v>
      </c>
      <c r="CJG5750" s="34">
        <v>0</v>
      </c>
      <c r="CJH5750" s="34">
        <v>-1</v>
      </c>
      <c r="CJI5750" s="34">
        <v>-2</v>
      </c>
      <c r="CJJ5750" s="34">
        <v>-3</v>
      </c>
      <c r="CJK5750" s="34">
        <v>-4</v>
      </c>
      <c r="CJL5750" s="34">
        <v>-5</v>
      </c>
      <c r="CJM5750" s="908"/>
      <c r="CJN5750" s="909"/>
      <c r="CJO5750" s="34">
        <v>-5</v>
      </c>
      <c r="CJP5750" s="34">
        <v>-4.5</v>
      </c>
      <c r="CJQ5750" s="34">
        <v>-4</v>
      </c>
      <c r="CJR5750" s="34">
        <v>-3.5</v>
      </c>
      <c r="CJS5750" s="34">
        <v>-3</v>
      </c>
      <c r="CJT5750" s="34">
        <v>-2.5</v>
      </c>
      <c r="CJU5750" s="34">
        <v>-2</v>
      </c>
      <c r="CJV5750" s="34">
        <v>-1.5</v>
      </c>
      <c r="CJW5750" s="34">
        <v>-1</v>
      </c>
      <c r="CJX5750" s="34">
        <v>-0.5</v>
      </c>
      <c r="CJY5750" s="34">
        <v>0</v>
      </c>
      <c r="CJZ5750" s="34">
        <v>0.5</v>
      </c>
      <c r="CKA5750" s="34">
        <v>1</v>
      </c>
      <c r="CKB5750" s="34">
        <v>1.5</v>
      </c>
      <c r="CKC5750" s="34">
        <v>2</v>
      </c>
      <c r="CKD5750" s="34">
        <v>2.5</v>
      </c>
      <c r="CKE5750" s="34">
        <v>3</v>
      </c>
      <c r="CKF5750" s="34">
        <v>3.5</v>
      </c>
      <c r="CKG5750" s="34">
        <v>4</v>
      </c>
      <c r="CKH5750" s="34">
        <v>4.5</v>
      </c>
      <c r="CKI5750" s="34">
        <v>5</v>
      </c>
      <c r="CKK5750" s="913"/>
      <c r="CKL5750" s="31">
        <v>1</v>
      </c>
      <c r="CKM5750" s="34">
        <v>0</v>
      </c>
      <c r="CKN5750" s="34">
        <v>-1</v>
      </c>
      <c r="CKO5750" s="34">
        <v>-2</v>
      </c>
      <c r="CKP5750" s="34">
        <v>-3</v>
      </c>
      <c r="CKQ5750" s="34">
        <v>-4</v>
      </c>
      <c r="CKR5750" s="34">
        <v>-5</v>
      </c>
      <c r="CKS5750" s="908"/>
      <c r="CKT5750" s="909"/>
      <c r="CKU5750" s="34">
        <v>-5</v>
      </c>
      <c r="CKV5750" s="34">
        <v>-4.5</v>
      </c>
      <c r="CKW5750" s="34">
        <v>-4</v>
      </c>
      <c r="CKX5750" s="34">
        <v>-3.5</v>
      </c>
      <c r="CKY5750" s="34">
        <v>-3</v>
      </c>
      <c r="CKZ5750" s="34">
        <v>-2.5</v>
      </c>
      <c r="CLA5750" s="34">
        <v>-2</v>
      </c>
      <c r="CLB5750" s="34">
        <v>-1.5</v>
      </c>
      <c r="CLC5750" s="34">
        <v>-1</v>
      </c>
      <c r="CLD5750" s="34">
        <v>-0.5</v>
      </c>
      <c r="CLE5750" s="34">
        <v>0</v>
      </c>
      <c r="CLF5750" s="34">
        <v>0.5</v>
      </c>
      <c r="CLG5750" s="34">
        <v>1</v>
      </c>
      <c r="CLH5750" s="34">
        <v>1.5</v>
      </c>
      <c r="CLI5750" s="34">
        <v>2</v>
      </c>
      <c r="CLJ5750" s="34">
        <v>2.5</v>
      </c>
      <c r="CLK5750" s="34">
        <v>3</v>
      </c>
      <c r="CLL5750" s="34">
        <v>3.5</v>
      </c>
      <c r="CLM5750" s="34">
        <v>4</v>
      </c>
      <c r="CLN5750" s="34">
        <v>4.5</v>
      </c>
      <c r="CLO5750" s="34">
        <v>5</v>
      </c>
      <c r="CLQ5750" s="913"/>
      <c r="CLR5750" s="31">
        <v>1</v>
      </c>
      <c r="CLS5750" s="34">
        <v>0</v>
      </c>
      <c r="CLT5750" s="34">
        <v>-1</v>
      </c>
      <c r="CLU5750" s="34">
        <v>-2</v>
      </c>
      <c r="CLV5750" s="34">
        <v>-3</v>
      </c>
      <c r="CLW5750" s="34">
        <v>-4</v>
      </c>
      <c r="CLX5750" s="34">
        <v>-5</v>
      </c>
      <c r="CLY5750" s="908"/>
      <c r="CLZ5750" s="909"/>
      <c r="CMA5750" s="34">
        <v>-5</v>
      </c>
      <c r="CMB5750" s="34">
        <v>-4.5</v>
      </c>
      <c r="CMC5750" s="34">
        <v>-4</v>
      </c>
      <c r="CMD5750" s="34">
        <v>-3.5</v>
      </c>
      <c r="CME5750" s="34">
        <v>-3</v>
      </c>
      <c r="CMF5750" s="34">
        <v>-2.5</v>
      </c>
      <c r="CMG5750" s="34">
        <v>-2</v>
      </c>
      <c r="CMH5750" s="34">
        <v>-1.5</v>
      </c>
      <c r="CMI5750" s="34">
        <v>-1</v>
      </c>
      <c r="CMJ5750" s="34">
        <v>-0.5</v>
      </c>
      <c r="CMK5750" s="34">
        <v>0</v>
      </c>
      <c r="CML5750" s="34">
        <v>0.5</v>
      </c>
      <c r="CMM5750" s="34">
        <v>1</v>
      </c>
      <c r="CMN5750" s="34">
        <v>1.5</v>
      </c>
      <c r="CMO5750" s="34">
        <v>2</v>
      </c>
      <c r="CMP5750" s="34">
        <v>2.5</v>
      </c>
      <c r="CMQ5750" s="34">
        <v>3</v>
      </c>
      <c r="CMR5750" s="34">
        <v>3.5</v>
      </c>
      <c r="CMS5750" s="34">
        <v>4</v>
      </c>
      <c r="CMT5750" s="34">
        <v>4.5</v>
      </c>
      <c r="CMU5750" s="34">
        <v>5</v>
      </c>
      <c r="CMW5750" s="913"/>
      <c r="CMX5750" s="31">
        <v>1</v>
      </c>
      <c r="CMY5750" s="34">
        <v>0</v>
      </c>
      <c r="CMZ5750" s="34">
        <v>-1</v>
      </c>
      <c r="CNA5750" s="34">
        <v>-2</v>
      </c>
      <c r="CNB5750" s="34">
        <v>-3</v>
      </c>
      <c r="CNC5750" s="34">
        <v>-4</v>
      </c>
      <c r="CND5750" s="34">
        <v>-5</v>
      </c>
      <c r="CNE5750" s="908"/>
      <c r="CNF5750" s="909"/>
      <c r="CNG5750" s="34">
        <v>-5</v>
      </c>
      <c r="CNH5750" s="34">
        <v>-4.5</v>
      </c>
      <c r="CNI5750" s="34">
        <v>-4</v>
      </c>
      <c r="CNJ5750" s="34">
        <v>-3.5</v>
      </c>
      <c r="CNK5750" s="34">
        <v>-3</v>
      </c>
      <c r="CNL5750" s="34">
        <v>-2.5</v>
      </c>
      <c r="CNM5750" s="34">
        <v>-2</v>
      </c>
      <c r="CNN5750" s="34">
        <v>-1.5</v>
      </c>
      <c r="CNO5750" s="34">
        <v>-1</v>
      </c>
      <c r="CNP5750" s="34">
        <v>-0.5</v>
      </c>
      <c r="CNQ5750" s="34">
        <v>0</v>
      </c>
      <c r="CNR5750" s="34">
        <v>0.5</v>
      </c>
      <c r="CNS5750" s="34">
        <v>1</v>
      </c>
      <c r="CNT5750" s="34">
        <v>1.5</v>
      </c>
      <c r="CNU5750" s="34">
        <v>2</v>
      </c>
      <c r="CNV5750" s="34">
        <v>2.5</v>
      </c>
      <c r="CNW5750" s="34">
        <v>3</v>
      </c>
      <c r="CNX5750" s="34">
        <v>3.5</v>
      </c>
      <c r="CNY5750" s="34">
        <v>4</v>
      </c>
      <c r="CNZ5750" s="34">
        <v>4.5</v>
      </c>
      <c r="COA5750" s="34">
        <v>5</v>
      </c>
      <c r="COC5750" s="913"/>
      <c r="COD5750" s="31">
        <v>1</v>
      </c>
      <c r="COE5750" s="34">
        <v>0</v>
      </c>
      <c r="COF5750" s="34">
        <v>-1</v>
      </c>
      <c r="COG5750" s="34">
        <v>-2</v>
      </c>
      <c r="COH5750" s="34">
        <v>-3</v>
      </c>
      <c r="COI5750" s="34">
        <v>-4</v>
      </c>
      <c r="COJ5750" s="34">
        <v>-5</v>
      </c>
      <c r="COK5750" s="908"/>
      <c r="COL5750" s="909"/>
      <c r="COM5750" s="34">
        <v>-5</v>
      </c>
      <c r="CON5750" s="34">
        <v>-4.5</v>
      </c>
      <c r="COO5750" s="34">
        <v>-4</v>
      </c>
      <c r="COP5750" s="34">
        <v>-3.5</v>
      </c>
      <c r="COQ5750" s="34">
        <v>-3</v>
      </c>
      <c r="COR5750" s="34">
        <v>-2.5</v>
      </c>
      <c r="COS5750" s="34">
        <v>-2</v>
      </c>
      <c r="COT5750" s="34">
        <v>-1.5</v>
      </c>
      <c r="COU5750" s="34">
        <v>-1</v>
      </c>
      <c r="COV5750" s="34">
        <v>-0.5</v>
      </c>
      <c r="COW5750" s="34">
        <v>0</v>
      </c>
      <c r="COX5750" s="34">
        <v>0.5</v>
      </c>
      <c r="COY5750" s="34">
        <v>1</v>
      </c>
      <c r="COZ5750" s="34">
        <v>1.5</v>
      </c>
      <c r="CPA5750" s="34">
        <v>2</v>
      </c>
      <c r="CPB5750" s="34">
        <v>2.5</v>
      </c>
      <c r="CPC5750" s="34">
        <v>3</v>
      </c>
      <c r="CPD5750" s="34">
        <v>3.5</v>
      </c>
      <c r="CPE5750" s="34">
        <v>4</v>
      </c>
      <c r="CPF5750" s="34">
        <v>4.5</v>
      </c>
      <c r="CPG5750" s="34">
        <v>5</v>
      </c>
      <c r="CPI5750" s="913"/>
      <c r="CPJ5750" s="31">
        <v>1</v>
      </c>
      <c r="CPK5750" s="34">
        <v>0</v>
      </c>
      <c r="CPL5750" s="34">
        <v>-1</v>
      </c>
      <c r="CPM5750" s="34">
        <v>-2</v>
      </c>
      <c r="CPN5750" s="34">
        <v>-3</v>
      </c>
      <c r="CPO5750" s="34">
        <v>-4</v>
      </c>
      <c r="CPP5750" s="34">
        <v>-5</v>
      </c>
      <c r="CPQ5750" s="908"/>
      <c r="CPR5750" s="909"/>
      <c r="CPS5750" s="34">
        <v>-5</v>
      </c>
      <c r="CPT5750" s="34">
        <v>-4.5</v>
      </c>
      <c r="CPU5750" s="34">
        <v>-4</v>
      </c>
      <c r="CPV5750" s="34">
        <v>-3.5</v>
      </c>
      <c r="CPW5750" s="34">
        <v>-3</v>
      </c>
      <c r="CPX5750" s="34">
        <v>-2.5</v>
      </c>
      <c r="CPY5750" s="34">
        <v>-2</v>
      </c>
      <c r="CPZ5750" s="34">
        <v>-1.5</v>
      </c>
      <c r="CQA5750" s="34">
        <v>-1</v>
      </c>
      <c r="CQB5750" s="34">
        <v>-0.5</v>
      </c>
      <c r="CQC5750" s="34">
        <v>0</v>
      </c>
      <c r="CQD5750" s="34">
        <v>0.5</v>
      </c>
      <c r="CQE5750" s="34">
        <v>1</v>
      </c>
      <c r="CQF5750" s="34">
        <v>1.5</v>
      </c>
      <c r="CQG5750" s="34">
        <v>2</v>
      </c>
      <c r="CQH5750" s="34">
        <v>2.5</v>
      </c>
      <c r="CQI5750" s="34">
        <v>3</v>
      </c>
      <c r="CQJ5750" s="34">
        <v>3.5</v>
      </c>
      <c r="CQK5750" s="34">
        <v>4</v>
      </c>
      <c r="CQL5750" s="34">
        <v>4.5</v>
      </c>
      <c r="CQM5750" s="34">
        <v>5</v>
      </c>
      <c r="CQO5750" s="913"/>
      <c r="CQP5750" s="31">
        <v>1</v>
      </c>
      <c r="CQQ5750" s="34">
        <v>0</v>
      </c>
      <c r="CQR5750" s="34">
        <v>-1</v>
      </c>
      <c r="CQS5750" s="34">
        <v>-2</v>
      </c>
      <c r="CQT5750" s="34">
        <v>-3</v>
      </c>
      <c r="CQU5750" s="34">
        <v>-4</v>
      </c>
      <c r="CQV5750" s="34">
        <v>-5</v>
      </c>
      <c r="CQW5750" s="908"/>
      <c r="CQX5750" s="909"/>
      <c r="CQY5750" s="34">
        <v>-5</v>
      </c>
      <c r="CQZ5750" s="34">
        <v>-4.5</v>
      </c>
      <c r="CRA5750" s="34">
        <v>-4</v>
      </c>
      <c r="CRB5750" s="34">
        <v>-3.5</v>
      </c>
      <c r="CRC5750" s="34">
        <v>-3</v>
      </c>
      <c r="CRD5750" s="34">
        <v>-2.5</v>
      </c>
      <c r="CRE5750" s="34">
        <v>-2</v>
      </c>
      <c r="CRF5750" s="34">
        <v>-1.5</v>
      </c>
      <c r="CRG5750" s="34">
        <v>-1</v>
      </c>
      <c r="CRH5750" s="34">
        <v>-0.5</v>
      </c>
      <c r="CRI5750" s="34">
        <v>0</v>
      </c>
      <c r="CRJ5750" s="34">
        <v>0.5</v>
      </c>
      <c r="CRK5750" s="34">
        <v>1</v>
      </c>
      <c r="CRL5750" s="34">
        <v>1.5</v>
      </c>
      <c r="CRM5750" s="34">
        <v>2</v>
      </c>
      <c r="CRN5750" s="34">
        <v>2.5</v>
      </c>
      <c r="CRO5750" s="34">
        <v>3</v>
      </c>
      <c r="CRP5750" s="34">
        <v>3.5</v>
      </c>
      <c r="CRQ5750" s="34">
        <v>4</v>
      </c>
      <c r="CRR5750" s="34">
        <v>4.5</v>
      </c>
      <c r="CRS5750" s="34">
        <v>5</v>
      </c>
      <c r="CRU5750" s="913"/>
      <c r="CRV5750" s="31">
        <v>1</v>
      </c>
      <c r="CRW5750" s="34">
        <v>0</v>
      </c>
      <c r="CRX5750" s="34">
        <v>-1</v>
      </c>
      <c r="CRY5750" s="34">
        <v>-2</v>
      </c>
      <c r="CRZ5750" s="34">
        <v>-3</v>
      </c>
      <c r="CSA5750" s="34">
        <v>-4</v>
      </c>
      <c r="CSB5750" s="34">
        <v>-5</v>
      </c>
      <c r="CSC5750" s="908"/>
      <c r="CSD5750" s="909"/>
      <c r="CSE5750" s="34">
        <v>-5</v>
      </c>
      <c r="CSF5750" s="34">
        <v>-4.5</v>
      </c>
      <c r="CSG5750" s="34">
        <v>-4</v>
      </c>
      <c r="CSH5750" s="34">
        <v>-3.5</v>
      </c>
      <c r="CSI5750" s="34">
        <v>-3</v>
      </c>
      <c r="CSJ5750" s="34">
        <v>-2.5</v>
      </c>
      <c r="CSK5750" s="34">
        <v>-2</v>
      </c>
      <c r="CSL5750" s="34">
        <v>-1.5</v>
      </c>
      <c r="CSM5750" s="34">
        <v>-1</v>
      </c>
      <c r="CSN5750" s="34">
        <v>-0.5</v>
      </c>
      <c r="CSO5750" s="34">
        <v>0</v>
      </c>
      <c r="CSP5750" s="34">
        <v>0.5</v>
      </c>
      <c r="CSQ5750" s="34">
        <v>1</v>
      </c>
      <c r="CSR5750" s="34">
        <v>1.5</v>
      </c>
      <c r="CSS5750" s="34">
        <v>2</v>
      </c>
      <c r="CST5750" s="34">
        <v>2.5</v>
      </c>
      <c r="CSU5750" s="34">
        <v>3</v>
      </c>
      <c r="CSV5750" s="34">
        <v>3.5</v>
      </c>
      <c r="CSW5750" s="34">
        <v>4</v>
      </c>
      <c r="CSX5750" s="34">
        <v>4.5</v>
      </c>
      <c r="CSY5750" s="34">
        <v>5</v>
      </c>
      <c r="CTA5750" s="913"/>
      <c r="CTB5750" s="31">
        <v>1</v>
      </c>
      <c r="CTC5750" s="34">
        <v>0</v>
      </c>
      <c r="CTD5750" s="34">
        <v>-1</v>
      </c>
      <c r="CTE5750" s="34">
        <v>-2</v>
      </c>
      <c r="CTF5750" s="34">
        <v>-3</v>
      </c>
      <c r="CTG5750" s="34">
        <v>-4</v>
      </c>
      <c r="CTH5750" s="34">
        <v>-5</v>
      </c>
      <c r="CTI5750" s="908"/>
      <c r="CTJ5750" s="909"/>
      <c r="CTK5750" s="34">
        <v>-5</v>
      </c>
      <c r="CTL5750" s="34">
        <v>-4.5</v>
      </c>
      <c r="CTM5750" s="34">
        <v>-4</v>
      </c>
      <c r="CTN5750" s="34">
        <v>-3.5</v>
      </c>
      <c r="CTO5750" s="34">
        <v>-3</v>
      </c>
      <c r="CTP5750" s="34">
        <v>-2.5</v>
      </c>
      <c r="CTQ5750" s="34">
        <v>-2</v>
      </c>
      <c r="CTR5750" s="34">
        <v>-1.5</v>
      </c>
      <c r="CTS5750" s="34">
        <v>-1</v>
      </c>
      <c r="CTT5750" s="34">
        <v>-0.5</v>
      </c>
      <c r="CTU5750" s="34">
        <v>0</v>
      </c>
      <c r="CTV5750" s="34">
        <v>0.5</v>
      </c>
      <c r="CTW5750" s="34">
        <v>1</v>
      </c>
      <c r="CTX5750" s="34">
        <v>1.5</v>
      </c>
      <c r="CTY5750" s="34">
        <v>2</v>
      </c>
      <c r="CTZ5750" s="34">
        <v>2.5</v>
      </c>
      <c r="CUA5750" s="34">
        <v>3</v>
      </c>
      <c r="CUB5750" s="34">
        <v>3.5</v>
      </c>
      <c r="CUC5750" s="34">
        <v>4</v>
      </c>
      <c r="CUD5750" s="34">
        <v>4.5</v>
      </c>
      <c r="CUE5750" s="34">
        <v>5</v>
      </c>
      <c r="CUG5750" s="913"/>
      <c r="CUH5750" s="31">
        <v>1</v>
      </c>
      <c r="CUI5750" s="34">
        <v>0</v>
      </c>
      <c r="CUJ5750" s="34">
        <v>-1</v>
      </c>
      <c r="CUK5750" s="34">
        <v>-2</v>
      </c>
      <c r="CUL5750" s="34">
        <v>-3</v>
      </c>
      <c r="CUM5750" s="34">
        <v>-4</v>
      </c>
      <c r="CUN5750" s="34">
        <v>-5</v>
      </c>
      <c r="CUO5750" s="908"/>
      <c r="CUP5750" s="909"/>
      <c r="CUQ5750" s="34">
        <v>-5</v>
      </c>
      <c r="CUR5750" s="34">
        <v>-4.5</v>
      </c>
      <c r="CUS5750" s="34">
        <v>-4</v>
      </c>
      <c r="CUT5750" s="34">
        <v>-3.5</v>
      </c>
      <c r="CUU5750" s="34">
        <v>-3</v>
      </c>
      <c r="CUV5750" s="34">
        <v>-2.5</v>
      </c>
      <c r="CUW5750" s="34">
        <v>-2</v>
      </c>
      <c r="CUX5750" s="34">
        <v>-1.5</v>
      </c>
      <c r="CUY5750" s="34">
        <v>-1</v>
      </c>
      <c r="CUZ5750" s="34">
        <v>-0.5</v>
      </c>
      <c r="CVA5750" s="34">
        <v>0</v>
      </c>
      <c r="CVB5750" s="34">
        <v>0.5</v>
      </c>
      <c r="CVC5750" s="34">
        <v>1</v>
      </c>
      <c r="CVD5750" s="34">
        <v>1.5</v>
      </c>
      <c r="CVE5750" s="34">
        <v>2</v>
      </c>
      <c r="CVF5750" s="34">
        <v>2.5</v>
      </c>
      <c r="CVG5750" s="34">
        <v>3</v>
      </c>
      <c r="CVH5750" s="34">
        <v>3.5</v>
      </c>
      <c r="CVI5750" s="34">
        <v>4</v>
      </c>
      <c r="CVJ5750" s="34">
        <v>4.5</v>
      </c>
      <c r="CVK5750" s="34">
        <v>5</v>
      </c>
      <c r="CVM5750" s="913"/>
      <c r="CVN5750" s="31">
        <v>1</v>
      </c>
      <c r="CVO5750" s="34">
        <v>0</v>
      </c>
      <c r="CVP5750" s="34">
        <v>-1</v>
      </c>
      <c r="CVQ5750" s="34">
        <v>-2</v>
      </c>
      <c r="CVR5750" s="34">
        <v>-3</v>
      </c>
      <c r="CVS5750" s="34">
        <v>-4</v>
      </c>
      <c r="CVT5750" s="34">
        <v>-5</v>
      </c>
      <c r="CVU5750" s="908"/>
      <c r="CVV5750" s="909"/>
      <c r="CVW5750" s="34">
        <v>-5</v>
      </c>
      <c r="CVX5750" s="34">
        <v>-4.5</v>
      </c>
      <c r="CVY5750" s="34">
        <v>-4</v>
      </c>
      <c r="CVZ5750" s="34">
        <v>-3.5</v>
      </c>
      <c r="CWA5750" s="34">
        <v>-3</v>
      </c>
      <c r="CWB5750" s="34">
        <v>-2.5</v>
      </c>
      <c r="CWC5750" s="34">
        <v>-2</v>
      </c>
      <c r="CWD5750" s="34">
        <v>-1.5</v>
      </c>
      <c r="CWE5750" s="34">
        <v>-1</v>
      </c>
      <c r="CWF5750" s="34">
        <v>-0.5</v>
      </c>
      <c r="CWG5750" s="34">
        <v>0</v>
      </c>
      <c r="CWH5750" s="34">
        <v>0.5</v>
      </c>
      <c r="CWI5750" s="34">
        <v>1</v>
      </c>
      <c r="CWJ5750" s="34">
        <v>1.5</v>
      </c>
      <c r="CWK5750" s="34">
        <v>2</v>
      </c>
      <c r="CWL5750" s="34">
        <v>2.5</v>
      </c>
      <c r="CWM5750" s="34">
        <v>3</v>
      </c>
      <c r="CWN5750" s="34">
        <v>3.5</v>
      </c>
      <c r="CWO5750" s="34">
        <v>4</v>
      </c>
      <c r="CWP5750" s="34">
        <v>4.5</v>
      </c>
      <c r="CWQ5750" s="34">
        <v>5</v>
      </c>
      <c r="CWS5750" s="913"/>
      <c r="CWT5750" s="31">
        <v>1</v>
      </c>
      <c r="CWU5750" s="34">
        <v>0</v>
      </c>
      <c r="CWV5750" s="34">
        <v>-1</v>
      </c>
      <c r="CWW5750" s="34">
        <v>-2</v>
      </c>
      <c r="CWX5750" s="34">
        <v>-3</v>
      </c>
      <c r="CWY5750" s="34">
        <v>-4</v>
      </c>
      <c r="CWZ5750" s="34">
        <v>-5</v>
      </c>
      <c r="CXA5750" s="908"/>
      <c r="CXB5750" s="909"/>
      <c r="CXC5750" s="34">
        <v>-5</v>
      </c>
      <c r="CXD5750" s="34">
        <v>-4.5</v>
      </c>
      <c r="CXE5750" s="34">
        <v>-4</v>
      </c>
      <c r="CXF5750" s="34">
        <v>-3.5</v>
      </c>
      <c r="CXG5750" s="34">
        <v>-3</v>
      </c>
      <c r="CXH5750" s="34">
        <v>-2.5</v>
      </c>
      <c r="CXI5750" s="34">
        <v>-2</v>
      </c>
      <c r="CXJ5750" s="34">
        <v>-1.5</v>
      </c>
      <c r="CXK5750" s="34">
        <v>-1</v>
      </c>
      <c r="CXL5750" s="34">
        <v>-0.5</v>
      </c>
      <c r="CXM5750" s="34">
        <v>0</v>
      </c>
      <c r="CXN5750" s="34">
        <v>0.5</v>
      </c>
      <c r="CXO5750" s="34">
        <v>1</v>
      </c>
      <c r="CXP5750" s="34">
        <v>1.5</v>
      </c>
      <c r="CXQ5750" s="34">
        <v>2</v>
      </c>
      <c r="CXR5750" s="34">
        <v>2.5</v>
      </c>
      <c r="CXS5750" s="34">
        <v>3</v>
      </c>
      <c r="CXT5750" s="34">
        <v>3.5</v>
      </c>
      <c r="CXU5750" s="34">
        <v>4</v>
      </c>
      <c r="CXV5750" s="34">
        <v>4.5</v>
      </c>
      <c r="CXW5750" s="34">
        <v>5</v>
      </c>
      <c r="CXY5750" s="913"/>
      <c r="CXZ5750" s="31">
        <v>1</v>
      </c>
      <c r="CYA5750" s="34">
        <v>0</v>
      </c>
      <c r="CYB5750" s="34">
        <v>-1</v>
      </c>
      <c r="CYC5750" s="34">
        <v>-2</v>
      </c>
      <c r="CYD5750" s="34">
        <v>-3</v>
      </c>
      <c r="CYE5750" s="34">
        <v>-4</v>
      </c>
      <c r="CYF5750" s="34">
        <v>-5</v>
      </c>
      <c r="CYG5750" s="908"/>
      <c r="CYH5750" s="909"/>
      <c r="CYI5750" s="34">
        <v>-5</v>
      </c>
      <c r="CYJ5750" s="34">
        <v>-4.5</v>
      </c>
      <c r="CYK5750" s="34">
        <v>-4</v>
      </c>
      <c r="CYL5750" s="34">
        <v>-3.5</v>
      </c>
      <c r="CYM5750" s="34">
        <v>-3</v>
      </c>
      <c r="CYN5750" s="34">
        <v>-2.5</v>
      </c>
      <c r="CYO5750" s="34">
        <v>-2</v>
      </c>
      <c r="CYP5750" s="34">
        <v>-1.5</v>
      </c>
      <c r="CYQ5750" s="34">
        <v>-1</v>
      </c>
      <c r="CYR5750" s="34">
        <v>-0.5</v>
      </c>
      <c r="CYS5750" s="34">
        <v>0</v>
      </c>
      <c r="CYT5750" s="34">
        <v>0.5</v>
      </c>
      <c r="CYU5750" s="34">
        <v>1</v>
      </c>
      <c r="CYV5750" s="34">
        <v>1.5</v>
      </c>
      <c r="CYW5750" s="34">
        <v>2</v>
      </c>
      <c r="CYX5750" s="34">
        <v>2.5</v>
      </c>
      <c r="CYY5750" s="34">
        <v>3</v>
      </c>
      <c r="CYZ5750" s="34">
        <v>3.5</v>
      </c>
      <c r="CZA5750" s="34">
        <v>4</v>
      </c>
      <c r="CZB5750" s="34">
        <v>4.5</v>
      </c>
      <c r="CZC5750" s="34">
        <v>5</v>
      </c>
      <c r="CZE5750" s="913"/>
      <c r="CZF5750" s="31">
        <v>1</v>
      </c>
      <c r="CZG5750" s="34">
        <v>0</v>
      </c>
      <c r="CZH5750" s="34">
        <v>-1</v>
      </c>
      <c r="CZI5750" s="34">
        <v>-2</v>
      </c>
      <c r="CZJ5750" s="34">
        <v>-3</v>
      </c>
      <c r="CZK5750" s="34">
        <v>-4</v>
      </c>
      <c r="CZL5750" s="34">
        <v>-5</v>
      </c>
      <c r="CZM5750" s="908"/>
      <c r="CZN5750" s="909"/>
      <c r="CZO5750" s="34">
        <v>-5</v>
      </c>
      <c r="CZP5750" s="34">
        <v>-4.5</v>
      </c>
      <c r="CZQ5750" s="34">
        <v>-4</v>
      </c>
      <c r="CZR5750" s="34">
        <v>-3.5</v>
      </c>
      <c r="CZS5750" s="34">
        <v>-3</v>
      </c>
      <c r="CZT5750" s="34">
        <v>-2.5</v>
      </c>
      <c r="CZU5750" s="34">
        <v>-2</v>
      </c>
      <c r="CZV5750" s="34">
        <v>-1.5</v>
      </c>
      <c r="CZW5750" s="34">
        <v>-1</v>
      </c>
      <c r="CZX5750" s="34">
        <v>-0.5</v>
      </c>
      <c r="CZY5750" s="34">
        <v>0</v>
      </c>
      <c r="CZZ5750" s="34">
        <v>0.5</v>
      </c>
      <c r="DAA5750" s="34">
        <v>1</v>
      </c>
      <c r="DAB5750" s="34">
        <v>1.5</v>
      </c>
      <c r="DAC5750" s="34">
        <v>2</v>
      </c>
      <c r="DAD5750" s="34">
        <v>2.5</v>
      </c>
      <c r="DAE5750" s="34">
        <v>3</v>
      </c>
      <c r="DAF5750" s="34">
        <v>3.5</v>
      </c>
      <c r="DAG5750" s="34">
        <v>4</v>
      </c>
      <c r="DAH5750" s="34">
        <v>4.5</v>
      </c>
      <c r="DAI5750" s="34">
        <v>5</v>
      </c>
      <c r="DAK5750" s="913"/>
      <c r="DAL5750" s="31">
        <v>1</v>
      </c>
      <c r="DAM5750" s="34">
        <v>0</v>
      </c>
      <c r="DAN5750" s="34">
        <v>-1</v>
      </c>
      <c r="DAO5750" s="34">
        <v>-2</v>
      </c>
      <c r="DAP5750" s="34">
        <v>-3</v>
      </c>
      <c r="DAQ5750" s="34">
        <v>-4</v>
      </c>
      <c r="DAR5750" s="34">
        <v>-5</v>
      </c>
      <c r="DAS5750" s="908"/>
      <c r="DAT5750" s="909"/>
      <c r="DAU5750" s="34">
        <v>-5</v>
      </c>
      <c r="DAV5750" s="34">
        <v>-4.5</v>
      </c>
      <c r="DAW5750" s="34">
        <v>-4</v>
      </c>
      <c r="DAX5750" s="34">
        <v>-3.5</v>
      </c>
      <c r="DAY5750" s="34">
        <v>-3</v>
      </c>
      <c r="DAZ5750" s="34">
        <v>-2.5</v>
      </c>
      <c r="DBA5750" s="34">
        <v>-2</v>
      </c>
      <c r="DBB5750" s="34">
        <v>-1.5</v>
      </c>
      <c r="DBC5750" s="34">
        <v>-1</v>
      </c>
      <c r="DBD5750" s="34">
        <v>-0.5</v>
      </c>
      <c r="DBE5750" s="34">
        <v>0</v>
      </c>
      <c r="DBF5750" s="34">
        <v>0.5</v>
      </c>
      <c r="DBG5750" s="34">
        <v>1</v>
      </c>
      <c r="DBH5750" s="34">
        <v>1.5</v>
      </c>
      <c r="DBI5750" s="34">
        <v>2</v>
      </c>
      <c r="DBJ5750" s="34">
        <v>2.5</v>
      </c>
      <c r="DBK5750" s="34">
        <v>3</v>
      </c>
      <c r="DBL5750" s="34">
        <v>3.5</v>
      </c>
      <c r="DBM5750" s="34">
        <v>4</v>
      </c>
      <c r="DBN5750" s="34">
        <v>4.5</v>
      </c>
      <c r="DBO5750" s="34">
        <v>5</v>
      </c>
      <c r="DBQ5750" s="913"/>
      <c r="DBR5750" s="31">
        <v>1</v>
      </c>
      <c r="DBS5750" s="34">
        <v>0</v>
      </c>
      <c r="DBT5750" s="34">
        <v>-1</v>
      </c>
      <c r="DBU5750" s="34">
        <v>-2</v>
      </c>
      <c r="DBV5750" s="34">
        <v>-3</v>
      </c>
      <c r="DBW5750" s="34">
        <v>-4</v>
      </c>
      <c r="DBX5750" s="34">
        <v>-5</v>
      </c>
      <c r="DBY5750" s="908"/>
      <c r="DBZ5750" s="909"/>
      <c r="DCA5750" s="34">
        <v>-5</v>
      </c>
      <c r="DCB5750" s="34">
        <v>-4.5</v>
      </c>
      <c r="DCC5750" s="34">
        <v>-4</v>
      </c>
      <c r="DCD5750" s="34">
        <v>-3.5</v>
      </c>
      <c r="DCE5750" s="34">
        <v>-3</v>
      </c>
      <c r="DCF5750" s="34">
        <v>-2.5</v>
      </c>
      <c r="DCG5750" s="34">
        <v>-2</v>
      </c>
      <c r="DCH5750" s="34">
        <v>-1.5</v>
      </c>
      <c r="DCI5750" s="34">
        <v>-1</v>
      </c>
      <c r="DCJ5750" s="34">
        <v>-0.5</v>
      </c>
      <c r="DCK5750" s="34">
        <v>0</v>
      </c>
      <c r="DCL5750" s="34">
        <v>0.5</v>
      </c>
      <c r="DCM5750" s="34">
        <v>1</v>
      </c>
      <c r="DCN5750" s="34">
        <v>1.5</v>
      </c>
      <c r="DCO5750" s="34">
        <v>2</v>
      </c>
      <c r="DCP5750" s="34">
        <v>2.5</v>
      </c>
      <c r="DCQ5750" s="34">
        <v>3</v>
      </c>
      <c r="DCR5750" s="34">
        <v>3.5</v>
      </c>
      <c r="DCS5750" s="34">
        <v>4</v>
      </c>
      <c r="DCT5750" s="34">
        <v>4.5</v>
      </c>
      <c r="DCU5750" s="34">
        <v>5</v>
      </c>
      <c r="DCW5750" s="913"/>
      <c r="DCX5750" s="31">
        <v>1</v>
      </c>
      <c r="DCY5750" s="34">
        <v>0</v>
      </c>
      <c r="DCZ5750" s="34">
        <v>-1</v>
      </c>
      <c r="DDA5750" s="34">
        <v>-2</v>
      </c>
      <c r="DDB5750" s="34">
        <v>-3</v>
      </c>
      <c r="DDC5750" s="34">
        <v>-4</v>
      </c>
      <c r="DDD5750" s="34">
        <v>-5</v>
      </c>
      <c r="DDE5750" s="908"/>
      <c r="DDF5750" s="909"/>
      <c r="DDG5750" s="34">
        <v>-5</v>
      </c>
      <c r="DDH5750" s="34">
        <v>-4.5</v>
      </c>
      <c r="DDI5750" s="34">
        <v>-4</v>
      </c>
      <c r="DDJ5750" s="34">
        <v>-3.5</v>
      </c>
      <c r="DDK5750" s="34">
        <v>-3</v>
      </c>
      <c r="DDL5750" s="34">
        <v>-2.5</v>
      </c>
      <c r="DDM5750" s="34">
        <v>-2</v>
      </c>
      <c r="DDN5750" s="34">
        <v>-1.5</v>
      </c>
      <c r="DDO5750" s="34">
        <v>-1</v>
      </c>
      <c r="DDP5750" s="34">
        <v>-0.5</v>
      </c>
      <c r="DDQ5750" s="34">
        <v>0</v>
      </c>
      <c r="DDR5750" s="34">
        <v>0.5</v>
      </c>
      <c r="DDS5750" s="34">
        <v>1</v>
      </c>
      <c r="DDT5750" s="34">
        <v>1.5</v>
      </c>
      <c r="DDU5750" s="34">
        <v>2</v>
      </c>
      <c r="DDV5750" s="34">
        <v>2.5</v>
      </c>
      <c r="DDW5750" s="34">
        <v>3</v>
      </c>
      <c r="DDX5750" s="34">
        <v>3.5</v>
      </c>
      <c r="DDY5750" s="34">
        <v>4</v>
      </c>
      <c r="DDZ5750" s="34">
        <v>4.5</v>
      </c>
      <c r="DEA5750" s="34">
        <v>5</v>
      </c>
      <c r="DEC5750" s="913"/>
      <c r="DED5750" s="31">
        <v>1</v>
      </c>
      <c r="DEE5750" s="34">
        <v>0</v>
      </c>
      <c r="DEF5750" s="34">
        <v>-1</v>
      </c>
      <c r="DEG5750" s="34">
        <v>-2</v>
      </c>
      <c r="DEH5750" s="34">
        <v>-3</v>
      </c>
      <c r="DEI5750" s="34">
        <v>-4</v>
      </c>
      <c r="DEJ5750" s="34">
        <v>-5</v>
      </c>
      <c r="DEK5750" s="908"/>
      <c r="DEL5750" s="909"/>
      <c r="DEM5750" s="34">
        <v>-5</v>
      </c>
      <c r="DEN5750" s="34">
        <v>-4.5</v>
      </c>
      <c r="DEO5750" s="34">
        <v>-4</v>
      </c>
      <c r="DEP5750" s="34">
        <v>-3.5</v>
      </c>
      <c r="DEQ5750" s="34">
        <v>-3</v>
      </c>
      <c r="DER5750" s="34">
        <v>-2.5</v>
      </c>
      <c r="DES5750" s="34">
        <v>-2</v>
      </c>
      <c r="DET5750" s="34">
        <v>-1.5</v>
      </c>
      <c r="DEU5750" s="34">
        <v>-1</v>
      </c>
      <c r="DEV5750" s="34">
        <v>-0.5</v>
      </c>
      <c r="DEW5750" s="34">
        <v>0</v>
      </c>
      <c r="DEX5750" s="34">
        <v>0.5</v>
      </c>
      <c r="DEY5750" s="34">
        <v>1</v>
      </c>
      <c r="DEZ5750" s="34">
        <v>1.5</v>
      </c>
      <c r="DFA5750" s="34">
        <v>2</v>
      </c>
      <c r="DFB5750" s="34">
        <v>2.5</v>
      </c>
      <c r="DFC5750" s="34">
        <v>3</v>
      </c>
      <c r="DFD5750" s="34">
        <v>3.5</v>
      </c>
      <c r="DFE5750" s="34">
        <v>4</v>
      </c>
      <c r="DFF5750" s="34">
        <v>4.5</v>
      </c>
      <c r="DFG5750" s="34">
        <v>5</v>
      </c>
      <c r="DFI5750" s="913"/>
      <c r="DFJ5750" s="31">
        <v>1</v>
      </c>
      <c r="DFK5750" s="34">
        <v>0</v>
      </c>
      <c r="DFL5750" s="34">
        <v>-1</v>
      </c>
      <c r="DFM5750" s="34">
        <v>-2</v>
      </c>
      <c r="DFN5750" s="34">
        <v>-3</v>
      </c>
      <c r="DFO5750" s="34">
        <v>-4</v>
      </c>
      <c r="DFP5750" s="34">
        <v>-5</v>
      </c>
      <c r="DFQ5750" s="908"/>
      <c r="DFR5750" s="909"/>
      <c r="DFS5750" s="34">
        <v>-5</v>
      </c>
      <c r="DFT5750" s="34">
        <v>-4.5</v>
      </c>
      <c r="DFU5750" s="34">
        <v>-4</v>
      </c>
      <c r="DFV5750" s="34">
        <v>-3.5</v>
      </c>
      <c r="DFW5750" s="34">
        <v>-3</v>
      </c>
      <c r="DFX5750" s="34">
        <v>-2.5</v>
      </c>
      <c r="DFY5750" s="34">
        <v>-2</v>
      </c>
      <c r="DFZ5750" s="34">
        <v>-1.5</v>
      </c>
      <c r="DGA5750" s="34">
        <v>-1</v>
      </c>
      <c r="DGB5750" s="34">
        <v>-0.5</v>
      </c>
      <c r="DGC5750" s="34">
        <v>0</v>
      </c>
      <c r="DGD5750" s="34">
        <v>0.5</v>
      </c>
      <c r="DGE5750" s="34">
        <v>1</v>
      </c>
      <c r="DGF5750" s="34">
        <v>1.5</v>
      </c>
      <c r="DGG5750" s="34">
        <v>2</v>
      </c>
      <c r="DGH5750" s="34">
        <v>2.5</v>
      </c>
      <c r="DGI5750" s="34">
        <v>3</v>
      </c>
      <c r="DGJ5750" s="34">
        <v>3.5</v>
      </c>
      <c r="DGK5750" s="34">
        <v>4</v>
      </c>
      <c r="DGL5750" s="34">
        <v>4.5</v>
      </c>
      <c r="DGM5750" s="34">
        <v>5</v>
      </c>
      <c r="DGO5750" s="913"/>
      <c r="DGP5750" s="31">
        <v>1</v>
      </c>
      <c r="DGQ5750" s="34">
        <v>0</v>
      </c>
      <c r="DGR5750" s="34">
        <v>-1</v>
      </c>
      <c r="DGS5750" s="34">
        <v>-2</v>
      </c>
      <c r="DGT5750" s="34">
        <v>-3</v>
      </c>
      <c r="DGU5750" s="34">
        <v>-4</v>
      </c>
      <c r="DGV5750" s="34">
        <v>-5</v>
      </c>
      <c r="DGW5750" s="908"/>
      <c r="DGX5750" s="909"/>
      <c r="DGY5750" s="34">
        <v>-5</v>
      </c>
      <c r="DGZ5750" s="34">
        <v>-4.5</v>
      </c>
      <c r="DHA5750" s="34">
        <v>-4</v>
      </c>
      <c r="DHB5750" s="34">
        <v>-3.5</v>
      </c>
      <c r="DHC5750" s="34">
        <v>-3</v>
      </c>
      <c r="DHD5750" s="34">
        <v>-2.5</v>
      </c>
      <c r="DHE5750" s="34">
        <v>-2</v>
      </c>
      <c r="DHF5750" s="34">
        <v>-1.5</v>
      </c>
      <c r="DHG5750" s="34">
        <v>-1</v>
      </c>
      <c r="DHH5750" s="34">
        <v>-0.5</v>
      </c>
      <c r="DHI5750" s="34">
        <v>0</v>
      </c>
      <c r="DHJ5750" s="34">
        <v>0.5</v>
      </c>
      <c r="DHK5750" s="34">
        <v>1</v>
      </c>
      <c r="DHL5750" s="34">
        <v>1.5</v>
      </c>
      <c r="DHM5750" s="34">
        <v>2</v>
      </c>
      <c r="DHN5750" s="34">
        <v>2.5</v>
      </c>
      <c r="DHO5750" s="34">
        <v>3</v>
      </c>
      <c r="DHP5750" s="34">
        <v>3.5</v>
      </c>
      <c r="DHQ5750" s="34">
        <v>4</v>
      </c>
      <c r="DHR5750" s="34">
        <v>4.5</v>
      </c>
      <c r="DHS5750" s="34">
        <v>5</v>
      </c>
      <c r="DHU5750" s="913"/>
      <c r="DHV5750" s="31">
        <v>1</v>
      </c>
      <c r="DHW5750" s="34">
        <v>0</v>
      </c>
      <c r="DHX5750" s="34">
        <v>-1</v>
      </c>
      <c r="DHY5750" s="34">
        <v>-2</v>
      </c>
      <c r="DHZ5750" s="34">
        <v>-3</v>
      </c>
      <c r="DIA5750" s="34">
        <v>-4</v>
      </c>
      <c r="DIB5750" s="34">
        <v>-5</v>
      </c>
      <c r="DIC5750" s="908"/>
      <c r="DID5750" s="909"/>
      <c r="DIE5750" s="34">
        <v>-5</v>
      </c>
      <c r="DIF5750" s="34">
        <v>-4.5</v>
      </c>
      <c r="DIG5750" s="34">
        <v>-4</v>
      </c>
      <c r="DIH5750" s="34">
        <v>-3.5</v>
      </c>
      <c r="DII5750" s="34">
        <v>-3</v>
      </c>
      <c r="DIJ5750" s="34">
        <v>-2.5</v>
      </c>
      <c r="DIK5750" s="34">
        <v>-2</v>
      </c>
      <c r="DIL5750" s="34">
        <v>-1.5</v>
      </c>
      <c r="DIM5750" s="34">
        <v>-1</v>
      </c>
      <c r="DIN5750" s="34">
        <v>-0.5</v>
      </c>
      <c r="DIO5750" s="34">
        <v>0</v>
      </c>
      <c r="DIP5750" s="34">
        <v>0.5</v>
      </c>
      <c r="DIQ5750" s="34">
        <v>1</v>
      </c>
      <c r="DIR5750" s="34">
        <v>1.5</v>
      </c>
      <c r="DIS5750" s="34">
        <v>2</v>
      </c>
      <c r="DIT5750" s="34">
        <v>2.5</v>
      </c>
      <c r="DIU5750" s="34">
        <v>3</v>
      </c>
      <c r="DIV5750" s="34">
        <v>3.5</v>
      </c>
      <c r="DIW5750" s="34">
        <v>4</v>
      </c>
      <c r="DIX5750" s="34">
        <v>4.5</v>
      </c>
      <c r="DIY5750" s="34">
        <v>5</v>
      </c>
      <c r="DJA5750" s="913"/>
      <c r="DJB5750" s="31">
        <v>1</v>
      </c>
      <c r="DJC5750" s="34">
        <v>0</v>
      </c>
      <c r="DJD5750" s="34">
        <v>-1</v>
      </c>
      <c r="DJE5750" s="34">
        <v>-2</v>
      </c>
      <c r="DJF5750" s="34">
        <v>-3</v>
      </c>
      <c r="DJG5750" s="34">
        <v>-4</v>
      </c>
      <c r="DJH5750" s="34">
        <v>-5</v>
      </c>
      <c r="DJI5750" s="908"/>
      <c r="DJJ5750" s="909"/>
      <c r="DJK5750" s="34">
        <v>-5</v>
      </c>
      <c r="DJL5750" s="34">
        <v>-4.5</v>
      </c>
      <c r="DJM5750" s="34">
        <v>-4</v>
      </c>
      <c r="DJN5750" s="34">
        <v>-3.5</v>
      </c>
      <c r="DJO5750" s="34">
        <v>-3</v>
      </c>
      <c r="DJP5750" s="34">
        <v>-2.5</v>
      </c>
      <c r="DJQ5750" s="34">
        <v>-2</v>
      </c>
      <c r="DJR5750" s="34">
        <v>-1.5</v>
      </c>
      <c r="DJS5750" s="34">
        <v>-1</v>
      </c>
      <c r="DJT5750" s="34">
        <v>-0.5</v>
      </c>
      <c r="DJU5750" s="34">
        <v>0</v>
      </c>
      <c r="DJV5750" s="34">
        <v>0.5</v>
      </c>
      <c r="DJW5750" s="34">
        <v>1</v>
      </c>
      <c r="DJX5750" s="34">
        <v>1.5</v>
      </c>
      <c r="DJY5750" s="34">
        <v>2</v>
      </c>
      <c r="DJZ5750" s="34">
        <v>2.5</v>
      </c>
      <c r="DKA5750" s="34">
        <v>3</v>
      </c>
      <c r="DKB5750" s="34">
        <v>3.5</v>
      </c>
      <c r="DKC5750" s="34">
        <v>4</v>
      </c>
      <c r="DKD5750" s="34">
        <v>4.5</v>
      </c>
      <c r="DKE5750" s="34">
        <v>5</v>
      </c>
      <c r="DKG5750" s="913"/>
      <c r="DKH5750" s="31">
        <v>1</v>
      </c>
      <c r="DKI5750" s="34">
        <v>0</v>
      </c>
      <c r="DKJ5750" s="34">
        <v>-1</v>
      </c>
      <c r="DKK5750" s="34">
        <v>-2</v>
      </c>
      <c r="DKL5750" s="34">
        <v>-3</v>
      </c>
      <c r="DKM5750" s="34">
        <v>-4</v>
      </c>
      <c r="DKN5750" s="34">
        <v>-5</v>
      </c>
      <c r="DKO5750" s="908"/>
      <c r="DKP5750" s="909"/>
      <c r="DKQ5750" s="34">
        <v>-5</v>
      </c>
      <c r="DKR5750" s="34">
        <v>-4.5</v>
      </c>
      <c r="DKS5750" s="34">
        <v>-4</v>
      </c>
      <c r="DKT5750" s="34">
        <v>-3.5</v>
      </c>
      <c r="DKU5750" s="34">
        <v>-3</v>
      </c>
      <c r="DKV5750" s="34">
        <v>-2.5</v>
      </c>
      <c r="DKW5750" s="34">
        <v>-2</v>
      </c>
      <c r="DKX5750" s="34">
        <v>-1.5</v>
      </c>
      <c r="DKY5750" s="34">
        <v>-1</v>
      </c>
      <c r="DKZ5750" s="34">
        <v>-0.5</v>
      </c>
      <c r="DLA5750" s="34">
        <v>0</v>
      </c>
      <c r="DLB5750" s="34">
        <v>0.5</v>
      </c>
      <c r="DLC5750" s="34">
        <v>1</v>
      </c>
      <c r="DLD5750" s="34">
        <v>1.5</v>
      </c>
      <c r="DLE5750" s="34">
        <v>2</v>
      </c>
      <c r="DLF5750" s="34">
        <v>2.5</v>
      </c>
      <c r="DLG5750" s="34">
        <v>3</v>
      </c>
      <c r="DLH5750" s="34">
        <v>3.5</v>
      </c>
      <c r="DLI5750" s="34">
        <v>4</v>
      </c>
      <c r="DLJ5750" s="34">
        <v>4.5</v>
      </c>
      <c r="DLK5750" s="34">
        <v>5</v>
      </c>
      <c r="DLM5750" s="913"/>
      <c r="DLN5750" s="31">
        <v>1</v>
      </c>
      <c r="DLO5750" s="34">
        <v>0</v>
      </c>
      <c r="DLP5750" s="34">
        <v>-1</v>
      </c>
      <c r="DLQ5750" s="34">
        <v>-2</v>
      </c>
      <c r="DLR5750" s="34">
        <v>-3</v>
      </c>
      <c r="DLS5750" s="34">
        <v>-4</v>
      </c>
      <c r="DLT5750" s="34">
        <v>-5</v>
      </c>
      <c r="DLU5750" s="908"/>
      <c r="DLV5750" s="909"/>
      <c r="DLW5750" s="34">
        <v>-5</v>
      </c>
      <c r="DLX5750" s="34">
        <v>-4.5</v>
      </c>
      <c r="DLY5750" s="34">
        <v>-4</v>
      </c>
      <c r="DLZ5750" s="34">
        <v>-3.5</v>
      </c>
      <c r="DMA5750" s="34">
        <v>-3</v>
      </c>
      <c r="DMB5750" s="34">
        <v>-2.5</v>
      </c>
      <c r="DMC5750" s="34">
        <v>-2</v>
      </c>
      <c r="DMD5750" s="34">
        <v>-1.5</v>
      </c>
      <c r="DME5750" s="34">
        <v>-1</v>
      </c>
      <c r="DMF5750" s="34">
        <v>-0.5</v>
      </c>
      <c r="DMG5750" s="34">
        <v>0</v>
      </c>
      <c r="DMH5750" s="34">
        <v>0.5</v>
      </c>
      <c r="DMI5750" s="34">
        <v>1</v>
      </c>
      <c r="DMJ5750" s="34">
        <v>1.5</v>
      </c>
      <c r="DMK5750" s="34">
        <v>2</v>
      </c>
      <c r="DML5750" s="34">
        <v>2.5</v>
      </c>
      <c r="DMM5750" s="34">
        <v>3</v>
      </c>
      <c r="DMN5750" s="34">
        <v>3.5</v>
      </c>
      <c r="DMO5750" s="34">
        <v>4</v>
      </c>
      <c r="DMP5750" s="34">
        <v>4.5</v>
      </c>
      <c r="DMQ5750" s="34">
        <v>5</v>
      </c>
      <c r="DMS5750" s="913"/>
      <c r="DMT5750" s="31">
        <v>1</v>
      </c>
      <c r="DMU5750" s="34">
        <v>0</v>
      </c>
      <c r="DMV5750" s="34">
        <v>-1</v>
      </c>
      <c r="DMW5750" s="34">
        <v>-2</v>
      </c>
      <c r="DMX5750" s="34">
        <v>-3</v>
      </c>
      <c r="DMY5750" s="34">
        <v>-4</v>
      </c>
      <c r="DMZ5750" s="34">
        <v>-5</v>
      </c>
      <c r="DNA5750" s="908"/>
      <c r="DNB5750" s="909"/>
      <c r="DNC5750" s="34">
        <v>-5</v>
      </c>
      <c r="DND5750" s="34">
        <v>-4.5</v>
      </c>
      <c r="DNE5750" s="34">
        <v>-4</v>
      </c>
      <c r="DNF5750" s="34">
        <v>-3.5</v>
      </c>
      <c r="DNG5750" s="34">
        <v>-3</v>
      </c>
      <c r="DNH5750" s="34">
        <v>-2.5</v>
      </c>
      <c r="DNI5750" s="34">
        <v>-2</v>
      </c>
      <c r="DNJ5750" s="34">
        <v>-1.5</v>
      </c>
      <c r="DNK5750" s="34">
        <v>-1</v>
      </c>
      <c r="DNL5750" s="34">
        <v>-0.5</v>
      </c>
      <c r="DNM5750" s="34">
        <v>0</v>
      </c>
      <c r="DNN5750" s="34">
        <v>0.5</v>
      </c>
      <c r="DNO5750" s="34">
        <v>1</v>
      </c>
      <c r="DNP5750" s="34">
        <v>1.5</v>
      </c>
      <c r="DNQ5750" s="34">
        <v>2</v>
      </c>
      <c r="DNR5750" s="34">
        <v>2.5</v>
      </c>
      <c r="DNS5750" s="34">
        <v>3</v>
      </c>
      <c r="DNT5750" s="34">
        <v>3.5</v>
      </c>
      <c r="DNU5750" s="34">
        <v>4</v>
      </c>
      <c r="DNV5750" s="34">
        <v>4.5</v>
      </c>
      <c r="DNW5750" s="34">
        <v>5</v>
      </c>
      <c r="DNY5750" s="913"/>
      <c r="DNZ5750" s="31">
        <v>1</v>
      </c>
      <c r="DOA5750" s="34">
        <v>0</v>
      </c>
      <c r="DOB5750" s="34">
        <v>-1</v>
      </c>
      <c r="DOC5750" s="34">
        <v>-2</v>
      </c>
      <c r="DOD5750" s="34">
        <v>-3</v>
      </c>
      <c r="DOE5750" s="34">
        <v>-4</v>
      </c>
      <c r="DOF5750" s="34">
        <v>-5</v>
      </c>
      <c r="DOG5750" s="908"/>
      <c r="DOH5750" s="909"/>
      <c r="DOI5750" s="34">
        <v>-5</v>
      </c>
      <c r="DOJ5750" s="34">
        <v>-4.5</v>
      </c>
      <c r="DOK5750" s="34">
        <v>-4</v>
      </c>
      <c r="DOL5750" s="34">
        <v>-3.5</v>
      </c>
      <c r="DOM5750" s="34">
        <v>-3</v>
      </c>
      <c r="DON5750" s="34">
        <v>-2.5</v>
      </c>
      <c r="DOO5750" s="34">
        <v>-2</v>
      </c>
      <c r="DOP5750" s="34">
        <v>-1.5</v>
      </c>
      <c r="DOQ5750" s="34">
        <v>-1</v>
      </c>
      <c r="DOR5750" s="34">
        <v>-0.5</v>
      </c>
      <c r="DOS5750" s="34">
        <v>0</v>
      </c>
      <c r="DOT5750" s="34">
        <v>0.5</v>
      </c>
      <c r="DOU5750" s="34">
        <v>1</v>
      </c>
      <c r="DOV5750" s="34">
        <v>1.5</v>
      </c>
      <c r="DOW5750" s="34">
        <v>2</v>
      </c>
      <c r="DOX5750" s="34">
        <v>2.5</v>
      </c>
      <c r="DOY5750" s="34">
        <v>3</v>
      </c>
      <c r="DOZ5750" s="34">
        <v>3.5</v>
      </c>
      <c r="DPA5750" s="34">
        <v>4</v>
      </c>
      <c r="DPB5750" s="34">
        <v>4.5</v>
      </c>
      <c r="DPC5750" s="34">
        <v>5</v>
      </c>
      <c r="DPE5750" s="913"/>
      <c r="DPF5750" s="31">
        <v>1</v>
      </c>
      <c r="DPG5750" s="34">
        <v>0</v>
      </c>
      <c r="DPH5750" s="34">
        <v>-1</v>
      </c>
      <c r="DPI5750" s="34">
        <v>-2</v>
      </c>
      <c r="DPJ5750" s="34">
        <v>-3</v>
      </c>
      <c r="DPK5750" s="34">
        <v>-4</v>
      </c>
      <c r="DPL5750" s="34">
        <v>-5</v>
      </c>
      <c r="DPM5750" s="908"/>
      <c r="DPN5750" s="909"/>
      <c r="DPO5750" s="34">
        <v>-5</v>
      </c>
      <c r="DPP5750" s="34">
        <v>-4.5</v>
      </c>
      <c r="DPQ5750" s="34">
        <v>-4</v>
      </c>
      <c r="DPR5750" s="34">
        <v>-3.5</v>
      </c>
      <c r="DPS5750" s="34">
        <v>-3</v>
      </c>
      <c r="DPT5750" s="34">
        <v>-2.5</v>
      </c>
      <c r="DPU5750" s="34">
        <v>-2</v>
      </c>
      <c r="DPV5750" s="34">
        <v>-1.5</v>
      </c>
      <c r="DPW5750" s="34">
        <v>-1</v>
      </c>
      <c r="DPX5750" s="34">
        <v>-0.5</v>
      </c>
      <c r="DPY5750" s="34">
        <v>0</v>
      </c>
      <c r="DPZ5750" s="34">
        <v>0.5</v>
      </c>
      <c r="DQA5750" s="34">
        <v>1</v>
      </c>
      <c r="DQB5750" s="34">
        <v>1.5</v>
      </c>
      <c r="DQC5750" s="34">
        <v>2</v>
      </c>
      <c r="DQD5750" s="34">
        <v>2.5</v>
      </c>
      <c r="DQE5750" s="34">
        <v>3</v>
      </c>
      <c r="DQF5750" s="34">
        <v>3.5</v>
      </c>
      <c r="DQG5750" s="34">
        <v>4</v>
      </c>
      <c r="DQH5750" s="34">
        <v>4.5</v>
      </c>
      <c r="DQI5750" s="34">
        <v>5</v>
      </c>
      <c r="DQK5750" s="913"/>
      <c r="DQL5750" s="31">
        <v>1</v>
      </c>
      <c r="DQM5750" s="34">
        <v>0</v>
      </c>
      <c r="DQN5750" s="34">
        <v>-1</v>
      </c>
      <c r="DQO5750" s="34">
        <v>-2</v>
      </c>
      <c r="DQP5750" s="34">
        <v>-3</v>
      </c>
      <c r="DQQ5750" s="34">
        <v>-4</v>
      </c>
      <c r="DQR5750" s="34">
        <v>-5</v>
      </c>
      <c r="DQS5750" s="908"/>
      <c r="DQT5750" s="909"/>
      <c r="DQU5750" s="34">
        <v>-5</v>
      </c>
      <c r="DQV5750" s="34">
        <v>-4.5</v>
      </c>
      <c r="DQW5750" s="34">
        <v>-4</v>
      </c>
      <c r="DQX5750" s="34">
        <v>-3.5</v>
      </c>
      <c r="DQY5750" s="34">
        <v>-3</v>
      </c>
      <c r="DQZ5750" s="34">
        <v>-2.5</v>
      </c>
      <c r="DRA5750" s="34">
        <v>-2</v>
      </c>
      <c r="DRB5750" s="34">
        <v>-1.5</v>
      </c>
      <c r="DRC5750" s="34">
        <v>-1</v>
      </c>
      <c r="DRD5750" s="34">
        <v>-0.5</v>
      </c>
      <c r="DRE5750" s="34">
        <v>0</v>
      </c>
      <c r="DRF5750" s="34">
        <v>0.5</v>
      </c>
      <c r="DRG5750" s="34">
        <v>1</v>
      </c>
      <c r="DRH5750" s="34">
        <v>1.5</v>
      </c>
      <c r="DRI5750" s="34">
        <v>2</v>
      </c>
      <c r="DRJ5750" s="34">
        <v>2.5</v>
      </c>
      <c r="DRK5750" s="34">
        <v>3</v>
      </c>
      <c r="DRL5750" s="34">
        <v>3.5</v>
      </c>
      <c r="DRM5750" s="34">
        <v>4</v>
      </c>
      <c r="DRN5750" s="34">
        <v>4.5</v>
      </c>
      <c r="DRO5750" s="34">
        <v>5</v>
      </c>
      <c r="DRQ5750" s="913"/>
      <c r="DRR5750" s="31">
        <v>1</v>
      </c>
      <c r="DRS5750" s="34">
        <v>0</v>
      </c>
      <c r="DRT5750" s="34">
        <v>-1</v>
      </c>
      <c r="DRU5750" s="34">
        <v>-2</v>
      </c>
      <c r="DRV5750" s="34">
        <v>-3</v>
      </c>
      <c r="DRW5750" s="34">
        <v>-4</v>
      </c>
      <c r="DRX5750" s="34">
        <v>-5</v>
      </c>
      <c r="DRY5750" s="908"/>
      <c r="DRZ5750" s="909"/>
      <c r="DSA5750" s="34">
        <v>-5</v>
      </c>
      <c r="DSB5750" s="34">
        <v>-4.5</v>
      </c>
      <c r="DSC5750" s="34">
        <v>-4</v>
      </c>
      <c r="DSD5750" s="34">
        <v>-3.5</v>
      </c>
      <c r="DSE5750" s="34">
        <v>-3</v>
      </c>
      <c r="DSF5750" s="34">
        <v>-2.5</v>
      </c>
      <c r="DSG5750" s="34">
        <v>-2</v>
      </c>
      <c r="DSH5750" s="34">
        <v>-1.5</v>
      </c>
      <c r="DSI5750" s="34">
        <v>-1</v>
      </c>
      <c r="DSJ5750" s="34">
        <v>-0.5</v>
      </c>
      <c r="DSK5750" s="34">
        <v>0</v>
      </c>
      <c r="DSL5750" s="34">
        <v>0.5</v>
      </c>
      <c r="DSM5750" s="34">
        <v>1</v>
      </c>
      <c r="DSN5750" s="34">
        <v>1.5</v>
      </c>
      <c r="DSO5750" s="34">
        <v>2</v>
      </c>
      <c r="DSP5750" s="34">
        <v>2.5</v>
      </c>
      <c r="DSQ5750" s="34">
        <v>3</v>
      </c>
      <c r="DSR5750" s="34">
        <v>3.5</v>
      </c>
      <c r="DSS5750" s="34">
        <v>4</v>
      </c>
      <c r="DST5750" s="34">
        <v>4.5</v>
      </c>
      <c r="DSU5750" s="34">
        <v>5</v>
      </c>
      <c r="DSW5750" s="913"/>
      <c r="DSX5750" s="31">
        <v>1</v>
      </c>
      <c r="DSY5750" s="34">
        <v>0</v>
      </c>
      <c r="DSZ5750" s="34">
        <v>-1</v>
      </c>
      <c r="DTA5750" s="34">
        <v>-2</v>
      </c>
      <c r="DTB5750" s="34">
        <v>-3</v>
      </c>
      <c r="DTC5750" s="34">
        <v>-4</v>
      </c>
      <c r="DTD5750" s="34">
        <v>-5</v>
      </c>
      <c r="DTE5750" s="908"/>
      <c r="DTF5750" s="909"/>
      <c r="DTG5750" s="34">
        <v>-5</v>
      </c>
      <c r="DTH5750" s="34">
        <v>-4.5</v>
      </c>
      <c r="DTI5750" s="34">
        <v>-4</v>
      </c>
      <c r="DTJ5750" s="34">
        <v>-3.5</v>
      </c>
      <c r="DTK5750" s="34">
        <v>-3</v>
      </c>
      <c r="DTL5750" s="34">
        <v>-2.5</v>
      </c>
      <c r="DTM5750" s="34">
        <v>-2</v>
      </c>
      <c r="DTN5750" s="34">
        <v>-1.5</v>
      </c>
      <c r="DTO5750" s="34">
        <v>-1</v>
      </c>
      <c r="DTP5750" s="34">
        <v>-0.5</v>
      </c>
      <c r="DTQ5750" s="34">
        <v>0</v>
      </c>
      <c r="DTR5750" s="34">
        <v>0.5</v>
      </c>
      <c r="DTS5750" s="34">
        <v>1</v>
      </c>
      <c r="DTT5750" s="34">
        <v>1.5</v>
      </c>
      <c r="DTU5750" s="34">
        <v>2</v>
      </c>
      <c r="DTV5750" s="34">
        <v>2.5</v>
      </c>
      <c r="DTW5750" s="34">
        <v>3</v>
      </c>
      <c r="DTX5750" s="34">
        <v>3.5</v>
      </c>
      <c r="DTY5750" s="34">
        <v>4</v>
      </c>
      <c r="DTZ5750" s="34">
        <v>4.5</v>
      </c>
      <c r="DUA5750" s="34">
        <v>5</v>
      </c>
      <c r="DUC5750" s="913"/>
      <c r="DUD5750" s="31">
        <v>1</v>
      </c>
      <c r="DUE5750" s="34">
        <v>0</v>
      </c>
      <c r="DUF5750" s="34">
        <v>-1</v>
      </c>
      <c r="DUG5750" s="34">
        <v>-2</v>
      </c>
      <c r="DUH5750" s="34">
        <v>-3</v>
      </c>
      <c r="DUI5750" s="34">
        <v>-4</v>
      </c>
      <c r="DUJ5750" s="34">
        <v>-5</v>
      </c>
      <c r="DUK5750" s="908"/>
      <c r="DUL5750" s="909"/>
      <c r="DUM5750" s="34">
        <v>-5</v>
      </c>
      <c r="DUN5750" s="34">
        <v>-4.5</v>
      </c>
      <c r="DUO5750" s="34">
        <v>-4</v>
      </c>
      <c r="DUP5750" s="34">
        <v>-3.5</v>
      </c>
      <c r="DUQ5750" s="34">
        <v>-3</v>
      </c>
      <c r="DUR5750" s="34">
        <v>-2.5</v>
      </c>
      <c r="DUS5750" s="34">
        <v>-2</v>
      </c>
      <c r="DUT5750" s="34">
        <v>-1.5</v>
      </c>
      <c r="DUU5750" s="34">
        <v>-1</v>
      </c>
      <c r="DUV5750" s="34">
        <v>-0.5</v>
      </c>
      <c r="DUW5750" s="34">
        <v>0</v>
      </c>
      <c r="DUX5750" s="34">
        <v>0.5</v>
      </c>
      <c r="DUY5750" s="34">
        <v>1</v>
      </c>
      <c r="DUZ5750" s="34">
        <v>1.5</v>
      </c>
      <c r="DVA5750" s="34">
        <v>2</v>
      </c>
      <c r="DVB5750" s="34">
        <v>2.5</v>
      </c>
      <c r="DVC5750" s="34">
        <v>3</v>
      </c>
      <c r="DVD5750" s="34">
        <v>3.5</v>
      </c>
      <c r="DVE5750" s="34">
        <v>4</v>
      </c>
      <c r="DVF5750" s="34">
        <v>4.5</v>
      </c>
      <c r="DVG5750" s="34">
        <v>5</v>
      </c>
      <c r="DVI5750" s="913"/>
      <c r="DVJ5750" s="31">
        <v>1</v>
      </c>
      <c r="DVK5750" s="34">
        <v>0</v>
      </c>
      <c r="DVL5750" s="34">
        <v>-1</v>
      </c>
      <c r="DVM5750" s="34">
        <v>-2</v>
      </c>
      <c r="DVN5750" s="34">
        <v>-3</v>
      </c>
      <c r="DVO5750" s="34">
        <v>-4</v>
      </c>
      <c r="DVP5750" s="34">
        <v>-5</v>
      </c>
      <c r="DVQ5750" s="908"/>
      <c r="DVR5750" s="909"/>
      <c r="DVS5750" s="34">
        <v>-5</v>
      </c>
      <c r="DVT5750" s="34">
        <v>-4.5</v>
      </c>
      <c r="DVU5750" s="34">
        <v>-4</v>
      </c>
      <c r="DVV5750" s="34">
        <v>-3.5</v>
      </c>
      <c r="DVW5750" s="34">
        <v>-3</v>
      </c>
      <c r="DVX5750" s="34">
        <v>-2.5</v>
      </c>
      <c r="DVY5750" s="34">
        <v>-2</v>
      </c>
      <c r="DVZ5750" s="34">
        <v>-1.5</v>
      </c>
      <c r="DWA5750" s="34">
        <v>-1</v>
      </c>
      <c r="DWB5750" s="34">
        <v>-0.5</v>
      </c>
      <c r="DWC5750" s="34">
        <v>0</v>
      </c>
      <c r="DWD5750" s="34">
        <v>0.5</v>
      </c>
      <c r="DWE5750" s="34">
        <v>1</v>
      </c>
      <c r="DWF5750" s="34">
        <v>1.5</v>
      </c>
      <c r="DWG5750" s="34">
        <v>2</v>
      </c>
      <c r="DWH5750" s="34">
        <v>2.5</v>
      </c>
      <c r="DWI5750" s="34">
        <v>3</v>
      </c>
      <c r="DWJ5750" s="34">
        <v>3.5</v>
      </c>
      <c r="DWK5750" s="34">
        <v>4</v>
      </c>
      <c r="DWL5750" s="34">
        <v>4.5</v>
      </c>
      <c r="DWM5750" s="34">
        <v>5</v>
      </c>
      <c r="DWO5750" s="913"/>
      <c r="DWP5750" s="31">
        <v>1</v>
      </c>
      <c r="DWQ5750" s="34">
        <v>0</v>
      </c>
      <c r="DWR5750" s="34">
        <v>-1</v>
      </c>
      <c r="DWS5750" s="34">
        <v>-2</v>
      </c>
      <c r="DWT5750" s="34">
        <v>-3</v>
      </c>
      <c r="DWU5750" s="34">
        <v>-4</v>
      </c>
      <c r="DWV5750" s="34">
        <v>-5</v>
      </c>
      <c r="DWW5750" s="908"/>
      <c r="DWX5750" s="909"/>
      <c r="DWY5750" s="34">
        <v>-5</v>
      </c>
      <c r="DWZ5750" s="34">
        <v>-4.5</v>
      </c>
      <c r="DXA5750" s="34">
        <v>-4</v>
      </c>
      <c r="DXB5750" s="34">
        <v>-3.5</v>
      </c>
      <c r="DXC5750" s="34">
        <v>-3</v>
      </c>
      <c r="DXD5750" s="34">
        <v>-2.5</v>
      </c>
      <c r="DXE5750" s="34">
        <v>-2</v>
      </c>
      <c r="DXF5750" s="34">
        <v>-1.5</v>
      </c>
      <c r="DXG5750" s="34">
        <v>-1</v>
      </c>
      <c r="DXH5750" s="34">
        <v>-0.5</v>
      </c>
      <c r="DXI5750" s="34">
        <v>0</v>
      </c>
      <c r="DXJ5750" s="34">
        <v>0.5</v>
      </c>
      <c r="DXK5750" s="34">
        <v>1</v>
      </c>
      <c r="DXL5750" s="34">
        <v>1.5</v>
      </c>
      <c r="DXM5750" s="34">
        <v>2</v>
      </c>
      <c r="DXN5750" s="34">
        <v>2.5</v>
      </c>
      <c r="DXO5750" s="34">
        <v>3</v>
      </c>
      <c r="DXP5750" s="34">
        <v>3.5</v>
      </c>
      <c r="DXQ5750" s="34">
        <v>4</v>
      </c>
      <c r="DXR5750" s="34">
        <v>4.5</v>
      </c>
      <c r="DXS5750" s="34">
        <v>5</v>
      </c>
      <c r="DXU5750" s="913"/>
      <c r="DXV5750" s="31">
        <v>1</v>
      </c>
      <c r="DXW5750" s="34">
        <v>0</v>
      </c>
      <c r="DXX5750" s="34">
        <v>-1</v>
      </c>
      <c r="DXY5750" s="34">
        <v>-2</v>
      </c>
      <c r="DXZ5750" s="34">
        <v>-3</v>
      </c>
      <c r="DYA5750" s="34">
        <v>-4</v>
      </c>
      <c r="DYB5750" s="34">
        <v>-5</v>
      </c>
      <c r="DYC5750" s="908"/>
      <c r="DYD5750" s="909"/>
      <c r="DYE5750" s="34">
        <v>-5</v>
      </c>
      <c r="DYF5750" s="34">
        <v>-4.5</v>
      </c>
      <c r="DYG5750" s="34">
        <v>-4</v>
      </c>
      <c r="DYH5750" s="34">
        <v>-3.5</v>
      </c>
      <c r="DYI5750" s="34">
        <v>-3</v>
      </c>
      <c r="DYJ5750" s="34">
        <v>-2.5</v>
      </c>
      <c r="DYK5750" s="34">
        <v>-2</v>
      </c>
      <c r="DYL5750" s="34">
        <v>-1.5</v>
      </c>
      <c r="DYM5750" s="34">
        <v>-1</v>
      </c>
      <c r="DYN5750" s="34">
        <v>-0.5</v>
      </c>
      <c r="DYO5750" s="34">
        <v>0</v>
      </c>
      <c r="DYP5750" s="34">
        <v>0.5</v>
      </c>
      <c r="DYQ5750" s="34">
        <v>1</v>
      </c>
      <c r="DYR5750" s="34">
        <v>1.5</v>
      </c>
      <c r="DYS5750" s="34">
        <v>2</v>
      </c>
      <c r="DYT5750" s="34">
        <v>2.5</v>
      </c>
      <c r="DYU5750" s="34">
        <v>3</v>
      </c>
      <c r="DYV5750" s="34">
        <v>3.5</v>
      </c>
      <c r="DYW5750" s="34">
        <v>4</v>
      </c>
      <c r="DYX5750" s="34">
        <v>4.5</v>
      </c>
      <c r="DYY5750" s="34">
        <v>5</v>
      </c>
      <c r="DZA5750" s="913"/>
      <c r="DZB5750" s="31">
        <v>1</v>
      </c>
      <c r="DZC5750" s="34">
        <v>0</v>
      </c>
      <c r="DZD5750" s="34">
        <v>-1</v>
      </c>
      <c r="DZE5750" s="34">
        <v>-2</v>
      </c>
      <c r="DZF5750" s="34">
        <v>-3</v>
      </c>
      <c r="DZG5750" s="34">
        <v>-4</v>
      </c>
      <c r="DZH5750" s="34">
        <v>-5</v>
      </c>
      <c r="DZI5750" s="908"/>
      <c r="DZJ5750" s="909"/>
      <c r="DZK5750" s="34">
        <v>-5</v>
      </c>
      <c r="DZL5750" s="34">
        <v>-4.5</v>
      </c>
      <c r="DZM5750" s="34">
        <v>-4</v>
      </c>
      <c r="DZN5750" s="34">
        <v>-3.5</v>
      </c>
      <c r="DZO5750" s="34">
        <v>-3</v>
      </c>
      <c r="DZP5750" s="34">
        <v>-2.5</v>
      </c>
      <c r="DZQ5750" s="34">
        <v>-2</v>
      </c>
      <c r="DZR5750" s="34">
        <v>-1.5</v>
      </c>
      <c r="DZS5750" s="34">
        <v>-1</v>
      </c>
      <c r="DZT5750" s="34">
        <v>-0.5</v>
      </c>
      <c r="DZU5750" s="34">
        <v>0</v>
      </c>
      <c r="DZV5750" s="34">
        <v>0.5</v>
      </c>
      <c r="DZW5750" s="34">
        <v>1</v>
      </c>
      <c r="DZX5750" s="34">
        <v>1.5</v>
      </c>
      <c r="DZY5750" s="34">
        <v>2</v>
      </c>
      <c r="DZZ5750" s="34">
        <v>2.5</v>
      </c>
      <c r="EAA5750" s="34">
        <v>3</v>
      </c>
      <c r="EAB5750" s="34">
        <v>3.5</v>
      </c>
      <c r="EAC5750" s="34">
        <v>4</v>
      </c>
      <c r="EAD5750" s="34">
        <v>4.5</v>
      </c>
      <c r="EAE5750" s="34">
        <v>5</v>
      </c>
      <c r="EAG5750" s="913"/>
      <c r="EAH5750" s="31">
        <v>1</v>
      </c>
      <c r="EAI5750" s="34">
        <v>0</v>
      </c>
      <c r="EAJ5750" s="34">
        <v>-1</v>
      </c>
      <c r="EAK5750" s="34">
        <v>-2</v>
      </c>
      <c r="EAL5750" s="34">
        <v>-3</v>
      </c>
      <c r="EAM5750" s="34">
        <v>-4</v>
      </c>
      <c r="EAN5750" s="34">
        <v>-5</v>
      </c>
      <c r="EAO5750" s="908"/>
      <c r="EAP5750" s="909"/>
      <c r="EAQ5750" s="34">
        <v>-5</v>
      </c>
      <c r="EAR5750" s="34">
        <v>-4.5</v>
      </c>
      <c r="EAS5750" s="34">
        <v>-4</v>
      </c>
      <c r="EAT5750" s="34">
        <v>-3.5</v>
      </c>
      <c r="EAU5750" s="34">
        <v>-3</v>
      </c>
      <c r="EAV5750" s="34">
        <v>-2.5</v>
      </c>
      <c r="EAW5750" s="34">
        <v>-2</v>
      </c>
      <c r="EAX5750" s="34">
        <v>-1.5</v>
      </c>
      <c r="EAY5750" s="34">
        <v>-1</v>
      </c>
      <c r="EAZ5750" s="34">
        <v>-0.5</v>
      </c>
      <c r="EBA5750" s="34">
        <v>0</v>
      </c>
      <c r="EBB5750" s="34">
        <v>0.5</v>
      </c>
      <c r="EBC5750" s="34">
        <v>1</v>
      </c>
      <c r="EBD5750" s="34">
        <v>1.5</v>
      </c>
      <c r="EBE5750" s="34">
        <v>2</v>
      </c>
      <c r="EBF5750" s="34">
        <v>2.5</v>
      </c>
      <c r="EBG5750" s="34">
        <v>3</v>
      </c>
      <c r="EBH5750" s="34">
        <v>3.5</v>
      </c>
      <c r="EBI5750" s="34">
        <v>4</v>
      </c>
      <c r="EBJ5750" s="34">
        <v>4.5</v>
      </c>
      <c r="EBK5750" s="34">
        <v>5</v>
      </c>
      <c r="EBM5750" s="913"/>
      <c r="EBN5750" s="31">
        <v>1</v>
      </c>
      <c r="EBO5750" s="34">
        <v>0</v>
      </c>
      <c r="EBP5750" s="34">
        <v>-1</v>
      </c>
      <c r="EBQ5750" s="34">
        <v>-2</v>
      </c>
      <c r="EBR5750" s="34">
        <v>-3</v>
      </c>
      <c r="EBS5750" s="34">
        <v>-4</v>
      </c>
      <c r="EBT5750" s="34">
        <v>-5</v>
      </c>
      <c r="EBU5750" s="908"/>
      <c r="EBV5750" s="909"/>
      <c r="EBW5750" s="34">
        <v>-5</v>
      </c>
      <c r="EBX5750" s="34">
        <v>-4.5</v>
      </c>
      <c r="EBY5750" s="34">
        <v>-4</v>
      </c>
      <c r="EBZ5750" s="34">
        <v>-3.5</v>
      </c>
      <c r="ECA5750" s="34">
        <v>-3</v>
      </c>
      <c r="ECB5750" s="34">
        <v>-2.5</v>
      </c>
      <c r="ECC5750" s="34">
        <v>-2</v>
      </c>
      <c r="ECD5750" s="34">
        <v>-1.5</v>
      </c>
      <c r="ECE5750" s="34">
        <v>-1</v>
      </c>
      <c r="ECF5750" s="34">
        <v>-0.5</v>
      </c>
      <c r="ECG5750" s="34">
        <v>0</v>
      </c>
      <c r="ECH5750" s="34">
        <v>0.5</v>
      </c>
      <c r="ECI5750" s="34">
        <v>1</v>
      </c>
      <c r="ECJ5750" s="34">
        <v>1.5</v>
      </c>
      <c r="ECK5750" s="34">
        <v>2</v>
      </c>
      <c r="ECL5750" s="34">
        <v>2.5</v>
      </c>
      <c r="ECM5750" s="34">
        <v>3</v>
      </c>
      <c r="ECN5750" s="34">
        <v>3.5</v>
      </c>
      <c r="ECO5750" s="34">
        <v>4</v>
      </c>
      <c r="ECP5750" s="34">
        <v>4.5</v>
      </c>
      <c r="ECQ5750" s="34">
        <v>5</v>
      </c>
      <c r="ECS5750" s="913"/>
      <c r="ECT5750" s="31">
        <v>1</v>
      </c>
      <c r="ECU5750" s="34">
        <v>0</v>
      </c>
      <c r="ECV5750" s="34">
        <v>-1</v>
      </c>
      <c r="ECW5750" s="34">
        <v>-2</v>
      </c>
      <c r="ECX5750" s="34">
        <v>-3</v>
      </c>
      <c r="ECY5750" s="34">
        <v>-4</v>
      </c>
      <c r="ECZ5750" s="34">
        <v>-5</v>
      </c>
      <c r="EDA5750" s="908"/>
      <c r="EDB5750" s="909"/>
      <c r="EDC5750" s="34">
        <v>-5</v>
      </c>
      <c r="EDD5750" s="34">
        <v>-4.5</v>
      </c>
      <c r="EDE5750" s="34">
        <v>-4</v>
      </c>
      <c r="EDF5750" s="34">
        <v>-3.5</v>
      </c>
      <c r="EDG5750" s="34">
        <v>-3</v>
      </c>
      <c r="EDH5750" s="34">
        <v>-2.5</v>
      </c>
      <c r="EDI5750" s="34">
        <v>-2</v>
      </c>
      <c r="EDJ5750" s="34">
        <v>-1.5</v>
      </c>
      <c r="EDK5750" s="34">
        <v>-1</v>
      </c>
      <c r="EDL5750" s="34">
        <v>-0.5</v>
      </c>
      <c r="EDM5750" s="34">
        <v>0</v>
      </c>
      <c r="EDN5750" s="34">
        <v>0.5</v>
      </c>
      <c r="EDO5750" s="34">
        <v>1</v>
      </c>
      <c r="EDP5750" s="34">
        <v>1.5</v>
      </c>
      <c r="EDQ5750" s="34">
        <v>2</v>
      </c>
      <c r="EDR5750" s="34">
        <v>2.5</v>
      </c>
      <c r="EDS5750" s="34">
        <v>3</v>
      </c>
      <c r="EDT5750" s="34">
        <v>3.5</v>
      </c>
      <c r="EDU5750" s="34">
        <v>4</v>
      </c>
      <c r="EDV5750" s="34">
        <v>4.5</v>
      </c>
      <c r="EDW5750" s="34">
        <v>5</v>
      </c>
      <c r="EDY5750" s="913"/>
      <c r="EDZ5750" s="31">
        <v>1</v>
      </c>
      <c r="EEA5750" s="34">
        <v>0</v>
      </c>
      <c r="EEB5750" s="34">
        <v>-1</v>
      </c>
      <c r="EEC5750" s="34">
        <v>-2</v>
      </c>
      <c r="EED5750" s="34">
        <v>-3</v>
      </c>
      <c r="EEE5750" s="34">
        <v>-4</v>
      </c>
      <c r="EEF5750" s="34">
        <v>-5</v>
      </c>
      <c r="EEG5750" s="908"/>
      <c r="EEH5750" s="909"/>
      <c r="EEI5750" s="34">
        <v>-5</v>
      </c>
      <c r="EEJ5750" s="34">
        <v>-4.5</v>
      </c>
      <c r="EEK5750" s="34">
        <v>-4</v>
      </c>
      <c r="EEL5750" s="34">
        <v>-3.5</v>
      </c>
      <c r="EEM5750" s="34">
        <v>-3</v>
      </c>
      <c r="EEN5750" s="34">
        <v>-2.5</v>
      </c>
      <c r="EEO5750" s="34">
        <v>-2</v>
      </c>
      <c r="EEP5750" s="34">
        <v>-1.5</v>
      </c>
      <c r="EEQ5750" s="34">
        <v>-1</v>
      </c>
      <c r="EER5750" s="34">
        <v>-0.5</v>
      </c>
      <c r="EES5750" s="34">
        <v>0</v>
      </c>
      <c r="EET5750" s="34">
        <v>0.5</v>
      </c>
      <c r="EEU5750" s="34">
        <v>1</v>
      </c>
      <c r="EEV5750" s="34">
        <v>1.5</v>
      </c>
      <c r="EEW5750" s="34">
        <v>2</v>
      </c>
      <c r="EEX5750" s="34">
        <v>2.5</v>
      </c>
      <c r="EEY5750" s="34">
        <v>3</v>
      </c>
      <c r="EEZ5750" s="34">
        <v>3.5</v>
      </c>
      <c r="EFA5750" s="34">
        <v>4</v>
      </c>
      <c r="EFB5750" s="34">
        <v>4.5</v>
      </c>
      <c r="EFC5750" s="34">
        <v>5</v>
      </c>
      <c r="EFE5750" s="913"/>
      <c r="EFF5750" s="31">
        <v>1</v>
      </c>
      <c r="EFG5750" s="34">
        <v>0</v>
      </c>
      <c r="EFH5750" s="34">
        <v>-1</v>
      </c>
      <c r="EFI5750" s="34">
        <v>-2</v>
      </c>
      <c r="EFJ5750" s="34">
        <v>-3</v>
      </c>
      <c r="EFK5750" s="34">
        <v>-4</v>
      </c>
      <c r="EFL5750" s="34">
        <v>-5</v>
      </c>
      <c r="EFM5750" s="908"/>
      <c r="EFN5750" s="909"/>
      <c r="EFO5750" s="34">
        <v>-5</v>
      </c>
      <c r="EFP5750" s="34">
        <v>-4.5</v>
      </c>
      <c r="EFQ5750" s="34">
        <v>-4</v>
      </c>
      <c r="EFR5750" s="34">
        <v>-3.5</v>
      </c>
      <c r="EFS5750" s="34">
        <v>-3</v>
      </c>
      <c r="EFT5750" s="34">
        <v>-2.5</v>
      </c>
      <c r="EFU5750" s="34">
        <v>-2</v>
      </c>
      <c r="EFV5750" s="34">
        <v>-1.5</v>
      </c>
      <c r="EFW5750" s="34">
        <v>-1</v>
      </c>
      <c r="EFX5750" s="34">
        <v>-0.5</v>
      </c>
      <c r="EFY5750" s="34">
        <v>0</v>
      </c>
      <c r="EFZ5750" s="34">
        <v>0.5</v>
      </c>
      <c r="EGA5750" s="34">
        <v>1</v>
      </c>
      <c r="EGB5750" s="34">
        <v>1.5</v>
      </c>
      <c r="EGC5750" s="34">
        <v>2</v>
      </c>
      <c r="EGD5750" s="34">
        <v>2.5</v>
      </c>
      <c r="EGE5750" s="34">
        <v>3</v>
      </c>
      <c r="EGF5750" s="34">
        <v>3.5</v>
      </c>
      <c r="EGG5750" s="34">
        <v>4</v>
      </c>
      <c r="EGH5750" s="34">
        <v>4.5</v>
      </c>
      <c r="EGI5750" s="34">
        <v>5</v>
      </c>
      <c r="EGK5750" s="913"/>
      <c r="EGL5750" s="31">
        <v>1</v>
      </c>
      <c r="EGM5750" s="34">
        <v>0</v>
      </c>
      <c r="EGN5750" s="34">
        <v>-1</v>
      </c>
      <c r="EGO5750" s="34">
        <v>-2</v>
      </c>
      <c r="EGP5750" s="34">
        <v>-3</v>
      </c>
      <c r="EGQ5750" s="34">
        <v>-4</v>
      </c>
      <c r="EGR5750" s="34">
        <v>-5</v>
      </c>
      <c r="EGS5750" s="908"/>
      <c r="EGT5750" s="909"/>
      <c r="EGU5750" s="34">
        <v>-5</v>
      </c>
      <c r="EGV5750" s="34">
        <v>-4.5</v>
      </c>
      <c r="EGW5750" s="34">
        <v>-4</v>
      </c>
      <c r="EGX5750" s="34">
        <v>-3.5</v>
      </c>
      <c r="EGY5750" s="34">
        <v>-3</v>
      </c>
      <c r="EGZ5750" s="34">
        <v>-2.5</v>
      </c>
      <c r="EHA5750" s="34">
        <v>-2</v>
      </c>
      <c r="EHB5750" s="34">
        <v>-1.5</v>
      </c>
      <c r="EHC5750" s="34">
        <v>-1</v>
      </c>
      <c r="EHD5750" s="34">
        <v>-0.5</v>
      </c>
      <c r="EHE5750" s="34">
        <v>0</v>
      </c>
      <c r="EHF5750" s="34">
        <v>0.5</v>
      </c>
      <c r="EHG5750" s="34">
        <v>1</v>
      </c>
      <c r="EHH5750" s="34">
        <v>1.5</v>
      </c>
      <c r="EHI5750" s="34">
        <v>2</v>
      </c>
      <c r="EHJ5750" s="34">
        <v>2.5</v>
      </c>
      <c r="EHK5750" s="34">
        <v>3</v>
      </c>
      <c r="EHL5750" s="34">
        <v>3.5</v>
      </c>
      <c r="EHM5750" s="34">
        <v>4</v>
      </c>
      <c r="EHN5750" s="34">
        <v>4.5</v>
      </c>
      <c r="EHO5750" s="34">
        <v>5</v>
      </c>
      <c r="EHQ5750" s="913"/>
      <c r="EHR5750" s="31">
        <v>1</v>
      </c>
      <c r="EHS5750" s="34">
        <v>0</v>
      </c>
      <c r="EHT5750" s="34">
        <v>-1</v>
      </c>
      <c r="EHU5750" s="34">
        <v>-2</v>
      </c>
      <c r="EHV5750" s="34">
        <v>-3</v>
      </c>
      <c r="EHW5750" s="34">
        <v>-4</v>
      </c>
      <c r="EHX5750" s="34">
        <v>-5</v>
      </c>
      <c r="EHY5750" s="908"/>
      <c r="EHZ5750" s="909"/>
      <c r="EIA5750" s="34">
        <v>-5</v>
      </c>
      <c r="EIB5750" s="34">
        <v>-4.5</v>
      </c>
      <c r="EIC5750" s="34">
        <v>-4</v>
      </c>
      <c r="EID5750" s="34">
        <v>-3.5</v>
      </c>
      <c r="EIE5750" s="34">
        <v>-3</v>
      </c>
      <c r="EIF5750" s="34">
        <v>-2.5</v>
      </c>
      <c r="EIG5750" s="34">
        <v>-2</v>
      </c>
      <c r="EIH5750" s="34">
        <v>-1.5</v>
      </c>
      <c r="EII5750" s="34">
        <v>-1</v>
      </c>
      <c r="EIJ5750" s="34">
        <v>-0.5</v>
      </c>
      <c r="EIK5750" s="34">
        <v>0</v>
      </c>
      <c r="EIL5750" s="34">
        <v>0.5</v>
      </c>
      <c r="EIM5750" s="34">
        <v>1</v>
      </c>
      <c r="EIN5750" s="34">
        <v>1.5</v>
      </c>
      <c r="EIO5750" s="34">
        <v>2</v>
      </c>
      <c r="EIP5750" s="34">
        <v>2.5</v>
      </c>
      <c r="EIQ5750" s="34">
        <v>3</v>
      </c>
      <c r="EIR5750" s="34">
        <v>3.5</v>
      </c>
      <c r="EIS5750" s="34">
        <v>4</v>
      </c>
      <c r="EIT5750" s="34">
        <v>4.5</v>
      </c>
      <c r="EIU5750" s="34">
        <v>5</v>
      </c>
      <c r="EIW5750" s="913"/>
      <c r="EIX5750" s="31">
        <v>1</v>
      </c>
      <c r="EIY5750" s="34">
        <v>0</v>
      </c>
      <c r="EIZ5750" s="34">
        <v>-1</v>
      </c>
      <c r="EJA5750" s="34">
        <v>-2</v>
      </c>
      <c r="EJB5750" s="34">
        <v>-3</v>
      </c>
      <c r="EJC5750" s="34">
        <v>-4</v>
      </c>
      <c r="EJD5750" s="34">
        <v>-5</v>
      </c>
      <c r="EJE5750" s="908"/>
      <c r="EJF5750" s="909"/>
      <c r="EJG5750" s="34">
        <v>-5</v>
      </c>
      <c r="EJH5750" s="34">
        <v>-4.5</v>
      </c>
      <c r="EJI5750" s="34">
        <v>-4</v>
      </c>
      <c r="EJJ5750" s="34">
        <v>-3.5</v>
      </c>
      <c r="EJK5750" s="34">
        <v>-3</v>
      </c>
      <c r="EJL5750" s="34">
        <v>-2.5</v>
      </c>
      <c r="EJM5750" s="34">
        <v>-2</v>
      </c>
      <c r="EJN5750" s="34">
        <v>-1.5</v>
      </c>
      <c r="EJO5750" s="34">
        <v>-1</v>
      </c>
      <c r="EJP5750" s="34">
        <v>-0.5</v>
      </c>
      <c r="EJQ5750" s="34">
        <v>0</v>
      </c>
      <c r="EJR5750" s="34">
        <v>0.5</v>
      </c>
      <c r="EJS5750" s="34">
        <v>1</v>
      </c>
      <c r="EJT5750" s="34">
        <v>1.5</v>
      </c>
      <c r="EJU5750" s="34">
        <v>2</v>
      </c>
      <c r="EJV5750" s="34">
        <v>2.5</v>
      </c>
      <c r="EJW5750" s="34">
        <v>3</v>
      </c>
      <c r="EJX5750" s="34">
        <v>3.5</v>
      </c>
      <c r="EJY5750" s="34">
        <v>4</v>
      </c>
      <c r="EJZ5750" s="34">
        <v>4.5</v>
      </c>
      <c r="EKA5750" s="34">
        <v>5</v>
      </c>
      <c r="EKC5750" s="913"/>
      <c r="EKD5750" s="31">
        <v>1</v>
      </c>
      <c r="EKE5750" s="34">
        <v>0</v>
      </c>
      <c r="EKF5750" s="34">
        <v>-1</v>
      </c>
      <c r="EKG5750" s="34">
        <v>-2</v>
      </c>
      <c r="EKH5750" s="34">
        <v>-3</v>
      </c>
      <c r="EKI5750" s="34">
        <v>-4</v>
      </c>
      <c r="EKJ5750" s="34">
        <v>-5</v>
      </c>
      <c r="EKK5750" s="908"/>
      <c r="EKL5750" s="909"/>
      <c r="EKM5750" s="34">
        <v>-5</v>
      </c>
      <c r="EKN5750" s="34">
        <v>-4.5</v>
      </c>
      <c r="EKO5750" s="34">
        <v>-4</v>
      </c>
      <c r="EKP5750" s="34">
        <v>-3.5</v>
      </c>
      <c r="EKQ5750" s="34">
        <v>-3</v>
      </c>
      <c r="EKR5750" s="34">
        <v>-2.5</v>
      </c>
      <c r="EKS5750" s="34">
        <v>-2</v>
      </c>
      <c r="EKT5750" s="34">
        <v>-1.5</v>
      </c>
      <c r="EKU5750" s="34">
        <v>-1</v>
      </c>
      <c r="EKV5750" s="34">
        <v>-0.5</v>
      </c>
      <c r="EKW5750" s="34">
        <v>0</v>
      </c>
      <c r="EKX5750" s="34">
        <v>0.5</v>
      </c>
      <c r="EKY5750" s="34">
        <v>1</v>
      </c>
      <c r="EKZ5750" s="34">
        <v>1.5</v>
      </c>
      <c r="ELA5750" s="34">
        <v>2</v>
      </c>
      <c r="ELB5750" s="34">
        <v>2.5</v>
      </c>
      <c r="ELC5750" s="34">
        <v>3</v>
      </c>
      <c r="ELD5750" s="34">
        <v>3.5</v>
      </c>
      <c r="ELE5750" s="34">
        <v>4</v>
      </c>
      <c r="ELF5750" s="34">
        <v>4.5</v>
      </c>
      <c r="ELG5750" s="34">
        <v>5</v>
      </c>
      <c r="ELI5750" s="913"/>
      <c r="ELJ5750" s="31">
        <v>1</v>
      </c>
      <c r="ELK5750" s="34">
        <v>0</v>
      </c>
      <c r="ELL5750" s="34">
        <v>-1</v>
      </c>
      <c r="ELM5750" s="34">
        <v>-2</v>
      </c>
      <c r="ELN5750" s="34">
        <v>-3</v>
      </c>
      <c r="ELO5750" s="34">
        <v>-4</v>
      </c>
      <c r="ELP5750" s="34">
        <v>-5</v>
      </c>
      <c r="ELQ5750" s="908"/>
      <c r="ELR5750" s="909"/>
      <c r="ELS5750" s="34">
        <v>-5</v>
      </c>
      <c r="ELT5750" s="34">
        <v>-4.5</v>
      </c>
      <c r="ELU5750" s="34">
        <v>-4</v>
      </c>
      <c r="ELV5750" s="34">
        <v>-3.5</v>
      </c>
      <c r="ELW5750" s="34">
        <v>-3</v>
      </c>
      <c r="ELX5750" s="34">
        <v>-2.5</v>
      </c>
      <c r="ELY5750" s="34">
        <v>-2</v>
      </c>
      <c r="ELZ5750" s="34">
        <v>-1.5</v>
      </c>
      <c r="EMA5750" s="34">
        <v>-1</v>
      </c>
      <c r="EMB5750" s="34">
        <v>-0.5</v>
      </c>
      <c r="EMC5750" s="34">
        <v>0</v>
      </c>
      <c r="EMD5750" s="34">
        <v>0.5</v>
      </c>
      <c r="EME5750" s="34">
        <v>1</v>
      </c>
      <c r="EMF5750" s="34">
        <v>1.5</v>
      </c>
      <c r="EMG5750" s="34">
        <v>2</v>
      </c>
      <c r="EMH5750" s="34">
        <v>2.5</v>
      </c>
      <c r="EMI5750" s="34">
        <v>3</v>
      </c>
      <c r="EMJ5750" s="34">
        <v>3.5</v>
      </c>
      <c r="EMK5750" s="34">
        <v>4</v>
      </c>
      <c r="EML5750" s="34">
        <v>4.5</v>
      </c>
      <c r="EMM5750" s="34">
        <v>5</v>
      </c>
      <c r="EMO5750" s="913"/>
      <c r="EMP5750" s="31">
        <v>1</v>
      </c>
      <c r="EMQ5750" s="34">
        <v>0</v>
      </c>
      <c r="EMR5750" s="34">
        <v>-1</v>
      </c>
      <c r="EMS5750" s="34">
        <v>-2</v>
      </c>
      <c r="EMT5750" s="34">
        <v>-3</v>
      </c>
      <c r="EMU5750" s="34">
        <v>-4</v>
      </c>
      <c r="EMV5750" s="34">
        <v>-5</v>
      </c>
      <c r="EMW5750" s="908"/>
      <c r="EMX5750" s="909"/>
      <c r="EMY5750" s="34">
        <v>-5</v>
      </c>
      <c r="EMZ5750" s="34">
        <v>-4.5</v>
      </c>
      <c r="ENA5750" s="34">
        <v>-4</v>
      </c>
      <c r="ENB5750" s="34">
        <v>-3.5</v>
      </c>
      <c r="ENC5750" s="34">
        <v>-3</v>
      </c>
      <c r="END5750" s="34">
        <v>-2.5</v>
      </c>
      <c r="ENE5750" s="34">
        <v>-2</v>
      </c>
      <c r="ENF5750" s="34">
        <v>-1.5</v>
      </c>
      <c r="ENG5750" s="34">
        <v>-1</v>
      </c>
      <c r="ENH5750" s="34">
        <v>-0.5</v>
      </c>
      <c r="ENI5750" s="34">
        <v>0</v>
      </c>
      <c r="ENJ5750" s="34">
        <v>0.5</v>
      </c>
      <c r="ENK5750" s="34">
        <v>1</v>
      </c>
      <c r="ENL5750" s="34">
        <v>1.5</v>
      </c>
      <c r="ENM5750" s="34">
        <v>2</v>
      </c>
      <c r="ENN5750" s="34">
        <v>2.5</v>
      </c>
      <c r="ENO5750" s="34">
        <v>3</v>
      </c>
      <c r="ENP5750" s="34">
        <v>3.5</v>
      </c>
      <c r="ENQ5750" s="34">
        <v>4</v>
      </c>
      <c r="ENR5750" s="34">
        <v>4.5</v>
      </c>
      <c r="ENS5750" s="34">
        <v>5</v>
      </c>
      <c r="ENU5750" s="913"/>
      <c r="ENV5750" s="31">
        <v>1</v>
      </c>
      <c r="ENW5750" s="34">
        <v>0</v>
      </c>
      <c r="ENX5750" s="34">
        <v>-1</v>
      </c>
      <c r="ENY5750" s="34">
        <v>-2</v>
      </c>
      <c r="ENZ5750" s="34">
        <v>-3</v>
      </c>
      <c r="EOA5750" s="34">
        <v>-4</v>
      </c>
      <c r="EOB5750" s="34">
        <v>-5</v>
      </c>
      <c r="EOC5750" s="908"/>
      <c r="EOD5750" s="909"/>
      <c r="EOE5750" s="34">
        <v>-5</v>
      </c>
      <c r="EOF5750" s="34">
        <v>-4.5</v>
      </c>
      <c r="EOG5750" s="34">
        <v>-4</v>
      </c>
      <c r="EOH5750" s="34">
        <v>-3.5</v>
      </c>
      <c r="EOI5750" s="34">
        <v>-3</v>
      </c>
      <c r="EOJ5750" s="34">
        <v>-2.5</v>
      </c>
      <c r="EOK5750" s="34">
        <v>-2</v>
      </c>
      <c r="EOL5750" s="34">
        <v>-1.5</v>
      </c>
      <c r="EOM5750" s="34">
        <v>-1</v>
      </c>
      <c r="EON5750" s="34">
        <v>-0.5</v>
      </c>
      <c r="EOO5750" s="34">
        <v>0</v>
      </c>
      <c r="EOP5750" s="34">
        <v>0.5</v>
      </c>
      <c r="EOQ5750" s="34">
        <v>1</v>
      </c>
      <c r="EOR5750" s="34">
        <v>1.5</v>
      </c>
      <c r="EOS5750" s="34">
        <v>2</v>
      </c>
      <c r="EOT5750" s="34">
        <v>2.5</v>
      </c>
      <c r="EOU5750" s="34">
        <v>3</v>
      </c>
      <c r="EOV5750" s="34">
        <v>3.5</v>
      </c>
      <c r="EOW5750" s="34">
        <v>4</v>
      </c>
      <c r="EOX5750" s="34">
        <v>4.5</v>
      </c>
      <c r="EOY5750" s="34">
        <v>5</v>
      </c>
      <c r="EPA5750" s="913"/>
      <c r="EPB5750" s="31">
        <v>1</v>
      </c>
      <c r="EPC5750" s="34">
        <v>0</v>
      </c>
      <c r="EPD5750" s="34">
        <v>-1</v>
      </c>
      <c r="EPE5750" s="34">
        <v>-2</v>
      </c>
      <c r="EPF5750" s="34">
        <v>-3</v>
      </c>
      <c r="EPG5750" s="34">
        <v>-4</v>
      </c>
      <c r="EPH5750" s="34">
        <v>-5</v>
      </c>
      <c r="EPI5750" s="908"/>
      <c r="EPJ5750" s="909"/>
      <c r="EPK5750" s="34">
        <v>-5</v>
      </c>
      <c r="EPL5750" s="34">
        <v>-4.5</v>
      </c>
      <c r="EPM5750" s="34">
        <v>-4</v>
      </c>
      <c r="EPN5750" s="34">
        <v>-3.5</v>
      </c>
      <c r="EPO5750" s="34">
        <v>-3</v>
      </c>
      <c r="EPP5750" s="34">
        <v>-2.5</v>
      </c>
      <c r="EPQ5750" s="34">
        <v>-2</v>
      </c>
      <c r="EPR5750" s="34">
        <v>-1.5</v>
      </c>
      <c r="EPS5750" s="34">
        <v>-1</v>
      </c>
      <c r="EPT5750" s="34">
        <v>-0.5</v>
      </c>
      <c r="EPU5750" s="34">
        <v>0</v>
      </c>
      <c r="EPV5750" s="34">
        <v>0.5</v>
      </c>
      <c r="EPW5750" s="34">
        <v>1</v>
      </c>
      <c r="EPX5750" s="34">
        <v>1.5</v>
      </c>
      <c r="EPY5750" s="34">
        <v>2</v>
      </c>
      <c r="EPZ5750" s="34">
        <v>2.5</v>
      </c>
      <c r="EQA5750" s="34">
        <v>3</v>
      </c>
      <c r="EQB5750" s="34">
        <v>3.5</v>
      </c>
      <c r="EQC5750" s="34">
        <v>4</v>
      </c>
      <c r="EQD5750" s="34">
        <v>4.5</v>
      </c>
      <c r="EQE5750" s="34">
        <v>5</v>
      </c>
      <c r="EQG5750" s="913"/>
      <c r="EQH5750" s="31">
        <v>1</v>
      </c>
      <c r="EQI5750" s="34">
        <v>0</v>
      </c>
      <c r="EQJ5750" s="34">
        <v>-1</v>
      </c>
      <c r="EQK5750" s="34">
        <v>-2</v>
      </c>
      <c r="EQL5750" s="34">
        <v>-3</v>
      </c>
      <c r="EQM5750" s="34">
        <v>-4</v>
      </c>
      <c r="EQN5750" s="34">
        <v>-5</v>
      </c>
      <c r="EQO5750" s="908"/>
      <c r="EQP5750" s="909"/>
      <c r="EQQ5750" s="34">
        <v>-5</v>
      </c>
      <c r="EQR5750" s="34">
        <v>-4.5</v>
      </c>
      <c r="EQS5750" s="34">
        <v>-4</v>
      </c>
      <c r="EQT5750" s="34">
        <v>-3.5</v>
      </c>
      <c r="EQU5750" s="34">
        <v>-3</v>
      </c>
      <c r="EQV5750" s="34">
        <v>-2.5</v>
      </c>
      <c r="EQW5750" s="34">
        <v>-2</v>
      </c>
      <c r="EQX5750" s="34">
        <v>-1.5</v>
      </c>
      <c r="EQY5750" s="34">
        <v>-1</v>
      </c>
      <c r="EQZ5750" s="34">
        <v>-0.5</v>
      </c>
      <c r="ERA5750" s="34">
        <v>0</v>
      </c>
      <c r="ERB5750" s="34">
        <v>0.5</v>
      </c>
      <c r="ERC5750" s="34">
        <v>1</v>
      </c>
      <c r="ERD5750" s="34">
        <v>1.5</v>
      </c>
      <c r="ERE5750" s="34">
        <v>2</v>
      </c>
      <c r="ERF5750" s="34">
        <v>2.5</v>
      </c>
      <c r="ERG5750" s="34">
        <v>3</v>
      </c>
      <c r="ERH5750" s="34">
        <v>3.5</v>
      </c>
      <c r="ERI5750" s="34">
        <v>4</v>
      </c>
      <c r="ERJ5750" s="34">
        <v>4.5</v>
      </c>
      <c r="ERK5750" s="34">
        <v>5</v>
      </c>
      <c r="ERM5750" s="913"/>
      <c r="ERN5750" s="31">
        <v>1</v>
      </c>
      <c r="ERO5750" s="34">
        <v>0</v>
      </c>
      <c r="ERP5750" s="34">
        <v>-1</v>
      </c>
      <c r="ERQ5750" s="34">
        <v>-2</v>
      </c>
      <c r="ERR5750" s="34">
        <v>-3</v>
      </c>
      <c r="ERS5750" s="34">
        <v>-4</v>
      </c>
      <c r="ERT5750" s="34">
        <v>-5</v>
      </c>
      <c r="ERU5750" s="908"/>
      <c r="ERV5750" s="909"/>
      <c r="ERW5750" s="34">
        <v>-5</v>
      </c>
      <c r="ERX5750" s="34">
        <v>-4.5</v>
      </c>
      <c r="ERY5750" s="34">
        <v>-4</v>
      </c>
      <c r="ERZ5750" s="34">
        <v>-3.5</v>
      </c>
      <c r="ESA5750" s="34">
        <v>-3</v>
      </c>
      <c r="ESB5750" s="34">
        <v>-2.5</v>
      </c>
      <c r="ESC5750" s="34">
        <v>-2</v>
      </c>
      <c r="ESD5750" s="34">
        <v>-1.5</v>
      </c>
      <c r="ESE5750" s="34">
        <v>-1</v>
      </c>
      <c r="ESF5750" s="34">
        <v>-0.5</v>
      </c>
      <c r="ESG5750" s="34">
        <v>0</v>
      </c>
      <c r="ESH5750" s="34">
        <v>0.5</v>
      </c>
      <c r="ESI5750" s="34">
        <v>1</v>
      </c>
      <c r="ESJ5750" s="34">
        <v>1.5</v>
      </c>
      <c r="ESK5750" s="34">
        <v>2</v>
      </c>
      <c r="ESL5750" s="34">
        <v>2.5</v>
      </c>
      <c r="ESM5750" s="34">
        <v>3</v>
      </c>
      <c r="ESN5750" s="34">
        <v>3.5</v>
      </c>
      <c r="ESO5750" s="34">
        <v>4</v>
      </c>
      <c r="ESP5750" s="34">
        <v>4.5</v>
      </c>
      <c r="ESQ5750" s="34">
        <v>5</v>
      </c>
      <c r="ESS5750" s="913"/>
      <c r="EST5750" s="31">
        <v>1</v>
      </c>
      <c r="ESU5750" s="34">
        <v>0</v>
      </c>
      <c r="ESV5750" s="34">
        <v>-1</v>
      </c>
      <c r="ESW5750" s="34">
        <v>-2</v>
      </c>
      <c r="ESX5750" s="34">
        <v>-3</v>
      </c>
      <c r="ESY5750" s="34">
        <v>-4</v>
      </c>
      <c r="ESZ5750" s="34">
        <v>-5</v>
      </c>
      <c r="ETA5750" s="908"/>
      <c r="ETB5750" s="909"/>
      <c r="ETC5750" s="34">
        <v>-5</v>
      </c>
      <c r="ETD5750" s="34">
        <v>-4.5</v>
      </c>
      <c r="ETE5750" s="34">
        <v>-4</v>
      </c>
      <c r="ETF5750" s="34">
        <v>-3.5</v>
      </c>
      <c r="ETG5750" s="34">
        <v>-3</v>
      </c>
      <c r="ETH5750" s="34">
        <v>-2.5</v>
      </c>
      <c r="ETI5750" s="34">
        <v>-2</v>
      </c>
      <c r="ETJ5750" s="34">
        <v>-1.5</v>
      </c>
      <c r="ETK5750" s="34">
        <v>-1</v>
      </c>
      <c r="ETL5750" s="34">
        <v>-0.5</v>
      </c>
      <c r="ETM5750" s="34">
        <v>0</v>
      </c>
      <c r="ETN5750" s="34">
        <v>0.5</v>
      </c>
      <c r="ETO5750" s="34">
        <v>1</v>
      </c>
      <c r="ETP5750" s="34">
        <v>1.5</v>
      </c>
      <c r="ETQ5750" s="34">
        <v>2</v>
      </c>
      <c r="ETR5750" s="34">
        <v>2.5</v>
      </c>
      <c r="ETS5750" s="34">
        <v>3</v>
      </c>
      <c r="ETT5750" s="34">
        <v>3.5</v>
      </c>
      <c r="ETU5750" s="34">
        <v>4</v>
      </c>
      <c r="ETV5750" s="34">
        <v>4.5</v>
      </c>
      <c r="ETW5750" s="34">
        <v>5</v>
      </c>
      <c r="ETY5750" s="913"/>
      <c r="ETZ5750" s="31">
        <v>1</v>
      </c>
      <c r="EUA5750" s="34">
        <v>0</v>
      </c>
      <c r="EUB5750" s="34">
        <v>-1</v>
      </c>
      <c r="EUC5750" s="34">
        <v>-2</v>
      </c>
      <c r="EUD5750" s="34">
        <v>-3</v>
      </c>
      <c r="EUE5750" s="34">
        <v>-4</v>
      </c>
      <c r="EUF5750" s="34">
        <v>-5</v>
      </c>
      <c r="EUG5750" s="908"/>
      <c r="EUH5750" s="909"/>
      <c r="EUI5750" s="34">
        <v>-5</v>
      </c>
      <c r="EUJ5750" s="34">
        <v>-4.5</v>
      </c>
      <c r="EUK5750" s="34">
        <v>-4</v>
      </c>
      <c r="EUL5750" s="34">
        <v>-3.5</v>
      </c>
      <c r="EUM5750" s="34">
        <v>-3</v>
      </c>
      <c r="EUN5750" s="34">
        <v>-2.5</v>
      </c>
      <c r="EUO5750" s="34">
        <v>-2</v>
      </c>
      <c r="EUP5750" s="34">
        <v>-1.5</v>
      </c>
      <c r="EUQ5750" s="34">
        <v>-1</v>
      </c>
      <c r="EUR5750" s="34">
        <v>-0.5</v>
      </c>
      <c r="EUS5750" s="34">
        <v>0</v>
      </c>
      <c r="EUT5750" s="34">
        <v>0.5</v>
      </c>
      <c r="EUU5750" s="34">
        <v>1</v>
      </c>
      <c r="EUV5750" s="34">
        <v>1.5</v>
      </c>
      <c r="EUW5750" s="34">
        <v>2</v>
      </c>
      <c r="EUX5750" s="34">
        <v>2.5</v>
      </c>
      <c r="EUY5750" s="34">
        <v>3</v>
      </c>
      <c r="EUZ5750" s="34">
        <v>3.5</v>
      </c>
      <c r="EVA5750" s="34">
        <v>4</v>
      </c>
      <c r="EVB5750" s="34">
        <v>4.5</v>
      </c>
      <c r="EVC5750" s="34">
        <v>5</v>
      </c>
      <c r="EVE5750" s="913"/>
      <c r="EVF5750" s="31">
        <v>1</v>
      </c>
      <c r="EVG5750" s="34">
        <v>0</v>
      </c>
      <c r="EVH5750" s="34">
        <v>-1</v>
      </c>
      <c r="EVI5750" s="34">
        <v>-2</v>
      </c>
      <c r="EVJ5750" s="34">
        <v>-3</v>
      </c>
      <c r="EVK5750" s="34">
        <v>-4</v>
      </c>
      <c r="EVL5750" s="34">
        <v>-5</v>
      </c>
      <c r="EVM5750" s="908"/>
      <c r="EVN5750" s="909"/>
      <c r="EVO5750" s="34">
        <v>-5</v>
      </c>
      <c r="EVP5750" s="34">
        <v>-4.5</v>
      </c>
      <c r="EVQ5750" s="34">
        <v>-4</v>
      </c>
      <c r="EVR5750" s="34">
        <v>-3.5</v>
      </c>
      <c r="EVS5750" s="34">
        <v>-3</v>
      </c>
      <c r="EVT5750" s="34">
        <v>-2.5</v>
      </c>
      <c r="EVU5750" s="34">
        <v>-2</v>
      </c>
      <c r="EVV5750" s="34">
        <v>-1.5</v>
      </c>
      <c r="EVW5750" s="34">
        <v>-1</v>
      </c>
      <c r="EVX5750" s="34">
        <v>-0.5</v>
      </c>
      <c r="EVY5750" s="34">
        <v>0</v>
      </c>
      <c r="EVZ5750" s="34">
        <v>0.5</v>
      </c>
      <c r="EWA5750" s="34">
        <v>1</v>
      </c>
      <c r="EWB5750" s="34">
        <v>1.5</v>
      </c>
      <c r="EWC5750" s="34">
        <v>2</v>
      </c>
      <c r="EWD5750" s="34">
        <v>2.5</v>
      </c>
      <c r="EWE5750" s="34">
        <v>3</v>
      </c>
      <c r="EWF5750" s="34">
        <v>3.5</v>
      </c>
      <c r="EWG5750" s="34">
        <v>4</v>
      </c>
      <c r="EWH5750" s="34">
        <v>4.5</v>
      </c>
      <c r="EWI5750" s="34">
        <v>5</v>
      </c>
      <c r="EWK5750" s="913"/>
      <c r="EWL5750" s="31">
        <v>1</v>
      </c>
      <c r="EWM5750" s="34">
        <v>0</v>
      </c>
      <c r="EWN5750" s="34">
        <v>-1</v>
      </c>
      <c r="EWO5750" s="34">
        <v>-2</v>
      </c>
      <c r="EWP5750" s="34">
        <v>-3</v>
      </c>
      <c r="EWQ5750" s="34">
        <v>-4</v>
      </c>
      <c r="EWR5750" s="34">
        <v>-5</v>
      </c>
      <c r="EWS5750" s="908"/>
      <c r="EWT5750" s="909"/>
      <c r="EWU5750" s="34">
        <v>-5</v>
      </c>
      <c r="EWV5750" s="34">
        <v>-4.5</v>
      </c>
      <c r="EWW5750" s="34">
        <v>-4</v>
      </c>
      <c r="EWX5750" s="34">
        <v>-3.5</v>
      </c>
      <c r="EWY5750" s="34">
        <v>-3</v>
      </c>
      <c r="EWZ5750" s="34">
        <v>-2.5</v>
      </c>
      <c r="EXA5750" s="34">
        <v>-2</v>
      </c>
      <c r="EXB5750" s="34">
        <v>-1.5</v>
      </c>
      <c r="EXC5750" s="34">
        <v>-1</v>
      </c>
      <c r="EXD5750" s="34">
        <v>-0.5</v>
      </c>
      <c r="EXE5750" s="34">
        <v>0</v>
      </c>
      <c r="EXF5750" s="34">
        <v>0.5</v>
      </c>
      <c r="EXG5750" s="34">
        <v>1</v>
      </c>
      <c r="EXH5750" s="34">
        <v>1.5</v>
      </c>
      <c r="EXI5750" s="34">
        <v>2</v>
      </c>
      <c r="EXJ5750" s="34">
        <v>2.5</v>
      </c>
      <c r="EXK5750" s="34">
        <v>3</v>
      </c>
      <c r="EXL5750" s="34">
        <v>3.5</v>
      </c>
      <c r="EXM5750" s="34">
        <v>4</v>
      </c>
      <c r="EXN5750" s="34">
        <v>4.5</v>
      </c>
      <c r="EXO5750" s="34">
        <v>5</v>
      </c>
      <c r="EXQ5750" s="913"/>
      <c r="EXR5750" s="31">
        <v>1</v>
      </c>
      <c r="EXS5750" s="34">
        <v>0</v>
      </c>
      <c r="EXT5750" s="34">
        <v>-1</v>
      </c>
      <c r="EXU5750" s="34">
        <v>-2</v>
      </c>
      <c r="EXV5750" s="34">
        <v>-3</v>
      </c>
      <c r="EXW5750" s="34">
        <v>-4</v>
      </c>
      <c r="EXX5750" s="34">
        <v>-5</v>
      </c>
      <c r="EXY5750" s="908"/>
      <c r="EXZ5750" s="909"/>
      <c r="EYA5750" s="34">
        <v>-5</v>
      </c>
      <c r="EYB5750" s="34">
        <v>-4.5</v>
      </c>
      <c r="EYC5750" s="34">
        <v>-4</v>
      </c>
      <c r="EYD5750" s="34">
        <v>-3.5</v>
      </c>
      <c r="EYE5750" s="34">
        <v>-3</v>
      </c>
      <c r="EYF5750" s="34">
        <v>-2.5</v>
      </c>
      <c r="EYG5750" s="34">
        <v>-2</v>
      </c>
      <c r="EYH5750" s="34">
        <v>-1.5</v>
      </c>
      <c r="EYI5750" s="34">
        <v>-1</v>
      </c>
      <c r="EYJ5750" s="34">
        <v>-0.5</v>
      </c>
      <c r="EYK5750" s="34">
        <v>0</v>
      </c>
      <c r="EYL5750" s="34">
        <v>0.5</v>
      </c>
      <c r="EYM5750" s="34">
        <v>1</v>
      </c>
      <c r="EYN5750" s="34">
        <v>1.5</v>
      </c>
      <c r="EYO5750" s="34">
        <v>2</v>
      </c>
      <c r="EYP5750" s="34">
        <v>2.5</v>
      </c>
      <c r="EYQ5750" s="34">
        <v>3</v>
      </c>
      <c r="EYR5750" s="34">
        <v>3.5</v>
      </c>
      <c r="EYS5750" s="34">
        <v>4</v>
      </c>
      <c r="EYT5750" s="34">
        <v>4.5</v>
      </c>
      <c r="EYU5750" s="34">
        <v>5</v>
      </c>
      <c r="EYW5750" s="913"/>
      <c r="EYX5750" s="31">
        <v>1</v>
      </c>
      <c r="EYY5750" s="34">
        <v>0</v>
      </c>
      <c r="EYZ5750" s="34">
        <v>-1</v>
      </c>
      <c r="EZA5750" s="34">
        <v>-2</v>
      </c>
      <c r="EZB5750" s="34">
        <v>-3</v>
      </c>
      <c r="EZC5750" s="34">
        <v>-4</v>
      </c>
      <c r="EZD5750" s="34">
        <v>-5</v>
      </c>
      <c r="EZE5750" s="908"/>
      <c r="EZF5750" s="909"/>
      <c r="EZG5750" s="34">
        <v>-5</v>
      </c>
      <c r="EZH5750" s="34">
        <v>-4.5</v>
      </c>
      <c r="EZI5750" s="34">
        <v>-4</v>
      </c>
      <c r="EZJ5750" s="34">
        <v>-3.5</v>
      </c>
      <c r="EZK5750" s="34">
        <v>-3</v>
      </c>
      <c r="EZL5750" s="34">
        <v>-2.5</v>
      </c>
      <c r="EZM5750" s="34">
        <v>-2</v>
      </c>
      <c r="EZN5750" s="34">
        <v>-1.5</v>
      </c>
      <c r="EZO5750" s="34">
        <v>-1</v>
      </c>
      <c r="EZP5750" s="34">
        <v>-0.5</v>
      </c>
      <c r="EZQ5750" s="34">
        <v>0</v>
      </c>
      <c r="EZR5750" s="34">
        <v>0.5</v>
      </c>
      <c r="EZS5750" s="34">
        <v>1</v>
      </c>
      <c r="EZT5750" s="34">
        <v>1.5</v>
      </c>
      <c r="EZU5750" s="34">
        <v>2</v>
      </c>
      <c r="EZV5750" s="34">
        <v>2.5</v>
      </c>
      <c r="EZW5750" s="34">
        <v>3</v>
      </c>
      <c r="EZX5750" s="34">
        <v>3.5</v>
      </c>
      <c r="EZY5750" s="34">
        <v>4</v>
      </c>
      <c r="EZZ5750" s="34">
        <v>4.5</v>
      </c>
      <c r="FAA5750" s="34">
        <v>5</v>
      </c>
      <c r="FAC5750" s="913"/>
      <c r="FAD5750" s="31">
        <v>1</v>
      </c>
      <c r="FAE5750" s="34">
        <v>0</v>
      </c>
      <c r="FAF5750" s="34">
        <v>-1</v>
      </c>
      <c r="FAG5750" s="34">
        <v>-2</v>
      </c>
      <c r="FAH5750" s="34">
        <v>-3</v>
      </c>
      <c r="FAI5750" s="34">
        <v>-4</v>
      </c>
      <c r="FAJ5750" s="34">
        <v>-5</v>
      </c>
      <c r="FAK5750" s="908"/>
      <c r="FAL5750" s="909"/>
      <c r="FAM5750" s="34">
        <v>-5</v>
      </c>
      <c r="FAN5750" s="34">
        <v>-4.5</v>
      </c>
      <c r="FAO5750" s="34">
        <v>-4</v>
      </c>
      <c r="FAP5750" s="34">
        <v>-3.5</v>
      </c>
      <c r="FAQ5750" s="34">
        <v>-3</v>
      </c>
      <c r="FAR5750" s="34">
        <v>-2.5</v>
      </c>
      <c r="FAS5750" s="34">
        <v>-2</v>
      </c>
      <c r="FAT5750" s="34">
        <v>-1.5</v>
      </c>
      <c r="FAU5750" s="34">
        <v>-1</v>
      </c>
      <c r="FAV5750" s="34">
        <v>-0.5</v>
      </c>
      <c r="FAW5750" s="34">
        <v>0</v>
      </c>
      <c r="FAX5750" s="34">
        <v>0.5</v>
      </c>
      <c r="FAY5750" s="34">
        <v>1</v>
      </c>
      <c r="FAZ5750" s="34">
        <v>1.5</v>
      </c>
      <c r="FBA5750" s="34">
        <v>2</v>
      </c>
      <c r="FBB5750" s="34">
        <v>2.5</v>
      </c>
      <c r="FBC5750" s="34">
        <v>3</v>
      </c>
      <c r="FBD5750" s="34">
        <v>3.5</v>
      </c>
      <c r="FBE5750" s="34">
        <v>4</v>
      </c>
      <c r="FBF5750" s="34">
        <v>4.5</v>
      </c>
      <c r="FBG5750" s="34">
        <v>5</v>
      </c>
      <c r="FBI5750" s="913"/>
      <c r="FBJ5750" s="31">
        <v>1</v>
      </c>
      <c r="FBK5750" s="34">
        <v>0</v>
      </c>
      <c r="FBL5750" s="34">
        <v>-1</v>
      </c>
      <c r="FBM5750" s="34">
        <v>-2</v>
      </c>
      <c r="FBN5750" s="34">
        <v>-3</v>
      </c>
      <c r="FBO5750" s="34">
        <v>-4</v>
      </c>
      <c r="FBP5750" s="34">
        <v>-5</v>
      </c>
      <c r="FBQ5750" s="908"/>
      <c r="FBR5750" s="909"/>
      <c r="FBS5750" s="34">
        <v>-5</v>
      </c>
      <c r="FBT5750" s="34">
        <v>-4.5</v>
      </c>
      <c r="FBU5750" s="34">
        <v>-4</v>
      </c>
      <c r="FBV5750" s="34">
        <v>-3.5</v>
      </c>
      <c r="FBW5750" s="34">
        <v>-3</v>
      </c>
      <c r="FBX5750" s="34">
        <v>-2.5</v>
      </c>
      <c r="FBY5750" s="34">
        <v>-2</v>
      </c>
      <c r="FBZ5750" s="34">
        <v>-1.5</v>
      </c>
      <c r="FCA5750" s="34">
        <v>-1</v>
      </c>
      <c r="FCB5750" s="34">
        <v>-0.5</v>
      </c>
      <c r="FCC5750" s="34">
        <v>0</v>
      </c>
      <c r="FCD5750" s="34">
        <v>0.5</v>
      </c>
      <c r="FCE5750" s="34">
        <v>1</v>
      </c>
      <c r="FCF5750" s="34">
        <v>1.5</v>
      </c>
      <c r="FCG5750" s="34">
        <v>2</v>
      </c>
      <c r="FCH5750" s="34">
        <v>2.5</v>
      </c>
      <c r="FCI5750" s="34">
        <v>3</v>
      </c>
      <c r="FCJ5750" s="34">
        <v>3.5</v>
      </c>
      <c r="FCK5750" s="34">
        <v>4</v>
      </c>
      <c r="FCL5750" s="34">
        <v>4.5</v>
      </c>
      <c r="FCM5750" s="34">
        <v>5</v>
      </c>
      <c r="FCO5750" s="913"/>
      <c r="FCP5750" s="31">
        <v>1</v>
      </c>
      <c r="FCQ5750" s="34">
        <v>0</v>
      </c>
      <c r="FCR5750" s="34">
        <v>-1</v>
      </c>
      <c r="FCS5750" s="34">
        <v>-2</v>
      </c>
      <c r="FCT5750" s="34">
        <v>-3</v>
      </c>
      <c r="FCU5750" s="34">
        <v>-4</v>
      </c>
      <c r="FCV5750" s="34">
        <v>-5</v>
      </c>
      <c r="FCW5750" s="908"/>
      <c r="FCX5750" s="909"/>
      <c r="FCY5750" s="34">
        <v>-5</v>
      </c>
      <c r="FCZ5750" s="34">
        <v>-4.5</v>
      </c>
      <c r="FDA5750" s="34">
        <v>-4</v>
      </c>
      <c r="FDB5750" s="34">
        <v>-3.5</v>
      </c>
      <c r="FDC5750" s="34">
        <v>-3</v>
      </c>
      <c r="FDD5750" s="34">
        <v>-2.5</v>
      </c>
      <c r="FDE5750" s="34">
        <v>-2</v>
      </c>
      <c r="FDF5750" s="34">
        <v>-1.5</v>
      </c>
      <c r="FDG5750" s="34">
        <v>-1</v>
      </c>
      <c r="FDH5750" s="34">
        <v>-0.5</v>
      </c>
      <c r="FDI5750" s="34">
        <v>0</v>
      </c>
      <c r="FDJ5750" s="34">
        <v>0.5</v>
      </c>
      <c r="FDK5750" s="34">
        <v>1</v>
      </c>
      <c r="FDL5750" s="34">
        <v>1.5</v>
      </c>
      <c r="FDM5750" s="34">
        <v>2</v>
      </c>
      <c r="FDN5750" s="34">
        <v>2.5</v>
      </c>
      <c r="FDO5750" s="34">
        <v>3</v>
      </c>
      <c r="FDP5750" s="34">
        <v>3.5</v>
      </c>
      <c r="FDQ5750" s="34">
        <v>4</v>
      </c>
      <c r="FDR5750" s="34">
        <v>4.5</v>
      </c>
      <c r="FDS5750" s="34">
        <v>5</v>
      </c>
      <c r="FDU5750" s="913"/>
      <c r="FDV5750" s="31">
        <v>1</v>
      </c>
      <c r="FDW5750" s="34">
        <v>0</v>
      </c>
      <c r="FDX5750" s="34">
        <v>-1</v>
      </c>
      <c r="FDY5750" s="34">
        <v>-2</v>
      </c>
      <c r="FDZ5750" s="34">
        <v>-3</v>
      </c>
      <c r="FEA5750" s="34">
        <v>-4</v>
      </c>
      <c r="FEB5750" s="34">
        <v>-5</v>
      </c>
      <c r="FEC5750" s="908"/>
      <c r="FED5750" s="909"/>
      <c r="FEE5750" s="34">
        <v>-5</v>
      </c>
      <c r="FEF5750" s="34">
        <v>-4.5</v>
      </c>
      <c r="FEG5750" s="34">
        <v>-4</v>
      </c>
      <c r="FEH5750" s="34">
        <v>-3.5</v>
      </c>
      <c r="FEI5750" s="34">
        <v>-3</v>
      </c>
      <c r="FEJ5750" s="34">
        <v>-2.5</v>
      </c>
      <c r="FEK5750" s="34">
        <v>-2</v>
      </c>
      <c r="FEL5750" s="34">
        <v>-1.5</v>
      </c>
      <c r="FEM5750" s="34">
        <v>-1</v>
      </c>
      <c r="FEN5750" s="34">
        <v>-0.5</v>
      </c>
      <c r="FEO5750" s="34">
        <v>0</v>
      </c>
      <c r="FEP5750" s="34">
        <v>0.5</v>
      </c>
      <c r="FEQ5750" s="34">
        <v>1</v>
      </c>
      <c r="FER5750" s="34">
        <v>1.5</v>
      </c>
      <c r="FES5750" s="34">
        <v>2</v>
      </c>
      <c r="FET5750" s="34">
        <v>2.5</v>
      </c>
      <c r="FEU5750" s="34">
        <v>3</v>
      </c>
      <c r="FEV5750" s="34">
        <v>3.5</v>
      </c>
      <c r="FEW5750" s="34">
        <v>4</v>
      </c>
      <c r="FEX5750" s="34">
        <v>4.5</v>
      </c>
      <c r="FEY5750" s="34">
        <v>5</v>
      </c>
      <c r="FFA5750" s="913"/>
      <c r="FFB5750" s="31">
        <v>1</v>
      </c>
      <c r="FFC5750" s="34">
        <v>0</v>
      </c>
      <c r="FFD5750" s="34">
        <v>-1</v>
      </c>
      <c r="FFE5750" s="34">
        <v>-2</v>
      </c>
      <c r="FFF5750" s="34">
        <v>-3</v>
      </c>
      <c r="FFG5750" s="34">
        <v>-4</v>
      </c>
      <c r="FFH5750" s="34">
        <v>-5</v>
      </c>
      <c r="FFI5750" s="908"/>
      <c r="FFJ5750" s="909"/>
      <c r="FFK5750" s="34">
        <v>-5</v>
      </c>
      <c r="FFL5750" s="34">
        <v>-4.5</v>
      </c>
      <c r="FFM5750" s="34">
        <v>-4</v>
      </c>
      <c r="FFN5750" s="34">
        <v>-3.5</v>
      </c>
      <c r="FFO5750" s="34">
        <v>-3</v>
      </c>
      <c r="FFP5750" s="34">
        <v>-2.5</v>
      </c>
      <c r="FFQ5750" s="34">
        <v>-2</v>
      </c>
      <c r="FFR5750" s="34">
        <v>-1.5</v>
      </c>
      <c r="FFS5750" s="34">
        <v>-1</v>
      </c>
      <c r="FFT5750" s="34">
        <v>-0.5</v>
      </c>
      <c r="FFU5750" s="34">
        <v>0</v>
      </c>
      <c r="FFV5750" s="34">
        <v>0.5</v>
      </c>
      <c r="FFW5750" s="34">
        <v>1</v>
      </c>
      <c r="FFX5750" s="34">
        <v>1.5</v>
      </c>
      <c r="FFY5750" s="34">
        <v>2</v>
      </c>
      <c r="FFZ5750" s="34">
        <v>2.5</v>
      </c>
      <c r="FGA5750" s="34">
        <v>3</v>
      </c>
      <c r="FGB5750" s="34">
        <v>3.5</v>
      </c>
      <c r="FGC5750" s="34">
        <v>4</v>
      </c>
      <c r="FGD5750" s="34">
        <v>4.5</v>
      </c>
      <c r="FGE5750" s="34">
        <v>5</v>
      </c>
      <c r="FGG5750" s="913"/>
      <c r="FGH5750" s="31">
        <v>1</v>
      </c>
      <c r="FGI5750" s="34">
        <v>0</v>
      </c>
      <c r="FGJ5750" s="34">
        <v>-1</v>
      </c>
      <c r="FGK5750" s="34">
        <v>-2</v>
      </c>
      <c r="FGL5750" s="34">
        <v>-3</v>
      </c>
      <c r="FGM5750" s="34">
        <v>-4</v>
      </c>
      <c r="FGN5750" s="34">
        <v>-5</v>
      </c>
      <c r="FGO5750" s="908"/>
      <c r="FGP5750" s="909"/>
      <c r="FGQ5750" s="34">
        <v>-5</v>
      </c>
      <c r="FGR5750" s="34">
        <v>-4.5</v>
      </c>
      <c r="FGS5750" s="34">
        <v>-4</v>
      </c>
      <c r="FGT5750" s="34">
        <v>-3.5</v>
      </c>
      <c r="FGU5750" s="34">
        <v>-3</v>
      </c>
      <c r="FGV5750" s="34">
        <v>-2.5</v>
      </c>
      <c r="FGW5750" s="34">
        <v>-2</v>
      </c>
      <c r="FGX5750" s="34">
        <v>-1.5</v>
      </c>
      <c r="FGY5750" s="34">
        <v>-1</v>
      </c>
      <c r="FGZ5750" s="34">
        <v>-0.5</v>
      </c>
      <c r="FHA5750" s="34">
        <v>0</v>
      </c>
      <c r="FHB5750" s="34">
        <v>0.5</v>
      </c>
      <c r="FHC5750" s="34">
        <v>1</v>
      </c>
      <c r="FHD5750" s="34">
        <v>1.5</v>
      </c>
      <c r="FHE5750" s="34">
        <v>2</v>
      </c>
      <c r="FHF5750" s="34">
        <v>2.5</v>
      </c>
      <c r="FHG5750" s="34">
        <v>3</v>
      </c>
      <c r="FHH5750" s="34">
        <v>3.5</v>
      </c>
      <c r="FHI5750" s="34">
        <v>4</v>
      </c>
      <c r="FHJ5750" s="34">
        <v>4.5</v>
      </c>
      <c r="FHK5750" s="34">
        <v>5</v>
      </c>
      <c r="FHM5750" s="913"/>
      <c r="FHN5750" s="31">
        <v>1</v>
      </c>
      <c r="FHO5750" s="34">
        <v>0</v>
      </c>
      <c r="FHP5750" s="34">
        <v>-1</v>
      </c>
      <c r="FHQ5750" s="34">
        <v>-2</v>
      </c>
      <c r="FHR5750" s="34">
        <v>-3</v>
      </c>
      <c r="FHS5750" s="34">
        <v>-4</v>
      </c>
      <c r="FHT5750" s="34">
        <v>-5</v>
      </c>
      <c r="FHU5750" s="908"/>
      <c r="FHV5750" s="909"/>
      <c r="FHW5750" s="34">
        <v>-5</v>
      </c>
      <c r="FHX5750" s="34">
        <v>-4.5</v>
      </c>
      <c r="FHY5750" s="34">
        <v>-4</v>
      </c>
      <c r="FHZ5750" s="34">
        <v>-3.5</v>
      </c>
      <c r="FIA5750" s="34">
        <v>-3</v>
      </c>
      <c r="FIB5750" s="34">
        <v>-2.5</v>
      </c>
      <c r="FIC5750" s="34">
        <v>-2</v>
      </c>
      <c r="FID5750" s="34">
        <v>-1.5</v>
      </c>
      <c r="FIE5750" s="34">
        <v>-1</v>
      </c>
      <c r="FIF5750" s="34">
        <v>-0.5</v>
      </c>
      <c r="FIG5750" s="34">
        <v>0</v>
      </c>
      <c r="FIH5750" s="34">
        <v>0.5</v>
      </c>
      <c r="FII5750" s="34">
        <v>1</v>
      </c>
      <c r="FIJ5750" s="34">
        <v>1.5</v>
      </c>
      <c r="FIK5750" s="34">
        <v>2</v>
      </c>
      <c r="FIL5750" s="34">
        <v>2.5</v>
      </c>
      <c r="FIM5750" s="34">
        <v>3</v>
      </c>
      <c r="FIN5750" s="34">
        <v>3.5</v>
      </c>
      <c r="FIO5750" s="34">
        <v>4</v>
      </c>
      <c r="FIP5750" s="34">
        <v>4.5</v>
      </c>
      <c r="FIQ5750" s="34">
        <v>5</v>
      </c>
      <c r="FIS5750" s="913"/>
      <c r="FIT5750" s="31">
        <v>1</v>
      </c>
      <c r="FIU5750" s="34">
        <v>0</v>
      </c>
      <c r="FIV5750" s="34">
        <v>-1</v>
      </c>
      <c r="FIW5750" s="34">
        <v>-2</v>
      </c>
      <c r="FIX5750" s="34">
        <v>-3</v>
      </c>
      <c r="FIY5750" s="34">
        <v>-4</v>
      </c>
      <c r="FIZ5750" s="34">
        <v>-5</v>
      </c>
      <c r="FJA5750" s="908"/>
      <c r="FJB5750" s="909"/>
      <c r="FJC5750" s="34">
        <v>-5</v>
      </c>
      <c r="FJD5750" s="34">
        <v>-4.5</v>
      </c>
      <c r="FJE5750" s="34">
        <v>-4</v>
      </c>
      <c r="FJF5750" s="34">
        <v>-3.5</v>
      </c>
      <c r="FJG5750" s="34">
        <v>-3</v>
      </c>
      <c r="FJH5750" s="34">
        <v>-2.5</v>
      </c>
      <c r="FJI5750" s="34">
        <v>-2</v>
      </c>
      <c r="FJJ5750" s="34">
        <v>-1.5</v>
      </c>
      <c r="FJK5750" s="34">
        <v>-1</v>
      </c>
      <c r="FJL5750" s="34">
        <v>-0.5</v>
      </c>
      <c r="FJM5750" s="34">
        <v>0</v>
      </c>
      <c r="FJN5750" s="34">
        <v>0.5</v>
      </c>
      <c r="FJO5750" s="34">
        <v>1</v>
      </c>
      <c r="FJP5750" s="34">
        <v>1.5</v>
      </c>
      <c r="FJQ5750" s="34">
        <v>2</v>
      </c>
      <c r="FJR5750" s="34">
        <v>2.5</v>
      </c>
      <c r="FJS5750" s="34">
        <v>3</v>
      </c>
      <c r="FJT5750" s="34">
        <v>3.5</v>
      </c>
      <c r="FJU5750" s="34">
        <v>4</v>
      </c>
      <c r="FJV5750" s="34">
        <v>4.5</v>
      </c>
      <c r="FJW5750" s="34">
        <v>5</v>
      </c>
      <c r="FJY5750" s="913"/>
      <c r="FJZ5750" s="31">
        <v>1</v>
      </c>
      <c r="FKA5750" s="34">
        <v>0</v>
      </c>
      <c r="FKB5750" s="34">
        <v>-1</v>
      </c>
      <c r="FKC5750" s="34">
        <v>-2</v>
      </c>
      <c r="FKD5750" s="34">
        <v>-3</v>
      </c>
      <c r="FKE5750" s="34">
        <v>-4</v>
      </c>
      <c r="FKF5750" s="34">
        <v>-5</v>
      </c>
      <c r="FKG5750" s="908"/>
      <c r="FKH5750" s="909"/>
      <c r="FKI5750" s="34">
        <v>-5</v>
      </c>
      <c r="FKJ5750" s="34">
        <v>-4.5</v>
      </c>
      <c r="FKK5750" s="34">
        <v>-4</v>
      </c>
      <c r="FKL5750" s="34">
        <v>-3.5</v>
      </c>
      <c r="FKM5750" s="34">
        <v>-3</v>
      </c>
      <c r="FKN5750" s="34">
        <v>-2.5</v>
      </c>
      <c r="FKO5750" s="34">
        <v>-2</v>
      </c>
      <c r="FKP5750" s="34">
        <v>-1.5</v>
      </c>
      <c r="FKQ5750" s="34">
        <v>-1</v>
      </c>
      <c r="FKR5750" s="34">
        <v>-0.5</v>
      </c>
      <c r="FKS5750" s="34">
        <v>0</v>
      </c>
      <c r="FKT5750" s="34">
        <v>0.5</v>
      </c>
      <c r="FKU5750" s="34">
        <v>1</v>
      </c>
      <c r="FKV5750" s="34">
        <v>1.5</v>
      </c>
      <c r="FKW5750" s="34">
        <v>2</v>
      </c>
      <c r="FKX5750" s="34">
        <v>2.5</v>
      </c>
      <c r="FKY5750" s="34">
        <v>3</v>
      </c>
      <c r="FKZ5750" s="34">
        <v>3.5</v>
      </c>
      <c r="FLA5750" s="34">
        <v>4</v>
      </c>
      <c r="FLB5750" s="34">
        <v>4.5</v>
      </c>
      <c r="FLC5750" s="34">
        <v>5</v>
      </c>
      <c r="FLE5750" s="913"/>
      <c r="FLF5750" s="31">
        <v>1</v>
      </c>
      <c r="FLG5750" s="34">
        <v>0</v>
      </c>
      <c r="FLH5750" s="34">
        <v>-1</v>
      </c>
      <c r="FLI5750" s="34">
        <v>-2</v>
      </c>
      <c r="FLJ5750" s="34">
        <v>-3</v>
      </c>
      <c r="FLK5750" s="34">
        <v>-4</v>
      </c>
      <c r="FLL5750" s="34">
        <v>-5</v>
      </c>
      <c r="FLM5750" s="908"/>
      <c r="FLN5750" s="909"/>
      <c r="FLO5750" s="34">
        <v>-5</v>
      </c>
      <c r="FLP5750" s="34">
        <v>-4.5</v>
      </c>
      <c r="FLQ5750" s="34">
        <v>-4</v>
      </c>
      <c r="FLR5750" s="34">
        <v>-3.5</v>
      </c>
      <c r="FLS5750" s="34">
        <v>-3</v>
      </c>
      <c r="FLT5750" s="34">
        <v>-2.5</v>
      </c>
      <c r="FLU5750" s="34">
        <v>-2</v>
      </c>
      <c r="FLV5750" s="34">
        <v>-1.5</v>
      </c>
      <c r="FLW5750" s="34">
        <v>-1</v>
      </c>
      <c r="FLX5750" s="34">
        <v>-0.5</v>
      </c>
      <c r="FLY5750" s="34">
        <v>0</v>
      </c>
      <c r="FLZ5750" s="34">
        <v>0.5</v>
      </c>
      <c r="FMA5750" s="34">
        <v>1</v>
      </c>
      <c r="FMB5750" s="34">
        <v>1.5</v>
      </c>
      <c r="FMC5750" s="34">
        <v>2</v>
      </c>
      <c r="FMD5750" s="34">
        <v>2.5</v>
      </c>
      <c r="FME5750" s="34">
        <v>3</v>
      </c>
      <c r="FMF5750" s="34">
        <v>3.5</v>
      </c>
      <c r="FMG5750" s="34">
        <v>4</v>
      </c>
      <c r="FMH5750" s="34">
        <v>4.5</v>
      </c>
      <c r="FMI5750" s="34">
        <v>5</v>
      </c>
      <c r="FMK5750" s="913"/>
      <c r="FML5750" s="31">
        <v>1</v>
      </c>
      <c r="FMM5750" s="34">
        <v>0</v>
      </c>
      <c r="FMN5750" s="34">
        <v>-1</v>
      </c>
      <c r="FMO5750" s="34">
        <v>-2</v>
      </c>
      <c r="FMP5750" s="34">
        <v>-3</v>
      </c>
      <c r="FMQ5750" s="34">
        <v>-4</v>
      </c>
      <c r="FMR5750" s="34">
        <v>-5</v>
      </c>
      <c r="FMS5750" s="908"/>
      <c r="FMT5750" s="909"/>
      <c r="FMU5750" s="34">
        <v>-5</v>
      </c>
      <c r="FMV5750" s="34">
        <v>-4.5</v>
      </c>
      <c r="FMW5750" s="34">
        <v>-4</v>
      </c>
      <c r="FMX5750" s="34">
        <v>-3.5</v>
      </c>
      <c r="FMY5750" s="34">
        <v>-3</v>
      </c>
      <c r="FMZ5750" s="34">
        <v>-2.5</v>
      </c>
      <c r="FNA5750" s="34">
        <v>-2</v>
      </c>
      <c r="FNB5750" s="34">
        <v>-1.5</v>
      </c>
      <c r="FNC5750" s="34">
        <v>-1</v>
      </c>
      <c r="FND5750" s="34">
        <v>-0.5</v>
      </c>
      <c r="FNE5750" s="34">
        <v>0</v>
      </c>
      <c r="FNF5750" s="34">
        <v>0.5</v>
      </c>
      <c r="FNG5750" s="34">
        <v>1</v>
      </c>
      <c r="FNH5750" s="34">
        <v>1.5</v>
      </c>
      <c r="FNI5750" s="34">
        <v>2</v>
      </c>
      <c r="FNJ5750" s="34">
        <v>2.5</v>
      </c>
      <c r="FNK5750" s="34">
        <v>3</v>
      </c>
      <c r="FNL5750" s="34">
        <v>3.5</v>
      </c>
      <c r="FNM5750" s="34">
        <v>4</v>
      </c>
      <c r="FNN5750" s="34">
        <v>4.5</v>
      </c>
      <c r="FNO5750" s="34">
        <v>5</v>
      </c>
      <c r="FNQ5750" s="913"/>
      <c r="FNR5750" s="31">
        <v>1</v>
      </c>
      <c r="FNS5750" s="34">
        <v>0</v>
      </c>
      <c r="FNT5750" s="34">
        <v>-1</v>
      </c>
      <c r="FNU5750" s="34">
        <v>-2</v>
      </c>
      <c r="FNV5750" s="34">
        <v>-3</v>
      </c>
      <c r="FNW5750" s="34">
        <v>-4</v>
      </c>
      <c r="FNX5750" s="34">
        <v>-5</v>
      </c>
      <c r="FNY5750" s="908"/>
      <c r="FNZ5750" s="909"/>
      <c r="FOA5750" s="34">
        <v>-5</v>
      </c>
      <c r="FOB5750" s="34">
        <v>-4.5</v>
      </c>
      <c r="FOC5750" s="34">
        <v>-4</v>
      </c>
      <c r="FOD5750" s="34">
        <v>-3.5</v>
      </c>
      <c r="FOE5750" s="34">
        <v>-3</v>
      </c>
      <c r="FOF5750" s="34">
        <v>-2.5</v>
      </c>
      <c r="FOG5750" s="34">
        <v>-2</v>
      </c>
      <c r="FOH5750" s="34">
        <v>-1.5</v>
      </c>
      <c r="FOI5750" s="34">
        <v>-1</v>
      </c>
      <c r="FOJ5750" s="34">
        <v>-0.5</v>
      </c>
      <c r="FOK5750" s="34">
        <v>0</v>
      </c>
      <c r="FOL5750" s="34">
        <v>0.5</v>
      </c>
      <c r="FOM5750" s="34">
        <v>1</v>
      </c>
      <c r="FON5750" s="34">
        <v>1.5</v>
      </c>
      <c r="FOO5750" s="34">
        <v>2</v>
      </c>
      <c r="FOP5750" s="34">
        <v>2.5</v>
      </c>
      <c r="FOQ5750" s="34">
        <v>3</v>
      </c>
      <c r="FOR5750" s="34">
        <v>3.5</v>
      </c>
      <c r="FOS5750" s="34">
        <v>4</v>
      </c>
      <c r="FOT5750" s="34">
        <v>4.5</v>
      </c>
      <c r="FOU5750" s="34">
        <v>5</v>
      </c>
      <c r="FOW5750" s="913"/>
      <c r="FOX5750" s="31">
        <v>1</v>
      </c>
      <c r="FOY5750" s="34">
        <v>0</v>
      </c>
      <c r="FOZ5750" s="34">
        <v>-1</v>
      </c>
      <c r="FPA5750" s="34">
        <v>-2</v>
      </c>
      <c r="FPB5750" s="34">
        <v>-3</v>
      </c>
      <c r="FPC5750" s="34">
        <v>-4</v>
      </c>
      <c r="FPD5750" s="34">
        <v>-5</v>
      </c>
      <c r="FPE5750" s="908"/>
      <c r="FPF5750" s="909"/>
      <c r="FPG5750" s="34">
        <v>-5</v>
      </c>
      <c r="FPH5750" s="34">
        <v>-4.5</v>
      </c>
      <c r="FPI5750" s="34">
        <v>-4</v>
      </c>
      <c r="FPJ5750" s="34">
        <v>-3.5</v>
      </c>
      <c r="FPK5750" s="34">
        <v>-3</v>
      </c>
      <c r="FPL5750" s="34">
        <v>-2.5</v>
      </c>
      <c r="FPM5750" s="34">
        <v>-2</v>
      </c>
      <c r="FPN5750" s="34">
        <v>-1.5</v>
      </c>
      <c r="FPO5750" s="34">
        <v>-1</v>
      </c>
      <c r="FPP5750" s="34">
        <v>-0.5</v>
      </c>
      <c r="FPQ5750" s="34">
        <v>0</v>
      </c>
      <c r="FPR5750" s="34">
        <v>0.5</v>
      </c>
      <c r="FPS5750" s="34">
        <v>1</v>
      </c>
      <c r="FPT5750" s="34">
        <v>1.5</v>
      </c>
      <c r="FPU5750" s="34">
        <v>2</v>
      </c>
      <c r="FPV5750" s="34">
        <v>2.5</v>
      </c>
      <c r="FPW5750" s="34">
        <v>3</v>
      </c>
      <c r="FPX5750" s="34">
        <v>3.5</v>
      </c>
      <c r="FPY5750" s="34">
        <v>4</v>
      </c>
      <c r="FPZ5750" s="34">
        <v>4.5</v>
      </c>
      <c r="FQA5750" s="34">
        <v>5</v>
      </c>
      <c r="FQC5750" s="913"/>
      <c r="FQD5750" s="31">
        <v>1</v>
      </c>
      <c r="FQE5750" s="34">
        <v>0</v>
      </c>
      <c r="FQF5750" s="34">
        <v>-1</v>
      </c>
      <c r="FQG5750" s="34">
        <v>-2</v>
      </c>
      <c r="FQH5750" s="34">
        <v>-3</v>
      </c>
      <c r="FQI5750" s="34">
        <v>-4</v>
      </c>
      <c r="FQJ5750" s="34">
        <v>-5</v>
      </c>
      <c r="FQK5750" s="908"/>
      <c r="FQL5750" s="909"/>
      <c r="FQM5750" s="34">
        <v>-5</v>
      </c>
      <c r="FQN5750" s="34">
        <v>-4.5</v>
      </c>
      <c r="FQO5750" s="34">
        <v>-4</v>
      </c>
      <c r="FQP5750" s="34">
        <v>-3.5</v>
      </c>
      <c r="FQQ5750" s="34">
        <v>-3</v>
      </c>
      <c r="FQR5750" s="34">
        <v>-2.5</v>
      </c>
      <c r="FQS5750" s="34">
        <v>-2</v>
      </c>
      <c r="FQT5750" s="34">
        <v>-1.5</v>
      </c>
      <c r="FQU5750" s="34">
        <v>-1</v>
      </c>
      <c r="FQV5750" s="34">
        <v>-0.5</v>
      </c>
      <c r="FQW5750" s="34">
        <v>0</v>
      </c>
      <c r="FQX5750" s="34">
        <v>0.5</v>
      </c>
      <c r="FQY5750" s="34">
        <v>1</v>
      </c>
      <c r="FQZ5750" s="34">
        <v>1.5</v>
      </c>
      <c r="FRA5750" s="34">
        <v>2</v>
      </c>
      <c r="FRB5750" s="34">
        <v>2.5</v>
      </c>
      <c r="FRC5750" s="34">
        <v>3</v>
      </c>
      <c r="FRD5750" s="34">
        <v>3.5</v>
      </c>
      <c r="FRE5750" s="34">
        <v>4</v>
      </c>
      <c r="FRF5750" s="34">
        <v>4.5</v>
      </c>
      <c r="FRG5750" s="34">
        <v>5</v>
      </c>
      <c r="FRI5750" s="913"/>
      <c r="FRJ5750" s="31">
        <v>1</v>
      </c>
      <c r="FRK5750" s="34">
        <v>0</v>
      </c>
      <c r="FRL5750" s="34">
        <v>-1</v>
      </c>
      <c r="FRM5750" s="34">
        <v>-2</v>
      </c>
      <c r="FRN5750" s="34">
        <v>-3</v>
      </c>
      <c r="FRO5750" s="34">
        <v>-4</v>
      </c>
      <c r="FRP5750" s="34">
        <v>-5</v>
      </c>
      <c r="FRQ5750" s="908"/>
      <c r="FRR5750" s="909"/>
      <c r="FRS5750" s="34">
        <v>-5</v>
      </c>
      <c r="FRT5750" s="34">
        <v>-4.5</v>
      </c>
      <c r="FRU5750" s="34">
        <v>-4</v>
      </c>
      <c r="FRV5750" s="34">
        <v>-3.5</v>
      </c>
      <c r="FRW5750" s="34">
        <v>-3</v>
      </c>
      <c r="FRX5750" s="34">
        <v>-2.5</v>
      </c>
      <c r="FRY5750" s="34">
        <v>-2</v>
      </c>
      <c r="FRZ5750" s="34">
        <v>-1.5</v>
      </c>
      <c r="FSA5750" s="34">
        <v>-1</v>
      </c>
      <c r="FSB5750" s="34">
        <v>-0.5</v>
      </c>
      <c r="FSC5750" s="34">
        <v>0</v>
      </c>
      <c r="FSD5750" s="34">
        <v>0.5</v>
      </c>
      <c r="FSE5750" s="34">
        <v>1</v>
      </c>
      <c r="FSF5750" s="34">
        <v>1.5</v>
      </c>
      <c r="FSG5750" s="34">
        <v>2</v>
      </c>
      <c r="FSH5750" s="34">
        <v>2.5</v>
      </c>
      <c r="FSI5750" s="34">
        <v>3</v>
      </c>
      <c r="FSJ5750" s="34">
        <v>3.5</v>
      </c>
      <c r="FSK5750" s="34">
        <v>4</v>
      </c>
      <c r="FSL5750" s="34">
        <v>4.5</v>
      </c>
      <c r="FSM5750" s="34">
        <v>5</v>
      </c>
      <c r="FSO5750" s="913"/>
      <c r="FSP5750" s="31">
        <v>1</v>
      </c>
      <c r="FSQ5750" s="34">
        <v>0</v>
      </c>
      <c r="FSR5750" s="34">
        <v>-1</v>
      </c>
      <c r="FSS5750" s="34">
        <v>-2</v>
      </c>
      <c r="FST5750" s="34">
        <v>-3</v>
      </c>
      <c r="FSU5750" s="34">
        <v>-4</v>
      </c>
      <c r="FSV5750" s="34">
        <v>-5</v>
      </c>
      <c r="FSW5750" s="908"/>
      <c r="FSX5750" s="909"/>
      <c r="FSY5750" s="34">
        <v>-5</v>
      </c>
      <c r="FSZ5750" s="34">
        <v>-4.5</v>
      </c>
      <c r="FTA5750" s="34">
        <v>-4</v>
      </c>
      <c r="FTB5750" s="34">
        <v>-3.5</v>
      </c>
      <c r="FTC5750" s="34">
        <v>-3</v>
      </c>
      <c r="FTD5750" s="34">
        <v>-2.5</v>
      </c>
      <c r="FTE5750" s="34">
        <v>-2</v>
      </c>
      <c r="FTF5750" s="34">
        <v>-1.5</v>
      </c>
      <c r="FTG5750" s="34">
        <v>-1</v>
      </c>
      <c r="FTH5750" s="34">
        <v>-0.5</v>
      </c>
      <c r="FTI5750" s="34">
        <v>0</v>
      </c>
      <c r="FTJ5750" s="34">
        <v>0.5</v>
      </c>
      <c r="FTK5750" s="34">
        <v>1</v>
      </c>
      <c r="FTL5750" s="34">
        <v>1.5</v>
      </c>
      <c r="FTM5750" s="34">
        <v>2</v>
      </c>
      <c r="FTN5750" s="34">
        <v>2.5</v>
      </c>
      <c r="FTO5750" s="34">
        <v>3</v>
      </c>
      <c r="FTP5750" s="34">
        <v>3.5</v>
      </c>
      <c r="FTQ5750" s="34">
        <v>4</v>
      </c>
      <c r="FTR5750" s="34">
        <v>4.5</v>
      </c>
      <c r="FTS5750" s="34">
        <v>5</v>
      </c>
      <c r="FTU5750" s="913"/>
      <c r="FTV5750" s="31">
        <v>1</v>
      </c>
      <c r="FTW5750" s="34">
        <v>0</v>
      </c>
      <c r="FTX5750" s="34">
        <v>-1</v>
      </c>
      <c r="FTY5750" s="34">
        <v>-2</v>
      </c>
      <c r="FTZ5750" s="34">
        <v>-3</v>
      </c>
      <c r="FUA5750" s="34">
        <v>-4</v>
      </c>
      <c r="FUB5750" s="34">
        <v>-5</v>
      </c>
      <c r="FUC5750" s="908"/>
      <c r="FUD5750" s="909"/>
      <c r="FUE5750" s="34">
        <v>-5</v>
      </c>
      <c r="FUF5750" s="34">
        <v>-4.5</v>
      </c>
      <c r="FUG5750" s="34">
        <v>-4</v>
      </c>
      <c r="FUH5750" s="34">
        <v>-3.5</v>
      </c>
      <c r="FUI5750" s="34">
        <v>-3</v>
      </c>
      <c r="FUJ5750" s="34">
        <v>-2.5</v>
      </c>
      <c r="FUK5750" s="34">
        <v>-2</v>
      </c>
      <c r="FUL5750" s="34">
        <v>-1.5</v>
      </c>
      <c r="FUM5750" s="34">
        <v>-1</v>
      </c>
      <c r="FUN5750" s="34">
        <v>-0.5</v>
      </c>
      <c r="FUO5750" s="34">
        <v>0</v>
      </c>
      <c r="FUP5750" s="34">
        <v>0.5</v>
      </c>
      <c r="FUQ5750" s="34">
        <v>1</v>
      </c>
      <c r="FUR5750" s="34">
        <v>1.5</v>
      </c>
      <c r="FUS5750" s="34">
        <v>2</v>
      </c>
      <c r="FUT5750" s="34">
        <v>2.5</v>
      </c>
      <c r="FUU5750" s="34">
        <v>3</v>
      </c>
      <c r="FUV5750" s="34">
        <v>3.5</v>
      </c>
      <c r="FUW5750" s="34">
        <v>4</v>
      </c>
      <c r="FUX5750" s="34">
        <v>4.5</v>
      </c>
      <c r="FUY5750" s="34">
        <v>5</v>
      </c>
      <c r="FVA5750" s="913"/>
      <c r="FVB5750" s="31">
        <v>1</v>
      </c>
      <c r="FVC5750" s="34">
        <v>0</v>
      </c>
      <c r="FVD5750" s="34">
        <v>-1</v>
      </c>
      <c r="FVE5750" s="34">
        <v>-2</v>
      </c>
      <c r="FVF5750" s="34">
        <v>-3</v>
      </c>
      <c r="FVG5750" s="34">
        <v>-4</v>
      </c>
      <c r="FVH5750" s="34">
        <v>-5</v>
      </c>
      <c r="FVI5750" s="908"/>
      <c r="FVJ5750" s="909"/>
      <c r="FVK5750" s="34">
        <v>-5</v>
      </c>
      <c r="FVL5750" s="34">
        <v>-4.5</v>
      </c>
      <c r="FVM5750" s="34">
        <v>-4</v>
      </c>
      <c r="FVN5750" s="34">
        <v>-3.5</v>
      </c>
      <c r="FVO5750" s="34">
        <v>-3</v>
      </c>
      <c r="FVP5750" s="34">
        <v>-2.5</v>
      </c>
      <c r="FVQ5750" s="34">
        <v>-2</v>
      </c>
      <c r="FVR5750" s="34">
        <v>-1.5</v>
      </c>
      <c r="FVS5750" s="34">
        <v>-1</v>
      </c>
      <c r="FVT5750" s="34">
        <v>-0.5</v>
      </c>
      <c r="FVU5750" s="34">
        <v>0</v>
      </c>
      <c r="FVV5750" s="34">
        <v>0.5</v>
      </c>
      <c r="FVW5750" s="34">
        <v>1</v>
      </c>
      <c r="FVX5750" s="34">
        <v>1.5</v>
      </c>
      <c r="FVY5750" s="34">
        <v>2</v>
      </c>
      <c r="FVZ5750" s="34">
        <v>2.5</v>
      </c>
      <c r="FWA5750" s="34">
        <v>3</v>
      </c>
      <c r="FWB5750" s="34">
        <v>3.5</v>
      </c>
      <c r="FWC5750" s="34">
        <v>4</v>
      </c>
      <c r="FWD5750" s="34">
        <v>4.5</v>
      </c>
      <c r="FWE5750" s="34">
        <v>5</v>
      </c>
      <c r="FWG5750" s="913"/>
      <c r="FWH5750" s="31">
        <v>1</v>
      </c>
      <c r="FWI5750" s="34">
        <v>0</v>
      </c>
      <c r="FWJ5750" s="34">
        <v>-1</v>
      </c>
      <c r="FWK5750" s="34">
        <v>-2</v>
      </c>
      <c r="FWL5750" s="34">
        <v>-3</v>
      </c>
      <c r="FWM5750" s="34">
        <v>-4</v>
      </c>
      <c r="FWN5750" s="34">
        <v>-5</v>
      </c>
      <c r="FWO5750" s="908"/>
      <c r="FWP5750" s="909"/>
      <c r="FWQ5750" s="34">
        <v>-5</v>
      </c>
      <c r="FWR5750" s="34">
        <v>-4.5</v>
      </c>
      <c r="FWS5750" s="34">
        <v>-4</v>
      </c>
      <c r="FWT5750" s="34">
        <v>-3.5</v>
      </c>
      <c r="FWU5750" s="34">
        <v>-3</v>
      </c>
      <c r="FWV5750" s="34">
        <v>-2.5</v>
      </c>
      <c r="FWW5750" s="34">
        <v>-2</v>
      </c>
      <c r="FWX5750" s="34">
        <v>-1.5</v>
      </c>
      <c r="FWY5750" s="34">
        <v>-1</v>
      </c>
      <c r="FWZ5750" s="34">
        <v>-0.5</v>
      </c>
      <c r="FXA5750" s="34">
        <v>0</v>
      </c>
      <c r="FXB5750" s="34">
        <v>0.5</v>
      </c>
      <c r="FXC5750" s="34">
        <v>1</v>
      </c>
      <c r="FXD5750" s="34">
        <v>1.5</v>
      </c>
      <c r="FXE5750" s="34">
        <v>2</v>
      </c>
      <c r="FXF5750" s="34">
        <v>2.5</v>
      </c>
      <c r="FXG5750" s="34">
        <v>3</v>
      </c>
      <c r="FXH5750" s="34">
        <v>3.5</v>
      </c>
      <c r="FXI5750" s="34">
        <v>4</v>
      </c>
      <c r="FXJ5750" s="34">
        <v>4.5</v>
      </c>
      <c r="FXK5750" s="34">
        <v>5</v>
      </c>
      <c r="FXM5750" s="913"/>
      <c r="FXN5750" s="31">
        <v>1</v>
      </c>
      <c r="FXO5750" s="34">
        <v>0</v>
      </c>
      <c r="FXP5750" s="34">
        <v>-1</v>
      </c>
      <c r="FXQ5750" s="34">
        <v>-2</v>
      </c>
      <c r="FXR5750" s="34">
        <v>-3</v>
      </c>
      <c r="FXS5750" s="34">
        <v>-4</v>
      </c>
      <c r="FXT5750" s="34">
        <v>-5</v>
      </c>
      <c r="FXU5750" s="908"/>
      <c r="FXV5750" s="909"/>
      <c r="FXW5750" s="34">
        <v>-5</v>
      </c>
      <c r="FXX5750" s="34">
        <v>-4.5</v>
      </c>
      <c r="FXY5750" s="34">
        <v>-4</v>
      </c>
      <c r="FXZ5750" s="34">
        <v>-3.5</v>
      </c>
      <c r="FYA5750" s="34">
        <v>-3</v>
      </c>
      <c r="FYB5750" s="34">
        <v>-2.5</v>
      </c>
      <c r="FYC5750" s="34">
        <v>-2</v>
      </c>
      <c r="FYD5750" s="34">
        <v>-1.5</v>
      </c>
      <c r="FYE5750" s="34">
        <v>-1</v>
      </c>
      <c r="FYF5750" s="34">
        <v>-0.5</v>
      </c>
      <c r="FYG5750" s="34">
        <v>0</v>
      </c>
      <c r="FYH5750" s="34">
        <v>0.5</v>
      </c>
      <c r="FYI5750" s="34">
        <v>1</v>
      </c>
      <c r="FYJ5750" s="34">
        <v>1.5</v>
      </c>
      <c r="FYK5750" s="34">
        <v>2</v>
      </c>
      <c r="FYL5750" s="34">
        <v>2.5</v>
      </c>
      <c r="FYM5750" s="34">
        <v>3</v>
      </c>
      <c r="FYN5750" s="34">
        <v>3.5</v>
      </c>
      <c r="FYO5750" s="34">
        <v>4</v>
      </c>
      <c r="FYP5750" s="34">
        <v>4.5</v>
      </c>
      <c r="FYQ5750" s="34">
        <v>5</v>
      </c>
      <c r="FYS5750" s="913"/>
      <c r="FYT5750" s="31">
        <v>1</v>
      </c>
      <c r="FYU5750" s="34">
        <v>0</v>
      </c>
      <c r="FYV5750" s="34">
        <v>-1</v>
      </c>
      <c r="FYW5750" s="34">
        <v>-2</v>
      </c>
      <c r="FYX5750" s="34">
        <v>-3</v>
      </c>
      <c r="FYY5750" s="34">
        <v>-4</v>
      </c>
      <c r="FYZ5750" s="34">
        <v>-5</v>
      </c>
      <c r="FZA5750" s="908"/>
      <c r="FZB5750" s="909"/>
      <c r="FZC5750" s="34">
        <v>-5</v>
      </c>
      <c r="FZD5750" s="34">
        <v>-4.5</v>
      </c>
      <c r="FZE5750" s="34">
        <v>-4</v>
      </c>
      <c r="FZF5750" s="34">
        <v>-3.5</v>
      </c>
      <c r="FZG5750" s="34">
        <v>-3</v>
      </c>
      <c r="FZH5750" s="34">
        <v>-2.5</v>
      </c>
      <c r="FZI5750" s="34">
        <v>-2</v>
      </c>
      <c r="FZJ5750" s="34">
        <v>-1.5</v>
      </c>
      <c r="FZK5750" s="34">
        <v>-1</v>
      </c>
      <c r="FZL5750" s="34">
        <v>-0.5</v>
      </c>
      <c r="FZM5750" s="34">
        <v>0</v>
      </c>
      <c r="FZN5750" s="34">
        <v>0.5</v>
      </c>
      <c r="FZO5750" s="34">
        <v>1</v>
      </c>
      <c r="FZP5750" s="34">
        <v>1.5</v>
      </c>
      <c r="FZQ5750" s="34">
        <v>2</v>
      </c>
      <c r="FZR5750" s="34">
        <v>2.5</v>
      </c>
      <c r="FZS5750" s="34">
        <v>3</v>
      </c>
      <c r="FZT5750" s="34">
        <v>3.5</v>
      </c>
      <c r="FZU5750" s="34">
        <v>4</v>
      </c>
      <c r="FZV5750" s="34">
        <v>4.5</v>
      </c>
      <c r="FZW5750" s="34">
        <v>5</v>
      </c>
      <c r="FZY5750" s="913"/>
      <c r="FZZ5750" s="31">
        <v>1</v>
      </c>
      <c r="GAA5750" s="34">
        <v>0</v>
      </c>
      <c r="GAB5750" s="34">
        <v>-1</v>
      </c>
      <c r="GAC5750" s="34">
        <v>-2</v>
      </c>
      <c r="GAD5750" s="34">
        <v>-3</v>
      </c>
      <c r="GAE5750" s="34">
        <v>-4</v>
      </c>
      <c r="GAF5750" s="34">
        <v>-5</v>
      </c>
      <c r="GAG5750" s="908"/>
      <c r="GAH5750" s="909"/>
      <c r="GAI5750" s="34">
        <v>-5</v>
      </c>
      <c r="GAJ5750" s="34">
        <v>-4.5</v>
      </c>
      <c r="GAK5750" s="34">
        <v>-4</v>
      </c>
      <c r="GAL5750" s="34">
        <v>-3.5</v>
      </c>
      <c r="GAM5750" s="34">
        <v>-3</v>
      </c>
      <c r="GAN5750" s="34">
        <v>-2.5</v>
      </c>
      <c r="GAO5750" s="34">
        <v>-2</v>
      </c>
      <c r="GAP5750" s="34">
        <v>-1.5</v>
      </c>
      <c r="GAQ5750" s="34">
        <v>-1</v>
      </c>
      <c r="GAR5750" s="34">
        <v>-0.5</v>
      </c>
      <c r="GAS5750" s="34">
        <v>0</v>
      </c>
      <c r="GAT5750" s="34">
        <v>0.5</v>
      </c>
      <c r="GAU5750" s="34">
        <v>1</v>
      </c>
      <c r="GAV5750" s="34">
        <v>1.5</v>
      </c>
      <c r="GAW5750" s="34">
        <v>2</v>
      </c>
      <c r="GAX5750" s="34">
        <v>2.5</v>
      </c>
      <c r="GAY5750" s="34">
        <v>3</v>
      </c>
      <c r="GAZ5750" s="34">
        <v>3.5</v>
      </c>
      <c r="GBA5750" s="34">
        <v>4</v>
      </c>
      <c r="GBB5750" s="34">
        <v>4.5</v>
      </c>
      <c r="GBC5750" s="34">
        <v>5</v>
      </c>
      <c r="GBE5750" s="913"/>
      <c r="GBF5750" s="31">
        <v>1</v>
      </c>
      <c r="GBG5750" s="34">
        <v>0</v>
      </c>
      <c r="GBH5750" s="34">
        <v>-1</v>
      </c>
      <c r="GBI5750" s="34">
        <v>-2</v>
      </c>
      <c r="GBJ5750" s="34">
        <v>-3</v>
      </c>
      <c r="GBK5750" s="34">
        <v>-4</v>
      </c>
      <c r="GBL5750" s="34">
        <v>-5</v>
      </c>
      <c r="GBM5750" s="908"/>
      <c r="GBN5750" s="909"/>
      <c r="GBO5750" s="34">
        <v>-5</v>
      </c>
      <c r="GBP5750" s="34">
        <v>-4.5</v>
      </c>
      <c r="GBQ5750" s="34">
        <v>-4</v>
      </c>
      <c r="GBR5750" s="34">
        <v>-3.5</v>
      </c>
      <c r="GBS5750" s="34">
        <v>-3</v>
      </c>
      <c r="GBT5750" s="34">
        <v>-2.5</v>
      </c>
      <c r="GBU5750" s="34">
        <v>-2</v>
      </c>
      <c r="GBV5750" s="34">
        <v>-1.5</v>
      </c>
      <c r="GBW5750" s="34">
        <v>-1</v>
      </c>
      <c r="GBX5750" s="34">
        <v>-0.5</v>
      </c>
      <c r="GBY5750" s="34">
        <v>0</v>
      </c>
      <c r="GBZ5750" s="34">
        <v>0.5</v>
      </c>
      <c r="GCA5750" s="34">
        <v>1</v>
      </c>
      <c r="GCB5750" s="34">
        <v>1.5</v>
      </c>
      <c r="GCC5750" s="34">
        <v>2</v>
      </c>
      <c r="GCD5750" s="34">
        <v>2.5</v>
      </c>
      <c r="GCE5750" s="34">
        <v>3</v>
      </c>
      <c r="GCF5750" s="34">
        <v>3.5</v>
      </c>
      <c r="GCG5750" s="34">
        <v>4</v>
      </c>
      <c r="GCH5750" s="34">
        <v>4.5</v>
      </c>
      <c r="GCI5750" s="34">
        <v>5</v>
      </c>
      <c r="GCK5750" s="913"/>
      <c r="GCL5750" s="31">
        <v>1</v>
      </c>
      <c r="GCM5750" s="34">
        <v>0</v>
      </c>
      <c r="GCN5750" s="34">
        <v>-1</v>
      </c>
      <c r="GCO5750" s="34">
        <v>-2</v>
      </c>
      <c r="GCP5750" s="34">
        <v>-3</v>
      </c>
      <c r="GCQ5750" s="34">
        <v>-4</v>
      </c>
      <c r="GCR5750" s="34">
        <v>-5</v>
      </c>
      <c r="GCS5750" s="908"/>
      <c r="GCT5750" s="909"/>
      <c r="GCU5750" s="34">
        <v>-5</v>
      </c>
      <c r="GCV5750" s="34">
        <v>-4.5</v>
      </c>
      <c r="GCW5750" s="34">
        <v>-4</v>
      </c>
      <c r="GCX5750" s="34">
        <v>-3.5</v>
      </c>
      <c r="GCY5750" s="34">
        <v>-3</v>
      </c>
      <c r="GCZ5750" s="34">
        <v>-2.5</v>
      </c>
      <c r="GDA5750" s="34">
        <v>-2</v>
      </c>
      <c r="GDB5750" s="34">
        <v>-1.5</v>
      </c>
      <c r="GDC5750" s="34">
        <v>-1</v>
      </c>
      <c r="GDD5750" s="34">
        <v>-0.5</v>
      </c>
      <c r="GDE5750" s="34">
        <v>0</v>
      </c>
      <c r="GDF5750" s="34">
        <v>0.5</v>
      </c>
      <c r="GDG5750" s="34">
        <v>1</v>
      </c>
      <c r="GDH5750" s="34">
        <v>1.5</v>
      </c>
      <c r="GDI5750" s="34">
        <v>2</v>
      </c>
      <c r="GDJ5750" s="34">
        <v>2.5</v>
      </c>
      <c r="GDK5750" s="34">
        <v>3</v>
      </c>
      <c r="GDL5750" s="34">
        <v>3.5</v>
      </c>
      <c r="GDM5750" s="34">
        <v>4</v>
      </c>
      <c r="GDN5750" s="34">
        <v>4.5</v>
      </c>
      <c r="GDO5750" s="34">
        <v>5</v>
      </c>
      <c r="GDQ5750" s="913"/>
      <c r="GDR5750" s="31">
        <v>1</v>
      </c>
      <c r="GDS5750" s="34">
        <v>0</v>
      </c>
      <c r="GDT5750" s="34">
        <v>-1</v>
      </c>
      <c r="GDU5750" s="34">
        <v>-2</v>
      </c>
      <c r="GDV5750" s="34">
        <v>-3</v>
      </c>
      <c r="GDW5750" s="34">
        <v>-4</v>
      </c>
      <c r="GDX5750" s="34">
        <v>-5</v>
      </c>
      <c r="GDY5750" s="908"/>
      <c r="GDZ5750" s="909"/>
      <c r="GEA5750" s="34">
        <v>-5</v>
      </c>
      <c r="GEB5750" s="34">
        <v>-4.5</v>
      </c>
      <c r="GEC5750" s="34">
        <v>-4</v>
      </c>
      <c r="GED5750" s="34">
        <v>-3.5</v>
      </c>
      <c r="GEE5750" s="34">
        <v>-3</v>
      </c>
      <c r="GEF5750" s="34">
        <v>-2.5</v>
      </c>
      <c r="GEG5750" s="34">
        <v>-2</v>
      </c>
      <c r="GEH5750" s="34">
        <v>-1.5</v>
      </c>
      <c r="GEI5750" s="34">
        <v>-1</v>
      </c>
      <c r="GEJ5750" s="34">
        <v>-0.5</v>
      </c>
      <c r="GEK5750" s="34">
        <v>0</v>
      </c>
      <c r="GEL5750" s="34">
        <v>0.5</v>
      </c>
      <c r="GEM5750" s="34">
        <v>1</v>
      </c>
      <c r="GEN5750" s="34">
        <v>1.5</v>
      </c>
      <c r="GEO5750" s="34">
        <v>2</v>
      </c>
      <c r="GEP5750" s="34">
        <v>2.5</v>
      </c>
      <c r="GEQ5750" s="34">
        <v>3</v>
      </c>
      <c r="GER5750" s="34">
        <v>3.5</v>
      </c>
      <c r="GES5750" s="34">
        <v>4</v>
      </c>
      <c r="GET5750" s="34">
        <v>4.5</v>
      </c>
      <c r="GEU5750" s="34">
        <v>5</v>
      </c>
      <c r="GEW5750" s="913"/>
      <c r="GEX5750" s="31">
        <v>1</v>
      </c>
      <c r="GEY5750" s="34">
        <v>0</v>
      </c>
      <c r="GEZ5750" s="34">
        <v>-1</v>
      </c>
      <c r="GFA5750" s="34">
        <v>-2</v>
      </c>
      <c r="GFB5750" s="34">
        <v>-3</v>
      </c>
      <c r="GFC5750" s="34">
        <v>-4</v>
      </c>
      <c r="GFD5750" s="34">
        <v>-5</v>
      </c>
      <c r="GFE5750" s="908"/>
      <c r="GFF5750" s="909"/>
      <c r="GFG5750" s="34">
        <v>-5</v>
      </c>
      <c r="GFH5750" s="34">
        <v>-4.5</v>
      </c>
      <c r="GFI5750" s="34">
        <v>-4</v>
      </c>
      <c r="GFJ5750" s="34">
        <v>-3.5</v>
      </c>
      <c r="GFK5750" s="34">
        <v>-3</v>
      </c>
      <c r="GFL5750" s="34">
        <v>-2.5</v>
      </c>
      <c r="GFM5750" s="34">
        <v>-2</v>
      </c>
      <c r="GFN5750" s="34">
        <v>-1.5</v>
      </c>
      <c r="GFO5750" s="34">
        <v>-1</v>
      </c>
      <c r="GFP5750" s="34">
        <v>-0.5</v>
      </c>
      <c r="GFQ5750" s="34">
        <v>0</v>
      </c>
      <c r="GFR5750" s="34">
        <v>0.5</v>
      </c>
      <c r="GFS5750" s="34">
        <v>1</v>
      </c>
      <c r="GFT5750" s="34">
        <v>1.5</v>
      </c>
      <c r="GFU5750" s="34">
        <v>2</v>
      </c>
      <c r="GFV5750" s="34">
        <v>2.5</v>
      </c>
      <c r="GFW5750" s="34">
        <v>3</v>
      </c>
      <c r="GFX5750" s="34">
        <v>3.5</v>
      </c>
      <c r="GFY5750" s="34">
        <v>4</v>
      </c>
      <c r="GFZ5750" s="34">
        <v>4.5</v>
      </c>
      <c r="GGA5750" s="34">
        <v>5</v>
      </c>
      <c r="GGC5750" s="913"/>
      <c r="GGD5750" s="31">
        <v>1</v>
      </c>
      <c r="GGE5750" s="34">
        <v>0</v>
      </c>
      <c r="GGF5750" s="34">
        <v>-1</v>
      </c>
      <c r="GGG5750" s="34">
        <v>-2</v>
      </c>
      <c r="GGH5750" s="34">
        <v>-3</v>
      </c>
      <c r="GGI5750" s="34">
        <v>-4</v>
      </c>
      <c r="GGJ5750" s="34">
        <v>-5</v>
      </c>
      <c r="GGK5750" s="908"/>
      <c r="GGL5750" s="909"/>
      <c r="GGM5750" s="34">
        <v>-5</v>
      </c>
      <c r="GGN5750" s="34">
        <v>-4.5</v>
      </c>
      <c r="GGO5750" s="34">
        <v>-4</v>
      </c>
      <c r="GGP5750" s="34">
        <v>-3.5</v>
      </c>
      <c r="GGQ5750" s="34">
        <v>-3</v>
      </c>
      <c r="GGR5750" s="34">
        <v>-2.5</v>
      </c>
      <c r="GGS5750" s="34">
        <v>-2</v>
      </c>
      <c r="GGT5750" s="34">
        <v>-1.5</v>
      </c>
      <c r="GGU5750" s="34">
        <v>-1</v>
      </c>
      <c r="GGV5750" s="34">
        <v>-0.5</v>
      </c>
      <c r="GGW5750" s="34">
        <v>0</v>
      </c>
      <c r="GGX5750" s="34">
        <v>0.5</v>
      </c>
      <c r="GGY5750" s="34">
        <v>1</v>
      </c>
      <c r="GGZ5750" s="34">
        <v>1.5</v>
      </c>
      <c r="GHA5750" s="34">
        <v>2</v>
      </c>
      <c r="GHB5750" s="34">
        <v>2.5</v>
      </c>
      <c r="GHC5750" s="34">
        <v>3</v>
      </c>
      <c r="GHD5750" s="34">
        <v>3.5</v>
      </c>
      <c r="GHE5750" s="34">
        <v>4</v>
      </c>
      <c r="GHF5750" s="34">
        <v>4.5</v>
      </c>
      <c r="GHG5750" s="34">
        <v>5</v>
      </c>
      <c r="GHI5750" s="913"/>
      <c r="GHJ5750" s="31">
        <v>1</v>
      </c>
      <c r="GHK5750" s="34">
        <v>0</v>
      </c>
      <c r="GHL5750" s="34">
        <v>-1</v>
      </c>
      <c r="GHM5750" s="34">
        <v>-2</v>
      </c>
      <c r="GHN5750" s="34">
        <v>-3</v>
      </c>
      <c r="GHO5750" s="34">
        <v>-4</v>
      </c>
      <c r="GHP5750" s="34">
        <v>-5</v>
      </c>
      <c r="GHQ5750" s="908"/>
      <c r="GHR5750" s="909"/>
      <c r="GHS5750" s="34">
        <v>-5</v>
      </c>
      <c r="GHT5750" s="34">
        <v>-4.5</v>
      </c>
      <c r="GHU5750" s="34">
        <v>-4</v>
      </c>
      <c r="GHV5750" s="34">
        <v>-3.5</v>
      </c>
      <c r="GHW5750" s="34">
        <v>-3</v>
      </c>
      <c r="GHX5750" s="34">
        <v>-2.5</v>
      </c>
      <c r="GHY5750" s="34">
        <v>-2</v>
      </c>
      <c r="GHZ5750" s="34">
        <v>-1.5</v>
      </c>
      <c r="GIA5750" s="34">
        <v>-1</v>
      </c>
      <c r="GIB5750" s="34">
        <v>-0.5</v>
      </c>
      <c r="GIC5750" s="34">
        <v>0</v>
      </c>
      <c r="GID5750" s="34">
        <v>0.5</v>
      </c>
      <c r="GIE5750" s="34">
        <v>1</v>
      </c>
      <c r="GIF5750" s="34">
        <v>1.5</v>
      </c>
      <c r="GIG5750" s="34">
        <v>2</v>
      </c>
      <c r="GIH5750" s="34">
        <v>2.5</v>
      </c>
      <c r="GII5750" s="34">
        <v>3</v>
      </c>
      <c r="GIJ5750" s="34">
        <v>3.5</v>
      </c>
      <c r="GIK5750" s="34">
        <v>4</v>
      </c>
      <c r="GIL5750" s="34">
        <v>4.5</v>
      </c>
      <c r="GIM5750" s="34">
        <v>5</v>
      </c>
      <c r="GIO5750" s="913"/>
      <c r="GIP5750" s="31">
        <v>1</v>
      </c>
      <c r="GIQ5750" s="34">
        <v>0</v>
      </c>
      <c r="GIR5750" s="34">
        <v>-1</v>
      </c>
      <c r="GIS5750" s="34">
        <v>-2</v>
      </c>
      <c r="GIT5750" s="34">
        <v>-3</v>
      </c>
      <c r="GIU5750" s="34">
        <v>-4</v>
      </c>
      <c r="GIV5750" s="34">
        <v>-5</v>
      </c>
      <c r="GIW5750" s="908"/>
      <c r="GIX5750" s="909"/>
      <c r="GIY5750" s="34">
        <v>-5</v>
      </c>
      <c r="GIZ5750" s="34">
        <v>-4.5</v>
      </c>
      <c r="GJA5750" s="34">
        <v>-4</v>
      </c>
      <c r="GJB5750" s="34">
        <v>-3.5</v>
      </c>
      <c r="GJC5750" s="34">
        <v>-3</v>
      </c>
      <c r="GJD5750" s="34">
        <v>-2.5</v>
      </c>
      <c r="GJE5750" s="34">
        <v>-2</v>
      </c>
      <c r="GJF5750" s="34">
        <v>-1.5</v>
      </c>
      <c r="GJG5750" s="34">
        <v>-1</v>
      </c>
      <c r="GJH5750" s="34">
        <v>-0.5</v>
      </c>
      <c r="GJI5750" s="34">
        <v>0</v>
      </c>
      <c r="GJJ5750" s="34">
        <v>0.5</v>
      </c>
      <c r="GJK5750" s="34">
        <v>1</v>
      </c>
      <c r="GJL5750" s="34">
        <v>1.5</v>
      </c>
      <c r="GJM5750" s="34">
        <v>2</v>
      </c>
      <c r="GJN5750" s="34">
        <v>2.5</v>
      </c>
      <c r="GJO5750" s="34">
        <v>3</v>
      </c>
      <c r="GJP5750" s="34">
        <v>3.5</v>
      </c>
      <c r="GJQ5750" s="34">
        <v>4</v>
      </c>
      <c r="GJR5750" s="34">
        <v>4.5</v>
      </c>
      <c r="GJS5750" s="34">
        <v>5</v>
      </c>
      <c r="GJU5750" s="913"/>
      <c r="GJV5750" s="31">
        <v>1</v>
      </c>
      <c r="GJW5750" s="34">
        <v>0</v>
      </c>
      <c r="GJX5750" s="34">
        <v>-1</v>
      </c>
      <c r="GJY5750" s="34">
        <v>-2</v>
      </c>
      <c r="GJZ5750" s="34">
        <v>-3</v>
      </c>
      <c r="GKA5750" s="34">
        <v>-4</v>
      </c>
      <c r="GKB5750" s="34">
        <v>-5</v>
      </c>
      <c r="GKC5750" s="908"/>
      <c r="GKD5750" s="909"/>
      <c r="GKE5750" s="34">
        <v>-5</v>
      </c>
      <c r="GKF5750" s="34">
        <v>-4.5</v>
      </c>
      <c r="GKG5750" s="34">
        <v>-4</v>
      </c>
      <c r="GKH5750" s="34">
        <v>-3.5</v>
      </c>
      <c r="GKI5750" s="34">
        <v>-3</v>
      </c>
      <c r="GKJ5750" s="34">
        <v>-2.5</v>
      </c>
      <c r="GKK5750" s="34">
        <v>-2</v>
      </c>
      <c r="GKL5750" s="34">
        <v>-1.5</v>
      </c>
      <c r="GKM5750" s="34">
        <v>-1</v>
      </c>
      <c r="GKN5750" s="34">
        <v>-0.5</v>
      </c>
      <c r="GKO5750" s="34">
        <v>0</v>
      </c>
      <c r="GKP5750" s="34">
        <v>0.5</v>
      </c>
      <c r="GKQ5750" s="34">
        <v>1</v>
      </c>
      <c r="GKR5750" s="34">
        <v>1.5</v>
      </c>
      <c r="GKS5750" s="34">
        <v>2</v>
      </c>
      <c r="GKT5750" s="34">
        <v>2.5</v>
      </c>
      <c r="GKU5750" s="34">
        <v>3</v>
      </c>
      <c r="GKV5750" s="34">
        <v>3.5</v>
      </c>
      <c r="GKW5750" s="34">
        <v>4</v>
      </c>
      <c r="GKX5750" s="34">
        <v>4.5</v>
      </c>
      <c r="GKY5750" s="34">
        <v>5</v>
      </c>
      <c r="GLA5750" s="913"/>
      <c r="GLB5750" s="31">
        <v>1</v>
      </c>
      <c r="GLC5750" s="34">
        <v>0</v>
      </c>
      <c r="GLD5750" s="34">
        <v>-1</v>
      </c>
      <c r="GLE5750" s="34">
        <v>-2</v>
      </c>
      <c r="GLF5750" s="34">
        <v>-3</v>
      </c>
      <c r="GLG5750" s="34">
        <v>-4</v>
      </c>
      <c r="GLH5750" s="34">
        <v>-5</v>
      </c>
      <c r="GLI5750" s="908"/>
      <c r="GLJ5750" s="909"/>
      <c r="GLK5750" s="34">
        <v>-5</v>
      </c>
      <c r="GLL5750" s="34">
        <v>-4.5</v>
      </c>
      <c r="GLM5750" s="34">
        <v>-4</v>
      </c>
      <c r="GLN5750" s="34">
        <v>-3.5</v>
      </c>
      <c r="GLO5750" s="34">
        <v>-3</v>
      </c>
      <c r="GLP5750" s="34">
        <v>-2.5</v>
      </c>
      <c r="GLQ5750" s="34">
        <v>-2</v>
      </c>
      <c r="GLR5750" s="34">
        <v>-1.5</v>
      </c>
      <c r="GLS5750" s="34">
        <v>-1</v>
      </c>
      <c r="GLT5750" s="34">
        <v>-0.5</v>
      </c>
      <c r="GLU5750" s="34">
        <v>0</v>
      </c>
      <c r="GLV5750" s="34">
        <v>0.5</v>
      </c>
      <c r="GLW5750" s="34">
        <v>1</v>
      </c>
      <c r="GLX5750" s="34">
        <v>1.5</v>
      </c>
      <c r="GLY5750" s="34">
        <v>2</v>
      </c>
      <c r="GLZ5750" s="34">
        <v>2.5</v>
      </c>
      <c r="GMA5750" s="34">
        <v>3</v>
      </c>
      <c r="GMB5750" s="34">
        <v>3.5</v>
      </c>
      <c r="GMC5750" s="34">
        <v>4</v>
      </c>
      <c r="GMD5750" s="34">
        <v>4.5</v>
      </c>
      <c r="GME5750" s="34">
        <v>5</v>
      </c>
      <c r="GMG5750" s="913"/>
      <c r="GMH5750" s="31">
        <v>1</v>
      </c>
      <c r="GMI5750" s="34">
        <v>0</v>
      </c>
      <c r="GMJ5750" s="34">
        <v>-1</v>
      </c>
      <c r="GMK5750" s="34">
        <v>-2</v>
      </c>
      <c r="GML5750" s="34">
        <v>-3</v>
      </c>
      <c r="GMM5750" s="34">
        <v>-4</v>
      </c>
      <c r="GMN5750" s="34">
        <v>-5</v>
      </c>
      <c r="GMO5750" s="908"/>
      <c r="GMP5750" s="909"/>
      <c r="GMQ5750" s="34">
        <v>-5</v>
      </c>
      <c r="GMR5750" s="34">
        <v>-4.5</v>
      </c>
      <c r="GMS5750" s="34">
        <v>-4</v>
      </c>
      <c r="GMT5750" s="34">
        <v>-3.5</v>
      </c>
      <c r="GMU5750" s="34">
        <v>-3</v>
      </c>
      <c r="GMV5750" s="34">
        <v>-2.5</v>
      </c>
      <c r="GMW5750" s="34">
        <v>-2</v>
      </c>
      <c r="GMX5750" s="34">
        <v>-1.5</v>
      </c>
      <c r="GMY5750" s="34">
        <v>-1</v>
      </c>
      <c r="GMZ5750" s="34">
        <v>-0.5</v>
      </c>
      <c r="GNA5750" s="34">
        <v>0</v>
      </c>
      <c r="GNB5750" s="34">
        <v>0.5</v>
      </c>
      <c r="GNC5750" s="34">
        <v>1</v>
      </c>
      <c r="GND5750" s="34">
        <v>1.5</v>
      </c>
      <c r="GNE5750" s="34">
        <v>2</v>
      </c>
      <c r="GNF5750" s="34">
        <v>2.5</v>
      </c>
      <c r="GNG5750" s="34">
        <v>3</v>
      </c>
      <c r="GNH5750" s="34">
        <v>3.5</v>
      </c>
      <c r="GNI5750" s="34">
        <v>4</v>
      </c>
      <c r="GNJ5750" s="34">
        <v>4.5</v>
      </c>
      <c r="GNK5750" s="34">
        <v>5</v>
      </c>
      <c r="GNM5750" s="913"/>
      <c r="GNN5750" s="31">
        <v>1</v>
      </c>
      <c r="GNO5750" s="34">
        <v>0</v>
      </c>
      <c r="GNP5750" s="34">
        <v>-1</v>
      </c>
      <c r="GNQ5750" s="34">
        <v>-2</v>
      </c>
      <c r="GNR5750" s="34">
        <v>-3</v>
      </c>
      <c r="GNS5750" s="34">
        <v>-4</v>
      </c>
      <c r="GNT5750" s="34">
        <v>-5</v>
      </c>
      <c r="GNU5750" s="908"/>
      <c r="GNV5750" s="909"/>
      <c r="GNW5750" s="34">
        <v>-5</v>
      </c>
      <c r="GNX5750" s="34">
        <v>-4.5</v>
      </c>
      <c r="GNY5750" s="34">
        <v>-4</v>
      </c>
      <c r="GNZ5750" s="34">
        <v>-3.5</v>
      </c>
      <c r="GOA5750" s="34">
        <v>-3</v>
      </c>
      <c r="GOB5750" s="34">
        <v>-2.5</v>
      </c>
      <c r="GOC5750" s="34">
        <v>-2</v>
      </c>
      <c r="GOD5750" s="34">
        <v>-1.5</v>
      </c>
      <c r="GOE5750" s="34">
        <v>-1</v>
      </c>
      <c r="GOF5750" s="34">
        <v>-0.5</v>
      </c>
      <c r="GOG5750" s="34">
        <v>0</v>
      </c>
      <c r="GOH5750" s="34">
        <v>0.5</v>
      </c>
      <c r="GOI5750" s="34">
        <v>1</v>
      </c>
      <c r="GOJ5750" s="34">
        <v>1.5</v>
      </c>
      <c r="GOK5750" s="34">
        <v>2</v>
      </c>
      <c r="GOL5750" s="34">
        <v>2.5</v>
      </c>
      <c r="GOM5750" s="34">
        <v>3</v>
      </c>
      <c r="GON5750" s="34">
        <v>3.5</v>
      </c>
      <c r="GOO5750" s="34">
        <v>4</v>
      </c>
      <c r="GOP5750" s="34">
        <v>4.5</v>
      </c>
      <c r="GOQ5750" s="34">
        <v>5</v>
      </c>
      <c r="GOS5750" s="913"/>
      <c r="GOT5750" s="31">
        <v>1</v>
      </c>
      <c r="GOU5750" s="34">
        <v>0</v>
      </c>
      <c r="GOV5750" s="34">
        <v>-1</v>
      </c>
      <c r="GOW5750" s="34">
        <v>-2</v>
      </c>
      <c r="GOX5750" s="34">
        <v>-3</v>
      </c>
      <c r="GOY5750" s="34">
        <v>-4</v>
      </c>
      <c r="GOZ5750" s="34">
        <v>-5</v>
      </c>
      <c r="GPA5750" s="908"/>
      <c r="GPB5750" s="909"/>
      <c r="GPC5750" s="34">
        <v>-5</v>
      </c>
      <c r="GPD5750" s="34">
        <v>-4.5</v>
      </c>
      <c r="GPE5750" s="34">
        <v>-4</v>
      </c>
      <c r="GPF5750" s="34">
        <v>-3.5</v>
      </c>
      <c r="GPG5750" s="34">
        <v>-3</v>
      </c>
      <c r="GPH5750" s="34">
        <v>-2.5</v>
      </c>
      <c r="GPI5750" s="34">
        <v>-2</v>
      </c>
      <c r="GPJ5750" s="34">
        <v>-1.5</v>
      </c>
      <c r="GPK5750" s="34">
        <v>-1</v>
      </c>
      <c r="GPL5750" s="34">
        <v>-0.5</v>
      </c>
      <c r="GPM5750" s="34">
        <v>0</v>
      </c>
      <c r="GPN5750" s="34">
        <v>0.5</v>
      </c>
      <c r="GPO5750" s="34">
        <v>1</v>
      </c>
      <c r="GPP5750" s="34">
        <v>1.5</v>
      </c>
      <c r="GPQ5750" s="34">
        <v>2</v>
      </c>
      <c r="GPR5750" s="34">
        <v>2.5</v>
      </c>
      <c r="GPS5750" s="34">
        <v>3</v>
      </c>
      <c r="GPT5750" s="34">
        <v>3.5</v>
      </c>
      <c r="GPU5750" s="34">
        <v>4</v>
      </c>
      <c r="GPV5750" s="34">
        <v>4.5</v>
      </c>
      <c r="GPW5750" s="34">
        <v>5</v>
      </c>
      <c r="GPY5750" s="913"/>
      <c r="GPZ5750" s="31">
        <v>1</v>
      </c>
      <c r="GQA5750" s="34">
        <v>0</v>
      </c>
      <c r="GQB5750" s="34">
        <v>-1</v>
      </c>
      <c r="GQC5750" s="34">
        <v>-2</v>
      </c>
      <c r="GQD5750" s="34">
        <v>-3</v>
      </c>
      <c r="GQE5750" s="34">
        <v>-4</v>
      </c>
      <c r="GQF5750" s="34">
        <v>-5</v>
      </c>
      <c r="GQG5750" s="908"/>
      <c r="GQH5750" s="909"/>
      <c r="GQI5750" s="34">
        <v>-5</v>
      </c>
      <c r="GQJ5750" s="34">
        <v>-4.5</v>
      </c>
      <c r="GQK5750" s="34">
        <v>-4</v>
      </c>
      <c r="GQL5750" s="34">
        <v>-3.5</v>
      </c>
      <c r="GQM5750" s="34">
        <v>-3</v>
      </c>
      <c r="GQN5750" s="34">
        <v>-2.5</v>
      </c>
      <c r="GQO5750" s="34">
        <v>-2</v>
      </c>
      <c r="GQP5750" s="34">
        <v>-1.5</v>
      </c>
      <c r="GQQ5750" s="34">
        <v>-1</v>
      </c>
      <c r="GQR5750" s="34">
        <v>-0.5</v>
      </c>
      <c r="GQS5750" s="34">
        <v>0</v>
      </c>
      <c r="GQT5750" s="34">
        <v>0.5</v>
      </c>
      <c r="GQU5750" s="34">
        <v>1</v>
      </c>
      <c r="GQV5750" s="34">
        <v>1.5</v>
      </c>
      <c r="GQW5750" s="34">
        <v>2</v>
      </c>
      <c r="GQX5750" s="34">
        <v>2.5</v>
      </c>
      <c r="GQY5750" s="34">
        <v>3</v>
      </c>
      <c r="GQZ5750" s="34">
        <v>3.5</v>
      </c>
      <c r="GRA5750" s="34">
        <v>4</v>
      </c>
      <c r="GRB5750" s="34">
        <v>4.5</v>
      </c>
      <c r="GRC5750" s="34">
        <v>5</v>
      </c>
      <c r="GRE5750" s="913"/>
      <c r="GRF5750" s="31">
        <v>1</v>
      </c>
      <c r="GRG5750" s="34">
        <v>0</v>
      </c>
      <c r="GRH5750" s="34">
        <v>-1</v>
      </c>
      <c r="GRI5750" s="34">
        <v>-2</v>
      </c>
      <c r="GRJ5750" s="34">
        <v>-3</v>
      </c>
      <c r="GRK5750" s="34">
        <v>-4</v>
      </c>
      <c r="GRL5750" s="34">
        <v>-5</v>
      </c>
      <c r="GRM5750" s="908"/>
      <c r="GRN5750" s="909"/>
      <c r="GRO5750" s="34">
        <v>-5</v>
      </c>
      <c r="GRP5750" s="34">
        <v>-4.5</v>
      </c>
      <c r="GRQ5750" s="34">
        <v>-4</v>
      </c>
      <c r="GRR5750" s="34">
        <v>-3.5</v>
      </c>
      <c r="GRS5750" s="34">
        <v>-3</v>
      </c>
      <c r="GRT5750" s="34">
        <v>-2.5</v>
      </c>
      <c r="GRU5750" s="34">
        <v>-2</v>
      </c>
      <c r="GRV5750" s="34">
        <v>-1.5</v>
      </c>
      <c r="GRW5750" s="34">
        <v>-1</v>
      </c>
      <c r="GRX5750" s="34">
        <v>-0.5</v>
      </c>
      <c r="GRY5750" s="34">
        <v>0</v>
      </c>
      <c r="GRZ5750" s="34">
        <v>0.5</v>
      </c>
      <c r="GSA5750" s="34">
        <v>1</v>
      </c>
      <c r="GSB5750" s="34">
        <v>1.5</v>
      </c>
      <c r="GSC5750" s="34">
        <v>2</v>
      </c>
      <c r="GSD5750" s="34">
        <v>2.5</v>
      </c>
      <c r="GSE5750" s="34">
        <v>3</v>
      </c>
      <c r="GSF5750" s="34">
        <v>3.5</v>
      </c>
      <c r="GSG5750" s="34">
        <v>4</v>
      </c>
      <c r="GSH5750" s="34">
        <v>4.5</v>
      </c>
      <c r="GSI5750" s="34">
        <v>5</v>
      </c>
      <c r="GSK5750" s="913"/>
      <c r="GSL5750" s="31">
        <v>1</v>
      </c>
      <c r="GSM5750" s="34">
        <v>0</v>
      </c>
      <c r="GSN5750" s="34">
        <v>-1</v>
      </c>
      <c r="GSO5750" s="34">
        <v>-2</v>
      </c>
      <c r="GSP5750" s="34">
        <v>-3</v>
      </c>
      <c r="GSQ5750" s="34">
        <v>-4</v>
      </c>
      <c r="GSR5750" s="34">
        <v>-5</v>
      </c>
      <c r="GSS5750" s="908"/>
      <c r="GST5750" s="909"/>
      <c r="GSU5750" s="34">
        <v>-5</v>
      </c>
      <c r="GSV5750" s="34">
        <v>-4.5</v>
      </c>
      <c r="GSW5750" s="34">
        <v>-4</v>
      </c>
      <c r="GSX5750" s="34">
        <v>-3.5</v>
      </c>
      <c r="GSY5750" s="34">
        <v>-3</v>
      </c>
      <c r="GSZ5750" s="34">
        <v>-2.5</v>
      </c>
      <c r="GTA5750" s="34">
        <v>-2</v>
      </c>
      <c r="GTB5750" s="34">
        <v>-1.5</v>
      </c>
      <c r="GTC5750" s="34">
        <v>-1</v>
      </c>
      <c r="GTD5750" s="34">
        <v>-0.5</v>
      </c>
      <c r="GTE5750" s="34">
        <v>0</v>
      </c>
      <c r="GTF5750" s="34">
        <v>0.5</v>
      </c>
      <c r="GTG5750" s="34">
        <v>1</v>
      </c>
      <c r="GTH5750" s="34">
        <v>1.5</v>
      </c>
      <c r="GTI5750" s="34">
        <v>2</v>
      </c>
      <c r="GTJ5750" s="34">
        <v>2.5</v>
      </c>
      <c r="GTK5750" s="34">
        <v>3</v>
      </c>
      <c r="GTL5750" s="34">
        <v>3.5</v>
      </c>
      <c r="GTM5750" s="34">
        <v>4</v>
      </c>
      <c r="GTN5750" s="34">
        <v>4.5</v>
      </c>
      <c r="GTO5750" s="34">
        <v>5</v>
      </c>
      <c r="GTQ5750" s="913"/>
      <c r="GTR5750" s="31">
        <v>1</v>
      </c>
      <c r="GTS5750" s="34">
        <v>0</v>
      </c>
      <c r="GTT5750" s="34">
        <v>-1</v>
      </c>
      <c r="GTU5750" s="34">
        <v>-2</v>
      </c>
      <c r="GTV5750" s="34">
        <v>-3</v>
      </c>
      <c r="GTW5750" s="34">
        <v>-4</v>
      </c>
      <c r="GTX5750" s="34">
        <v>-5</v>
      </c>
      <c r="GTY5750" s="908"/>
      <c r="GTZ5750" s="909"/>
      <c r="GUA5750" s="34">
        <v>-5</v>
      </c>
      <c r="GUB5750" s="34">
        <v>-4.5</v>
      </c>
      <c r="GUC5750" s="34">
        <v>-4</v>
      </c>
      <c r="GUD5750" s="34">
        <v>-3.5</v>
      </c>
      <c r="GUE5750" s="34">
        <v>-3</v>
      </c>
      <c r="GUF5750" s="34">
        <v>-2.5</v>
      </c>
      <c r="GUG5750" s="34">
        <v>-2</v>
      </c>
      <c r="GUH5750" s="34">
        <v>-1.5</v>
      </c>
      <c r="GUI5750" s="34">
        <v>-1</v>
      </c>
      <c r="GUJ5750" s="34">
        <v>-0.5</v>
      </c>
      <c r="GUK5750" s="34">
        <v>0</v>
      </c>
      <c r="GUL5750" s="34">
        <v>0.5</v>
      </c>
      <c r="GUM5750" s="34">
        <v>1</v>
      </c>
      <c r="GUN5750" s="34">
        <v>1.5</v>
      </c>
      <c r="GUO5750" s="34">
        <v>2</v>
      </c>
      <c r="GUP5750" s="34">
        <v>2.5</v>
      </c>
      <c r="GUQ5750" s="34">
        <v>3</v>
      </c>
      <c r="GUR5750" s="34">
        <v>3.5</v>
      </c>
      <c r="GUS5750" s="34">
        <v>4</v>
      </c>
      <c r="GUT5750" s="34">
        <v>4.5</v>
      </c>
      <c r="GUU5750" s="34">
        <v>5</v>
      </c>
      <c r="GUW5750" s="913"/>
      <c r="GUX5750" s="31">
        <v>1</v>
      </c>
      <c r="GUY5750" s="34">
        <v>0</v>
      </c>
      <c r="GUZ5750" s="34">
        <v>-1</v>
      </c>
      <c r="GVA5750" s="34">
        <v>-2</v>
      </c>
      <c r="GVB5750" s="34">
        <v>-3</v>
      </c>
      <c r="GVC5750" s="34">
        <v>-4</v>
      </c>
      <c r="GVD5750" s="34">
        <v>-5</v>
      </c>
      <c r="GVE5750" s="908"/>
      <c r="GVF5750" s="909"/>
      <c r="GVG5750" s="34">
        <v>-5</v>
      </c>
      <c r="GVH5750" s="34">
        <v>-4.5</v>
      </c>
      <c r="GVI5750" s="34">
        <v>-4</v>
      </c>
      <c r="GVJ5750" s="34">
        <v>-3.5</v>
      </c>
      <c r="GVK5750" s="34">
        <v>-3</v>
      </c>
      <c r="GVL5750" s="34">
        <v>-2.5</v>
      </c>
      <c r="GVM5750" s="34">
        <v>-2</v>
      </c>
      <c r="GVN5750" s="34">
        <v>-1.5</v>
      </c>
      <c r="GVO5750" s="34">
        <v>-1</v>
      </c>
      <c r="GVP5750" s="34">
        <v>-0.5</v>
      </c>
      <c r="GVQ5750" s="34">
        <v>0</v>
      </c>
      <c r="GVR5750" s="34">
        <v>0.5</v>
      </c>
      <c r="GVS5750" s="34">
        <v>1</v>
      </c>
      <c r="GVT5750" s="34">
        <v>1.5</v>
      </c>
      <c r="GVU5750" s="34">
        <v>2</v>
      </c>
      <c r="GVV5750" s="34">
        <v>2.5</v>
      </c>
      <c r="GVW5750" s="34">
        <v>3</v>
      </c>
      <c r="GVX5750" s="34">
        <v>3.5</v>
      </c>
      <c r="GVY5750" s="34">
        <v>4</v>
      </c>
      <c r="GVZ5750" s="34">
        <v>4.5</v>
      </c>
      <c r="GWA5750" s="34">
        <v>5</v>
      </c>
      <c r="GWC5750" s="913"/>
      <c r="GWD5750" s="31">
        <v>1</v>
      </c>
      <c r="GWE5750" s="34">
        <v>0</v>
      </c>
      <c r="GWF5750" s="34">
        <v>-1</v>
      </c>
      <c r="GWG5750" s="34">
        <v>-2</v>
      </c>
      <c r="GWH5750" s="34">
        <v>-3</v>
      </c>
      <c r="GWI5750" s="34">
        <v>-4</v>
      </c>
      <c r="GWJ5750" s="34">
        <v>-5</v>
      </c>
      <c r="GWK5750" s="908"/>
      <c r="GWL5750" s="909"/>
      <c r="GWM5750" s="34">
        <v>-5</v>
      </c>
      <c r="GWN5750" s="34">
        <v>-4.5</v>
      </c>
      <c r="GWO5750" s="34">
        <v>-4</v>
      </c>
      <c r="GWP5750" s="34">
        <v>-3.5</v>
      </c>
      <c r="GWQ5750" s="34">
        <v>-3</v>
      </c>
      <c r="GWR5750" s="34">
        <v>-2.5</v>
      </c>
      <c r="GWS5750" s="34">
        <v>-2</v>
      </c>
      <c r="GWT5750" s="34">
        <v>-1.5</v>
      </c>
      <c r="GWU5750" s="34">
        <v>-1</v>
      </c>
      <c r="GWV5750" s="34">
        <v>-0.5</v>
      </c>
      <c r="GWW5750" s="34">
        <v>0</v>
      </c>
      <c r="GWX5750" s="34">
        <v>0.5</v>
      </c>
      <c r="GWY5750" s="34">
        <v>1</v>
      </c>
      <c r="GWZ5750" s="34">
        <v>1.5</v>
      </c>
      <c r="GXA5750" s="34">
        <v>2</v>
      </c>
      <c r="GXB5750" s="34">
        <v>2.5</v>
      </c>
      <c r="GXC5750" s="34">
        <v>3</v>
      </c>
      <c r="GXD5750" s="34">
        <v>3.5</v>
      </c>
      <c r="GXE5750" s="34">
        <v>4</v>
      </c>
      <c r="GXF5750" s="34">
        <v>4.5</v>
      </c>
      <c r="GXG5750" s="34">
        <v>5</v>
      </c>
      <c r="GXI5750" s="913"/>
      <c r="GXJ5750" s="31">
        <v>1</v>
      </c>
      <c r="GXK5750" s="34">
        <v>0</v>
      </c>
      <c r="GXL5750" s="34">
        <v>-1</v>
      </c>
      <c r="GXM5750" s="34">
        <v>-2</v>
      </c>
      <c r="GXN5750" s="34">
        <v>-3</v>
      </c>
      <c r="GXO5750" s="34">
        <v>-4</v>
      </c>
      <c r="GXP5750" s="34">
        <v>-5</v>
      </c>
      <c r="GXQ5750" s="908"/>
      <c r="GXR5750" s="909"/>
      <c r="GXS5750" s="34">
        <v>-5</v>
      </c>
      <c r="GXT5750" s="34">
        <v>-4.5</v>
      </c>
      <c r="GXU5750" s="34">
        <v>-4</v>
      </c>
      <c r="GXV5750" s="34">
        <v>-3.5</v>
      </c>
      <c r="GXW5750" s="34">
        <v>-3</v>
      </c>
      <c r="GXX5750" s="34">
        <v>-2.5</v>
      </c>
      <c r="GXY5750" s="34">
        <v>-2</v>
      </c>
      <c r="GXZ5750" s="34">
        <v>-1.5</v>
      </c>
      <c r="GYA5750" s="34">
        <v>-1</v>
      </c>
      <c r="GYB5750" s="34">
        <v>-0.5</v>
      </c>
      <c r="GYC5750" s="34">
        <v>0</v>
      </c>
      <c r="GYD5750" s="34">
        <v>0.5</v>
      </c>
      <c r="GYE5750" s="34">
        <v>1</v>
      </c>
      <c r="GYF5750" s="34">
        <v>1.5</v>
      </c>
      <c r="GYG5750" s="34">
        <v>2</v>
      </c>
      <c r="GYH5750" s="34">
        <v>2.5</v>
      </c>
      <c r="GYI5750" s="34">
        <v>3</v>
      </c>
      <c r="GYJ5750" s="34">
        <v>3.5</v>
      </c>
      <c r="GYK5750" s="34">
        <v>4</v>
      </c>
      <c r="GYL5750" s="34">
        <v>4.5</v>
      </c>
      <c r="GYM5750" s="34">
        <v>5</v>
      </c>
      <c r="GYO5750" s="913"/>
      <c r="GYP5750" s="31">
        <v>1</v>
      </c>
      <c r="GYQ5750" s="34">
        <v>0</v>
      </c>
      <c r="GYR5750" s="34">
        <v>-1</v>
      </c>
      <c r="GYS5750" s="34">
        <v>-2</v>
      </c>
      <c r="GYT5750" s="34">
        <v>-3</v>
      </c>
      <c r="GYU5750" s="34">
        <v>-4</v>
      </c>
      <c r="GYV5750" s="34">
        <v>-5</v>
      </c>
      <c r="GYW5750" s="908"/>
      <c r="GYX5750" s="909"/>
      <c r="GYY5750" s="34">
        <v>-5</v>
      </c>
      <c r="GYZ5750" s="34">
        <v>-4.5</v>
      </c>
      <c r="GZA5750" s="34">
        <v>-4</v>
      </c>
      <c r="GZB5750" s="34">
        <v>-3.5</v>
      </c>
      <c r="GZC5750" s="34">
        <v>-3</v>
      </c>
      <c r="GZD5750" s="34">
        <v>-2.5</v>
      </c>
      <c r="GZE5750" s="34">
        <v>-2</v>
      </c>
      <c r="GZF5750" s="34">
        <v>-1.5</v>
      </c>
      <c r="GZG5750" s="34">
        <v>-1</v>
      </c>
      <c r="GZH5750" s="34">
        <v>-0.5</v>
      </c>
      <c r="GZI5750" s="34">
        <v>0</v>
      </c>
      <c r="GZJ5750" s="34">
        <v>0.5</v>
      </c>
      <c r="GZK5750" s="34">
        <v>1</v>
      </c>
      <c r="GZL5750" s="34">
        <v>1.5</v>
      </c>
      <c r="GZM5750" s="34">
        <v>2</v>
      </c>
      <c r="GZN5750" s="34">
        <v>2.5</v>
      </c>
      <c r="GZO5750" s="34">
        <v>3</v>
      </c>
      <c r="GZP5750" s="34">
        <v>3.5</v>
      </c>
      <c r="GZQ5750" s="34">
        <v>4</v>
      </c>
      <c r="GZR5750" s="34">
        <v>4.5</v>
      </c>
      <c r="GZS5750" s="34">
        <v>5</v>
      </c>
      <c r="GZU5750" s="913"/>
      <c r="GZV5750" s="31">
        <v>1</v>
      </c>
      <c r="GZW5750" s="34">
        <v>0</v>
      </c>
      <c r="GZX5750" s="34">
        <v>-1</v>
      </c>
      <c r="GZY5750" s="34">
        <v>-2</v>
      </c>
      <c r="GZZ5750" s="34">
        <v>-3</v>
      </c>
      <c r="HAA5750" s="34">
        <v>-4</v>
      </c>
      <c r="HAB5750" s="34">
        <v>-5</v>
      </c>
      <c r="HAC5750" s="908"/>
      <c r="HAD5750" s="909"/>
      <c r="HAE5750" s="34">
        <v>-5</v>
      </c>
      <c r="HAF5750" s="34">
        <v>-4.5</v>
      </c>
      <c r="HAG5750" s="34">
        <v>-4</v>
      </c>
      <c r="HAH5750" s="34">
        <v>-3.5</v>
      </c>
      <c r="HAI5750" s="34">
        <v>-3</v>
      </c>
      <c r="HAJ5750" s="34">
        <v>-2.5</v>
      </c>
      <c r="HAK5750" s="34">
        <v>-2</v>
      </c>
      <c r="HAL5750" s="34">
        <v>-1.5</v>
      </c>
      <c r="HAM5750" s="34">
        <v>-1</v>
      </c>
      <c r="HAN5750" s="34">
        <v>-0.5</v>
      </c>
      <c r="HAO5750" s="34">
        <v>0</v>
      </c>
      <c r="HAP5750" s="34">
        <v>0.5</v>
      </c>
      <c r="HAQ5750" s="34">
        <v>1</v>
      </c>
      <c r="HAR5750" s="34">
        <v>1.5</v>
      </c>
      <c r="HAS5750" s="34">
        <v>2</v>
      </c>
      <c r="HAT5750" s="34">
        <v>2.5</v>
      </c>
      <c r="HAU5750" s="34">
        <v>3</v>
      </c>
      <c r="HAV5750" s="34">
        <v>3.5</v>
      </c>
      <c r="HAW5750" s="34">
        <v>4</v>
      </c>
      <c r="HAX5750" s="34">
        <v>4.5</v>
      </c>
      <c r="HAY5750" s="34">
        <v>5</v>
      </c>
      <c r="HBA5750" s="913"/>
      <c r="HBB5750" s="31">
        <v>1</v>
      </c>
      <c r="HBC5750" s="34">
        <v>0</v>
      </c>
      <c r="HBD5750" s="34">
        <v>-1</v>
      </c>
      <c r="HBE5750" s="34">
        <v>-2</v>
      </c>
      <c r="HBF5750" s="34">
        <v>-3</v>
      </c>
      <c r="HBG5750" s="34">
        <v>-4</v>
      </c>
      <c r="HBH5750" s="34">
        <v>-5</v>
      </c>
      <c r="HBI5750" s="908"/>
      <c r="HBJ5750" s="909"/>
      <c r="HBK5750" s="34">
        <v>-5</v>
      </c>
      <c r="HBL5750" s="34">
        <v>-4.5</v>
      </c>
      <c r="HBM5750" s="34">
        <v>-4</v>
      </c>
      <c r="HBN5750" s="34">
        <v>-3.5</v>
      </c>
      <c r="HBO5750" s="34">
        <v>-3</v>
      </c>
      <c r="HBP5750" s="34">
        <v>-2.5</v>
      </c>
      <c r="HBQ5750" s="34">
        <v>-2</v>
      </c>
      <c r="HBR5750" s="34">
        <v>-1.5</v>
      </c>
      <c r="HBS5750" s="34">
        <v>-1</v>
      </c>
      <c r="HBT5750" s="34">
        <v>-0.5</v>
      </c>
      <c r="HBU5750" s="34">
        <v>0</v>
      </c>
      <c r="HBV5750" s="34">
        <v>0.5</v>
      </c>
      <c r="HBW5750" s="34">
        <v>1</v>
      </c>
      <c r="HBX5750" s="34">
        <v>1.5</v>
      </c>
      <c r="HBY5750" s="34">
        <v>2</v>
      </c>
      <c r="HBZ5750" s="34">
        <v>2.5</v>
      </c>
      <c r="HCA5750" s="34">
        <v>3</v>
      </c>
      <c r="HCB5750" s="34">
        <v>3.5</v>
      </c>
      <c r="HCC5750" s="34">
        <v>4</v>
      </c>
      <c r="HCD5750" s="34">
        <v>4.5</v>
      </c>
      <c r="HCE5750" s="34">
        <v>5</v>
      </c>
      <c r="HCG5750" s="913"/>
      <c r="HCH5750" s="31">
        <v>1</v>
      </c>
      <c r="HCI5750" s="34">
        <v>0</v>
      </c>
      <c r="HCJ5750" s="34">
        <v>-1</v>
      </c>
      <c r="HCK5750" s="34">
        <v>-2</v>
      </c>
      <c r="HCL5750" s="34">
        <v>-3</v>
      </c>
      <c r="HCM5750" s="34">
        <v>-4</v>
      </c>
      <c r="HCN5750" s="34">
        <v>-5</v>
      </c>
      <c r="HCO5750" s="908"/>
      <c r="HCP5750" s="909"/>
      <c r="HCQ5750" s="34">
        <v>-5</v>
      </c>
      <c r="HCR5750" s="34">
        <v>-4.5</v>
      </c>
      <c r="HCS5750" s="34">
        <v>-4</v>
      </c>
      <c r="HCT5750" s="34">
        <v>-3.5</v>
      </c>
      <c r="HCU5750" s="34">
        <v>-3</v>
      </c>
      <c r="HCV5750" s="34">
        <v>-2.5</v>
      </c>
      <c r="HCW5750" s="34">
        <v>-2</v>
      </c>
      <c r="HCX5750" s="34">
        <v>-1.5</v>
      </c>
      <c r="HCY5750" s="34">
        <v>-1</v>
      </c>
      <c r="HCZ5750" s="34">
        <v>-0.5</v>
      </c>
      <c r="HDA5750" s="34">
        <v>0</v>
      </c>
      <c r="HDB5750" s="34">
        <v>0.5</v>
      </c>
      <c r="HDC5750" s="34">
        <v>1</v>
      </c>
      <c r="HDD5750" s="34">
        <v>1.5</v>
      </c>
      <c r="HDE5750" s="34">
        <v>2</v>
      </c>
      <c r="HDF5750" s="34">
        <v>2.5</v>
      </c>
      <c r="HDG5750" s="34">
        <v>3</v>
      </c>
      <c r="HDH5750" s="34">
        <v>3.5</v>
      </c>
      <c r="HDI5750" s="34">
        <v>4</v>
      </c>
      <c r="HDJ5750" s="34">
        <v>4.5</v>
      </c>
      <c r="HDK5750" s="34">
        <v>5</v>
      </c>
      <c r="HDM5750" s="913"/>
      <c r="HDN5750" s="31">
        <v>1</v>
      </c>
      <c r="HDO5750" s="34">
        <v>0</v>
      </c>
      <c r="HDP5750" s="34">
        <v>-1</v>
      </c>
      <c r="HDQ5750" s="34">
        <v>-2</v>
      </c>
      <c r="HDR5750" s="34">
        <v>-3</v>
      </c>
      <c r="HDS5750" s="34">
        <v>-4</v>
      </c>
      <c r="HDT5750" s="34">
        <v>-5</v>
      </c>
      <c r="HDU5750" s="908"/>
      <c r="HDV5750" s="909"/>
      <c r="HDW5750" s="34">
        <v>-5</v>
      </c>
      <c r="HDX5750" s="34">
        <v>-4.5</v>
      </c>
      <c r="HDY5750" s="34">
        <v>-4</v>
      </c>
      <c r="HDZ5750" s="34">
        <v>-3.5</v>
      </c>
      <c r="HEA5750" s="34">
        <v>-3</v>
      </c>
      <c r="HEB5750" s="34">
        <v>-2.5</v>
      </c>
      <c r="HEC5750" s="34">
        <v>-2</v>
      </c>
      <c r="HED5750" s="34">
        <v>-1.5</v>
      </c>
      <c r="HEE5750" s="34">
        <v>-1</v>
      </c>
      <c r="HEF5750" s="34">
        <v>-0.5</v>
      </c>
      <c r="HEG5750" s="34">
        <v>0</v>
      </c>
      <c r="HEH5750" s="34">
        <v>0.5</v>
      </c>
      <c r="HEI5750" s="34">
        <v>1</v>
      </c>
      <c r="HEJ5750" s="34">
        <v>1.5</v>
      </c>
      <c r="HEK5750" s="34">
        <v>2</v>
      </c>
      <c r="HEL5750" s="34">
        <v>2.5</v>
      </c>
      <c r="HEM5750" s="34">
        <v>3</v>
      </c>
      <c r="HEN5750" s="34">
        <v>3.5</v>
      </c>
      <c r="HEO5750" s="34">
        <v>4</v>
      </c>
      <c r="HEP5750" s="34">
        <v>4.5</v>
      </c>
      <c r="HEQ5750" s="34">
        <v>5</v>
      </c>
      <c r="HES5750" s="913"/>
      <c r="HET5750" s="31">
        <v>1</v>
      </c>
      <c r="HEU5750" s="34">
        <v>0</v>
      </c>
      <c r="HEV5750" s="34">
        <v>-1</v>
      </c>
      <c r="HEW5750" s="34">
        <v>-2</v>
      </c>
      <c r="HEX5750" s="34">
        <v>-3</v>
      </c>
      <c r="HEY5750" s="34">
        <v>-4</v>
      </c>
      <c r="HEZ5750" s="34">
        <v>-5</v>
      </c>
      <c r="HFA5750" s="908"/>
      <c r="HFB5750" s="909"/>
      <c r="HFC5750" s="34">
        <v>-5</v>
      </c>
      <c r="HFD5750" s="34">
        <v>-4.5</v>
      </c>
      <c r="HFE5750" s="34">
        <v>-4</v>
      </c>
      <c r="HFF5750" s="34">
        <v>-3.5</v>
      </c>
      <c r="HFG5750" s="34">
        <v>-3</v>
      </c>
      <c r="HFH5750" s="34">
        <v>-2.5</v>
      </c>
      <c r="HFI5750" s="34">
        <v>-2</v>
      </c>
      <c r="HFJ5750" s="34">
        <v>-1.5</v>
      </c>
      <c r="HFK5750" s="34">
        <v>-1</v>
      </c>
      <c r="HFL5750" s="34">
        <v>-0.5</v>
      </c>
      <c r="HFM5750" s="34">
        <v>0</v>
      </c>
      <c r="HFN5750" s="34">
        <v>0.5</v>
      </c>
      <c r="HFO5750" s="34">
        <v>1</v>
      </c>
      <c r="HFP5750" s="34">
        <v>1.5</v>
      </c>
      <c r="HFQ5750" s="34">
        <v>2</v>
      </c>
      <c r="HFR5750" s="34">
        <v>2.5</v>
      </c>
      <c r="HFS5750" s="34">
        <v>3</v>
      </c>
      <c r="HFT5750" s="34">
        <v>3.5</v>
      </c>
      <c r="HFU5750" s="34">
        <v>4</v>
      </c>
      <c r="HFV5750" s="34">
        <v>4.5</v>
      </c>
      <c r="HFW5750" s="34">
        <v>5</v>
      </c>
      <c r="HFY5750" s="913"/>
      <c r="HFZ5750" s="31">
        <v>1</v>
      </c>
      <c r="HGA5750" s="34">
        <v>0</v>
      </c>
      <c r="HGB5750" s="34">
        <v>-1</v>
      </c>
      <c r="HGC5750" s="34">
        <v>-2</v>
      </c>
      <c r="HGD5750" s="34">
        <v>-3</v>
      </c>
      <c r="HGE5750" s="34">
        <v>-4</v>
      </c>
      <c r="HGF5750" s="34">
        <v>-5</v>
      </c>
      <c r="HGG5750" s="908"/>
      <c r="HGH5750" s="909"/>
      <c r="HGI5750" s="34">
        <v>-5</v>
      </c>
      <c r="HGJ5750" s="34">
        <v>-4.5</v>
      </c>
      <c r="HGK5750" s="34">
        <v>-4</v>
      </c>
      <c r="HGL5750" s="34">
        <v>-3.5</v>
      </c>
      <c r="HGM5750" s="34">
        <v>-3</v>
      </c>
      <c r="HGN5750" s="34">
        <v>-2.5</v>
      </c>
      <c r="HGO5750" s="34">
        <v>-2</v>
      </c>
      <c r="HGP5750" s="34">
        <v>-1.5</v>
      </c>
      <c r="HGQ5750" s="34">
        <v>-1</v>
      </c>
      <c r="HGR5750" s="34">
        <v>-0.5</v>
      </c>
      <c r="HGS5750" s="34">
        <v>0</v>
      </c>
      <c r="HGT5750" s="34">
        <v>0.5</v>
      </c>
      <c r="HGU5750" s="34">
        <v>1</v>
      </c>
      <c r="HGV5750" s="34">
        <v>1.5</v>
      </c>
      <c r="HGW5750" s="34">
        <v>2</v>
      </c>
      <c r="HGX5750" s="34">
        <v>2.5</v>
      </c>
      <c r="HGY5750" s="34">
        <v>3</v>
      </c>
      <c r="HGZ5750" s="34">
        <v>3.5</v>
      </c>
      <c r="HHA5750" s="34">
        <v>4</v>
      </c>
      <c r="HHB5750" s="34">
        <v>4.5</v>
      </c>
      <c r="HHC5750" s="34">
        <v>5</v>
      </c>
      <c r="HHE5750" s="913"/>
      <c r="HHF5750" s="31">
        <v>1</v>
      </c>
      <c r="HHG5750" s="34">
        <v>0</v>
      </c>
      <c r="HHH5750" s="34">
        <v>-1</v>
      </c>
      <c r="HHI5750" s="34">
        <v>-2</v>
      </c>
      <c r="HHJ5750" s="34">
        <v>-3</v>
      </c>
      <c r="HHK5750" s="34">
        <v>-4</v>
      </c>
      <c r="HHL5750" s="34">
        <v>-5</v>
      </c>
      <c r="HHM5750" s="908"/>
      <c r="HHN5750" s="909"/>
      <c r="HHO5750" s="34">
        <v>-5</v>
      </c>
      <c r="HHP5750" s="34">
        <v>-4.5</v>
      </c>
      <c r="HHQ5750" s="34">
        <v>-4</v>
      </c>
      <c r="HHR5750" s="34">
        <v>-3.5</v>
      </c>
      <c r="HHS5750" s="34">
        <v>-3</v>
      </c>
      <c r="HHT5750" s="34">
        <v>-2.5</v>
      </c>
      <c r="HHU5750" s="34">
        <v>-2</v>
      </c>
      <c r="HHV5750" s="34">
        <v>-1.5</v>
      </c>
      <c r="HHW5750" s="34">
        <v>-1</v>
      </c>
      <c r="HHX5750" s="34">
        <v>-0.5</v>
      </c>
      <c r="HHY5750" s="34">
        <v>0</v>
      </c>
      <c r="HHZ5750" s="34">
        <v>0.5</v>
      </c>
      <c r="HIA5750" s="34">
        <v>1</v>
      </c>
      <c r="HIB5750" s="34">
        <v>1.5</v>
      </c>
      <c r="HIC5750" s="34">
        <v>2</v>
      </c>
      <c r="HID5750" s="34">
        <v>2.5</v>
      </c>
      <c r="HIE5750" s="34">
        <v>3</v>
      </c>
      <c r="HIF5750" s="34">
        <v>3.5</v>
      </c>
      <c r="HIG5750" s="34">
        <v>4</v>
      </c>
      <c r="HIH5750" s="34">
        <v>4.5</v>
      </c>
      <c r="HII5750" s="34">
        <v>5</v>
      </c>
      <c r="HIK5750" s="913"/>
      <c r="HIL5750" s="31">
        <v>1</v>
      </c>
      <c r="HIM5750" s="34">
        <v>0</v>
      </c>
      <c r="HIN5750" s="34">
        <v>-1</v>
      </c>
      <c r="HIO5750" s="34">
        <v>-2</v>
      </c>
      <c r="HIP5750" s="34">
        <v>-3</v>
      </c>
      <c r="HIQ5750" s="34">
        <v>-4</v>
      </c>
      <c r="HIR5750" s="34">
        <v>-5</v>
      </c>
      <c r="HIS5750" s="908"/>
      <c r="HIT5750" s="909"/>
      <c r="HIU5750" s="34">
        <v>-5</v>
      </c>
      <c r="HIV5750" s="34">
        <v>-4.5</v>
      </c>
      <c r="HIW5750" s="34">
        <v>-4</v>
      </c>
      <c r="HIX5750" s="34">
        <v>-3.5</v>
      </c>
      <c r="HIY5750" s="34">
        <v>-3</v>
      </c>
      <c r="HIZ5750" s="34">
        <v>-2.5</v>
      </c>
      <c r="HJA5750" s="34">
        <v>-2</v>
      </c>
      <c r="HJB5750" s="34">
        <v>-1.5</v>
      </c>
      <c r="HJC5750" s="34">
        <v>-1</v>
      </c>
      <c r="HJD5750" s="34">
        <v>-0.5</v>
      </c>
      <c r="HJE5750" s="34">
        <v>0</v>
      </c>
      <c r="HJF5750" s="34">
        <v>0.5</v>
      </c>
      <c r="HJG5750" s="34">
        <v>1</v>
      </c>
      <c r="HJH5750" s="34">
        <v>1.5</v>
      </c>
      <c r="HJI5750" s="34">
        <v>2</v>
      </c>
      <c r="HJJ5750" s="34">
        <v>2.5</v>
      </c>
      <c r="HJK5750" s="34">
        <v>3</v>
      </c>
      <c r="HJL5750" s="34">
        <v>3.5</v>
      </c>
      <c r="HJM5750" s="34">
        <v>4</v>
      </c>
      <c r="HJN5750" s="34">
        <v>4.5</v>
      </c>
      <c r="HJO5750" s="34">
        <v>5</v>
      </c>
      <c r="HJQ5750" s="913"/>
      <c r="HJR5750" s="31">
        <v>1</v>
      </c>
      <c r="HJS5750" s="34">
        <v>0</v>
      </c>
      <c r="HJT5750" s="34">
        <v>-1</v>
      </c>
      <c r="HJU5750" s="34">
        <v>-2</v>
      </c>
      <c r="HJV5750" s="34">
        <v>-3</v>
      </c>
      <c r="HJW5750" s="34">
        <v>-4</v>
      </c>
      <c r="HJX5750" s="34">
        <v>-5</v>
      </c>
      <c r="HJY5750" s="908"/>
      <c r="HJZ5750" s="909"/>
      <c r="HKA5750" s="34">
        <v>-5</v>
      </c>
      <c r="HKB5750" s="34">
        <v>-4.5</v>
      </c>
      <c r="HKC5750" s="34">
        <v>-4</v>
      </c>
      <c r="HKD5750" s="34">
        <v>-3.5</v>
      </c>
      <c r="HKE5750" s="34">
        <v>-3</v>
      </c>
      <c r="HKF5750" s="34">
        <v>-2.5</v>
      </c>
      <c r="HKG5750" s="34">
        <v>-2</v>
      </c>
      <c r="HKH5750" s="34">
        <v>-1.5</v>
      </c>
      <c r="HKI5750" s="34">
        <v>-1</v>
      </c>
      <c r="HKJ5750" s="34">
        <v>-0.5</v>
      </c>
      <c r="HKK5750" s="34">
        <v>0</v>
      </c>
      <c r="HKL5750" s="34">
        <v>0.5</v>
      </c>
      <c r="HKM5750" s="34">
        <v>1</v>
      </c>
      <c r="HKN5750" s="34">
        <v>1.5</v>
      </c>
      <c r="HKO5750" s="34">
        <v>2</v>
      </c>
      <c r="HKP5750" s="34">
        <v>2.5</v>
      </c>
      <c r="HKQ5750" s="34">
        <v>3</v>
      </c>
      <c r="HKR5750" s="34">
        <v>3.5</v>
      </c>
      <c r="HKS5750" s="34">
        <v>4</v>
      </c>
      <c r="HKT5750" s="34">
        <v>4.5</v>
      </c>
      <c r="HKU5750" s="34">
        <v>5</v>
      </c>
      <c r="HKW5750" s="913"/>
      <c r="HKX5750" s="31">
        <v>1</v>
      </c>
      <c r="HKY5750" s="34">
        <v>0</v>
      </c>
      <c r="HKZ5750" s="34">
        <v>-1</v>
      </c>
      <c r="HLA5750" s="34">
        <v>-2</v>
      </c>
      <c r="HLB5750" s="34">
        <v>-3</v>
      </c>
      <c r="HLC5750" s="34">
        <v>-4</v>
      </c>
      <c r="HLD5750" s="34">
        <v>-5</v>
      </c>
      <c r="HLE5750" s="908"/>
      <c r="HLF5750" s="909"/>
      <c r="HLG5750" s="34">
        <v>-5</v>
      </c>
      <c r="HLH5750" s="34">
        <v>-4.5</v>
      </c>
      <c r="HLI5750" s="34">
        <v>-4</v>
      </c>
      <c r="HLJ5750" s="34">
        <v>-3.5</v>
      </c>
      <c r="HLK5750" s="34">
        <v>-3</v>
      </c>
      <c r="HLL5750" s="34">
        <v>-2.5</v>
      </c>
      <c r="HLM5750" s="34">
        <v>-2</v>
      </c>
      <c r="HLN5750" s="34">
        <v>-1.5</v>
      </c>
      <c r="HLO5750" s="34">
        <v>-1</v>
      </c>
      <c r="HLP5750" s="34">
        <v>-0.5</v>
      </c>
      <c r="HLQ5750" s="34">
        <v>0</v>
      </c>
      <c r="HLR5750" s="34">
        <v>0.5</v>
      </c>
      <c r="HLS5750" s="34">
        <v>1</v>
      </c>
      <c r="HLT5750" s="34">
        <v>1.5</v>
      </c>
      <c r="HLU5750" s="34">
        <v>2</v>
      </c>
      <c r="HLV5750" s="34">
        <v>2.5</v>
      </c>
      <c r="HLW5750" s="34">
        <v>3</v>
      </c>
      <c r="HLX5750" s="34">
        <v>3.5</v>
      </c>
      <c r="HLY5750" s="34">
        <v>4</v>
      </c>
      <c r="HLZ5750" s="34">
        <v>4.5</v>
      </c>
      <c r="HMA5750" s="34">
        <v>5</v>
      </c>
      <c r="HMC5750" s="913"/>
      <c r="HMD5750" s="31">
        <v>1</v>
      </c>
      <c r="HME5750" s="34">
        <v>0</v>
      </c>
      <c r="HMF5750" s="34">
        <v>-1</v>
      </c>
      <c r="HMG5750" s="34">
        <v>-2</v>
      </c>
      <c r="HMH5750" s="34">
        <v>-3</v>
      </c>
      <c r="HMI5750" s="34">
        <v>-4</v>
      </c>
      <c r="HMJ5750" s="34">
        <v>-5</v>
      </c>
      <c r="HMK5750" s="908"/>
      <c r="HML5750" s="909"/>
      <c r="HMM5750" s="34">
        <v>-5</v>
      </c>
      <c r="HMN5750" s="34">
        <v>-4.5</v>
      </c>
      <c r="HMO5750" s="34">
        <v>-4</v>
      </c>
      <c r="HMP5750" s="34">
        <v>-3.5</v>
      </c>
      <c r="HMQ5750" s="34">
        <v>-3</v>
      </c>
      <c r="HMR5750" s="34">
        <v>-2.5</v>
      </c>
      <c r="HMS5750" s="34">
        <v>-2</v>
      </c>
      <c r="HMT5750" s="34">
        <v>-1.5</v>
      </c>
      <c r="HMU5750" s="34">
        <v>-1</v>
      </c>
      <c r="HMV5750" s="34">
        <v>-0.5</v>
      </c>
      <c r="HMW5750" s="34">
        <v>0</v>
      </c>
      <c r="HMX5750" s="34">
        <v>0.5</v>
      </c>
      <c r="HMY5750" s="34">
        <v>1</v>
      </c>
      <c r="HMZ5750" s="34">
        <v>1.5</v>
      </c>
      <c r="HNA5750" s="34">
        <v>2</v>
      </c>
      <c r="HNB5750" s="34">
        <v>2.5</v>
      </c>
      <c r="HNC5750" s="34">
        <v>3</v>
      </c>
      <c r="HND5750" s="34">
        <v>3.5</v>
      </c>
      <c r="HNE5750" s="34">
        <v>4</v>
      </c>
      <c r="HNF5750" s="34">
        <v>4.5</v>
      </c>
      <c r="HNG5750" s="34">
        <v>5</v>
      </c>
      <c r="HNI5750" s="913"/>
      <c r="HNJ5750" s="31">
        <v>1</v>
      </c>
      <c r="HNK5750" s="34">
        <v>0</v>
      </c>
      <c r="HNL5750" s="34">
        <v>-1</v>
      </c>
      <c r="HNM5750" s="34">
        <v>-2</v>
      </c>
      <c r="HNN5750" s="34">
        <v>-3</v>
      </c>
      <c r="HNO5750" s="34">
        <v>-4</v>
      </c>
      <c r="HNP5750" s="34">
        <v>-5</v>
      </c>
      <c r="HNQ5750" s="908"/>
      <c r="HNR5750" s="909"/>
      <c r="HNS5750" s="34">
        <v>-5</v>
      </c>
      <c r="HNT5750" s="34">
        <v>-4.5</v>
      </c>
      <c r="HNU5750" s="34">
        <v>-4</v>
      </c>
      <c r="HNV5750" s="34">
        <v>-3.5</v>
      </c>
      <c r="HNW5750" s="34">
        <v>-3</v>
      </c>
      <c r="HNX5750" s="34">
        <v>-2.5</v>
      </c>
      <c r="HNY5750" s="34">
        <v>-2</v>
      </c>
      <c r="HNZ5750" s="34">
        <v>-1.5</v>
      </c>
      <c r="HOA5750" s="34">
        <v>-1</v>
      </c>
      <c r="HOB5750" s="34">
        <v>-0.5</v>
      </c>
      <c r="HOC5750" s="34">
        <v>0</v>
      </c>
      <c r="HOD5750" s="34">
        <v>0.5</v>
      </c>
      <c r="HOE5750" s="34">
        <v>1</v>
      </c>
      <c r="HOF5750" s="34">
        <v>1.5</v>
      </c>
      <c r="HOG5750" s="34">
        <v>2</v>
      </c>
      <c r="HOH5750" s="34">
        <v>2.5</v>
      </c>
      <c r="HOI5750" s="34">
        <v>3</v>
      </c>
      <c r="HOJ5750" s="34">
        <v>3.5</v>
      </c>
      <c r="HOK5750" s="34">
        <v>4</v>
      </c>
      <c r="HOL5750" s="34">
        <v>4.5</v>
      </c>
      <c r="HOM5750" s="34">
        <v>5</v>
      </c>
      <c r="HOO5750" s="913"/>
      <c r="HOP5750" s="31">
        <v>1</v>
      </c>
      <c r="HOQ5750" s="34">
        <v>0</v>
      </c>
      <c r="HOR5750" s="34">
        <v>-1</v>
      </c>
      <c r="HOS5750" s="34">
        <v>-2</v>
      </c>
      <c r="HOT5750" s="34">
        <v>-3</v>
      </c>
      <c r="HOU5750" s="34">
        <v>-4</v>
      </c>
      <c r="HOV5750" s="34">
        <v>-5</v>
      </c>
      <c r="HOW5750" s="908"/>
      <c r="HOX5750" s="909"/>
      <c r="HOY5750" s="34">
        <v>-5</v>
      </c>
      <c r="HOZ5750" s="34">
        <v>-4.5</v>
      </c>
      <c r="HPA5750" s="34">
        <v>-4</v>
      </c>
      <c r="HPB5750" s="34">
        <v>-3.5</v>
      </c>
      <c r="HPC5750" s="34">
        <v>-3</v>
      </c>
      <c r="HPD5750" s="34">
        <v>-2.5</v>
      </c>
      <c r="HPE5750" s="34">
        <v>-2</v>
      </c>
      <c r="HPF5750" s="34">
        <v>-1.5</v>
      </c>
      <c r="HPG5750" s="34">
        <v>-1</v>
      </c>
      <c r="HPH5750" s="34">
        <v>-0.5</v>
      </c>
      <c r="HPI5750" s="34">
        <v>0</v>
      </c>
      <c r="HPJ5750" s="34">
        <v>0.5</v>
      </c>
      <c r="HPK5750" s="34">
        <v>1</v>
      </c>
      <c r="HPL5750" s="34">
        <v>1.5</v>
      </c>
      <c r="HPM5750" s="34">
        <v>2</v>
      </c>
      <c r="HPN5750" s="34">
        <v>2.5</v>
      </c>
      <c r="HPO5750" s="34">
        <v>3</v>
      </c>
      <c r="HPP5750" s="34">
        <v>3.5</v>
      </c>
      <c r="HPQ5750" s="34">
        <v>4</v>
      </c>
      <c r="HPR5750" s="34">
        <v>4.5</v>
      </c>
      <c r="HPS5750" s="34">
        <v>5</v>
      </c>
      <c r="HPU5750" s="913"/>
      <c r="HPV5750" s="31">
        <v>1</v>
      </c>
      <c r="HPW5750" s="34">
        <v>0</v>
      </c>
      <c r="HPX5750" s="34">
        <v>-1</v>
      </c>
      <c r="HPY5750" s="34">
        <v>-2</v>
      </c>
      <c r="HPZ5750" s="34">
        <v>-3</v>
      </c>
      <c r="HQA5750" s="34">
        <v>-4</v>
      </c>
      <c r="HQB5750" s="34">
        <v>-5</v>
      </c>
      <c r="HQC5750" s="908"/>
      <c r="HQD5750" s="909"/>
      <c r="HQE5750" s="34">
        <v>-5</v>
      </c>
      <c r="HQF5750" s="34">
        <v>-4.5</v>
      </c>
      <c r="HQG5750" s="34">
        <v>-4</v>
      </c>
      <c r="HQH5750" s="34">
        <v>-3.5</v>
      </c>
      <c r="HQI5750" s="34">
        <v>-3</v>
      </c>
      <c r="HQJ5750" s="34">
        <v>-2.5</v>
      </c>
      <c r="HQK5750" s="34">
        <v>-2</v>
      </c>
      <c r="HQL5750" s="34">
        <v>-1.5</v>
      </c>
      <c r="HQM5750" s="34">
        <v>-1</v>
      </c>
      <c r="HQN5750" s="34">
        <v>-0.5</v>
      </c>
      <c r="HQO5750" s="34">
        <v>0</v>
      </c>
      <c r="HQP5750" s="34">
        <v>0.5</v>
      </c>
      <c r="HQQ5750" s="34">
        <v>1</v>
      </c>
      <c r="HQR5750" s="34">
        <v>1.5</v>
      </c>
      <c r="HQS5750" s="34">
        <v>2</v>
      </c>
      <c r="HQT5750" s="34">
        <v>2.5</v>
      </c>
      <c r="HQU5750" s="34">
        <v>3</v>
      </c>
      <c r="HQV5750" s="34">
        <v>3.5</v>
      </c>
      <c r="HQW5750" s="34">
        <v>4</v>
      </c>
      <c r="HQX5750" s="34">
        <v>4.5</v>
      </c>
      <c r="HQY5750" s="34">
        <v>5</v>
      </c>
      <c r="HRA5750" s="913"/>
      <c r="HRB5750" s="31">
        <v>1</v>
      </c>
      <c r="HRC5750" s="34">
        <v>0</v>
      </c>
      <c r="HRD5750" s="34">
        <v>-1</v>
      </c>
      <c r="HRE5750" s="34">
        <v>-2</v>
      </c>
      <c r="HRF5750" s="34">
        <v>-3</v>
      </c>
      <c r="HRG5750" s="34">
        <v>-4</v>
      </c>
      <c r="HRH5750" s="34">
        <v>-5</v>
      </c>
      <c r="HRI5750" s="908"/>
      <c r="HRJ5750" s="909"/>
      <c r="HRK5750" s="34">
        <v>-5</v>
      </c>
      <c r="HRL5750" s="34">
        <v>-4.5</v>
      </c>
      <c r="HRM5750" s="34">
        <v>-4</v>
      </c>
      <c r="HRN5750" s="34">
        <v>-3.5</v>
      </c>
      <c r="HRO5750" s="34">
        <v>-3</v>
      </c>
      <c r="HRP5750" s="34">
        <v>-2.5</v>
      </c>
      <c r="HRQ5750" s="34">
        <v>-2</v>
      </c>
      <c r="HRR5750" s="34">
        <v>-1.5</v>
      </c>
      <c r="HRS5750" s="34">
        <v>-1</v>
      </c>
      <c r="HRT5750" s="34">
        <v>-0.5</v>
      </c>
      <c r="HRU5750" s="34">
        <v>0</v>
      </c>
      <c r="HRV5750" s="34">
        <v>0.5</v>
      </c>
      <c r="HRW5750" s="34">
        <v>1</v>
      </c>
      <c r="HRX5750" s="34">
        <v>1.5</v>
      </c>
      <c r="HRY5750" s="34">
        <v>2</v>
      </c>
      <c r="HRZ5750" s="34">
        <v>2.5</v>
      </c>
      <c r="HSA5750" s="34">
        <v>3</v>
      </c>
      <c r="HSB5750" s="34">
        <v>3.5</v>
      </c>
      <c r="HSC5750" s="34">
        <v>4</v>
      </c>
      <c r="HSD5750" s="34">
        <v>4.5</v>
      </c>
      <c r="HSE5750" s="34">
        <v>5</v>
      </c>
      <c r="HSG5750" s="913"/>
      <c r="HSH5750" s="31">
        <v>1</v>
      </c>
      <c r="HSI5750" s="34">
        <v>0</v>
      </c>
      <c r="HSJ5750" s="34">
        <v>-1</v>
      </c>
      <c r="HSK5750" s="34">
        <v>-2</v>
      </c>
      <c r="HSL5750" s="34">
        <v>-3</v>
      </c>
      <c r="HSM5750" s="34">
        <v>-4</v>
      </c>
      <c r="HSN5750" s="34">
        <v>-5</v>
      </c>
      <c r="HSO5750" s="908"/>
      <c r="HSP5750" s="909"/>
      <c r="HSQ5750" s="34">
        <v>-5</v>
      </c>
      <c r="HSR5750" s="34">
        <v>-4.5</v>
      </c>
      <c r="HSS5750" s="34">
        <v>-4</v>
      </c>
      <c r="HST5750" s="34">
        <v>-3.5</v>
      </c>
      <c r="HSU5750" s="34">
        <v>-3</v>
      </c>
      <c r="HSV5750" s="34">
        <v>-2.5</v>
      </c>
      <c r="HSW5750" s="34">
        <v>-2</v>
      </c>
      <c r="HSX5750" s="34">
        <v>-1.5</v>
      </c>
      <c r="HSY5750" s="34">
        <v>-1</v>
      </c>
      <c r="HSZ5750" s="34">
        <v>-0.5</v>
      </c>
      <c r="HTA5750" s="34">
        <v>0</v>
      </c>
      <c r="HTB5750" s="34">
        <v>0.5</v>
      </c>
      <c r="HTC5750" s="34">
        <v>1</v>
      </c>
      <c r="HTD5750" s="34">
        <v>1.5</v>
      </c>
      <c r="HTE5750" s="34">
        <v>2</v>
      </c>
      <c r="HTF5750" s="34">
        <v>2.5</v>
      </c>
      <c r="HTG5750" s="34">
        <v>3</v>
      </c>
      <c r="HTH5750" s="34">
        <v>3.5</v>
      </c>
      <c r="HTI5750" s="34">
        <v>4</v>
      </c>
      <c r="HTJ5750" s="34">
        <v>4.5</v>
      </c>
      <c r="HTK5750" s="34">
        <v>5</v>
      </c>
      <c r="HTM5750" s="913"/>
      <c r="HTN5750" s="31">
        <v>1</v>
      </c>
      <c r="HTO5750" s="34">
        <v>0</v>
      </c>
      <c r="HTP5750" s="34">
        <v>-1</v>
      </c>
      <c r="HTQ5750" s="34">
        <v>-2</v>
      </c>
      <c r="HTR5750" s="34">
        <v>-3</v>
      </c>
      <c r="HTS5750" s="34">
        <v>-4</v>
      </c>
      <c r="HTT5750" s="34">
        <v>-5</v>
      </c>
      <c r="HTU5750" s="908"/>
      <c r="HTV5750" s="909"/>
      <c r="HTW5750" s="34">
        <v>-5</v>
      </c>
      <c r="HTX5750" s="34">
        <v>-4.5</v>
      </c>
      <c r="HTY5750" s="34">
        <v>-4</v>
      </c>
      <c r="HTZ5750" s="34">
        <v>-3.5</v>
      </c>
      <c r="HUA5750" s="34">
        <v>-3</v>
      </c>
      <c r="HUB5750" s="34">
        <v>-2.5</v>
      </c>
      <c r="HUC5750" s="34">
        <v>-2</v>
      </c>
      <c r="HUD5750" s="34">
        <v>-1.5</v>
      </c>
      <c r="HUE5750" s="34">
        <v>-1</v>
      </c>
      <c r="HUF5750" s="34">
        <v>-0.5</v>
      </c>
      <c r="HUG5750" s="34">
        <v>0</v>
      </c>
      <c r="HUH5750" s="34">
        <v>0.5</v>
      </c>
      <c r="HUI5750" s="34">
        <v>1</v>
      </c>
      <c r="HUJ5750" s="34">
        <v>1.5</v>
      </c>
      <c r="HUK5750" s="34">
        <v>2</v>
      </c>
      <c r="HUL5750" s="34">
        <v>2.5</v>
      </c>
      <c r="HUM5750" s="34">
        <v>3</v>
      </c>
      <c r="HUN5750" s="34">
        <v>3.5</v>
      </c>
      <c r="HUO5750" s="34">
        <v>4</v>
      </c>
      <c r="HUP5750" s="34">
        <v>4.5</v>
      </c>
      <c r="HUQ5750" s="34">
        <v>5</v>
      </c>
      <c r="HUS5750" s="913"/>
      <c r="HUT5750" s="31">
        <v>1</v>
      </c>
      <c r="HUU5750" s="34">
        <v>0</v>
      </c>
      <c r="HUV5750" s="34">
        <v>-1</v>
      </c>
      <c r="HUW5750" s="34">
        <v>-2</v>
      </c>
      <c r="HUX5750" s="34">
        <v>-3</v>
      </c>
      <c r="HUY5750" s="34">
        <v>-4</v>
      </c>
      <c r="HUZ5750" s="34">
        <v>-5</v>
      </c>
      <c r="HVA5750" s="908"/>
      <c r="HVB5750" s="909"/>
      <c r="HVC5750" s="34">
        <v>-5</v>
      </c>
      <c r="HVD5750" s="34">
        <v>-4.5</v>
      </c>
      <c r="HVE5750" s="34">
        <v>-4</v>
      </c>
      <c r="HVF5750" s="34">
        <v>-3.5</v>
      </c>
      <c r="HVG5750" s="34">
        <v>-3</v>
      </c>
      <c r="HVH5750" s="34">
        <v>-2.5</v>
      </c>
      <c r="HVI5750" s="34">
        <v>-2</v>
      </c>
      <c r="HVJ5750" s="34">
        <v>-1.5</v>
      </c>
      <c r="HVK5750" s="34">
        <v>-1</v>
      </c>
      <c r="HVL5750" s="34">
        <v>-0.5</v>
      </c>
      <c r="HVM5750" s="34">
        <v>0</v>
      </c>
      <c r="HVN5750" s="34">
        <v>0.5</v>
      </c>
      <c r="HVO5750" s="34">
        <v>1</v>
      </c>
      <c r="HVP5750" s="34">
        <v>1.5</v>
      </c>
      <c r="HVQ5750" s="34">
        <v>2</v>
      </c>
      <c r="HVR5750" s="34">
        <v>2.5</v>
      </c>
      <c r="HVS5750" s="34">
        <v>3</v>
      </c>
      <c r="HVT5750" s="34">
        <v>3.5</v>
      </c>
      <c r="HVU5750" s="34">
        <v>4</v>
      </c>
      <c r="HVV5750" s="34">
        <v>4.5</v>
      </c>
      <c r="HVW5750" s="34">
        <v>5</v>
      </c>
      <c r="HVY5750" s="913"/>
      <c r="HVZ5750" s="31">
        <v>1</v>
      </c>
      <c r="HWA5750" s="34">
        <v>0</v>
      </c>
      <c r="HWB5750" s="34">
        <v>-1</v>
      </c>
      <c r="HWC5750" s="34">
        <v>-2</v>
      </c>
      <c r="HWD5750" s="34">
        <v>-3</v>
      </c>
      <c r="HWE5750" s="34">
        <v>-4</v>
      </c>
      <c r="HWF5750" s="34">
        <v>-5</v>
      </c>
      <c r="HWG5750" s="908"/>
      <c r="HWH5750" s="909"/>
      <c r="HWI5750" s="34">
        <v>-5</v>
      </c>
      <c r="HWJ5750" s="34">
        <v>-4.5</v>
      </c>
      <c r="HWK5750" s="34">
        <v>-4</v>
      </c>
      <c r="HWL5750" s="34">
        <v>-3.5</v>
      </c>
      <c r="HWM5750" s="34">
        <v>-3</v>
      </c>
      <c r="HWN5750" s="34">
        <v>-2.5</v>
      </c>
      <c r="HWO5750" s="34">
        <v>-2</v>
      </c>
      <c r="HWP5750" s="34">
        <v>-1.5</v>
      </c>
      <c r="HWQ5750" s="34">
        <v>-1</v>
      </c>
      <c r="HWR5750" s="34">
        <v>-0.5</v>
      </c>
      <c r="HWS5750" s="34">
        <v>0</v>
      </c>
      <c r="HWT5750" s="34">
        <v>0.5</v>
      </c>
      <c r="HWU5750" s="34">
        <v>1</v>
      </c>
      <c r="HWV5750" s="34">
        <v>1.5</v>
      </c>
      <c r="HWW5750" s="34">
        <v>2</v>
      </c>
      <c r="HWX5750" s="34">
        <v>2.5</v>
      </c>
      <c r="HWY5750" s="34">
        <v>3</v>
      </c>
      <c r="HWZ5750" s="34">
        <v>3.5</v>
      </c>
      <c r="HXA5750" s="34">
        <v>4</v>
      </c>
      <c r="HXB5750" s="34">
        <v>4.5</v>
      </c>
      <c r="HXC5750" s="34">
        <v>5</v>
      </c>
      <c r="HXE5750" s="913"/>
      <c r="HXF5750" s="31">
        <v>1</v>
      </c>
      <c r="HXG5750" s="34">
        <v>0</v>
      </c>
      <c r="HXH5750" s="34">
        <v>-1</v>
      </c>
      <c r="HXI5750" s="34">
        <v>-2</v>
      </c>
      <c r="HXJ5750" s="34">
        <v>-3</v>
      </c>
      <c r="HXK5750" s="34">
        <v>-4</v>
      </c>
      <c r="HXL5750" s="34">
        <v>-5</v>
      </c>
      <c r="HXM5750" s="908"/>
      <c r="HXN5750" s="909"/>
      <c r="HXO5750" s="34">
        <v>-5</v>
      </c>
      <c r="HXP5750" s="34">
        <v>-4.5</v>
      </c>
      <c r="HXQ5750" s="34">
        <v>-4</v>
      </c>
      <c r="HXR5750" s="34">
        <v>-3.5</v>
      </c>
      <c r="HXS5750" s="34">
        <v>-3</v>
      </c>
      <c r="HXT5750" s="34">
        <v>-2.5</v>
      </c>
      <c r="HXU5750" s="34">
        <v>-2</v>
      </c>
      <c r="HXV5750" s="34">
        <v>-1.5</v>
      </c>
      <c r="HXW5750" s="34">
        <v>-1</v>
      </c>
      <c r="HXX5750" s="34">
        <v>-0.5</v>
      </c>
      <c r="HXY5750" s="34">
        <v>0</v>
      </c>
      <c r="HXZ5750" s="34">
        <v>0.5</v>
      </c>
      <c r="HYA5750" s="34">
        <v>1</v>
      </c>
      <c r="HYB5750" s="34">
        <v>1.5</v>
      </c>
      <c r="HYC5750" s="34">
        <v>2</v>
      </c>
      <c r="HYD5750" s="34">
        <v>2.5</v>
      </c>
      <c r="HYE5750" s="34">
        <v>3</v>
      </c>
      <c r="HYF5750" s="34">
        <v>3.5</v>
      </c>
      <c r="HYG5750" s="34">
        <v>4</v>
      </c>
      <c r="HYH5750" s="34">
        <v>4.5</v>
      </c>
      <c r="HYI5750" s="34">
        <v>5</v>
      </c>
      <c r="HYK5750" s="913"/>
      <c r="HYL5750" s="31">
        <v>1</v>
      </c>
      <c r="HYM5750" s="34">
        <v>0</v>
      </c>
      <c r="HYN5750" s="34">
        <v>-1</v>
      </c>
      <c r="HYO5750" s="34">
        <v>-2</v>
      </c>
      <c r="HYP5750" s="34">
        <v>-3</v>
      </c>
      <c r="HYQ5750" s="34">
        <v>-4</v>
      </c>
      <c r="HYR5750" s="34">
        <v>-5</v>
      </c>
      <c r="HYS5750" s="908"/>
      <c r="HYT5750" s="909"/>
      <c r="HYU5750" s="34">
        <v>-5</v>
      </c>
      <c r="HYV5750" s="34">
        <v>-4.5</v>
      </c>
      <c r="HYW5750" s="34">
        <v>-4</v>
      </c>
      <c r="HYX5750" s="34">
        <v>-3.5</v>
      </c>
      <c r="HYY5750" s="34">
        <v>-3</v>
      </c>
      <c r="HYZ5750" s="34">
        <v>-2.5</v>
      </c>
      <c r="HZA5750" s="34">
        <v>-2</v>
      </c>
      <c r="HZB5750" s="34">
        <v>-1.5</v>
      </c>
      <c r="HZC5750" s="34">
        <v>-1</v>
      </c>
      <c r="HZD5750" s="34">
        <v>-0.5</v>
      </c>
      <c r="HZE5750" s="34">
        <v>0</v>
      </c>
      <c r="HZF5750" s="34">
        <v>0.5</v>
      </c>
      <c r="HZG5750" s="34">
        <v>1</v>
      </c>
      <c r="HZH5750" s="34">
        <v>1.5</v>
      </c>
      <c r="HZI5750" s="34">
        <v>2</v>
      </c>
      <c r="HZJ5750" s="34">
        <v>2.5</v>
      </c>
      <c r="HZK5750" s="34">
        <v>3</v>
      </c>
      <c r="HZL5750" s="34">
        <v>3.5</v>
      </c>
      <c r="HZM5750" s="34">
        <v>4</v>
      </c>
      <c r="HZN5750" s="34">
        <v>4.5</v>
      </c>
      <c r="HZO5750" s="34">
        <v>5</v>
      </c>
      <c r="HZQ5750" s="913"/>
      <c r="HZR5750" s="31">
        <v>1</v>
      </c>
      <c r="HZS5750" s="34">
        <v>0</v>
      </c>
      <c r="HZT5750" s="34">
        <v>-1</v>
      </c>
      <c r="HZU5750" s="34">
        <v>-2</v>
      </c>
      <c r="HZV5750" s="34">
        <v>-3</v>
      </c>
      <c r="HZW5750" s="34">
        <v>-4</v>
      </c>
      <c r="HZX5750" s="34">
        <v>-5</v>
      </c>
      <c r="HZY5750" s="908"/>
      <c r="HZZ5750" s="909"/>
      <c r="IAA5750" s="34">
        <v>-5</v>
      </c>
      <c r="IAB5750" s="34">
        <v>-4.5</v>
      </c>
      <c r="IAC5750" s="34">
        <v>-4</v>
      </c>
      <c r="IAD5750" s="34">
        <v>-3.5</v>
      </c>
      <c r="IAE5750" s="34">
        <v>-3</v>
      </c>
      <c r="IAF5750" s="34">
        <v>-2.5</v>
      </c>
      <c r="IAG5750" s="34">
        <v>-2</v>
      </c>
      <c r="IAH5750" s="34">
        <v>-1.5</v>
      </c>
      <c r="IAI5750" s="34">
        <v>-1</v>
      </c>
      <c r="IAJ5750" s="34">
        <v>-0.5</v>
      </c>
      <c r="IAK5750" s="34">
        <v>0</v>
      </c>
      <c r="IAL5750" s="34">
        <v>0.5</v>
      </c>
      <c r="IAM5750" s="34">
        <v>1</v>
      </c>
      <c r="IAN5750" s="34">
        <v>1.5</v>
      </c>
      <c r="IAO5750" s="34">
        <v>2</v>
      </c>
      <c r="IAP5750" s="34">
        <v>2.5</v>
      </c>
      <c r="IAQ5750" s="34">
        <v>3</v>
      </c>
      <c r="IAR5750" s="34">
        <v>3.5</v>
      </c>
      <c r="IAS5750" s="34">
        <v>4</v>
      </c>
      <c r="IAT5750" s="34">
        <v>4.5</v>
      </c>
      <c r="IAU5750" s="34">
        <v>5</v>
      </c>
      <c r="IAW5750" s="913"/>
      <c r="IAX5750" s="31">
        <v>1</v>
      </c>
      <c r="IAY5750" s="34">
        <v>0</v>
      </c>
      <c r="IAZ5750" s="34">
        <v>-1</v>
      </c>
      <c r="IBA5750" s="34">
        <v>-2</v>
      </c>
      <c r="IBB5750" s="34">
        <v>-3</v>
      </c>
      <c r="IBC5750" s="34">
        <v>-4</v>
      </c>
      <c r="IBD5750" s="34">
        <v>-5</v>
      </c>
      <c r="IBE5750" s="908"/>
      <c r="IBF5750" s="909"/>
      <c r="IBG5750" s="34">
        <v>-5</v>
      </c>
      <c r="IBH5750" s="34">
        <v>-4.5</v>
      </c>
      <c r="IBI5750" s="34">
        <v>-4</v>
      </c>
      <c r="IBJ5750" s="34">
        <v>-3.5</v>
      </c>
      <c r="IBK5750" s="34">
        <v>-3</v>
      </c>
      <c r="IBL5750" s="34">
        <v>-2.5</v>
      </c>
      <c r="IBM5750" s="34">
        <v>-2</v>
      </c>
      <c r="IBN5750" s="34">
        <v>-1.5</v>
      </c>
      <c r="IBO5750" s="34">
        <v>-1</v>
      </c>
      <c r="IBP5750" s="34">
        <v>-0.5</v>
      </c>
      <c r="IBQ5750" s="34">
        <v>0</v>
      </c>
      <c r="IBR5750" s="34">
        <v>0.5</v>
      </c>
      <c r="IBS5750" s="34">
        <v>1</v>
      </c>
      <c r="IBT5750" s="34">
        <v>1.5</v>
      </c>
      <c r="IBU5750" s="34">
        <v>2</v>
      </c>
      <c r="IBV5750" s="34">
        <v>2.5</v>
      </c>
      <c r="IBW5750" s="34">
        <v>3</v>
      </c>
      <c r="IBX5750" s="34">
        <v>3.5</v>
      </c>
      <c r="IBY5750" s="34">
        <v>4</v>
      </c>
      <c r="IBZ5750" s="34">
        <v>4.5</v>
      </c>
      <c r="ICA5750" s="34">
        <v>5</v>
      </c>
      <c r="ICC5750" s="913"/>
      <c r="ICD5750" s="31">
        <v>1</v>
      </c>
      <c r="ICE5750" s="34">
        <v>0</v>
      </c>
      <c r="ICF5750" s="34">
        <v>-1</v>
      </c>
      <c r="ICG5750" s="34">
        <v>-2</v>
      </c>
      <c r="ICH5750" s="34">
        <v>-3</v>
      </c>
      <c r="ICI5750" s="34">
        <v>-4</v>
      </c>
      <c r="ICJ5750" s="34">
        <v>-5</v>
      </c>
      <c r="ICK5750" s="908"/>
      <c r="ICL5750" s="909"/>
      <c r="ICM5750" s="34">
        <v>-5</v>
      </c>
      <c r="ICN5750" s="34">
        <v>-4.5</v>
      </c>
      <c r="ICO5750" s="34">
        <v>-4</v>
      </c>
      <c r="ICP5750" s="34">
        <v>-3.5</v>
      </c>
      <c r="ICQ5750" s="34">
        <v>-3</v>
      </c>
      <c r="ICR5750" s="34">
        <v>-2.5</v>
      </c>
      <c r="ICS5750" s="34">
        <v>-2</v>
      </c>
      <c r="ICT5750" s="34">
        <v>-1.5</v>
      </c>
      <c r="ICU5750" s="34">
        <v>-1</v>
      </c>
      <c r="ICV5750" s="34">
        <v>-0.5</v>
      </c>
      <c r="ICW5750" s="34">
        <v>0</v>
      </c>
      <c r="ICX5750" s="34">
        <v>0.5</v>
      </c>
      <c r="ICY5750" s="34">
        <v>1</v>
      </c>
      <c r="ICZ5750" s="34">
        <v>1.5</v>
      </c>
      <c r="IDA5750" s="34">
        <v>2</v>
      </c>
      <c r="IDB5750" s="34">
        <v>2.5</v>
      </c>
      <c r="IDC5750" s="34">
        <v>3</v>
      </c>
      <c r="IDD5750" s="34">
        <v>3.5</v>
      </c>
      <c r="IDE5750" s="34">
        <v>4</v>
      </c>
      <c r="IDF5750" s="34">
        <v>4.5</v>
      </c>
      <c r="IDG5750" s="34">
        <v>5</v>
      </c>
      <c r="IDI5750" s="913"/>
      <c r="IDJ5750" s="31">
        <v>1</v>
      </c>
      <c r="IDK5750" s="34">
        <v>0</v>
      </c>
      <c r="IDL5750" s="34">
        <v>-1</v>
      </c>
      <c r="IDM5750" s="34">
        <v>-2</v>
      </c>
      <c r="IDN5750" s="34">
        <v>-3</v>
      </c>
      <c r="IDO5750" s="34">
        <v>-4</v>
      </c>
      <c r="IDP5750" s="34">
        <v>-5</v>
      </c>
      <c r="IDQ5750" s="908"/>
      <c r="IDR5750" s="909"/>
      <c r="IDS5750" s="34">
        <v>-5</v>
      </c>
      <c r="IDT5750" s="34">
        <v>-4.5</v>
      </c>
      <c r="IDU5750" s="34">
        <v>-4</v>
      </c>
      <c r="IDV5750" s="34">
        <v>-3.5</v>
      </c>
      <c r="IDW5750" s="34">
        <v>-3</v>
      </c>
      <c r="IDX5750" s="34">
        <v>-2.5</v>
      </c>
      <c r="IDY5750" s="34">
        <v>-2</v>
      </c>
      <c r="IDZ5750" s="34">
        <v>-1.5</v>
      </c>
      <c r="IEA5750" s="34">
        <v>-1</v>
      </c>
      <c r="IEB5750" s="34">
        <v>-0.5</v>
      </c>
      <c r="IEC5750" s="34">
        <v>0</v>
      </c>
      <c r="IED5750" s="34">
        <v>0.5</v>
      </c>
      <c r="IEE5750" s="34">
        <v>1</v>
      </c>
      <c r="IEF5750" s="34">
        <v>1.5</v>
      </c>
      <c r="IEG5750" s="34">
        <v>2</v>
      </c>
      <c r="IEH5750" s="34">
        <v>2.5</v>
      </c>
      <c r="IEI5750" s="34">
        <v>3</v>
      </c>
      <c r="IEJ5750" s="34">
        <v>3.5</v>
      </c>
      <c r="IEK5750" s="34">
        <v>4</v>
      </c>
      <c r="IEL5750" s="34">
        <v>4.5</v>
      </c>
      <c r="IEM5750" s="34">
        <v>5</v>
      </c>
      <c r="IEO5750" s="913"/>
      <c r="IEP5750" s="31">
        <v>1</v>
      </c>
      <c r="IEQ5750" s="34">
        <v>0</v>
      </c>
      <c r="IER5750" s="34">
        <v>-1</v>
      </c>
      <c r="IES5750" s="34">
        <v>-2</v>
      </c>
      <c r="IET5750" s="34">
        <v>-3</v>
      </c>
      <c r="IEU5750" s="34">
        <v>-4</v>
      </c>
      <c r="IEV5750" s="34">
        <v>-5</v>
      </c>
      <c r="IEW5750" s="908"/>
      <c r="IEX5750" s="909"/>
      <c r="IEY5750" s="34">
        <v>-5</v>
      </c>
      <c r="IEZ5750" s="34">
        <v>-4.5</v>
      </c>
      <c r="IFA5750" s="34">
        <v>-4</v>
      </c>
      <c r="IFB5750" s="34">
        <v>-3.5</v>
      </c>
      <c r="IFC5750" s="34">
        <v>-3</v>
      </c>
      <c r="IFD5750" s="34">
        <v>-2.5</v>
      </c>
      <c r="IFE5750" s="34">
        <v>-2</v>
      </c>
      <c r="IFF5750" s="34">
        <v>-1.5</v>
      </c>
      <c r="IFG5750" s="34">
        <v>-1</v>
      </c>
      <c r="IFH5750" s="34">
        <v>-0.5</v>
      </c>
      <c r="IFI5750" s="34">
        <v>0</v>
      </c>
      <c r="IFJ5750" s="34">
        <v>0.5</v>
      </c>
      <c r="IFK5750" s="34">
        <v>1</v>
      </c>
      <c r="IFL5750" s="34">
        <v>1.5</v>
      </c>
      <c r="IFM5750" s="34">
        <v>2</v>
      </c>
      <c r="IFN5750" s="34">
        <v>2.5</v>
      </c>
      <c r="IFO5750" s="34">
        <v>3</v>
      </c>
      <c r="IFP5750" s="34">
        <v>3.5</v>
      </c>
      <c r="IFQ5750" s="34">
        <v>4</v>
      </c>
      <c r="IFR5750" s="34">
        <v>4.5</v>
      </c>
      <c r="IFS5750" s="34">
        <v>5</v>
      </c>
      <c r="IFU5750" s="913"/>
      <c r="IFV5750" s="31">
        <v>1</v>
      </c>
      <c r="IFW5750" s="34">
        <v>0</v>
      </c>
      <c r="IFX5750" s="34">
        <v>-1</v>
      </c>
      <c r="IFY5750" s="34">
        <v>-2</v>
      </c>
      <c r="IFZ5750" s="34">
        <v>-3</v>
      </c>
      <c r="IGA5750" s="34">
        <v>-4</v>
      </c>
      <c r="IGB5750" s="34">
        <v>-5</v>
      </c>
      <c r="IGC5750" s="908"/>
      <c r="IGD5750" s="909"/>
      <c r="IGE5750" s="34">
        <v>-5</v>
      </c>
      <c r="IGF5750" s="34">
        <v>-4.5</v>
      </c>
      <c r="IGG5750" s="34">
        <v>-4</v>
      </c>
      <c r="IGH5750" s="34">
        <v>-3.5</v>
      </c>
      <c r="IGI5750" s="34">
        <v>-3</v>
      </c>
      <c r="IGJ5750" s="34">
        <v>-2.5</v>
      </c>
      <c r="IGK5750" s="34">
        <v>-2</v>
      </c>
      <c r="IGL5750" s="34">
        <v>-1.5</v>
      </c>
      <c r="IGM5750" s="34">
        <v>-1</v>
      </c>
      <c r="IGN5750" s="34">
        <v>-0.5</v>
      </c>
      <c r="IGO5750" s="34">
        <v>0</v>
      </c>
      <c r="IGP5750" s="34">
        <v>0.5</v>
      </c>
      <c r="IGQ5750" s="34">
        <v>1</v>
      </c>
      <c r="IGR5750" s="34">
        <v>1.5</v>
      </c>
      <c r="IGS5750" s="34">
        <v>2</v>
      </c>
      <c r="IGT5750" s="34">
        <v>2.5</v>
      </c>
      <c r="IGU5750" s="34">
        <v>3</v>
      </c>
      <c r="IGV5750" s="34">
        <v>3.5</v>
      </c>
      <c r="IGW5750" s="34">
        <v>4</v>
      </c>
      <c r="IGX5750" s="34">
        <v>4.5</v>
      </c>
      <c r="IGY5750" s="34">
        <v>5</v>
      </c>
      <c r="IHA5750" s="913"/>
      <c r="IHB5750" s="31">
        <v>1</v>
      </c>
      <c r="IHC5750" s="34">
        <v>0</v>
      </c>
      <c r="IHD5750" s="34">
        <v>-1</v>
      </c>
      <c r="IHE5750" s="34">
        <v>-2</v>
      </c>
      <c r="IHF5750" s="34">
        <v>-3</v>
      </c>
      <c r="IHG5750" s="34">
        <v>-4</v>
      </c>
      <c r="IHH5750" s="34">
        <v>-5</v>
      </c>
      <c r="IHI5750" s="908"/>
      <c r="IHJ5750" s="909"/>
      <c r="IHK5750" s="34">
        <v>-5</v>
      </c>
      <c r="IHL5750" s="34">
        <v>-4.5</v>
      </c>
      <c r="IHM5750" s="34">
        <v>-4</v>
      </c>
      <c r="IHN5750" s="34">
        <v>-3.5</v>
      </c>
      <c r="IHO5750" s="34">
        <v>-3</v>
      </c>
      <c r="IHP5750" s="34">
        <v>-2.5</v>
      </c>
      <c r="IHQ5750" s="34">
        <v>-2</v>
      </c>
      <c r="IHR5750" s="34">
        <v>-1.5</v>
      </c>
      <c r="IHS5750" s="34">
        <v>-1</v>
      </c>
      <c r="IHT5750" s="34">
        <v>-0.5</v>
      </c>
      <c r="IHU5750" s="34">
        <v>0</v>
      </c>
      <c r="IHV5750" s="34">
        <v>0.5</v>
      </c>
      <c r="IHW5750" s="34">
        <v>1</v>
      </c>
      <c r="IHX5750" s="34">
        <v>1.5</v>
      </c>
      <c r="IHY5750" s="34">
        <v>2</v>
      </c>
      <c r="IHZ5750" s="34">
        <v>2.5</v>
      </c>
      <c r="IIA5750" s="34">
        <v>3</v>
      </c>
      <c r="IIB5750" s="34">
        <v>3.5</v>
      </c>
      <c r="IIC5750" s="34">
        <v>4</v>
      </c>
      <c r="IID5750" s="34">
        <v>4.5</v>
      </c>
      <c r="IIE5750" s="34">
        <v>5</v>
      </c>
      <c r="IIG5750" s="913"/>
      <c r="IIH5750" s="31">
        <v>1</v>
      </c>
      <c r="III5750" s="34">
        <v>0</v>
      </c>
      <c r="IIJ5750" s="34">
        <v>-1</v>
      </c>
      <c r="IIK5750" s="34">
        <v>-2</v>
      </c>
      <c r="IIL5750" s="34">
        <v>-3</v>
      </c>
      <c r="IIM5750" s="34">
        <v>-4</v>
      </c>
      <c r="IIN5750" s="34">
        <v>-5</v>
      </c>
      <c r="IIO5750" s="908"/>
      <c r="IIP5750" s="909"/>
      <c r="IIQ5750" s="34">
        <v>-5</v>
      </c>
      <c r="IIR5750" s="34">
        <v>-4.5</v>
      </c>
      <c r="IIS5750" s="34">
        <v>-4</v>
      </c>
      <c r="IIT5750" s="34">
        <v>-3.5</v>
      </c>
      <c r="IIU5750" s="34">
        <v>-3</v>
      </c>
      <c r="IIV5750" s="34">
        <v>-2.5</v>
      </c>
      <c r="IIW5750" s="34">
        <v>-2</v>
      </c>
      <c r="IIX5750" s="34">
        <v>-1.5</v>
      </c>
      <c r="IIY5750" s="34">
        <v>-1</v>
      </c>
      <c r="IIZ5750" s="34">
        <v>-0.5</v>
      </c>
      <c r="IJA5750" s="34">
        <v>0</v>
      </c>
      <c r="IJB5750" s="34">
        <v>0.5</v>
      </c>
      <c r="IJC5750" s="34">
        <v>1</v>
      </c>
      <c r="IJD5750" s="34">
        <v>1.5</v>
      </c>
      <c r="IJE5750" s="34">
        <v>2</v>
      </c>
      <c r="IJF5750" s="34">
        <v>2.5</v>
      </c>
      <c r="IJG5750" s="34">
        <v>3</v>
      </c>
      <c r="IJH5750" s="34">
        <v>3.5</v>
      </c>
      <c r="IJI5750" s="34">
        <v>4</v>
      </c>
      <c r="IJJ5750" s="34">
        <v>4.5</v>
      </c>
      <c r="IJK5750" s="34">
        <v>5</v>
      </c>
      <c r="IJM5750" s="913"/>
      <c r="IJN5750" s="31">
        <v>1</v>
      </c>
      <c r="IJO5750" s="34">
        <v>0</v>
      </c>
      <c r="IJP5750" s="34">
        <v>-1</v>
      </c>
      <c r="IJQ5750" s="34">
        <v>-2</v>
      </c>
      <c r="IJR5750" s="34">
        <v>-3</v>
      </c>
      <c r="IJS5750" s="34">
        <v>-4</v>
      </c>
      <c r="IJT5750" s="34">
        <v>-5</v>
      </c>
      <c r="IJU5750" s="908"/>
      <c r="IJV5750" s="909"/>
      <c r="IJW5750" s="34">
        <v>-5</v>
      </c>
      <c r="IJX5750" s="34">
        <v>-4.5</v>
      </c>
      <c r="IJY5750" s="34">
        <v>-4</v>
      </c>
      <c r="IJZ5750" s="34">
        <v>-3.5</v>
      </c>
      <c r="IKA5750" s="34">
        <v>-3</v>
      </c>
      <c r="IKB5750" s="34">
        <v>-2.5</v>
      </c>
      <c r="IKC5750" s="34">
        <v>-2</v>
      </c>
      <c r="IKD5750" s="34">
        <v>-1.5</v>
      </c>
      <c r="IKE5750" s="34">
        <v>-1</v>
      </c>
      <c r="IKF5750" s="34">
        <v>-0.5</v>
      </c>
      <c r="IKG5750" s="34">
        <v>0</v>
      </c>
      <c r="IKH5750" s="34">
        <v>0.5</v>
      </c>
      <c r="IKI5750" s="34">
        <v>1</v>
      </c>
      <c r="IKJ5750" s="34">
        <v>1.5</v>
      </c>
      <c r="IKK5750" s="34">
        <v>2</v>
      </c>
      <c r="IKL5750" s="34">
        <v>2.5</v>
      </c>
      <c r="IKM5750" s="34">
        <v>3</v>
      </c>
      <c r="IKN5750" s="34">
        <v>3.5</v>
      </c>
      <c r="IKO5750" s="34">
        <v>4</v>
      </c>
      <c r="IKP5750" s="34">
        <v>4.5</v>
      </c>
      <c r="IKQ5750" s="34">
        <v>5</v>
      </c>
      <c r="IKS5750" s="913"/>
      <c r="IKT5750" s="31">
        <v>1</v>
      </c>
      <c r="IKU5750" s="34">
        <v>0</v>
      </c>
      <c r="IKV5750" s="34">
        <v>-1</v>
      </c>
      <c r="IKW5750" s="34">
        <v>-2</v>
      </c>
      <c r="IKX5750" s="34">
        <v>-3</v>
      </c>
      <c r="IKY5750" s="34">
        <v>-4</v>
      </c>
      <c r="IKZ5750" s="34">
        <v>-5</v>
      </c>
      <c r="ILA5750" s="908"/>
      <c r="ILB5750" s="909"/>
      <c r="ILC5750" s="34">
        <v>-5</v>
      </c>
      <c r="ILD5750" s="34">
        <v>-4.5</v>
      </c>
      <c r="ILE5750" s="34">
        <v>-4</v>
      </c>
      <c r="ILF5750" s="34">
        <v>-3.5</v>
      </c>
      <c r="ILG5750" s="34">
        <v>-3</v>
      </c>
      <c r="ILH5750" s="34">
        <v>-2.5</v>
      </c>
      <c r="ILI5750" s="34">
        <v>-2</v>
      </c>
      <c r="ILJ5750" s="34">
        <v>-1.5</v>
      </c>
      <c r="ILK5750" s="34">
        <v>-1</v>
      </c>
      <c r="ILL5750" s="34">
        <v>-0.5</v>
      </c>
      <c r="ILM5750" s="34">
        <v>0</v>
      </c>
      <c r="ILN5750" s="34">
        <v>0.5</v>
      </c>
      <c r="ILO5750" s="34">
        <v>1</v>
      </c>
      <c r="ILP5750" s="34">
        <v>1.5</v>
      </c>
      <c r="ILQ5750" s="34">
        <v>2</v>
      </c>
      <c r="ILR5750" s="34">
        <v>2.5</v>
      </c>
      <c r="ILS5750" s="34">
        <v>3</v>
      </c>
      <c r="ILT5750" s="34">
        <v>3.5</v>
      </c>
      <c r="ILU5750" s="34">
        <v>4</v>
      </c>
      <c r="ILV5750" s="34">
        <v>4.5</v>
      </c>
      <c r="ILW5750" s="34">
        <v>5</v>
      </c>
      <c r="ILY5750" s="913"/>
      <c r="ILZ5750" s="31">
        <v>1</v>
      </c>
      <c r="IMA5750" s="34">
        <v>0</v>
      </c>
      <c r="IMB5750" s="34">
        <v>-1</v>
      </c>
      <c r="IMC5750" s="34">
        <v>-2</v>
      </c>
      <c r="IMD5750" s="34">
        <v>-3</v>
      </c>
      <c r="IME5750" s="34">
        <v>-4</v>
      </c>
      <c r="IMF5750" s="34">
        <v>-5</v>
      </c>
      <c r="IMG5750" s="908"/>
      <c r="IMH5750" s="909"/>
      <c r="IMI5750" s="34">
        <v>-5</v>
      </c>
      <c r="IMJ5750" s="34">
        <v>-4.5</v>
      </c>
      <c r="IMK5750" s="34">
        <v>-4</v>
      </c>
      <c r="IML5750" s="34">
        <v>-3.5</v>
      </c>
      <c r="IMM5750" s="34">
        <v>-3</v>
      </c>
      <c r="IMN5750" s="34">
        <v>-2.5</v>
      </c>
      <c r="IMO5750" s="34">
        <v>-2</v>
      </c>
      <c r="IMP5750" s="34">
        <v>-1.5</v>
      </c>
      <c r="IMQ5750" s="34">
        <v>-1</v>
      </c>
      <c r="IMR5750" s="34">
        <v>-0.5</v>
      </c>
      <c r="IMS5750" s="34">
        <v>0</v>
      </c>
      <c r="IMT5750" s="34">
        <v>0.5</v>
      </c>
      <c r="IMU5750" s="34">
        <v>1</v>
      </c>
      <c r="IMV5750" s="34">
        <v>1.5</v>
      </c>
      <c r="IMW5750" s="34">
        <v>2</v>
      </c>
      <c r="IMX5750" s="34">
        <v>2.5</v>
      </c>
      <c r="IMY5750" s="34">
        <v>3</v>
      </c>
      <c r="IMZ5750" s="34">
        <v>3.5</v>
      </c>
      <c r="INA5750" s="34">
        <v>4</v>
      </c>
      <c r="INB5750" s="34">
        <v>4.5</v>
      </c>
      <c r="INC5750" s="34">
        <v>5</v>
      </c>
      <c r="INE5750" s="913"/>
      <c r="INF5750" s="31">
        <v>1</v>
      </c>
      <c r="ING5750" s="34">
        <v>0</v>
      </c>
      <c r="INH5750" s="34">
        <v>-1</v>
      </c>
      <c r="INI5750" s="34">
        <v>-2</v>
      </c>
      <c r="INJ5750" s="34">
        <v>-3</v>
      </c>
      <c r="INK5750" s="34">
        <v>-4</v>
      </c>
      <c r="INL5750" s="34">
        <v>-5</v>
      </c>
      <c r="INM5750" s="908"/>
      <c r="INN5750" s="909"/>
      <c r="INO5750" s="34">
        <v>-5</v>
      </c>
      <c r="INP5750" s="34">
        <v>-4.5</v>
      </c>
      <c r="INQ5750" s="34">
        <v>-4</v>
      </c>
      <c r="INR5750" s="34">
        <v>-3.5</v>
      </c>
      <c r="INS5750" s="34">
        <v>-3</v>
      </c>
      <c r="INT5750" s="34">
        <v>-2.5</v>
      </c>
      <c r="INU5750" s="34">
        <v>-2</v>
      </c>
      <c r="INV5750" s="34">
        <v>-1.5</v>
      </c>
      <c r="INW5750" s="34">
        <v>-1</v>
      </c>
      <c r="INX5750" s="34">
        <v>-0.5</v>
      </c>
      <c r="INY5750" s="34">
        <v>0</v>
      </c>
      <c r="INZ5750" s="34">
        <v>0.5</v>
      </c>
      <c r="IOA5750" s="34">
        <v>1</v>
      </c>
      <c r="IOB5750" s="34">
        <v>1.5</v>
      </c>
      <c r="IOC5750" s="34">
        <v>2</v>
      </c>
      <c r="IOD5750" s="34">
        <v>2.5</v>
      </c>
      <c r="IOE5750" s="34">
        <v>3</v>
      </c>
      <c r="IOF5750" s="34">
        <v>3.5</v>
      </c>
      <c r="IOG5750" s="34">
        <v>4</v>
      </c>
      <c r="IOH5750" s="34">
        <v>4.5</v>
      </c>
      <c r="IOI5750" s="34">
        <v>5</v>
      </c>
      <c r="IOK5750" s="913"/>
      <c r="IOL5750" s="31">
        <v>1</v>
      </c>
      <c r="IOM5750" s="34">
        <v>0</v>
      </c>
      <c r="ION5750" s="34">
        <v>-1</v>
      </c>
      <c r="IOO5750" s="34">
        <v>-2</v>
      </c>
      <c r="IOP5750" s="34">
        <v>-3</v>
      </c>
      <c r="IOQ5750" s="34">
        <v>-4</v>
      </c>
      <c r="IOR5750" s="34">
        <v>-5</v>
      </c>
      <c r="IOS5750" s="908"/>
      <c r="IOT5750" s="909"/>
      <c r="IOU5750" s="34">
        <v>-5</v>
      </c>
      <c r="IOV5750" s="34">
        <v>-4.5</v>
      </c>
      <c r="IOW5750" s="34">
        <v>-4</v>
      </c>
      <c r="IOX5750" s="34">
        <v>-3.5</v>
      </c>
      <c r="IOY5750" s="34">
        <v>-3</v>
      </c>
      <c r="IOZ5750" s="34">
        <v>-2.5</v>
      </c>
      <c r="IPA5750" s="34">
        <v>-2</v>
      </c>
      <c r="IPB5750" s="34">
        <v>-1.5</v>
      </c>
      <c r="IPC5750" s="34">
        <v>-1</v>
      </c>
      <c r="IPD5750" s="34">
        <v>-0.5</v>
      </c>
      <c r="IPE5750" s="34">
        <v>0</v>
      </c>
      <c r="IPF5750" s="34">
        <v>0.5</v>
      </c>
      <c r="IPG5750" s="34">
        <v>1</v>
      </c>
      <c r="IPH5750" s="34">
        <v>1.5</v>
      </c>
      <c r="IPI5750" s="34">
        <v>2</v>
      </c>
      <c r="IPJ5750" s="34">
        <v>2.5</v>
      </c>
      <c r="IPK5750" s="34">
        <v>3</v>
      </c>
      <c r="IPL5750" s="34">
        <v>3.5</v>
      </c>
      <c r="IPM5750" s="34">
        <v>4</v>
      </c>
      <c r="IPN5750" s="34">
        <v>4.5</v>
      </c>
      <c r="IPO5750" s="34">
        <v>5</v>
      </c>
      <c r="IPQ5750" s="913"/>
      <c r="IPR5750" s="31">
        <v>1</v>
      </c>
      <c r="IPS5750" s="34">
        <v>0</v>
      </c>
      <c r="IPT5750" s="34">
        <v>-1</v>
      </c>
      <c r="IPU5750" s="34">
        <v>-2</v>
      </c>
      <c r="IPV5750" s="34">
        <v>-3</v>
      </c>
      <c r="IPW5750" s="34">
        <v>-4</v>
      </c>
      <c r="IPX5750" s="34">
        <v>-5</v>
      </c>
      <c r="IPY5750" s="908"/>
      <c r="IPZ5750" s="909"/>
      <c r="IQA5750" s="34">
        <v>-5</v>
      </c>
      <c r="IQB5750" s="34">
        <v>-4.5</v>
      </c>
      <c r="IQC5750" s="34">
        <v>-4</v>
      </c>
      <c r="IQD5750" s="34">
        <v>-3.5</v>
      </c>
      <c r="IQE5750" s="34">
        <v>-3</v>
      </c>
      <c r="IQF5750" s="34">
        <v>-2.5</v>
      </c>
      <c r="IQG5750" s="34">
        <v>-2</v>
      </c>
      <c r="IQH5750" s="34">
        <v>-1.5</v>
      </c>
      <c r="IQI5750" s="34">
        <v>-1</v>
      </c>
      <c r="IQJ5750" s="34">
        <v>-0.5</v>
      </c>
      <c r="IQK5750" s="34">
        <v>0</v>
      </c>
      <c r="IQL5750" s="34">
        <v>0.5</v>
      </c>
      <c r="IQM5750" s="34">
        <v>1</v>
      </c>
      <c r="IQN5750" s="34">
        <v>1.5</v>
      </c>
      <c r="IQO5750" s="34">
        <v>2</v>
      </c>
      <c r="IQP5750" s="34">
        <v>2.5</v>
      </c>
      <c r="IQQ5750" s="34">
        <v>3</v>
      </c>
      <c r="IQR5750" s="34">
        <v>3.5</v>
      </c>
      <c r="IQS5750" s="34">
        <v>4</v>
      </c>
      <c r="IQT5750" s="34">
        <v>4.5</v>
      </c>
      <c r="IQU5750" s="34">
        <v>5</v>
      </c>
      <c r="IQW5750" s="913"/>
      <c r="IQX5750" s="31">
        <v>1</v>
      </c>
      <c r="IQY5750" s="34">
        <v>0</v>
      </c>
      <c r="IQZ5750" s="34">
        <v>-1</v>
      </c>
      <c r="IRA5750" s="34">
        <v>-2</v>
      </c>
      <c r="IRB5750" s="34">
        <v>-3</v>
      </c>
      <c r="IRC5750" s="34">
        <v>-4</v>
      </c>
      <c r="IRD5750" s="34">
        <v>-5</v>
      </c>
      <c r="IRE5750" s="908"/>
      <c r="IRF5750" s="909"/>
      <c r="IRG5750" s="34">
        <v>-5</v>
      </c>
      <c r="IRH5750" s="34">
        <v>-4.5</v>
      </c>
      <c r="IRI5750" s="34">
        <v>-4</v>
      </c>
      <c r="IRJ5750" s="34">
        <v>-3.5</v>
      </c>
      <c r="IRK5750" s="34">
        <v>-3</v>
      </c>
      <c r="IRL5750" s="34">
        <v>-2.5</v>
      </c>
      <c r="IRM5750" s="34">
        <v>-2</v>
      </c>
      <c r="IRN5750" s="34">
        <v>-1.5</v>
      </c>
      <c r="IRO5750" s="34">
        <v>-1</v>
      </c>
      <c r="IRP5750" s="34">
        <v>-0.5</v>
      </c>
      <c r="IRQ5750" s="34">
        <v>0</v>
      </c>
      <c r="IRR5750" s="34">
        <v>0.5</v>
      </c>
      <c r="IRS5750" s="34">
        <v>1</v>
      </c>
      <c r="IRT5750" s="34">
        <v>1.5</v>
      </c>
      <c r="IRU5750" s="34">
        <v>2</v>
      </c>
      <c r="IRV5750" s="34">
        <v>2.5</v>
      </c>
      <c r="IRW5750" s="34">
        <v>3</v>
      </c>
      <c r="IRX5750" s="34">
        <v>3.5</v>
      </c>
      <c r="IRY5750" s="34">
        <v>4</v>
      </c>
      <c r="IRZ5750" s="34">
        <v>4.5</v>
      </c>
      <c r="ISA5750" s="34">
        <v>5</v>
      </c>
      <c r="ISC5750" s="913"/>
      <c r="ISD5750" s="31">
        <v>1</v>
      </c>
      <c r="ISE5750" s="34">
        <v>0</v>
      </c>
      <c r="ISF5750" s="34">
        <v>-1</v>
      </c>
      <c r="ISG5750" s="34">
        <v>-2</v>
      </c>
      <c r="ISH5750" s="34">
        <v>-3</v>
      </c>
      <c r="ISI5750" s="34">
        <v>-4</v>
      </c>
      <c r="ISJ5750" s="34">
        <v>-5</v>
      </c>
      <c r="ISK5750" s="908"/>
      <c r="ISL5750" s="909"/>
      <c r="ISM5750" s="34">
        <v>-5</v>
      </c>
      <c r="ISN5750" s="34">
        <v>-4.5</v>
      </c>
      <c r="ISO5750" s="34">
        <v>-4</v>
      </c>
      <c r="ISP5750" s="34">
        <v>-3.5</v>
      </c>
      <c r="ISQ5750" s="34">
        <v>-3</v>
      </c>
      <c r="ISR5750" s="34">
        <v>-2.5</v>
      </c>
      <c r="ISS5750" s="34">
        <v>-2</v>
      </c>
      <c r="IST5750" s="34">
        <v>-1.5</v>
      </c>
      <c r="ISU5750" s="34">
        <v>-1</v>
      </c>
      <c r="ISV5750" s="34">
        <v>-0.5</v>
      </c>
      <c r="ISW5750" s="34">
        <v>0</v>
      </c>
      <c r="ISX5750" s="34">
        <v>0.5</v>
      </c>
      <c r="ISY5750" s="34">
        <v>1</v>
      </c>
      <c r="ISZ5750" s="34">
        <v>1.5</v>
      </c>
      <c r="ITA5750" s="34">
        <v>2</v>
      </c>
      <c r="ITB5750" s="34">
        <v>2.5</v>
      </c>
      <c r="ITC5750" s="34">
        <v>3</v>
      </c>
      <c r="ITD5750" s="34">
        <v>3.5</v>
      </c>
      <c r="ITE5750" s="34">
        <v>4</v>
      </c>
      <c r="ITF5750" s="34">
        <v>4.5</v>
      </c>
      <c r="ITG5750" s="34">
        <v>5</v>
      </c>
      <c r="ITI5750" s="913"/>
      <c r="ITJ5750" s="31">
        <v>1</v>
      </c>
      <c r="ITK5750" s="34">
        <v>0</v>
      </c>
      <c r="ITL5750" s="34">
        <v>-1</v>
      </c>
      <c r="ITM5750" s="34">
        <v>-2</v>
      </c>
      <c r="ITN5750" s="34">
        <v>-3</v>
      </c>
      <c r="ITO5750" s="34">
        <v>-4</v>
      </c>
      <c r="ITP5750" s="34">
        <v>-5</v>
      </c>
      <c r="ITQ5750" s="908"/>
      <c r="ITR5750" s="909"/>
      <c r="ITS5750" s="34">
        <v>-5</v>
      </c>
      <c r="ITT5750" s="34">
        <v>-4.5</v>
      </c>
      <c r="ITU5750" s="34">
        <v>-4</v>
      </c>
      <c r="ITV5750" s="34">
        <v>-3.5</v>
      </c>
      <c r="ITW5750" s="34">
        <v>-3</v>
      </c>
      <c r="ITX5750" s="34">
        <v>-2.5</v>
      </c>
      <c r="ITY5750" s="34">
        <v>-2</v>
      </c>
      <c r="ITZ5750" s="34">
        <v>-1.5</v>
      </c>
      <c r="IUA5750" s="34">
        <v>-1</v>
      </c>
      <c r="IUB5750" s="34">
        <v>-0.5</v>
      </c>
      <c r="IUC5750" s="34">
        <v>0</v>
      </c>
      <c r="IUD5750" s="34">
        <v>0.5</v>
      </c>
      <c r="IUE5750" s="34">
        <v>1</v>
      </c>
      <c r="IUF5750" s="34">
        <v>1.5</v>
      </c>
      <c r="IUG5750" s="34">
        <v>2</v>
      </c>
      <c r="IUH5750" s="34">
        <v>2.5</v>
      </c>
      <c r="IUI5750" s="34">
        <v>3</v>
      </c>
      <c r="IUJ5750" s="34">
        <v>3.5</v>
      </c>
      <c r="IUK5750" s="34">
        <v>4</v>
      </c>
      <c r="IUL5750" s="34">
        <v>4.5</v>
      </c>
      <c r="IUM5750" s="34">
        <v>5</v>
      </c>
      <c r="IUO5750" s="913"/>
      <c r="IUP5750" s="31">
        <v>1</v>
      </c>
      <c r="IUQ5750" s="34">
        <v>0</v>
      </c>
      <c r="IUR5750" s="34">
        <v>-1</v>
      </c>
      <c r="IUS5750" s="34">
        <v>-2</v>
      </c>
      <c r="IUT5750" s="34">
        <v>-3</v>
      </c>
      <c r="IUU5750" s="34">
        <v>-4</v>
      </c>
      <c r="IUV5750" s="34">
        <v>-5</v>
      </c>
      <c r="IUW5750" s="908"/>
      <c r="IUX5750" s="909"/>
      <c r="IUY5750" s="34">
        <v>-5</v>
      </c>
      <c r="IUZ5750" s="34">
        <v>-4.5</v>
      </c>
      <c r="IVA5750" s="34">
        <v>-4</v>
      </c>
      <c r="IVB5750" s="34">
        <v>-3.5</v>
      </c>
      <c r="IVC5750" s="34">
        <v>-3</v>
      </c>
      <c r="IVD5750" s="34">
        <v>-2.5</v>
      </c>
      <c r="IVE5750" s="34">
        <v>-2</v>
      </c>
      <c r="IVF5750" s="34">
        <v>-1.5</v>
      </c>
      <c r="IVG5750" s="34">
        <v>-1</v>
      </c>
      <c r="IVH5750" s="34">
        <v>-0.5</v>
      </c>
      <c r="IVI5750" s="34">
        <v>0</v>
      </c>
      <c r="IVJ5750" s="34">
        <v>0.5</v>
      </c>
      <c r="IVK5750" s="34">
        <v>1</v>
      </c>
      <c r="IVL5750" s="34">
        <v>1.5</v>
      </c>
      <c r="IVM5750" s="34">
        <v>2</v>
      </c>
      <c r="IVN5750" s="34">
        <v>2.5</v>
      </c>
      <c r="IVO5750" s="34">
        <v>3</v>
      </c>
      <c r="IVP5750" s="34">
        <v>3.5</v>
      </c>
      <c r="IVQ5750" s="34">
        <v>4</v>
      </c>
      <c r="IVR5750" s="34">
        <v>4.5</v>
      </c>
      <c r="IVS5750" s="34">
        <v>5</v>
      </c>
      <c r="IVU5750" s="913"/>
      <c r="IVV5750" s="31">
        <v>1</v>
      </c>
      <c r="IVW5750" s="34">
        <v>0</v>
      </c>
      <c r="IVX5750" s="34">
        <v>-1</v>
      </c>
      <c r="IVY5750" s="34">
        <v>-2</v>
      </c>
      <c r="IVZ5750" s="34">
        <v>-3</v>
      </c>
      <c r="IWA5750" s="34">
        <v>-4</v>
      </c>
      <c r="IWB5750" s="34">
        <v>-5</v>
      </c>
      <c r="IWC5750" s="908"/>
      <c r="IWD5750" s="909"/>
      <c r="IWE5750" s="34">
        <v>-5</v>
      </c>
      <c r="IWF5750" s="34">
        <v>-4.5</v>
      </c>
      <c r="IWG5750" s="34">
        <v>-4</v>
      </c>
      <c r="IWH5750" s="34">
        <v>-3.5</v>
      </c>
      <c r="IWI5750" s="34">
        <v>-3</v>
      </c>
      <c r="IWJ5750" s="34">
        <v>-2.5</v>
      </c>
      <c r="IWK5750" s="34">
        <v>-2</v>
      </c>
      <c r="IWL5750" s="34">
        <v>-1.5</v>
      </c>
      <c r="IWM5750" s="34">
        <v>-1</v>
      </c>
      <c r="IWN5750" s="34">
        <v>-0.5</v>
      </c>
      <c r="IWO5750" s="34">
        <v>0</v>
      </c>
      <c r="IWP5750" s="34">
        <v>0.5</v>
      </c>
      <c r="IWQ5750" s="34">
        <v>1</v>
      </c>
      <c r="IWR5750" s="34">
        <v>1.5</v>
      </c>
      <c r="IWS5750" s="34">
        <v>2</v>
      </c>
      <c r="IWT5750" s="34">
        <v>2.5</v>
      </c>
      <c r="IWU5750" s="34">
        <v>3</v>
      </c>
      <c r="IWV5750" s="34">
        <v>3.5</v>
      </c>
      <c r="IWW5750" s="34">
        <v>4</v>
      </c>
      <c r="IWX5750" s="34">
        <v>4.5</v>
      </c>
      <c r="IWY5750" s="34">
        <v>5</v>
      </c>
      <c r="IXA5750" s="913"/>
      <c r="IXB5750" s="31">
        <v>1</v>
      </c>
      <c r="IXC5750" s="34">
        <v>0</v>
      </c>
      <c r="IXD5750" s="34">
        <v>-1</v>
      </c>
      <c r="IXE5750" s="34">
        <v>-2</v>
      </c>
      <c r="IXF5750" s="34">
        <v>-3</v>
      </c>
      <c r="IXG5750" s="34">
        <v>-4</v>
      </c>
      <c r="IXH5750" s="34">
        <v>-5</v>
      </c>
      <c r="IXI5750" s="908"/>
      <c r="IXJ5750" s="909"/>
      <c r="IXK5750" s="34">
        <v>-5</v>
      </c>
      <c r="IXL5750" s="34">
        <v>-4.5</v>
      </c>
      <c r="IXM5750" s="34">
        <v>-4</v>
      </c>
      <c r="IXN5750" s="34">
        <v>-3.5</v>
      </c>
      <c r="IXO5750" s="34">
        <v>-3</v>
      </c>
      <c r="IXP5750" s="34">
        <v>-2.5</v>
      </c>
      <c r="IXQ5750" s="34">
        <v>-2</v>
      </c>
      <c r="IXR5750" s="34">
        <v>-1.5</v>
      </c>
      <c r="IXS5750" s="34">
        <v>-1</v>
      </c>
      <c r="IXT5750" s="34">
        <v>-0.5</v>
      </c>
      <c r="IXU5750" s="34">
        <v>0</v>
      </c>
      <c r="IXV5750" s="34">
        <v>0.5</v>
      </c>
      <c r="IXW5750" s="34">
        <v>1</v>
      </c>
      <c r="IXX5750" s="34">
        <v>1.5</v>
      </c>
      <c r="IXY5750" s="34">
        <v>2</v>
      </c>
      <c r="IXZ5750" s="34">
        <v>2.5</v>
      </c>
      <c r="IYA5750" s="34">
        <v>3</v>
      </c>
      <c r="IYB5750" s="34">
        <v>3.5</v>
      </c>
      <c r="IYC5750" s="34">
        <v>4</v>
      </c>
      <c r="IYD5750" s="34">
        <v>4.5</v>
      </c>
      <c r="IYE5750" s="34">
        <v>5</v>
      </c>
      <c r="IYG5750" s="913"/>
      <c r="IYH5750" s="31">
        <v>1</v>
      </c>
      <c r="IYI5750" s="34">
        <v>0</v>
      </c>
      <c r="IYJ5750" s="34">
        <v>-1</v>
      </c>
      <c r="IYK5750" s="34">
        <v>-2</v>
      </c>
      <c r="IYL5750" s="34">
        <v>-3</v>
      </c>
      <c r="IYM5750" s="34">
        <v>-4</v>
      </c>
      <c r="IYN5750" s="34">
        <v>-5</v>
      </c>
      <c r="IYO5750" s="908"/>
      <c r="IYP5750" s="909"/>
      <c r="IYQ5750" s="34">
        <v>-5</v>
      </c>
      <c r="IYR5750" s="34">
        <v>-4.5</v>
      </c>
      <c r="IYS5750" s="34">
        <v>-4</v>
      </c>
      <c r="IYT5750" s="34">
        <v>-3.5</v>
      </c>
      <c r="IYU5750" s="34">
        <v>-3</v>
      </c>
      <c r="IYV5750" s="34">
        <v>-2.5</v>
      </c>
      <c r="IYW5750" s="34">
        <v>-2</v>
      </c>
      <c r="IYX5750" s="34">
        <v>-1.5</v>
      </c>
      <c r="IYY5750" s="34">
        <v>-1</v>
      </c>
      <c r="IYZ5750" s="34">
        <v>-0.5</v>
      </c>
      <c r="IZA5750" s="34">
        <v>0</v>
      </c>
      <c r="IZB5750" s="34">
        <v>0.5</v>
      </c>
      <c r="IZC5750" s="34">
        <v>1</v>
      </c>
      <c r="IZD5750" s="34">
        <v>1.5</v>
      </c>
      <c r="IZE5750" s="34">
        <v>2</v>
      </c>
      <c r="IZF5750" s="34">
        <v>2.5</v>
      </c>
      <c r="IZG5750" s="34">
        <v>3</v>
      </c>
      <c r="IZH5750" s="34">
        <v>3.5</v>
      </c>
      <c r="IZI5750" s="34">
        <v>4</v>
      </c>
      <c r="IZJ5750" s="34">
        <v>4.5</v>
      </c>
      <c r="IZK5750" s="34">
        <v>5</v>
      </c>
      <c r="IZM5750" s="913"/>
      <c r="IZN5750" s="31">
        <v>1</v>
      </c>
      <c r="IZO5750" s="34">
        <v>0</v>
      </c>
      <c r="IZP5750" s="34">
        <v>-1</v>
      </c>
      <c r="IZQ5750" s="34">
        <v>-2</v>
      </c>
      <c r="IZR5750" s="34">
        <v>-3</v>
      </c>
      <c r="IZS5750" s="34">
        <v>-4</v>
      </c>
      <c r="IZT5750" s="34">
        <v>-5</v>
      </c>
      <c r="IZU5750" s="908"/>
      <c r="IZV5750" s="909"/>
      <c r="IZW5750" s="34">
        <v>-5</v>
      </c>
      <c r="IZX5750" s="34">
        <v>-4.5</v>
      </c>
      <c r="IZY5750" s="34">
        <v>-4</v>
      </c>
      <c r="IZZ5750" s="34">
        <v>-3.5</v>
      </c>
      <c r="JAA5750" s="34">
        <v>-3</v>
      </c>
      <c r="JAB5750" s="34">
        <v>-2.5</v>
      </c>
      <c r="JAC5750" s="34">
        <v>-2</v>
      </c>
      <c r="JAD5750" s="34">
        <v>-1.5</v>
      </c>
      <c r="JAE5750" s="34">
        <v>-1</v>
      </c>
      <c r="JAF5750" s="34">
        <v>-0.5</v>
      </c>
      <c r="JAG5750" s="34">
        <v>0</v>
      </c>
      <c r="JAH5750" s="34">
        <v>0.5</v>
      </c>
      <c r="JAI5750" s="34">
        <v>1</v>
      </c>
      <c r="JAJ5750" s="34">
        <v>1.5</v>
      </c>
      <c r="JAK5750" s="34">
        <v>2</v>
      </c>
      <c r="JAL5750" s="34">
        <v>2.5</v>
      </c>
      <c r="JAM5750" s="34">
        <v>3</v>
      </c>
      <c r="JAN5750" s="34">
        <v>3.5</v>
      </c>
      <c r="JAO5750" s="34">
        <v>4</v>
      </c>
      <c r="JAP5750" s="34">
        <v>4.5</v>
      </c>
      <c r="JAQ5750" s="34">
        <v>5</v>
      </c>
      <c r="JAS5750" s="913"/>
      <c r="JAT5750" s="31">
        <v>1</v>
      </c>
      <c r="JAU5750" s="34">
        <v>0</v>
      </c>
      <c r="JAV5750" s="34">
        <v>-1</v>
      </c>
      <c r="JAW5750" s="34">
        <v>-2</v>
      </c>
      <c r="JAX5750" s="34">
        <v>-3</v>
      </c>
      <c r="JAY5750" s="34">
        <v>-4</v>
      </c>
      <c r="JAZ5750" s="34">
        <v>-5</v>
      </c>
      <c r="JBA5750" s="908"/>
      <c r="JBB5750" s="909"/>
      <c r="JBC5750" s="34">
        <v>-5</v>
      </c>
      <c r="JBD5750" s="34">
        <v>-4.5</v>
      </c>
      <c r="JBE5750" s="34">
        <v>-4</v>
      </c>
      <c r="JBF5750" s="34">
        <v>-3.5</v>
      </c>
      <c r="JBG5750" s="34">
        <v>-3</v>
      </c>
      <c r="JBH5750" s="34">
        <v>-2.5</v>
      </c>
      <c r="JBI5750" s="34">
        <v>-2</v>
      </c>
      <c r="JBJ5750" s="34">
        <v>-1.5</v>
      </c>
      <c r="JBK5750" s="34">
        <v>-1</v>
      </c>
      <c r="JBL5750" s="34">
        <v>-0.5</v>
      </c>
      <c r="JBM5750" s="34">
        <v>0</v>
      </c>
      <c r="JBN5750" s="34">
        <v>0.5</v>
      </c>
      <c r="JBO5750" s="34">
        <v>1</v>
      </c>
      <c r="JBP5750" s="34">
        <v>1.5</v>
      </c>
      <c r="JBQ5750" s="34">
        <v>2</v>
      </c>
      <c r="JBR5750" s="34">
        <v>2.5</v>
      </c>
      <c r="JBS5750" s="34">
        <v>3</v>
      </c>
      <c r="JBT5750" s="34">
        <v>3.5</v>
      </c>
      <c r="JBU5750" s="34">
        <v>4</v>
      </c>
      <c r="JBV5750" s="34">
        <v>4.5</v>
      </c>
      <c r="JBW5750" s="34">
        <v>5</v>
      </c>
      <c r="JBY5750" s="913"/>
      <c r="JBZ5750" s="31">
        <v>1</v>
      </c>
      <c r="JCA5750" s="34">
        <v>0</v>
      </c>
      <c r="JCB5750" s="34">
        <v>-1</v>
      </c>
      <c r="JCC5750" s="34">
        <v>-2</v>
      </c>
      <c r="JCD5750" s="34">
        <v>-3</v>
      </c>
      <c r="JCE5750" s="34">
        <v>-4</v>
      </c>
      <c r="JCF5750" s="34">
        <v>-5</v>
      </c>
      <c r="JCG5750" s="908"/>
      <c r="JCH5750" s="909"/>
      <c r="JCI5750" s="34">
        <v>-5</v>
      </c>
      <c r="JCJ5750" s="34">
        <v>-4.5</v>
      </c>
      <c r="JCK5750" s="34">
        <v>-4</v>
      </c>
      <c r="JCL5750" s="34">
        <v>-3.5</v>
      </c>
      <c r="JCM5750" s="34">
        <v>-3</v>
      </c>
      <c r="JCN5750" s="34">
        <v>-2.5</v>
      </c>
      <c r="JCO5750" s="34">
        <v>-2</v>
      </c>
      <c r="JCP5750" s="34">
        <v>-1.5</v>
      </c>
      <c r="JCQ5750" s="34">
        <v>-1</v>
      </c>
      <c r="JCR5750" s="34">
        <v>-0.5</v>
      </c>
      <c r="JCS5750" s="34">
        <v>0</v>
      </c>
      <c r="JCT5750" s="34">
        <v>0.5</v>
      </c>
      <c r="JCU5750" s="34">
        <v>1</v>
      </c>
      <c r="JCV5750" s="34">
        <v>1.5</v>
      </c>
      <c r="JCW5750" s="34">
        <v>2</v>
      </c>
      <c r="JCX5750" s="34">
        <v>2.5</v>
      </c>
      <c r="JCY5750" s="34">
        <v>3</v>
      </c>
      <c r="JCZ5750" s="34">
        <v>3.5</v>
      </c>
      <c r="JDA5750" s="34">
        <v>4</v>
      </c>
      <c r="JDB5750" s="34">
        <v>4.5</v>
      </c>
      <c r="JDC5750" s="34">
        <v>5</v>
      </c>
      <c r="JDE5750" s="913"/>
      <c r="JDF5750" s="31">
        <v>1</v>
      </c>
      <c r="JDG5750" s="34">
        <v>0</v>
      </c>
      <c r="JDH5750" s="34">
        <v>-1</v>
      </c>
      <c r="JDI5750" s="34">
        <v>-2</v>
      </c>
      <c r="JDJ5750" s="34">
        <v>-3</v>
      </c>
      <c r="JDK5750" s="34">
        <v>-4</v>
      </c>
      <c r="JDL5750" s="34">
        <v>-5</v>
      </c>
      <c r="JDM5750" s="908"/>
      <c r="JDN5750" s="909"/>
      <c r="JDO5750" s="34">
        <v>-5</v>
      </c>
      <c r="JDP5750" s="34">
        <v>-4.5</v>
      </c>
      <c r="JDQ5750" s="34">
        <v>-4</v>
      </c>
      <c r="JDR5750" s="34">
        <v>-3.5</v>
      </c>
      <c r="JDS5750" s="34">
        <v>-3</v>
      </c>
      <c r="JDT5750" s="34">
        <v>-2.5</v>
      </c>
      <c r="JDU5750" s="34">
        <v>-2</v>
      </c>
      <c r="JDV5750" s="34">
        <v>-1.5</v>
      </c>
      <c r="JDW5750" s="34">
        <v>-1</v>
      </c>
      <c r="JDX5750" s="34">
        <v>-0.5</v>
      </c>
      <c r="JDY5750" s="34">
        <v>0</v>
      </c>
      <c r="JDZ5750" s="34">
        <v>0.5</v>
      </c>
      <c r="JEA5750" s="34">
        <v>1</v>
      </c>
      <c r="JEB5750" s="34">
        <v>1.5</v>
      </c>
      <c r="JEC5750" s="34">
        <v>2</v>
      </c>
      <c r="JED5750" s="34">
        <v>2.5</v>
      </c>
      <c r="JEE5750" s="34">
        <v>3</v>
      </c>
      <c r="JEF5750" s="34">
        <v>3.5</v>
      </c>
      <c r="JEG5750" s="34">
        <v>4</v>
      </c>
      <c r="JEH5750" s="34">
        <v>4.5</v>
      </c>
      <c r="JEI5750" s="34">
        <v>5</v>
      </c>
      <c r="JEK5750" s="913"/>
      <c r="JEL5750" s="31">
        <v>1</v>
      </c>
      <c r="JEM5750" s="34">
        <v>0</v>
      </c>
      <c r="JEN5750" s="34">
        <v>-1</v>
      </c>
      <c r="JEO5750" s="34">
        <v>-2</v>
      </c>
      <c r="JEP5750" s="34">
        <v>-3</v>
      </c>
      <c r="JEQ5750" s="34">
        <v>-4</v>
      </c>
      <c r="JER5750" s="34">
        <v>-5</v>
      </c>
      <c r="JES5750" s="908"/>
      <c r="JET5750" s="909"/>
      <c r="JEU5750" s="34">
        <v>-5</v>
      </c>
      <c r="JEV5750" s="34">
        <v>-4.5</v>
      </c>
      <c r="JEW5750" s="34">
        <v>-4</v>
      </c>
      <c r="JEX5750" s="34">
        <v>-3.5</v>
      </c>
      <c r="JEY5750" s="34">
        <v>-3</v>
      </c>
      <c r="JEZ5750" s="34">
        <v>-2.5</v>
      </c>
      <c r="JFA5750" s="34">
        <v>-2</v>
      </c>
      <c r="JFB5750" s="34">
        <v>-1.5</v>
      </c>
      <c r="JFC5750" s="34">
        <v>-1</v>
      </c>
      <c r="JFD5750" s="34">
        <v>-0.5</v>
      </c>
      <c r="JFE5750" s="34">
        <v>0</v>
      </c>
      <c r="JFF5750" s="34">
        <v>0.5</v>
      </c>
      <c r="JFG5750" s="34">
        <v>1</v>
      </c>
      <c r="JFH5750" s="34">
        <v>1.5</v>
      </c>
      <c r="JFI5750" s="34">
        <v>2</v>
      </c>
      <c r="JFJ5750" s="34">
        <v>2.5</v>
      </c>
      <c r="JFK5750" s="34">
        <v>3</v>
      </c>
      <c r="JFL5750" s="34">
        <v>3.5</v>
      </c>
      <c r="JFM5750" s="34">
        <v>4</v>
      </c>
      <c r="JFN5750" s="34">
        <v>4.5</v>
      </c>
      <c r="JFO5750" s="34">
        <v>5</v>
      </c>
      <c r="JFQ5750" s="913"/>
      <c r="JFR5750" s="31">
        <v>1</v>
      </c>
      <c r="JFS5750" s="34">
        <v>0</v>
      </c>
      <c r="JFT5750" s="34">
        <v>-1</v>
      </c>
      <c r="JFU5750" s="34">
        <v>-2</v>
      </c>
      <c r="JFV5750" s="34">
        <v>-3</v>
      </c>
      <c r="JFW5750" s="34">
        <v>-4</v>
      </c>
      <c r="JFX5750" s="34">
        <v>-5</v>
      </c>
      <c r="JFY5750" s="908"/>
      <c r="JFZ5750" s="909"/>
      <c r="JGA5750" s="34">
        <v>-5</v>
      </c>
      <c r="JGB5750" s="34">
        <v>-4.5</v>
      </c>
      <c r="JGC5750" s="34">
        <v>-4</v>
      </c>
      <c r="JGD5750" s="34">
        <v>-3.5</v>
      </c>
      <c r="JGE5750" s="34">
        <v>-3</v>
      </c>
      <c r="JGF5750" s="34">
        <v>-2.5</v>
      </c>
      <c r="JGG5750" s="34">
        <v>-2</v>
      </c>
      <c r="JGH5750" s="34">
        <v>-1.5</v>
      </c>
      <c r="JGI5750" s="34">
        <v>-1</v>
      </c>
      <c r="JGJ5750" s="34">
        <v>-0.5</v>
      </c>
      <c r="JGK5750" s="34">
        <v>0</v>
      </c>
      <c r="JGL5750" s="34">
        <v>0.5</v>
      </c>
      <c r="JGM5750" s="34">
        <v>1</v>
      </c>
      <c r="JGN5750" s="34">
        <v>1.5</v>
      </c>
      <c r="JGO5750" s="34">
        <v>2</v>
      </c>
      <c r="JGP5750" s="34">
        <v>2.5</v>
      </c>
      <c r="JGQ5750" s="34">
        <v>3</v>
      </c>
      <c r="JGR5750" s="34">
        <v>3.5</v>
      </c>
      <c r="JGS5750" s="34">
        <v>4</v>
      </c>
      <c r="JGT5750" s="34">
        <v>4.5</v>
      </c>
      <c r="JGU5750" s="34">
        <v>5</v>
      </c>
      <c r="JGW5750" s="913"/>
      <c r="JGX5750" s="31">
        <v>1</v>
      </c>
      <c r="JGY5750" s="34">
        <v>0</v>
      </c>
      <c r="JGZ5750" s="34">
        <v>-1</v>
      </c>
      <c r="JHA5750" s="34">
        <v>-2</v>
      </c>
      <c r="JHB5750" s="34">
        <v>-3</v>
      </c>
      <c r="JHC5750" s="34">
        <v>-4</v>
      </c>
      <c r="JHD5750" s="34">
        <v>-5</v>
      </c>
      <c r="JHE5750" s="908"/>
      <c r="JHF5750" s="909"/>
      <c r="JHG5750" s="34">
        <v>-5</v>
      </c>
      <c r="JHH5750" s="34">
        <v>-4.5</v>
      </c>
      <c r="JHI5750" s="34">
        <v>-4</v>
      </c>
      <c r="JHJ5750" s="34">
        <v>-3.5</v>
      </c>
      <c r="JHK5750" s="34">
        <v>-3</v>
      </c>
      <c r="JHL5750" s="34">
        <v>-2.5</v>
      </c>
      <c r="JHM5750" s="34">
        <v>-2</v>
      </c>
      <c r="JHN5750" s="34">
        <v>-1.5</v>
      </c>
      <c r="JHO5750" s="34">
        <v>-1</v>
      </c>
      <c r="JHP5750" s="34">
        <v>-0.5</v>
      </c>
      <c r="JHQ5750" s="34">
        <v>0</v>
      </c>
      <c r="JHR5750" s="34">
        <v>0.5</v>
      </c>
      <c r="JHS5750" s="34">
        <v>1</v>
      </c>
      <c r="JHT5750" s="34">
        <v>1.5</v>
      </c>
      <c r="JHU5750" s="34">
        <v>2</v>
      </c>
      <c r="JHV5750" s="34">
        <v>2.5</v>
      </c>
      <c r="JHW5750" s="34">
        <v>3</v>
      </c>
      <c r="JHX5750" s="34">
        <v>3.5</v>
      </c>
      <c r="JHY5750" s="34">
        <v>4</v>
      </c>
      <c r="JHZ5750" s="34">
        <v>4.5</v>
      </c>
      <c r="JIA5750" s="34">
        <v>5</v>
      </c>
      <c r="JIC5750" s="913"/>
      <c r="JID5750" s="31">
        <v>1</v>
      </c>
      <c r="JIE5750" s="34">
        <v>0</v>
      </c>
      <c r="JIF5750" s="34">
        <v>-1</v>
      </c>
      <c r="JIG5750" s="34">
        <v>-2</v>
      </c>
      <c r="JIH5750" s="34">
        <v>-3</v>
      </c>
      <c r="JII5750" s="34">
        <v>-4</v>
      </c>
      <c r="JIJ5750" s="34">
        <v>-5</v>
      </c>
      <c r="JIK5750" s="908"/>
      <c r="JIL5750" s="909"/>
      <c r="JIM5750" s="34">
        <v>-5</v>
      </c>
      <c r="JIN5750" s="34">
        <v>-4.5</v>
      </c>
      <c r="JIO5750" s="34">
        <v>-4</v>
      </c>
      <c r="JIP5750" s="34">
        <v>-3.5</v>
      </c>
      <c r="JIQ5750" s="34">
        <v>-3</v>
      </c>
      <c r="JIR5750" s="34">
        <v>-2.5</v>
      </c>
      <c r="JIS5750" s="34">
        <v>-2</v>
      </c>
      <c r="JIT5750" s="34">
        <v>-1.5</v>
      </c>
      <c r="JIU5750" s="34">
        <v>-1</v>
      </c>
      <c r="JIV5750" s="34">
        <v>-0.5</v>
      </c>
      <c r="JIW5750" s="34">
        <v>0</v>
      </c>
      <c r="JIX5750" s="34">
        <v>0.5</v>
      </c>
      <c r="JIY5750" s="34">
        <v>1</v>
      </c>
      <c r="JIZ5750" s="34">
        <v>1.5</v>
      </c>
      <c r="JJA5750" s="34">
        <v>2</v>
      </c>
      <c r="JJB5750" s="34">
        <v>2.5</v>
      </c>
      <c r="JJC5750" s="34">
        <v>3</v>
      </c>
      <c r="JJD5750" s="34">
        <v>3.5</v>
      </c>
      <c r="JJE5750" s="34">
        <v>4</v>
      </c>
      <c r="JJF5750" s="34">
        <v>4.5</v>
      </c>
      <c r="JJG5750" s="34">
        <v>5</v>
      </c>
      <c r="JJI5750" s="913"/>
      <c r="JJJ5750" s="31">
        <v>1</v>
      </c>
      <c r="JJK5750" s="34">
        <v>0</v>
      </c>
      <c r="JJL5750" s="34">
        <v>-1</v>
      </c>
      <c r="JJM5750" s="34">
        <v>-2</v>
      </c>
      <c r="JJN5750" s="34">
        <v>-3</v>
      </c>
      <c r="JJO5750" s="34">
        <v>-4</v>
      </c>
      <c r="JJP5750" s="34">
        <v>-5</v>
      </c>
      <c r="JJQ5750" s="908"/>
      <c r="JJR5750" s="909"/>
      <c r="JJS5750" s="34">
        <v>-5</v>
      </c>
      <c r="JJT5750" s="34">
        <v>-4.5</v>
      </c>
      <c r="JJU5750" s="34">
        <v>-4</v>
      </c>
      <c r="JJV5750" s="34">
        <v>-3.5</v>
      </c>
      <c r="JJW5750" s="34">
        <v>-3</v>
      </c>
      <c r="JJX5750" s="34">
        <v>-2.5</v>
      </c>
      <c r="JJY5750" s="34">
        <v>-2</v>
      </c>
      <c r="JJZ5750" s="34">
        <v>-1.5</v>
      </c>
      <c r="JKA5750" s="34">
        <v>-1</v>
      </c>
      <c r="JKB5750" s="34">
        <v>-0.5</v>
      </c>
      <c r="JKC5750" s="34">
        <v>0</v>
      </c>
      <c r="JKD5750" s="34">
        <v>0.5</v>
      </c>
      <c r="JKE5750" s="34">
        <v>1</v>
      </c>
      <c r="JKF5750" s="34">
        <v>1.5</v>
      </c>
      <c r="JKG5750" s="34">
        <v>2</v>
      </c>
      <c r="JKH5750" s="34">
        <v>2.5</v>
      </c>
      <c r="JKI5750" s="34">
        <v>3</v>
      </c>
      <c r="JKJ5750" s="34">
        <v>3.5</v>
      </c>
      <c r="JKK5750" s="34">
        <v>4</v>
      </c>
      <c r="JKL5750" s="34">
        <v>4.5</v>
      </c>
      <c r="JKM5750" s="34">
        <v>5</v>
      </c>
      <c r="JKO5750" s="913"/>
      <c r="JKP5750" s="31">
        <v>1</v>
      </c>
      <c r="JKQ5750" s="34">
        <v>0</v>
      </c>
      <c r="JKR5750" s="34">
        <v>-1</v>
      </c>
      <c r="JKS5750" s="34">
        <v>-2</v>
      </c>
      <c r="JKT5750" s="34">
        <v>-3</v>
      </c>
      <c r="JKU5750" s="34">
        <v>-4</v>
      </c>
      <c r="JKV5750" s="34">
        <v>-5</v>
      </c>
      <c r="JKW5750" s="908"/>
      <c r="JKX5750" s="909"/>
      <c r="JKY5750" s="34">
        <v>-5</v>
      </c>
      <c r="JKZ5750" s="34">
        <v>-4.5</v>
      </c>
      <c r="JLA5750" s="34">
        <v>-4</v>
      </c>
      <c r="JLB5750" s="34">
        <v>-3.5</v>
      </c>
      <c r="JLC5750" s="34">
        <v>-3</v>
      </c>
      <c r="JLD5750" s="34">
        <v>-2.5</v>
      </c>
      <c r="JLE5750" s="34">
        <v>-2</v>
      </c>
      <c r="JLF5750" s="34">
        <v>-1.5</v>
      </c>
      <c r="JLG5750" s="34">
        <v>-1</v>
      </c>
      <c r="JLH5750" s="34">
        <v>-0.5</v>
      </c>
      <c r="JLI5750" s="34">
        <v>0</v>
      </c>
      <c r="JLJ5750" s="34">
        <v>0.5</v>
      </c>
      <c r="JLK5750" s="34">
        <v>1</v>
      </c>
      <c r="JLL5750" s="34">
        <v>1.5</v>
      </c>
      <c r="JLM5750" s="34">
        <v>2</v>
      </c>
      <c r="JLN5750" s="34">
        <v>2.5</v>
      </c>
      <c r="JLO5750" s="34">
        <v>3</v>
      </c>
      <c r="JLP5750" s="34">
        <v>3.5</v>
      </c>
      <c r="JLQ5750" s="34">
        <v>4</v>
      </c>
      <c r="JLR5750" s="34">
        <v>4.5</v>
      </c>
      <c r="JLS5750" s="34">
        <v>5</v>
      </c>
      <c r="JLU5750" s="913"/>
      <c r="JLV5750" s="31">
        <v>1</v>
      </c>
      <c r="JLW5750" s="34">
        <v>0</v>
      </c>
      <c r="JLX5750" s="34">
        <v>-1</v>
      </c>
      <c r="JLY5750" s="34">
        <v>-2</v>
      </c>
      <c r="JLZ5750" s="34">
        <v>-3</v>
      </c>
      <c r="JMA5750" s="34">
        <v>-4</v>
      </c>
      <c r="JMB5750" s="34">
        <v>-5</v>
      </c>
      <c r="JMC5750" s="908"/>
      <c r="JMD5750" s="909"/>
      <c r="JME5750" s="34">
        <v>-5</v>
      </c>
      <c r="JMF5750" s="34">
        <v>-4.5</v>
      </c>
      <c r="JMG5750" s="34">
        <v>-4</v>
      </c>
      <c r="JMH5750" s="34">
        <v>-3.5</v>
      </c>
      <c r="JMI5750" s="34">
        <v>-3</v>
      </c>
      <c r="JMJ5750" s="34">
        <v>-2.5</v>
      </c>
      <c r="JMK5750" s="34">
        <v>-2</v>
      </c>
      <c r="JML5750" s="34">
        <v>-1.5</v>
      </c>
      <c r="JMM5750" s="34">
        <v>-1</v>
      </c>
      <c r="JMN5750" s="34">
        <v>-0.5</v>
      </c>
      <c r="JMO5750" s="34">
        <v>0</v>
      </c>
      <c r="JMP5750" s="34">
        <v>0.5</v>
      </c>
      <c r="JMQ5750" s="34">
        <v>1</v>
      </c>
      <c r="JMR5750" s="34">
        <v>1.5</v>
      </c>
      <c r="JMS5750" s="34">
        <v>2</v>
      </c>
      <c r="JMT5750" s="34">
        <v>2.5</v>
      </c>
      <c r="JMU5750" s="34">
        <v>3</v>
      </c>
      <c r="JMV5750" s="34">
        <v>3.5</v>
      </c>
      <c r="JMW5750" s="34">
        <v>4</v>
      </c>
      <c r="JMX5750" s="34">
        <v>4.5</v>
      </c>
      <c r="JMY5750" s="34">
        <v>5</v>
      </c>
      <c r="JNA5750" s="913"/>
      <c r="JNB5750" s="31">
        <v>1</v>
      </c>
      <c r="JNC5750" s="34">
        <v>0</v>
      </c>
      <c r="JND5750" s="34">
        <v>-1</v>
      </c>
      <c r="JNE5750" s="34">
        <v>-2</v>
      </c>
      <c r="JNF5750" s="34">
        <v>-3</v>
      </c>
      <c r="JNG5750" s="34">
        <v>-4</v>
      </c>
      <c r="JNH5750" s="34">
        <v>-5</v>
      </c>
      <c r="JNI5750" s="908"/>
      <c r="JNJ5750" s="909"/>
      <c r="JNK5750" s="34">
        <v>-5</v>
      </c>
      <c r="JNL5750" s="34">
        <v>-4.5</v>
      </c>
      <c r="JNM5750" s="34">
        <v>-4</v>
      </c>
      <c r="JNN5750" s="34">
        <v>-3.5</v>
      </c>
      <c r="JNO5750" s="34">
        <v>-3</v>
      </c>
      <c r="JNP5750" s="34">
        <v>-2.5</v>
      </c>
      <c r="JNQ5750" s="34">
        <v>-2</v>
      </c>
      <c r="JNR5750" s="34">
        <v>-1.5</v>
      </c>
      <c r="JNS5750" s="34">
        <v>-1</v>
      </c>
      <c r="JNT5750" s="34">
        <v>-0.5</v>
      </c>
      <c r="JNU5750" s="34">
        <v>0</v>
      </c>
      <c r="JNV5750" s="34">
        <v>0.5</v>
      </c>
      <c r="JNW5750" s="34">
        <v>1</v>
      </c>
      <c r="JNX5750" s="34">
        <v>1.5</v>
      </c>
      <c r="JNY5750" s="34">
        <v>2</v>
      </c>
      <c r="JNZ5750" s="34">
        <v>2.5</v>
      </c>
      <c r="JOA5750" s="34">
        <v>3</v>
      </c>
      <c r="JOB5750" s="34">
        <v>3.5</v>
      </c>
      <c r="JOC5750" s="34">
        <v>4</v>
      </c>
      <c r="JOD5750" s="34">
        <v>4.5</v>
      </c>
      <c r="JOE5750" s="34">
        <v>5</v>
      </c>
      <c r="JOG5750" s="913"/>
      <c r="JOH5750" s="31">
        <v>1</v>
      </c>
      <c r="JOI5750" s="34">
        <v>0</v>
      </c>
      <c r="JOJ5750" s="34">
        <v>-1</v>
      </c>
      <c r="JOK5750" s="34">
        <v>-2</v>
      </c>
      <c r="JOL5750" s="34">
        <v>-3</v>
      </c>
      <c r="JOM5750" s="34">
        <v>-4</v>
      </c>
      <c r="JON5750" s="34">
        <v>-5</v>
      </c>
      <c r="JOO5750" s="908"/>
      <c r="JOP5750" s="909"/>
      <c r="JOQ5750" s="34">
        <v>-5</v>
      </c>
      <c r="JOR5750" s="34">
        <v>-4.5</v>
      </c>
      <c r="JOS5750" s="34">
        <v>-4</v>
      </c>
      <c r="JOT5750" s="34">
        <v>-3.5</v>
      </c>
      <c r="JOU5750" s="34">
        <v>-3</v>
      </c>
      <c r="JOV5750" s="34">
        <v>-2.5</v>
      </c>
      <c r="JOW5750" s="34">
        <v>-2</v>
      </c>
      <c r="JOX5750" s="34">
        <v>-1.5</v>
      </c>
      <c r="JOY5750" s="34">
        <v>-1</v>
      </c>
      <c r="JOZ5750" s="34">
        <v>-0.5</v>
      </c>
      <c r="JPA5750" s="34">
        <v>0</v>
      </c>
      <c r="JPB5750" s="34">
        <v>0.5</v>
      </c>
      <c r="JPC5750" s="34">
        <v>1</v>
      </c>
      <c r="JPD5750" s="34">
        <v>1.5</v>
      </c>
      <c r="JPE5750" s="34">
        <v>2</v>
      </c>
      <c r="JPF5750" s="34">
        <v>2.5</v>
      </c>
      <c r="JPG5750" s="34">
        <v>3</v>
      </c>
      <c r="JPH5750" s="34">
        <v>3.5</v>
      </c>
      <c r="JPI5750" s="34">
        <v>4</v>
      </c>
      <c r="JPJ5750" s="34">
        <v>4.5</v>
      </c>
      <c r="JPK5750" s="34">
        <v>5</v>
      </c>
      <c r="JPM5750" s="913"/>
      <c r="JPN5750" s="31">
        <v>1</v>
      </c>
      <c r="JPO5750" s="34">
        <v>0</v>
      </c>
      <c r="JPP5750" s="34">
        <v>-1</v>
      </c>
      <c r="JPQ5750" s="34">
        <v>-2</v>
      </c>
      <c r="JPR5750" s="34">
        <v>-3</v>
      </c>
      <c r="JPS5750" s="34">
        <v>-4</v>
      </c>
      <c r="JPT5750" s="34">
        <v>-5</v>
      </c>
      <c r="JPU5750" s="908"/>
      <c r="JPV5750" s="909"/>
      <c r="JPW5750" s="34">
        <v>-5</v>
      </c>
      <c r="JPX5750" s="34">
        <v>-4.5</v>
      </c>
      <c r="JPY5750" s="34">
        <v>-4</v>
      </c>
      <c r="JPZ5750" s="34">
        <v>-3.5</v>
      </c>
      <c r="JQA5750" s="34">
        <v>-3</v>
      </c>
      <c r="JQB5750" s="34">
        <v>-2.5</v>
      </c>
      <c r="JQC5750" s="34">
        <v>-2</v>
      </c>
      <c r="JQD5750" s="34">
        <v>-1.5</v>
      </c>
      <c r="JQE5750" s="34">
        <v>-1</v>
      </c>
      <c r="JQF5750" s="34">
        <v>-0.5</v>
      </c>
      <c r="JQG5750" s="34">
        <v>0</v>
      </c>
      <c r="JQH5750" s="34">
        <v>0.5</v>
      </c>
      <c r="JQI5750" s="34">
        <v>1</v>
      </c>
      <c r="JQJ5750" s="34">
        <v>1.5</v>
      </c>
      <c r="JQK5750" s="34">
        <v>2</v>
      </c>
      <c r="JQL5750" s="34">
        <v>2.5</v>
      </c>
      <c r="JQM5750" s="34">
        <v>3</v>
      </c>
      <c r="JQN5750" s="34">
        <v>3.5</v>
      </c>
      <c r="JQO5750" s="34">
        <v>4</v>
      </c>
      <c r="JQP5750" s="34">
        <v>4.5</v>
      </c>
      <c r="JQQ5750" s="34">
        <v>5</v>
      </c>
      <c r="JQS5750" s="913"/>
      <c r="JQT5750" s="31">
        <v>1</v>
      </c>
      <c r="JQU5750" s="34">
        <v>0</v>
      </c>
      <c r="JQV5750" s="34">
        <v>-1</v>
      </c>
      <c r="JQW5750" s="34">
        <v>-2</v>
      </c>
      <c r="JQX5750" s="34">
        <v>-3</v>
      </c>
      <c r="JQY5750" s="34">
        <v>-4</v>
      </c>
      <c r="JQZ5750" s="34">
        <v>-5</v>
      </c>
      <c r="JRA5750" s="908"/>
      <c r="JRB5750" s="909"/>
      <c r="JRC5750" s="34">
        <v>-5</v>
      </c>
      <c r="JRD5750" s="34">
        <v>-4.5</v>
      </c>
      <c r="JRE5750" s="34">
        <v>-4</v>
      </c>
      <c r="JRF5750" s="34">
        <v>-3.5</v>
      </c>
      <c r="JRG5750" s="34">
        <v>-3</v>
      </c>
      <c r="JRH5750" s="34">
        <v>-2.5</v>
      </c>
      <c r="JRI5750" s="34">
        <v>-2</v>
      </c>
      <c r="JRJ5750" s="34">
        <v>-1.5</v>
      </c>
      <c r="JRK5750" s="34">
        <v>-1</v>
      </c>
      <c r="JRL5750" s="34">
        <v>-0.5</v>
      </c>
      <c r="JRM5750" s="34">
        <v>0</v>
      </c>
      <c r="JRN5750" s="34">
        <v>0.5</v>
      </c>
      <c r="JRO5750" s="34">
        <v>1</v>
      </c>
      <c r="JRP5750" s="34">
        <v>1.5</v>
      </c>
      <c r="JRQ5750" s="34">
        <v>2</v>
      </c>
      <c r="JRR5750" s="34">
        <v>2.5</v>
      </c>
      <c r="JRS5750" s="34">
        <v>3</v>
      </c>
      <c r="JRT5750" s="34">
        <v>3.5</v>
      </c>
      <c r="JRU5750" s="34">
        <v>4</v>
      </c>
      <c r="JRV5750" s="34">
        <v>4.5</v>
      </c>
      <c r="JRW5750" s="34">
        <v>5</v>
      </c>
      <c r="JRY5750" s="913"/>
      <c r="JRZ5750" s="31">
        <v>1</v>
      </c>
      <c r="JSA5750" s="34">
        <v>0</v>
      </c>
      <c r="JSB5750" s="34">
        <v>-1</v>
      </c>
      <c r="JSC5750" s="34">
        <v>-2</v>
      </c>
      <c r="JSD5750" s="34">
        <v>-3</v>
      </c>
      <c r="JSE5750" s="34">
        <v>-4</v>
      </c>
      <c r="JSF5750" s="34">
        <v>-5</v>
      </c>
      <c r="JSG5750" s="908"/>
      <c r="JSH5750" s="909"/>
      <c r="JSI5750" s="34">
        <v>-5</v>
      </c>
      <c r="JSJ5750" s="34">
        <v>-4.5</v>
      </c>
      <c r="JSK5750" s="34">
        <v>-4</v>
      </c>
      <c r="JSL5750" s="34">
        <v>-3.5</v>
      </c>
      <c r="JSM5750" s="34">
        <v>-3</v>
      </c>
      <c r="JSN5750" s="34">
        <v>-2.5</v>
      </c>
      <c r="JSO5750" s="34">
        <v>-2</v>
      </c>
      <c r="JSP5750" s="34">
        <v>-1.5</v>
      </c>
      <c r="JSQ5750" s="34">
        <v>-1</v>
      </c>
      <c r="JSR5750" s="34">
        <v>-0.5</v>
      </c>
      <c r="JSS5750" s="34">
        <v>0</v>
      </c>
      <c r="JST5750" s="34">
        <v>0.5</v>
      </c>
      <c r="JSU5750" s="34">
        <v>1</v>
      </c>
      <c r="JSV5750" s="34">
        <v>1.5</v>
      </c>
      <c r="JSW5750" s="34">
        <v>2</v>
      </c>
      <c r="JSX5750" s="34">
        <v>2.5</v>
      </c>
      <c r="JSY5750" s="34">
        <v>3</v>
      </c>
      <c r="JSZ5750" s="34">
        <v>3.5</v>
      </c>
      <c r="JTA5750" s="34">
        <v>4</v>
      </c>
      <c r="JTB5750" s="34">
        <v>4.5</v>
      </c>
      <c r="JTC5750" s="34">
        <v>5</v>
      </c>
      <c r="JTE5750" s="913"/>
      <c r="JTF5750" s="31">
        <v>1</v>
      </c>
      <c r="JTG5750" s="34">
        <v>0</v>
      </c>
      <c r="JTH5750" s="34">
        <v>-1</v>
      </c>
      <c r="JTI5750" s="34">
        <v>-2</v>
      </c>
      <c r="JTJ5750" s="34">
        <v>-3</v>
      </c>
      <c r="JTK5750" s="34">
        <v>-4</v>
      </c>
      <c r="JTL5750" s="34">
        <v>-5</v>
      </c>
      <c r="JTM5750" s="908"/>
      <c r="JTN5750" s="909"/>
      <c r="JTO5750" s="34">
        <v>-5</v>
      </c>
      <c r="JTP5750" s="34">
        <v>-4.5</v>
      </c>
      <c r="JTQ5750" s="34">
        <v>-4</v>
      </c>
      <c r="JTR5750" s="34">
        <v>-3.5</v>
      </c>
      <c r="JTS5750" s="34">
        <v>-3</v>
      </c>
      <c r="JTT5750" s="34">
        <v>-2.5</v>
      </c>
      <c r="JTU5750" s="34">
        <v>-2</v>
      </c>
      <c r="JTV5750" s="34">
        <v>-1.5</v>
      </c>
      <c r="JTW5750" s="34">
        <v>-1</v>
      </c>
      <c r="JTX5750" s="34">
        <v>-0.5</v>
      </c>
      <c r="JTY5750" s="34">
        <v>0</v>
      </c>
      <c r="JTZ5750" s="34">
        <v>0.5</v>
      </c>
      <c r="JUA5750" s="34">
        <v>1</v>
      </c>
      <c r="JUB5750" s="34">
        <v>1.5</v>
      </c>
      <c r="JUC5750" s="34">
        <v>2</v>
      </c>
      <c r="JUD5750" s="34">
        <v>2.5</v>
      </c>
      <c r="JUE5750" s="34">
        <v>3</v>
      </c>
      <c r="JUF5750" s="34">
        <v>3.5</v>
      </c>
      <c r="JUG5750" s="34">
        <v>4</v>
      </c>
      <c r="JUH5750" s="34">
        <v>4.5</v>
      </c>
      <c r="JUI5750" s="34">
        <v>5</v>
      </c>
      <c r="JUK5750" s="913"/>
      <c r="JUL5750" s="31">
        <v>1</v>
      </c>
      <c r="JUM5750" s="34">
        <v>0</v>
      </c>
      <c r="JUN5750" s="34">
        <v>-1</v>
      </c>
      <c r="JUO5750" s="34">
        <v>-2</v>
      </c>
      <c r="JUP5750" s="34">
        <v>-3</v>
      </c>
      <c r="JUQ5750" s="34">
        <v>-4</v>
      </c>
      <c r="JUR5750" s="34">
        <v>-5</v>
      </c>
      <c r="JUS5750" s="908"/>
      <c r="JUT5750" s="909"/>
      <c r="JUU5750" s="34">
        <v>-5</v>
      </c>
      <c r="JUV5750" s="34">
        <v>-4.5</v>
      </c>
      <c r="JUW5750" s="34">
        <v>-4</v>
      </c>
      <c r="JUX5750" s="34">
        <v>-3.5</v>
      </c>
      <c r="JUY5750" s="34">
        <v>-3</v>
      </c>
      <c r="JUZ5750" s="34">
        <v>-2.5</v>
      </c>
      <c r="JVA5750" s="34">
        <v>-2</v>
      </c>
      <c r="JVB5750" s="34">
        <v>-1.5</v>
      </c>
      <c r="JVC5750" s="34">
        <v>-1</v>
      </c>
      <c r="JVD5750" s="34">
        <v>-0.5</v>
      </c>
      <c r="JVE5750" s="34">
        <v>0</v>
      </c>
      <c r="JVF5750" s="34">
        <v>0.5</v>
      </c>
      <c r="JVG5750" s="34">
        <v>1</v>
      </c>
      <c r="JVH5750" s="34">
        <v>1.5</v>
      </c>
      <c r="JVI5750" s="34">
        <v>2</v>
      </c>
      <c r="JVJ5750" s="34">
        <v>2.5</v>
      </c>
      <c r="JVK5750" s="34">
        <v>3</v>
      </c>
      <c r="JVL5750" s="34">
        <v>3.5</v>
      </c>
      <c r="JVM5750" s="34">
        <v>4</v>
      </c>
      <c r="JVN5750" s="34">
        <v>4.5</v>
      </c>
      <c r="JVO5750" s="34">
        <v>5</v>
      </c>
      <c r="JVQ5750" s="913"/>
      <c r="JVR5750" s="31">
        <v>1</v>
      </c>
      <c r="JVS5750" s="34">
        <v>0</v>
      </c>
      <c r="JVT5750" s="34">
        <v>-1</v>
      </c>
      <c r="JVU5750" s="34">
        <v>-2</v>
      </c>
      <c r="JVV5750" s="34">
        <v>-3</v>
      </c>
      <c r="JVW5750" s="34">
        <v>-4</v>
      </c>
      <c r="JVX5750" s="34">
        <v>-5</v>
      </c>
      <c r="JVY5750" s="908"/>
      <c r="JVZ5750" s="909"/>
      <c r="JWA5750" s="34">
        <v>-5</v>
      </c>
      <c r="JWB5750" s="34">
        <v>-4.5</v>
      </c>
      <c r="JWC5750" s="34">
        <v>-4</v>
      </c>
      <c r="JWD5750" s="34">
        <v>-3.5</v>
      </c>
      <c r="JWE5750" s="34">
        <v>-3</v>
      </c>
      <c r="JWF5750" s="34">
        <v>-2.5</v>
      </c>
      <c r="JWG5750" s="34">
        <v>-2</v>
      </c>
      <c r="JWH5750" s="34">
        <v>-1.5</v>
      </c>
      <c r="JWI5750" s="34">
        <v>-1</v>
      </c>
      <c r="JWJ5750" s="34">
        <v>-0.5</v>
      </c>
      <c r="JWK5750" s="34">
        <v>0</v>
      </c>
      <c r="JWL5750" s="34">
        <v>0.5</v>
      </c>
      <c r="JWM5750" s="34">
        <v>1</v>
      </c>
      <c r="JWN5750" s="34">
        <v>1.5</v>
      </c>
      <c r="JWO5750" s="34">
        <v>2</v>
      </c>
      <c r="JWP5750" s="34">
        <v>2.5</v>
      </c>
      <c r="JWQ5750" s="34">
        <v>3</v>
      </c>
      <c r="JWR5750" s="34">
        <v>3.5</v>
      </c>
      <c r="JWS5750" s="34">
        <v>4</v>
      </c>
      <c r="JWT5750" s="34">
        <v>4.5</v>
      </c>
      <c r="JWU5750" s="34">
        <v>5</v>
      </c>
      <c r="JWW5750" s="913"/>
      <c r="JWX5750" s="31">
        <v>1</v>
      </c>
      <c r="JWY5750" s="34">
        <v>0</v>
      </c>
      <c r="JWZ5750" s="34">
        <v>-1</v>
      </c>
      <c r="JXA5750" s="34">
        <v>-2</v>
      </c>
      <c r="JXB5750" s="34">
        <v>-3</v>
      </c>
      <c r="JXC5750" s="34">
        <v>-4</v>
      </c>
      <c r="JXD5750" s="34">
        <v>-5</v>
      </c>
      <c r="JXE5750" s="908"/>
      <c r="JXF5750" s="909"/>
      <c r="JXG5750" s="34">
        <v>-5</v>
      </c>
      <c r="JXH5750" s="34">
        <v>-4.5</v>
      </c>
      <c r="JXI5750" s="34">
        <v>-4</v>
      </c>
      <c r="JXJ5750" s="34">
        <v>-3.5</v>
      </c>
      <c r="JXK5750" s="34">
        <v>-3</v>
      </c>
      <c r="JXL5750" s="34">
        <v>-2.5</v>
      </c>
      <c r="JXM5750" s="34">
        <v>-2</v>
      </c>
      <c r="JXN5750" s="34">
        <v>-1.5</v>
      </c>
      <c r="JXO5750" s="34">
        <v>-1</v>
      </c>
      <c r="JXP5750" s="34">
        <v>-0.5</v>
      </c>
      <c r="JXQ5750" s="34">
        <v>0</v>
      </c>
      <c r="JXR5750" s="34">
        <v>0.5</v>
      </c>
      <c r="JXS5750" s="34">
        <v>1</v>
      </c>
      <c r="JXT5750" s="34">
        <v>1.5</v>
      </c>
      <c r="JXU5750" s="34">
        <v>2</v>
      </c>
      <c r="JXV5750" s="34">
        <v>2.5</v>
      </c>
      <c r="JXW5750" s="34">
        <v>3</v>
      </c>
      <c r="JXX5750" s="34">
        <v>3.5</v>
      </c>
      <c r="JXY5750" s="34">
        <v>4</v>
      </c>
      <c r="JXZ5750" s="34">
        <v>4.5</v>
      </c>
      <c r="JYA5750" s="34">
        <v>5</v>
      </c>
      <c r="JYC5750" s="913"/>
      <c r="JYD5750" s="31">
        <v>1</v>
      </c>
      <c r="JYE5750" s="34">
        <v>0</v>
      </c>
      <c r="JYF5750" s="34">
        <v>-1</v>
      </c>
      <c r="JYG5750" s="34">
        <v>-2</v>
      </c>
      <c r="JYH5750" s="34">
        <v>-3</v>
      </c>
      <c r="JYI5750" s="34">
        <v>-4</v>
      </c>
      <c r="JYJ5750" s="34">
        <v>-5</v>
      </c>
      <c r="JYK5750" s="908"/>
      <c r="JYL5750" s="909"/>
      <c r="JYM5750" s="34">
        <v>-5</v>
      </c>
      <c r="JYN5750" s="34">
        <v>-4.5</v>
      </c>
      <c r="JYO5750" s="34">
        <v>-4</v>
      </c>
      <c r="JYP5750" s="34">
        <v>-3.5</v>
      </c>
      <c r="JYQ5750" s="34">
        <v>-3</v>
      </c>
      <c r="JYR5750" s="34">
        <v>-2.5</v>
      </c>
      <c r="JYS5750" s="34">
        <v>-2</v>
      </c>
      <c r="JYT5750" s="34">
        <v>-1.5</v>
      </c>
      <c r="JYU5750" s="34">
        <v>-1</v>
      </c>
      <c r="JYV5750" s="34">
        <v>-0.5</v>
      </c>
      <c r="JYW5750" s="34">
        <v>0</v>
      </c>
      <c r="JYX5750" s="34">
        <v>0.5</v>
      </c>
      <c r="JYY5750" s="34">
        <v>1</v>
      </c>
      <c r="JYZ5750" s="34">
        <v>1.5</v>
      </c>
      <c r="JZA5750" s="34">
        <v>2</v>
      </c>
      <c r="JZB5750" s="34">
        <v>2.5</v>
      </c>
      <c r="JZC5750" s="34">
        <v>3</v>
      </c>
      <c r="JZD5750" s="34">
        <v>3.5</v>
      </c>
      <c r="JZE5750" s="34">
        <v>4</v>
      </c>
      <c r="JZF5750" s="34">
        <v>4.5</v>
      </c>
      <c r="JZG5750" s="34">
        <v>5</v>
      </c>
      <c r="JZI5750" s="913"/>
      <c r="JZJ5750" s="31">
        <v>1</v>
      </c>
      <c r="JZK5750" s="34">
        <v>0</v>
      </c>
      <c r="JZL5750" s="34">
        <v>-1</v>
      </c>
      <c r="JZM5750" s="34">
        <v>-2</v>
      </c>
      <c r="JZN5750" s="34">
        <v>-3</v>
      </c>
      <c r="JZO5750" s="34">
        <v>-4</v>
      </c>
      <c r="JZP5750" s="34">
        <v>-5</v>
      </c>
      <c r="JZQ5750" s="908"/>
      <c r="JZR5750" s="909"/>
      <c r="JZS5750" s="34">
        <v>-5</v>
      </c>
      <c r="JZT5750" s="34">
        <v>-4.5</v>
      </c>
      <c r="JZU5750" s="34">
        <v>-4</v>
      </c>
      <c r="JZV5750" s="34">
        <v>-3.5</v>
      </c>
      <c r="JZW5750" s="34">
        <v>-3</v>
      </c>
      <c r="JZX5750" s="34">
        <v>-2.5</v>
      </c>
      <c r="JZY5750" s="34">
        <v>-2</v>
      </c>
      <c r="JZZ5750" s="34">
        <v>-1.5</v>
      </c>
      <c r="KAA5750" s="34">
        <v>-1</v>
      </c>
      <c r="KAB5750" s="34">
        <v>-0.5</v>
      </c>
      <c r="KAC5750" s="34">
        <v>0</v>
      </c>
      <c r="KAD5750" s="34">
        <v>0.5</v>
      </c>
      <c r="KAE5750" s="34">
        <v>1</v>
      </c>
      <c r="KAF5750" s="34">
        <v>1.5</v>
      </c>
      <c r="KAG5750" s="34">
        <v>2</v>
      </c>
      <c r="KAH5750" s="34">
        <v>2.5</v>
      </c>
      <c r="KAI5750" s="34">
        <v>3</v>
      </c>
      <c r="KAJ5750" s="34">
        <v>3.5</v>
      </c>
      <c r="KAK5750" s="34">
        <v>4</v>
      </c>
      <c r="KAL5750" s="34">
        <v>4.5</v>
      </c>
      <c r="KAM5750" s="34">
        <v>5</v>
      </c>
      <c r="KAO5750" s="913"/>
      <c r="KAP5750" s="31">
        <v>1</v>
      </c>
      <c r="KAQ5750" s="34">
        <v>0</v>
      </c>
      <c r="KAR5750" s="34">
        <v>-1</v>
      </c>
      <c r="KAS5750" s="34">
        <v>-2</v>
      </c>
      <c r="KAT5750" s="34">
        <v>-3</v>
      </c>
      <c r="KAU5750" s="34">
        <v>-4</v>
      </c>
      <c r="KAV5750" s="34">
        <v>-5</v>
      </c>
      <c r="KAW5750" s="908"/>
      <c r="KAX5750" s="909"/>
      <c r="KAY5750" s="34">
        <v>-5</v>
      </c>
      <c r="KAZ5750" s="34">
        <v>-4.5</v>
      </c>
      <c r="KBA5750" s="34">
        <v>-4</v>
      </c>
      <c r="KBB5750" s="34">
        <v>-3.5</v>
      </c>
      <c r="KBC5750" s="34">
        <v>-3</v>
      </c>
      <c r="KBD5750" s="34">
        <v>-2.5</v>
      </c>
      <c r="KBE5750" s="34">
        <v>-2</v>
      </c>
      <c r="KBF5750" s="34">
        <v>-1.5</v>
      </c>
      <c r="KBG5750" s="34">
        <v>-1</v>
      </c>
      <c r="KBH5750" s="34">
        <v>-0.5</v>
      </c>
      <c r="KBI5750" s="34">
        <v>0</v>
      </c>
      <c r="KBJ5750" s="34">
        <v>0.5</v>
      </c>
      <c r="KBK5750" s="34">
        <v>1</v>
      </c>
      <c r="KBL5750" s="34">
        <v>1.5</v>
      </c>
      <c r="KBM5750" s="34">
        <v>2</v>
      </c>
      <c r="KBN5750" s="34">
        <v>2.5</v>
      </c>
      <c r="KBO5750" s="34">
        <v>3</v>
      </c>
      <c r="KBP5750" s="34">
        <v>3.5</v>
      </c>
      <c r="KBQ5750" s="34">
        <v>4</v>
      </c>
      <c r="KBR5750" s="34">
        <v>4.5</v>
      </c>
      <c r="KBS5750" s="34">
        <v>5</v>
      </c>
      <c r="KBU5750" s="913"/>
      <c r="KBV5750" s="31">
        <v>1</v>
      </c>
      <c r="KBW5750" s="34">
        <v>0</v>
      </c>
      <c r="KBX5750" s="34">
        <v>-1</v>
      </c>
      <c r="KBY5750" s="34">
        <v>-2</v>
      </c>
      <c r="KBZ5750" s="34">
        <v>-3</v>
      </c>
      <c r="KCA5750" s="34">
        <v>-4</v>
      </c>
      <c r="KCB5750" s="34">
        <v>-5</v>
      </c>
      <c r="KCC5750" s="908"/>
      <c r="KCD5750" s="909"/>
      <c r="KCE5750" s="34">
        <v>-5</v>
      </c>
      <c r="KCF5750" s="34">
        <v>-4.5</v>
      </c>
      <c r="KCG5750" s="34">
        <v>-4</v>
      </c>
      <c r="KCH5750" s="34">
        <v>-3.5</v>
      </c>
      <c r="KCI5750" s="34">
        <v>-3</v>
      </c>
      <c r="KCJ5750" s="34">
        <v>-2.5</v>
      </c>
      <c r="KCK5750" s="34">
        <v>-2</v>
      </c>
      <c r="KCL5750" s="34">
        <v>-1.5</v>
      </c>
      <c r="KCM5750" s="34">
        <v>-1</v>
      </c>
      <c r="KCN5750" s="34">
        <v>-0.5</v>
      </c>
      <c r="KCO5750" s="34">
        <v>0</v>
      </c>
      <c r="KCP5750" s="34">
        <v>0.5</v>
      </c>
      <c r="KCQ5750" s="34">
        <v>1</v>
      </c>
      <c r="KCR5750" s="34">
        <v>1.5</v>
      </c>
      <c r="KCS5750" s="34">
        <v>2</v>
      </c>
      <c r="KCT5750" s="34">
        <v>2.5</v>
      </c>
      <c r="KCU5750" s="34">
        <v>3</v>
      </c>
      <c r="KCV5750" s="34">
        <v>3.5</v>
      </c>
      <c r="KCW5750" s="34">
        <v>4</v>
      </c>
      <c r="KCX5750" s="34">
        <v>4.5</v>
      </c>
      <c r="KCY5750" s="34">
        <v>5</v>
      </c>
      <c r="KDA5750" s="913"/>
      <c r="KDB5750" s="31">
        <v>1</v>
      </c>
      <c r="KDC5750" s="34">
        <v>0</v>
      </c>
      <c r="KDD5750" s="34">
        <v>-1</v>
      </c>
      <c r="KDE5750" s="34">
        <v>-2</v>
      </c>
      <c r="KDF5750" s="34">
        <v>-3</v>
      </c>
      <c r="KDG5750" s="34">
        <v>-4</v>
      </c>
      <c r="KDH5750" s="34">
        <v>-5</v>
      </c>
      <c r="KDI5750" s="908"/>
      <c r="KDJ5750" s="909"/>
      <c r="KDK5750" s="34">
        <v>-5</v>
      </c>
      <c r="KDL5750" s="34">
        <v>-4.5</v>
      </c>
      <c r="KDM5750" s="34">
        <v>-4</v>
      </c>
      <c r="KDN5750" s="34">
        <v>-3.5</v>
      </c>
      <c r="KDO5750" s="34">
        <v>-3</v>
      </c>
      <c r="KDP5750" s="34">
        <v>-2.5</v>
      </c>
      <c r="KDQ5750" s="34">
        <v>-2</v>
      </c>
      <c r="KDR5750" s="34">
        <v>-1.5</v>
      </c>
      <c r="KDS5750" s="34">
        <v>-1</v>
      </c>
      <c r="KDT5750" s="34">
        <v>-0.5</v>
      </c>
      <c r="KDU5750" s="34">
        <v>0</v>
      </c>
      <c r="KDV5750" s="34">
        <v>0.5</v>
      </c>
      <c r="KDW5750" s="34">
        <v>1</v>
      </c>
      <c r="KDX5750" s="34">
        <v>1.5</v>
      </c>
      <c r="KDY5750" s="34">
        <v>2</v>
      </c>
      <c r="KDZ5750" s="34">
        <v>2.5</v>
      </c>
      <c r="KEA5750" s="34">
        <v>3</v>
      </c>
      <c r="KEB5750" s="34">
        <v>3.5</v>
      </c>
      <c r="KEC5750" s="34">
        <v>4</v>
      </c>
      <c r="KED5750" s="34">
        <v>4.5</v>
      </c>
      <c r="KEE5750" s="34">
        <v>5</v>
      </c>
      <c r="KEG5750" s="913"/>
      <c r="KEH5750" s="31">
        <v>1</v>
      </c>
      <c r="KEI5750" s="34">
        <v>0</v>
      </c>
      <c r="KEJ5750" s="34">
        <v>-1</v>
      </c>
      <c r="KEK5750" s="34">
        <v>-2</v>
      </c>
      <c r="KEL5750" s="34">
        <v>-3</v>
      </c>
      <c r="KEM5750" s="34">
        <v>-4</v>
      </c>
      <c r="KEN5750" s="34">
        <v>-5</v>
      </c>
      <c r="KEO5750" s="908"/>
      <c r="KEP5750" s="909"/>
      <c r="KEQ5750" s="34">
        <v>-5</v>
      </c>
      <c r="KER5750" s="34">
        <v>-4.5</v>
      </c>
      <c r="KES5750" s="34">
        <v>-4</v>
      </c>
      <c r="KET5750" s="34">
        <v>-3.5</v>
      </c>
      <c r="KEU5750" s="34">
        <v>-3</v>
      </c>
      <c r="KEV5750" s="34">
        <v>-2.5</v>
      </c>
      <c r="KEW5750" s="34">
        <v>-2</v>
      </c>
      <c r="KEX5750" s="34">
        <v>-1.5</v>
      </c>
      <c r="KEY5750" s="34">
        <v>-1</v>
      </c>
      <c r="KEZ5750" s="34">
        <v>-0.5</v>
      </c>
      <c r="KFA5750" s="34">
        <v>0</v>
      </c>
      <c r="KFB5750" s="34">
        <v>0.5</v>
      </c>
      <c r="KFC5750" s="34">
        <v>1</v>
      </c>
      <c r="KFD5750" s="34">
        <v>1.5</v>
      </c>
      <c r="KFE5750" s="34">
        <v>2</v>
      </c>
      <c r="KFF5750" s="34">
        <v>2.5</v>
      </c>
      <c r="KFG5750" s="34">
        <v>3</v>
      </c>
      <c r="KFH5750" s="34">
        <v>3.5</v>
      </c>
      <c r="KFI5750" s="34">
        <v>4</v>
      </c>
      <c r="KFJ5750" s="34">
        <v>4.5</v>
      </c>
      <c r="KFK5750" s="34">
        <v>5</v>
      </c>
      <c r="KFM5750" s="913"/>
      <c r="KFN5750" s="31">
        <v>1</v>
      </c>
      <c r="KFO5750" s="34">
        <v>0</v>
      </c>
      <c r="KFP5750" s="34">
        <v>-1</v>
      </c>
      <c r="KFQ5750" s="34">
        <v>-2</v>
      </c>
      <c r="KFR5750" s="34">
        <v>-3</v>
      </c>
      <c r="KFS5750" s="34">
        <v>-4</v>
      </c>
      <c r="KFT5750" s="34">
        <v>-5</v>
      </c>
      <c r="KFU5750" s="908"/>
      <c r="KFV5750" s="909"/>
      <c r="KFW5750" s="34">
        <v>-5</v>
      </c>
      <c r="KFX5750" s="34">
        <v>-4.5</v>
      </c>
      <c r="KFY5750" s="34">
        <v>-4</v>
      </c>
      <c r="KFZ5750" s="34">
        <v>-3.5</v>
      </c>
      <c r="KGA5750" s="34">
        <v>-3</v>
      </c>
      <c r="KGB5750" s="34">
        <v>-2.5</v>
      </c>
      <c r="KGC5750" s="34">
        <v>-2</v>
      </c>
      <c r="KGD5750" s="34">
        <v>-1.5</v>
      </c>
      <c r="KGE5750" s="34">
        <v>-1</v>
      </c>
      <c r="KGF5750" s="34">
        <v>-0.5</v>
      </c>
      <c r="KGG5750" s="34">
        <v>0</v>
      </c>
      <c r="KGH5750" s="34">
        <v>0.5</v>
      </c>
      <c r="KGI5750" s="34">
        <v>1</v>
      </c>
      <c r="KGJ5750" s="34">
        <v>1.5</v>
      </c>
      <c r="KGK5750" s="34">
        <v>2</v>
      </c>
      <c r="KGL5750" s="34">
        <v>2.5</v>
      </c>
      <c r="KGM5750" s="34">
        <v>3</v>
      </c>
      <c r="KGN5750" s="34">
        <v>3.5</v>
      </c>
      <c r="KGO5750" s="34">
        <v>4</v>
      </c>
      <c r="KGP5750" s="34">
        <v>4.5</v>
      </c>
      <c r="KGQ5750" s="34">
        <v>5</v>
      </c>
      <c r="KGS5750" s="913"/>
      <c r="KGT5750" s="31">
        <v>1</v>
      </c>
      <c r="KGU5750" s="34">
        <v>0</v>
      </c>
      <c r="KGV5750" s="34">
        <v>-1</v>
      </c>
      <c r="KGW5750" s="34">
        <v>-2</v>
      </c>
      <c r="KGX5750" s="34">
        <v>-3</v>
      </c>
      <c r="KGY5750" s="34">
        <v>-4</v>
      </c>
      <c r="KGZ5750" s="34">
        <v>-5</v>
      </c>
      <c r="KHA5750" s="908"/>
      <c r="KHB5750" s="909"/>
      <c r="KHC5750" s="34">
        <v>-5</v>
      </c>
      <c r="KHD5750" s="34">
        <v>-4.5</v>
      </c>
      <c r="KHE5750" s="34">
        <v>-4</v>
      </c>
      <c r="KHF5750" s="34">
        <v>-3.5</v>
      </c>
      <c r="KHG5750" s="34">
        <v>-3</v>
      </c>
      <c r="KHH5750" s="34">
        <v>-2.5</v>
      </c>
      <c r="KHI5750" s="34">
        <v>-2</v>
      </c>
      <c r="KHJ5750" s="34">
        <v>-1.5</v>
      </c>
      <c r="KHK5750" s="34">
        <v>-1</v>
      </c>
      <c r="KHL5750" s="34">
        <v>-0.5</v>
      </c>
      <c r="KHM5750" s="34">
        <v>0</v>
      </c>
      <c r="KHN5750" s="34">
        <v>0.5</v>
      </c>
      <c r="KHO5750" s="34">
        <v>1</v>
      </c>
      <c r="KHP5750" s="34">
        <v>1.5</v>
      </c>
      <c r="KHQ5750" s="34">
        <v>2</v>
      </c>
      <c r="KHR5750" s="34">
        <v>2.5</v>
      </c>
      <c r="KHS5750" s="34">
        <v>3</v>
      </c>
      <c r="KHT5750" s="34">
        <v>3.5</v>
      </c>
      <c r="KHU5750" s="34">
        <v>4</v>
      </c>
      <c r="KHV5750" s="34">
        <v>4.5</v>
      </c>
      <c r="KHW5750" s="34">
        <v>5</v>
      </c>
      <c r="KHY5750" s="913"/>
      <c r="KHZ5750" s="31">
        <v>1</v>
      </c>
      <c r="KIA5750" s="34">
        <v>0</v>
      </c>
      <c r="KIB5750" s="34">
        <v>-1</v>
      </c>
      <c r="KIC5750" s="34">
        <v>-2</v>
      </c>
      <c r="KID5750" s="34">
        <v>-3</v>
      </c>
      <c r="KIE5750" s="34">
        <v>-4</v>
      </c>
      <c r="KIF5750" s="34">
        <v>-5</v>
      </c>
      <c r="KIG5750" s="908"/>
      <c r="KIH5750" s="909"/>
      <c r="KII5750" s="34">
        <v>-5</v>
      </c>
      <c r="KIJ5750" s="34">
        <v>-4.5</v>
      </c>
      <c r="KIK5750" s="34">
        <v>-4</v>
      </c>
      <c r="KIL5750" s="34">
        <v>-3.5</v>
      </c>
      <c r="KIM5750" s="34">
        <v>-3</v>
      </c>
      <c r="KIN5750" s="34">
        <v>-2.5</v>
      </c>
      <c r="KIO5750" s="34">
        <v>-2</v>
      </c>
      <c r="KIP5750" s="34">
        <v>-1.5</v>
      </c>
      <c r="KIQ5750" s="34">
        <v>-1</v>
      </c>
      <c r="KIR5750" s="34">
        <v>-0.5</v>
      </c>
      <c r="KIS5750" s="34">
        <v>0</v>
      </c>
      <c r="KIT5750" s="34">
        <v>0.5</v>
      </c>
      <c r="KIU5750" s="34">
        <v>1</v>
      </c>
      <c r="KIV5750" s="34">
        <v>1.5</v>
      </c>
      <c r="KIW5750" s="34">
        <v>2</v>
      </c>
      <c r="KIX5750" s="34">
        <v>2.5</v>
      </c>
      <c r="KIY5750" s="34">
        <v>3</v>
      </c>
      <c r="KIZ5750" s="34">
        <v>3.5</v>
      </c>
      <c r="KJA5750" s="34">
        <v>4</v>
      </c>
      <c r="KJB5750" s="34">
        <v>4.5</v>
      </c>
      <c r="KJC5750" s="34">
        <v>5</v>
      </c>
      <c r="KJE5750" s="913"/>
      <c r="KJF5750" s="31">
        <v>1</v>
      </c>
      <c r="KJG5750" s="34">
        <v>0</v>
      </c>
      <c r="KJH5750" s="34">
        <v>-1</v>
      </c>
      <c r="KJI5750" s="34">
        <v>-2</v>
      </c>
      <c r="KJJ5750" s="34">
        <v>-3</v>
      </c>
      <c r="KJK5750" s="34">
        <v>-4</v>
      </c>
      <c r="KJL5750" s="34">
        <v>-5</v>
      </c>
      <c r="KJM5750" s="908"/>
      <c r="KJN5750" s="909"/>
      <c r="KJO5750" s="34">
        <v>-5</v>
      </c>
      <c r="KJP5750" s="34">
        <v>-4.5</v>
      </c>
      <c r="KJQ5750" s="34">
        <v>-4</v>
      </c>
      <c r="KJR5750" s="34">
        <v>-3.5</v>
      </c>
      <c r="KJS5750" s="34">
        <v>-3</v>
      </c>
      <c r="KJT5750" s="34">
        <v>-2.5</v>
      </c>
      <c r="KJU5750" s="34">
        <v>-2</v>
      </c>
      <c r="KJV5750" s="34">
        <v>-1.5</v>
      </c>
      <c r="KJW5750" s="34">
        <v>-1</v>
      </c>
      <c r="KJX5750" s="34">
        <v>-0.5</v>
      </c>
      <c r="KJY5750" s="34">
        <v>0</v>
      </c>
      <c r="KJZ5750" s="34">
        <v>0.5</v>
      </c>
      <c r="KKA5750" s="34">
        <v>1</v>
      </c>
      <c r="KKB5750" s="34">
        <v>1.5</v>
      </c>
      <c r="KKC5750" s="34">
        <v>2</v>
      </c>
      <c r="KKD5750" s="34">
        <v>2.5</v>
      </c>
      <c r="KKE5750" s="34">
        <v>3</v>
      </c>
      <c r="KKF5750" s="34">
        <v>3.5</v>
      </c>
      <c r="KKG5750" s="34">
        <v>4</v>
      </c>
      <c r="KKH5750" s="34">
        <v>4.5</v>
      </c>
      <c r="KKI5750" s="34">
        <v>5</v>
      </c>
      <c r="KKK5750" s="913"/>
      <c r="KKL5750" s="31">
        <v>1</v>
      </c>
      <c r="KKM5750" s="34">
        <v>0</v>
      </c>
      <c r="KKN5750" s="34">
        <v>-1</v>
      </c>
      <c r="KKO5750" s="34">
        <v>-2</v>
      </c>
      <c r="KKP5750" s="34">
        <v>-3</v>
      </c>
      <c r="KKQ5750" s="34">
        <v>-4</v>
      </c>
      <c r="KKR5750" s="34">
        <v>-5</v>
      </c>
      <c r="KKS5750" s="908"/>
      <c r="KKT5750" s="909"/>
      <c r="KKU5750" s="34">
        <v>-5</v>
      </c>
      <c r="KKV5750" s="34">
        <v>-4.5</v>
      </c>
      <c r="KKW5750" s="34">
        <v>-4</v>
      </c>
      <c r="KKX5750" s="34">
        <v>-3.5</v>
      </c>
      <c r="KKY5750" s="34">
        <v>-3</v>
      </c>
      <c r="KKZ5750" s="34">
        <v>-2.5</v>
      </c>
      <c r="KLA5750" s="34">
        <v>-2</v>
      </c>
      <c r="KLB5750" s="34">
        <v>-1.5</v>
      </c>
      <c r="KLC5750" s="34">
        <v>-1</v>
      </c>
      <c r="KLD5750" s="34">
        <v>-0.5</v>
      </c>
      <c r="KLE5750" s="34">
        <v>0</v>
      </c>
      <c r="KLF5750" s="34">
        <v>0.5</v>
      </c>
      <c r="KLG5750" s="34">
        <v>1</v>
      </c>
      <c r="KLH5750" s="34">
        <v>1.5</v>
      </c>
      <c r="KLI5750" s="34">
        <v>2</v>
      </c>
      <c r="KLJ5750" s="34">
        <v>2.5</v>
      </c>
      <c r="KLK5750" s="34">
        <v>3</v>
      </c>
      <c r="KLL5750" s="34">
        <v>3.5</v>
      </c>
      <c r="KLM5750" s="34">
        <v>4</v>
      </c>
      <c r="KLN5750" s="34">
        <v>4.5</v>
      </c>
      <c r="KLO5750" s="34">
        <v>5</v>
      </c>
      <c r="KLQ5750" s="913"/>
      <c r="KLR5750" s="31">
        <v>1</v>
      </c>
      <c r="KLS5750" s="34">
        <v>0</v>
      </c>
      <c r="KLT5750" s="34">
        <v>-1</v>
      </c>
      <c r="KLU5750" s="34">
        <v>-2</v>
      </c>
      <c r="KLV5750" s="34">
        <v>-3</v>
      </c>
      <c r="KLW5750" s="34">
        <v>-4</v>
      </c>
      <c r="KLX5750" s="34">
        <v>-5</v>
      </c>
      <c r="KLY5750" s="908"/>
      <c r="KLZ5750" s="909"/>
      <c r="KMA5750" s="34">
        <v>-5</v>
      </c>
      <c r="KMB5750" s="34">
        <v>-4.5</v>
      </c>
      <c r="KMC5750" s="34">
        <v>-4</v>
      </c>
      <c r="KMD5750" s="34">
        <v>-3.5</v>
      </c>
      <c r="KME5750" s="34">
        <v>-3</v>
      </c>
      <c r="KMF5750" s="34">
        <v>-2.5</v>
      </c>
      <c r="KMG5750" s="34">
        <v>-2</v>
      </c>
      <c r="KMH5750" s="34">
        <v>-1.5</v>
      </c>
      <c r="KMI5750" s="34">
        <v>-1</v>
      </c>
      <c r="KMJ5750" s="34">
        <v>-0.5</v>
      </c>
      <c r="KMK5750" s="34">
        <v>0</v>
      </c>
      <c r="KML5750" s="34">
        <v>0.5</v>
      </c>
      <c r="KMM5750" s="34">
        <v>1</v>
      </c>
      <c r="KMN5750" s="34">
        <v>1.5</v>
      </c>
      <c r="KMO5750" s="34">
        <v>2</v>
      </c>
      <c r="KMP5750" s="34">
        <v>2.5</v>
      </c>
      <c r="KMQ5750" s="34">
        <v>3</v>
      </c>
      <c r="KMR5750" s="34">
        <v>3.5</v>
      </c>
      <c r="KMS5750" s="34">
        <v>4</v>
      </c>
      <c r="KMT5750" s="34">
        <v>4.5</v>
      </c>
      <c r="KMU5750" s="34">
        <v>5</v>
      </c>
      <c r="KMW5750" s="913"/>
      <c r="KMX5750" s="31">
        <v>1</v>
      </c>
      <c r="KMY5750" s="34">
        <v>0</v>
      </c>
      <c r="KMZ5750" s="34">
        <v>-1</v>
      </c>
      <c r="KNA5750" s="34">
        <v>-2</v>
      </c>
      <c r="KNB5750" s="34">
        <v>-3</v>
      </c>
      <c r="KNC5750" s="34">
        <v>-4</v>
      </c>
      <c r="KND5750" s="34">
        <v>-5</v>
      </c>
      <c r="KNE5750" s="908"/>
      <c r="KNF5750" s="909"/>
      <c r="KNG5750" s="34">
        <v>-5</v>
      </c>
      <c r="KNH5750" s="34">
        <v>-4.5</v>
      </c>
      <c r="KNI5750" s="34">
        <v>-4</v>
      </c>
      <c r="KNJ5750" s="34">
        <v>-3.5</v>
      </c>
      <c r="KNK5750" s="34">
        <v>-3</v>
      </c>
      <c r="KNL5750" s="34">
        <v>-2.5</v>
      </c>
      <c r="KNM5750" s="34">
        <v>-2</v>
      </c>
      <c r="KNN5750" s="34">
        <v>-1.5</v>
      </c>
      <c r="KNO5750" s="34">
        <v>-1</v>
      </c>
      <c r="KNP5750" s="34">
        <v>-0.5</v>
      </c>
      <c r="KNQ5750" s="34">
        <v>0</v>
      </c>
      <c r="KNR5750" s="34">
        <v>0.5</v>
      </c>
      <c r="KNS5750" s="34">
        <v>1</v>
      </c>
      <c r="KNT5750" s="34">
        <v>1.5</v>
      </c>
      <c r="KNU5750" s="34">
        <v>2</v>
      </c>
      <c r="KNV5750" s="34">
        <v>2.5</v>
      </c>
      <c r="KNW5750" s="34">
        <v>3</v>
      </c>
      <c r="KNX5750" s="34">
        <v>3.5</v>
      </c>
      <c r="KNY5750" s="34">
        <v>4</v>
      </c>
      <c r="KNZ5750" s="34">
        <v>4.5</v>
      </c>
      <c r="KOA5750" s="34">
        <v>5</v>
      </c>
      <c r="KOC5750" s="913"/>
      <c r="KOD5750" s="31">
        <v>1</v>
      </c>
      <c r="KOE5750" s="34">
        <v>0</v>
      </c>
      <c r="KOF5750" s="34">
        <v>-1</v>
      </c>
      <c r="KOG5750" s="34">
        <v>-2</v>
      </c>
      <c r="KOH5750" s="34">
        <v>-3</v>
      </c>
      <c r="KOI5750" s="34">
        <v>-4</v>
      </c>
      <c r="KOJ5750" s="34">
        <v>-5</v>
      </c>
      <c r="KOK5750" s="908"/>
      <c r="KOL5750" s="909"/>
      <c r="KOM5750" s="34">
        <v>-5</v>
      </c>
      <c r="KON5750" s="34">
        <v>-4.5</v>
      </c>
      <c r="KOO5750" s="34">
        <v>-4</v>
      </c>
      <c r="KOP5750" s="34">
        <v>-3.5</v>
      </c>
      <c r="KOQ5750" s="34">
        <v>-3</v>
      </c>
      <c r="KOR5750" s="34">
        <v>-2.5</v>
      </c>
      <c r="KOS5750" s="34">
        <v>-2</v>
      </c>
      <c r="KOT5750" s="34">
        <v>-1.5</v>
      </c>
      <c r="KOU5750" s="34">
        <v>-1</v>
      </c>
      <c r="KOV5750" s="34">
        <v>-0.5</v>
      </c>
      <c r="KOW5750" s="34">
        <v>0</v>
      </c>
      <c r="KOX5750" s="34">
        <v>0.5</v>
      </c>
      <c r="KOY5750" s="34">
        <v>1</v>
      </c>
      <c r="KOZ5750" s="34">
        <v>1.5</v>
      </c>
      <c r="KPA5750" s="34">
        <v>2</v>
      </c>
      <c r="KPB5750" s="34">
        <v>2.5</v>
      </c>
      <c r="KPC5750" s="34">
        <v>3</v>
      </c>
      <c r="KPD5750" s="34">
        <v>3.5</v>
      </c>
      <c r="KPE5750" s="34">
        <v>4</v>
      </c>
      <c r="KPF5750" s="34">
        <v>4.5</v>
      </c>
      <c r="KPG5750" s="34">
        <v>5</v>
      </c>
      <c r="KPI5750" s="913"/>
      <c r="KPJ5750" s="31">
        <v>1</v>
      </c>
      <c r="KPK5750" s="34">
        <v>0</v>
      </c>
      <c r="KPL5750" s="34">
        <v>-1</v>
      </c>
      <c r="KPM5750" s="34">
        <v>-2</v>
      </c>
      <c r="KPN5750" s="34">
        <v>-3</v>
      </c>
      <c r="KPO5750" s="34">
        <v>-4</v>
      </c>
      <c r="KPP5750" s="34">
        <v>-5</v>
      </c>
      <c r="KPQ5750" s="908"/>
      <c r="KPR5750" s="909"/>
      <c r="KPS5750" s="34">
        <v>-5</v>
      </c>
      <c r="KPT5750" s="34">
        <v>-4.5</v>
      </c>
      <c r="KPU5750" s="34">
        <v>-4</v>
      </c>
      <c r="KPV5750" s="34">
        <v>-3.5</v>
      </c>
      <c r="KPW5750" s="34">
        <v>-3</v>
      </c>
      <c r="KPX5750" s="34">
        <v>-2.5</v>
      </c>
      <c r="KPY5750" s="34">
        <v>-2</v>
      </c>
      <c r="KPZ5750" s="34">
        <v>-1.5</v>
      </c>
      <c r="KQA5750" s="34">
        <v>-1</v>
      </c>
      <c r="KQB5750" s="34">
        <v>-0.5</v>
      </c>
      <c r="KQC5750" s="34">
        <v>0</v>
      </c>
      <c r="KQD5750" s="34">
        <v>0.5</v>
      </c>
      <c r="KQE5750" s="34">
        <v>1</v>
      </c>
      <c r="KQF5750" s="34">
        <v>1.5</v>
      </c>
      <c r="KQG5750" s="34">
        <v>2</v>
      </c>
      <c r="KQH5750" s="34">
        <v>2.5</v>
      </c>
      <c r="KQI5750" s="34">
        <v>3</v>
      </c>
      <c r="KQJ5750" s="34">
        <v>3.5</v>
      </c>
      <c r="KQK5750" s="34">
        <v>4</v>
      </c>
      <c r="KQL5750" s="34">
        <v>4.5</v>
      </c>
      <c r="KQM5750" s="34">
        <v>5</v>
      </c>
      <c r="KQO5750" s="913"/>
      <c r="KQP5750" s="31">
        <v>1</v>
      </c>
      <c r="KQQ5750" s="34">
        <v>0</v>
      </c>
      <c r="KQR5750" s="34">
        <v>-1</v>
      </c>
      <c r="KQS5750" s="34">
        <v>-2</v>
      </c>
      <c r="KQT5750" s="34">
        <v>-3</v>
      </c>
      <c r="KQU5750" s="34">
        <v>-4</v>
      </c>
      <c r="KQV5750" s="34">
        <v>-5</v>
      </c>
      <c r="KQW5750" s="908"/>
      <c r="KQX5750" s="909"/>
      <c r="KQY5750" s="34">
        <v>-5</v>
      </c>
      <c r="KQZ5750" s="34">
        <v>-4.5</v>
      </c>
      <c r="KRA5750" s="34">
        <v>-4</v>
      </c>
      <c r="KRB5750" s="34">
        <v>-3.5</v>
      </c>
      <c r="KRC5750" s="34">
        <v>-3</v>
      </c>
      <c r="KRD5750" s="34">
        <v>-2.5</v>
      </c>
      <c r="KRE5750" s="34">
        <v>-2</v>
      </c>
      <c r="KRF5750" s="34">
        <v>-1.5</v>
      </c>
      <c r="KRG5750" s="34">
        <v>-1</v>
      </c>
      <c r="KRH5750" s="34">
        <v>-0.5</v>
      </c>
      <c r="KRI5750" s="34">
        <v>0</v>
      </c>
      <c r="KRJ5750" s="34">
        <v>0.5</v>
      </c>
      <c r="KRK5750" s="34">
        <v>1</v>
      </c>
      <c r="KRL5750" s="34">
        <v>1.5</v>
      </c>
      <c r="KRM5750" s="34">
        <v>2</v>
      </c>
      <c r="KRN5750" s="34">
        <v>2.5</v>
      </c>
      <c r="KRO5750" s="34">
        <v>3</v>
      </c>
      <c r="KRP5750" s="34">
        <v>3.5</v>
      </c>
      <c r="KRQ5750" s="34">
        <v>4</v>
      </c>
      <c r="KRR5750" s="34">
        <v>4.5</v>
      </c>
      <c r="KRS5750" s="34">
        <v>5</v>
      </c>
      <c r="KRU5750" s="913"/>
      <c r="KRV5750" s="31">
        <v>1</v>
      </c>
      <c r="KRW5750" s="34">
        <v>0</v>
      </c>
      <c r="KRX5750" s="34">
        <v>-1</v>
      </c>
      <c r="KRY5750" s="34">
        <v>-2</v>
      </c>
      <c r="KRZ5750" s="34">
        <v>-3</v>
      </c>
      <c r="KSA5750" s="34">
        <v>-4</v>
      </c>
      <c r="KSB5750" s="34">
        <v>-5</v>
      </c>
      <c r="KSC5750" s="908"/>
      <c r="KSD5750" s="909"/>
      <c r="KSE5750" s="34">
        <v>-5</v>
      </c>
      <c r="KSF5750" s="34">
        <v>-4.5</v>
      </c>
      <c r="KSG5750" s="34">
        <v>-4</v>
      </c>
      <c r="KSH5750" s="34">
        <v>-3.5</v>
      </c>
      <c r="KSI5750" s="34">
        <v>-3</v>
      </c>
      <c r="KSJ5750" s="34">
        <v>-2.5</v>
      </c>
      <c r="KSK5750" s="34">
        <v>-2</v>
      </c>
      <c r="KSL5750" s="34">
        <v>-1.5</v>
      </c>
      <c r="KSM5750" s="34">
        <v>-1</v>
      </c>
      <c r="KSN5750" s="34">
        <v>-0.5</v>
      </c>
      <c r="KSO5750" s="34">
        <v>0</v>
      </c>
      <c r="KSP5750" s="34">
        <v>0.5</v>
      </c>
      <c r="KSQ5750" s="34">
        <v>1</v>
      </c>
      <c r="KSR5750" s="34">
        <v>1.5</v>
      </c>
      <c r="KSS5750" s="34">
        <v>2</v>
      </c>
      <c r="KST5750" s="34">
        <v>2.5</v>
      </c>
      <c r="KSU5750" s="34">
        <v>3</v>
      </c>
      <c r="KSV5750" s="34">
        <v>3.5</v>
      </c>
      <c r="KSW5750" s="34">
        <v>4</v>
      </c>
      <c r="KSX5750" s="34">
        <v>4.5</v>
      </c>
      <c r="KSY5750" s="34">
        <v>5</v>
      </c>
      <c r="KTA5750" s="913"/>
      <c r="KTB5750" s="31">
        <v>1</v>
      </c>
      <c r="KTC5750" s="34">
        <v>0</v>
      </c>
      <c r="KTD5750" s="34">
        <v>-1</v>
      </c>
      <c r="KTE5750" s="34">
        <v>-2</v>
      </c>
      <c r="KTF5750" s="34">
        <v>-3</v>
      </c>
      <c r="KTG5750" s="34">
        <v>-4</v>
      </c>
      <c r="KTH5750" s="34">
        <v>-5</v>
      </c>
      <c r="KTI5750" s="908"/>
      <c r="KTJ5750" s="909"/>
      <c r="KTK5750" s="34">
        <v>-5</v>
      </c>
      <c r="KTL5750" s="34">
        <v>-4.5</v>
      </c>
      <c r="KTM5750" s="34">
        <v>-4</v>
      </c>
      <c r="KTN5750" s="34">
        <v>-3.5</v>
      </c>
      <c r="KTO5750" s="34">
        <v>-3</v>
      </c>
      <c r="KTP5750" s="34">
        <v>-2.5</v>
      </c>
      <c r="KTQ5750" s="34">
        <v>-2</v>
      </c>
      <c r="KTR5750" s="34">
        <v>-1.5</v>
      </c>
      <c r="KTS5750" s="34">
        <v>-1</v>
      </c>
      <c r="KTT5750" s="34">
        <v>-0.5</v>
      </c>
      <c r="KTU5750" s="34">
        <v>0</v>
      </c>
      <c r="KTV5750" s="34">
        <v>0.5</v>
      </c>
      <c r="KTW5750" s="34">
        <v>1</v>
      </c>
      <c r="KTX5750" s="34">
        <v>1.5</v>
      </c>
      <c r="KTY5750" s="34">
        <v>2</v>
      </c>
      <c r="KTZ5750" s="34">
        <v>2.5</v>
      </c>
      <c r="KUA5750" s="34">
        <v>3</v>
      </c>
      <c r="KUB5750" s="34">
        <v>3.5</v>
      </c>
      <c r="KUC5750" s="34">
        <v>4</v>
      </c>
      <c r="KUD5750" s="34">
        <v>4.5</v>
      </c>
      <c r="KUE5750" s="34">
        <v>5</v>
      </c>
      <c r="KUG5750" s="913"/>
      <c r="KUH5750" s="31">
        <v>1</v>
      </c>
      <c r="KUI5750" s="34">
        <v>0</v>
      </c>
      <c r="KUJ5750" s="34">
        <v>-1</v>
      </c>
      <c r="KUK5750" s="34">
        <v>-2</v>
      </c>
      <c r="KUL5750" s="34">
        <v>-3</v>
      </c>
      <c r="KUM5750" s="34">
        <v>-4</v>
      </c>
      <c r="KUN5750" s="34">
        <v>-5</v>
      </c>
      <c r="KUO5750" s="908"/>
      <c r="KUP5750" s="909"/>
      <c r="KUQ5750" s="34">
        <v>-5</v>
      </c>
      <c r="KUR5750" s="34">
        <v>-4.5</v>
      </c>
      <c r="KUS5750" s="34">
        <v>-4</v>
      </c>
      <c r="KUT5750" s="34">
        <v>-3.5</v>
      </c>
      <c r="KUU5750" s="34">
        <v>-3</v>
      </c>
      <c r="KUV5750" s="34">
        <v>-2.5</v>
      </c>
      <c r="KUW5750" s="34">
        <v>-2</v>
      </c>
      <c r="KUX5750" s="34">
        <v>-1.5</v>
      </c>
      <c r="KUY5750" s="34">
        <v>-1</v>
      </c>
      <c r="KUZ5750" s="34">
        <v>-0.5</v>
      </c>
      <c r="KVA5750" s="34">
        <v>0</v>
      </c>
      <c r="KVB5750" s="34">
        <v>0.5</v>
      </c>
      <c r="KVC5750" s="34">
        <v>1</v>
      </c>
      <c r="KVD5750" s="34">
        <v>1.5</v>
      </c>
      <c r="KVE5750" s="34">
        <v>2</v>
      </c>
      <c r="KVF5750" s="34">
        <v>2.5</v>
      </c>
      <c r="KVG5750" s="34">
        <v>3</v>
      </c>
      <c r="KVH5750" s="34">
        <v>3.5</v>
      </c>
      <c r="KVI5750" s="34">
        <v>4</v>
      </c>
      <c r="KVJ5750" s="34">
        <v>4.5</v>
      </c>
      <c r="KVK5750" s="34">
        <v>5</v>
      </c>
      <c r="KVM5750" s="913"/>
      <c r="KVN5750" s="31">
        <v>1</v>
      </c>
      <c r="KVO5750" s="34">
        <v>0</v>
      </c>
      <c r="KVP5750" s="34">
        <v>-1</v>
      </c>
      <c r="KVQ5750" s="34">
        <v>-2</v>
      </c>
      <c r="KVR5750" s="34">
        <v>-3</v>
      </c>
      <c r="KVS5750" s="34">
        <v>-4</v>
      </c>
      <c r="KVT5750" s="34">
        <v>-5</v>
      </c>
      <c r="KVU5750" s="908"/>
      <c r="KVV5750" s="909"/>
      <c r="KVW5750" s="34">
        <v>-5</v>
      </c>
      <c r="KVX5750" s="34">
        <v>-4.5</v>
      </c>
      <c r="KVY5750" s="34">
        <v>-4</v>
      </c>
      <c r="KVZ5750" s="34">
        <v>-3.5</v>
      </c>
      <c r="KWA5750" s="34">
        <v>-3</v>
      </c>
      <c r="KWB5750" s="34">
        <v>-2.5</v>
      </c>
      <c r="KWC5750" s="34">
        <v>-2</v>
      </c>
      <c r="KWD5750" s="34">
        <v>-1.5</v>
      </c>
      <c r="KWE5750" s="34">
        <v>-1</v>
      </c>
      <c r="KWF5750" s="34">
        <v>-0.5</v>
      </c>
      <c r="KWG5750" s="34">
        <v>0</v>
      </c>
      <c r="KWH5750" s="34">
        <v>0.5</v>
      </c>
      <c r="KWI5750" s="34">
        <v>1</v>
      </c>
      <c r="KWJ5750" s="34">
        <v>1.5</v>
      </c>
      <c r="KWK5750" s="34">
        <v>2</v>
      </c>
      <c r="KWL5750" s="34">
        <v>2.5</v>
      </c>
      <c r="KWM5750" s="34">
        <v>3</v>
      </c>
      <c r="KWN5750" s="34">
        <v>3.5</v>
      </c>
      <c r="KWO5750" s="34">
        <v>4</v>
      </c>
      <c r="KWP5750" s="34">
        <v>4.5</v>
      </c>
      <c r="KWQ5750" s="34">
        <v>5</v>
      </c>
      <c r="KWS5750" s="913"/>
      <c r="KWT5750" s="31">
        <v>1</v>
      </c>
      <c r="KWU5750" s="34">
        <v>0</v>
      </c>
      <c r="KWV5750" s="34">
        <v>-1</v>
      </c>
      <c r="KWW5750" s="34">
        <v>-2</v>
      </c>
      <c r="KWX5750" s="34">
        <v>-3</v>
      </c>
      <c r="KWY5750" s="34">
        <v>-4</v>
      </c>
      <c r="KWZ5750" s="34">
        <v>-5</v>
      </c>
      <c r="KXA5750" s="908"/>
      <c r="KXB5750" s="909"/>
      <c r="KXC5750" s="34">
        <v>-5</v>
      </c>
      <c r="KXD5750" s="34">
        <v>-4.5</v>
      </c>
      <c r="KXE5750" s="34">
        <v>-4</v>
      </c>
      <c r="KXF5750" s="34">
        <v>-3.5</v>
      </c>
      <c r="KXG5750" s="34">
        <v>-3</v>
      </c>
      <c r="KXH5750" s="34">
        <v>-2.5</v>
      </c>
      <c r="KXI5750" s="34">
        <v>-2</v>
      </c>
      <c r="KXJ5750" s="34">
        <v>-1.5</v>
      </c>
      <c r="KXK5750" s="34">
        <v>-1</v>
      </c>
      <c r="KXL5750" s="34">
        <v>-0.5</v>
      </c>
      <c r="KXM5750" s="34">
        <v>0</v>
      </c>
      <c r="KXN5750" s="34">
        <v>0.5</v>
      </c>
      <c r="KXO5750" s="34">
        <v>1</v>
      </c>
      <c r="KXP5750" s="34">
        <v>1.5</v>
      </c>
      <c r="KXQ5750" s="34">
        <v>2</v>
      </c>
      <c r="KXR5750" s="34">
        <v>2.5</v>
      </c>
      <c r="KXS5750" s="34">
        <v>3</v>
      </c>
      <c r="KXT5750" s="34">
        <v>3.5</v>
      </c>
      <c r="KXU5750" s="34">
        <v>4</v>
      </c>
      <c r="KXV5750" s="34">
        <v>4.5</v>
      </c>
      <c r="KXW5750" s="34">
        <v>5</v>
      </c>
      <c r="KXY5750" s="913"/>
      <c r="KXZ5750" s="31">
        <v>1</v>
      </c>
      <c r="KYA5750" s="34">
        <v>0</v>
      </c>
      <c r="KYB5750" s="34">
        <v>-1</v>
      </c>
      <c r="KYC5750" s="34">
        <v>-2</v>
      </c>
      <c r="KYD5750" s="34">
        <v>-3</v>
      </c>
      <c r="KYE5750" s="34">
        <v>-4</v>
      </c>
      <c r="KYF5750" s="34">
        <v>-5</v>
      </c>
      <c r="KYG5750" s="908"/>
      <c r="KYH5750" s="909"/>
      <c r="KYI5750" s="34">
        <v>-5</v>
      </c>
      <c r="KYJ5750" s="34">
        <v>-4.5</v>
      </c>
      <c r="KYK5750" s="34">
        <v>-4</v>
      </c>
      <c r="KYL5750" s="34">
        <v>-3.5</v>
      </c>
      <c r="KYM5750" s="34">
        <v>-3</v>
      </c>
      <c r="KYN5750" s="34">
        <v>-2.5</v>
      </c>
      <c r="KYO5750" s="34">
        <v>-2</v>
      </c>
      <c r="KYP5750" s="34">
        <v>-1.5</v>
      </c>
      <c r="KYQ5750" s="34">
        <v>-1</v>
      </c>
      <c r="KYR5750" s="34">
        <v>-0.5</v>
      </c>
      <c r="KYS5750" s="34">
        <v>0</v>
      </c>
      <c r="KYT5750" s="34">
        <v>0.5</v>
      </c>
      <c r="KYU5750" s="34">
        <v>1</v>
      </c>
      <c r="KYV5750" s="34">
        <v>1.5</v>
      </c>
      <c r="KYW5750" s="34">
        <v>2</v>
      </c>
      <c r="KYX5750" s="34">
        <v>2.5</v>
      </c>
      <c r="KYY5750" s="34">
        <v>3</v>
      </c>
      <c r="KYZ5750" s="34">
        <v>3.5</v>
      </c>
      <c r="KZA5750" s="34">
        <v>4</v>
      </c>
      <c r="KZB5750" s="34">
        <v>4.5</v>
      </c>
      <c r="KZC5750" s="34">
        <v>5</v>
      </c>
      <c r="KZE5750" s="913"/>
      <c r="KZF5750" s="31">
        <v>1</v>
      </c>
      <c r="KZG5750" s="34">
        <v>0</v>
      </c>
      <c r="KZH5750" s="34">
        <v>-1</v>
      </c>
      <c r="KZI5750" s="34">
        <v>-2</v>
      </c>
      <c r="KZJ5750" s="34">
        <v>-3</v>
      </c>
      <c r="KZK5750" s="34">
        <v>-4</v>
      </c>
      <c r="KZL5750" s="34">
        <v>-5</v>
      </c>
      <c r="KZM5750" s="908"/>
      <c r="KZN5750" s="909"/>
      <c r="KZO5750" s="34">
        <v>-5</v>
      </c>
      <c r="KZP5750" s="34">
        <v>-4.5</v>
      </c>
      <c r="KZQ5750" s="34">
        <v>-4</v>
      </c>
      <c r="KZR5750" s="34">
        <v>-3.5</v>
      </c>
      <c r="KZS5750" s="34">
        <v>-3</v>
      </c>
      <c r="KZT5750" s="34">
        <v>-2.5</v>
      </c>
      <c r="KZU5750" s="34">
        <v>-2</v>
      </c>
      <c r="KZV5750" s="34">
        <v>-1.5</v>
      </c>
      <c r="KZW5750" s="34">
        <v>-1</v>
      </c>
      <c r="KZX5750" s="34">
        <v>-0.5</v>
      </c>
      <c r="KZY5750" s="34">
        <v>0</v>
      </c>
      <c r="KZZ5750" s="34">
        <v>0.5</v>
      </c>
      <c r="LAA5750" s="34">
        <v>1</v>
      </c>
      <c r="LAB5750" s="34">
        <v>1.5</v>
      </c>
      <c r="LAC5750" s="34">
        <v>2</v>
      </c>
      <c r="LAD5750" s="34">
        <v>2.5</v>
      </c>
      <c r="LAE5750" s="34">
        <v>3</v>
      </c>
      <c r="LAF5750" s="34">
        <v>3.5</v>
      </c>
      <c r="LAG5750" s="34">
        <v>4</v>
      </c>
      <c r="LAH5750" s="34">
        <v>4.5</v>
      </c>
      <c r="LAI5750" s="34">
        <v>5</v>
      </c>
      <c r="LAK5750" s="913"/>
      <c r="LAL5750" s="31">
        <v>1</v>
      </c>
      <c r="LAM5750" s="34">
        <v>0</v>
      </c>
      <c r="LAN5750" s="34">
        <v>-1</v>
      </c>
      <c r="LAO5750" s="34">
        <v>-2</v>
      </c>
      <c r="LAP5750" s="34">
        <v>-3</v>
      </c>
      <c r="LAQ5750" s="34">
        <v>-4</v>
      </c>
      <c r="LAR5750" s="34">
        <v>-5</v>
      </c>
      <c r="LAS5750" s="908"/>
      <c r="LAT5750" s="909"/>
      <c r="LAU5750" s="34">
        <v>-5</v>
      </c>
      <c r="LAV5750" s="34">
        <v>-4.5</v>
      </c>
      <c r="LAW5750" s="34">
        <v>-4</v>
      </c>
      <c r="LAX5750" s="34">
        <v>-3.5</v>
      </c>
      <c r="LAY5750" s="34">
        <v>-3</v>
      </c>
      <c r="LAZ5750" s="34">
        <v>-2.5</v>
      </c>
      <c r="LBA5750" s="34">
        <v>-2</v>
      </c>
      <c r="LBB5750" s="34">
        <v>-1.5</v>
      </c>
      <c r="LBC5750" s="34">
        <v>-1</v>
      </c>
      <c r="LBD5750" s="34">
        <v>-0.5</v>
      </c>
      <c r="LBE5750" s="34">
        <v>0</v>
      </c>
      <c r="LBF5750" s="34">
        <v>0.5</v>
      </c>
      <c r="LBG5750" s="34">
        <v>1</v>
      </c>
      <c r="LBH5750" s="34">
        <v>1.5</v>
      </c>
      <c r="LBI5750" s="34">
        <v>2</v>
      </c>
      <c r="LBJ5750" s="34">
        <v>2.5</v>
      </c>
      <c r="LBK5750" s="34">
        <v>3</v>
      </c>
      <c r="LBL5750" s="34">
        <v>3.5</v>
      </c>
      <c r="LBM5750" s="34">
        <v>4</v>
      </c>
      <c r="LBN5750" s="34">
        <v>4.5</v>
      </c>
      <c r="LBO5750" s="34">
        <v>5</v>
      </c>
      <c r="LBQ5750" s="913"/>
      <c r="LBR5750" s="31">
        <v>1</v>
      </c>
      <c r="LBS5750" s="34">
        <v>0</v>
      </c>
      <c r="LBT5750" s="34">
        <v>-1</v>
      </c>
      <c r="LBU5750" s="34">
        <v>-2</v>
      </c>
      <c r="LBV5750" s="34">
        <v>-3</v>
      </c>
      <c r="LBW5750" s="34">
        <v>-4</v>
      </c>
      <c r="LBX5750" s="34">
        <v>-5</v>
      </c>
      <c r="LBY5750" s="908"/>
      <c r="LBZ5750" s="909"/>
      <c r="LCA5750" s="34">
        <v>-5</v>
      </c>
      <c r="LCB5750" s="34">
        <v>-4.5</v>
      </c>
      <c r="LCC5750" s="34">
        <v>-4</v>
      </c>
      <c r="LCD5750" s="34">
        <v>-3.5</v>
      </c>
      <c r="LCE5750" s="34">
        <v>-3</v>
      </c>
      <c r="LCF5750" s="34">
        <v>-2.5</v>
      </c>
      <c r="LCG5750" s="34">
        <v>-2</v>
      </c>
      <c r="LCH5750" s="34">
        <v>-1.5</v>
      </c>
      <c r="LCI5750" s="34">
        <v>-1</v>
      </c>
      <c r="LCJ5750" s="34">
        <v>-0.5</v>
      </c>
      <c r="LCK5750" s="34">
        <v>0</v>
      </c>
      <c r="LCL5750" s="34">
        <v>0.5</v>
      </c>
      <c r="LCM5750" s="34">
        <v>1</v>
      </c>
      <c r="LCN5750" s="34">
        <v>1.5</v>
      </c>
      <c r="LCO5750" s="34">
        <v>2</v>
      </c>
      <c r="LCP5750" s="34">
        <v>2.5</v>
      </c>
      <c r="LCQ5750" s="34">
        <v>3</v>
      </c>
      <c r="LCR5750" s="34">
        <v>3.5</v>
      </c>
      <c r="LCS5750" s="34">
        <v>4</v>
      </c>
      <c r="LCT5750" s="34">
        <v>4.5</v>
      </c>
      <c r="LCU5750" s="34">
        <v>5</v>
      </c>
      <c r="LCW5750" s="913"/>
      <c r="LCX5750" s="31">
        <v>1</v>
      </c>
      <c r="LCY5750" s="34">
        <v>0</v>
      </c>
      <c r="LCZ5750" s="34">
        <v>-1</v>
      </c>
      <c r="LDA5750" s="34">
        <v>-2</v>
      </c>
      <c r="LDB5750" s="34">
        <v>-3</v>
      </c>
      <c r="LDC5750" s="34">
        <v>-4</v>
      </c>
      <c r="LDD5750" s="34">
        <v>-5</v>
      </c>
      <c r="LDE5750" s="908"/>
      <c r="LDF5750" s="909"/>
      <c r="LDG5750" s="34">
        <v>-5</v>
      </c>
      <c r="LDH5750" s="34">
        <v>-4.5</v>
      </c>
      <c r="LDI5750" s="34">
        <v>-4</v>
      </c>
      <c r="LDJ5750" s="34">
        <v>-3.5</v>
      </c>
      <c r="LDK5750" s="34">
        <v>-3</v>
      </c>
      <c r="LDL5750" s="34">
        <v>-2.5</v>
      </c>
      <c r="LDM5750" s="34">
        <v>-2</v>
      </c>
      <c r="LDN5750" s="34">
        <v>-1.5</v>
      </c>
      <c r="LDO5750" s="34">
        <v>-1</v>
      </c>
      <c r="LDP5750" s="34">
        <v>-0.5</v>
      </c>
      <c r="LDQ5750" s="34">
        <v>0</v>
      </c>
      <c r="LDR5750" s="34">
        <v>0.5</v>
      </c>
      <c r="LDS5750" s="34">
        <v>1</v>
      </c>
      <c r="LDT5750" s="34">
        <v>1.5</v>
      </c>
      <c r="LDU5750" s="34">
        <v>2</v>
      </c>
      <c r="LDV5750" s="34">
        <v>2.5</v>
      </c>
      <c r="LDW5750" s="34">
        <v>3</v>
      </c>
      <c r="LDX5750" s="34">
        <v>3.5</v>
      </c>
      <c r="LDY5750" s="34">
        <v>4</v>
      </c>
      <c r="LDZ5750" s="34">
        <v>4.5</v>
      </c>
      <c r="LEA5750" s="34">
        <v>5</v>
      </c>
      <c r="LEC5750" s="913"/>
      <c r="LED5750" s="31">
        <v>1</v>
      </c>
      <c r="LEE5750" s="34">
        <v>0</v>
      </c>
      <c r="LEF5750" s="34">
        <v>-1</v>
      </c>
      <c r="LEG5750" s="34">
        <v>-2</v>
      </c>
      <c r="LEH5750" s="34">
        <v>-3</v>
      </c>
      <c r="LEI5750" s="34">
        <v>-4</v>
      </c>
      <c r="LEJ5750" s="34">
        <v>-5</v>
      </c>
      <c r="LEK5750" s="908"/>
      <c r="LEL5750" s="909"/>
      <c r="LEM5750" s="34">
        <v>-5</v>
      </c>
      <c r="LEN5750" s="34">
        <v>-4.5</v>
      </c>
      <c r="LEO5750" s="34">
        <v>-4</v>
      </c>
      <c r="LEP5750" s="34">
        <v>-3.5</v>
      </c>
      <c r="LEQ5750" s="34">
        <v>-3</v>
      </c>
      <c r="LER5750" s="34">
        <v>-2.5</v>
      </c>
      <c r="LES5750" s="34">
        <v>-2</v>
      </c>
      <c r="LET5750" s="34">
        <v>-1.5</v>
      </c>
      <c r="LEU5750" s="34">
        <v>-1</v>
      </c>
      <c r="LEV5750" s="34">
        <v>-0.5</v>
      </c>
      <c r="LEW5750" s="34">
        <v>0</v>
      </c>
      <c r="LEX5750" s="34">
        <v>0.5</v>
      </c>
      <c r="LEY5750" s="34">
        <v>1</v>
      </c>
      <c r="LEZ5750" s="34">
        <v>1.5</v>
      </c>
      <c r="LFA5750" s="34">
        <v>2</v>
      </c>
      <c r="LFB5750" s="34">
        <v>2.5</v>
      </c>
      <c r="LFC5750" s="34">
        <v>3</v>
      </c>
      <c r="LFD5750" s="34">
        <v>3.5</v>
      </c>
      <c r="LFE5750" s="34">
        <v>4</v>
      </c>
      <c r="LFF5750" s="34">
        <v>4.5</v>
      </c>
      <c r="LFG5750" s="34">
        <v>5</v>
      </c>
      <c r="LFI5750" s="913"/>
      <c r="LFJ5750" s="31">
        <v>1</v>
      </c>
      <c r="LFK5750" s="34">
        <v>0</v>
      </c>
      <c r="LFL5750" s="34">
        <v>-1</v>
      </c>
      <c r="LFM5750" s="34">
        <v>-2</v>
      </c>
      <c r="LFN5750" s="34">
        <v>-3</v>
      </c>
      <c r="LFO5750" s="34">
        <v>-4</v>
      </c>
      <c r="LFP5750" s="34">
        <v>-5</v>
      </c>
      <c r="LFQ5750" s="908"/>
      <c r="LFR5750" s="909"/>
      <c r="LFS5750" s="34">
        <v>-5</v>
      </c>
      <c r="LFT5750" s="34">
        <v>-4.5</v>
      </c>
      <c r="LFU5750" s="34">
        <v>-4</v>
      </c>
      <c r="LFV5750" s="34">
        <v>-3.5</v>
      </c>
      <c r="LFW5750" s="34">
        <v>-3</v>
      </c>
      <c r="LFX5750" s="34">
        <v>-2.5</v>
      </c>
      <c r="LFY5750" s="34">
        <v>-2</v>
      </c>
      <c r="LFZ5750" s="34">
        <v>-1.5</v>
      </c>
      <c r="LGA5750" s="34">
        <v>-1</v>
      </c>
      <c r="LGB5750" s="34">
        <v>-0.5</v>
      </c>
      <c r="LGC5750" s="34">
        <v>0</v>
      </c>
      <c r="LGD5750" s="34">
        <v>0.5</v>
      </c>
      <c r="LGE5750" s="34">
        <v>1</v>
      </c>
      <c r="LGF5750" s="34">
        <v>1.5</v>
      </c>
      <c r="LGG5750" s="34">
        <v>2</v>
      </c>
      <c r="LGH5750" s="34">
        <v>2.5</v>
      </c>
      <c r="LGI5750" s="34">
        <v>3</v>
      </c>
      <c r="LGJ5750" s="34">
        <v>3.5</v>
      </c>
      <c r="LGK5750" s="34">
        <v>4</v>
      </c>
      <c r="LGL5750" s="34">
        <v>4.5</v>
      </c>
      <c r="LGM5750" s="34">
        <v>5</v>
      </c>
      <c r="LGO5750" s="913"/>
      <c r="LGP5750" s="31">
        <v>1</v>
      </c>
      <c r="LGQ5750" s="34">
        <v>0</v>
      </c>
      <c r="LGR5750" s="34">
        <v>-1</v>
      </c>
      <c r="LGS5750" s="34">
        <v>-2</v>
      </c>
      <c r="LGT5750" s="34">
        <v>-3</v>
      </c>
      <c r="LGU5750" s="34">
        <v>-4</v>
      </c>
      <c r="LGV5750" s="34">
        <v>-5</v>
      </c>
      <c r="LGW5750" s="908"/>
      <c r="LGX5750" s="909"/>
      <c r="LGY5750" s="34">
        <v>-5</v>
      </c>
      <c r="LGZ5750" s="34">
        <v>-4.5</v>
      </c>
      <c r="LHA5750" s="34">
        <v>-4</v>
      </c>
      <c r="LHB5750" s="34">
        <v>-3.5</v>
      </c>
      <c r="LHC5750" s="34">
        <v>-3</v>
      </c>
      <c r="LHD5750" s="34">
        <v>-2.5</v>
      </c>
      <c r="LHE5750" s="34">
        <v>-2</v>
      </c>
      <c r="LHF5750" s="34">
        <v>-1.5</v>
      </c>
      <c r="LHG5750" s="34">
        <v>-1</v>
      </c>
      <c r="LHH5750" s="34">
        <v>-0.5</v>
      </c>
      <c r="LHI5750" s="34">
        <v>0</v>
      </c>
      <c r="LHJ5750" s="34">
        <v>0.5</v>
      </c>
      <c r="LHK5750" s="34">
        <v>1</v>
      </c>
      <c r="LHL5750" s="34">
        <v>1.5</v>
      </c>
      <c r="LHM5750" s="34">
        <v>2</v>
      </c>
      <c r="LHN5750" s="34">
        <v>2.5</v>
      </c>
      <c r="LHO5750" s="34">
        <v>3</v>
      </c>
      <c r="LHP5750" s="34">
        <v>3.5</v>
      </c>
      <c r="LHQ5750" s="34">
        <v>4</v>
      </c>
      <c r="LHR5750" s="34">
        <v>4.5</v>
      </c>
      <c r="LHS5750" s="34">
        <v>5</v>
      </c>
      <c r="LHU5750" s="913"/>
      <c r="LHV5750" s="31">
        <v>1</v>
      </c>
      <c r="LHW5750" s="34">
        <v>0</v>
      </c>
      <c r="LHX5750" s="34">
        <v>-1</v>
      </c>
      <c r="LHY5750" s="34">
        <v>-2</v>
      </c>
      <c r="LHZ5750" s="34">
        <v>-3</v>
      </c>
      <c r="LIA5750" s="34">
        <v>-4</v>
      </c>
      <c r="LIB5750" s="34">
        <v>-5</v>
      </c>
      <c r="LIC5750" s="908"/>
      <c r="LID5750" s="909"/>
      <c r="LIE5750" s="34">
        <v>-5</v>
      </c>
      <c r="LIF5750" s="34">
        <v>-4.5</v>
      </c>
      <c r="LIG5750" s="34">
        <v>-4</v>
      </c>
      <c r="LIH5750" s="34">
        <v>-3.5</v>
      </c>
      <c r="LII5750" s="34">
        <v>-3</v>
      </c>
      <c r="LIJ5750" s="34">
        <v>-2.5</v>
      </c>
      <c r="LIK5750" s="34">
        <v>-2</v>
      </c>
      <c r="LIL5750" s="34">
        <v>-1.5</v>
      </c>
      <c r="LIM5750" s="34">
        <v>-1</v>
      </c>
      <c r="LIN5750" s="34">
        <v>-0.5</v>
      </c>
      <c r="LIO5750" s="34">
        <v>0</v>
      </c>
      <c r="LIP5750" s="34">
        <v>0.5</v>
      </c>
      <c r="LIQ5750" s="34">
        <v>1</v>
      </c>
      <c r="LIR5750" s="34">
        <v>1.5</v>
      </c>
      <c r="LIS5750" s="34">
        <v>2</v>
      </c>
      <c r="LIT5750" s="34">
        <v>2.5</v>
      </c>
      <c r="LIU5750" s="34">
        <v>3</v>
      </c>
      <c r="LIV5750" s="34">
        <v>3.5</v>
      </c>
      <c r="LIW5750" s="34">
        <v>4</v>
      </c>
      <c r="LIX5750" s="34">
        <v>4.5</v>
      </c>
      <c r="LIY5750" s="34">
        <v>5</v>
      </c>
      <c r="LJA5750" s="913"/>
      <c r="LJB5750" s="31">
        <v>1</v>
      </c>
      <c r="LJC5750" s="34">
        <v>0</v>
      </c>
      <c r="LJD5750" s="34">
        <v>-1</v>
      </c>
      <c r="LJE5750" s="34">
        <v>-2</v>
      </c>
      <c r="LJF5750" s="34">
        <v>-3</v>
      </c>
      <c r="LJG5750" s="34">
        <v>-4</v>
      </c>
      <c r="LJH5750" s="34">
        <v>-5</v>
      </c>
      <c r="LJI5750" s="908"/>
      <c r="LJJ5750" s="909"/>
      <c r="LJK5750" s="34">
        <v>-5</v>
      </c>
      <c r="LJL5750" s="34">
        <v>-4.5</v>
      </c>
      <c r="LJM5750" s="34">
        <v>-4</v>
      </c>
      <c r="LJN5750" s="34">
        <v>-3.5</v>
      </c>
      <c r="LJO5750" s="34">
        <v>-3</v>
      </c>
      <c r="LJP5750" s="34">
        <v>-2.5</v>
      </c>
      <c r="LJQ5750" s="34">
        <v>-2</v>
      </c>
      <c r="LJR5750" s="34">
        <v>-1.5</v>
      </c>
      <c r="LJS5750" s="34">
        <v>-1</v>
      </c>
      <c r="LJT5750" s="34">
        <v>-0.5</v>
      </c>
      <c r="LJU5750" s="34">
        <v>0</v>
      </c>
      <c r="LJV5750" s="34">
        <v>0.5</v>
      </c>
      <c r="LJW5750" s="34">
        <v>1</v>
      </c>
      <c r="LJX5750" s="34">
        <v>1.5</v>
      </c>
      <c r="LJY5750" s="34">
        <v>2</v>
      </c>
      <c r="LJZ5750" s="34">
        <v>2.5</v>
      </c>
      <c r="LKA5750" s="34">
        <v>3</v>
      </c>
      <c r="LKB5750" s="34">
        <v>3.5</v>
      </c>
      <c r="LKC5750" s="34">
        <v>4</v>
      </c>
      <c r="LKD5750" s="34">
        <v>4.5</v>
      </c>
      <c r="LKE5750" s="34">
        <v>5</v>
      </c>
      <c r="LKG5750" s="913"/>
      <c r="LKH5750" s="31">
        <v>1</v>
      </c>
      <c r="LKI5750" s="34">
        <v>0</v>
      </c>
      <c r="LKJ5750" s="34">
        <v>-1</v>
      </c>
      <c r="LKK5750" s="34">
        <v>-2</v>
      </c>
      <c r="LKL5750" s="34">
        <v>-3</v>
      </c>
      <c r="LKM5750" s="34">
        <v>-4</v>
      </c>
      <c r="LKN5750" s="34">
        <v>-5</v>
      </c>
      <c r="LKO5750" s="908"/>
      <c r="LKP5750" s="909"/>
      <c r="LKQ5750" s="34">
        <v>-5</v>
      </c>
      <c r="LKR5750" s="34">
        <v>-4.5</v>
      </c>
      <c r="LKS5750" s="34">
        <v>-4</v>
      </c>
      <c r="LKT5750" s="34">
        <v>-3.5</v>
      </c>
      <c r="LKU5750" s="34">
        <v>-3</v>
      </c>
      <c r="LKV5750" s="34">
        <v>-2.5</v>
      </c>
      <c r="LKW5750" s="34">
        <v>-2</v>
      </c>
      <c r="LKX5750" s="34">
        <v>-1.5</v>
      </c>
      <c r="LKY5750" s="34">
        <v>-1</v>
      </c>
      <c r="LKZ5750" s="34">
        <v>-0.5</v>
      </c>
      <c r="LLA5750" s="34">
        <v>0</v>
      </c>
      <c r="LLB5750" s="34">
        <v>0.5</v>
      </c>
      <c r="LLC5750" s="34">
        <v>1</v>
      </c>
      <c r="LLD5750" s="34">
        <v>1.5</v>
      </c>
      <c r="LLE5750" s="34">
        <v>2</v>
      </c>
      <c r="LLF5750" s="34">
        <v>2.5</v>
      </c>
      <c r="LLG5750" s="34">
        <v>3</v>
      </c>
      <c r="LLH5750" s="34">
        <v>3.5</v>
      </c>
      <c r="LLI5750" s="34">
        <v>4</v>
      </c>
      <c r="LLJ5750" s="34">
        <v>4.5</v>
      </c>
      <c r="LLK5750" s="34">
        <v>5</v>
      </c>
      <c r="LLM5750" s="913"/>
      <c r="LLN5750" s="31">
        <v>1</v>
      </c>
      <c r="LLO5750" s="34">
        <v>0</v>
      </c>
      <c r="LLP5750" s="34">
        <v>-1</v>
      </c>
      <c r="LLQ5750" s="34">
        <v>-2</v>
      </c>
      <c r="LLR5750" s="34">
        <v>-3</v>
      </c>
      <c r="LLS5750" s="34">
        <v>-4</v>
      </c>
      <c r="LLT5750" s="34">
        <v>-5</v>
      </c>
      <c r="LLU5750" s="908"/>
      <c r="LLV5750" s="909"/>
      <c r="LLW5750" s="34">
        <v>-5</v>
      </c>
      <c r="LLX5750" s="34">
        <v>-4.5</v>
      </c>
      <c r="LLY5750" s="34">
        <v>-4</v>
      </c>
      <c r="LLZ5750" s="34">
        <v>-3.5</v>
      </c>
      <c r="LMA5750" s="34">
        <v>-3</v>
      </c>
      <c r="LMB5750" s="34">
        <v>-2.5</v>
      </c>
      <c r="LMC5750" s="34">
        <v>-2</v>
      </c>
      <c r="LMD5750" s="34">
        <v>-1.5</v>
      </c>
      <c r="LME5750" s="34">
        <v>-1</v>
      </c>
      <c r="LMF5750" s="34">
        <v>-0.5</v>
      </c>
      <c r="LMG5750" s="34">
        <v>0</v>
      </c>
      <c r="LMH5750" s="34">
        <v>0.5</v>
      </c>
      <c r="LMI5750" s="34">
        <v>1</v>
      </c>
      <c r="LMJ5750" s="34">
        <v>1.5</v>
      </c>
      <c r="LMK5750" s="34">
        <v>2</v>
      </c>
      <c r="LML5750" s="34">
        <v>2.5</v>
      </c>
      <c r="LMM5750" s="34">
        <v>3</v>
      </c>
      <c r="LMN5750" s="34">
        <v>3.5</v>
      </c>
      <c r="LMO5750" s="34">
        <v>4</v>
      </c>
      <c r="LMP5750" s="34">
        <v>4.5</v>
      </c>
      <c r="LMQ5750" s="34">
        <v>5</v>
      </c>
      <c r="LMS5750" s="913"/>
      <c r="LMT5750" s="31">
        <v>1</v>
      </c>
      <c r="LMU5750" s="34">
        <v>0</v>
      </c>
      <c r="LMV5750" s="34">
        <v>-1</v>
      </c>
      <c r="LMW5750" s="34">
        <v>-2</v>
      </c>
      <c r="LMX5750" s="34">
        <v>-3</v>
      </c>
      <c r="LMY5750" s="34">
        <v>-4</v>
      </c>
      <c r="LMZ5750" s="34">
        <v>-5</v>
      </c>
      <c r="LNA5750" s="908"/>
      <c r="LNB5750" s="909"/>
      <c r="LNC5750" s="34">
        <v>-5</v>
      </c>
      <c r="LND5750" s="34">
        <v>-4.5</v>
      </c>
      <c r="LNE5750" s="34">
        <v>-4</v>
      </c>
      <c r="LNF5750" s="34">
        <v>-3.5</v>
      </c>
      <c r="LNG5750" s="34">
        <v>-3</v>
      </c>
      <c r="LNH5750" s="34">
        <v>-2.5</v>
      </c>
      <c r="LNI5750" s="34">
        <v>-2</v>
      </c>
      <c r="LNJ5750" s="34">
        <v>-1.5</v>
      </c>
      <c r="LNK5750" s="34">
        <v>-1</v>
      </c>
      <c r="LNL5750" s="34">
        <v>-0.5</v>
      </c>
      <c r="LNM5750" s="34">
        <v>0</v>
      </c>
      <c r="LNN5750" s="34">
        <v>0.5</v>
      </c>
      <c r="LNO5750" s="34">
        <v>1</v>
      </c>
      <c r="LNP5750" s="34">
        <v>1.5</v>
      </c>
      <c r="LNQ5750" s="34">
        <v>2</v>
      </c>
      <c r="LNR5750" s="34">
        <v>2.5</v>
      </c>
      <c r="LNS5750" s="34">
        <v>3</v>
      </c>
      <c r="LNT5750" s="34">
        <v>3.5</v>
      </c>
      <c r="LNU5750" s="34">
        <v>4</v>
      </c>
      <c r="LNV5750" s="34">
        <v>4.5</v>
      </c>
      <c r="LNW5750" s="34">
        <v>5</v>
      </c>
      <c r="LNY5750" s="913"/>
      <c r="LNZ5750" s="31">
        <v>1</v>
      </c>
      <c r="LOA5750" s="34">
        <v>0</v>
      </c>
      <c r="LOB5750" s="34">
        <v>-1</v>
      </c>
      <c r="LOC5750" s="34">
        <v>-2</v>
      </c>
      <c r="LOD5750" s="34">
        <v>-3</v>
      </c>
      <c r="LOE5750" s="34">
        <v>-4</v>
      </c>
      <c r="LOF5750" s="34">
        <v>-5</v>
      </c>
      <c r="LOG5750" s="908"/>
      <c r="LOH5750" s="909"/>
      <c r="LOI5750" s="34">
        <v>-5</v>
      </c>
      <c r="LOJ5750" s="34">
        <v>-4.5</v>
      </c>
      <c r="LOK5750" s="34">
        <v>-4</v>
      </c>
      <c r="LOL5750" s="34">
        <v>-3.5</v>
      </c>
      <c r="LOM5750" s="34">
        <v>-3</v>
      </c>
      <c r="LON5750" s="34">
        <v>-2.5</v>
      </c>
      <c r="LOO5750" s="34">
        <v>-2</v>
      </c>
      <c r="LOP5750" s="34">
        <v>-1.5</v>
      </c>
      <c r="LOQ5750" s="34">
        <v>-1</v>
      </c>
      <c r="LOR5750" s="34">
        <v>-0.5</v>
      </c>
      <c r="LOS5750" s="34">
        <v>0</v>
      </c>
      <c r="LOT5750" s="34">
        <v>0.5</v>
      </c>
      <c r="LOU5750" s="34">
        <v>1</v>
      </c>
      <c r="LOV5750" s="34">
        <v>1.5</v>
      </c>
      <c r="LOW5750" s="34">
        <v>2</v>
      </c>
      <c r="LOX5750" s="34">
        <v>2.5</v>
      </c>
      <c r="LOY5750" s="34">
        <v>3</v>
      </c>
      <c r="LOZ5750" s="34">
        <v>3.5</v>
      </c>
      <c r="LPA5750" s="34">
        <v>4</v>
      </c>
      <c r="LPB5750" s="34">
        <v>4.5</v>
      </c>
      <c r="LPC5750" s="34">
        <v>5</v>
      </c>
      <c r="LPE5750" s="913"/>
      <c r="LPF5750" s="31">
        <v>1</v>
      </c>
      <c r="LPG5750" s="34">
        <v>0</v>
      </c>
      <c r="LPH5750" s="34">
        <v>-1</v>
      </c>
      <c r="LPI5750" s="34">
        <v>-2</v>
      </c>
      <c r="LPJ5750" s="34">
        <v>-3</v>
      </c>
      <c r="LPK5750" s="34">
        <v>-4</v>
      </c>
      <c r="LPL5750" s="34">
        <v>-5</v>
      </c>
      <c r="LPM5750" s="908"/>
      <c r="LPN5750" s="909"/>
      <c r="LPO5750" s="34">
        <v>-5</v>
      </c>
      <c r="LPP5750" s="34">
        <v>-4.5</v>
      </c>
      <c r="LPQ5750" s="34">
        <v>-4</v>
      </c>
      <c r="LPR5750" s="34">
        <v>-3.5</v>
      </c>
      <c r="LPS5750" s="34">
        <v>-3</v>
      </c>
      <c r="LPT5750" s="34">
        <v>-2.5</v>
      </c>
      <c r="LPU5750" s="34">
        <v>-2</v>
      </c>
      <c r="LPV5750" s="34">
        <v>-1.5</v>
      </c>
      <c r="LPW5750" s="34">
        <v>-1</v>
      </c>
      <c r="LPX5750" s="34">
        <v>-0.5</v>
      </c>
      <c r="LPY5750" s="34">
        <v>0</v>
      </c>
      <c r="LPZ5750" s="34">
        <v>0.5</v>
      </c>
      <c r="LQA5750" s="34">
        <v>1</v>
      </c>
      <c r="LQB5750" s="34">
        <v>1.5</v>
      </c>
      <c r="LQC5750" s="34">
        <v>2</v>
      </c>
      <c r="LQD5750" s="34">
        <v>2.5</v>
      </c>
      <c r="LQE5750" s="34">
        <v>3</v>
      </c>
      <c r="LQF5750" s="34">
        <v>3.5</v>
      </c>
      <c r="LQG5750" s="34">
        <v>4</v>
      </c>
      <c r="LQH5750" s="34">
        <v>4.5</v>
      </c>
      <c r="LQI5750" s="34">
        <v>5</v>
      </c>
      <c r="LQK5750" s="913"/>
      <c r="LQL5750" s="31">
        <v>1</v>
      </c>
      <c r="LQM5750" s="34">
        <v>0</v>
      </c>
      <c r="LQN5750" s="34">
        <v>-1</v>
      </c>
      <c r="LQO5750" s="34">
        <v>-2</v>
      </c>
      <c r="LQP5750" s="34">
        <v>-3</v>
      </c>
      <c r="LQQ5750" s="34">
        <v>-4</v>
      </c>
      <c r="LQR5750" s="34">
        <v>-5</v>
      </c>
      <c r="LQS5750" s="908"/>
      <c r="LQT5750" s="909"/>
      <c r="LQU5750" s="34">
        <v>-5</v>
      </c>
      <c r="LQV5750" s="34">
        <v>-4.5</v>
      </c>
      <c r="LQW5750" s="34">
        <v>-4</v>
      </c>
      <c r="LQX5750" s="34">
        <v>-3.5</v>
      </c>
      <c r="LQY5750" s="34">
        <v>-3</v>
      </c>
      <c r="LQZ5750" s="34">
        <v>-2.5</v>
      </c>
      <c r="LRA5750" s="34">
        <v>-2</v>
      </c>
      <c r="LRB5750" s="34">
        <v>-1.5</v>
      </c>
      <c r="LRC5750" s="34">
        <v>-1</v>
      </c>
      <c r="LRD5750" s="34">
        <v>-0.5</v>
      </c>
      <c r="LRE5750" s="34">
        <v>0</v>
      </c>
      <c r="LRF5750" s="34">
        <v>0.5</v>
      </c>
      <c r="LRG5750" s="34">
        <v>1</v>
      </c>
      <c r="LRH5750" s="34">
        <v>1.5</v>
      </c>
      <c r="LRI5750" s="34">
        <v>2</v>
      </c>
      <c r="LRJ5750" s="34">
        <v>2.5</v>
      </c>
      <c r="LRK5750" s="34">
        <v>3</v>
      </c>
      <c r="LRL5750" s="34">
        <v>3.5</v>
      </c>
      <c r="LRM5750" s="34">
        <v>4</v>
      </c>
      <c r="LRN5750" s="34">
        <v>4.5</v>
      </c>
      <c r="LRO5750" s="34">
        <v>5</v>
      </c>
      <c r="LRQ5750" s="913"/>
      <c r="LRR5750" s="31">
        <v>1</v>
      </c>
      <c r="LRS5750" s="34">
        <v>0</v>
      </c>
      <c r="LRT5750" s="34">
        <v>-1</v>
      </c>
      <c r="LRU5750" s="34">
        <v>-2</v>
      </c>
      <c r="LRV5750" s="34">
        <v>-3</v>
      </c>
      <c r="LRW5750" s="34">
        <v>-4</v>
      </c>
      <c r="LRX5750" s="34">
        <v>-5</v>
      </c>
      <c r="LRY5750" s="908"/>
      <c r="LRZ5750" s="909"/>
      <c r="LSA5750" s="34">
        <v>-5</v>
      </c>
      <c r="LSB5750" s="34">
        <v>-4.5</v>
      </c>
      <c r="LSC5750" s="34">
        <v>-4</v>
      </c>
      <c r="LSD5750" s="34">
        <v>-3.5</v>
      </c>
      <c r="LSE5750" s="34">
        <v>-3</v>
      </c>
      <c r="LSF5750" s="34">
        <v>-2.5</v>
      </c>
      <c r="LSG5750" s="34">
        <v>-2</v>
      </c>
      <c r="LSH5750" s="34">
        <v>-1.5</v>
      </c>
      <c r="LSI5750" s="34">
        <v>-1</v>
      </c>
      <c r="LSJ5750" s="34">
        <v>-0.5</v>
      </c>
      <c r="LSK5750" s="34">
        <v>0</v>
      </c>
      <c r="LSL5750" s="34">
        <v>0.5</v>
      </c>
      <c r="LSM5750" s="34">
        <v>1</v>
      </c>
      <c r="LSN5750" s="34">
        <v>1.5</v>
      </c>
      <c r="LSO5750" s="34">
        <v>2</v>
      </c>
      <c r="LSP5750" s="34">
        <v>2.5</v>
      </c>
      <c r="LSQ5750" s="34">
        <v>3</v>
      </c>
      <c r="LSR5750" s="34">
        <v>3.5</v>
      </c>
      <c r="LSS5750" s="34">
        <v>4</v>
      </c>
      <c r="LST5750" s="34">
        <v>4.5</v>
      </c>
      <c r="LSU5750" s="34">
        <v>5</v>
      </c>
      <c r="LSW5750" s="913"/>
      <c r="LSX5750" s="31">
        <v>1</v>
      </c>
      <c r="LSY5750" s="34">
        <v>0</v>
      </c>
      <c r="LSZ5750" s="34">
        <v>-1</v>
      </c>
      <c r="LTA5750" s="34">
        <v>-2</v>
      </c>
      <c r="LTB5750" s="34">
        <v>-3</v>
      </c>
      <c r="LTC5750" s="34">
        <v>-4</v>
      </c>
      <c r="LTD5750" s="34">
        <v>-5</v>
      </c>
      <c r="LTE5750" s="908"/>
      <c r="LTF5750" s="909"/>
      <c r="LTG5750" s="34">
        <v>-5</v>
      </c>
      <c r="LTH5750" s="34">
        <v>-4.5</v>
      </c>
      <c r="LTI5750" s="34">
        <v>-4</v>
      </c>
      <c r="LTJ5750" s="34">
        <v>-3.5</v>
      </c>
      <c r="LTK5750" s="34">
        <v>-3</v>
      </c>
      <c r="LTL5750" s="34">
        <v>-2.5</v>
      </c>
      <c r="LTM5750" s="34">
        <v>-2</v>
      </c>
      <c r="LTN5750" s="34">
        <v>-1.5</v>
      </c>
      <c r="LTO5750" s="34">
        <v>-1</v>
      </c>
      <c r="LTP5750" s="34">
        <v>-0.5</v>
      </c>
      <c r="LTQ5750" s="34">
        <v>0</v>
      </c>
      <c r="LTR5750" s="34">
        <v>0.5</v>
      </c>
      <c r="LTS5750" s="34">
        <v>1</v>
      </c>
      <c r="LTT5750" s="34">
        <v>1.5</v>
      </c>
      <c r="LTU5750" s="34">
        <v>2</v>
      </c>
      <c r="LTV5750" s="34">
        <v>2.5</v>
      </c>
      <c r="LTW5750" s="34">
        <v>3</v>
      </c>
      <c r="LTX5750" s="34">
        <v>3.5</v>
      </c>
      <c r="LTY5750" s="34">
        <v>4</v>
      </c>
      <c r="LTZ5750" s="34">
        <v>4.5</v>
      </c>
      <c r="LUA5750" s="34">
        <v>5</v>
      </c>
      <c r="LUC5750" s="913"/>
      <c r="LUD5750" s="31">
        <v>1</v>
      </c>
      <c r="LUE5750" s="34">
        <v>0</v>
      </c>
      <c r="LUF5750" s="34">
        <v>-1</v>
      </c>
      <c r="LUG5750" s="34">
        <v>-2</v>
      </c>
      <c r="LUH5750" s="34">
        <v>-3</v>
      </c>
      <c r="LUI5750" s="34">
        <v>-4</v>
      </c>
      <c r="LUJ5750" s="34">
        <v>-5</v>
      </c>
      <c r="LUK5750" s="908"/>
      <c r="LUL5750" s="909"/>
      <c r="LUM5750" s="34">
        <v>-5</v>
      </c>
      <c r="LUN5750" s="34">
        <v>-4.5</v>
      </c>
      <c r="LUO5750" s="34">
        <v>-4</v>
      </c>
      <c r="LUP5750" s="34">
        <v>-3.5</v>
      </c>
      <c r="LUQ5750" s="34">
        <v>-3</v>
      </c>
      <c r="LUR5750" s="34">
        <v>-2.5</v>
      </c>
      <c r="LUS5750" s="34">
        <v>-2</v>
      </c>
      <c r="LUT5750" s="34">
        <v>-1.5</v>
      </c>
      <c r="LUU5750" s="34">
        <v>-1</v>
      </c>
      <c r="LUV5750" s="34">
        <v>-0.5</v>
      </c>
      <c r="LUW5750" s="34">
        <v>0</v>
      </c>
      <c r="LUX5750" s="34">
        <v>0.5</v>
      </c>
      <c r="LUY5750" s="34">
        <v>1</v>
      </c>
      <c r="LUZ5750" s="34">
        <v>1.5</v>
      </c>
      <c r="LVA5750" s="34">
        <v>2</v>
      </c>
      <c r="LVB5750" s="34">
        <v>2.5</v>
      </c>
      <c r="LVC5750" s="34">
        <v>3</v>
      </c>
      <c r="LVD5750" s="34">
        <v>3.5</v>
      </c>
      <c r="LVE5750" s="34">
        <v>4</v>
      </c>
      <c r="LVF5750" s="34">
        <v>4.5</v>
      </c>
      <c r="LVG5750" s="34">
        <v>5</v>
      </c>
      <c r="LVI5750" s="913"/>
      <c r="LVJ5750" s="31">
        <v>1</v>
      </c>
      <c r="LVK5750" s="34">
        <v>0</v>
      </c>
      <c r="LVL5750" s="34">
        <v>-1</v>
      </c>
      <c r="LVM5750" s="34">
        <v>-2</v>
      </c>
      <c r="LVN5750" s="34">
        <v>-3</v>
      </c>
      <c r="LVO5750" s="34">
        <v>-4</v>
      </c>
      <c r="LVP5750" s="34">
        <v>-5</v>
      </c>
      <c r="LVQ5750" s="908"/>
      <c r="LVR5750" s="909"/>
      <c r="LVS5750" s="34">
        <v>-5</v>
      </c>
      <c r="LVT5750" s="34">
        <v>-4.5</v>
      </c>
      <c r="LVU5750" s="34">
        <v>-4</v>
      </c>
      <c r="LVV5750" s="34">
        <v>-3.5</v>
      </c>
      <c r="LVW5750" s="34">
        <v>-3</v>
      </c>
      <c r="LVX5750" s="34">
        <v>-2.5</v>
      </c>
      <c r="LVY5750" s="34">
        <v>-2</v>
      </c>
      <c r="LVZ5750" s="34">
        <v>-1.5</v>
      </c>
      <c r="LWA5750" s="34">
        <v>-1</v>
      </c>
      <c r="LWB5750" s="34">
        <v>-0.5</v>
      </c>
      <c r="LWC5750" s="34">
        <v>0</v>
      </c>
      <c r="LWD5750" s="34">
        <v>0.5</v>
      </c>
      <c r="LWE5750" s="34">
        <v>1</v>
      </c>
      <c r="LWF5750" s="34">
        <v>1.5</v>
      </c>
      <c r="LWG5750" s="34">
        <v>2</v>
      </c>
      <c r="LWH5750" s="34">
        <v>2.5</v>
      </c>
      <c r="LWI5750" s="34">
        <v>3</v>
      </c>
      <c r="LWJ5750" s="34">
        <v>3.5</v>
      </c>
      <c r="LWK5750" s="34">
        <v>4</v>
      </c>
      <c r="LWL5750" s="34">
        <v>4.5</v>
      </c>
      <c r="LWM5750" s="34">
        <v>5</v>
      </c>
      <c r="LWO5750" s="913"/>
      <c r="LWP5750" s="31">
        <v>1</v>
      </c>
      <c r="LWQ5750" s="34">
        <v>0</v>
      </c>
      <c r="LWR5750" s="34">
        <v>-1</v>
      </c>
      <c r="LWS5750" s="34">
        <v>-2</v>
      </c>
      <c r="LWT5750" s="34">
        <v>-3</v>
      </c>
      <c r="LWU5750" s="34">
        <v>-4</v>
      </c>
      <c r="LWV5750" s="34">
        <v>-5</v>
      </c>
      <c r="LWW5750" s="908"/>
      <c r="LWX5750" s="909"/>
      <c r="LWY5750" s="34">
        <v>-5</v>
      </c>
      <c r="LWZ5750" s="34">
        <v>-4.5</v>
      </c>
      <c r="LXA5750" s="34">
        <v>-4</v>
      </c>
      <c r="LXB5750" s="34">
        <v>-3.5</v>
      </c>
      <c r="LXC5750" s="34">
        <v>-3</v>
      </c>
      <c r="LXD5750" s="34">
        <v>-2.5</v>
      </c>
      <c r="LXE5750" s="34">
        <v>-2</v>
      </c>
      <c r="LXF5750" s="34">
        <v>-1.5</v>
      </c>
      <c r="LXG5750" s="34">
        <v>-1</v>
      </c>
      <c r="LXH5750" s="34">
        <v>-0.5</v>
      </c>
      <c r="LXI5750" s="34">
        <v>0</v>
      </c>
      <c r="LXJ5750" s="34">
        <v>0.5</v>
      </c>
      <c r="LXK5750" s="34">
        <v>1</v>
      </c>
      <c r="LXL5750" s="34">
        <v>1.5</v>
      </c>
      <c r="LXM5750" s="34">
        <v>2</v>
      </c>
      <c r="LXN5750" s="34">
        <v>2.5</v>
      </c>
      <c r="LXO5750" s="34">
        <v>3</v>
      </c>
      <c r="LXP5750" s="34">
        <v>3.5</v>
      </c>
      <c r="LXQ5750" s="34">
        <v>4</v>
      </c>
      <c r="LXR5750" s="34">
        <v>4.5</v>
      </c>
      <c r="LXS5750" s="34">
        <v>5</v>
      </c>
      <c r="LXU5750" s="913"/>
      <c r="LXV5750" s="31">
        <v>1</v>
      </c>
      <c r="LXW5750" s="34">
        <v>0</v>
      </c>
      <c r="LXX5750" s="34">
        <v>-1</v>
      </c>
      <c r="LXY5750" s="34">
        <v>-2</v>
      </c>
      <c r="LXZ5750" s="34">
        <v>-3</v>
      </c>
      <c r="LYA5750" s="34">
        <v>-4</v>
      </c>
      <c r="LYB5750" s="34">
        <v>-5</v>
      </c>
      <c r="LYC5750" s="908"/>
      <c r="LYD5750" s="909"/>
      <c r="LYE5750" s="34">
        <v>-5</v>
      </c>
      <c r="LYF5750" s="34">
        <v>-4.5</v>
      </c>
      <c r="LYG5750" s="34">
        <v>-4</v>
      </c>
      <c r="LYH5750" s="34">
        <v>-3.5</v>
      </c>
      <c r="LYI5750" s="34">
        <v>-3</v>
      </c>
      <c r="LYJ5750" s="34">
        <v>-2.5</v>
      </c>
      <c r="LYK5750" s="34">
        <v>-2</v>
      </c>
      <c r="LYL5750" s="34">
        <v>-1.5</v>
      </c>
      <c r="LYM5750" s="34">
        <v>-1</v>
      </c>
      <c r="LYN5750" s="34">
        <v>-0.5</v>
      </c>
      <c r="LYO5750" s="34">
        <v>0</v>
      </c>
      <c r="LYP5750" s="34">
        <v>0.5</v>
      </c>
      <c r="LYQ5750" s="34">
        <v>1</v>
      </c>
      <c r="LYR5750" s="34">
        <v>1.5</v>
      </c>
      <c r="LYS5750" s="34">
        <v>2</v>
      </c>
      <c r="LYT5750" s="34">
        <v>2.5</v>
      </c>
      <c r="LYU5750" s="34">
        <v>3</v>
      </c>
      <c r="LYV5750" s="34">
        <v>3.5</v>
      </c>
      <c r="LYW5750" s="34">
        <v>4</v>
      </c>
      <c r="LYX5750" s="34">
        <v>4.5</v>
      </c>
      <c r="LYY5750" s="34">
        <v>5</v>
      </c>
      <c r="LZA5750" s="913"/>
      <c r="LZB5750" s="31">
        <v>1</v>
      </c>
      <c r="LZC5750" s="34">
        <v>0</v>
      </c>
      <c r="LZD5750" s="34">
        <v>-1</v>
      </c>
      <c r="LZE5750" s="34">
        <v>-2</v>
      </c>
      <c r="LZF5750" s="34">
        <v>-3</v>
      </c>
      <c r="LZG5750" s="34">
        <v>-4</v>
      </c>
      <c r="LZH5750" s="34">
        <v>-5</v>
      </c>
      <c r="LZI5750" s="908"/>
      <c r="LZJ5750" s="909"/>
      <c r="LZK5750" s="34">
        <v>-5</v>
      </c>
      <c r="LZL5750" s="34">
        <v>-4.5</v>
      </c>
      <c r="LZM5750" s="34">
        <v>-4</v>
      </c>
      <c r="LZN5750" s="34">
        <v>-3.5</v>
      </c>
      <c r="LZO5750" s="34">
        <v>-3</v>
      </c>
      <c r="LZP5750" s="34">
        <v>-2.5</v>
      </c>
      <c r="LZQ5750" s="34">
        <v>-2</v>
      </c>
      <c r="LZR5750" s="34">
        <v>-1.5</v>
      </c>
      <c r="LZS5750" s="34">
        <v>-1</v>
      </c>
      <c r="LZT5750" s="34">
        <v>-0.5</v>
      </c>
      <c r="LZU5750" s="34">
        <v>0</v>
      </c>
      <c r="LZV5750" s="34">
        <v>0.5</v>
      </c>
      <c r="LZW5750" s="34">
        <v>1</v>
      </c>
      <c r="LZX5750" s="34">
        <v>1.5</v>
      </c>
      <c r="LZY5750" s="34">
        <v>2</v>
      </c>
      <c r="LZZ5750" s="34">
        <v>2.5</v>
      </c>
      <c r="MAA5750" s="34">
        <v>3</v>
      </c>
      <c r="MAB5750" s="34">
        <v>3.5</v>
      </c>
      <c r="MAC5750" s="34">
        <v>4</v>
      </c>
      <c r="MAD5750" s="34">
        <v>4.5</v>
      </c>
      <c r="MAE5750" s="34">
        <v>5</v>
      </c>
      <c r="MAG5750" s="913"/>
      <c r="MAH5750" s="31">
        <v>1</v>
      </c>
      <c r="MAI5750" s="34">
        <v>0</v>
      </c>
      <c r="MAJ5750" s="34">
        <v>-1</v>
      </c>
      <c r="MAK5750" s="34">
        <v>-2</v>
      </c>
      <c r="MAL5750" s="34">
        <v>-3</v>
      </c>
      <c r="MAM5750" s="34">
        <v>-4</v>
      </c>
      <c r="MAN5750" s="34">
        <v>-5</v>
      </c>
      <c r="MAO5750" s="908"/>
      <c r="MAP5750" s="909"/>
      <c r="MAQ5750" s="34">
        <v>-5</v>
      </c>
      <c r="MAR5750" s="34">
        <v>-4.5</v>
      </c>
      <c r="MAS5750" s="34">
        <v>-4</v>
      </c>
      <c r="MAT5750" s="34">
        <v>-3.5</v>
      </c>
      <c r="MAU5750" s="34">
        <v>-3</v>
      </c>
      <c r="MAV5750" s="34">
        <v>-2.5</v>
      </c>
      <c r="MAW5750" s="34">
        <v>-2</v>
      </c>
      <c r="MAX5750" s="34">
        <v>-1.5</v>
      </c>
      <c r="MAY5750" s="34">
        <v>-1</v>
      </c>
      <c r="MAZ5750" s="34">
        <v>-0.5</v>
      </c>
      <c r="MBA5750" s="34">
        <v>0</v>
      </c>
      <c r="MBB5750" s="34">
        <v>0.5</v>
      </c>
      <c r="MBC5750" s="34">
        <v>1</v>
      </c>
      <c r="MBD5750" s="34">
        <v>1.5</v>
      </c>
      <c r="MBE5750" s="34">
        <v>2</v>
      </c>
      <c r="MBF5750" s="34">
        <v>2.5</v>
      </c>
      <c r="MBG5750" s="34">
        <v>3</v>
      </c>
      <c r="MBH5750" s="34">
        <v>3.5</v>
      </c>
      <c r="MBI5750" s="34">
        <v>4</v>
      </c>
      <c r="MBJ5750" s="34">
        <v>4.5</v>
      </c>
      <c r="MBK5750" s="34">
        <v>5</v>
      </c>
      <c r="MBM5750" s="913"/>
      <c r="MBN5750" s="31">
        <v>1</v>
      </c>
      <c r="MBO5750" s="34">
        <v>0</v>
      </c>
      <c r="MBP5750" s="34">
        <v>-1</v>
      </c>
      <c r="MBQ5750" s="34">
        <v>-2</v>
      </c>
      <c r="MBR5750" s="34">
        <v>-3</v>
      </c>
      <c r="MBS5750" s="34">
        <v>-4</v>
      </c>
      <c r="MBT5750" s="34">
        <v>-5</v>
      </c>
      <c r="MBU5750" s="908"/>
      <c r="MBV5750" s="909"/>
      <c r="MBW5750" s="34">
        <v>-5</v>
      </c>
      <c r="MBX5750" s="34">
        <v>-4.5</v>
      </c>
      <c r="MBY5750" s="34">
        <v>-4</v>
      </c>
      <c r="MBZ5750" s="34">
        <v>-3.5</v>
      </c>
      <c r="MCA5750" s="34">
        <v>-3</v>
      </c>
      <c r="MCB5750" s="34">
        <v>-2.5</v>
      </c>
      <c r="MCC5750" s="34">
        <v>-2</v>
      </c>
      <c r="MCD5750" s="34">
        <v>-1.5</v>
      </c>
      <c r="MCE5750" s="34">
        <v>-1</v>
      </c>
      <c r="MCF5750" s="34">
        <v>-0.5</v>
      </c>
      <c r="MCG5750" s="34">
        <v>0</v>
      </c>
      <c r="MCH5750" s="34">
        <v>0.5</v>
      </c>
      <c r="MCI5750" s="34">
        <v>1</v>
      </c>
      <c r="MCJ5750" s="34">
        <v>1.5</v>
      </c>
      <c r="MCK5750" s="34">
        <v>2</v>
      </c>
      <c r="MCL5750" s="34">
        <v>2.5</v>
      </c>
      <c r="MCM5750" s="34">
        <v>3</v>
      </c>
      <c r="MCN5750" s="34">
        <v>3.5</v>
      </c>
      <c r="MCO5750" s="34">
        <v>4</v>
      </c>
      <c r="MCP5750" s="34">
        <v>4.5</v>
      </c>
      <c r="MCQ5750" s="34">
        <v>5</v>
      </c>
      <c r="MCS5750" s="913"/>
      <c r="MCT5750" s="31">
        <v>1</v>
      </c>
      <c r="MCU5750" s="34">
        <v>0</v>
      </c>
      <c r="MCV5750" s="34">
        <v>-1</v>
      </c>
      <c r="MCW5750" s="34">
        <v>-2</v>
      </c>
      <c r="MCX5750" s="34">
        <v>-3</v>
      </c>
      <c r="MCY5750" s="34">
        <v>-4</v>
      </c>
      <c r="MCZ5750" s="34">
        <v>-5</v>
      </c>
      <c r="MDA5750" s="908"/>
      <c r="MDB5750" s="909"/>
      <c r="MDC5750" s="34">
        <v>-5</v>
      </c>
      <c r="MDD5750" s="34">
        <v>-4.5</v>
      </c>
      <c r="MDE5750" s="34">
        <v>-4</v>
      </c>
      <c r="MDF5750" s="34">
        <v>-3.5</v>
      </c>
      <c r="MDG5750" s="34">
        <v>-3</v>
      </c>
      <c r="MDH5750" s="34">
        <v>-2.5</v>
      </c>
      <c r="MDI5750" s="34">
        <v>-2</v>
      </c>
      <c r="MDJ5750" s="34">
        <v>-1.5</v>
      </c>
      <c r="MDK5750" s="34">
        <v>-1</v>
      </c>
      <c r="MDL5750" s="34">
        <v>-0.5</v>
      </c>
      <c r="MDM5750" s="34">
        <v>0</v>
      </c>
      <c r="MDN5750" s="34">
        <v>0.5</v>
      </c>
      <c r="MDO5750" s="34">
        <v>1</v>
      </c>
      <c r="MDP5750" s="34">
        <v>1.5</v>
      </c>
      <c r="MDQ5750" s="34">
        <v>2</v>
      </c>
      <c r="MDR5750" s="34">
        <v>2.5</v>
      </c>
      <c r="MDS5750" s="34">
        <v>3</v>
      </c>
      <c r="MDT5750" s="34">
        <v>3.5</v>
      </c>
      <c r="MDU5750" s="34">
        <v>4</v>
      </c>
      <c r="MDV5750" s="34">
        <v>4.5</v>
      </c>
      <c r="MDW5750" s="34">
        <v>5</v>
      </c>
      <c r="MDY5750" s="913"/>
      <c r="MDZ5750" s="31">
        <v>1</v>
      </c>
      <c r="MEA5750" s="34">
        <v>0</v>
      </c>
      <c r="MEB5750" s="34">
        <v>-1</v>
      </c>
      <c r="MEC5750" s="34">
        <v>-2</v>
      </c>
      <c r="MED5750" s="34">
        <v>-3</v>
      </c>
      <c r="MEE5750" s="34">
        <v>-4</v>
      </c>
      <c r="MEF5750" s="34">
        <v>-5</v>
      </c>
      <c r="MEG5750" s="908"/>
      <c r="MEH5750" s="909"/>
      <c r="MEI5750" s="34">
        <v>-5</v>
      </c>
      <c r="MEJ5750" s="34">
        <v>-4.5</v>
      </c>
      <c r="MEK5750" s="34">
        <v>-4</v>
      </c>
      <c r="MEL5750" s="34">
        <v>-3.5</v>
      </c>
      <c r="MEM5750" s="34">
        <v>-3</v>
      </c>
      <c r="MEN5750" s="34">
        <v>-2.5</v>
      </c>
      <c r="MEO5750" s="34">
        <v>-2</v>
      </c>
      <c r="MEP5750" s="34">
        <v>-1.5</v>
      </c>
      <c r="MEQ5750" s="34">
        <v>-1</v>
      </c>
      <c r="MER5750" s="34">
        <v>-0.5</v>
      </c>
      <c r="MES5750" s="34">
        <v>0</v>
      </c>
      <c r="MET5750" s="34">
        <v>0.5</v>
      </c>
      <c r="MEU5750" s="34">
        <v>1</v>
      </c>
      <c r="MEV5750" s="34">
        <v>1.5</v>
      </c>
      <c r="MEW5750" s="34">
        <v>2</v>
      </c>
      <c r="MEX5750" s="34">
        <v>2.5</v>
      </c>
      <c r="MEY5750" s="34">
        <v>3</v>
      </c>
      <c r="MEZ5750" s="34">
        <v>3.5</v>
      </c>
      <c r="MFA5750" s="34">
        <v>4</v>
      </c>
      <c r="MFB5750" s="34">
        <v>4.5</v>
      </c>
      <c r="MFC5750" s="34">
        <v>5</v>
      </c>
      <c r="MFE5750" s="913"/>
      <c r="MFF5750" s="31">
        <v>1</v>
      </c>
      <c r="MFG5750" s="34">
        <v>0</v>
      </c>
      <c r="MFH5750" s="34">
        <v>-1</v>
      </c>
      <c r="MFI5750" s="34">
        <v>-2</v>
      </c>
      <c r="MFJ5750" s="34">
        <v>-3</v>
      </c>
      <c r="MFK5750" s="34">
        <v>-4</v>
      </c>
      <c r="MFL5750" s="34">
        <v>-5</v>
      </c>
      <c r="MFM5750" s="908"/>
      <c r="MFN5750" s="909"/>
      <c r="MFO5750" s="34">
        <v>-5</v>
      </c>
      <c r="MFP5750" s="34">
        <v>-4.5</v>
      </c>
      <c r="MFQ5750" s="34">
        <v>-4</v>
      </c>
      <c r="MFR5750" s="34">
        <v>-3.5</v>
      </c>
      <c r="MFS5750" s="34">
        <v>-3</v>
      </c>
      <c r="MFT5750" s="34">
        <v>-2.5</v>
      </c>
      <c r="MFU5750" s="34">
        <v>-2</v>
      </c>
      <c r="MFV5750" s="34">
        <v>-1.5</v>
      </c>
      <c r="MFW5750" s="34">
        <v>-1</v>
      </c>
      <c r="MFX5750" s="34">
        <v>-0.5</v>
      </c>
      <c r="MFY5750" s="34">
        <v>0</v>
      </c>
      <c r="MFZ5750" s="34">
        <v>0.5</v>
      </c>
      <c r="MGA5750" s="34">
        <v>1</v>
      </c>
      <c r="MGB5750" s="34">
        <v>1.5</v>
      </c>
      <c r="MGC5750" s="34">
        <v>2</v>
      </c>
      <c r="MGD5750" s="34">
        <v>2.5</v>
      </c>
      <c r="MGE5750" s="34">
        <v>3</v>
      </c>
      <c r="MGF5750" s="34">
        <v>3.5</v>
      </c>
      <c r="MGG5750" s="34">
        <v>4</v>
      </c>
      <c r="MGH5750" s="34">
        <v>4.5</v>
      </c>
      <c r="MGI5750" s="34">
        <v>5</v>
      </c>
      <c r="MGK5750" s="913"/>
      <c r="MGL5750" s="31">
        <v>1</v>
      </c>
      <c r="MGM5750" s="34">
        <v>0</v>
      </c>
      <c r="MGN5750" s="34">
        <v>-1</v>
      </c>
      <c r="MGO5750" s="34">
        <v>-2</v>
      </c>
      <c r="MGP5750" s="34">
        <v>-3</v>
      </c>
      <c r="MGQ5750" s="34">
        <v>-4</v>
      </c>
      <c r="MGR5750" s="34">
        <v>-5</v>
      </c>
      <c r="MGS5750" s="908"/>
      <c r="MGT5750" s="909"/>
      <c r="MGU5750" s="34">
        <v>-5</v>
      </c>
      <c r="MGV5750" s="34">
        <v>-4.5</v>
      </c>
      <c r="MGW5750" s="34">
        <v>-4</v>
      </c>
      <c r="MGX5750" s="34">
        <v>-3.5</v>
      </c>
      <c r="MGY5750" s="34">
        <v>-3</v>
      </c>
      <c r="MGZ5750" s="34">
        <v>-2.5</v>
      </c>
      <c r="MHA5750" s="34">
        <v>-2</v>
      </c>
      <c r="MHB5750" s="34">
        <v>-1.5</v>
      </c>
      <c r="MHC5750" s="34">
        <v>-1</v>
      </c>
      <c r="MHD5750" s="34">
        <v>-0.5</v>
      </c>
      <c r="MHE5750" s="34">
        <v>0</v>
      </c>
      <c r="MHF5750" s="34">
        <v>0.5</v>
      </c>
      <c r="MHG5750" s="34">
        <v>1</v>
      </c>
      <c r="MHH5750" s="34">
        <v>1.5</v>
      </c>
      <c r="MHI5750" s="34">
        <v>2</v>
      </c>
      <c r="MHJ5750" s="34">
        <v>2.5</v>
      </c>
      <c r="MHK5750" s="34">
        <v>3</v>
      </c>
      <c r="MHL5750" s="34">
        <v>3.5</v>
      </c>
      <c r="MHM5750" s="34">
        <v>4</v>
      </c>
      <c r="MHN5750" s="34">
        <v>4.5</v>
      </c>
      <c r="MHO5750" s="34">
        <v>5</v>
      </c>
      <c r="MHQ5750" s="913"/>
      <c r="MHR5750" s="31">
        <v>1</v>
      </c>
      <c r="MHS5750" s="34">
        <v>0</v>
      </c>
      <c r="MHT5750" s="34">
        <v>-1</v>
      </c>
      <c r="MHU5750" s="34">
        <v>-2</v>
      </c>
      <c r="MHV5750" s="34">
        <v>-3</v>
      </c>
      <c r="MHW5750" s="34">
        <v>-4</v>
      </c>
      <c r="MHX5750" s="34">
        <v>-5</v>
      </c>
      <c r="MHY5750" s="908"/>
      <c r="MHZ5750" s="909"/>
      <c r="MIA5750" s="34">
        <v>-5</v>
      </c>
      <c r="MIB5750" s="34">
        <v>-4.5</v>
      </c>
      <c r="MIC5750" s="34">
        <v>-4</v>
      </c>
      <c r="MID5750" s="34">
        <v>-3.5</v>
      </c>
      <c r="MIE5750" s="34">
        <v>-3</v>
      </c>
      <c r="MIF5750" s="34">
        <v>-2.5</v>
      </c>
      <c r="MIG5750" s="34">
        <v>-2</v>
      </c>
      <c r="MIH5750" s="34">
        <v>-1.5</v>
      </c>
      <c r="MII5750" s="34">
        <v>-1</v>
      </c>
      <c r="MIJ5750" s="34">
        <v>-0.5</v>
      </c>
      <c r="MIK5750" s="34">
        <v>0</v>
      </c>
      <c r="MIL5750" s="34">
        <v>0.5</v>
      </c>
      <c r="MIM5750" s="34">
        <v>1</v>
      </c>
      <c r="MIN5750" s="34">
        <v>1.5</v>
      </c>
      <c r="MIO5750" s="34">
        <v>2</v>
      </c>
      <c r="MIP5750" s="34">
        <v>2.5</v>
      </c>
      <c r="MIQ5750" s="34">
        <v>3</v>
      </c>
      <c r="MIR5750" s="34">
        <v>3.5</v>
      </c>
      <c r="MIS5750" s="34">
        <v>4</v>
      </c>
      <c r="MIT5750" s="34">
        <v>4.5</v>
      </c>
      <c r="MIU5750" s="34">
        <v>5</v>
      </c>
      <c r="MIW5750" s="913"/>
      <c r="MIX5750" s="31">
        <v>1</v>
      </c>
      <c r="MIY5750" s="34">
        <v>0</v>
      </c>
      <c r="MIZ5750" s="34">
        <v>-1</v>
      </c>
      <c r="MJA5750" s="34">
        <v>-2</v>
      </c>
      <c r="MJB5750" s="34">
        <v>-3</v>
      </c>
      <c r="MJC5750" s="34">
        <v>-4</v>
      </c>
      <c r="MJD5750" s="34">
        <v>-5</v>
      </c>
      <c r="MJE5750" s="908"/>
      <c r="MJF5750" s="909"/>
      <c r="MJG5750" s="34">
        <v>-5</v>
      </c>
      <c r="MJH5750" s="34">
        <v>-4.5</v>
      </c>
      <c r="MJI5750" s="34">
        <v>-4</v>
      </c>
      <c r="MJJ5750" s="34">
        <v>-3.5</v>
      </c>
      <c r="MJK5750" s="34">
        <v>-3</v>
      </c>
      <c r="MJL5750" s="34">
        <v>-2.5</v>
      </c>
      <c r="MJM5750" s="34">
        <v>-2</v>
      </c>
      <c r="MJN5750" s="34">
        <v>-1.5</v>
      </c>
      <c r="MJO5750" s="34">
        <v>-1</v>
      </c>
      <c r="MJP5750" s="34">
        <v>-0.5</v>
      </c>
      <c r="MJQ5750" s="34">
        <v>0</v>
      </c>
      <c r="MJR5750" s="34">
        <v>0.5</v>
      </c>
      <c r="MJS5750" s="34">
        <v>1</v>
      </c>
      <c r="MJT5750" s="34">
        <v>1.5</v>
      </c>
      <c r="MJU5750" s="34">
        <v>2</v>
      </c>
      <c r="MJV5750" s="34">
        <v>2.5</v>
      </c>
      <c r="MJW5750" s="34">
        <v>3</v>
      </c>
      <c r="MJX5750" s="34">
        <v>3.5</v>
      </c>
      <c r="MJY5750" s="34">
        <v>4</v>
      </c>
      <c r="MJZ5750" s="34">
        <v>4.5</v>
      </c>
      <c r="MKA5750" s="34">
        <v>5</v>
      </c>
      <c r="MKC5750" s="913"/>
      <c r="MKD5750" s="31">
        <v>1</v>
      </c>
      <c r="MKE5750" s="34">
        <v>0</v>
      </c>
      <c r="MKF5750" s="34">
        <v>-1</v>
      </c>
      <c r="MKG5750" s="34">
        <v>-2</v>
      </c>
      <c r="MKH5750" s="34">
        <v>-3</v>
      </c>
      <c r="MKI5750" s="34">
        <v>-4</v>
      </c>
      <c r="MKJ5750" s="34">
        <v>-5</v>
      </c>
      <c r="MKK5750" s="908"/>
      <c r="MKL5750" s="909"/>
      <c r="MKM5750" s="34">
        <v>-5</v>
      </c>
      <c r="MKN5750" s="34">
        <v>-4.5</v>
      </c>
      <c r="MKO5750" s="34">
        <v>-4</v>
      </c>
      <c r="MKP5750" s="34">
        <v>-3.5</v>
      </c>
      <c r="MKQ5750" s="34">
        <v>-3</v>
      </c>
      <c r="MKR5750" s="34">
        <v>-2.5</v>
      </c>
      <c r="MKS5750" s="34">
        <v>-2</v>
      </c>
      <c r="MKT5750" s="34">
        <v>-1.5</v>
      </c>
      <c r="MKU5750" s="34">
        <v>-1</v>
      </c>
      <c r="MKV5750" s="34">
        <v>-0.5</v>
      </c>
      <c r="MKW5750" s="34">
        <v>0</v>
      </c>
      <c r="MKX5750" s="34">
        <v>0.5</v>
      </c>
      <c r="MKY5750" s="34">
        <v>1</v>
      </c>
      <c r="MKZ5750" s="34">
        <v>1.5</v>
      </c>
      <c r="MLA5750" s="34">
        <v>2</v>
      </c>
      <c r="MLB5750" s="34">
        <v>2.5</v>
      </c>
      <c r="MLC5750" s="34">
        <v>3</v>
      </c>
      <c r="MLD5750" s="34">
        <v>3.5</v>
      </c>
      <c r="MLE5750" s="34">
        <v>4</v>
      </c>
      <c r="MLF5750" s="34">
        <v>4.5</v>
      </c>
      <c r="MLG5750" s="34">
        <v>5</v>
      </c>
      <c r="MLI5750" s="913"/>
      <c r="MLJ5750" s="31">
        <v>1</v>
      </c>
      <c r="MLK5750" s="34">
        <v>0</v>
      </c>
      <c r="MLL5750" s="34">
        <v>-1</v>
      </c>
      <c r="MLM5750" s="34">
        <v>-2</v>
      </c>
      <c r="MLN5750" s="34">
        <v>-3</v>
      </c>
      <c r="MLO5750" s="34">
        <v>-4</v>
      </c>
      <c r="MLP5750" s="34">
        <v>-5</v>
      </c>
      <c r="MLQ5750" s="908"/>
      <c r="MLR5750" s="909"/>
      <c r="MLS5750" s="34">
        <v>-5</v>
      </c>
      <c r="MLT5750" s="34">
        <v>-4.5</v>
      </c>
      <c r="MLU5750" s="34">
        <v>-4</v>
      </c>
      <c r="MLV5750" s="34">
        <v>-3.5</v>
      </c>
      <c r="MLW5750" s="34">
        <v>-3</v>
      </c>
      <c r="MLX5750" s="34">
        <v>-2.5</v>
      </c>
      <c r="MLY5750" s="34">
        <v>-2</v>
      </c>
      <c r="MLZ5750" s="34">
        <v>-1.5</v>
      </c>
      <c r="MMA5750" s="34">
        <v>-1</v>
      </c>
      <c r="MMB5750" s="34">
        <v>-0.5</v>
      </c>
      <c r="MMC5750" s="34">
        <v>0</v>
      </c>
      <c r="MMD5750" s="34">
        <v>0.5</v>
      </c>
      <c r="MME5750" s="34">
        <v>1</v>
      </c>
      <c r="MMF5750" s="34">
        <v>1.5</v>
      </c>
      <c r="MMG5750" s="34">
        <v>2</v>
      </c>
      <c r="MMH5750" s="34">
        <v>2.5</v>
      </c>
      <c r="MMI5750" s="34">
        <v>3</v>
      </c>
      <c r="MMJ5750" s="34">
        <v>3.5</v>
      </c>
      <c r="MMK5750" s="34">
        <v>4</v>
      </c>
      <c r="MML5750" s="34">
        <v>4.5</v>
      </c>
      <c r="MMM5750" s="34">
        <v>5</v>
      </c>
      <c r="MMO5750" s="913"/>
      <c r="MMP5750" s="31">
        <v>1</v>
      </c>
      <c r="MMQ5750" s="34">
        <v>0</v>
      </c>
      <c r="MMR5750" s="34">
        <v>-1</v>
      </c>
      <c r="MMS5750" s="34">
        <v>-2</v>
      </c>
      <c r="MMT5750" s="34">
        <v>-3</v>
      </c>
      <c r="MMU5750" s="34">
        <v>-4</v>
      </c>
      <c r="MMV5750" s="34">
        <v>-5</v>
      </c>
      <c r="MMW5750" s="908"/>
      <c r="MMX5750" s="909"/>
      <c r="MMY5750" s="34">
        <v>-5</v>
      </c>
      <c r="MMZ5750" s="34">
        <v>-4.5</v>
      </c>
      <c r="MNA5750" s="34">
        <v>-4</v>
      </c>
      <c r="MNB5750" s="34">
        <v>-3.5</v>
      </c>
      <c r="MNC5750" s="34">
        <v>-3</v>
      </c>
      <c r="MND5750" s="34">
        <v>-2.5</v>
      </c>
      <c r="MNE5750" s="34">
        <v>-2</v>
      </c>
      <c r="MNF5750" s="34">
        <v>-1.5</v>
      </c>
      <c r="MNG5750" s="34">
        <v>-1</v>
      </c>
      <c r="MNH5750" s="34">
        <v>-0.5</v>
      </c>
      <c r="MNI5750" s="34">
        <v>0</v>
      </c>
      <c r="MNJ5750" s="34">
        <v>0.5</v>
      </c>
      <c r="MNK5750" s="34">
        <v>1</v>
      </c>
      <c r="MNL5750" s="34">
        <v>1.5</v>
      </c>
      <c r="MNM5750" s="34">
        <v>2</v>
      </c>
      <c r="MNN5750" s="34">
        <v>2.5</v>
      </c>
      <c r="MNO5750" s="34">
        <v>3</v>
      </c>
      <c r="MNP5750" s="34">
        <v>3.5</v>
      </c>
      <c r="MNQ5750" s="34">
        <v>4</v>
      </c>
      <c r="MNR5750" s="34">
        <v>4.5</v>
      </c>
      <c r="MNS5750" s="34">
        <v>5</v>
      </c>
      <c r="MNU5750" s="913"/>
      <c r="MNV5750" s="31">
        <v>1</v>
      </c>
      <c r="MNW5750" s="34">
        <v>0</v>
      </c>
      <c r="MNX5750" s="34">
        <v>-1</v>
      </c>
      <c r="MNY5750" s="34">
        <v>-2</v>
      </c>
      <c r="MNZ5750" s="34">
        <v>-3</v>
      </c>
      <c r="MOA5750" s="34">
        <v>-4</v>
      </c>
      <c r="MOB5750" s="34">
        <v>-5</v>
      </c>
      <c r="MOC5750" s="908"/>
      <c r="MOD5750" s="909"/>
      <c r="MOE5750" s="34">
        <v>-5</v>
      </c>
      <c r="MOF5750" s="34">
        <v>-4.5</v>
      </c>
      <c r="MOG5750" s="34">
        <v>-4</v>
      </c>
      <c r="MOH5750" s="34">
        <v>-3.5</v>
      </c>
      <c r="MOI5750" s="34">
        <v>-3</v>
      </c>
      <c r="MOJ5750" s="34">
        <v>-2.5</v>
      </c>
      <c r="MOK5750" s="34">
        <v>-2</v>
      </c>
      <c r="MOL5750" s="34">
        <v>-1.5</v>
      </c>
      <c r="MOM5750" s="34">
        <v>-1</v>
      </c>
      <c r="MON5750" s="34">
        <v>-0.5</v>
      </c>
      <c r="MOO5750" s="34">
        <v>0</v>
      </c>
      <c r="MOP5750" s="34">
        <v>0.5</v>
      </c>
      <c r="MOQ5750" s="34">
        <v>1</v>
      </c>
      <c r="MOR5750" s="34">
        <v>1.5</v>
      </c>
      <c r="MOS5750" s="34">
        <v>2</v>
      </c>
      <c r="MOT5750" s="34">
        <v>2.5</v>
      </c>
      <c r="MOU5750" s="34">
        <v>3</v>
      </c>
      <c r="MOV5750" s="34">
        <v>3.5</v>
      </c>
      <c r="MOW5750" s="34">
        <v>4</v>
      </c>
      <c r="MOX5750" s="34">
        <v>4.5</v>
      </c>
      <c r="MOY5750" s="34">
        <v>5</v>
      </c>
      <c r="MPA5750" s="913"/>
      <c r="MPB5750" s="31">
        <v>1</v>
      </c>
      <c r="MPC5750" s="34">
        <v>0</v>
      </c>
      <c r="MPD5750" s="34">
        <v>-1</v>
      </c>
      <c r="MPE5750" s="34">
        <v>-2</v>
      </c>
      <c r="MPF5750" s="34">
        <v>-3</v>
      </c>
      <c r="MPG5750" s="34">
        <v>-4</v>
      </c>
      <c r="MPH5750" s="34">
        <v>-5</v>
      </c>
      <c r="MPI5750" s="908"/>
      <c r="MPJ5750" s="909"/>
      <c r="MPK5750" s="34">
        <v>-5</v>
      </c>
      <c r="MPL5750" s="34">
        <v>-4.5</v>
      </c>
      <c r="MPM5750" s="34">
        <v>-4</v>
      </c>
      <c r="MPN5750" s="34">
        <v>-3.5</v>
      </c>
      <c r="MPO5750" s="34">
        <v>-3</v>
      </c>
      <c r="MPP5750" s="34">
        <v>-2.5</v>
      </c>
      <c r="MPQ5750" s="34">
        <v>-2</v>
      </c>
      <c r="MPR5750" s="34">
        <v>-1.5</v>
      </c>
      <c r="MPS5750" s="34">
        <v>-1</v>
      </c>
      <c r="MPT5750" s="34">
        <v>-0.5</v>
      </c>
      <c r="MPU5750" s="34">
        <v>0</v>
      </c>
      <c r="MPV5750" s="34">
        <v>0.5</v>
      </c>
      <c r="MPW5750" s="34">
        <v>1</v>
      </c>
      <c r="MPX5750" s="34">
        <v>1.5</v>
      </c>
      <c r="MPY5750" s="34">
        <v>2</v>
      </c>
      <c r="MPZ5750" s="34">
        <v>2.5</v>
      </c>
      <c r="MQA5750" s="34">
        <v>3</v>
      </c>
      <c r="MQB5750" s="34">
        <v>3.5</v>
      </c>
      <c r="MQC5750" s="34">
        <v>4</v>
      </c>
      <c r="MQD5750" s="34">
        <v>4.5</v>
      </c>
      <c r="MQE5750" s="34">
        <v>5</v>
      </c>
      <c r="MQG5750" s="913"/>
      <c r="MQH5750" s="31">
        <v>1</v>
      </c>
      <c r="MQI5750" s="34">
        <v>0</v>
      </c>
      <c r="MQJ5750" s="34">
        <v>-1</v>
      </c>
      <c r="MQK5750" s="34">
        <v>-2</v>
      </c>
      <c r="MQL5750" s="34">
        <v>-3</v>
      </c>
      <c r="MQM5750" s="34">
        <v>-4</v>
      </c>
      <c r="MQN5750" s="34">
        <v>-5</v>
      </c>
      <c r="MQO5750" s="908"/>
      <c r="MQP5750" s="909"/>
      <c r="MQQ5750" s="34">
        <v>-5</v>
      </c>
      <c r="MQR5750" s="34">
        <v>-4.5</v>
      </c>
      <c r="MQS5750" s="34">
        <v>-4</v>
      </c>
      <c r="MQT5750" s="34">
        <v>-3.5</v>
      </c>
      <c r="MQU5750" s="34">
        <v>-3</v>
      </c>
      <c r="MQV5750" s="34">
        <v>-2.5</v>
      </c>
      <c r="MQW5750" s="34">
        <v>-2</v>
      </c>
      <c r="MQX5750" s="34">
        <v>-1.5</v>
      </c>
      <c r="MQY5750" s="34">
        <v>-1</v>
      </c>
      <c r="MQZ5750" s="34">
        <v>-0.5</v>
      </c>
      <c r="MRA5750" s="34">
        <v>0</v>
      </c>
      <c r="MRB5750" s="34">
        <v>0.5</v>
      </c>
      <c r="MRC5750" s="34">
        <v>1</v>
      </c>
      <c r="MRD5750" s="34">
        <v>1.5</v>
      </c>
      <c r="MRE5750" s="34">
        <v>2</v>
      </c>
      <c r="MRF5750" s="34">
        <v>2.5</v>
      </c>
      <c r="MRG5750" s="34">
        <v>3</v>
      </c>
      <c r="MRH5750" s="34">
        <v>3.5</v>
      </c>
      <c r="MRI5750" s="34">
        <v>4</v>
      </c>
      <c r="MRJ5750" s="34">
        <v>4.5</v>
      </c>
      <c r="MRK5750" s="34">
        <v>5</v>
      </c>
      <c r="MRM5750" s="913"/>
      <c r="MRN5750" s="31">
        <v>1</v>
      </c>
      <c r="MRO5750" s="34">
        <v>0</v>
      </c>
      <c r="MRP5750" s="34">
        <v>-1</v>
      </c>
      <c r="MRQ5750" s="34">
        <v>-2</v>
      </c>
      <c r="MRR5750" s="34">
        <v>-3</v>
      </c>
      <c r="MRS5750" s="34">
        <v>-4</v>
      </c>
      <c r="MRT5750" s="34">
        <v>-5</v>
      </c>
      <c r="MRU5750" s="908"/>
      <c r="MRV5750" s="909"/>
      <c r="MRW5750" s="34">
        <v>-5</v>
      </c>
      <c r="MRX5750" s="34">
        <v>-4.5</v>
      </c>
      <c r="MRY5750" s="34">
        <v>-4</v>
      </c>
      <c r="MRZ5750" s="34">
        <v>-3.5</v>
      </c>
      <c r="MSA5750" s="34">
        <v>-3</v>
      </c>
      <c r="MSB5750" s="34">
        <v>-2.5</v>
      </c>
      <c r="MSC5750" s="34">
        <v>-2</v>
      </c>
      <c r="MSD5750" s="34">
        <v>-1.5</v>
      </c>
      <c r="MSE5750" s="34">
        <v>-1</v>
      </c>
      <c r="MSF5750" s="34">
        <v>-0.5</v>
      </c>
      <c r="MSG5750" s="34">
        <v>0</v>
      </c>
      <c r="MSH5750" s="34">
        <v>0.5</v>
      </c>
      <c r="MSI5750" s="34">
        <v>1</v>
      </c>
      <c r="MSJ5750" s="34">
        <v>1.5</v>
      </c>
      <c r="MSK5750" s="34">
        <v>2</v>
      </c>
      <c r="MSL5750" s="34">
        <v>2.5</v>
      </c>
      <c r="MSM5750" s="34">
        <v>3</v>
      </c>
      <c r="MSN5750" s="34">
        <v>3.5</v>
      </c>
      <c r="MSO5750" s="34">
        <v>4</v>
      </c>
      <c r="MSP5750" s="34">
        <v>4.5</v>
      </c>
      <c r="MSQ5750" s="34">
        <v>5</v>
      </c>
      <c r="MSS5750" s="913"/>
      <c r="MST5750" s="31">
        <v>1</v>
      </c>
      <c r="MSU5750" s="34">
        <v>0</v>
      </c>
      <c r="MSV5750" s="34">
        <v>-1</v>
      </c>
      <c r="MSW5750" s="34">
        <v>-2</v>
      </c>
      <c r="MSX5750" s="34">
        <v>-3</v>
      </c>
      <c r="MSY5750" s="34">
        <v>-4</v>
      </c>
      <c r="MSZ5750" s="34">
        <v>-5</v>
      </c>
      <c r="MTA5750" s="908"/>
      <c r="MTB5750" s="909"/>
      <c r="MTC5750" s="34">
        <v>-5</v>
      </c>
      <c r="MTD5750" s="34">
        <v>-4.5</v>
      </c>
      <c r="MTE5750" s="34">
        <v>-4</v>
      </c>
      <c r="MTF5750" s="34">
        <v>-3.5</v>
      </c>
      <c r="MTG5750" s="34">
        <v>-3</v>
      </c>
      <c r="MTH5750" s="34">
        <v>-2.5</v>
      </c>
      <c r="MTI5750" s="34">
        <v>-2</v>
      </c>
      <c r="MTJ5750" s="34">
        <v>-1.5</v>
      </c>
      <c r="MTK5750" s="34">
        <v>-1</v>
      </c>
      <c r="MTL5750" s="34">
        <v>-0.5</v>
      </c>
      <c r="MTM5750" s="34">
        <v>0</v>
      </c>
      <c r="MTN5750" s="34">
        <v>0.5</v>
      </c>
      <c r="MTO5750" s="34">
        <v>1</v>
      </c>
      <c r="MTP5750" s="34">
        <v>1.5</v>
      </c>
      <c r="MTQ5750" s="34">
        <v>2</v>
      </c>
      <c r="MTR5750" s="34">
        <v>2.5</v>
      </c>
      <c r="MTS5750" s="34">
        <v>3</v>
      </c>
      <c r="MTT5750" s="34">
        <v>3.5</v>
      </c>
      <c r="MTU5750" s="34">
        <v>4</v>
      </c>
      <c r="MTV5750" s="34">
        <v>4.5</v>
      </c>
      <c r="MTW5750" s="34">
        <v>5</v>
      </c>
      <c r="MTY5750" s="913"/>
      <c r="MTZ5750" s="31">
        <v>1</v>
      </c>
      <c r="MUA5750" s="34">
        <v>0</v>
      </c>
      <c r="MUB5750" s="34">
        <v>-1</v>
      </c>
      <c r="MUC5750" s="34">
        <v>-2</v>
      </c>
      <c r="MUD5750" s="34">
        <v>-3</v>
      </c>
      <c r="MUE5750" s="34">
        <v>-4</v>
      </c>
      <c r="MUF5750" s="34">
        <v>-5</v>
      </c>
      <c r="MUG5750" s="908"/>
      <c r="MUH5750" s="909"/>
      <c r="MUI5750" s="34">
        <v>-5</v>
      </c>
      <c r="MUJ5750" s="34">
        <v>-4.5</v>
      </c>
      <c r="MUK5750" s="34">
        <v>-4</v>
      </c>
      <c r="MUL5750" s="34">
        <v>-3.5</v>
      </c>
      <c r="MUM5750" s="34">
        <v>-3</v>
      </c>
      <c r="MUN5750" s="34">
        <v>-2.5</v>
      </c>
      <c r="MUO5750" s="34">
        <v>-2</v>
      </c>
      <c r="MUP5750" s="34">
        <v>-1.5</v>
      </c>
      <c r="MUQ5750" s="34">
        <v>-1</v>
      </c>
      <c r="MUR5750" s="34">
        <v>-0.5</v>
      </c>
      <c r="MUS5750" s="34">
        <v>0</v>
      </c>
      <c r="MUT5750" s="34">
        <v>0.5</v>
      </c>
      <c r="MUU5750" s="34">
        <v>1</v>
      </c>
      <c r="MUV5750" s="34">
        <v>1.5</v>
      </c>
      <c r="MUW5750" s="34">
        <v>2</v>
      </c>
      <c r="MUX5750" s="34">
        <v>2.5</v>
      </c>
      <c r="MUY5750" s="34">
        <v>3</v>
      </c>
      <c r="MUZ5750" s="34">
        <v>3.5</v>
      </c>
      <c r="MVA5750" s="34">
        <v>4</v>
      </c>
      <c r="MVB5750" s="34">
        <v>4.5</v>
      </c>
      <c r="MVC5750" s="34">
        <v>5</v>
      </c>
      <c r="MVE5750" s="913"/>
      <c r="MVF5750" s="31">
        <v>1</v>
      </c>
      <c r="MVG5750" s="34">
        <v>0</v>
      </c>
      <c r="MVH5750" s="34">
        <v>-1</v>
      </c>
      <c r="MVI5750" s="34">
        <v>-2</v>
      </c>
      <c r="MVJ5750" s="34">
        <v>-3</v>
      </c>
      <c r="MVK5750" s="34">
        <v>-4</v>
      </c>
      <c r="MVL5750" s="34">
        <v>-5</v>
      </c>
      <c r="MVM5750" s="908"/>
      <c r="MVN5750" s="909"/>
      <c r="MVO5750" s="34">
        <v>-5</v>
      </c>
      <c r="MVP5750" s="34">
        <v>-4.5</v>
      </c>
      <c r="MVQ5750" s="34">
        <v>-4</v>
      </c>
      <c r="MVR5750" s="34">
        <v>-3.5</v>
      </c>
      <c r="MVS5750" s="34">
        <v>-3</v>
      </c>
      <c r="MVT5750" s="34">
        <v>-2.5</v>
      </c>
      <c r="MVU5750" s="34">
        <v>-2</v>
      </c>
      <c r="MVV5750" s="34">
        <v>-1.5</v>
      </c>
      <c r="MVW5750" s="34">
        <v>-1</v>
      </c>
      <c r="MVX5750" s="34">
        <v>-0.5</v>
      </c>
      <c r="MVY5750" s="34">
        <v>0</v>
      </c>
      <c r="MVZ5750" s="34">
        <v>0.5</v>
      </c>
      <c r="MWA5750" s="34">
        <v>1</v>
      </c>
      <c r="MWB5750" s="34">
        <v>1.5</v>
      </c>
      <c r="MWC5750" s="34">
        <v>2</v>
      </c>
      <c r="MWD5750" s="34">
        <v>2.5</v>
      </c>
      <c r="MWE5750" s="34">
        <v>3</v>
      </c>
      <c r="MWF5750" s="34">
        <v>3.5</v>
      </c>
      <c r="MWG5750" s="34">
        <v>4</v>
      </c>
      <c r="MWH5750" s="34">
        <v>4.5</v>
      </c>
      <c r="MWI5750" s="34">
        <v>5</v>
      </c>
      <c r="MWK5750" s="913"/>
      <c r="MWL5750" s="31">
        <v>1</v>
      </c>
      <c r="MWM5750" s="34">
        <v>0</v>
      </c>
      <c r="MWN5750" s="34">
        <v>-1</v>
      </c>
      <c r="MWO5750" s="34">
        <v>-2</v>
      </c>
      <c r="MWP5750" s="34">
        <v>-3</v>
      </c>
      <c r="MWQ5750" s="34">
        <v>-4</v>
      </c>
      <c r="MWR5750" s="34">
        <v>-5</v>
      </c>
      <c r="MWS5750" s="908"/>
      <c r="MWT5750" s="909"/>
      <c r="MWU5750" s="34">
        <v>-5</v>
      </c>
      <c r="MWV5750" s="34">
        <v>-4.5</v>
      </c>
      <c r="MWW5750" s="34">
        <v>-4</v>
      </c>
      <c r="MWX5750" s="34">
        <v>-3.5</v>
      </c>
      <c r="MWY5750" s="34">
        <v>-3</v>
      </c>
      <c r="MWZ5750" s="34">
        <v>-2.5</v>
      </c>
      <c r="MXA5750" s="34">
        <v>-2</v>
      </c>
      <c r="MXB5750" s="34">
        <v>-1.5</v>
      </c>
      <c r="MXC5750" s="34">
        <v>-1</v>
      </c>
      <c r="MXD5750" s="34">
        <v>-0.5</v>
      </c>
      <c r="MXE5750" s="34">
        <v>0</v>
      </c>
      <c r="MXF5750" s="34">
        <v>0.5</v>
      </c>
      <c r="MXG5750" s="34">
        <v>1</v>
      </c>
      <c r="MXH5750" s="34">
        <v>1.5</v>
      </c>
      <c r="MXI5750" s="34">
        <v>2</v>
      </c>
      <c r="MXJ5750" s="34">
        <v>2.5</v>
      </c>
      <c r="MXK5750" s="34">
        <v>3</v>
      </c>
      <c r="MXL5750" s="34">
        <v>3.5</v>
      </c>
      <c r="MXM5750" s="34">
        <v>4</v>
      </c>
      <c r="MXN5750" s="34">
        <v>4.5</v>
      </c>
      <c r="MXO5750" s="34">
        <v>5</v>
      </c>
      <c r="MXQ5750" s="913"/>
      <c r="MXR5750" s="31">
        <v>1</v>
      </c>
      <c r="MXS5750" s="34">
        <v>0</v>
      </c>
      <c r="MXT5750" s="34">
        <v>-1</v>
      </c>
      <c r="MXU5750" s="34">
        <v>-2</v>
      </c>
      <c r="MXV5750" s="34">
        <v>-3</v>
      </c>
      <c r="MXW5750" s="34">
        <v>-4</v>
      </c>
      <c r="MXX5750" s="34">
        <v>-5</v>
      </c>
      <c r="MXY5750" s="908"/>
      <c r="MXZ5750" s="909"/>
      <c r="MYA5750" s="34">
        <v>-5</v>
      </c>
      <c r="MYB5750" s="34">
        <v>-4.5</v>
      </c>
      <c r="MYC5750" s="34">
        <v>-4</v>
      </c>
      <c r="MYD5750" s="34">
        <v>-3.5</v>
      </c>
      <c r="MYE5750" s="34">
        <v>-3</v>
      </c>
      <c r="MYF5750" s="34">
        <v>-2.5</v>
      </c>
      <c r="MYG5750" s="34">
        <v>-2</v>
      </c>
      <c r="MYH5750" s="34">
        <v>-1.5</v>
      </c>
      <c r="MYI5750" s="34">
        <v>-1</v>
      </c>
      <c r="MYJ5750" s="34">
        <v>-0.5</v>
      </c>
      <c r="MYK5750" s="34">
        <v>0</v>
      </c>
      <c r="MYL5750" s="34">
        <v>0.5</v>
      </c>
      <c r="MYM5750" s="34">
        <v>1</v>
      </c>
      <c r="MYN5750" s="34">
        <v>1.5</v>
      </c>
      <c r="MYO5750" s="34">
        <v>2</v>
      </c>
      <c r="MYP5750" s="34">
        <v>2.5</v>
      </c>
      <c r="MYQ5750" s="34">
        <v>3</v>
      </c>
      <c r="MYR5750" s="34">
        <v>3.5</v>
      </c>
      <c r="MYS5750" s="34">
        <v>4</v>
      </c>
      <c r="MYT5750" s="34">
        <v>4.5</v>
      </c>
      <c r="MYU5750" s="34">
        <v>5</v>
      </c>
      <c r="MYW5750" s="913"/>
      <c r="MYX5750" s="31">
        <v>1</v>
      </c>
      <c r="MYY5750" s="34">
        <v>0</v>
      </c>
      <c r="MYZ5750" s="34">
        <v>-1</v>
      </c>
      <c r="MZA5750" s="34">
        <v>-2</v>
      </c>
      <c r="MZB5750" s="34">
        <v>-3</v>
      </c>
      <c r="MZC5750" s="34">
        <v>-4</v>
      </c>
      <c r="MZD5750" s="34">
        <v>-5</v>
      </c>
      <c r="MZE5750" s="908"/>
      <c r="MZF5750" s="909"/>
      <c r="MZG5750" s="34">
        <v>-5</v>
      </c>
      <c r="MZH5750" s="34">
        <v>-4.5</v>
      </c>
      <c r="MZI5750" s="34">
        <v>-4</v>
      </c>
      <c r="MZJ5750" s="34">
        <v>-3.5</v>
      </c>
      <c r="MZK5750" s="34">
        <v>-3</v>
      </c>
      <c r="MZL5750" s="34">
        <v>-2.5</v>
      </c>
      <c r="MZM5750" s="34">
        <v>-2</v>
      </c>
      <c r="MZN5750" s="34">
        <v>-1.5</v>
      </c>
      <c r="MZO5750" s="34">
        <v>-1</v>
      </c>
      <c r="MZP5750" s="34">
        <v>-0.5</v>
      </c>
      <c r="MZQ5750" s="34">
        <v>0</v>
      </c>
      <c r="MZR5750" s="34">
        <v>0.5</v>
      </c>
      <c r="MZS5750" s="34">
        <v>1</v>
      </c>
      <c r="MZT5750" s="34">
        <v>1.5</v>
      </c>
      <c r="MZU5750" s="34">
        <v>2</v>
      </c>
      <c r="MZV5750" s="34">
        <v>2.5</v>
      </c>
      <c r="MZW5750" s="34">
        <v>3</v>
      </c>
      <c r="MZX5750" s="34">
        <v>3.5</v>
      </c>
      <c r="MZY5750" s="34">
        <v>4</v>
      </c>
      <c r="MZZ5750" s="34">
        <v>4.5</v>
      </c>
      <c r="NAA5750" s="34">
        <v>5</v>
      </c>
      <c r="NAC5750" s="913"/>
      <c r="NAD5750" s="31">
        <v>1</v>
      </c>
      <c r="NAE5750" s="34">
        <v>0</v>
      </c>
      <c r="NAF5750" s="34">
        <v>-1</v>
      </c>
      <c r="NAG5750" s="34">
        <v>-2</v>
      </c>
      <c r="NAH5750" s="34">
        <v>-3</v>
      </c>
      <c r="NAI5750" s="34">
        <v>-4</v>
      </c>
      <c r="NAJ5750" s="34">
        <v>-5</v>
      </c>
      <c r="NAK5750" s="908"/>
      <c r="NAL5750" s="909"/>
      <c r="NAM5750" s="34">
        <v>-5</v>
      </c>
      <c r="NAN5750" s="34">
        <v>-4.5</v>
      </c>
      <c r="NAO5750" s="34">
        <v>-4</v>
      </c>
      <c r="NAP5750" s="34">
        <v>-3.5</v>
      </c>
      <c r="NAQ5750" s="34">
        <v>-3</v>
      </c>
      <c r="NAR5750" s="34">
        <v>-2.5</v>
      </c>
      <c r="NAS5750" s="34">
        <v>-2</v>
      </c>
      <c r="NAT5750" s="34">
        <v>-1.5</v>
      </c>
      <c r="NAU5750" s="34">
        <v>-1</v>
      </c>
      <c r="NAV5750" s="34">
        <v>-0.5</v>
      </c>
      <c r="NAW5750" s="34">
        <v>0</v>
      </c>
      <c r="NAX5750" s="34">
        <v>0.5</v>
      </c>
      <c r="NAY5750" s="34">
        <v>1</v>
      </c>
      <c r="NAZ5750" s="34">
        <v>1.5</v>
      </c>
      <c r="NBA5750" s="34">
        <v>2</v>
      </c>
      <c r="NBB5750" s="34">
        <v>2.5</v>
      </c>
      <c r="NBC5750" s="34">
        <v>3</v>
      </c>
      <c r="NBD5750" s="34">
        <v>3.5</v>
      </c>
      <c r="NBE5750" s="34">
        <v>4</v>
      </c>
      <c r="NBF5750" s="34">
        <v>4.5</v>
      </c>
      <c r="NBG5750" s="34">
        <v>5</v>
      </c>
      <c r="NBI5750" s="913"/>
      <c r="NBJ5750" s="31">
        <v>1</v>
      </c>
      <c r="NBK5750" s="34">
        <v>0</v>
      </c>
      <c r="NBL5750" s="34">
        <v>-1</v>
      </c>
      <c r="NBM5750" s="34">
        <v>-2</v>
      </c>
      <c r="NBN5750" s="34">
        <v>-3</v>
      </c>
      <c r="NBO5750" s="34">
        <v>-4</v>
      </c>
      <c r="NBP5750" s="34">
        <v>-5</v>
      </c>
      <c r="NBQ5750" s="908"/>
      <c r="NBR5750" s="909"/>
      <c r="NBS5750" s="34">
        <v>-5</v>
      </c>
      <c r="NBT5750" s="34">
        <v>-4.5</v>
      </c>
      <c r="NBU5750" s="34">
        <v>-4</v>
      </c>
      <c r="NBV5750" s="34">
        <v>-3.5</v>
      </c>
      <c r="NBW5750" s="34">
        <v>-3</v>
      </c>
      <c r="NBX5750" s="34">
        <v>-2.5</v>
      </c>
      <c r="NBY5750" s="34">
        <v>-2</v>
      </c>
      <c r="NBZ5750" s="34">
        <v>-1.5</v>
      </c>
      <c r="NCA5750" s="34">
        <v>-1</v>
      </c>
      <c r="NCB5750" s="34">
        <v>-0.5</v>
      </c>
      <c r="NCC5750" s="34">
        <v>0</v>
      </c>
      <c r="NCD5750" s="34">
        <v>0.5</v>
      </c>
      <c r="NCE5750" s="34">
        <v>1</v>
      </c>
      <c r="NCF5750" s="34">
        <v>1.5</v>
      </c>
      <c r="NCG5750" s="34">
        <v>2</v>
      </c>
      <c r="NCH5750" s="34">
        <v>2.5</v>
      </c>
      <c r="NCI5750" s="34">
        <v>3</v>
      </c>
      <c r="NCJ5750" s="34">
        <v>3.5</v>
      </c>
      <c r="NCK5750" s="34">
        <v>4</v>
      </c>
      <c r="NCL5750" s="34">
        <v>4.5</v>
      </c>
      <c r="NCM5750" s="34">
        <v>5</v>
      </c>
      <c r="NCO5750" s="913"/>
      <c r="NCP5750" s="31">
        <v>1</v>
      </c>
      <c r="NCQ5750" s="34">
        <v>0</v>
      </c>
      <c r="NCR5750" s="34">
        <v>-1</v>
      </c>
      <c r="NCS5750" s="34">
        <v>-2</v>
      </c>
      <c r="NCT5750" s="34">
        <v>-3</v>
      </c>
      <c r="NCU5750" s="34">
        <v>-4</v>
      </c>
      <c r="NCV5750" s="34">
        <v>-5</v>
      </c>
      <c r="NCW5750" s="908"/>
      <c r="NCX5750" s="909"/>
      <c r="NCY5750" s="34">
        <v>-5</v>
      </c>
      <c r="NCZ5750" s="34">
        <v>-4.5</v>
      </c>
      <c r="NDA5750" s="34">
        <v>-4</v>
      </c>
      <c r="NDB5750" s="34">
        <v>-3.5</v>
      </c>
      <c r="NDC5750" s="34">
        <v>-3</v>
      </c>
      <c r="NDD5750" s="34">
        <v>-2.5</v>
      </c>
      <c r="NDE5750" s="34">
        <v>-2</v>
      </c>
      <c r="NDF5750" s="34">
        <v>-1.5</v>
      </c>
      <c r="NDG5750" s="34">
        <v>-1</v>
      </c>
      <c r="NDH5750" s="34">
        <v>-0.5</v>
      </c>
      <c r="NDI5750" s="34">
        <v>0</v>
      </c>
      <c r="NDJ5750" s="34">
        <v>0.5</v>
      </c>
      <c r="NDK5750" s="34">
        <v>1</v>
      </c>
      <c r="NDL5750" s="34">
        <v>1.5</v>
      </c>
      <c r="NDM5750" s="34">
        <v>2</v>
      </c>
      <c r="NDN5750" s="34">
        <v>2.5</v>
      </c>
      <c r="NDO5750" s="34">
        <v>3</v>
      </c>
      <c r="NDP5750" s="34">
        <v>3.5</v>
      </c>
      <c r="NDQ5750" s="34">
        <v>4</v>
      </c>
      <c r="NDR5750" s="34">
        <v>4.5</v>
      </c>
      <c r="NDS5750" s="34">
        <v>5</v>
      </c>
      <c r="NDU5750" s="913"/>
      <c r="NDV5750" s="31">
        <v>1</v>
      </c>
      <c r="NDW5750" s="34">
        <v>0</v>
      </c>
      <c r="NDX5750" s="34">
        <v>-1</v>
      </c>
      <c r="NDY5750" s="34">
        <v>-2</v>
      </c>
      <c r="NDZ5750" s="34">
        <v>-3</v>
      </c>
      <c r="NEA5750" s="34">
        <v>-4</v>
      </c>
      <c r="NEB5750" s="34">
        <v>-5</v>
      </c>
      <c r="NEC5750" s="908"/>
      <c r="NED5750" s="909"/>
      <c r="NEE5750" s="34">
        <v>-5</v>
      </c>
      <c r="NEF5750" s="34">
        <v>-4.5</v>
      </c>
      <c r="NEG5750" s="34">
        <v>-4</v>
      </c>
      <c r="NEH5750" s="34">
        <v>-3.5</v>
      </c>
      <c r="NEI5750" s="34">
        <v>-3</v>
      </c>
      <c r="NEJ5750" s="34">
        <v>-2.5</v>
      </c>
      <c r="NEK5750" s="34">
        <v>-2</v>
      </c>
      <c r="NEL5750" s="34">
        <v>-1.5</v>
      </c>
      <c r="NEM5750" s="34">
        <v>-1</v>
      </c>
      <c r="NEN5750" s="34">
        <v>-0.5</v>
      </c>
      <c r="NEO5750" s="34">
        <v>0</v>
      </c>
      <c r="NEP5750" s="34">
        <v>0.5</v>
      </c>
      <c r="NEQ5750" s="34">
        <v>1</v>
      </c>
      <c r="NER5750" s="34">
        <v>1.5</v>
      </c>
      <c r="NES5750" s="34">
        <v>2</v>
      </c>
      <c r="NET5750" s="34">
        <v>2.5</v>
      </c>
      <c r="NEU5750" s="34">
        <v>3</v>
      </c>
      <c r="NEV5750" s="34">
        <v>3.5</v>
      </c>
      <c r="NEW5750" s="34">
        <v>4</v>
      </c>
      <c r="NEX5750" s="34">
        <v>4.5</v>
      </c>
      <c r="NEY5750" s="34">
        <v>5</v>
      </c>
      <c r="NFA5750" s="913"/>
      <c r="NFB5750" s="31">
        <v>1</v>
      </c>
      <c r="NFC5750" s="34">
        <v>0</v>
      </c>
      <c r="NFD5750" s="34">
        <v>-1</v>
      </c>
      <c r="NFE5750" s="34">
        <v>-2</v>
      </c>
      <c r="NFF5750" s="34">
        <v>-3</v>
      </c>
      <c r="NFG5750" s="34">
        <v>-4</v>
      </c>
      <c r="NFH5750" s="34">
        <v>-5</v>
      </c>
      <c r="NFI5750" s="908"/>
      <c r="NFJ5750" s="909"/>
      <c r="NFK5750" s="34">
        <v>-5</v>
      </c>
      <c r="NFL5750" s="34">
        <v>-4.5</v>
      </c>
      <c r="NFM5750" s="34">
        <v>-4</v>
      </c>
      <c r="NFN5750" s="34">
        <v>-3.5</v>
      </c>
      <c r="NFO5750" s="34">
        <v>-3</v>
      </c>
      <c r="NFP5750" s="34">
        <v>-2.5</v>
      </c>
      <c r="NFQ5750" s="34">
        <v>-2</v>
      </c>
      <c r="NFR5750" s="34">
        <v>-1.5</v>
      </c>
      <c r="NFS5750" s="34">
        <v>-1</v>
      </c>
      <c r="NFT5750" s="34">
        <v>-0.5</v>
      </c>
      <c r="NFU5750" s="34">
        <v>0</v>
      </c>
      <c r="NFV5750" s="34">
        <v>0.5</v>
      </c>
      <c r="NFW5750" s="34">
        <v>1</v>
      </c>
      <c r="NFX5750" s="34">
        <v>1.5</v>
      </c>
      <c r="NFY5750" s="34">
        <v>2</v>
      </c>
      <c r="NFZ5750" s="34">
        <v>2.5</v>
      </c>
      <c r="NGA5750" s="34">
        <v>3</v>
      </c>
      <c r="NGB5750" s="34">
        <v>3.5</v>
      </c>
      <c r="NGC5750" s="34">
        <v>4</v>
      </c>
      <c r="NGD5750" s="34">
        <v>4.5</v>
      </c>
      <c r="NGE5750" s="34">
        <v>5</v>
      </c>
      <c r="NGG5750" s="913"/>
      <c r="NGH5750" s="31">
        <v>1</v>
      </c>
      <c r="NGI5750" s="34">
        <v>0</v>
      </c>
      <c r="NGJ5750" s="34">
        <v>-1</v>
      </c>
      <c r="NGK5750" s="34">
        <v>-2</v>
      </c>
      <c r="NGL5750" s="34">
        <v>-3</v>
      </c>
      <c r="NGM5750" s="34">
        <v>-4</v>
      </c>
      <c r="NGN5750" s="34">
        <v>-5</v>
      </c>
      <c r="NGO5750" s="908"/>
      <c r="NGP5750" s="909"/>
      <c r="NGQ5750" s="34">
        <v>-5</v>
      </c>
      <c r="NGR5750" s="34">
        <v>-4.5</v>
      </c>
      <c r="NGS5750" s="34">
        <v>-4</v>
      </c>
      <c r="NGT5750" s="34">
        <v>-3.5</v>
      </c>
      <c r="NGU5750" s="34">
        <v>-3</v>
      </c>
      <c r="NGV5750" s="34">
        <v>-2.5</v>
      </c>
      <c r="NGW5750" s="34">
        <v>-2</v>
      </c>
      <c r="NGX5750" s="34">
        <v>-1.5</v>
      </c>
      <c r="NGY5750" s="34">
        <v>-1</v>
      </c>
      <c r="NGZ5750" s="34">
        <v>-0.5</v>
      </c>
      <c r="NHA5750" s="34">
        <v>0</v>
      </c>
      <c r="NHB5750" s="34">
        <v>0.5</v>
      </c>
      <c r="NHC5750" s="34">
        <v>1</v>
      </c>
      <c r="NHD5750" s="34">
        <v>1.5</v>
      </c>
      <c r="NHE5750" s="34">
        <v>2</v>
      </c>
      <c r="NHF5750" s="34">
        <v>2.5</v>
      </c>
      <c r="NHG5750" s="34">
        <v>3</v>
      </c>
      <c r="NHH5750" s="34">
        <v>3.5</v>
      </c>
      <c r="NHI5750" s="34">
        <v>4</v>
      </c>
      <c r="NHJ5750" s="34">
        <v>4.5</v>
      </c>
      <c r="NHK5750" s="34">
        <v>5</v>
      </c>
      <c r="NHM5750" s="913"/>
      <c r="NHN5750" s="31">
        <v>1</v>
      </c>
      <c r="NHO5750" s="34">
        <v>0</v>
      </c>
      <c r="NHP5750" s="34">
        <v>-1</v>
      </c>
      <c r="NHQ5750" s="34">
        <v>-2</v>
      </c>
      <c r="NHR5750" s="34">
        <v>-3</v>
      </c>
      <c r="NHS5750" s="34">
        <v>-4</v>
      </c>
      <c r="NHT5750" s="34">
        <v>-5</v>
      </c>
      <c r="NHU5750" s="908"/>
      <c r="NHV5750" s="909"/>
      <c r="NHW5750" s="34">
        <v>-5</v>
      </c>
      <c r="NHX5750" s="34">
        <v>-4.5</v>
      </c>
      <c r="NHY5750" s="34">
        <v>-4</v>
      </c>
      <c r="NHZ5750" s="34">
        <v>-3.5</v>
      </c>
      <c r="NIA5750" s="34">
        <v>-3</v>
      </c>
      <c r="NIB5750" s="34">
        <v>-2.5</v>
      </c>
      <c r="NIC5750" s="34">
        <v>-2</v>
      </c>
      <c r="NID5750" s="34">
        <v>-1.5</v>
      </c>
      <c r="NIE5750" s="34">
        <v>-1</v>
      </c>
      <c r="NIF5750" s="34">
        <v>-0.5</v>
      </c>
      <c r="NIG5750" s="34">
        <v>0</v>
      </c>
      <c r="NIH5750" s="34">
        <v>0.5</v>
      </c>
      <c r="NII5750" s="34">
        <v>1</v>
      </c>
      <c r="NIJ5750" s="34">
        <v>1.5</v>
      </c>
      <c r="NIK5750" s="34">
        <v>2</v>
      </c>
      <c r="NIL5750" s="34">
        <v>2.5</v>
      </c>
      <c r="NIM5750" s="34">
        <v>3</v>
      </c>
      <c r="NIN5750" s="34">
        <v>3.5</v>
      </c>
      <c r="NIO5750" s="34">
        <v>4</v>
      </c>
      <c r="NIP5750" s="34">
        <v>4.5</v>
      </c>
      <c r="NIQ5750" s="34">
        <v>5</v>
      </c>
      <c r="NIS5750" s="913"/>
      <c r="NIT5750" s="31">
        <v>1</v>
      </c>
      <c r="NIU5750" s="34">
        <v>0</v>
      </c>
      <c r="NIV5750" s="34">
        <v>-1</v>
      </c>
      <c r="NIW5750" s="34">
        <v>-2</v>
      </c>
      <c r="NIX5750" s="34">
        <v>-3</v>
      </c>
      <c r="NIY5750" s="34">
        <v>-4</v>
      </c>
      <c r="NIZ5750" s="34">
        <v>-5</v>
      </c>
      <c r="NJA5750" s="908"/>
      <c r="NJB5750" s="909"/>
      <c r="NJC5750" s="34">
        <v>-5</v>
      </c>
      <c r="NJD5750" s="34">
        <v>-4.5</v>
      </c>
      <c r="NJE5750" s="34">
        <v>-4</v>
      </c>
      <c r="NJF5750" s="34">
        <v>-3.5</v>
      </c>
      <c r="NJG5750" s="34">
        <v>-3</v>
      </c>
      <c r="NJH5750" s="34">
        <v>-2.5</v>
      </c>
      <c r="NJI5750" s="34">
        <v>-2</v>
      </c>
      <c r="NJJ5750" s="34">
        <v>-1.5</v>
      </c>
      <c r="NJK5750" s="34">
        <v>-1</v>
      </c>
      <c r="NJL5750" s="34">
        <v>-0.5</v>
      </c>
      <c r="NJM5750" s="34">
        <v>0</v>
      </c>
      <c r="NJN5750" s="34">
        <v>0.5</v>
      </c>
      <c r="NJO5750" s="34">
        <v>1</v>
      </c>
      <c r="NJP5750" s="34">
        <v>1.5</v>
      </c>
      <c r="NJQ5750" s="34">
        <v>2</v>
      </c>
      <c r="NJR5750" s="34">
        <v>2.5</v>
      </c>
      <c r="NJS5750" s="34">
        <v>3</v>
      </c>
      <c r="NJT5750" s="34">
        <v>3.5</v>
      </c>
      <c r="NJU5750" s="34">
        <v>4</v>
      </c>
      <c r="NJV5750" s="34">
        <v>4.5</v>
      </c>
      <c r="NJW5750" s="34">
        <v>5</v>
      </c>
      <c r="NJY5750" s="913"/>
      <c r="NJZ5750" s="31">
        <v>1</v>
      </c>
      <c r="NKA5750" s="34">
        <v>0</v>
      </c>
      <c r="NKB5750" s="34">
        <v>-1</v>
      </c>
      <c r="NKC5750" s="34">
        <v>-2</v>
      </c>
      <c r="NKD5750" s="34">
        <v>-3</v>
      </c>
      <c r="NKE5750" s="34">
        <v>-4</v>
      </c>
      <c r="NKF5750" s="34">
        <v>-5</v>
      </c>
      <c r="NKG5750" s="908"/>
      <c r="NKH5750" s="909"/>
      <c r="NKI5750" s="34">
        <v>-5</v>
      </c>
      <c r="NKJ5750" s="34">
        <v>-4.5</v>
      </c>
      <c r="NKK5750" s="34">
        <v>-4</v>
      </c>
      <c r="NKL5750" s="34">
        <v>-3.5</v>
      </c>
      <c r="NKM5750" s="34">
        <v>-3</v>
      </c>
      <c r="NKN5750" s="34">
        <v>-2.5</v>
      </c>
      <c r="NKO5750" s="34">
        <v>-2</v>
      </c>
      <c r="NKP5750" s="34">
        <v>-1.5</v>
      </c>
      <c r="NKQ5750" s="34">
        <v>-1</v>
      </c>
      <c r="NKR5750" s="34">
        <v>-0.5</v>
      </c>
      <c r="NKS5750" s="34">
        <v>0</v>
      </c>
      <c r="NKT5750" s="34">
        <v>0.5</v>
      </c>
      <c r="NKU5750" s="34">
        <v>1</v>
      </c>
      <c r="NKV5750" s="34">
        <v>1.5</v>
      </c>
      <c r="NKW5750" s="34">
        <v>2</v>
      </c>
      <c r="NKX5750" s="34">
        <v>2.5</v>
      </c>
      <c r="NKY5750" s="34">
        <v>3</v>
      </c>
      <c r="NKZ5750" s="34">
        <v>3.5</v>
      </c>
      <c r="NLA5750" s="34">
        <v>4</v>
      </c>
      <c r="NLB5750" s="34">
        <v>4.5</v>
      </c>
      <c r="NLC5750" s="34">
        <v>5</v>
      </c>
      <c r="NLE5750" s="913"/>
      <c r="NLF5750" s="31">
        <v>1</v>
      </c>
      <c r="NLG5750" s="34">
        <v>0</v>
      </c>
      <c r="NLH5750" s="34">
        <v>-1</v>
      </c>
      <c r="NLI5750" s="34">
        <v>-2</v>
      </c>
      <c r="NLJ5750" s="34">
        <v>-3</v>
      </c>
      <c r="NLK5750" s="34">
        <v>-4</v>
      </c>
      <c r="NLL5750" s="34">
        <v>-5</v>
      </c>
      <c r="NLM5750" s="908"/>
      <c r="NLN5750" s="909"/>
      <c r="NLO5750" s="34">
        <v>-5</v>
      </c>
      <c r="NLP5750" s="34">
        <v>-4.5</v>
      </c>
      <c r="NLQ5750" s="34">
        <v>-4</v>
      </c>
      <c r="NLR5750" s="34">
        <v>-3.5</v>
      </c>
      <c r="NLS5750" s="34">
        <v>-3</v>
      </c>
      <c r="NLT5750" s="34">
        <v>-2.5</v>
      </c>
      <c r="NLU5750" s="34">
        <v>-2</v>
      </c>
      <c r="NLV5750" s="34">
        <v>-1.5</v>
      </c>
      <c r="NLW5750" s="34">
        <v>-1</v>
      </c>
      <c r="NLX5750" s="34">
        <v>-0.5</v>
      </c>
      <c r="NLY5750" s="34">
        <v>0</v>
      </c>
      <c r="NLZ5750" s="34">
        <v>0.5</v>
      </c>
      <c r="NMA5750" s="34">
        <v>1</v>
      </c>
      <c r="NMB5750" s="34">
        <v>1.5</v>
      </c>
      <c r="NMC5750" s="34">
        <v>2</v>
      </c>
      <c r="NMD5750" s="34">
        <v>2.5</v>
      </c>
      <c r="NME5750" s="34">
        <v>3</v>
      </c>
      <c r="NMF5750" s="34">
        <v>3.5</v>
      </c>
      <c r="NMG5750" s="34">
        <v>4</v>
      </c>
      <c r="NMH5750" s="34">
        <v>4.5</v>
      </c>
      <c r="NMI5750" s="34">
        <v>5</v>
      </c>
      <c r="NMK5750" s="913"/>
      <c r="NML5750" s="31">
        <v>1</v>
      </c>
      <c r="NMM5750" s="34">
        <v>0</v>
      </c>
      <c r="NMN5750" s="34">
        <v>-1</v>
      </c>
      <c r="NMO5750" s="34">
        <v>-2</v>
      </c>
      <c r="NMP5750" s="34">
        <v>-3</v>
      </c>
      <c r="NMQ5750" s="34">
        <v>-4</v>
      </c>
      <c r="NMR5750" s="34">
        <v>-5</v>
      </c>
      <c r="NMS5750" s="908"/>
      <c r="NMT5750" s="909"/>
      <c r="NMU5750" s="34">
        <v>-5</v>
      </c>
      <c r="NMV5750" s="34">
        <v>-4.5</v>
      </c>
      <c r="NMW5750" s="34">
        <v>-4</v>
      </c>
      <c r="NMX5750" s="34">
        <v>-3.5</v>
      </c>
      <c r="NMY5750" s="34">
        <v>-3</v>
      </c>
      <c r="NMZ5750" s="34">
        <v>-2.5</v>
      </c>
      <c r="NNA5750" s="34">
        <v>-2</v>
      </c>
      <c r="NNB5750" s="34">
        <v>-1.5</v>
      </c>
      <c r="NNC5750" s="34">
        <v>-1</v>
      </c>
      <c r="NND5750" s="34">
        <v>-0.5</v>
      </c>
      <c r="NNE5750" s="34">
        <v>0</v>
      </c>
      <c r="NNF5750" s="34">
        <v>0.5</v>
      </c>
      <c r="NNG5750" s="34">
        <v>1</v>
      </c>
      <c r="NNH5750" s="34">
        <v>1.5</v>
      </c>
      <c r="NNI5750" s="34">
        <v>2</v>
      </c>
      <c r="NNJ5750" s="34">
        <v>2.5</v>
      </c>
      <c r="NNK5750" s="34">
        <v>3</v>
      </c>
      <c r="NNL5750" s="34">
        <v>3.5</v>
      </c>
      <c r="NNM5750" s="34">
        <v>4</v>
      </c>
      <c r="NNN5750" s="34">
        <v>4.5</v>
      </c>
      <c r="NNO5750" s="34">
        <v>5</v>
      </c>
      <c r="NNQ5750" s="913"/>
      <c r="NNR5750" s="31">
        <v>1</v>
      </c>
      <c r="NNS5750" s="34">
        <v>0</v>
      </c>
      <c r="NNT5750" s="34">
        <v>-1</v>
      </c>
      <c r="NNU5750" s="34">
        <v>-2</v>
      </c>
      <c r="NNV5750" s="34">
        <v>-3</v>
      </c>
      <c r="NNW5750" s="34">
        <v>-4</v>
      </c>
      <c r="NNX5750" s="34">
        <v>-5</v>
      </c>
      <c r="NNY5750" s="908"/>
      <c r="NNZ5750" s="909"/>
      <c r="NOA5750" s="34">
        <v>-5</v>
      </c>
      <c r="NOB5750" s="34">
        <v>-4.5</v>
      </c>
      <c r="NOC5750" s="34">
        <v>-4</v>
      </c>
      <c r="NOD5750" s="34">
        <v>-3.5</v>
      </c>
      <c r="NOE5750" s="34">
        <v>-3</v>
      </c>
      <c r="NOF5750" s="34">
        <v>-2.5</v>
      </c>
      <c r="NOG5750" s="34">
        <v>-2</v>
      </c>
      <c r="NOH5750" s="34">
        <v>-1.5</v>
      </c>
      <c r="NOI5750" s="34">
        <v>-1</v>
      </c>
      <c r="NOJ5750" s="34">
        <v>-0.5</v>
      </c>
      <c r="NOK5750" s="34">
        <v>0</v>
      </c>
      <c r="NOL5750" s="34">
        <v>0.5</v>
      </c>
      <c r="NOM5750" s="34">
        <v>1</v>
      </c>
      <c r="NON5750" s="34">
        <v>1.5</v>
      </c>
      <c r="NOO5750" s="34">
        <v>2</v>
      </c>
      <c r="NOP5750" s="34">
        <v>2.5</v>
      </c>
      <c r="NOQ5750" s="34">
        <v>3</v>
      </c>
      <c r="NOR5750" s="34">
        <v>3.5</v>
      </c>
      <c r="NOS5750" s="34">
        <v>4</v>
      </c>
      <c r="NOT5750" s="34">
        <v>4.5</v>
      </c>
      <c r="NOU5750" s="34">
        <v>5</v>
      </c>
      <c r="NOW5750" s="913"/>
      <c r="NOX5750" s="31">
        <v>1</v>
      </c>
      <c r="NOY5750" s="34">
        <v>0</v>
      </c>
      <c r="NOZ5750" s="34">
        <v>-1</v>
      </c>
      <c r="NPA5750" s="34">
        <v>-2</v>
      </c>
      <c r="NPB5750" s="34">
        <v>-3</v>
      </c>
      <c r="NPC5750" s="34">
        <v>-4</v>
      </c>
      <c r="NPD5750" s="34">
        <v>-5</v>
      </c>
      <c r="NPE5750" s="908"/>
      <c r="NPF5750" s="909"/>
      <c r="NPG5750" s="34">
        <v>-5</v>
      </c>
      <c r="NPH5750" s="34">
        <v>-4.5</v>
      </c>
      <c r="NPI5750" s="34">
        <v>-4</v>
      </c>
      <c r="NPJ5750" s="34">
        <v>-3.5</v>
      </c>
      <c r="NPK5750" s="34">
        <v>-3</v>
      </c>
      <c r="NPL5750" s="34">
        <v>-2.5</v>
      </c>
      <c r="NPM5750" s="34">
        <v>-2</v>
      </c>
      <c r="NPN5750" s="34">
        <v>-1.5</v>
      </c>
      <c r="NPO5750" s="34">
        <v>-1</v>
      </c>
      <c r="NPP5750" s="34">
        <v>-0.5</v>
      </c>
      <c r="NPQ5750" s="34">
        <v>0</v>
      </c>
      <c r="NPR5750" s="34">
        <v>0.5</v>
      </c>
      <c r="NPS5750" s="34">
        <v>1</v>
      </c>
      <c r="NPT5750" s="34">
        <v>1.5</v>
      </c>
      <c r="NPU5750" s="34">
        <v>2</v>
      </c>
      <c r="NPV5750" s="34">
        <v>2.5</v>
      </c>
      <c r="NPW5750" s="34">
        <v>3</v>
      </c>
      <c r="NPX5750" s="34">
        <v>3.5</v>
      </c>
      <c r="NPY5750" s="34">
        <v>4</v>
      </c>
      <c r="NPZ5750" s="34">
        <v>4.5</v>
      </c>
      <c r="NQA5750" s="34">
        <v>5</v>
      </c>
      <c r="NQC5750" s="913"/>
      <c r="NQD5750" s="31">
        <v>1</v>
      </c>
      <c r="NQE5750" s="34">
        <v>0</v>
      </c>
      <c r="NQF5750" s="34">
        <v>-1</v>
      </c>
      <c r="NQG5750" s="34">
        <v>-2</v>
      </c>
      <c r="NQH5750" s="34">
        <v>-3</v>
      </c>
      <c r="NQI5750" s="34">
        <v>-4</v>
      </c>
      <c r="NQJ5750" s="34">
        <v>-5</v>
      </c>
      <c r="NQK5750" s="908"/>
      <c r="NQL5750" s="909"/>
      <c r="NQM5750" s="34">
        <v>-5</v>
      </c>
      <c r="NQN5750" s="34">
        <v>-4.5</v>
      </c>
      <c r="NQO5750" s="34">
        <v>-4</v>
      </c>
      <c r="NQP5750" s="34">
        <v>-3.5</v>
      </c>
      <c r="NQQ5750" s="34">
        <v>-3</v>
      </c>
      <c r="NQR5750" s="34">
        <v>-2.5</v>
      </c>
      <c r="NQS5750" s="34">
        <v>-2</v>
      </c>
      <c r="NQT5750" s="34">
        <v>-1.5</v>
      </c>
      <c r="NQU5750" s="34">
        <v>-1</v>
      </c>
      <c r="NQV5750" s="34">
        <v>-0.5</v>
      </c>
      <c r="NQW5750" s="34">
        <v>0</v>
      </c>
      <c r="NQX5750" s="34">
        <v>0.5</v>
      </c>
      <c r="NQY5750" s="34">
        <v>1</v>
      </c>
      <c r="NQZ5750" s="34">
        <v>1.5</v>
      </c>
      <c r="NRA5750" s="34">
        <v>2</v>
      </c>
      <c r="NRB5750" s="34">
        <v>2.5</v>
      </c>
      <c r="NRC5750" s="34">
        <v>3</v>
      </c>
      <c r="NRD5750" s="34">
        <v>3.5</v>
      </c>
      <c r="NRE5750" s="34">
        <v>4</v>
      </c>
      <c r="NRF5750" s="34">
        <v>4.5</v>
      </c>
      <c r="NRG5750" s="34">
        <v>5</v>
      </c>
      <c r="NRI5750" s="913"/>
      <c r="NRJ5750" s="31">
        <v>1</v>
      </c>
      <c r="NRK5750" s="34">
        <v>0</v>
      </c>
      <c r="NRL5750" s="34">
        <v>-1</v>
      </c>
      <c r="NRM5750" s="34">
        <v>-2</v>
      </c>
      <c r="NRN5750" s="34">
        <v>-3</v>
      </c>
      <c r="NRO5750" s="34">
        <v>-4</v>
      </c>
      <c r="NRP5750" s="34">
        <v>-5</v>
      </c>
      <c r="NRQ5750" s="908"/>
      <c r="NRR5750" s="909"/>
      <c r="NRS5750" s="34">
        <v>-5</v>
      </c>
      <c r="NRT5750" s="34">
        <v>-4.5</v>
      </c>
      <c r="NRU5750" s="34">
        <v>-4</v>
      </c>
      <c r="NRV5750" s="34">
        <v>-3.5</v>
      </c>
      <c r="NRW5750" s="34">
        <v>-3</v>
      </c>
      <c r="NRX5750" s="34">
        <v>-2.5</v>
      </c>
      <c r="NRY5750" s="34">
        <v>-2</v>
      </c>
      <c r="NRZ5750" s="34">
        <v>-1.5</v>
      </c>
      <c r="NSA5750" s="34">
        <v>-1</v>
      </c>
      <c r="NSB5750" s="34">
        <v>-0.5</v>
      </c>
      <c r="NSC5750" s="34">
        <v>0</v>
      </c>
      <c r="NSD5750" s="34">
        <v>0.5</v>
      </c>
      <c r="NSE5750" s="34">
        <v>1</v>
      </c>
      <c r="NSF5750" s="34">
        <v>1.5</v>
      </c>
      <c r="NSG5750" s="34">
        <v>2</v>
      </c>
      <c r="NSH5750" s="34">
        <v>2.5</v>
      </c>
      <c r="NSI5750" s="34">
        <v>3</v>
      </c>
      <c r="NSJ5750" s="34">
        <v>3.5</v>
      </c>
      <c r="NSK5750" s="34">
        <v>4</v>
      </c>
      <c r="NSL5750" s="34">
        <v>4.5</v>
      </c>
      <c r="NSM5750" s="34">
        <v>5</v>
      </c>
      <c r="NSO5750" s="913"/>
      <c r="NSP5750" s="31">
        <v>1</v>
      </c>
      <c r="NSQ5750" s="34">
        <v>0</v>
      </c>
      <c r="NSR5750" s="34">
        <v>-1</v>
      </c>
      <c r="NSS5750" s="34">
        <v>-2</v>
      </c>
      <c r="NST5750" s="34">
        <v>-3</v>
      </c>
      <c r="NSU5750" s="34">
        <v>-4</v>
      </c>
      <c r="NSV5750" s="34">
        <v>-5</v>
      </c>
      <c r="NSW5750" s="908"/>
      <c r="NSX5750" s="909"/>
      <c r="NSY5750" s="34">
        <v>-5</v>
      </c>
      <c r="NSZ5750" s="34">
        <v>-4.5</v>
      </c>
      <c r="NTA5750" s="34">
        <v>-4</v>
      </c>
      <c r="NTB5750" s="34">
        <v>-3.5</v>
      </c>
      <c r="NTC5750" s="34">
        <v>-3</v>
      </c>
      <c r="NTD5750" s="34">
        <v>-2.5</v>
      </c>
      <c r="NTE5750" s="34">
        <v>-2</v>
      </c>
      <c r="NTF5750" s="34">
        <v>-1.5</v>
      </c>
      <c r="NTG5750" s="34">
        <v>-1</v>
      </c>
      <c r="NTH5750" s="34">
        <v>-0.5</v>
      </c>
      <c r="NTI5750" s="34">
        <v>0</v>
      </c>
      <c r="NTJ5750" s="34">
        <v>0.5</v>
      </c>
      <c r="NTK5750" s="34">
        <v>1</v>
      </c>
      <c r="NTL5750" s="34">
        <v>1.5</v>
      </c>
      <c r="NTM5750" s="34">
        <v>2</v>
      </c>
      <c r="NTN5750" s="34">
        <v>2.5</v>
      </c>
      <c r="NTO5750" s="34">
        <v>3</v>
      </c>
      <c r="NTP5750" s="34">
        <v>3.5</v>
      </c>
      <c r="NTQ5750" s="34">
        <v>4</v>
      </c>
      <c r="NTR5750" s="34">
        <v>4.5</v>
      </c>
      <c r="NTS5750" s="34">
        <v>5</v>
      </c>
      <c r="NTU5750" s="913"/>
      <c r="NTV5750" s="31">
        <v>1</v>
      </c>
      <c r="NTW5750" s="34">
        <v>0</v>
      </c>
      <c r="NTX5750" s="34">
        <v>-1</v>
      </c>
      <c r="NTY5750" s="34">
        <v>-2</v>
      </c>
      <c r="NTZ5750" s="34">
        <v>-3</v>
      </c>
      <c r="NUA5750" s="34">
        <v>-4</v>
      </c>
      <c r="NUB5750" s="34">
        <v>-5</v>
      </c>
      <c r="NUC5750" s="908"/>
      <c r="NUD5750" s="909"/>
      <c r="NUE5750" s="34">
        <v>-5</v>
      </c>
      <c r="NUF5750" s="34">
        <v>-4.5</v>
      </c>
      <c r="NUG5750" s="34">
        <v>-4</v>
      </c>
      <c r="NUH5750" s="34">
        <v>-3.5</v>
      </c>
      <c r="NUI5750" s="34">
        <v>-3</v>
      </c>
      <c r="NUJ5750" s="34">
        <v>-2.5</v>
      </c>
      <c r="NUK5750" s="34">
        <v>-2</v>
      </c>
      <c r="NUL5750" s="34">
        <v>-1.5</v>
      </c>
      <c r="NUM5750" s="34">
        <v>-1</v>
      </c>
      <c r="NUN5750" s="34">
        <v>-0.5</v>
      </c>
      <c r="NUO5750" s="34">
        <v>0</v>
      </c>
      <c r="NUP5750" s="34">
        <v>0.5</v>
      </c>
      <c r="NUQ5750" s="34">
        <v>1</v>
      </c>
      <c r="NUR5750" s="34">
        <v>1.5</v>
      </c>
      <c r="NUS5750" s="34">
        <v>2</v>
      </c>
      <c r="NUT5750" s="34">
        <v>2.5</v>
      </c>
      <c r="NUU5750" s="34">
        <v>3</v>
      </c>
      <c r="NUV5750" s="34">
        <v>3.5</v>
      </c>
      <c r="NUW5750" s="34">
        <v>4</v>
      </c>
      <c r="NUX5750" s="34">
        <v>4.5</v>
      </c>
      <c r="NUY5750" s="34">
        <v>5</v>
      </c>
      <c r="NVA5750" s="913"/>
      <c r="NVB5750" s="31">
        <v>1</v>
      </c>
      <c r="NVC5750" s="34">
        <v>0</v>
      </c>
      <c r="NVD5750" s="34">
        <v>-1</v>
      </c>
      <c r="NVE5750" s="34">
        <v>-2</v>
      </c>
      <c r="NVF5750" s="34">
        <v>-3</v>
      </c>
      <c r="NVG5750" s="34">
        <v>-4</v>
      </c>
      <c r="NVH5750" s="34">
        <v>-5</v>
      </c>
      <c r="NVI5750" s="908"/>
      <c r="NVJ5750" s="909"/>
      <c r="NVK5750" s="34">
        <v>-5</v>
      </c>
      <c r="NVL5750" s="34">
        <v>-4.5</v>
      </c>
      <c r="NVM5750" s="34">
        <v>-4</v>
      </c>
      <c r="NVN5750" s="34">
        <v>-3.5</v>
      </c>
      <c r="NVO5750" s="34">
        <v>-3</v>
      </c>
      <c r="NVP5750" s="34">
        <v>-2.5</v>
      </c>
      <c r="NVQ5750" s="34">
        <v>-2</v>
      </c>
      <c r="NVR5750" s="34">
        <v>-1.5</v>
      </c>
      <c r="NVS5750" s="34">
        <v>-1</v>
      </c>
      <c r="NVT5750" s="34">
        <v>-0.5</v>
      </c>
      <c r="NVU5750" s="34">
        <v>0</v>
      </c>
      <c r="NVV5750" s="34">
        <v>0.5</v>
      </c>
      <c r="NVW5750" s="34">
        <v>1</v>
      </c>
      <c r="NVX5750" s="34">
        <v>1.5</v>
      </c>
      <c r="NVY5750" s="34">
        <v>2</v>
      </c>
      <c r="NVZ5750" s="34">
        <v>2.5</v>
      </c>
      <c r="NWA5750" s="34">
        <v>3</v>
      </c>
      <c r="NWB5750" s="34">
        <v>3.5</v>
      </c>
      <c r="NWC5750" s="34">
        <v>4</v>
      </c>
      <c r="NWD5750" s="34">
        <v>4.5</v>
      </c>
      <c r="NWE5750" s="34">
        <v>5</v>
      </c>
      <c r="NWG5750" s="913"/>
      <c r="NWH5750" s="31">
        <v>1</v>
      </c>
      <c r="NWI5750" s="34">
        <v>0</v>
      </c>
      <c r="NWJ5750" s="34">
        <v>-1</v>
      </c>
      <c r="NWK5750" s="34">
        <v>-2</v>
      </c>
      <c r="NWL5750" s="34">
        <v>-3</v>
      </c>
      <c r="NWM5750" s="34">
        <v>-4</v>
      </c>
      <c r="NWN5750" s="34">
        <v>-5</v>
      </c>
      <c r="NWO5750" s="908"/>
      <c r="NWP5750" s="909"/>
      <c r="NWQ5750" s="34">
        <v>-5</v>
      </c>
      <c r="NWR5750" s="34">
        <v>-4.5</v>
      </c>
      <c r="NWS5750" s="34">
        <v>-4</v>
      </c>
      <c r="NWT5750" s="34">
        <v>-3.5</v>
      </c>
      <c r="NWU5750" s="34">
        <v>-3</v>
      </c>
      <c r="NWV5750" s="34">
        <v>-2.5</v>
      </c>
      <c r="NWW5750" s="34">
        <v>-2</v>
      </c>
      <c r="NWX5750" s="34">
        <v>-1.5</v>
      </c>
      <c r="NWY5750" s="34">
        <v>-1</v>
      </c>
      <c r="NWZ5750" s="34">
        <v>-0.5</v>
      </c>
      <c r="NXA5750" s="34">
        <v>0</v>
      </c>
      <c r="NXB5750" s="34">
        <v>0.5</v>
      </c>
      <c r="NXC5750" s="34">
        <v>1</v>
      </c>
      <c r="NXD5750" s="34">
        <v>1.5</v>
      </c>
      <c r="NXE5750" s="34">
        <v>2</v>
      </c>
      <c r="NXF5750" s="34">
        <v>2.5</v>
      </c>
      <c r="NXG5750" s="34">
        <v>3</v>
      </c>
      <c r="NXH5750" s="34">
        <v>3.5</v>
      </c>
      <c r="NXI5750" s="34">
        <v>4</v>
      </c>
      <c r="NXJ5750" s="34">
        <v>4.5</v>
      </c>
      <c r="NXK5750" s="34">
        <v>5</v>
      </c>
      <c r="NXM5750" s="913"/>
      <c r="NXN5750" s="31">
        <v>1</v>
      </c>
      <c r="NXO5750" s="34">
        <v>0</v>
      </c>
      <c r="NXP5750" s="34">
        <v>-1</v>
      </c>
      <c r="NXQ5750" s="34">
        <v>-2</v>
      </c>
      <c r="NXR5750" s="34">
        <v>-3</v>
      </c>
      <c r="NXS5750" s="34">
        <v>-4</v>
      </c>
      <c r="NXT5750" s="34">
        <v>-5</v>
      </c>
      <c r="NXU5750" s="908"/>
      <c r="NXV5750" s="909"/>
      <c r="NXW5750" s="34">
        <v>-5</v>
      </c>
      <c r="NXX5750" s="34">
        <v>-4.5</v>
      </c>
      <c r="NXY5750" s="34">
        <v>-4</v>
      </c>
      <c r="NXZ5750" s="34">
        <v>-3.5</v>
      </c>
      <c r="NYA5750" s="34">
        <v>-3</v>
      </c>
      <c r="NYB5750" s="34">
        <v>-2.5</v>
      </c>
      <c r="NYC5750" s="34">
        <v>-2</v>
      </c>
      <c r="NYD5750" s="34">
        <v>-1.5</v>
      </c>
      <c r="NYE5750" s="34">
        <v>-1</v>
      </c>
      <c r="NYF5750" s="34">
        <v>-0.5</v>
      </c>
      <c r="NYG5750" s="34">
        <v>0</v>
      </c>
      <c r="NYH5750" s="34">
        <v>0.5</v>
      </c>
      <c r="NYI5750" s="34">
        <v>1</v>
      </c>
      <c r="NYJ5750" s="34">
        <v>1.5</v>
      </c>
      <c r="NYK5750" s="34">
        <v>2</v>
      </c>
      <c r="NYL5750" s="34">
        <v>2.5</v>
      </c>
      <c r="NYM5750" s="34">
        <v>3</v>
      </c>
      <c r="NYN5750" s="34">
        <v>3.5</v>
      </c>
      <c r="NYO5750" s="34">
        <v>4</v>
      </c>
      <c r="NYP5750" s="34">
        <v>4.5</v>
      </c>
      <c r="NYQ5750" s="34">
        <v>5</v>
      </c>
      <c r="NYS5750" s="913"/>
      <c r="NYT5750" s="31">
        <v>1</v>
      </c>
      <c r="NYU5750" s="34">
        <v>0</v>
      </c>
      <c r="NYV5750" s="34">
        <v>-1</v>
      </c>
      <c r="NYW5750" s="34">
        <v>-2</v>
      </c>
      <c r="NYX5750" s="34">
        <v>-3</v>
      </c>
      <c r="NYY5750" s="34">
        <v>-4</v>
      </c>
      <c r="NYZ5750" s="34">
        <v>-5</v>
      </c>
      <c r="NZA5750" s="908"/>
      <c r="NZB5750" s="909"/>
      <c r="NZC5750" s="34">
        <v>-5</v>
      </c>
      <c r="NZD5750" s="34">
        <v>-4.5</v>
      </c>
      <c r="NZE5750" s="34">
        <v>-4</v>
      </c>
      <c r="NZF5750" s="34">
        <v>-3.5</v>
      </c>
      <c r="NZG5750" s="34">
        <v>-3</v>
      </c>
      <c r="NZH5750" s="34">
        <v>-2.5</v>
      </c>
      <c r="NZI5750" s="34">
        <v>-2</v>
      </c>
      <c r="NZJ5750" s="34">
        <v>-1.5</v>
      </c>
      <c r="NZK5750" s="34">
        <v>-1</v>
      </c>
      <c r="NZL5750" s="34">
        <v>-0.5</v>
      </c>
      <c r="NZM5750" s="34">
        <v>0</v>
      </c>
      <c r="NZN5750" s="34">
        <v>0.5</v>
      </c>
      <c r="NZO5750" s="34">
        <v>1</v>
      </c>
      <c r="NZP5750" s="34">
        <v>1.5</v>
      </c>
      <c r="NZQ5750" s="34">
        <v>2</v>
      </c>
      <c r="NZR5750" s="34">
        <v>2.5</v>
      </c>
      <c r="NZS5750" s="34">
        <v>3</v>
      </c>
      <c r="NZT5750" s="34">
        <v>3.5</v>
      </c>
      <c r="NZU5750" s="34">
        <v>4</v>
      </c>
      <c r="NZV5750" s="34">
        <v>4.5</v>
      </c>
      <c r="NZW5750" s="34">
        <v>5</v>
      </c>
      <c r="NZY5750" s="913"/>
      <c r="NZZ5750" s="31">
        <v>1</v>
      </c>
      <c r="OAA5750" s="34">
        <v>0</v>
      </c>
      <c r="OAB5750" s="34">
        <v>-1</v>
      </c>
      <c r="OAC5750" s="34">
        <v>-2</v>
      </c>
      <c r="OAD5750" s="34">
        <v>-3</v>
      </c>
      <c r="OAE5750" s="34">
        <v>-4</v>
      </c>
      <c r="OAF5750" s="34">
        <v>-5</v>
      </c>
      <c r="OAG5750" s="908"/>
      <c r="OAH5750" s="909"/>
      <c r="OAI5750" s="34">
        <v>-5</v>
      </c>
      <c r="OAJ5750" s="34">
        <v>-4.5</v>
      </c>
      <c r="OAK5750" s="34">
        <v>-4</v>
      </c>
      <c r="OAL5750" s="34">
        <v>-3.5</v>
      </c>
      <c r="OAM5750" s="34">
        <v>-3</v>
      </c>
      <c r="OAN5750" s="34">
        <v>-2.5</v>
      </c>
      <c r="OAO5750" s="34">
        <v>-2</v>
      </c>
      <c r="OAP5750" s="34">
        <v>-1.5</v>
      </c>
      <c r="OAQ5750" s="34">
        <v>-1</v>
      </c>
      <c r="OAR5750" s="34">
        <v>-0.5</v>
      </c>
      <c r="OAS5750" s="34">
        <v>0</v>
      </c>
      <c r="OAT5750" s="34">
        <v>0.5</v>
      </c>
      <c r="OAU5750" s="34">
        <v>1</v>
      </c>
      <c r="OAV5750" s="34">
        <v>1.5</v>
      </c>
      <c r="OAW5750" s="34">
        <v>2</v>
      </c>
      <c r="OAX5750" s="34">
        <v>2.5</v>
      </c>
      <c r="OAY5750" s="34">
        <v>3</v>
      </c>
      <c r="OAZ5750" s="34">
        <v>3.5</v>
      </c>
      <c r="OBA5750" s="34">
        <v>4</v>
      </c>
      <c r="OBB5750" s="34">
        <v>4.5</v>
      </c>
      <c r="OBC5750" s="34">
        <v>5</v>
      </c>
      <c r="OBE5750" s="913"/>
      <c r="OBF5750" s="31">
        <v>1</v>
      </c>
      <c r="OBG5750" s="34">
        <v>0</v>
      </c>
      <c r="OBH5750" s="34">
        <v>-1</v>
      </c>
      <c r="OBI5750" s="34">
        <v>-2</v>
      </c>
      <c r="OBJ5750" s="34">
        <v>-3</v>
      </c>
      <c r="OBK5750" s="34">
        <v>-4</v>
      </c>
      <c r="OBL5750" s="34">
        <v>-5</v>
      </c>
      <c r="OBM5750" s="908"/>
      <c r="OBN5750" s="909"/>
      <c r="OBO5750" s="34">
        <v>-5</v>
      </c>
      <c r="OBP5750" s="34">
        <v>-4.5</v>
      </c>
      <c r="OBQ5750" s="34">
        <v>-4</v>
      </c>
      <c r="OBR5750" s="34">
        <v>-3.5</v>
      </c>
      <c r="OBS5750" s="34">
        <v>-3</v>
      </c>
      <c r="OBT5750" s="34">
        <v>-2.5</v>
      </c>
      <c r="OBU5750" s="34">
        <v>-2</v>
      </c>
      <c r="OBV5750" s="34">
        <v>-1.5</v>
      </c>
      <c r="OBW5750" s="34">
        <v>-1</v>
      </c>
      <c r="OBX5750" s="34">
        <v>-0.5</v>
      </c>
      <c r="OBY5750" s="34">
        <v>0</v>
      </c>
      <c r="OBZ5750" s="34">
        <v>0.5</v>
      </c>
      <c r="OCA5750" s="34">
        <v>1</v>
      </c>
      <c r="OCB5750" s="34">
        <v>1.5</v>
      </c>
      <c r="OCC5750" s="34">
        <v>2</v>
      </c>
      <c r="OCD5750" s="34">
        <v>2.5</v>
      </c>
      <c r="OCE5750" s="34">
        <v>3</v>
      </c>
      <c r="OCF5750" s="34">
        <v>3.5</v>
      </c>
      <c r="OCG5750" s="34">
        <v>4</v>
      </c>
      <c r="OCH5750" s="34">
        <v>4.5</v>
      </c>
      <c r="OCI5750" s="34">
        <v>5</v>
      </c>
      <c r="OCK5750" s="913"/>
      <c r="OCL5750" s="31">
        <v>1</v>
      </c>
      <c r="OCM5750" s="34">
        <v>0</v>
      </c>
      <c r="OCN5750" s="34">
        <v>-1</v>
      </c>
      <c r="OCO5750" s="34">
        <v>-2</v>
      </c>
      <c r="OCP5750" s="34">
        <v>-3</v>
      </c>
      <c r="OCQ5750" s="34">
        <v>-4</v>
      </c>
      <c r="OCR5750" s="34">
        <v>-5</v>
      </c>
      <c r="OCS5750" s="908"/>
      <c r="OCT5750" s="909"/>
      <c r="OCU5750" s="34">
        <v>-5</v>
      </c>
      <c r="OCV5750" s="34">
        <v>-4.5</v>
      </c>
      <c r="OCW5750" s="34">
        <v>-4</v>
      </c>
      <c r="OCX5750" s="34">
        <v>-3.5</v>
      </c>
      <c r="OCY5750" s="34">
        <v>-3</v>
      </c>
      <c r="OCZ5750" s="34">
        <v>-2.5</v>
      </c>
      <c r="ODA5750" s="34">
        <v>-2</v>
      </c>
      <c r="ODB5750" s="34">
        <v>-1.5</v>
      </c>
      <c r="ODC5750" s="34">
        <v>-1</v>
      </c>
      <c r="ODD5750" s="34">
        <v>-0.5</v>
      </c>
      <c r="ODE5750" s="34">
        <v>0</v>
      </c>
      <c r="ODF5750" s="34">
        <v>0.5</v>
      </c>
      <c r="ODG5750" s="34">
        <v>1</v>
      </c>
      <c r="ODH5750" s="34">
        <v>1.5</v>
      </c>
      <c r="ODI5750" s="34">
        <v>2</v>
      </c>
      <c r="ODJ5750" s="34">
        <v>2.5</v>
      </c>
      <c r="ODK5750" s="34">
        <v>3</v>
      </c>
      <c r="ODL5750" s="34">
        <v>3.5</v>
      </c>
      <c r="ODM5750" s="34">
        <v>4</v>
      </c>
      <c r="ODN5750" s="34">
        <v>4.5</v>
      </c>
      <c r="ODO5750" s="34">
        <v>5</v>
      </c>
      <c r="ODQ5750" s="913"/>
      <c r="ODR5750" s="31">
        <v>1</v>
      </c>
      <c r="ODS5750" s="34">
        <v>0</v>
      </c>
      <c r="ODT5750" s="34">
        <v>-1</v>
      </c>
      <c r="ODU5750" s="34">
        <v>-2</v>
      </c>
      <c r="ODV5750" s="34">
        <v>-3</v>
      </c>
      <c r="ODW5750" s="34">
        <v>-4</v>
      </c>
      <c r="ODX5750" s="34">
        <v>-5</v>
      </c>
      <c r="ODY5750" s="908"/>
      <c r="ODZ5750" s="909"/>
      <c r="OEA5750" s="34">
        <v>-5</v>
      </c>
      <c r="OEB5750" s="34">
        <v>-4.5</v>
      </c>
      <c r="OEC5750" s="34">
        <v>-4</v>
      </c>
      <c r="OED5750" s="34">
        <v>-3.5</v>
      </c>
      <c r="OEE5750" s="34">
        <v>-3</v>
      </c>
      <c r="OEF5750" s="34">
        <v>-2.5</v>
      </c>
      <c r="OEG5750" s="34">
        <v>-2</v>
      </c>
      <c r="OEH5750" s="34">
        <v>-1.5</v>
      </c>
      <c r="OEI5750" s="34">
        <v>-1</v>
      </c>
      <c r="OEJ5750" s="34">
        <v>-0.5</v>
      </c>
      <c r="OEK5750" s="34">
        <v>0</v>
      </c>
      <c r="OEL5750" s="34">
        <v>0.5</v>
      </c>
      <c r="OEM5750" s="34">
        <v>1</v>
      </c>
      <c r="OEN5750" s="34">
        <v>1.5</v>
      </c>
      <c r="OEO5750" s="34">
        <v>2</v>
      </c>
      <c r="OEP5750" s="34">
        <v>2.5</v>
      </c>
      <c r="OEQ5750" s="34">
        <v>3</v>
      </c>
      <c r="OER5750" s="34">
        <v>3.5</v>
      </c>
      <c r="OES5750" s="34">
        <v>4</v>
      </c>
      <c r="OET5750" s="34">
        <v>4.5</v>
      </c>
      <c r="OEU5750" s="34">
        <v>5</v>
      </c>
      <c r="OEW5750" s="913"/>
      <c r="OEX5750" s="31">
        <v>1</v>
      </c>
      <c r="OEY5750" s="34">
        <v>0</v>
      </c>
      <c r="OEZ5750" s="34">
        <v>-1</v>
      </c>
      <c r="OFA5750" s="34">
        <v>-2</v>
      </c>
      <c r="OFB5750" s="34">
        <v>-3</v>
      </c>
      <c r="OFC5750" s="34">
        <v>-4</v>
      </c>
      <c r="OFD5750" s="34">
        <v>-5</v>
      </c>
      <c r="OFE5750" s="908"/>
      <c r="OFF5750" s="909"/>
      <c r="OFG5750" s="34">
        <v>-5</v>
      </c>
      <c r="OFH5750" s="34">
        <v>-4.5</v>
      </c>
      <c r="OFI5750" s="34">
        <v>-4</v>
      </c>
      <c r="OFJ5750" s="34">
        <v>-3.5</v>
      </c>
      <c r="OFK5750" s="34">
        <v>-3</v>
      </c>
      <c r="OFL5750" s="34">
        <v>-2.5</v>
      </c>
      <c r="OFM5750" s="34">
        <v>-2</v>
      </c>
      <c r="OFN5750" s="34">
        <v>-1.5</v>
      </c>
      <c r="OFO5750" s="34">
        <v>-1</v>
      </c>
      <c r="OFP5750" s="34">
        <v>-0.5</v>
      </c>
      <c r="OFQ5750" s="34">
        <v>0</v>
      </c>
      <c r="OFR5750" s="34">
        <v>0.5</v>
      </c>
      <c r="OFS5750" s="34">
        <v>1</v>
      </c>
      <c r="OFT5750" s="34">
        <v>1.5</v>
      </c>
      <c r="OFU5750" s="34">
        <v>2</v>
      </c>
      <c r="OFV5750" s="34">
        <v>2.5</v>
      </c>
      <c r="OFW5750" s="34">
        <v>3</v>
      </c>
      <c r="OFX5750" s="34">
        <v>3.5</v>
      </c>
      <c r="OFY5750" s="34">
        <v>4</v>
      </c>
      <c r="OFZ5750" s="34">
        <v>4.5</v>
      </c>
      <c r="OGA5750" s="34">
        <v>5</v>
      </c>
      <c r="OGC5750" s="913"/>
      <c r="OGD5750" s="31">
        <v>1</v>
      </c>
      <c r="OGE5750" s="34">
        <v>0</v>
      </c>
      <c r="OGF5750" s="34">
        <v>-1</v>
      </c>
      <c r="OGG5750" s="34">
        <v>-2</v>
      </c>
      <c r="OGH5750" s="34">
        <v>-3</v>
      </c>
      <c r="OGI5750" s="34">
        <v>-4</v>
      </c>
      <c r="OGJ5750" s="34">
        <v>-5</v>
      </c>
      <c r="OGK5750" s="908"/>
      <c r="OGL5750" s="909"/>
      <c r="OGM5750" s="34">
        <v>-5</v>
      </c>
      <c r="OGN5750" s="34">
        <v>-4.5</v>
      </c>
      <c r="OGO5750" s="34">
        <v>-4</v>
      </c>
      <c r="OGP5750" s="34">
        <v>-3.5</v>
      </c>
      <c r="OGQ5750" s="34">
        <v>-3</v>
      </c>
      <c r="OGR5750" s="34">
        <v>-2.5</v>
      </c>
      <c r="OGS5750" s="34">
        <v>-2</v>
      </c>
      <c r="OGT5750" s="34">
        <v>-1.5</v>
      </c>
      <c r="OGU5750" s="34">
        <v>-1</v>
      </c>
      <c r="OGV5750" s="34">
        <v>-0.5</v>
      </c>
      <c r="OGW5750" s="34">
        <v>0</v>
      </c>
      <c r="OGX5750" s="34">
        <v>0.5</v>
      </c>
      <c r="OGY5750" s="34">
        <v>1</v>
      </c>
      <c r="OGZ5750" s="34">
        <v>1.5</v>
      </c>
      <c r="OHA5750" s="34">
        <v>2</v>
      </c>
      <c r="OHB5750" s="34">
        <v>2.5</v>
      </c>
      <c r="OHC5750" s="34">
        <v>3</v>
      </c>
      <c r="OHD5750" s="34">
        <v>3.5</v>
      </c>
      <c r="OHE5750" s="34">
        <v>4</v>
      </c>
      <c r="OHF5750" s="34">
        <v>4.5</v>
      </c>
      <c r="OHG5750" s="34">
        <v>5</v>
      </c>
      <c r="OHI5750" s="913"/>
      <c r="OHJ5750" s="31">
        <v>1</v>
      </c>
      <c r="OHK5750" s="34">
        <v>0</v>
      </c>
      <c r="OHL5750" s="34">
        <v>-1</v>
      </c>
      <c r="OHM5750" s="34">
        <v>-2</v>
      </c>
      <c r="OHN5750" s="34">
        <v>-3</v>
      </c>
      <c r="OHO5750" s="34">
        <v>-4</v>
      </c>
      <c r="OHP5750" s="34">
        <v>-5</v>
      </c>
      <c r="OHQ5750" s="908"/>
      <c r="OHR5750" s="909"/>
      <c r="OHS5750" s="34">
        <v>-5</v>
      </c>
      <c r="OHT5750" s="34">
        <v>-4.5</v>
      </c>
      <c r="OHU5750" s="34">
        <v>-4</v>
      </c>
      <c r="OHV5750" s="34">
        <v>-3.5</v>
      </c>
      <c r="OHW5750" s="34">
        <v>-3</v>
      </c>
      <c r="OHX5750" s="34">
        <v>-2.5</v>
      </c>
      <c r="OHY5750" s="34">
        <v>-2</v>
      </c>
      <c r="OHZ5750" s="34">
        <v>-1.5</v>
      </c>
      <c r="OIA5750" s="34">
        <v>-1</v>
      </c>
      <c r="OIB5750" s="34">
        <v>-0.5</v>
      </c>
      <c r="OIC5750" s="34">
        <v>0</v>
      </c>
      <c r="OID5750" s="34">
        <v>0.5</v>
      </c>
      <c r="OIE5750" s="34">
        <v>1</v>
      </c>
      <c r="OIF5750" s="34">
        <v>1.5</v>
      </c>
      <c r="OIG5750" s="34">
        <v>2</v>
      </c>
      <c r="OIH5750" s="34">
        <v>2.5</v>
      </c>
      <c r="OII5750" s="34">
        <v>3</v>
      </c>
      <c r="OIJ5750" s="34">
        <v>3.5</v>
      </c>
      <c r="OIK5750" s="34">
        <v>4</v>
      </c>
      <c r="OIL5750" s="34">
        <v>4.5</v>
      </c>
      <c r="OIM5750" s="34">
        <v>5</v>
      </c>
      <c r="OIO5750" s="913"/>
      <c r="OIP5750" s="31">
        <v>1</v>
      </c>
      <c r="OIQ5750" s="34">
        <v>0</v>
      </c>
      <c r="OIR5750" s="34">
        <v>-1</v>
      </c>
      <c r="OIS5750" s="34">
        <v>-2</v>
      </c>
      <c r="OIT5750" s="34">
        <v>-3</v>
      </c>
      <c r="OIU5750" s="34">
        <v>-4</v>
      </c>
      <c r="OIV5750" s="34">
        <v>-5</v>
      </c>
      <c r="OIW5750" s="908"/>
      <c r="OIX5750" s="909"/>
      <c r="OIY5750" s="34">
        <v>-5</v>
      </c>
      <c r="OIZ5750" s="34">
        <v>-4.5</v>
      </c>
      <c r="OJA5750" s="34">
        <v>-4</v>
      </c>
      <c r="OJB5750" s="34">
        <v>-3.5</v>
      </c>
      <c r="OJC5750" s="34">
        <v>-3</v>
      </c>
      <c r="OJD5750" s="34">
        <v>-2.5</v>
      </c>
      <c r="OJE5750" s="34">
        <v>-2</v>
      </c>
      <c r="OJF5750" s="34">
        <v>-1.5</v>
      </c>
      <c r="OJG5750" s="34">
        <v>-1</v>
      </c>
      <c r="OJH5750" s="34">
        <v>-0.5</v>
      </c>
      <c r="OJI5750" s="34">
        <v>0</v>
      </c>
      <c r="OJJ5750" s="34">
        <v>0.5</v>
      </c>
      <c r="OJK5750" s="34">
        <v>1</v>
      </c>
      <c r="OJL5750" s="34">
        <v>1.5</v>
      </c>
      <c r="OJM5750" s="34">
        <v>2</v>
      </c>
      <c r="OJN5750" s="34">
        <v>2.5</v>
      </c>
      <c r="OJO5750" s="34">
        <v>3</v>
      </c>
      <c r="OJP5750" s="34">
        <v>3.5</v>
      </c>
      <c r="OJQ5750" s="34">
        <v>4</v>
      </c>
      <c r="OJR5750" s="34">
        <v>4.5</v>
      </c>
      <c r="OJS5750" s="34">
        <v>5</v>
      </c>
      <c r="OJU5750" s="913"/>
      <c r="OJV5750" s="31">
        <v>1</v>
      </c>
      <c r="OJW5750" s="34">
        <v>0</v>
      </c>
      <c r="OJX5750" s="34">
        <v>-1</v>
      </c>
      <c r="OJY5750" s="34">
        <v>-2</v>
      </c>
      <c r="OJZ5750" s="34">
        <v>-3</v>
      </c>
      <c r="OKA5750" s="34">
        <v>-4</v>
      </c>
      <c r="OKB5750" s="34">
        <v>-5</v>
      </c>
      <c r="OKC5750" s="908"/>
      <c r="OKD5750" s="909"/>
      <c r="OKE5750" s="34">
        <v>-5</v>
      </c>
      <c r="OKF5750" s="34">
        <v>-4.5</v>
      </c>
      <c r="OKG5750" s="34">
        <v>-4</v>
      </c>
      <c r="OKH5750" s="34">
        <v>-3.5</v>
      </c>
      <c r="OKI5750" s="34">
        <v>-3</v>
      </c>
      <c r="OKJ5750" s="34">
        <v>-2.5</v>
      </c>
      <c r="OKK5750" s="34">
        <v>-2</v>
      </c>
      <c r="OKL5750" s="34">
        <v>-1.5</v>
      </c>
      <c r="OKM5750" s="34">
        <v>-1</v>
      </c>
      <c r="OKN5750" s="34">
        <v>-0.5</v>
      </c>
      <c r="OKO5750" s="34">
        <v>0</v>
      </c>
      <c r="OKP5750" s="34">
        <v>0.5</v>
      </c>
      <c r="OKQ5750" s="34">
        <v>1</v>
      </c>
      <c r="OKR5750" s="34">
        <v>1.5</v>
      </c>
      <c r="OKS5750" s="34">
        <v>2</v>
      </c>
      <c r="OKT5750" s="34">
        <v>2.5</v>
      </c>
      <c r="OKU5750" s="34">
        <v>3</v>
      </c>
      <c r="OKV5750" s="34">
        <v>3.5</v>
      </c>
      <c r="OKW5750" s="34">
        <v>4</v>
      </c>
      <c r="OKX5750" s="34">
        <v>4.5</v>
      </c>
      <c r="OKY5750" s="34">
        <v>5</v>
      </c>
      <c r="OLA5750" s="913"/>
      <c r="OLB5750" s="31">
        <v>1</v>
      </c>
      <c r="OLC5750" s="34">
        <v>0</v>
      </c>
      <c r="OLD5750" s="34">
        <v>-1</v>
      </c>
      <c r="OLE5750" s="34">
        <v>-2</v>
      </c>
      <c r="OLF5750" s="34">
        <v>-3</v>
      </c>
      <c r="OLG5750" s="34">
        <v>-4</v>
      </c>
      <c r="OLH5750" s="34">
        <v>-5</v>
      </c>
      <c r="OLI5750" s="908"/>
      <c r="OLJ5750" s="909"/>
      <c r="OLK5750" s="34">
        <v>-5</v>
      </c>
      <c r="OLL5750" s="34">
        <v>-4.5</v>
      </c>
      <c r="OLM5750" s="34">
        <v>-4</v>
      </c>
      <c r="OLN5750" s="34">
        <v>-3.5</v>
      </c>
      <c r="OLO5750" s="34">
        <v>-3</v>
      </c>
      <c r="OLP5750" s="34">
        <v>-2.5</v>
      </c>
      <c r="OLQ5750" s="34">
        <v>-2</v>
      </c>
      <c r="OLR5750" s="34">
        <v>-1.5</v>
      </c>
      <c r="OLS5750" s="34">
        <v>-1</v>
      </c>
      <c r="OLT5750" s="34">
        <v>-0.5</v>
      </c>
      <c r="OLU5750" s="34">
        <v>0</v>
      </c>
      <c r="OLV5750" s="34">
        <v>0.5</v>
      </c>
      <c r="OLW5750" s="34">
        <v>1</v>
      </c>
      <c r="OLX5750" s="34">
        <v>1.5</v>
      </c>
      <c r="OLY5750" s="34">
        <v>2</v>
      </c>
      <c r="OLZ5750" s="34">
        <v>2.5</v>
      </c>
      <c r="OMA5750" s="34">
        <v>3</v>
      </c>
      <c r="OMB5750" s="34">
        <v>3.5</v>
      </c>
      <c r="OMC5750" s="34">
        <v>4</v>
      </c>
      <c r="OMD5750" s="34">
        <v>4.5</v>
      </c>
      <c r="OME5750" s="34">
        <v>5</v>
      </c>
      <c r="OMG5750" s="913"/>
      <c r="OMH5750" s="31">
        <v>1</v>
      </c>
      <c r="OMI5750" s="34">
        <v>0</v>
      </c>
      <c r="OMJ5750" s="34">
        <v>-1</v>
      </c>
      <c r="OMK5750" s="34">
        <v>-2</v>
      </c>
      <c r="OML5750" s="34">
        <v>-3</v>
      </c>
      <c r="OMM5750" s="34">
        <v>-4</v>
      </c>
      <c r="OMN5750" s="34">
        <v>-5</v>
      </c>
      <c r="OMO5750" s="908"/>
      <c r="OMP5750" s="909"/>
      <c r="OMQ5750" s="34">
        <v>-5</v>
      </c>
      <c r="OMR5750" s="34">
        <v>-4.5</v>
      </c>
      <c r="OMS5750" s="34">
        <v>-4</v>
      </c>
      <c r="OMT5750" s="34">
        <v>-3.5</v>
      </c>
      <c r="OMU5750" s="34">
        <v>-3</v>
      </c>
      <c r="OMV5750" s="34">
        <v>-2.5</v>
      </c>
      <c r="OMW5750" s="34">
        <v>-2</v>
      </c>
      <c r="OMX5750" s="34">
        <v>-1.5</v>
      </c>
      <c r="OMY5750" s="34">
        <v>-1</v>
      </c>
      <c r="OMZ5750" s="34">
        <v>-0.5</v>
      </c>
      <c r="ONA5750" s="34">
        <v>0</v>
      </c>
      <c r="ONB5750" s="34">
        <v>0.5</v>
      </c>
      <c r="ONC5750" s="34">
        <v>1</v>
      </c>
      <c r="OND5750" s="34">
        <v>1.5</v>
      </c>
      <c r="ONE5750" s="34">
        <v>2</v>
      </c>
      <c r="ONF5750" s="34">
        <v>2.5</v>
      </c>
      <c r="ONG5750" s="34">
        <v>3</v>
      </c>
      <c r="ONH5750" s="34">
        <v>3.5</v>
      </c>
      <c r="ONI5750" s="34">
        <v>4</v>
      </c>
      <c r="ONJ5750" s="34">
        <v>4.5</v>
      </c>
      <c r="ONK5750" s="34">
        <v>5</v>
      </c>
      <c r="ONM5750" s="913"/>
      <c r="ONN5750" s="31">
        <v>1</v>
      </c>
      <c r="ONO5750" s="34">
        <v>0</v>
      </c>
      <c r="ONP5750" s="34">
        <v>-1</v>
      </c>
      <c r="ONQ5750" s="34">
        <v>-2</v>
      </c>
      <c r="ONR5750" s="34">
        <v>-3</v>
      </c>
      <c r="ONS5750" s="34">
        <v>-4</v>
      </c>
      <c r="ONT5750" s="34">
        <v>-5</v>
      </c>
      <c r="ONU5750" s="908"/>
      <c r="ONV5750" s="909"/>
      <c r="ONW5750" s="34">
        <v>-5</v>
      </c>
      <c r="ONX5750" s="34">
        <v>-4.5</v>
      </c>
      <c r="ONY5750" s="34">
        <v>-4</v>
      </c>
      <c r="ONZ5750" s="34">
        <v>-3.5</v>
      </c>
      <c r="OOA5750" s="34">
        <v>-3</v>
      </c>
      <c r="OOB5750" s="34">
        <v>-2.5</v>
      </c>
      <c r="OOC5750" s="34">
        <v>-2</v>
      </c>
      <c r="OOD5750" s="34">
        <v>-1.5</v>
      </c>
      <c r="OOE5750" s="34">
        <v>-1</v>
      </c>
      <c r="OOF5750" s="34">
        <v>-0.5</v>
      </c>
      <c r="OOG5750" s="34">
        <v>0</v>
      </c>
      <c r="OOH5750" s="34">
        <v>0.5</v>
      </c>
      <c r="OOI5750" s="34">
        <v>1</v>
      </c>
      <c r="OOJ5750" s="34">
        <v>1.5</v>
      </c>
      <c r="OOK5750" s="34">
        <v>2</v>
      </c>
      <c r="OOL5750" s="34">
        <v>2.5</v>
      </c>
      <c r="OOM5750" s="34">
        <v>3</v>
      </c>
      <c r="OON5750" s="34">
        <v>3.5</v>
      </c>
      <c r="OOO5750" s="34">
        <v>4</v>
      </c>
      <c r="OOP5750" s="34">
        <v>4.5</v>
      </c>
      <c r="OOQ5750" s="34">
        <v>5</v>
      </c>
      <c r="OOS5750" s="913"/>
      <c r="OOT5750" s="31">
        <v>1</v>
      </c>
      <c r="OOU5750" s="34">
        <v>0</v>
      </c>
      <c r="OOV5750" s="34">
        <v>-1</v>
      </c>
      <c r="OOW5750" s="34">
        <v>-2</v>
      </c>
      <c r="OOX5750" s="34">
        <v>-3</v>
      </c>
      <c r="OOY5750" s="34">
        <v>-4</v>
      </c>
      <c r="OOZ5750" s="34">
        <v>-5</v>
      </c>
      <c r="OPA5750" s="908"/>
      <c r="OPB5750" s="909"/>
      <c r="OPC5750" s="34">
        <v>-5</v>
      </c>
      <c r="OPD5750" s="34">
        <v>-4.5</v>
      </c>
      <c r="OPE5750" s="34">
        <v>-4</v>
      </c>
      <c r="OPF5750" s="34">
        <v>-3.5</v>
      </c>
      <c r="OPG5750" s="34">
        <v>-3</v>
      </c>
      <c r="OPH5750" s="34">
        <v>-2.5</v>
      </c>
      <c r="OPI5750" s="34">
        <v>-2</v>
      </c>
      <c r="OPJ5750" s="34">
        <v>-1.5</v>
      </c>
      <c r="OPK5750" s="34">
        <v>-1</v>
      </c>
      <c r="OPL5750" s="34">
        <v>-0.5</v>
      </c>
      <c r="OPM5750" s="34">
        <v>0</v>
      </c>
      <c r="OPN5750" s="34">
        <v>0.5</v>
      </c>
      <c r="OPO5750" s="34">
        <v>1</v>
      </c>
      <c r="OPP5750" s="34">
        <v>1.5</v>
      </c>
      <c r="OPQ5750" s="34">
        <v>2</v>
      </c>
      <c r="OPR5750" s="34">
        <v>2.5</v>
      </c>
      <c r="OPS5750" s="34">
        <v>3</v>
      </c>
      <c r="OPT5750" s="34">
        <v>3.5</v>
      </c>
      <c r="OPU5750" s="34">
        <v>4</v>
      </c>
      <c r="OPV5750" s="34">
        <v>4.5</v>
      </c>
      <c r="OPW5750" s="34">
        <v>5</v>
      </c>
      <c r="OPY5750" s="913"/>
      <c r="OPZ5750" s="31">
        <v>1</v>
      </c>
      <c r="OQA5750" s="34">
        <v>0</v>
      </c>
      <c r="OQB5750" s="34">
        <v>-1</v>
      </c>
      <c r="OQC5750" s="34">
        <v>-2</v>
      </c>
      <c r="OQD5750" s="34">
        <v>-3</v>
      </c>
      <c r="OQE5750" s="34">
        <v>-4</v>
      </c>
      <c r="OQF5750" s="34">
        <v>-5</v>
      </c>
      <c r="OQG5750" s="908"/>
      <c r="OQH5750" s="909"/>
      <c r="OQI5750" s="34">
        <v>-5</v>
      </c>
      <c r="OQJ5750" s="34">
        <v>-4.5</v>
      </c>
      <c r="OQK5750" s="34">
        <v>-4</v>
      </c>
      <c r="OQL5750" s="34">
        <v>-3.5</v>
      </c>
      <c r="OQM5750" s="34">
        <v>-3</v>
      </c>
      <c r="OQN5750" s="34">
        <v>-2.5</v>
      </c>
      <c r="OQO5750" s="34">
        <v>-2</v>
      </c>
      <c r="OQP5750" s="34">
        <v>-1.5</v>
      </c>
      <c r="OQQ5750" s="34">
        <v>-1</v>
      </c>
      <c r="OQR5750" s="34">
        <v>-0.5</v>
      </c>
      <c r="OQS5750" s="34">
        <v>0</v>
      </c>
      <c r="OQT5750" s="34">
        <v>0.5</v>
      </c>
      <c r="OQU5750" s="34">
        <v>1</v>
      </c>
      <c r="OQV5750" s="34">
        <v>1.5</v>
      </c>
      <c r="OQW5750" s="34">
        <v>2</v>
      </c>
      <c r="OQX5750" s="34">
        <v>2.5</v>
      </c>
      <c r="OQY5750" s="34">
        <v>3</v>
      </c>
      <c r="OQZ5750" s="34">
        <v>3.5</v>
      </c>
      <c r="ORA5750" s="34">
        <v>4</v>
      </c>
      <c r="ORB5750" s="34">
        <v>4.5</v>
      </c>
      <c r="ORC5750" s="34">
        <v>5</v>
      </c>
      <c r="ORE5750" s="913"/>
      <c r="ORF5750" s="31">
        <v>1</v>
      </c>
      <c r="ORG5750" s="34">
        <v>0</v>
      </c>
      <c r="ORH5750" s="34">
        <v>-1</v>
      </c>
      <c r="ORI5750" s="34">
        <v>-2</v>
      </c>
      <c r="ORJ5750" s="34">
        <v>-3</v>
      </c>
      <c r="ORK5750" s="34">
        <v>-4</v>
      </c>
      <c r="ORL5750" s="34">
        <v>-5</v>
      </c>
      <c r="ORM5750" s="908"/>
      <c r="ORN5750" s="909"/>
      <c r="ORO5750" s="34">
        <v>-5</v>
      </c>
      <c r="ORP5750" s="34">
        <v>-4.5</v>
      </c>
      <c r="ORQ5750" s="34">
        <v>-4</v>
      </c>
      <c r="ORR5750" s="34">
        <v>-3.5</v>
      </c>
      <c r="ORS5750" s="34">
        <v>-3</v>
      </c>
      <c r="ORT5750" s="34">
        <v>-2.5</v>
      </c>
      <c r="ORU5750" s="34">
        <v>-2</v>
      </c>
      <c r="ORV5750" s="34">
        <v>-1.5</v>
      </c>
      <c r="ORW5750" s="34">
        <v>-1</v>
      </c>
      <c r="ORX5750" s="34">
        <v>-0.5</v>
      </c>
      <c r="ORY5750" s="34">
        <v>0</v>
      </c>
      <c r="ORZ5750" s="34">
        <v>0.5</v>
      </c>
      <c r="OSA5750" s="34">
        <v>1</v>
      </c>
      <c r="OSB5750" s="34">
        <v>1.5</v>
      </c>
      <c r="OSC5750" s="34">
        <v>2</v>
      </c>
      <c r="OSD5750" s="34">
        <v>2.5</v>
      </c>
      <c r="OSE5750" s="34">
        <v>3</v>
      </c>
      <c r="OSF5750" s="34">
        <v>3.5</v>
      </c>
      <c r="OSG5750" s="34">
        <v>4</v>
      </c>
      <c r="OSH5750" s="34">
        <v>4.5</v>
      </c>
      <c r="OSI5750" s="34">
        <v>5</v>
      </c>
      <c r="OSK5750" s="913"/>
      <c r="OSL5750" s="31">
        <v>1</v>
      </c>
      <c r="OSM5750" s="34">
        <v>0</v>
      </c>
      <c r="OSN5750" s="34">
        <v>-1</v>
      </c>
      <c r="OSO5750" s="34">
        <v>-2</v>
      </c>
      <c r="OSP5750" s="34">
        <v>-3</v>
      </c>
      <c r="OSQ5750" s="34">
        <v>-4</v>
      </c>
      <c r="OSR5750" s="34">
        <v>-5</v>
      </c>
      <c r="OSS5750" s="908"/>
      <c r="OST5750" s="909"/>
      <c r="OSU5750" s="34">
        <v>-5</v>
      </c>
      <c r="OSV5750" s="34">
        <v>-4.5</v>
      </c>
      <c r="OSW5750" s="34">
        <v>-4</v>
      </c>
      <c r="OSX5750" s="34">
        <v>-3.5</v>
      </c>
      <c r="OSY5750" s="34">
        <v>-3</v>
      </c>
      <c r="OSZ5750" s="34">
        <v>-2.5</v>
      </c>
      <c r="OTA5750" s="34">
        <v>-2</v>
      </c>
      <c r="OTB5750" s="34">
        <v>-1.5</v>
      </c>
      <c r="OTC5750" s="34">
        <v>-1</v>
      </c>
      <c r="OTD5750" s="34">
        <v>-0.5</v>
      </c>
      <c r="OTE5750" s="34">
        <v>0</v>
      </c>
      <c r="OTF5750" s="34">
        <v>0.5</v>
      </c>
      <c r="OTG5750" s="34">
        <v>1</v>
      </c>
      <c r="OTH5750" s="34">
        <v>1.5</v>
      </c>
      <c r="OTI5750" s="34">
        <v>2</v>
      </c>
      <c r="OTJ5750" s="34">
        <v>2.5</v>
      </c>
      <c r="OTK5750" s="34">
        <v>3</v>
      </c>
      <c r="OTL5750" s="34">
        <v>3.5</v>
      </c>
      <c r="OTM5750" s="34">
        <v>4</v>
      </c>
      <c r="OTN5750" s="34">
        <v>4.5</v>
      </c>
      <c r="OTO5750" s="34">
        <v>5</v>
      </c>
      <c r="OTQ5750" s="913"/>
      <c r="OTR5750" s="31">
        <v>1</v>
      </c>
      <c r="OTS5750" s="34">
        <v>0</v>
      </c>
      <c r="OTT5750" s="34">
        <v>-1</v>
      </c>
      <c r="OTU5750" s="34">
        <v>-2</v>
      </c>
      <c r="OTV5750" s="34">
        <v>-3</v>
      </c>
      <c r="OTW5750" s="34">
        <v>-4</v>
      </c>
      <c r="OTX5750" s="34">
        <v>-5</v>
      </c>
      <c r="OTY5750" s="908"/>
      <c r="OTZ5750" s="909"/>
      <c r="OUA5750" s="34">
        <v>-5</v>
      </c>
      <c r="OUB5750" s="34">
        <v>-4.5</v>
      </c>
      <c r="OUC5750" s="34">
        <v>-4</v>
      </c>
      <c r="OUD5750" s="34">
        <v>-3.5</v>
      </c>
      <c r="OUE5750" s="34">
        <v>-3</v>
      </c>
      <c r="OUF5750" s="34">
        <v>-2.5</v>
      </c>
      <c r="OUG5750" s="34">
        <v>-2</v>
      </c>
      <c r="OUH5750" s="34">
        <v>-1.5</v>
      </c>
      <c r="OUI5750" s="34">
        <v>-1</v>
      </c>
      <c r="OUJ5750" s="34">
        <v>-0.5</v>
      </c>
      <c r="OUK5750" s="34">
        <v>0</v>
      </c>
      <c r="OUL5750" s="34">
        <v>0.5</v>
      </c>
      <c r="OUM5750" s="34">
        <v>1</v>
      </c>
      <c r="OUN5750" s="34">
        <v>1.5</v>
      </c>
      <c r="OUO5750" s="34">
        <v>2</v>
      </c>
      <c r="OUP5750" s="34">
        <v>2.5</v>
      </c>
      <c r="OUQ5750" s="34">
        <v>3</v>
      </c>
      <c r="OUR5750" s="34">
        <v>3.5</v>
      </c>
      <c r="OUS5750" s="34">
        <v>4</v>
      </c>
      <c r="OUT5750" s="34">
        <v>4.5</v>
      </c>
      <c r="OUU5750" s="34">
        <v>5</v>
      </c>
      <c r="OUW5750" s="913"/>
      <c r="OUX5750" s="31">
        <v>1</v>
      </c>
      <c r="OUY5750" s="34">
        <v>0</v>
      </c>
      <c r="OUZ5750" s="34">
        <v>-1</v>
      </c>
      <c r="OVA5750" s="34">
        <v>-2</v>
      </c>
      <c r="OVB5750" s="34">
        <v>-3</v>
      </c>
      <c r="OVC5750" s="34">
        <v>-4</v>
      </c>
      <c r="OVD5750" s="34">
        <v>-5</v>
      </c>
      <c r="OVE5750" s="908"/>
      <c r="OVF5750" s="909"/>
      <c r="OVG5750" s="34">
        <v>-5</v>
      </c>
      <c r="OVH5750" s="34">
        <v>-4.5</v>
      </c>
      <c r="OVI5750" s="34">
        <v>-4</v>
      </c>
      <c r="OVJ5750" s="34">
        <v>-3.5</v>
      </c>
      <c r="OVK5750" s="34">
        <v>-3</v>
      </c>
      <c r="OVL5750" s="34">
        <v>-2.5</v>
      </c>
      <c r="OVM5750" s="34">
        <v>-2</v>
      </c>
      <c r="OVN5750" s="34">
        <v>-1.5</v>
      </c>
      <c r="OVO5750" s="34">
        <v>-1</v>
      </c>
      <c r="OVP5750" s="34">
        <v>-0.5</v>
      </c>
      <c r="OVQ5750" s="34">
        <v>0</v>
      </c>
      <c r="OVR5750" s="34">
        <v>0.5</v>
      </c>
      <c r="OVS5750" s="34">
        <v>1</v>
      </c>
      <c r="OVT5750" s="34">
        <v>1.5</v>
      </c>
      <c r="OVU5750" s="34">
        <v>2</v>
      </c>
      <c r="OVV5750" s="34">
        <v>2.5</v>
      </c>
      <c r="OVW5750" s="34">
        <v>3</v>
      </c>
      <c r="OVX5750" s="34">
        <v>3.5</v>
      </c>
      <c r="OVY5750" s="34">
        <v>4</v>
      </c>
      <c r="OVZ5750" s="34">
        <v>4.5</v>
      </c>
      <c r="OWA5750" s="34">
        <v>5</v>
      </c>
      <c r="OWC5750" s="913"/>
      <c r="OWD5750" s="31">
        <v>1</v>
      </c>
      <c r="OWE5750" s="34">
        <v>0</v>
      </c>
      <c r="OWF5750" s="34">
        <v>-1</v>
      </c>
      <c r="OWG5750" s="34">
        <v>-2</v>
      </c>
      <c r="OWH5750" s="34">
        <v>-3</v>
      </c>
      <c r="OWI5750" s="34">
        <v>-4</v>
      </c>
      <c r="OWJ5750" s="34">
        <v>-5</v>
      </c>
      <c r="OWK5750" s="908"/>
      <c r="OWL5750" s="909"/>
      <c r="OWM5750" s="34">
        <v>-5</v>
      </c>
      <c r="OWN5750" s="34">
        <v>-4.5</v>
      </c>
      <c r="OWO5750" s="34">
        <v>-4</v>
      </c>
      <c r="OWP5750" s="34">
        <v>-3.5</v>
      </c>
      <c r="OWQ5750" s="34">
        <v>-3</v>
      </c>
      <c r="OWR5750" s="34">
        <v>-2.5</v>
      </c>
      <c r="OWS5750" s="34">
        <v>-2</v>
      </c>
      <c r="OWT5750" s="34">
        <v>-1.5</v>
      </c>
      <c r="OWU5750" s="34">
        <v>-1</v>
      </c>
      <c r="OWV5750" s="34">
        <v>-0.5</v>
      </c>
      <c r="OWW5750" s="34">
        <v>0</v>
      </c>
      <c r="OWX5750" s="34">
        <v>0.5</v>
      </c>
      <c r="OWY5750" s="34">
        <v>1</v>
      </c>
      <c r="OWZ5750" s="34">
        <v>1.5</v>
      </c>
      <c r="OXA5750" s="34">
        <v>2</v>
      </c>
      <c r="OXB5750" s="34">
        <v>2.5</v>
      </c>
      <c r="OXC5750" s="34">
        <v>3</v>
      </c>
      <c r="OXD5750" s="34">
        <v>3.5</v>
      </c>
      <c r="OXE5750" s="34">
        <v>4</v>
      </c>
      <c r="OXF5750" s="34">
        <v>4.5</v>
      </c>
      <c r="OXG5750" s="34">
        <v>5</v>
      </c>
      <c r="OXI5750" s="913"/>
      <c r="OXJ5750" s="31">
        <v>1</v>
      </c>
      <c r="OXK5750" s="34">
        <v>0</v>
      </c>
      <c r="OXL5750" s="34">
        <v>-1</v>
      </c>
      <c r="OXM5750" s="34">
        <v>-2</v>
      </c>
      <c r="OXN5750" s="34">
        <v>-3</v>
      </c>
      <c r="OXO5750" s="34">
        <v>-4</v>
      </c>
      <c r="OXP5750" s="34">
        <v>-5</v>
      </c>
      <c r="OXQ5750" s="908"/>
      <c r="OXR5750" s="909"/>
      <c r="OXS5750" s="34">
        <v>-5</v>
      </c>
      <c r="OXT5750" s="34">
        <v>-4.5</v>
      </c>
      <c r="OXU5750" s="34">
        <v>-4</v>
      </c>
      <c r="OXV5750" s="34">
        <v>-3.5</v>
      </c>
      <c r="OXW5750" s="34">
        <v>-3</v>
      </c>
      <c r="OXX5750" s="34">
        <v>-2.5</v>
      </c>
      <c r="OXY5750" s="34">
        <v>-2</v>
      </c>
      <c r="OXZ5750" s="34">
        <v>-1.5</v>
      </c>
      <c r="OYA5750" s="34">
        <v>-1</v>
      </c>
      <c r="OYB5750" s="34">
        <v>-0.5</v>
      </c>
      <c r="OYC5750" s="34">
        <v>0</v>
      </c>
      <c r="OYD5750" s="34">
        <v>0.5</v>
      </c>
      <c r="OYE5750" s="34">
        <v>1</v>
      </c>
      <c r="OYF5750" s="34">
        <v>1.5</v>
      </c>
      <c r="OYG5750" s="34">
        <v>2</v>
      </c>
      <c r="OYH5750" s="34">
        <v>2.5</v>
      </c>
      <c r="OYI5750" s="34">
        <v>3</v>
      </c>
      <c r="OYJ5750" s="34">
        <v>3.5</v>
      </c>
      <c r="OYK5750" s="34">
        <v>4</v>
      </c>
      <c r="OYL5750" s="34">
        <v>4.5</v>
      </c>
      <c r="OYM5750" s="34">
        <v>5</v>
      </c>
      <c r="OYO5750" s="913"/>
      <c r="OYP5750" s="31">
        <v>1</v>
      </c>
      <c r="OYQ5750" s="34">
        <v>0</v>
      </c>
      <c r="OYR5750" s="34">
        <v>-1</v>
      </c>
      <c r="OYS5750" s="34">
        <v>-2</v>
      </c>
      <c r="OYT5750" s="34">
        <v>-3</v>
      </c>
      <c r="OYU5750" s="34">
        <v>-4</v>
      </c>
      <c r="OYV5750" s="34">
        <v>-5</v>
      </c>
      <c r="OYW5750" s="908"/>
      <c r="OYX5750" s="909"/>
      <c r="OYY5750" s="34">
        <v>-5</v>
      </c>
      <c r="OYZ5750" s="34">
        <v>-4.5</v>
      </c>
      <c r="OZA5750" s="34">
        <v>-4</v>
      </c>
      <c r="OZB5750" s="34">
        <v>-3.5</v>
      </c>
      <c r="OZC5750" s="34">
        <v>-3</v>
      </c>
      <c r="OZD5750" s="34">
        <v>-2.5</v>
      </c>
      <c r="OZE5750" s="34">
        <v>-2</v>
      </c>
      <c r="OZF5750" s="34">
        <v>-1.5</v>
      </c>
      <c r="OZG5750" s="34">
        <v>-1</v>
      </c>
      <c r="OZH5750" s="34">
        <v>-0.5</v>
      </c>
      <c r="OZI5750" s="34">
        <v>0</v>
      </c>
      <c r="OZJ5750" s="34">
        <v>0.5</v>
      </c>
      <c r="OZK5750" s="34">
        <v>1</v>
      </c>
      <c r="OZL5750" s="34">
        <v>1.5</v>
      </c>
      <c r="OZM5750" s="34">
        <v>2</v>
      </c>
      <c r="OZN5750" s="34">
        <v>2.5</v>
      </c>
      <c r="OZO5750" s="34">
        <v>3</v>
      </c>
      <c r="OZP5750" s="34">
        <v>3.5</v>
      </c>
      <c r="OZQ5750" s="34">
        <v>4</v>
      </c>
      <c r="OZR5750" s="34">
        <v>4.5</v>
      </c>
      <c r="OZS5750" s="34">
        <v>5</v>
      </c>
      <c r="OZU5750" s="913"/>
      <c r="OZV5750" s="31">
        <v>1</v>
      </c>
      <c r="OZW5750" s="34">
        <v>0</v>
      </c>
      <c r="OZX5750" s="34">
        <v>-1</v>
      </c>
      <c r="OZY5750" s="34">
        <v>-2</v>
      </c>
      <c r="OZZ5750" s="34">
        <v>-3</v>
      </c>
      <c r="PAA5750" s="34">
        <v>-4</v>
      </c>
      <c r="PAB5750" s="34">
        <v>-5</v>
      </c>
      <c r="PAC5750" s="908"/>
      <c r="PAD5750" s="909"/>
      <c r="PAE5750" s="34">
        <v>-5</v>
      </c>
      <c r="PAF5750" s="34">
        <v>-4.5</v>
      </c>
      <c r="PAG5750" s="34">
        <v>-4</v>
      </c>
      <c r="PAH5750" s="34">
        <v>-3.5</v>
      </c>
      <c r="PAI5750" s="34">
        <v>-3</v>
      </c>
      <c r="PAJ5750" s="34">
        <v>-2.5</v>
      </c>
      <c r="PAK5750" s="34">
        <v>-2</v>
      </c>
      <c r="PAL5750" s="34">
        <v>-1.5</v>
      </c>
      <c r="PAM5750" s="34">
        <v>-1</v>
      </c>
      <c r="PAN5750" s="34">
        <v>-0.5</v>
      </c>
      <c r="PAO5750" s="34">
        <v>0</v>
      </c>
      <c r="PAP5750" s="34">
        <v>0.5</v>
      </c>
      <c r="PAQ5750" s="34">
        <v>1</v>
      </c>
      <c r="PAR5750" s="34">
        <v>1.5</v>
      </c>
      <c r="PAS5750" s="34">
        <v>2</v>
      </c>
      <c r="PAT5750" s="34">
        <v>2.5</v>
      </c>
      <c r="PAU5750" s="34">
        <v>3</v>
      </c>
      <c r="PAV5750" s="34">
        <v>3.5</v>
      </c>
      <c r="PAW5750" s="34">
        <v>4</v>
      </c>
      <c r="PAX5750" s="34">
        <v>4.5</v>
      </c>
      <c r="PAY5750" s="34">
        <v>5</v>
      </c>
      <c r="PBA5750" s="913"/>
      <c r="PBB5750" s="31">
        <v>1</v>
      </c>
      <c r="PBC5750" s="34">
        <v>0</v>
      </c>
      <c r="PBD5750" s="34">
        <v>-1</v>
      </c>
      <c r="PBE5750" s="34">
        <v>-2</v>
      </c>
      <c r="PBF5750" s="34">
        <v>-3</v>
      </c>
      <c r="PBG5750" s="34">
        <v>-4</v>
      </c>
      <c r="PBH5750" s="34">
        <v>-5</v>
      </c>
      <c r="PBI5750" s="908"/>
      <c r="PBJ5750" s="909"/>
      <c r="PBK5750" s="34">
        <v>-5</v>
      </c>
      <c r="PBL5750" s="34">
        <v>-4.5</v>
      </c>
      <c r="PBM5750" s="34">
        <v>-4</v>
      </c>
      <c r="PBN5750" s="34">
        <v>-3.5</v>
      </c>
      <c r="PBO5750" s="34">
        <v>-3</v>
      </c>
      <c r="PBP5750" s="34">
        <v>-2.5</v>
      </c>
      <c r="PBQ5750" s="34">
        <v>-2</v>
      </c>
      <c r="PBR5750" s="34">
        <v>-1.5</v>
      </c>
      <c r="PBS5750" s="34">
        <v>-1</v>
      </c>
      <c r="PBT5750" s="34">
        <v>-0.5</v>
      </c>
      <c r="PBU5750" s="34">
        <v>0</v>
      </c>
      <c r="PBV5750" s="34">
        <v>0.5</v>
      </c>
      <c r="PBW5750" s="34">
        <v>1</v>
      </c>
      <c r="PBX5750" s="34">
        <v>1.5</v>
      </c>
      <c r="PBY5750" s="34">
        <v>2</v>
      </c>
      <c r="PBZ5750" s="34">
        <v>2.5</v>
      </c>
      <c r="PCA5750" s="34">
        <v>3</v>
      </c>
      <c r="PCB5750" s="34">
        <v>3.5</v>
      </c>
      <c r="PCC5750" s="34">
        <v>4</v>
      </c>
      <c r="PCD5750" s="34">
        <v>4.5</v>
      </c>
      <c r="PCE5750" s="34">
        <v>5</v>
      </c>
      <c r="PCG5750" s="913"/>
      <c r="PCH5750" s="31">
        <v>1</v>
      </c>
      <c r="PCI5750" s="34">
        <v>0</v>
      </c>
      <c r="PCJ5750" s="34">
        <v>-1</v>
      </c>
      <c r="PCK5750" s="34">
        <v>-2</v>
      </c>
      <c r="PCL5750" s="34">
        <v>-3</v>
      </c>
      <c r="PCM5750" s="34">
        <v>-4</v>
      </c>
      <c r="PCN5750" s="34">
        <v>-5</v>
      </c>
      <c r="PCO5750" s="908"/>
      <c r="PCP5750" s="909"/>
      <c r="PCQ5750" s="34">
        <v>-5</v>
      </c>
      <c r="PCR5750" s="34">
        <v>-4.5</v>
      </c>
      <c r="PCS5750" s="34">
        <v>-4</v>
      </c>
      <c r="PCT5750" s="34">
        <v>-3.5</v>
      </c>
      <c r="PCU5750" s="34">
        <v>-3</v>
      </c>
      <c r="PCV5750" s="34">
        <v>-2.5</v>
      </c>
      <c r="PCW5750" s="34">
        <v>-2</v>
      </c>
      <c r="PCX5750" s="34">
        <v>-1.5</v>
      </c>
      <c r="PCY5750" s="34">
        <v>-1</v>
      </c>
      <c r="PCZ5750" s="34">
        <v>-0.5</v>
      </c>
      <c r="PDA5750" s="34">
        <v>0</v>
      </c>
      <c r="PDB5750" s="34">
        <v>0.5</v>
      </c>
      <c r="PDC5750" s="34">
        <v>1</v>
      </c>
      <c r="PDD5750" s="34">
        <v>1.5</v>
      </c>
      <c r="PDE5750" s="34">
        <v>2</v>
      </c>
      <c r="PDF5750" s="34">
        <v>2.5</v>
      </c>
      <c r="PDG5750" s="34">
        <v>3</v>
      </c>
      <c r="PDH5750" s="34">
        <v>3.5</v>
      </c>
      <c r="PDI5750" s="34">
        <v>4</v>
      </c>
      <c r="PDJ5750" s="34">
        <v>4.5</v>
      </c>
      <c r="PDK5750" s="34">
        <v>5</v>
      </c>
      <c r="PDM5750" s="913"/>
      <c r="PDN5750" s="31">
        <v>1</v>
      </c>
      <c r="PDO5750" s="34">
        <v>0</v>
      </c>
      <c r="PDP5750" s="34">
        <v>-1</v>
      </c>
      <c r="PDQ5750" s="34">
        <v>-2</v>
      </c>
      <c r="PDR5750" s="34">
        <v>-3</v>
      </c>
      <c r="PDS5750" s="34">
        <v>-4</v>
      </c>
      <c r="PDT5750" s="34">
        <v>-5</v>
      </c>
      <c r="PDU5750" s="908"/>
      <c r="PDV5750" s="909"/>
      <c r="PDW5750" s="34">
        <v>-5</v>
      </c>
      <c r="PDX5750" s="34">
        <v>-4.5</v>
      </c>
      <c r="PDY5750" s="34">
        <v>-4</v>
      </c>
      <c r="PDZ5750" s="34">
        <v>-3.5</v>
      </c>
      <c r="PEA5750" s="34">
        <v>-3</v>
      </c>
      <c r="PEB5750" s="34">
        <v>-2.5</v>
      </c>
      <c r="PEC5750" s="34">
        <v>-2</v>
      </c>
      <c r="PED5750" s="34">
        <v>-1.5</v>
      </c>
      <c r="PEE5750" s="34">
        <v>-1</v>
      </c>
      <c r="PEF5750" s="34">
        <v>-0.5</v>
      </c>
      <c r="PEG5750" s="34">
        <v>0</v>
      </c>
      <c r="PEH5750" s="34">
        <v>0.5</v>
      </c>
      <c r="PEI5750" s="34">
        <v>1</v>
      </c>
      <c r="PEJ5750" s="34">
        <v>1.5</v>
      </c>
      <c r="PEK5750" s="34">
        <v>2</v>
      </c>
      <c r="PEL5750" s="34">
        <v>2.5</v>
      </c>
      <c r="PEM5750" s="34">
        <v>3</v>
      </c>
      <c r="PEN5750" s="34">
        <v>3.5</v>
      </c>
      <c r="PEO5750" s="34">
        <v>4</v>
      </c>
      <c r="PEP5750" s="34">
        <v>4.5</v>
      </c>
      <c r="PEQ5750" s="34">
        <v>5</v>
      </c>
      <c r="PES5750" s="913"/>
      <c r="PET5750" s="31">
        <v>1</v>
      </c>
      <c r="PEU5750" s="34">
        <v>0</v>
      </c>
      <c r="PEV5750" s="34">
        <v>-1</v>
      </c>
      <c r="PEW5750" s="34">
        <v>-2</v>
      </c>
      <c r="PEX5750" s="34">
        <v>-3</v>
      </c>
      <c r="PEY5750" s="34">
        <v>-4</v>
      </c>
      <c r="PEZ5750" s="34">
        <v>-5</v>
      </c>
      <c r="PFA5750" s="908"/>
      <c r="PFB5750" s="909"/>
      <c r="PFC5750" s="34">
        <v>-5</v>
      </c>
      <c r="PFD5750" s="34">
        <v>-4.5</v>
      </c>
      <c r="PFE5750" s="34">
        <v>-4</v>
      </c>
      <c r="PFF5750" s="34">
        <v>-3.5</v>
      </c>
      <c r="PFG5750" s="34">
        <v>-3</v>
      </c>
      <c r="PFH5750" s="34">
        <v>-2.5</v>
      </c>
      <c r="PFI5750" s="34">
        <v>-2</v>
      </c>
      <c r="PFJ5750" s="34">
        <v>-1.5</v>
      </c>
      <c r="PFK5750" s="34">
        <v>-1</v>
      </c>
      <c r="PFL5750" s="34">
        <v>-0.5</v>
      </c>
      <c r="PFM5750" s="34">
        <v>0</v>
      </c>
      <c r="PFN5750" s="34">
        <v>0.5</v>
      </c>
      <c r="PFO5750" s="34">
        <v>1</v>
      </c>
      <c r="PFP5750" s="34">
        <v>1.5</v>
      </c>
      <c r="PFQ5750" s="34">
        <v>2</v>
      </c>
      <c r="PFR5750" s="34">
        <v>2.5</v>
      </c>
      <c r="PFS5750" s="34">
        <v>3</v>
      </c>
      <c r="PFT5750" s="34">
        <v>3.5</v>
      </c>
      <c r="PFU5750" s="34">
        <v>4</v>
      </c>
      <c r="PFV5750" s="34">
        <v>4.5</v>
      </c>
      <c r="PFW5750" s="34">
        <v>5</v>
      </c>
      <c r="PFY5750" s="913"/>
      <c r="PFZ5750" s="31">
        <v>1</v>
      </c>
      <c r="PGA5750" s="34">
        <v>0</v>
      </c>
      <c r="PGB5750" s="34">
        <v>-1</v>
      </c>
      <c r="PGC5750" s="34">
        <v>-2</v>
      </c>
      <c r="PGD5750" s="34">
        <v>-3</v>
      </c>
      <c r="PGE5750" s="34">
        <v>-4</v>
      </c>
      <c r="PGF5750" s="34">
        <v>-5</v>
      </c>
      <c r="PGG5750" s="908"/>
      <c r="PGH5750" s="909"/>
      <c r="PGI5750" s="34">
        <v>-5</v>
      </c>
      <c r="PGJ5750" s="34">
        <v>-4.5</v>
      </c>
      <c r="PGK5750" s="34">
        <v>-4</v>
      </c>
      <c r="PGL5750" s="34">
        <v>-3.5</v>
      </c>
      <c r="PGM5750" s="34">
        <v>-3</v>
      </c>
      <c r="PGN5750" s="34">
        <v>-2.5</v>
      </c>
      <c r="PGO5750" s="34">
        <v>-2</v>
      </c>
      <c r="PGP5750" s="34">
        <v>-1.5</v>
      </c>
      <c r="PGQ5750" s="34">
        <v>-1</v>
      </c>
      <c r="PGR5750" s="34">
        <v>-0.5</v>
      </c>
      <c r="PGS5750" s="34">
        <v>0</v>
      </c>
      <c r="PGT5750" s="34">
        <v>0.5</v>
      </c>
      <c r="PGU5750" s="34">
        <v>1</v>
      </c>
      <c r="PGV5750" s="34">
        <v>1.5</v>
      </c>
      <c r="PGW5750" s="34">
        <v>2</v>
      </c>
      <c r="PGX5750" s="34">
        <v>2.5</v>
      </c>
      <c r="PGY5750" s="34">
        <v>3</v>
      </c>
      <c r="PGZ5750" s="34">
        <v>3.5</v>
      </c>
      <c r="PHA5750" s="34">
        <v>4</v>
      </c>
      <c r="PHB5750" s="34">
        <v>4.5</v>
      </c>
      <c r="PHC5750" s="34">
        <v>5</v>
      </c>
      <c r="PHE5750" s="913"/>
      <c r="PHF5750" s="31">
        <v>1</v>
      </c>
      <c r="PHG5750" s="34">
        <v>0</v>
      </c>
      <c r="PHH5750" s="34">
        <v>-1</v>
      </c>
      <c r="PHI5750" s="34">
        <v>-2</v>
      </c>
      <c r="PHJ5750" s="34">
        <v>-3</v>
      </c>
      <c r="PHK5750" s="34">
        <v>-4</v>
      </c>
      <c r="PHL5750" s="34">
        <v>-5</v>
      </c>
      <c r="PHM5750" s="908"/>
      <c r="PHN5750" s="909"/>
      <c r="PHO5750" s="34">
        <v>-5</v>
      </c>
      <c r="PHP5750" s="34">
        <v>-4.5</v>
      </c>
      <c r="PHQ5750" s="34">
        <v>-4</v>
      </c>
      <c r="PHR5750" s="34">
        <v>-3.5</v>
      </c>
      <c r="PHS5750" s="34">
        <v>-3</v>
      </c>
      <c r="PHT5750" s="34">
        <v>-2.5</v>
      </c>
      <c r="PHU5750" s="34">
        <v>-2</v>
      </c>
      <c r="PHV5750" s="34">
        <v>-1.5</v>
      </c>
      <c r="PHW5750" s="34">
        <v>-1</v>
      </c>
      <c r="PHX5750" s="34">
        <v>-0.5</v>
      </c>
      <c r="PHY5750" s="34">
        <v>0</v>
      </c>
      <c r="PHZ5750" s="34">
        <v>0.5</v>
      </c>
      <c r="PIA5750" s="34">
        <v>1</v>
      </c>
      <c r="PIB5750" s="34">
        <v>1.5</v>
      </c>
      <c r="PIC5750" s="34">
        <v>2</v>
      </c>
      <c r="PID5750" s="34">
        <v>2.5</v>
      </c>
      <c r="PIE5750" s="34">
        <v>3</v>
      </c>
      <c r="PIF5750" s="34">
        <v>3.5</v>
      </c>
      <c r="PIG5750" s="34">
        <v>4</v>
      </c>
      <c r="PIH5750" s="34">
        <v>4.5</v>
      </c>
      <c r="PII5750" s="34">
        <v>5</v>
      </c>
      <c r="PIK5750" s="913"/>
      <c r="PIL5750" s="31">
        <v>1</v>
      </c>
      <c r="PIM5750" s="34">
        <v>0</v>
      </c>
      <c r="PIN5750" s="34">
        <v>-1</v>
      </c>
      <c r="PIO5750" s="34">
        <v>-2</v>
      </c>
      <c r="PIP5750" s="34">
        <v>-3</v>
      </c>
      <c r="PIQ5750" s="34">
        <v>-4</v>
      </c>
      <c r="PIR5750" s="34">
        <v>-5</v>
      </c>
      <c r="PIS5750" s="908"/>
      <c r="PIT5750" s="909"/>
      <c r="PIU5750" s="34">
        <v>-5</v>
      </c>
      <c r="PIV5750" s="34">
        <v>-4.5</v>
      </c>
      <c r="PIW5750" s="34">
        <v>-4</v>
      </c>
      <c r="PIX5750" s="34">
        <v>-3.5</v>
      </c>
      <c r="PIY5750" s="34">
        <v>-3</v>
      </c>
      <c r="PIZ5750" s="34">
        <v>-2.5</v>
      </c>
      <c r="PJA5750" s="34">
        <v>-2</v>
      </c>
      <c r="PJB5750" s="34">
        <v>-1.5</v>
      </c>
      <c r="PJC5750" s="34">
        <v>-1</v>
      </c>
      <c r="PJD5750" s="34">
        <v>-0.5</v>
      </c>
      <c r="PJE5750" s="34">
        <v>0</v>
      </c>
      <c r="PJF5750" s="34">
        <v>0.5</v>
      </c>
      <c r="PJG5750" s="34">
        <v>1</v>
      </c>
      <c r="PJH5750" s="34">
        <v>1.5</v>
      </c>
      <c r="PJI5750" s="34">
        <v>2</v>
      </c>
      <c r="PJJ5750" s="34">
        <v>2.5</v>
      </c>
      <c r="PJK5750" s="34">
        <v>3</v>
      </c>
      <c r="PJL5750" s="34">
        <v>3.5</v>
      </c>
      <c r="PJM5750" s="34">
        <v>4</v>
      </c>
      <c r="PJN5750" s="34">
        <v>4.5</v>
      </c>
      <c r="PJO5750" s="34">
        <v>5</v>
      </c>
      <c r="PJQ5750" s="913"/>
      <c r="PJR5750" s="31">
        <v>1</v>
      </c>
      <c r="PJS5750" s="34">
        <v>0</v>
      </c>
      <c r="PJT5750" s="34">
        <v>-1</v>
      </c>
      <c r="PJU5750" s="34">
        <v>-2</v>
      </c>
      <c r="PJV5750" s="34">
        <v>-3</v>
      </c>
      <c r="PJW5750" s="34">
        <v>-4</v>
      </c>
      <c r="PJX5750" s="34">
        <v>-5</v>
      </c>
      <c r="PJY5750" s="908"/>
      <c r="PJZ5750" s="909"/>
      <c r="PKA5750" s="34">
        <v>-5</v>
      </c>
      <c r="PKB5750" s="34">
        <v>-4.5</v>
      </c>
      <c r="PKC5750" s="34">
        <v>-4</v>
      </c>
      <c r="PKD5750" s="34">
        <v>-3.5</v>
      </c>
      <c r="PKE5750" s="34">
        <v>-3</v>
      </c>
      <c r="PKF5750" s="34">
        <v>-2.5</v>
      </c>
      <c r="PKG5750" s="34">
        <v>-2</v>
      </c>
      <c r="PKH5750" s="34">
        <v>-1.5</v>
      </c>
      <c r="PKI5750" s="34">
        <v>-1</v>
      </c>
      <c r="PKJ5750" s="34">
        <v>-0.5</v>
      </c>
      <c r="PKK5750" s="34">
        <v>0</v>
      </c>
      <c r="PKL5750" s="34">
        <v>0.5</v>
      </c>
      <c r="PKM5750" s="34">
        <v>1</v>
      </c>
      <c r="PKN5750" s="34">
        <v>1.5</v>
      </c>
      <c r="PKO5750" s="34">
        <v>2</v>
      </c>
      <c r="PKP5750" s="34">
        <v>2.5</v>
      </c>
      <c r="PKQ5750" s="34">
        <v>3</v>
      </c>
      <c r="PKR5750" s="34">
        <v>3.5</v>
      </c>
      <c r="PKS5750" s="34">
        <v>4</v>
      </c>
      <c r="PKT5750" s="34">
        <v>4.5</v>
      </c>
      <c r="PKU5750" s="34">
        <v>5</v>
      </c>
      <c r="PKW5750" s="913"/>
      <c r="PKX5750" s="31">
        <v>1</v>
      </c>
      <c r="PKY5750" s="34">
        <v>0</v>
      </c>
      <c r="PKZ5750" s="34">
        <v>-1</v>
      </c>
      <c r="PLA5750" s="34">
        <v>-2</v>
      </c>
      <c r="PLB5750" s="34">
        <v>-3</v>
      </c>
      <c r="PLC5750" s="34">
        <v>-4</v>
      </c>
      <c r="PLD5750" s="34">
        <v>-5</v>
      </c>
      <c r="PLE5750" s="908"/>
      <c r="PLF5750" s="909"/>
      <c r="PLG5750" s="34">
        <v>-5</v>
      </c>
      <c r="PLH5750" s="34">
        <v>-4.5</v>
      </c>
      <c r="PLI5750" s="34">
        <v>-4</v>
      </c>
      <c r="PLJ5750" s="34">
        <v>-3.5</v>
      </c>
      <c r="PLK5750" s="34">
        <v>-3</v>
      </c>
      <c r="PLL5750" s="34">
        <v>-2.5</v>
      </c>
      <c r="PLM5750" s="34">
        <v>-2</v>
      </c>
      <c r="PLN5750" s="34">
        <v>-1.5</v>
      </c>
      <c r="PLO5750" s="34">
        <v>-1</v>
      </c>
      <c r="PLP5750" s="34">
        <v>-0.5</v>
      </c>
      <c r="PLQ5750" s="34">
        <v>0</v>
      </c>
      <c r="PLR5750" s="34">
        <v>0.5</v>
      </c>
      <c r="PLS5750" s="34">
        <v>1</v>
      </c>
      <c r="PLT5750" s="34">
        <v>1.5</v>
      </c>
      <c r="PLU5750" s="34">
        <v>2</v>
      </c>
      <c r="PLV5750" s="34">
        <v>2.5</v>
      </c>
      <c r="PLW5750" s="34">
        <v>3</v>
      </c>
      <c r="PLX5750" s="34">
        <v>3.5</v>
      </c>
      <c r="PLY5750" s="34">
        <v>4</v>
      </c>
      <c r="PLZ5750" s="34">
        <v>4.5</v>
      </c>
      <c r="PMA5750" s="34">
        <v>5</v>
      </c>
      <c r="PMC5750" s="913"/>
      <c r="PMD5750" s="31">
        <v>1</v>
      </c>
      <c r="PME5750" s="34">
        <v>0</v>
      </c>
      <c r="PMF5750" s="34">
        <v>-1</v>
      </c>
      <c r="PMG5750" s="34">
        <v>-2</v>
      </c>
      <c r="PMH5750" s="34">
        <v>-3</v>
      </c>
      <c r="PMI5750" s="34">
        <v>-4</v>
      </c>
      <c r="PMJ5750" s="34">
        <v>-5</v>
      </c>
      <c r="PMK5750" s="908"/>
      <c r="PML5750" s="909"/>
      <c r="PMM5750" s="34">
        <v>-5</v>
      </c>
      <c r="PMN5750" s="34">
        <v>-4.5</v>
      </c>
      <c r="PMO5750" s="34">
        <v>-4</v>
      </c>
      <c r="PMP5750" s="34">
        <v>-3.5</v>
      </c>
      <c r="PMQ5750" s="34">
        <v>-3</v>
      </c>
      <c r="PMR5750" s="34">
        <v>-2.5</v>
      </c>
      <c r="PMS5750" s="34">
        <v>-2</v>
      </c>
      <c r="PMT5750" s="34">
        <v>-1.5</v>
      </c>
      <c r="PMU5750" s="34">
        <v>-1</v>
      </c>
      <c r="PMV5750" s="34">
        <v>-0.5</v>
      </c>
      <c r="PMW5750" s="34">
        <v>0</v>
      </c>
      <c r="PMX5750" s="34">
        <v>0.5</v>
      </c>
      <c r="PMY5750" s="34">
        <v>1</v>
      </c>
      <c r="PMZ5750" s="34">
        <v>1.5</v>
      </c>
      <c r="PNA5750" s="34">
        <v>2</v>
      </c>
      <c r="PNB5750" s="34">
        <v>2.5</v>
      </c>
      <c r="PNC5750" s="34">
        <v>3</v>
      </c>
      <c r="PND5750" s="34">
        <v>3.5</v>
      </c>
      <c r="PNE5750" s="34">
        <v>4</v>
      </c>
      <c r="PNF5750" s="34">
        <v>4.5</v>
      </c>
      <c r="PNG5750" s="34">
        <v>5</v>
      </c>
      <c r="PNI5750" s="913"/>
      <c r="PNJ5750" s="31">
        <v>1</v>
      </c>
      <c r="PNK5750" s="34">
        <v>0</v>
      </c>
      <c r="PNL5750" s="34">
        <v>-1</v>
      </c>
      <c r="PNM5750" s="34">
        <v>-2</v>
      </c>
      <c r="PNN5750" s="34">
        <v>-3</v>
      </c>
      <c r="PNO5750" s="34">
        <v>-4</v>
      </c>
      <c r="PNP5750" s="34">
        <v>-5</v>
      </c>
      <c r="PNQ5750" s="908"/>
      <c r="PNR5750" s="909"/>
      <c r="PNS5750" s="34">
        <v>-5</v>
      </c>
      <c r="PNT5750" s="34">
        <v>-4.5</v>
      </c>
      <c r="PNU5750" s="34">
        <v>-4</v>
      </c>
      <c r="PNV5750" s="34">
        <v>-3.5</v>
      </c>
      <c r="PNW5750" s="34">
        <v>-3</v>
      </c>
      <c r="PNX5750" s="34">
        <v>-2.5</v>
      </c>
      <c r="PNY5750" s="34">
        <v>-2</v>
      </c>
      <c r="PNZ5750" s="34">
        <v>-1.5</v>
      </c>
      <c r="POA5750" s="34">
        <v>-1</v>
      </c>
      <c r="POB5750" s="34">
        <v>-0.5</v>
      </c>
      <c r="POC5750" s="34">
        <v>0</v>
      </c>
      <c r="POD5750" s="34">
        <v>0.5</v>
      </c>
      <c r="POE5750" s="34">
        <v>1</v>
      </c>
      <c r="POF5750" s="34">
        <v>1.5</v>
      </c>
      <c r="POG5750" s="34">
        <v>2</v>
      </c>
      <c r="POH5750" s="34">
        <v>2.5</v>
      </c>
      <c r="POI5750" s="34">
        <v>3</v>
      </c>
      <c r="POJ5750" s="34">
        <v>3.5</v>
      </c>
      <c r="POK5750" s="34">
        <v>4</v>
      </c>
      <c r="POL5750" s="34">
        <v>4.5</v>
      </c>
      <c r="POM5750" s="34">
        <v>5</v>
      </c>
      <c r="POO5750" s="913"/>
      <c r="POP5750" s="31">
        <v>1</v>
      </c>
      <c r="POQ5750" s="34">
        <v>0</v>
      </c>
      <c r="POR5750" s="34">
        <v>-1</v>
      </c>
      <c r="POS5750" s="34">
        <v>-2</v>
      </c>
      <c r="POT5750" s="34">
        <v>-3</v>
      </c>
      <c r="POU5750" s="34">
        <v>-4</v>
      </c>
      <c r="POV5750" s="34">
        <v>-5</v>
      </c>
      <c r="POW5750" s="908"/>
      <c r="POX5750" s="909"/>
      <c r="POY5750" s="34">
        <v>-5</v>
      </c>
      <c r="POZ5750" s="34">
        <v>-4.5</v>
      </c>
      <c r="PPA5750" s="34">
        <v>-4</v>
      </c>
      <c r="PPB5750" s="34">
        <v>-3.5</v>
      </c>
      <c r="PPC5750" s="34">
        <v>-3</v>
      </c>
      <c r="PPD5750" s="34">
        <v>-2.5</v>
      </c>
      <c r="PPE5750" s="34">
        <v>-2</v>
      </c>
      <c r="PPF5750" s="34">
        <v>-1.5</v>
      </c>
      <c r="PPG5750" s="34">
        <v>-1</v>
      </c>
      <c r="PPH5750" s="34">
        <v>-0.5</v>
      </c>
      <c r="PPI5750" s="34">
        <v>0</v>
      </c>
      <c r="PPJ5750" s="34">
        <v>0.5</v>
      </c>
      <c r="PPK5750" s="34">
        <v>1</v>
      </c>
      <c r="PPL5750" s="34">
        <v>1.5</v>
      </c>
      <c r="PPM5750" s="34">
        <v>2</v>
      </c>
      <c r="PPN5750" s="34">
        <v>2.5</v>
      </c>
      <c r="PPO5750" s="34">
        <v>3</v>
      </c>
      <c r="PPP5750" s="34">
        <v>3.5</v>
      </c>
      <c r="PPQ5750" s="34">
        <v>4</v>
      </c>
      <c r="PPR5750" s="34">
        <v>4.5</v>
      </c>
      <c r="PPS5750" s="34">
        <v>5</v>
      </c>
      <c r="PPU5750" s="913"/>
      <c r="PPV5750" s="31">
        <v>1</v>
      </c>
      <c r="PPW5750" s="34">
        <v>0</v>
      </c>
      <c r="PPX5750" s="34">
        <v>-1</v>
      </c>
      <c r="PPY5750" s="34">
        <v>-2</v>
      </c>
      <c r="PPZ5750" s="34">
        <v>-3</v>
      </c>
      <c r="PQA5750" s="34">
        <v>-4</v>
      </c>
      <c r="PQB5750" s="34">
        <v>-5</v>
      </c>
      <c r="PQC5750" s="908"/>
      <c r="PQD5750" s="909"/>
      <c r="PQE5750" s="34">
        <v>-5</v>
      </c>
      <c r="PQF5750" s="34">
        <v>-4.5</v>
      </c>
      <c r="PQG5750" s="34">
        <v>-4</v>
      </c>
      <c r="PQH5750" s="34">
        <v>-3.5</v>
      </c>
      <c r="PQI5750" s="34">
        <v>-3</v>
      </c>
      <c r="PQJ5750" s="34">
        <v>-2.5</v>
      </c>
      <c r="PQK5750" s="34">
        <v>-2</v>
      </c>
      <c r="PQL5750" s="34">
        <v>-1.5</v>
      </c>
      <c r="PQM5750" s="34">
        <v>-1</v>
      </c>
      <c r="PQN5750" s="34">
        <v>-0.5</v>
      </c>
      <c r="PQO5750" s="34">
        <v>0</v>
      </c>
      <c r="PQP5750" s="34">
        <v>0.5</v>
      </c>
      <c r="PQQ5750" s="34">
        <v>1</v>
      </c>
      <c r="PQR5750" s="34">
        <v>1.5</v>
      </c>
      <c r="PQS5750" s="34">
        <v>2</v>
      </c>
      <c r="PQT5750" s="34">
        <v>2.5</v>
      </c>
      <c r="PQU5750" s="34">
        <v>3</v>
      </c>
      <c r="PQV5750" s="34">
        <v>3.5</v>
      </c>
      <c r="PQW5750" s="34">
        <v>4</v>
      </c>
      <c r="PQX5750" s="34">
        <v>4.5</v>
      </c>
      <c r="PQY5750" s="34">
        <v>5</v>
      </c>
      <c r="PRA5750" s="913"/>
      <c r="PRB5750" s="31">
        <v>1</v>
      </c>
      <c r="PRC5750" s="34">
        <v>0</v>
      </c>
      <c r="PRD5750" s="34">
        <v>-1</v>
      </c>
      <c r="PRE5750" s="34">
        <v>-2</v>
      </c>
      <c r="PRF5750" s="34">
        <v>-3</v>
      </c>
      <c r="PRG5750" s="34">
        <v>-4</v>
      </c>
      <c r="PRH5750" s="34">
        <v>-5</v>
      </c>
      <c r="PRI5750" s="908"/>
      <c r="PRJ5750" s="909"/>
      <c r="PRK5750" s="34">
        <v>-5</v>
      </c>
      <c r="PRL5750" s="34">
        <v>-4.5</v>
      </c>
      <c r="PRM5750" s="34">
        <v>-4</v>
      </c>
      <c r="PRN5750" s="34">
        <v>-3.5</v>
      </c>
      <c r="PRO5750" s="34">
        <v>-3</v>
      </c>
      <c r="PRP5750" s="34">
        <v>-2.5</v>
      </c>
      <c r="PRQ5750" s="34">
        <v>-2</v>
      </c>
      <c r="PRR5750" s="34">
        <v>-1.5</v>
      </c>
      <c r="PRS5750" s="34">
        <v>-1</v>
      </c>
      <c r="PRT5750" s="34">
        <v>-0.5</v>
      </c>
      <c r="PRU5750" s="34">
        <v>0</v>
      </c>
      <c r="PRV5750" s="34">
        <v>0.5</v>
      </c>
      <c r="PRW5750" s="34">
        <v>1</v>
      </c>
      <c r="PRX5750" s="34">
        <v>1.5</v>
      </c>
      <c r="PRY5750" s="34">
        <v>2</v>
      </c>
      <c r="PRZ5750" s="34">
        <v>2.5</v>
      </c>
      <c r="PSA5750" s="34">
        <v>3</v>
      </c>
      <c r="PSB5750" s="34">
        <v>3.5</v>
      </c>
      <c r="PSC5750" s="34">
        <v>4</v>
      </c>
      <c r="PSD5750" s="34">
        <v>4.5</v>
      </c>
      <c r="PSE5750" s="34">
        <v>5</v>
      </c>
      <c r="PSG5750" s="913"/>
      <c r="PSH5750" s="31">
        <v>1</v>
      </c>
      <c r="PSI5750" s="34">
        <v>0</v>
      </c>
      <c r="PSJ5750" s="34">
        <v>-1</v>
      </c>
      <c r="PSK5750" s="34">
        <v>-2</v>
      </c>
      <c r="PSL5750" s="34">
        <v>-3</v>
      </c>
      <c r="PSM5750" s="34">
        <v>-4</v>
      </c>
      <c r="PSN5750" s="34">
        <v>-5</v>
      </c>
      <c r="PSO5750" s="908"/>
      <c r="PSP5750" s="909"/>
      <c r="PSQ5750" s="34">
        <v>-5</v>
      </c>
      <c r="PSR5750" s="34">
        <v>-4.5</v>
      </c>
      <c r="PSS5750" s="34">
        <v>-4</v>
      </c>
      <c r="PST5750" s="34">
        <v>-3.5</v>
      </c>
      <c r="PSU5750" s="34">
        <v>-3</v>
      </c>
      <c r="PSV5750" s="34">
        <v>-2.5</v>
      </c>
      <c r="PSW5750" s="34">
        <v>-2</v>
      </c>
      <c r="PSX5750" s="34">
        <v>-1.5</v>
      </c>
      <c r="PSY5750" s="34">
        <v>-1</v>
      </c>
      <c r="PSZ5750" s="34">
        <v>-0.5</v>
      </c>
      <c r="PTA5750" s="34">
        <v>0</v>
      </c>
      <c r="PTB5750" s="34">
        <v>0.5</v>
      </c>
      <c r="PTC5750" s="34">
        <v>1</v>
      </c>
      <c r="PTD5750" s="34">
        <v>1.5</v>
      </c>
      <c r="PTE5750" s="34">
        <v>2</v>
      </c>
      <c r="PTF5750" s="34">
        <v>2.5</v>
      </c>
      <c r="PTG5750" s="34">
        <v>3</v>
      </c>
      <c r="PTH5750" s="34">
        <v>3.5</v>
      </c>
      <c r="PTI5750" s="34">
        <v>4</v>
      </c>
      <c r="PTJ5750" s="34">
        <v>4.5</v>
      </c>
      <c r="PTK5750" s="34">
        <v>5</v>
      </c>
      <c r="PTM5750" s="913"/>
      <c r="PTN5750" s="31">
        <v>1</v>
      </c>
      <c r="PTO5750" s="34">
        <v>0</v>
      </c>
      <c r="PTP5750" s="34">
        <v>-1</v>
      </c>
      <c r="PTQ5750" s="34">
        <v>-2</v>
      </c>
      <c r="PTR5750" s="34">
        <v>-3</v>
      </c>
      <c r="PTS5750" s="34">
        <v>-4</v>
      </c>
      <c r="PTT5750" s="34">
        <v>-5</v>
      </c>
      <c r="PTU5750" s="908"/>
      <c r="PTV5750" s="909"/>
      <c r="PTW5750" s="34">
        <v>-5</v>
      </c>
      <c r="PTX5750" s="34">
        <v>-4.5</v>
      </c>
      <c r="PTY5750" s="34">
        <v>-4</v>
      </c>
      <c r="PTZ5750" s="34">
        <v>-3.5</v>
      </c>
      <c r="PUA5750" s="34">
        <v>-3</v>
      </c>
      <c r="PUB5750" s="34">
        <v>-2.5</v>
      </c>
      <c r="PUC5750" s="34">
        <v>-2</v>
      </c>
      <c r="PUD5750" s="34">
        <v>-1.5</v>
      </c>
      <c r="PUE5750" s="34">
        <v>-1</v>
      </c>
      <c r="PUF5750" s="34">
        <v>-0.5</v>
      </c>
      <c r="PUG5750" s="34">
        <v>0</v>
      </c>
      <c r="PUH5750" s="34">
        <v>0.5</v>
      </c>
      <c r="PUI5750" s="34">
        <v>1</v>
      </c>
      <c r="PUJ5750" s="34">
        <v>1.5</v>
      </c>
      <c r="PUK5750" s="34">
        <v>2</v>
      </c>
      <c r="PUL5750" s="34">
        <v>2.5</v>
      </c>
      <c r="PUM5750" s="34">
        <v>3</v>
      </c>
      <c r="PUN5750" s="34">
        <v>3.5</v>
      </c>
      <c r="PUO5750" s="34">
        <v>4</v>
      </c>
      <c r="PUP5750" s="34">
        <v>4.5</v>
      </c>
      <c r="PUQ5750" s="34">
        <v>5</v>
      </c>
      <c r="PUS5750" s="913"/>
      <c r="PUT5750" s="31">
        <v>1</v>
      </c>
      <c r="PUU5750" s="34">
        <v>0</v>
      </c>
      <c r="PUV5750" s="34">
        <v>-1</v>
      </c>
      <c r="PUW5750" s="34">
        <v>-2</v>
      </c>
      <c r="PUX5750" s="34">
        <v>-3</v>
      </c>
      <c r="PUY5750" s="34">
        <v>-4</v>
      </c>
      <c r="PUZ5750" s="34">
        <v>-5</v>
      </c>
      <c r="PVA5750" s="908"/>
      <c r="PVB5750" s="909"/>
      <c r="PVC5750" s="34">
        <v>-5</v>
      </c>
      <c r="PVD5750" s="34">
        <v>-4.5</v>
      </c>
      <c r="PVE5750" s="34">
        <v>-4</v>
      </c>
      <c r="PVF5750" s="34">
        <v>-3.5</v>
      </c>
      <c r="PVG5750" s="34">
        <v>-3</v>
      </c>
      <c r="PVH5750" s="34">
        <v>-2.5</v>
      </c>
      <c r="PVI5750" s="34">
        <v>-2</v>
      </c>
      <c r="PVJ5750" s="34">
        <v>-1.5</v>
      </c>
      <c r="PVK5750" s="34">
        <v>-1</v>
      </c>
      <c r="PVL5750" s="34">
        <v>-0.5</v>
      </c>
      <c r="PVM5750" s="34">
        <v>0</v>
      </c>
      <c r="PVN5750" s="34">
        <v>0.5</v>
      </c>
      <c r="PVO5750" s="34">
        <v>1</v>
      </c>
      <c r="PVP5750" s="34">
        <v>1.5</v>
      </c>
      <c r="PVQ5750" s="34">
        <v>2</v>
      </c>
      <c r="PVR5750" s="34">
        <v>2.5</v>
      </c>
      <c r="PVS5750" s="34">
        <v>3</v>
      </c>
      <c r="PVT5750" s="34">
        <v>3.5</v>
      </c>
      <c r="PVU5750" s="34">
        <v>4</v>
      </c>
      <c r="PVV5750" s="34">
        <v>4.5</v>
      </c>
      <c r="PVW5750" s="34">
        <v>5</v>
      </c>
      <c r="PVY5750" s="913"/>
      <c r="PVZ5750" s="31">
        <v>1</v>
      </c>
      <c r="PWA5750" s="34">
        <v>0</v>
      </c>
      <c r="PWB5750" s="34">
        <v>-1</v>
      </c>
      <c r="PWC5750" s="34">
        <v>-2</v>
      </c>
      <c r="PWD5750" s="34">
        <v>-3</v>
      </c>
      <c r="PWE5750" s="34">
        <v>-4</v>
      </c>
      <c r="PWF5750" s="34">
        <v>-5</v>
      </c>
      <c r="PWG5750" s="908"/>
      <c r="PWH5750" s="909"/>
      <c r="PWI5750" s="34">
        <v>-5</v>
      </c>
      <c r="PWJ5750" s="34">
        <v>-4.5</v>
      </c>
      <c r="PWK5750" s="34">
        <v>-4</v>
      </c>
      <c r="PWL5750" s="34">
        <v>-3.5</v>
      </c>
      <c r="PWM5750" s="34">
        <v>-3</v>
      </c>
      <c r="PWN5750" s="34">
        <v>-2.5</v>
      </c>
      <c r="PWO5750" s="34">
        <v>-2</v>
      </c>
      <c r="PWP5750" s="34">
        <v>-1.5</v>
      </c>
      <c r="PWQ5750" s="34">
        <v>-1</v>
      </c>
      <c r="PWR5750" s="34">
        <v>-0.5</v>
      </c>
      <c r="PWS5750" s="34">
        <v>0</v>
      </c>
      <c r="PWT5750" s="34">
        <v>0.5</v>
      </c>
      <c r="PWU5750" s="34">
        <v>1</v>
      </c>
      <c r="PWV5750" s="34">
        <v>1.5</v>
      </c>
      <c r="PWW5750" s="34">
        <v>2</v>
      </c>
      <c r="PWX5750" s="34">
        <v>2.5</v>
      </c>
      <c r="PWY5750" s="34">
        <v>3</v>
      </c>
      <c r="PWZ5750" s="34">
        <v>3.5</v>
      </c>
      <c r="PXA5750" s="34">
        <v>4</v>
      </c>
      <c r="PXB5750" s="34">
        <v>4.5</v>
      </c>
      <c r="PXC5750" s="34">
        <v>5</v>
      </c>
      <c r="PXE5750" s="913"/>
      <c r="PXF5750" s="31">
        <v>1</v>
      </c>
      <c r="PXG5750" s="34">
        <v>0</v>
      </c>
      <c r="PXH5750" s="34">
        <v>-1</v>
      </c>
      <c r="PXI5750" s="34">
        <v>-2</v>
      </c>
      <c r="PXJ5750" s="34">
        <v>-3</v>
      </c>
      <c r="PXK5750" s="34">
        <v>-4</v>
      </c>
      <c r="PXL5750" s="34">
        <v>-5</v>
      </c>
      <c r="PXM5750" s="908"/>
      <c r="PXN5750" s="909"/>
      <c r="PXO5750" s="34">
        <v>-5</v>
      </c>
      <c r="PXP5750" s="34">
        <v>-4.5</v>
      </c>
      <c r="PXQ5750" s="34">
        <v>-4</v>
      </c>
      <c r="PXR5750" s="34">
        <v>-3.5</v>
      </c>
      <c r="PXS5750" s="34">
        <v>-3</v>
      </c>
      <c r="PXT5750" s="34">
        <v>-2.5</v>
      </c>
      <c r="PXU5750" s="34">
        <v>-2</v>
      </c>
      <c r="PXV5750" s="34">
        <v>-1.5</v>
      </c>
      <c r="PXW5750" s="34">
        <v>-1</v>
      </c>
      <c r="PXX5750" s="34">
        <v>-0.5</v>
      </c>
      <c r="PXY5750" s="34">
        <v>0</v>
      </c>
      <c r="PXZ5750" s="34">
        <v>0.5</v>
      </c>
      <c r="PYA5750" s="34">
        <v>1</v>
      </c>
      <c r="PYB5750" s="34">
        <v>1.5</v>
      </c>
      <c r="PYC5750" s="34">
        <v>2</v>
      </c>
      <c r="PYD5750" s="34">
        <v>2.5</v>
      </c>
      <c r="PYE5750" s="34">
        <v>3</v>
      </c>
      <c r="PYF5750" s="34">
        <v>3.5</v>
      </c>
      <c r="PYG5750" s="34">
        <v>4</v>
      </c>
      <c r="PYH5750" s="34">
        <v>4.5</v>
      </c>
      <c r="PYI5750" s="34">
        <v>5</v>
      </c>
      <c r="PYK5750" s="913"/>
      <c r="PYL5750" s="31">
        <v>1</v>
      </c>
      <c r="PYM5750" s="34">
        <v>0</v>
      </c>
      <c r="PYN5750" s="34">
        <v>-1</v>
      </c>
      <c r="PYO5750" s="34">
        <v>-2</v>
      </c>
      <c r="PYP5750" s="34">
        <v>-3</v>
      </c>
      <c r="PYQ5750" s="34">
        <v>-4</v>
      </c>
      <c r="PYR5750" s="34">
        <v>-5</v>
      </c>
      <c r="PYS5750" s="908"/>
      <c r="PYT5750" s="909"/>
      <c r="PYU5750" s="34">
        <v>-5</v>
      </c>
      <c r="PYV5750" s="34">
        <v>-4.5</v>
      </c>
      <c r="PYW5750" s="34">
        <v>-4</v>
      </c>
      <c r="PYX5750" s="34">
        <v>-3.5</v>
      </c>
      <c r="PYY5750" s="34">
        <v>-3</v>
      </c>
      <c r="PYZ5750" s="34">
        <v>-2.5</v>
      </c>
      <c r="PZA5750" s="34">
        <v>-2</v>
      </c>
      <c r="PZB5750" s="34">
        <v>-1.5</v>
      </c>
      <c r="PZC5750" s="34">
        <v>-1</v>
      </c>
      <c r="PZD5750" s="34">
        <v>-0.5</v>
      </c>
      <c r="PZE5750" s="34">
        <v>0</v>
      </c>
      <c r="PZF5750" s="34">
        <v>0.5</v>
      </c>
      <c r="PZG5750" s="34">
        <v>1</v>
      </c>
      <c r="PZH5750" s="34">
        <v>1.5</v>
      </c>
      <c r="PZI5750" s="34">
        <v>2</v>
      </c>
      <c r="PZJ5750" s="34">
        <v>2.5</v>
      </c>
      <c r="PZK5750" s="34">
        <v>3</v>
      </c>
      <c r="PZL5750" s="34">
        <v>3.5</v>
      </c>
      <c r="PZM5750" s="34">
        <v>4</v>
      </c>
      <c r="PZN5750" s="34">
        <v>4.5</v>
      </c>
      <c r="PZO5750" s="34">
        <v>5</v>
      </c>
      <c r="PZQ5750" s="913"/>
      <c r="PZR5750" s="31">
        <v>1</v>
      </c>
      <c r="PZS5750" s="34">
        <v>0</v>
      </c>
      <c r="PZT5750" s="34">
        <v>-1</v>
      </c>
      <c r="PZU5750" s="34">
        <v>-2</v>
      </c>
      <c r="PZV5750" s="34">
        <v>-3</v>
      </c>
      <c r="PZW5750" s="34">
        <v>-4</v>
      </c>
      <c r="PZX5750" s="34">
        <v>-5</v>
      </c>
      <c r="PZY5750" s="908"/>
      <c r="PZZ5750" s="909"/>
      <c r="QAA5750" s="34">
        <v>-5</v>
      </c>
      <c r="QAB5750" s="34">
        <v>-4.5</v>
      </c>
      <c r="QAC5750" s="34">
        <v>-4</v>
      </c>
      <c r="QAD5750" s="34">
        <v>-3.5</v>
      </c>
      <c r="QAE5750" s="34">
        <v>-3</v>
      </c>
      <c r="QAF5750" s="34">
        <v>-2.5</v>
      </c>
      <c r="QAG5750" s="34">
        <v>-2</v>
      </c>
      <c r="QAH5750" s="34">
        <v>-1.5</v>
      </c>
      <c r="QAI5750" s="34">
        <v>-1</v>
      </c>
      <c r="QAJ5750" s="34">
        <v>-0.5</v>
      </c>
      <c r="QAK5750" s="34">
        <v>0</v>
      </c>
      <c r="QAL5750" s="34">
        <v>0.5</v>
      </c>
      <c r="QAM5750" s="34">
        <v>1</v>
      </c>
      <c r="QAN5750" s="34">
        <v>1.5</v>
      </c>
      <c r="QAO5750" s="34">
        <v>2</v>
      </c>
      <c r="QAP5750" s="34">
        <v>2.5</v>
      </c>
      <c r="QAQ5750" s="34">
        <v>3</v>
      </c>
      <c r="QAR5750" s="34">
        <v>3.5</v>
      </c>
      <c r="QAS5750" s="34">
        <v>4</v>
      </c>
      <c r="QAT5750" s="34">
        <v>4.5</v>
      </c>
      <c r="QAU5750" s="34">
        <v>5</v>
      </c>
      <c r="QAW5750" s="913"/>
      <c r="QAX5750" s="31">
        <v>1</v>
      </c>
      <c r="QAY5750" s="34">
        <v>0</v>
      </c>
      <c r="QAZ5750" s="34">
        <v>-1</v>
      </c>
      <c r="QBA5750" s="34">
        <v>-2</v>
      </c>
      <c r="QBB5750" s="34">
        <v>-3</v>
      </c>
      <c r="QBC5750" s="34">
        <v>-4</v>
      </c>
      <c r="QBD5750" s="34">
        <v>-5</v>
      </c>
      <c r="QBE5750" s="908"/>
      <c r="QBF5750" s="909"/>
      <c r="QBG5750" s="34">
        <v>-5</v>
      </c>
      <c r="QBH5750" s="34">
        <v>-4.5</v>
      </c>
      <c r="QBI5750" s="34">
        <v>-4</v>
      </c>
      <c r="QBJ5750" s="34">
        <v>-3.5</v>
      </c>
      <c r="QBK5750" s="34">
        <v>-3</v>
      </c>
      <c r="QBL5750" s="34">
        <v>-2.5</v>
      </c>
      <c r="QBM5750" s="34">
        <v>-2</v>
      </c>
      <c r="QBN5750" s="34">
        <v>-1.5</v>
      </c>
      <c r="QBO5750" s="34">
        <v>-1</v>
      </c>
      <c r="QBP5750" s="34">
        <v>-0.5</v>
      </c>
      <c r="QBQ5750" s="34">
        <v>0</v>
      </c>
      <c r="QBR5750" s="34">
        <v>0.5</v>
      </c>
      <c r="QBS5750" s="34">
        <v>1</v>
      </c>
      <c r="QBT5750" s="34">
        <v>1.5</v>
      </c>
      <c r="QBU5750" s="34">
        <v>2</v>
      </c>
      <c r="QBV5750" s="34">
        <v>2.5</v>
      </c>
      <c r="QBW5750" s="34">
        <v>3</v>
      </c>
      <c r="QBX5750" s="34">
        <v>3.5</v>
      </c>
      <c r="QBY5750" s="34">
        <v>4</v>
      </c>
      <c r="QBZ5750" s="34">
        <v>4.5</v>
      </c>
      <c r="QCA5750" s="34">
        <v>5</v>
      </c>
      <c r="QCC5750" s="913"/>
      <c r="QCD5750" s="31">
        <v>1</v>
      </c>
      <c r="QCE5750" s="34">
        <v>0</v>
      </c>
      <c r="QCF5750" s="34">
        <v>-1</v>
      </c>
      <c r="QCG5750" s="34">
        <v>-2</v>
      </c>
      <c r="QCH5750" s="34">
        <v>-3</v>
      </c>
      <c r="QCI5750" s="34">
        <v>-4</v>
      </c>
      <c r="QCJ5750" s="34">
        <v>-5</v>
      </c>
      <c r="QCK5750" s="908"/>
      <c r="QCL5750" s="909"/>
      <c r="QCM5750" s="34">
        <v>-5</v>
      </c>
      <c r="QCN5750" s="34">
        <v>-4.5</v>
      </c>
      <c r="QCO5750" s="34">
        <v>-4</v>
      </c>
      <c r="QCP5750" s="34">
        <v>-3.5</v>
      </c>
      <c r="QCQ5750" s="34">
        <v>-3</v>
      </c>
      <c r="QCR5750" s="34">
        <v>-2.5</v>
      </c>
      <c r="QCS5750" s="34">
        <v>-2</v>
      </c>
      <c r="QCT5750" s="34">
        <v>-1.5</v>
      </c>
      <c r="QCU5750" s="34">
        <v>-1</v>
      </c>
      <c r="QCV5750" s="34">
        <v>-0.5</v>
      </c>
      <c r="QCW5750" s="34">
        <v>0</v>
      </c>
      <c r="QCX5750" s="34">
        <v>0.5</v>
      </c>
      <c r="QCY5750" s="34">
        <v>1</v>
      </c>
      <c r="QCZ5750" s="34">
        <v>1.5</v>
      </c>
      <c r="QDA5750" s="34">
        <v>2</v>
      </c>
      <c r="QDB5750" s="34">
        <v>2.5</v>
      </c>
      <c r="QDC5750" s="34">
        <v>3</v>
      </c>
      <c r="QDD5750" s="34">
        <v>3.5</v>
      </c>
      <c r="QDE5750" s="34">
        <v>4</v>
      </c>
      <c r="QDF5750" s="34">
        <v>4.5</v>
      </c>
      <c r="QDG5750" s="34">
        <v>5</v>
      </c>
      <c r="QDI5750" s="913"/>
      <c r="QDJ5750" s="31">
        <v>1</v>
      </c>
      <c r="QDK5750" s="34">
        <v>0</v>
      </c>
      <c r="QDL5750" s="34">
        <v>-1</v>
      </c>
      <c r="QDM5750" s="34">
        <v>-2</v>
      </c>
      <c r="QDN5750" s="34">
        <v>-3</v>
      </c>
      <c r="QDO5750" s="34">
        <v>-4</v>
      </c>
      <c r="QDP5750" s="34">
        <v>-5</v>
      </c>
      <c r="QDQ5750" s="908"/>
      <c r="QDR5750" s="909"/>
      <c r="QDS5750" s="34">
        <v>-5</v>
      </c>
      <c r="QDT5750" s="34">
        <v>-4.5</v>
      </c>
      <c r="QDU5750" s="34">
        <v>-4</v>
      </c>
      <c r="QDV5750" s="34">
        <v>-3.5</v>
      </c>
      <c r="QDW5750" s="34">
        <v>-3</v>
      </c>
      <c r="QDX5750" s="34">
        <v>-2.5</v>
      </c>
      <c r="QDY5750" s="34">
        <v>-2</v>
      </c>
      <c r="QDZ5750" s="34">
        <v>-1.5</v>
      </c>
      <c r="QEA5750" s="34">
        <v>-1</v>
      </c>
      <c r="QEB5750" s="34">
        <v>-0.5</v>
      </c>
      <c r="QEC5750" s="34">
        <v>0</v>
      </c>
      <c r="QED5750" s="34">
        <v>0.5</v>
      </c>
      <c r="QEE5750" s="34">
        <v>1</v>
      </c>
      <c r="QEF5750" s="34">
        <v>1.5</v>
      </c>
      <c r="QEG5750" s="34">
        <v>2</v>
      </c>
      <c r="QEH5750" s="34">
        <v>2.5</v>
      </c>
      <c r="QEI5750" s="34">
        <v>3</v>
      </c>
      <c r="QEJ5750" s="34">
        <v>3.5</v>
      </c>
      <c r="QEK5750" s="34">
        <v>4</v>
      </c>
      <c r="QEL5750" s="34">
        <v>4.5</v>
      </c>
      <c r="QEM5750" s="34">
        <v>5</v>
      </c>
      <c r="QEO5750" s="913"/>
      <c r="QEP5750" s="31">
        <v>1</v>
      </c>
      <c r="QEQ5750" s="34">
        <v>0</v>
      </c>
      <c r="QER5750" s="34">
        <v>-1</v>
      </c>
      <c r="QES5750" s="34">
        <v>-2</v>
      </c>
      <c r="QET5750" s="34">
        <v>-3</v>
      </c>
      <c r="QEU5750" s="34">
        <v>-4</v>
      </c>
      <c r="QEV5750" s="34">
        <v>-5</v>
      </c>
      <c r="QEW5750" s="908"/>
      <c r="QEX5750" s="909"/>
      <c r="QEY5750" s="34">
        <v>-5</v>
      </c>
      <c r="QEZ5750" s="34">
        <v>-4.5</v>
      </c>
      <c r="QFA5750" s="34">
        <v>-4</v>
      </c>
      <c r="QFB5750" s="34">
        <v>-3.5</v>
      </c>
      <c r="QFC5750" s="34">
        <v>-3</v>
      </c>
      <c r="QFD5750" s="34">
        <v>-2.5</v>
      </c>
      <c r="QFE5750" s="34">
        <v>-2</v>
      </c>
      <c r="QFF5750" s="34">
        <v>-1.5</v>
      </c>
      <c r="QFG5750" s="34">
        <v>-1</v>
      </c>
      <c r="QFH5750" s="34">
        <v>-0.5</v>
      </c>
      <c r="QFI5750" s="34">
        <v>0</v>
      </c>
      <c r="QFJ5750" s="34">
        <v>0.5</v>
      </c>
      <c r="QFK5750" s="34">
        <v>1</v>
      </c>
      <c r="QFL5750" s="34">
        <v>1.5</v>
      </c>
      <c r="QFM5750" s="34">
        <v>2</v>
      </c>
      <c r="QFN5750" s="34">
        <v>2.5</v>
      </c>
      <c r="QFO5750" s="34">
        <v>3</v>
      </c>
      <c r="QFP5750" s="34">
        <v>3.5</v>
      </c>
      <c r="QFQ5750" s="34">
        <v>4</v>
      </c>
      <c r="QFR5750" s="34">
        <v>4.5</v>
      </c>
      <c r="QFS5750" s="34">
        <v>5</v>
      </c>
      <c r="QFU5750" s="913"/>
      <c r="QFV5750" s="31">
        <v>1</v>
      </c>
      <c r="QFW5750" s="34">
        <v>0</v>
      </c>
      <c r="QFX5750" s="34">
        <v>-1</v>
      </c>
      <c r="QFY5750" s="34">
        <v>-2</v>
      </c>
      <c r="QFZ5750" s="34">
        <v>-3</v>
      </c>
      <c r="QGA5750" s="34">
        <v>-4</v>
      </c>
      <c r="QGB5750" s="34">
        <v>-5</v>
      </c>
      <c r="QGC5750" s="908"/>
      <c r="QGD5750" s="909"/>
      <c r="QGE5750" s="34">
        <v>-5</v>
      </c>
      <c r="QGF5750" s="34">
        <v>-4.5</v>
      </c>
      <c r="QGG5750" s="34">
        <v>-4</v>
      </c>
      <c r="QGH5750" s="34">
        <v>-3.5</v>
      </c>
      <c r="QGI5750" s="34">
        <v>-3</v>
      </c>
      <c r="QGJ5750" s="34">
        <v>-2.5</v>
      </c>
      <c r="QGK5750" s="34">
        <v>-2</v>
      </c>
      <c r="QGL5750" s="34">
        <v>-1.5</v>
      </c>
      <c r="QGM5750" s="34">
        <v>-1</v>
      </c>
      <c r="QGN5750" s="34">
        <v>-0.5</v>
      </c>
      <c r="QGO5750" s="34">
        <v>0</v>
      </c>
      <c r="QGP5750" s="34">
        <v>0.5</v>
      </c>
      <c r="QGQ5750" s="34">
        <v>1</v>
      </c>
      <c r="QGR5750" s="34">
        <v>1.5</v>
      </c>
      <c r="QGS5750" s="34">
        <v>2</v>
      </c>
      <c r="QGT5750" s="34">
        <v>2.5</v>
      </c>
      <c r="QGU5750" s="34">
        <v>3</v>
      </c>
      <c r="QGV5750" s="34">
        <v>3.5</v>
      </c>
      <c r="QGW5750" s="34">
        <v>4</v>
      </c>
      <c r="QGX5750" s="34">
        <v>4.5</v>
      </c>
      <c r="QGY5750" s="34">
        <v>5</v>
      </c>
      <c r="QHA5750" s="913"/>
      <c r="QHB5750" s="31">
        <v>1</v>
      </c>
      <c r="QHC5750" s="34">
        <v>0</v>
      </c>
      <c r="QHD5750" s="34">
        <v>-1</v>
      </c>
      <c r="QHE5750" s="34">
        <v>-2</v>
      </c>
      <c r="QHF5750" s="34">
        <v>-3</v>
      </c>
      <c r="QHG5750" s="34">
        <v>-4</v>
      </c>
      <c r="QHH5750" s="34">
        <v>-5</v>
      </c>
      <c r="QHI5750" s="908"/>
      <c r="QHJ5750" s="909"/>
      <c r="QHK5750" s="34">
        <v>-5</v>
      </c>
      <c r="QHL5750" s="34">
        <v>-4.5</v>
      </c>
      <c r="QHM5750" s="34">
        <v>-4</v>
      </c>
      <c r="QHN5750" s="34">
        <v>-3.5</v>
      </c>
      <c r="QHO5750" s="34">
        <v>-3</v>
      </c>
      <c r="QHP5750" s="34">
        <v>-2.5</v>
      </c>
      <c r="QHQ5750" s="34">
        <v>-2</v>
      </c>
      <c r="QHR5750" s="34">
        <v>-1.5</v>
      </c>
      <c r="QHS5750" s="34">
        <v>-1</v>
      </c>
      <c r="QHT5750" s="34">
        <v>-0.5</v>
      </c>
      <c r="QHU5750" s="34">
        <v>0</v>
      </c>
      <c r="QHV5750" s="34">
        <v>0.5</v>
      </c>
      <c r="QHW5750" s="34">
        <v>1</v>
      </c>
      <c r="QHX5750" s="34">
        <v>1.5</v>
      </c>
      <c r="QHY5750" s="34">
        <v>2</v>
      </c>
      <c r="QHZ5750" s="34">
        <v>2.5</v>
      </c>
      <c r="QIA5750" s="34">
        <v>3</v>
      </c>
      <c r="QIB5750" s="34">
        <v>3.5</v>
      </c>
      <c r="QIC5750" s="34">
        <v>4</v>
      </c>
      <c r="QID5750" s="34">
        <v>4.5</v>
      </c>
      <c r="QIE5750" s="34">
        <v>5</v>
      </c>
      <c r="QIG5750" s="913"/>
      <c r="QIH5750" s="31">
        <v>1</v>
      </c>
      <c r="QII5750" s="34">
        <v>0</v>
      </c>
      <c r="QIJ5750" s="34">
        <v>-1</v>
      </c>
      <c r="QIK5750" s="34">
        <v>-2</v>
      </c>
      <c r="QIL5750" s="34">
        <v>-3</v>
      </c>
      <c r="QIM5750" s="34">
        <v>-4</v>
      </c>
      <c r="QIN5750" s="34">
        <v>-5</v>
      </c>
      <c r="QIO5750" s="908"/>
      <c r="QIP5750" s="909"/>
      <c r="QIQ5750" s="34">
        <v>-5</v>
      </c>
      <c r="QIR5750" s="34">
        <v>-4.5</v>
      </c>
      <c r="QIS5750" s="34">
        <v>-4</v>
      </c>
      <c r="QIT5750" s="34">
        <v>-3.5</v>
      </c>
      <c r="QIU5750" s="34">
        <v>-3</v>
      </c>
      <c r="QIV5750" s="34">
        <v>-2.5</v>
      </c>
      <c r="QIW5750" s="34">
        <v>-2</v>
      </c>
      <c r="QIX5750" s="34">
        <v>-1.5</v>
      </c>
      <c r="QIY5750" s="34">
        <v>-1</v>
      </c>
      <c r="QIZ5750" s="34">
        <v>-0.5</v>
      </c>
      <c r="QJA5750" s="34">
        <v>0</v>
      </c>
      <c r="QJB5750" s="34">
        <v>0.5</v>
      </c>
      <c r="QJC5750" s="34">
        <v>1</v>
      </c>
      <c r="QJD5750" s="34">
        <v>1.5</v>
      </c>
      <c r="QJE5750" s="34">
        <v>2</v>
      </c>
      <c r="QJF5750" s="34">
        <v>2.5</v>
      </c>
      <c r="QJG5750" s="34">
        <v>3</v>
      </c>
      <c r="QJH5750" s="34">
        <v>3.5</v>
      </c>
      <c r="QJI5750" s="34">
        <v>4</v>
      </c>
      <c r="QJJ5750" s="34">
        <v>4.5</v>
      </c>
      <c r="QJK5750" s="34">
        <v>5</v>
      </c>
      <c r="QJM5750" s="913"/>
      <c r="QJN5750" s="31">
        <v>1</v>
      </c>
      <c r="QJO5750" s="34">
        <v>0</v>
      </c>
      <c r="QJP5750" s="34">
        <v>-1</v>
      </c>
      <c r="QJQ5750" s="34">
        <v>-2</v>
      </c>
      <c r="QJR5750" s="34">
        <v>-3</v>
      </c>
      <c r="QJS5750" s="34">
        <v>-4</v>
      </c>
      <c r="QJT5750" s="34">
        <v>-5</v>
      </c>
      <c r="QJU5750" s="908"/>
      <c r="QJV5750" s="909"/>
      <c r="QJW5750" s="34">
        <v>-5</v>
      </c>
      <c r="QJX5750" s="34">
        <v>-4.5</v>
      </c>
      <c r="QJY5750" s="34">
        <v>-4</v>
      </c>
      <c r="QJZ5750" s="34">
        <v>-3.5</v>
      </c>
      <c r="QKA5750" s="34">
        <v>-3</v>
      </c>
      <c r="QKB5750" s="34">
        <v>-2.5</v>
      </c>
      <c r="QKC5750" s="34">
        <v>-2</v>
      </c>
      <c r="QKD5750" s="34">
        <v>-1.5</v>
      </c>
      <c r="QKE5750" s="34">
        <v>-1</v>
      </c>
      <c r="QKF5750" s="34">
        <v>-0.5</v>
      </c>
      <c r="QKG5750" s="34">
        <v>0</v>
      </c>
      <c r="QKH5750" s="34">
        <v>0.5</v>
      </c>
      <c r="QKI5750" s="34">
        <v>1</v>
      </c>
      <c r="QKJ5750" s="34">
        <v>1.5</v>
      </c>
      <c r="QKK5750" s="34">
        <v>2</v>
      </c>
      <c r="QKL5750" s="34">
        <v>2.5</v>
      </c>
      <c r="QKM5750" s="34">
        <v>3</v>
      </c>
      <c r="QKN5750" s="34">
        <v>3.5</v>
      </c>
      <c r="QKO5750" s="34">
        <v>4</v>
      </c>
      <c r="QKP5750" s="34">
        <v>4.5</v>
      </c>
      <c r="QKQ5750" s="34">
        <v>5</v>
      </c>
      <c r="QKS5750" s="913"/>
      <c r="QKT5750" s="31">
        <v>1</v>
      </c>
      <c r="QKU5750" s="34">
        <v>0</v>
      </c>
      <c r="QKV5750" s="34">
        <v>-1</v>
      </c>
      <c r="QKW5750" s="34">
        <v>-2</v>
      </c>
      <c r="QKX5750" s="34">
        <v>-3</v>
      </c>
      <c r="QKY5750" s="34">
        <v>-4</v>
      </c>
      <c r="QKZ5750" s="34">
        <v>-5</v>
      </c>
      <c r="QLA5750" s="908"/>
      <c r="QLB5750" s="909"/>
      <c r="QLC5750" s="34">
        <v>-5</v>
      </c>
      <c r="QLD5750" s="34">
        <v>-4.5</v>
      </c>
      <c r="QLE5750" s="34">
        <v>-4</v>
      </c>
      <c r="QLF5750" s="34">
        <v>-3.5</v>
      </c>
      <c r="QLG5750" s="34">
        <v>-3</v>
      </c>
      <c r="QLH5750" s="34">
        <v>-2.5</v>
      </c>
      <c r="QLI5750" s="34">
        <v>-2</v>
      </c>
      <c r="QLJ5750" s="34">
        <v>-1.5</v>
      </c>
      <c r="QLK5750" s="34">
        <v>-1</v>
      </c>
      <c r="QLL5750" s="34">
        <v>-0.5</v>
      </c>
      <c r="QLM5750" s="34">
        <v>0</v>
      </c>
      <c r="QLN5750" s="34">
        <v>0.5</v>
      </c>
      <c r="QLO5750" s="34">
        <v>1</v>
      </c>
      <c r="QLP5750" s="34">
        <v>1.5</v>
      </c>
      <c r="QLQ5750" s="34">
        <v>2</v>
      </c>
      <c r="QLR5750" s="34">
        <v>2.5</v>
      </c>
      <c r="QLS5750" s="34">
        <v>3</v>
      </c>
      <c r="QLT5750" s="34">
        <v>3.5</v>
      </c>
      <c r="QLU5750" s="34">
        <v>4</v>
      </c>
      <c r="QLV5750" s="34">
        <v>4.5</v>
      </c>
      <c r="QLW5750" s="34">
        <v>5</v>
      </c>
      <c r="QLY5750" s="913"/>
      <c r="QLZ5750" s="31">
        <v>1</v>
      </c>
      <c r="QMA5750" s="34">
        <v>0</v>
      </c>
      <c r="QMB5750" s="34">
        <v>-1</v>
      </c>
      <c r="QMC5750" s="34">
        <v>-2</v>
      </c>
      <c r="QMD5750" s="34">
        <v>-3</v>
      </c>
      <c r="QME5750" s="34">
        <v>-4</v>
      </c>
      <c r="QMF5750" s="34">
        <v>-5</v>
      </c>
      <c r="QMG5750" s="908"/>
      <c r="QMH5750" s="909"/>
      <c r="QMI5750" s="34">
        <v>-5</v>
      </c>
      <c r="QMJ5750" s="34">
        <v>-4.5</v>
      </c>
      <c r="QMK5750" s="34">
        <v>-4</v>
      </c>
      <c r="QML5750" s="34">
        <v>-3.5</v>
      </c>
      <c r="QMM5750" s="34">
        <v>-3</v>
      </c>
      <c r="QMN5750" s="34">
        <v>-2.5</v>
      </c>
      <c r="QMO5750" s="34">
        <v>-2</v>
      </c>
      <c r="QMP5750" s="34">
        <v>-1.5</v>
      </c>
      <c r="QMQ5750" s="34">
        <v>-1</v>
      </c>
      <c r="QMR5750" s="34">
        <v>-0.5</v>
      </c>
      <c r="QMS5750" s="34">
        <v>0</v>
      </c>
      <c r="QMT5750" s="34">
        <v>0.5</v>
      </c>
      <c r="QMU5750" s="34">
        <v>1</v>
      </c>
      <c r="QMV5750" s="34">
        <v>1.5</v>
      </c>
      <c r="QMW5750" s="34">
        <v>2</v>
      </c>
      <c r="QMX5750" s="34">
        <v>2.5</v>
      </c>
      <c r="QMY5750" s="34">
        <v>3</v>
      </c>
      <c r="QMZ5750" s="34">
        <v>3.5</v>
      </c>
      <c r="QNA5750" s="34">
        <v>4</v>
      </c>
      <c r="QNB5750" s="34">
        <v>4.5</v>
      </c>
      <c r="QNC5750" s="34">
        <v>5</v>
      </c>
      <c r="QNE5750" s="913"/>
      <c r="QNF5750" s="31">
        <v>1</v>
      </c>
      <c r="QNG5750" s="34">
        <v>0</v>
      </c>
      <c r="QNH5750" s="34">
        <v>-1</v>
      </c>
      <c r="QNI5750" s="34">
        <v>-2</v>
      </c>
      <c r="QNJ5750" s="34">
        <v>-3</v>
      </c>
      <c r="QNK5750" s="34">
        <v>-4</v>
      </c>
      <c r="QNL5750" s="34">
        <v>-5</v>
      </c>
      <c r="QNM5750" s="908"/>
      <c r="QNN5750" s="909"/>
      <c r="QNO5750" s="34">
        <v>-5</v>
      </c>
      <c r="QNP5750" s="34">
        <v>-4.5</v>
      </c>
      <c r="QNQ5750" s="34">
        <v>-4</v>
      </c>
      <c r="QNR5750" s="34">
        <v>-3.5</v>
      </c>
      <c r="QNS5750" s="34">
        <v>-3</v>
      </c>
      <c r="QNT5750" s="34">
        <v>-2.5</v>
      </c>
      <c r="QNU5750" s="34">
        <v>-2</v>
      </c>
      <c r="QNV5750" s="34">
        <v>-1.5</v>
      </c>
      <c r="QNW5750" s="34">
        <v>-1</v>
      </c>
      <c r="QNX5750" s="34">
        <v>-0.5</v>
      </c>
      <c r="QNY5750" s="34">
        <v>0</v>
      </c>
      <c r="QNZ5750" s="34">
        <v>0.5</v>
      </c>
      <c r="QOA5750" s="34">
        <v>1</v>
      </c>
      <c r="QOB5750" s="34">
        <v>1.5</v>
      </c>
      <c r="QOC5750" s="34">
        <v>2</v>
      </c>
      <c r="QOD5750" s="34">
        <v>2.5</v>
      </c>
      <c r="QOE5750" s="34">
        <v>3</v>
      </c>
      <c r="QOF5750" s="34">
        <v>3.5</v>
      </c>
      <c r="QOG5750" s="34">
        <v>4</v>
      </c>
      <c r="QOH5750" s="34">
        <v>4.5</v>
      </c>
      <c r="QOI5750" s="34">
        <v>5</v>
      </c>
      <c r="QOK5750" s="913"/>
      <c r="QOL5750" s="31">
        <v>1</v>
      </c>
      <c r="QOM5750" s="34">
        <v>0</v>
      </c>
      <c r="QON5750" s="34">
        <v>-1</v>
      </c>
      <c r="QOO5750" s="34">
        <v>-2</v>
      </c>
      <c r="QOP5750" s="34">
        <v>-3</v>
      </c>
      <c r="QOQ5750" s="34">
        <v>-4</v>
      </c>
      <c r="QOR5750" s="34">
        <v>-5</v>
      </c>
      <c r="QOS5750" s="908"/>
      <c r="QOT5750" s="909"/>
      <c r="QOU5750" s="34">
        <v>-5</v>
      </c>
      <c r="QOV5750" s="34">
        <v>-4.5</v>
      </c>
      <c r="QOW5750" s="34">
        <v>-4</v>
      </c>
      <c r="QOX5750" s="34">
        <v>-3.5</v>
      </c>
      <c r="QOY5750" s="34">
        <v>-3</v>
      </c>
      <c r="QOZ5750" s="34">
        <v>-2.5</v>
      </c>
      <c r="QPA5750" s="34">
        <v>-2</v>
      </c>
      <c r="QPB5750" s="34">
        <v>-1.5</v>
      </c>
      <c r="QPC5750" s="34">
        <v>-1</v>
      </c>
      <c r="QPD5750" s="34">
        <v>-0.5</v>
      </c>
      <c r="QPE5750" s="34">
        <v>0</v>
      </c>
      <c r="QPF5750" s="34">
        <v>0.5</v>
      </c>
      <c r="QPG5750" s="34">
        <v>1</v>
      </c>
      <c r="QPH5750" s="34">
        <v>1.5</v>
      </c>
      <c r="QPI5750" s="34">
        <v>2</v>
      </c>
      <c r="QPJ5750" s="34">
        <v>2.5</v>
      </c>
      <c r="QPK5750" s="34">
        <v>3</v>
      </c>
      <c r="QPL5750" s="34">
        <v>3.5</v>
      </c>
      <c r="QPM5750" s="34">
        <v>4</v>
      </c>
      <c r="QPN5750" s="34">
        <v>4.5</v>
      </c>
      <c r="QPO5750" s="34">
        <v>5</v>
      </c>
      <c r="QPQ5750" s="913"/>
      <c r="QPR5750" s="31">
        <v>1</v>
      </c>
      <c r="QPS5750" s="34">
        <v>0</v>
      </c>
      <c r="QPT5750" s="34">
        <v>-1</v>
      </c>
      <c r="QPU5750" s="34">
        <v>-2</v>
      </c>
      <c r="QPV5750" s="34">
        <v>-3</v>
      </c>
      <c r="QPW5750" s="34">
        <v>-4</v>
      </c>
      <c r="QPX5750" s="34">
        <v>-5</v>
      </c>
      <c r="QPY5750" s="908"/>
      <c r="QPZ5750" s="909"/>
      <c r="QQA5750" s="34">
        <v>-5</v>
      </c>
      <c r="QQB5750" s="34">
        <v>-4.5</v>
      </c>
      <c r="QQC5750" s="34">
        <v>-4</v>
      </c>
      <c r="QQD5750" s="34">
        <v>-3.5</v>
      </c>
      <c r="QQE5750" s="34">
        <v>-3</v>
      </c>
      <c r="QQF5750" s="34">
        <v>-2.5</v>
      </c>
      <c r="QQG5750" s="34">
        <v>-2</v>
      </c>
      <c r="QQH5750" s="34">
        <v>-1.5</v>
      </c>
      <c r="QQI5750" s="34">
        <v>-1</v>
      </c>
      <c r="QQJ5750" s="34">
        <v>-0.5</v>
      </c>
      <c r="QQK5750" s="34">
        <v>0</v>
      </c>
      <c r="QQL5750" s="34">
        <v>0.5</v>
      </c>
      <c r="QQM5750" s="34">
        <v>1</v>
      </c>
      <c r="QQN5750" s="34">
        <v>1.5</v>
      </c>
      <c r="QQO5750" s="34">
        <v>2</v>
      </c>
      <c r="QQP5750" s="34">
        <v>2.5</v>
      </c>
      <c r="QQQ5750" s="34">
        <v>3</v>
      </c>
      <c r="QQR5750" s="34">
        <v>3.5</v>
      </c>
      <c r="QQS5750" s="34">
        <v>4</v>
      </c>
      <c r="QQT5750" s="34">
        <v>4.5</v>
      </c>
      <c r="QQU5750" s="34">
        <v>5</v>
      </c>
      <c r="QQW5750" s="913"/>
      <c r="QQX5750" s="31">
        <v>1</v>
      </c>
      <c r="QQY5750" s="34">
        <v>0</v>
      </c>
      <c r="QQZ5750" s="34">
        <v>-1</v>
      </c>
      <c r="QRA5750" s="34">
        <v>-2</v>
      </c>
      <c r="QRB5750" s="34">
        <v>-3</v>
      </c>
      <c r="QRC5750" s="34">
        <v>-4</v>
      </c>
      <c r="QRD5750" s="34">
        <v>-5</v>
      </c>
      <c r="QRE5750" s="908"/>
      <c r="QRF5750" s="909"/>
      <c r="QRG5750" s="34">
        <v>-5</v>
      </c>
      <c r="QRH5750" s="34">
        <v>-4.5</v>
      </c>
      <c r="QRI5750" s="34">
        <v>-4</v>
      </c>
      <c r="QRJ5750" s="34">
        <v>-3.5</v>
      </c>
      <c r="QRK5750" s="34">
        <v>-3</v>
      </c>
      <c r="QRL5750" s="34">
        <v>-2.5</v>
      </c>
      <c r="QRM5750" s="34">
        <v>-2</v>
      </c>
      <c r="QRN5750" s="34">
        <v>-1.5</v>
      </c>
      <c r="QRO5750" s="34">
        <v>-1</v>
      </c>
      <c r="QRP5750" s="34">
        <v>-0.5</v>
      </c>
      <c r="QRQ5750" s="34">
        <v>0</v>
      </c>
      <c r="QRR5750" s="34">
        <v>0.5</v>
      </c>
      <c r="QRS5750" s="34">
        <v>1</v>
      </c>
      <c r="QRT5750" s="34">
        <v>1.5</v>
      </c>
      <c r="QRU5750" s="34">
        <v>2</v>
      </c>
      <c r="QRV5750" s="34">
        <v>2.5</v>
      </c>
      <c r="QRW5750" s="34">
        <v>3</v>
      </c>
      <c r="QRX5750" s="34">
        <v>3.5</v>
      </c>
      <c r="QRY5750" s="34">
        <v>4</v>
      </c>
      <c r="QRZ5750" s="34">
        <v>4.5</v>
      </c>
      <c r="QSA5750" s="34">
        <v>5</v>
      </c>
      <c r="QSC5750" s="913"/>
      <c r="QSD5750" s="31">
        <v>1</v>
      </c>
      <c r="QSE5750" s="34">
        <v>0</v>
      </c>
      <c r="QSF5750" s="34">
        <v>-1</v>
      </c>
      <c r="QSG5750" s="34">
        <v>-2</v>
      </c>
      <c r="QSH5750" s="34">
        <v>-3</v>
      </c>
      <c r="QSI5750" s="34">
        <v>-4</v>
      </c>
      <c r="QSJ5750" s="34">
        <v>-5</v>
      </c>
      <c r="QSK5750" s="908"/>
      <c r="QSL5750" s="909"/>
      <c r="QSM5750" s="34">
        <v>-5</v>
      </c>
      <c r="QSN5750" s="34">
        <v>-4.5</v>
      </c>
      <c r="QSO5750" s="34">
        <v>-4</v>
      </c>
      <c r="QSP5750" s="34">
        <v>-3.5</v>
      </c>
      <c r="QSQ5750" s="34">
        <v>-3</v>
      </c>
      <c r="QSR5750" s="34">
        <v>-2.5</v>
      </c>
      <c r="QSS5750" s="34">
        <v>-2</v>
      </c>
      <c r="QST5750" s="34">
        <v>-1.5</v>
      </c>
      <c r="QSU5750" s="34">
        <v>-1</v>
      </c>
      <c r="QSV5750" s="34">
        <v>-0.5</v>
      </c>
      <c r="QSW5750" s="34">
        <v>0</v>
      </c>
      <c r="QSX5750" s="34">
        <v>0.5</v>
      </c>
      <c r="QSY5750" s="34">
        <v>1</v>
      </c>
      <c r="QSZ5750" s="34">
        <v>1.5</v>
      </c>
      <c r="QTA5750" s="34">
        <v>2</v>
      </c>
      <c r="QTB5750" s="34">
        <v>2.5</v>
      </c>
      <c r="QTC5750" s="34">
        <v>3</v>
      </c>
      <c r="QTD5750" s="34">
        <v>3.5</v>
      </c>
      <c r="QTE5750" s="34">
        <v>4</v>
      </c>
      <c r="QTF5750" s="34">
        <v>4.5</v>
      </c>
      <c r="QTG5750" s="34">
        <v>5</v>
      </c>
      <c r="QTI5750" s="913"/>
      <c r="QTJ5750" s="31">
        <v>1</v>
      </c>
      <c r="QTK5750" s="34">
        <v>0</v>
      </c>
      <c r="QTL5750" s="34">
        <v>-1</v>
      </c>
      <c r="QTM5750" s="34">
        <v>-2</v>
      </c>
      <c r="QTN5750" s="34">
        <v>-3</v>
      </c>
      <c r="QTO5750" s="34">
        <v>-4</v>
      </c>
      <c r="QTP5750" s="34">
        <v>-5</v>
      </c>
      <c r="QTQ5750" s="908"/>
      <c r="QTR5750" s="909"/>
      <c r="QTS5750" s="34">
        <v>-5</v>
      </c>
      <c r="QTT5750" s="34">
        <v>-4.5</v>
      </c>
      <c r="QTU5750" s="34">
        <v>-4</v>
      </c>
      <c r="QTV5750" s="34">
        <v>-3.5</v>
      </c>
      <c r="QTW5750" s="34">
        <v>-3</v>
      </c>
      <c r="QTX5750" s="34">
        <v>-2.5</v>
      </c>
      <c r="QTY5750" s="34">
        <v>-2</v>
      </c>
      <c r="QTZ5750" s="34">
        <v>-1.5</v>
      </c>
      <c r="QUA5750" s="34">
        <v>-1</v>
      </c>
      <c r="QUB5750" s="34">
        <v>-0.5</v>
      </c>
      <c r="QUC5750" s="34">
        <v>0</v>
      </c>
      <c r="QUD5750" s="34">
        <v>0.5</v>
      </c>
      <c r="QUE5750" s="34">
        <v>1</v>
      </c>
      <c r="QUF5750" s="34">
        <v>1.5</v>
      </c>
      <c r="QUG5750" s="34">
        <v>2</v>
      </c>
      <c r="QUH5750" s="34">
        <v>2.5</v>
      </c>
      <c r="QUI5750" s="34">
        <v>3</v>
      </c>
      <c r="QUJ5750" s="34">
        <v>3.5</v>
      </c>
      <c r="QUK5750" s="34">
        <v>4</v>
      </c>
      <c r="QUL5750" s="34">
        <v>4.5</v>
      </c>
      <c r="QUM5750" s="34">
        <v>5</v>
      </c>
      <c r="QUO5750" s="913"/>
      <c r="QUP5750" s="31">
        <v>1</v>
      </c>
      <c r="QUQ5750" s="34">
        <v>0</v>
      </c>
      <c r="QUR5750" s="34">
        <v>-1</v>
      </c>
      <c r="QUS5750" s="34">
        <v>-2</v>
      </c>
      <c r="QUT5750" s="34">
        <v>-3</v>
      </c>
      <c r="QUU5750" s="34">
        <v>-4</v>
      </c>
      <c r="QUV5750" s="34">
        <v>-5</v>
      </c>
      <c r="QUW5750" s="908"/>
      <c r="QUX5750" s="909"/>
      <c r="QUY5750" s="34">
        <v>-5</v>
      </c>
      <c r="QUZ5750" s="34">
        <v>-4.5</v>
      </c>
      <c r="QVA5750" s="34">
        <v>-4</v>
      </c>
      <c r="QVB5750" s="34">
        <v>-3.5</v>
      </c>
      <c r="QVC5750" s="34">
        <v>-3</v>
      </c>
      <c r="QVD5750" s="34">
        <v>-2.5</v>
      </c>
      <c r="QVE5750" s="34">
        <v>-2</v>
      </c>
      <c r="QVF5750" s="34">
        <v>-1.5</v>
      </c>
      <c r="QVG5750" s="34">
        <v>-1</v>
      </c>
      <c r="QVH5750" s="34">
        <v>-0.5</v>
      </c>
      <c r="QVI5750" s="34">
        <v>0</v>
      </c>
      <c r="QVJ5750" s="34">
        <v>0.5</v>
      </c>
      <c r="QVK5750" s="34">
        <v>1</v>
      </c>
      <c r="QVL5750" s="34">
        <v>1.5</v>
      </c>
      <c r="QVM5750" s="34">
        <v>2</v>
      </c>
      <c r="QVN5750" s="34">
        <v>2.5</v>
      </c>
      <c r="QVO5750" s="34">
        <v>3</v>
      </c>
      <c r="QVP5750" s="34">
        <v>3.5</v>
      </c>
      <c r="QVQ5750" s="34">
        <v>4</v>
      </c>
      <c r="QVR5750" s="34">
        <v>4.5</v>
      </c>
      <c r="QVS5750" s="34">
        <v>5</v>
      </c>
      <c r="QVU5750" s="913"/>
      <c r="QVV5750" s="31">
        <v>1</v>
      </c>
      <c r="QVW5750" s="34">
        <v>0</v>
      </c>
      <c r="QVX5750" s="34">
        <v>-1</v>
      </c>
      <c r="QVY5750" s="34">
        <v>-2</v>
      </c>
      <c r="QVZ5750" s="34">
        <v>-3</v>
      </c>
      <c r="QWA5750" s="34">
        <v>-4</v>
      </c>
      <c r="QWB5750" s="34">
        <v>-5</v>
      </c>
      <c r="QWC5750" s="908"/>
      <c r="QWD5750" s="909"/>
      <c r="QWE5750" s="34">
        <v>-5</v>
      </c>
      <c r="QWF5750" s="34">
        <v>-4.5</v>
      </c>
      <c r="QWG5750" s="34">
        <v>-4</v>
      </c>
      <c r="QWH5750" s="34">
        <v>-3.5</v>
      </c>
      <c r="QWI5750" s="34">
        <v>-3</v>
      </c>
      <c r="QWJ5750" s="34">
        <v>-2.5</v>
      </c>
      <c r="QWK5750" s="34">
        <v>-2</v>
      </c>
      <c r="QWL5750" s="34">
        <v>-1.5</v>
      </c>
      <c r="QWM5750" s="34">
        <v>-1</v>
      </c>
      <c r="QWN5750" s="34">
        <v>-0.5</v>
      </c>
      <c r="QWO5750" s="34">
        <v>0</v>
      </c>
      <c r="QWP5750" s="34">
        <v>0.5</v>
      </c>
      <c r="QWQ5750" s="34">
        <v>1</v>
      </c>
      <c r="QWR5750" s="34">
        <v>1.5</v>
      </c>
      <c r="QWS5750" s="34">
        <v>2</v>
      </c>
      <c r="QWT5750" s="34">
        <v>2.5</v>
      </c>
      <c r="QWU5750" s="34">
        <v>3</v>
      </c>
      <c r="QWV5750" s="34">
        <v>3.5</v>
      </c>
      <c r="QWW5750" s="34">
        <v>4</v>
      </c>
      <c r="QWX5750" s="34">
        <v>4.5</v>
      </c>
      <c r="QWY5750" s="34">
        <v>5</v>
      </c>
      <c r="QXA5750" s="913"/>
      <c r="QXB5750" s="31">
        <v>1</v>
      </c>
      <c r="QXC5750" s="34">
        <v>0</v>
      </c>
      <c r="QXD5750" s="34">
        <v>-1</v>
      </c>
      <c r="QXE5750" s="34">
        <v>-2</v>
      </c>
      <c r="QXF5750" s="34">
        <v>-3</v>
      </c>
      <c r="QXG5750" s="34">
        <v>-4</v>
      </c>
      <c r="QXH5750" s="34">
        <v>-5</v>
      </c>
      <c r="QXI5750" s="908"/>
      <c r="QXJ5750" s="909"/>
      <c r="QXK5750" s="34">
        <v>-5</v>
      </c>
      <c r="QXL5750" s="34">
        <v>-4.5</v>
      </c>
      <c r="QXM5750" s="34">
        <v>-4</v>
      </c>
      <c r="QXN5750" s="34">
        <v>-3.5</v>
      </c>
      <c r="QXO5750" s="34">
        <v>-3</v>
      </c>
      <c r="QXP5750" s="34">
        <v>-2.5</v>
      </c>
      <c r="QXQ5750" s="34">
        <v>-2</v>
      </c>
      <c r="QXR5750" s="34">
        <v>-1.5</v>
      </c>
      <c r="QXS5750" s="34">
        <v>-1</v>
      </c>
      <c r="QXT5750" s="34">
        <v>-0.5</v>
      </c>
      <c r="QXU5750" s="34">
        <v>0</v>
      </c>
      <c r="QXV5750" s="34">
        <v>0.5</v>
      </c>
      <c r="QXW5750" s="34">
        <v>1</v>
      </c>
      <c r="QXX5750" s="34">
        <v>1.5</v>
      </c>
      <c r="QXY5750" s="34">
        <v>2</v>
      </c>
      <c r="QXZ5750" s="34">
        <v>2.5</v>
      </c>
      <c r="QYA5750" s="34">
        <v>3</v>
      </c>
      <c r="QYB5750" s="34">
        <v>3.5</v>
      </c>
      <c r="QYC5750" s="34">
        <v>4</v>
      </c>
      <c r="QYD5750" s="34">
        <v>4.5</v>
      </c>
      <c r="QYE5750" s="34">
        <v>5</v>
      </c>
      <c r="QYG5750" s="913"/>
      <c r="QYH5750" s="31">
        <v>1</v>
      </c>
      <c r="QYI5750" s="34">
        <v>0</v>
      </c>
      <c r="QYJ5750" s="34">
        <v>-1</v>
      </c>
      <c r="QYK5750" s="34">
        <v>-2</v>
      </c>
      <c r="QYL5750" s="34">
        <v>-3</v>
      </c>
      <c r="QYM5750" s="34">
        <v>-4</v>
      </c>
      <c r="QYN5750" s="34">
        <v>-5</v>
      </c>
      <c r="QYO5750" s="908"/>
      <c r="QYP5750" s="909"/>
      <c r="QYQ5750" s="34">
        <v>-5</v>
      </c>
      <c r="QYR5750" s="34">
        <v>-4.5</v>
      </c>
      <c r="QYS5750" s="34">
        <v>-4</v>
      </c>
      <c r="QYT5750" s="34">
        <v>-3.5</v>
      </c>
      <c r="QYU5750" s="34">
        <v>-3</v>
      </c>
      <c r="QYV5750" s="34">
        <v>-2.5</v>
      </c>
      <c r="QYW5750" s="34">
        <v>-2</v>
      </c>
      <c r="QYX5750" s="34">
        <v>-1.5</v>
      </c>
      <c r="QYY5750" s="34">
        <v>-1</v>
      </c>
      <c r="QYZ5750" s="34">
        <v>-0.5</v>
      </c>
      <c r="QZA5750" s="34">
        <v>0</v>
      </c>
      <c r="QZB5750" s="34">
        <v>0.5</v>
      </c>
      <c r="QZC5750" s="34">
        <v>1</v>
      </c>
      <c r="QZD5750" s="34">
        <v>1.5</v>
      </c>
      <c r="QZE5750" s="34">
        <v>2</v>
      </c>
      <c r="QZF5750" s="34">
        <v>2.5</v>
      </c>
      <c r="QZG5750" s="34">
        <v>3</v>
      </c>
      <c r="QZH5750" s="34">
        <v>3.5</v>
      </c>
      <c r="QZI5750" s="34">
        <v>4</v>
      </c>
      <c r="QZJ5750" s="34">
        <v>4.5</v>
      </c>
      <c r="QZK5750" s="34">
        <v>5</v>
      </c>
      <c r="QZM5750" s="913"/>
      <c r="QZN5750" s="31">
        <v>1</v>
      </c>
      <c r="QZO5750" s="34">
        <v>0</v>
      </c>
      <c r="QZP5750" s="34">
        <v>-1</v>
      </c>
      <c r="QZQ5750" s="34">
        <v>-2</v>
      </c>
      <c r="QZR5750" s="34">
        <v>-3</v>
      </c>
      <c r="QZS5750" s="34">
        <v>-4</v>
      </c>
      <c r="QZT5750" s="34">
        <v>-5</v>
      </c>
      <c r="QZU5750" s="908"/>
      <c r="QZV5750" s="909"/>
      <c r="QZW5750" s="34">
        <v>-5</v>
      </c>
      <c r="QZX5750" s="34">
        <v>-4.5</v>
      </c>
      <c r="QZY5750" s="34">
        <v>-4</v>
      </c>
      <c r="QZZ5750" s="34">
        <v>-3.5</v>
      </c>
      <c r="RAA5750" s="34">
        <v>-3</v>
      </c>
      <c r="RAB5750" s="34">
        <v>-2.5</v>
      </c>
      <c r="RAC5750" s="34">
        <v>-2</v>
      </c>
      <c r="RAD5750" s="34">
        <v>-1.5</v>
      </c>
      <c r="RAE5750" s="34">
        <v>-1</v>
      </c>
      <c r="RAF5750" s="34">
        <v>-0.5</v>
      </c>
      <c r="RAG5750" s="34">
        <v>0</v>
      </c>
      <c r="RAH5750" s="34">
        <v>0.5</v>
      </c>
      <c r="RAI5750" s="34">
        <v>1</v>
      </c>
      <c r="RAJ5750" s="34">
        <v>1.5</v>
      </c>
      <c r="RAK5750" s="34">
        <v>2</v>
      </c>
      <c r="RAL5750" s="34">
        <v>2.5</v>
      </c>
      <c r="RAM5750" s="34">
        <v>3</v>
      </c>
      <c r="RAN5750" s="34">
        <v>3.5</v>
      </c>
      <c r="RAO5750" s="34">
        <v>4</v>
      </c>
      <c r="RAP5750" s="34">
        <v>4.5</v>
      </c>
      <c r="RAQ5750" s="34">
        <v>5</v>
      </c>
      <c r="RAS5750" s="913"/>
      <c r="RAT5750" s="31">
        <v>1</v>
      </c>
      <c r="RAU5750" s="34">
        <v>0</v>
      </c>
      <c r="RAV5750" s="34">
        <v>-1</v>
      </c>
      <c r="RAW5750" s="34">
        <v>-2</v>
      </c>
      <c r="RAX5750" s="34">
        <v>-3</v>
      </c>
      <c r="RAY5750" s="34">
        <v>-4</v>
      </c>
      <c r="RAZ5750" s="34">
        <v>-5</v>
      </c>
      <c r="RBA5750" s="908"/>
      <c r="RBB5750" s="909"/>
      <c r="RBC5750" s="34">
        <v>-5</v>
      </c>
      <c r="RBD5750" s="34">
        <v>-4.5</v>
      </c>
      <c r="RBE5750" s="34">
        <v>-4</v>
      </c>
      <c r="RBF5750" s="34">
        <v>-3.5</v>
      </c>
      <c r="RBG5750" s="34">
        <v>-3</v>
      </c>
      <c r="RBH5750" s="34">
        <v>-2.5</v>
      </c>
      <c r="RBI5750" s="34">
        <v>-2</v>
      </c>
      <c r="RBJ5750" s="34">
        <v>-1.5</v>
      </c>
      <c r="RBK5750" s="34">
        <v>-1</v>
      </c>
      <c r="RBL5750" s="34">
        <v>-0.5</v>
      </c>
      <c r="RBM5750" s="34">
        <v>0</v>
      </c>
      <c r="RBN5750" s="34">
        <v>0.5</v>
      </c>
      <c r="RBO5750" s="34">
        <v>1</v>
      </c>
      <c r="RBP5750" s="34">
        <v>1.5</v>
      </c>
      <c r="RBQ5750" s="34">
        <v>2</v>
      </c>
      <c r="RBR5750" s="34">
        <v>2.5</v>
      </c>
      <c r="RBS5750" s="34">
        <v>3</v>
      </c>
      <c r="RBT5750" s="34">
        <v>3.5</v>
      </c>
      <c r="RBU5750" s="34">
        <v>4</v>
      </c>
      <c r="RBV5750" s="34">
        <v>4.5</v>
      </c>
      <c r="RBW5750" s="34">
        <v>5</v>
      </c>
      <c r="RBY5750" s="913"/>
      <c r="RBZ5750" s="31">
        <v>1</v>
      </c>
      <c r="RCA5750" s="34">
        <v>0</v>
      </c>
      <c r="RCB5750" s="34">
        <v>-1</v>
      </c>
      <c r="RCC5750" s="34">
        <v>-2</v>
      </c>
      <c r="RCD5750" s="34">
        <v>-3</v>
      </c>
      <c r="RCE5750" s="34">
        <v>-4</v>
      </c>
      <c r="RCF5750" s="34">
        <v>-5</v>
      </c>
      <c r="RCG5750" s="908"/>
      <c r="RCH5750" s="909"/>
      <c r="RCI5750" s="34">
        <v>-5</v>
      </c>
      <c r="RCJ5750" s="34">
        <v>-4.5</v>
      </c>
      <c r="RCK5750" s="34">
        <v>-4</v>
      </c>
      <c r="RCL5750" s="34">
        <v>-3.5</v>
      </c>
      <c r="RCM5750" s="34">
        <v>-3</v>
      </c>
      <c r="RCN5750" s="34">
        <v>-2.5</v>
      </c>
      <c r="RCO5750" s="34">
        <v>-2</v>
      </c>
      <c r="RCP5750" s="34">
        <v>-1.5</v>
      </c>
      <c r="RCQ5750" s="34">
        <v>-1</v>
      </c>
      <c r="RCR5750" s="34">
        <v>-0.5</v>
      </c>
      <c r="RCS5750" s="34">
        <v>0</v>
      </c>
      <c r="RCT5750" s="34">
        <v>0.5</v>
      </c>
      <c r="RCU5750" s="34">
        <v>1</v>
      </c>
      <c r="RCV5750" s="34">
        <v>1.5</v>
      </c>
      <c r="RCW5750" s="34">
        <v>2</v>
      </c>
      <c r="RCX5750" s="34">
        <v>2.5</v>
      </c>
      <c r="RCY5750" s="34">
        <v>3</v>
      </c>
      <c r="RCZ5750" s="34">
        <v>3.5</v>
      </c>
      <c r="RDA5750" s="34">
        <v>4</v>
      </c>
      <c r="RDB5750" s="34">
        <v>4.5</v>
      </c>
      <c r="RDC5750" s="34">
        <v>5</v>
      </c>
      <c r="RDE5750" s="913"/>
      <c r="RDF5750" s="31">
        <v>1</v>
      </c>
      <c r="RDG5750" s="34">
        <v>0</v>
      </c>
      <c r="RDH5750" s="34">
        <v>-1</v>
      </c>
      <c r="RDI5750" s="34">
        <v>-2</v>
      </c>
      <c r="RDJ5750" s="34">
        <v>-3</v>
      </c>
      <c r="RDK5750" s="34">
        <v>-4</v>
      </c>
      <c r="RDL5750" s="34">
        <v>-5</v>
      </c>
      <c r="RDM5750" s="908"/>
      <c r="RDN5750" s="909"/>
      <c r="RDO5750" s="34">
        <v>-5</v>
      </c>
      <c r="RDP5750" s="34">
        <v>-4.5</v>
      </c>
      <c r="RDQ5750" s="34">
        <v>-4</v>
      </c>
      <c r="RDR5750" s="34">
        <v>-3.5</v>
      </c>
      <c r="RDS5750" s="34">
        <v>-3</v>
      </c>
      <c r="RDT5750" s="34">
        <v>-2.5</v>
      </c>
      <c r="RDU5750" s="34">
        <v>-2</v>
      </c>
      <c r="RDV5750" s="34">
        <v>-1.5</v>
      </c>
      <c r="RDW5750" s="34">
        <v>-1</v>
      </c>
      <c r="RDX5750" s="34">
        <v>-0.5</v>
      </c>
      <c r="RDY5750" s="34">
        <v>0</v>
      </c>
      <c r="RDZ5750" s="34">
        <v>0.5</v>
      </c>
      <c r="REA5750" s="34">
        <v>1</v>
      </c>
      <c r="REB5750" s="34">
        <v>1.5</v>
      </c>
      <c r="REC5750" s="34">
        <v>2</v>
      </c>
      <c r="RED5750" s="34">
        <v>2.5</v>
      </c>
      <c r="REE5750" s="34">
        <v>3</v>
      </c>
      <c r="REF5750" s="34">
        <v>3.5</v>
      </c>
      <c r="REG5750" s="34">
        <v>4</v>
      </c>
      <c r="REH5750" s="34">
        <v>4.5</v>
      </c>
      <c r="REI5750" s="34">
        <v>5</v>
      </c>
      <c r="REK5750" s="913"/>
      <c r="REL5750" s="31">
        <v>1</v>
      </c>
      <c r="REM5750" s="34">
        <v>0</v>
      </c>
      <c r="REN5750" s="34">
        <v>-1</v>
      </c>
      <c r="REO5750" s="34">
        <v>-2</v>
      </c>
      <c r="REP5750" s="34">
        <v>-3</v>
      </c>
      <c r="REQ5750" s="34">
        <v>-4</v>
      </c>
      <c r="RER5750" s="34">
        <v>-5</v>
      </c>
      <c r="RES5750" s="908"/>
      <c r="RET5750" s="909"/>
      <c r="REU5750" s="34">
        <v>-5</v>
      </c>
      <c r="REV5750" s="34">
        <v>-4.5</v>
      </c>
      <c r="REW5750" s="34">
        <v>-4</v>
      </c>
      <c r="REX5750" s="34">
        <v>-3.5</v>
      </c>
      <c r="REY5750" s="34">
        <v>-3</v>
      </c>
      <c r="REZ5750" s="34">
        <v>-2.5</v>
      </c>
      <c r="RFA5750" s="34">
        <v>-2</v>
      </c>
      <c r="RFB5750" s="34">
        <v>-1.5</v>
      </c>
      <c r="RFC5750" s="34">
        <v>-1</v>
      </c>
      <c r="RFD5750" s="34">
        <v>-0.5</v>
      </c>
      <c r="RFE5750" s="34">
        <v>0</v>
      </c>
      <c r="RFF5750" s="34">
        <v>0.5</v>
      </c>
      <c r="RFG5750" s="34">
        <v>1</v>
      </c>
      <c r="RFH5750" s="34">
        <v>1.5</v>
      </c>
      <c r="RFI5750" s="34">
        <v>2</v>
      </c>
      <c r="RFJ5750" s="34">
        <v>2.5</v>
      </c>
      <c r="RFK5750" s="34">
        <v>3</v>
      </c>
      <c r="RFL5750" s="34">
        <v>3.5</v>
      </c>
      <c r="RFM5750" s="34">
        <v>4</v>
      </c>
      <c r="RFN5750" s="34">
        <v>4.5</v>
      </c>
      <c r="RFO5750" s="34">
        <v>5</v>
      </c>
      <c r="RFQ5750" s="913"/>
      <c r="RFR5750" s="31">
        <v>1</v>
      </c>
      <c r="RFS5750" s="34">
        <v>0</v>
      </c>
      <c r="RFT5750" s="34">
        <v>-1</v>
      </c>
      <c r="RFU5750" s="34">
        <v>-2</v>
      </c>
      <c r="RFV5750" s="34">
        <v>-3</v>
      </c>
      <c r="RFW5750" s="34">
        <v>-4</v>
      </c>
      <c r="RFX5750" s="34">
        <v>-5</v>
      </c>
      <c r="RFY5750" s="908"/>
      <c r="RFZ5750" s="909"/>
      <c r="RGA5750" s="34">
        <v>-5</v>
      </c>
      <c r="RGB5750" s="34">
        <v>-4.5</v>
      </c>
      <c r="RGC5750" s="34">
        <v>-4</v>
      </c>
      <c r="RGD5750" s="34">
        <v>-3.5</v>
      </c>
      <c r="RGE5750" s="34">
        <v>-3</v>
      </c>
      <c r="RGF5750" s="34">
        <v>-2.5</v>
      </c>
      <c r="RGG5750" s="34">
        <v>-2</v>
      </c>
      <c r="RGH5750" s="34">
        <v>-1.5</v>
      </c>
      <c r="RGI5750" s="34">
        <v>-1</v>
      </c>
      <c r="RGJ5750" s="34">
        <v>-0.5</v>
      </c>
      <c r="RGK5750" s="34">
        <v>0</v>
      </c>
      <c r="RGL5750" s="34">
        <v>0.5</v>
      </c>
      <c r="RGM5750" s="34">
        <v>1</v>
      </c>
      <c r="RGN5750" s="34">
        <v>1.5</v>
      </c>
      <c r="RGO5750" s="34">
        <v>2</v>
      </c>
      <c r="RGP5750" s="34">
        <v>2.5</v>
      </c>
      <c r="RGQ5750" s="34">
        <v>3</v>
      </c>
      <c r="RGR5750" s="34">
        <v>3.5</v>
      </c>
      <c r="RGS5750" s="34">
        <v>4</v>
      </c>
      <c r="RGT5750" s="34">
        <v>4.5</v>
      </c>
      <c r="RGU5750" s="34">
        <v>5</v>
      </c>
      <c r="RGW5750" s="913"/>
      <c r="RGX5750" s="31">
        <v>1</v>
      </c>
      <c r="RGY5750" s="34">
        <v>0</v>
      </c>
      <c r="RGZ5750" s="34">
        <v>-1</v>
      </c>
      <c r="RHA5750" s="34">
        <v>-2</v>
      </c>
      <c r="RHB5750" s="34">
        <v>-3</v>
      </c>
      <c r="RHC5750" s="34">
        <v>-4</v>
      </c>
      <c r="RHD5750" s="34">
        <v>-5</v>
      </c>
      <c r="RHE5750" s="908"/>
      <c r="RHF5750" s="909"/>
      <c r="RHG5750" s="34">
        <v>-5</v>
      </c>
      <c r="RHH5750" s="34">
        <v>-4.5</v>
      </c>
      <c r="RHI5750" s="34">
        <v>-4</v>
      </c>
      <c r="RHJ5750" s="34">
        <v>-3.5</v>
      </c>
      <c r="RHK5750" s="34">
        <v>-3</v>
      </c>
      <c r="RHL5750" s="34">
        <v>-2.5</v>
      </c>
      <c r="RHM5750" s="34">
        <v>-2</v>
      </c>
      <c r="RHN5750" s="34">
        <v>-1.5</v>
      </c>
      <c r="RHO5750" s="34">
        <v>-1</v>
      </c>
      <c r="RHP5750" s="34">
        <v>-0.5</v>
      </c>
      <c r="RHQ5750" s="34">
        <v>0</v>
      </c>
      <c r="RHR5750" s="34">
        <v>0.5</v>
      </c>
      <c r="RHS5750" s="34">
        <v>1</v>
      </c>
      <c r="RHT5750" s="34">
        <v>1.5</v>
      </c>
      <c r="RHU5750" s="34">
        <v>2</v>
      </c>
      <c r="RHV5750" s="34">
        <v>2.5</v>
      </c>
      <c r="RHW5750" s="34">
        <v>3</v>
      </c>
      <c r="RHX5750" s="34">
        <v>3.5</v>
      </c>
      <c r="RHY5750" s="34">
        <v>4</v>
      </c>
      <c r="RHZ5750" s="34">
        <v>4.5</v>
      </c>
      <c r="RIA5750" s="34">
        <v>5</v>
      </c>
      <c r="RIC5750" s="913"/>
      <c r="RID5750" s="31">
        <v>1</v>
      </c>
      <c r="RIE5750" s="34">
        <v>0</v>
      </c>
      <c r="RIF5750" s="34">
        <v>-1</v>
      </c>
      <c r="RIG5750" s="34">
        <v>-2</v>
      </c>
      <c r="RIH5750" s="34">
        <v>-3</v>
      </c>
      <c r="RII5750" s="34">
        <v>-4</v>
      </c>
      <c r="RIJ5750" s="34">
        <v>-5</v>
      </c>
      <c r="RIK5750" s="908"/>
      <c r="RIL5750" s="909"/>
      <c r="RIM5750" s="34">
        <v>-5</v>
      </c>
      <c r="RIN5750" s="34">
        <v>-4.5</v>
      </c>
      <c r="RIO5750" s="34">
        <v>-4</v>
      </c>
      <c r="RIP5750" s="34">
        <v>-3.5</v>
      </c>
      <c r="RIQ5750" s="34">
        <v>-3</v>
      </c>
      <c r="RIR5750" s="34">
        <v>-2.5</v>
      </c>
      <c r="RIS5750" s="34">
        <v>-2</v>
      </c>
      <c r="RIT5750" s="34">
        <v>-1.5</v>
      </c>
      <c r="RIU5750" s="34">
        <v>-1</v>
      </c>
      <c r="RIV5750" s="34">
        <v>-0.5</v>
      </c>
      <c r="RIW5750" s="34">
        <v>0</v>
      </c>
      <c r="RIX5750" s="34">
        <v>0.5</v>
      </c>
      <c r="RIY5750" s="34">
        <v>1</v>
      </c>
      <c r="RIZ5750" s="34">
        <v>1.5</v>
      </c>
      <c r="RJA5750" s="34">
        <v>2</v>
      </c>
      <c r="RJB5750" s="34">
        <v>2.5</v>
      </c>
      <c r="RJC5750" s="34">
        <v>3</v>
      </c>
      <c r="RJD5750" s="34">
        <v>3.5</v>
      </c>
      <c r="RJE5750" s="34">
        <v>4</v>
      </c>
      <c r="RJF5750" s="34">
        <v>4.5</v>
      </c>
      <c r="RJG5750" s="34">
        <v>5</v>
      </c>
      <c r="RJI5750" s="913"/>
      <c r="RJJ5750" s="31">
        <v>1</v>
      </c>
      <c r="RJK5750" s="34">
        <v>0</v>
      </c>
      <c r="RJL5750" s="34">
        <v>-1</v>
      </c>
      <c r="RJM5750" s="34">
        <v>-2</v>
      </c>
      <c r="RJN5750" s="34">
        <v>-3</v>
      </c>
      <c r="RJO5750" s="34">
        <v>-4</v>
      </c>
      <c r="RJP5750" s="34">
        <v>-5</v>
      </c>
      <c r="RJQ5750" s="908"/>
      <c r="RJR5750" s="909"/>
      <c r="RJS5750" s="34">
        <v>-5</v>
      </c>
      <c r="RJT5750" s="34">
        <v>-4.5</v>
      </c>
      <c r="RJU5750" s="34">
        <v>-4</v>
      </c>
      <c r="RJV5750" s="34">
        <v>-3.5</v>
      </c>
      <c r="RJW5750" s="34">
        <v>-3</v>
      </c>
      <c r="RJX5750" s="34">
        <v>-2.5</v>
      </c>
      <c r="RJY5750" s="34">
        <v>-2</v>
      </c>
      <c r="RJZ5750" s="34">
        <v>-1.5</v>
      </c>
      <c r="RKA5750" s="34">
        <v>-1</v>
      </c>
      <c r="RKB5750" s="34">
        <v>-0.5</v>
      </c>
      <c r="RKC5750" s="34">
        <v>0</v>
      </c>
      <c r="RKD5750" s="34">
        <v>0.5</v>
      </c>
      <c r="RKE5750" s="34">
        <v>1</v>
      </c>
      <c r="RKF5750" s="34">
        <v>1.5</v>
      </c>
      <c r="RKG5750" s="34">
        <v>2</v>
      </c>
      <c r="RKH5750" s="34">
        <v>2.5</v>
      </c>
      <c r="RKI5750" s="34">
        <v>3</v>
      </c>
      <c r="RKJ5750" s="34">
        <v>3.5</v>
      </c>
      <c r="RKK5750" s="34">
        <v>4</v>
      </c>
      <c r="RKL5750" s="34">
        <v>4.5</v>
      </c>
      <c r="RKM5750" s="34">
        <v>5</v>
      </c>
      <c r="RKO5750" s="913"/>
      <c r="RKP5750" s="31">
        <v>1</v>
      </c>
      <c r="RKQ5750" s="34">
        <v>0</v>
      </c>
      <c r="RKR5750" s="34">
        <v>-1</v>
      </c>
      <c r="RKS5750" s="34">
        <v>-2</v>
      </c>
      <c r="RKT5750" s="34">
        <v>-3</v>
      </c>
      <c r="RKU5750" s="34">
        <v>-4</v>
      </c>
      <c r="RKV5750" s="34">
        <v>-5</v>
      </c>
      <c r="RKW5750" s="908"/>
      <c r="RKX5750" s="909"/>
      <c r="RKY5750" s="34">
        <v>-5</v>
      </c>
      <c r="RKZ5750" s="34">
        <v>-4.5</v>
      </c>
      <c r="RLA5750" s="34">
        <v>-4</v>
      </c>
      <c r="RLB5750" s="34">
        <v>-3.5</v>
      </c>
      <c r="RLC5750" s="34">
        <v>-3</v>
      </c>
      <c r="RLD5750" s="34">
        <v>-2.5</v>
      </c>
      <c r="RLE5750" s="34">
        <v>-2</v>
      </c>
      <c r="RLF5750" s="34">
        <v>-1.5</v>
      </c>
      <c r="RLG5750" s="34">
        <v>-1</v>
      </c>
      <c r="RLH5750" s="34">
        <v>-0.5</v>
      </c>
      <c r="RLI5750" s="34">
        <v>0</v>
      </c>
      <c r="RLJ5750" s="34">
        <v>0.5</v>
      </c>
      <c r="RLK5750" s="34">
        <v>1</v>
      </c>
      <c r="RLL5750" s="34">
        <v>1.5</v>
      </c>
      <c r="RLM5750" s="34">
        <v>2</v>
      </c>
      <c r="RLN5750" s="34">
        <v>2.5</v>
      </c>
      <c r="RLO5750" s="34">
        <v>3</v>
      </c>
      <c r="RLP5750" s="34">
        <v>3.5</v>
      </c>
      <c r="RLQ5750" s="34">
        <v>4</v>
      </c>
      <c r="RLR5750" s="34">
        <v>4.5</v>
      </c>
      <c r="RLS5750" s="34">
        <v>5</v>
      </c>
      <c r="RLU5750" s="913"/>
      <c r="RLV5750" s="31">
        <v>1</v>
      </c>
      <c r="RLW5750" s="34">
        <v>0</v>
      </c>
      <c r="RLX5750" s="34">
        <v>-1</v>
      </c>
      <c r="RLY5750" s="34">
        <v>-2</v>
      </c>
      <c r="RLZ5750" s="34">
        <v>-3</v>
      </c>
      <c r="RMA5750" s="34">
        <v>-4</v>
      </c>
      <c r="RMB5750" s="34">
        <v>-5</v>
      </c>
      <c r="RMC5750" s="908"/>
      <c r="RMD5750" s="909"/>
      <c r="RME5750" s="34">
        <v>-5</v>
      </c>
      <c r="RMF5750" s="34">
        <v>-4.5</v>
      </c>
      <c r="RMG5750" s="34">
        <v>-4</v>
      </c>
      <c r="RMH5750" s="34">
        <v>-3.5</v>
      </c>
      <c r="RMI5750" s="34">
        <v>-3</v>
      </c>
      <c r="RMJ5750" s="34">
        <v>-2.5</v>
      </c>
      <c r="RMK5750" s="34">
        <v>-2</v>
      </c>
      <c r="RML5750" s="34">
        <v>-1.5</v>
      </c>
      <c r="RMM5750" s="34">
        <v>-1</v>
      </c>
      <c r="RMN5750" s="34">
        <v>-0.5</v>
      </c>
      <c r="RMO5750" s="34">
        <v>0</v>
      </c>
      <c r="RMP5750" s="34">
        <v>0.5</v>
      </c>
      <c r="RMQ5750" s="34">
        <v>1</v>
      </c>
      <c r="RMR5750" s="34">
        <v>1.5</v>
      </c>
      <c r="RMS5750" s="34">
        <v>2</v>
      </c>
      <c r="RMT5750" s="34">
        <v>2.5</v>
      </c>
      <c r="RMU5750" s="34">
        <v>3</v>
      </c>
      <c r="RMV5750" s="34">
        <v>3.5</v>
      </c>
      <c r="RMW5750" s="34">
        <v>4</v>
      </c>
      <c r="RMX5750" s="34">
        <v>4.5</v>
      </c>
      <c r="RMY5750" s="34">
        <v>5</v>
      </c>
      <c r="RNA5750" s="913"/>
      <c r="RNB5750" s="31">
        <v>1</v>
      </c>
      <c r="RNC5750" s="34">
        <v>0</v>
      </c>
      <c r="RND5750" s="34">
        <v>-1</v>
      </c>
      <c r="RNE5750" s="34">
        <v>-2</v>
      </c>
      <c r="RNF5750" s="34">
        <v>-3</v>
      </c>
      <c r="RNG5750" s="34">
        <v>-4</v>
      </c>
      <c r="RNH5750" s="34">
        <v>-5</v>
      </c>
      <c r="RNI5750" s="908"/>
      <c r="RNJ5750" s="909"/>
      <c r="RNK5750" s="34">
        <v>-5</v>
      </c>
      <c r="RNL5750" s="34">
        <v>-4.5</v>
      </c>
      <c r="RNM5750" s="34">
        <v>-4</v>
      </c>
      <c r="RNN5750" s="34">
        <v>-3.5</v>
      </c>
      <c r="RNO5750" s="34">
        <v>-3</v>
      </c>
      <c r="RNP5750" s="34">
        <v>-2.5</v>
      </c>
      <c r="RNQ5750" s="34">
        <v>-2</v>
      </c>
      <c r="RNR5750" s="34">
        <v>-1.5</v>
      </c>
      <c r="RNS5750" s="34">
        <v>-1</v>
      </c>
      <c r="RNT5750" s="34">
        <v>-0.5</v>
      </c>
      <c r="RNU5750" s="34">
        <v>0</v>
      </c>
      <c r="RNV5750" s="34">
        <v>0.5</v>
      </c>
      <c r="RNW5750" s="34">
        <v>1</v>
      </c>
      <c r="RNX5750" s="34">
        <v>1.5</v>
      </c>
      <c r="RNY5750" s="34">
        <v>2</v>
      </c>
      <c r="RNZ5750" s="34">
        <v>2.5</v>
      </c>
      <c r="ROA5750" s="34">
        <v>3</v>
      </c>
      <c r="ROB5750" s="34">
        <v>3.5</v>
      </c>
      <c r="ROC5750" s="34">
        <v>4</v>
      </c>
      <c r="ROD5750" s="34">
        <v>4.5</v>
      </c>
      <c r="ROE5750" s="34">
        <v>5</v>
      </c>
      <c r="ROG5750" s="913"/>
      <c r="ROH5750" s="31">
        <v>1</v>
      </c>
      <c r="ROI5750" s="34">
        <v>0</v>
      </c>
      <c r="ROJ5750" s="34">
        <v>-1</v>
      </c>
      <c r="ROK5750" s="34">
        <v>-2</v>
      </c>
      <c r="ROL5750" s="34">
        <v>-3</v>
      </c>
      <c r="ROM5750" s="34">
        <v>-4</v>
      </c>
      <c r="RON5750" s="34">
        <v>-5</v>
      </c>
      <c r="ROO5750" s="908"/>
      <c r="ROP5750" s="909"/>
      <c r="ROQ5750" s="34">
        <v>-5</v>
      </c>
      <c r="ROR5750" s="34">
        <v>-4.5</v>
      </c>
      <c r="ROS5750" s="34">
        <v>-4</v>
      </c>
      <c r="ROT5750" s="34">
        <v>-3.5</v>
      </c>
      <c r="ROU5750" s="34">
        <v>-3</v>
      </c>
      <c r="ROV5750" s="34">
        <v>-2.5</v>
      </c>
      <c r="ROW5750" s="34">
        <v>-2</v>
      </c>
      <c r="ROX5750" s="34">
        <v>-1.5</v>
      </c>
      <c r="ROY5750" s="34">
        <v>-1</v>
      </c>
      <c r="ROZ5750" s="34">
        <v>-0.5</v>
      </c>
      <c r="RPA5750" s="34">
        <v>0</v>
      </c>
      <c r="RPB5750" s="34">
        <v>0.5</v>
      </c>
      <c r="RPC5750" s="34">
        <v>1</v>
      </c>
      <c r="RPD5750" s="34">
        <v>1.5</v>
      </c>
      <c r="RPE5750" s="34">
        <v>2</v>
      </c>
      <c r="RPF5750" s="34">
        <v>2.5</v>
      </c>
      <c r="RPG5750" s="34">
        <v>3</v>
      </c>
      <c r="RPH5750" s="34">
        <v>3.5</v>
      </c>
      <c r="RPI5750" s="34">
        <v>4</v>
      </c>
      <c r="RPJ5750" s="34">
        <v>4.5</v>
      </c>
      <c r="RPK5750" s="34">
        <v>5</v>
      </c>
      <c r="RPM5750" s="913"/>
      <c r="RPN5750" s="31">
        <v>1</v>
      </c>
      <c r="RPO5750" s="34">
        <v>0</v>
      </c>
      <c r="RPP5750" s="34">
        <v>-1</v>
      </c>
      <c r="RPQ5750" s="34">
        <v>-2</v>
      </c>
      <c r="RPR5750" s="34">
        <v>-3</v>
      </c>
      <c r="RPS5750" s="34">
        <v>-4</v>
      </c>
      <c r="RPT5750" s="34">
        <v>-5</v>
      </c>
      <c r="RPU5750" s="908"/>
      <c r="RPV5750" s="909"/>
      <c r="RPW5750" s="34">
        <v>-5</v>
      </c>
      <c r="RPX5750" s="34">
        <v>-4.5</v>
      </c>
      <c r="RPY5750" s="34">
        <v>-4</v>
      </c>
      <c r="RPZ5750" s="34">
        <v>-3.5</v>
      </c>
      <c r="RQA5750" s="34">
        <v>-3</v>
      </c>
      <c r="RQB5750" s="34">
        <v>-2.5</v>
      </c>
      <c r="RQC5750" s="34">
        <v>-2</v>
      </c>
      <c r="RQD5750" s="34">
        <v>-1.5</v>
      </c>
      <c r="RQE5750" s="34">
        <v>-1</v>
      </c>
      <c r="RQF5750" s="34">
        <v>-0.5</v>
      </c>
      <c r="RQG5750" s="34">
        <v>0</v>
      </c>
      <c r="RQH5750" s="34">
        <v>0.5</v>
      </c>
      <c r="RQI5750" s="34">
        <v>1</v>
      </c>
      <c r="RQJ5750" s="34">
        <v>1.5</v>
      </c>
      <c r="RQK5750" s="34">
        <v>2</v>
      </c>
      <c r="RQL5750" s="34">
        <v>2.5</v>
      </c>
      <c r="RQM5750" s="34">
        <v>3</v>
      </c>
      <c r="RQN5750" s="34">
        <v>3.5</v>
      </c>
      <c r="RQO5750" s="34">
        <v>4</v>
      </c>
      <c r="RQP5750" s="34">
        <v>4.5</v>
      </c>
      <c r="RQQ5750" s="34">
        <v>5</v>
      </c>
      <c r="RQS5750" s="913"/>
      <c r="RQT5750" s="31">
        <v>1</v>
      </c>
      <c r="RQU5750" s="34">
        <v>0</v>
      </c>
      <c r="RQV5750" s="34">
        <v>-1</v>
      </c>
      <c r="RQW5750" s="34">
        <v>-2</v>
      </c>
      <c r="RQX5750" s="34">
        <v>-3</v>
      </c>
      <c r="RQY5750" s="34">
        <v>-4</v>
      </c>
      <c r="RQZ5750" s="34">
        <v>-5</v>
      </c>
      <c r="RRA5750" s="908"/>
      <c r="RRB5750" s="909"/>
      <c r="RRC5750" s="34">
        <v>-5</v>
      </c>
      <c r="RRD5750" s="34">
        <v>-4.5</v>
      </c>
      <c r="RRE5750" s="34">
        <v>-4</v>
      </c>
      <c r="RRF5750" s="34">
        <v>-3.5</v>
      </c>
      <c r="RRG5750" s="34">
        <v>-3</v>
      </c>
      <c r="RRH5750" s="34">
        <v>-2.5</v>
      </c>
      <c r="RRI5750" s="34">
        <v>-2</v>
      </c>
      <c r="RRJ5750" s="34">
        <v>-1.5</v>
      </c>
      <c r="RRK5750" s="34">
        <v>-1</v>
      </c>
      <c r="RRL5750" s="34">
        <v>-0.5</v>
      </c>
      <c r="RRM5750" s="34">
        <v>0</v>
      </c>
      <c r="RRN5750" s="34">
        <v>0.5</v>
      </c>
      <c r="RRO5750" s="34">
        <v>1</v>
      </c>
      <c r="RRP5750" s="34">
        <v>1.5</v>
      </c>
      <c r="RRQ5750" s="34">
        <v>2</v>
      </c>
      <c r="RRR5750" s="34">
        <v>2.5</v>
      </c>
      <c r="RRS5750" s="34">
        <v>3</v>
      </c>
      <c r="RRT5750" s="34">
        <v>3.5</v>
      </c>
      <c r="RRU5750" s="34">
        <v>4</v>
      </c>
      <c r="RRV5750" s="34">
        <v>4.5</v>
      </c>
      <c r="RRW5750" s="34">
        <v>5</v>
      </c>
      <c r="RRY5750" s="913"/>
      <c r="RRZ5750" s="31">
        <v>1</v>
      </c>
      <c r="RSA5750" s="34">
        <v>0</v>
      </c>
      <c r="RSB5750" s="34">
        <v>-1</v>
      </c>
      <c r="RSC5750" s="34">
        <v>-2</v>
      </c>
      <c r="RSD5750" s="34">
        <v>-3</v>
      </c>
      <c r="RSE5750" s="34">
        <v>-4</v>
      </c>
      <c r="RSF5750" s="34">
        <v>-5</v>
      </c>
      <c r="RSG5750" s="908"/>
      <c r="RSH5750" s="909"/>
      <c r="RSI5750" s="34">
        <v>-5</v>
      </c>
      <c r="RSJ5750" s="34">
        <v>-4.5</v>
      </c>
      <c r="RSK5750" s="34">
        <v>-4</v>
      </c>
      <c r="RSL5750" s="34">
        <v>-3.5</v>
      </c>
      <c r="RSM5750" s="34">
        <v>-3</v>
      </c>
      <c r="RSN5750" s="34">
        <v>-2.5</v>
      </c>
      <c r="RSO5750" s="34">
        <v>-2</v>
      </c>
      <c r="RSP5750" s="34">
        <v>-1.5</v>
      </c>
      <c r="RSQ5750" s="34">
        <v>-1</v>
      </c>
      <c r="RSR5750" s="34">
        <v>-0.5</v>
      </c>
      <c r="RSS5750" s="34">
        <v>0</v>
      </c>
      <c r="RST5750" s="34">
        <v>0.5</v>
      </c>
      <c r="RSU5750" s="34">
        <v>1</v>
      </c>
      <c r="RSV5750" s="34">
        <v>1.5</v>
      </c>
      <c r="RSW5750" s="34">
        <v>2</v>
      </c>
      <c r="RSX5750" s="34">
        <v>2.5</v>
      </c>
      <c r="RSY5750" s="34">
        <v>3</v>
      </c>
      <c r="RSZ5750" s="34">
        <v>3.5</v>
      </c>
      <c r="RTA5750" s="34">
        <v>4</v>
      </c>
      <c r="RTB5750" s="34">
        <v>4.5</v>
      </c>
      <c r="RTC5750" s="34">
        <v>5</v>
      </c>
      <c r="RTE5750" s="913"/>
      <c r="RTF5750" s="31">
        <v>1</v>
      </c>
      <c r="RTG5750" s="34">
        <v>0</v>
      </c>
      <c r="RTH5750" s="34">
        <v>-1</v>
      </c>
      <c r="RTI5750" s="34">
        <v>-2</v>
      </c>
      <c r="RTJ5750" s="34">
        <v>-3</v>
      </c>
      <c r="RTK5750" s="34">
        <v>-4</v>
      </c>
      <c r="RTL5750" s="34">
        <v>-5</v>
      </c>
      <c r="RTM5750" s="908"/>
      <c r="RTN5750" s="909"/>
      <c r="RTO5750" s="34">
        <v>-5</v>
      </c>
      <c r="RTP5750" s="34">
        <v>-4.5</v>
      </c>
      <c r="RTQ5750" s="34">
        <v>-4</v>
      </c>
      <c r="RTR5750" s="34">
        <v>-3.5</v>
      </c>
      <c r="RTS5750" s="34">
        <v>-3</v>
      </c>
      <c r="RTT5750" s="34">
        <v>-2.5</v>
      </c>
      <c r="RTU5750" s="34">
        <v>-2</v>
      </c>
      <c r="RTV5750" s="34">
        <v>-1.5</v>
      </c>
      <c r="RTW5750" s="34">
        <v>-1</v>
      </c>
      <c r="RTX5750" s="34">
        <v>-0.5</v>
      </c>
      <c r="RTY5750" s="34">
        <v>0</v>
      </c>
      <c r="RTZ5750" s="34">
        <v>0.5</v>
      </c>
      <c r="RUA5750" s="34">
        <v>1</v>
      </c>
      <c r="RUB5750" s="34">
        <v>1.5</v>
      </c>
      <c r="RUC5750" s="34">
        <v>2</v>
      </c>
      <c r="RUD5750" s="34">
        <v>2.5</v>
      </c>
      <c r="RUE5750" s="34">
        <v>3</v>
      </c>
      <c r="RUF5750" s="34">
        <v>3.5</v>
      </c>
      <c r="RUG5750" s="34">
        <v>4</v>
      </c>
      <c r="RUH5750" s="34">
        <v>4.5</v>
      </c>
      <c r="RUI5750" s="34">
        <v>5</v>
      </c>
      <c r="RUK5750" s="913"/>
      <c r="RUL5750" s="31">
        <v>1</v>
      </c>
      <c r="RUM5750" s="34">
        <v>0</v>
      </c>
      <c r="RUN5750" s="34">
        <v>-1</v>
      </c>
      <c r="RUO5750" s="34">
        <v>-2</v>
      </c>
      <c r="RUP5750" s="34">
        <v>-3</v>
      </c>
      <c r="RUQ5750" s="34">
        <v>-4</v>
      </c>
      <c r="RUR5750" s="34">
        <v>-5</v>
      </c>
      <c r="RUS5750" s="908"/>
      <c r="RUT5750" s="909"/>
      <c r="RUU5750" s="34">
        <v>-5</v>
      </c>
      <c r="RUV5750" s="34">
        <v>-4.5</v>
      </c>
      <c r="RUW5750" s="34">
        <v>-4</v>
      </c>
      <c r="RUX5750" s="34">
        <v>-3.5</v>
      </c>
      <c r="RUY5750" s="34">
        <v>-3</v>
      </c>
      <c r="RUZ5750" s="34">
        <v>-2.5</v>
      </c>
      <c r="RVA5750" s="34">
        <v>-2</v>
      </c>
      <c r="RVB5750" s="34">
        <v>-1.5</v>
      </c>
      <c r="RVC5750" s="34">
        <v>-1</v>
      </c>
      <c r="RVD5750" s="34">
        <v>-0.5</v>
      </c>
      <c r="RVE5750" s="34">
        <v>0</v>
      </c>
      <c r="RVF5750" s="34">
        <v>0.5</v>
      </c>
      <c r="RVG5750" s="34">
        <v>1</v>
      </c>
      <c r="RVH5750" s="34">
        <v>1.5</v>
      </c>
      <c r="RVI5750" s="34">
        <v>2</v>
      </c>
      <c r="RVJ5750" s="34">
        <v>2.5</v>
      </c>
      <c r="RVK5750" s="34">
        <v>3</v>
      </c>
      <c r="RVL5750" s="34">
        <v>3.5</v>
      </c>
      <c r="RVM5750" s="34">
        <v>4</v>
      </c>
      <c r="RVN5750" s="34">
        <v>4.5</v>
      </c>
      <c r="RVO5750" s="34">
        <v>5</v>
      </c>
      <c r="RVQ5750" s="913"/>
      <c r="RVR5750" s="31">
        <v>1</v>
      </c>
      <c r="RVS5750" s="34">
        <v>0</v>
      </c>
      <c r="RVT5750" s="34">
        <v>-1</v>
      </c>
      <c r="RVU5750" s="34">
        <v>-2</v>
      </c>
      <c r="RVV5750" s="34">
        <v>-3</v>
      </c>
      <c r="RVW5750" s="34">
        <v>-4</v>
      </c>
      <c r="RVX5750" s="34">
        <v>-5</v>
      </c>
      <c r="RVY5750" s="908"/>
      <c r="RVZ5750" s="909"/>
      <c r="RWA5750" s="34">
        <v>-5</v>
      </c>
      <c r="RWB5750" s="34">
        <v>-4.5</v>
      </c>
      <c r="RWC5750" s="34">
        <v>-4</v>
      </c>
      <c r="RWD5750" s="34">
        <v>-3.5</v>
      </c>
      <c r="RWE5750" s="34">
        <v>-3</v>
      </c>
      <c r="RWF5750" s="34">
        <v>-2.5</v>
      </c>
      <c r="RWG5750" s="34">
        <v>-2</v>
      </c>
      <c r="RWH5750" s="34">
        <v>-1.5</v>
      </c>
      <c r="RWI5750" s="34">
        <v>-1</v>
      </c>
      <c r="RWJ5750" s="34">
        <v>-0.5</v>
      </c>
      <c r="RWK5750" s="34">
        <v>0</v>
      </c>
      <c r="RWL5750" s="34">
        <v>0.5</v>
      </c>
      <c r="RWM5750" s="34">
        <v>1</v>
      </c>
      <c r="RWN5750" s="34">
        <v>1.5</v>
      </c>
      <c r="RWO5750" s="34">
        <v>2</v>
      </c>
      <c r="RWP5750" s="34">
        <v>2.5</v>
      </c>
      <c r="RWQ5750" s="34">
        <v>3</v>
      </c>
      <c r="RWR5750" s="34">
        <v>3.5</v>
      </c>
      <c r="RWS5750" s="34">
        <v>4</v>
      </c>
      <c r="RWT5750" s="34">
        <v>4.5</v>
      </c>
      <c r="RWU5750" s="34">
        <v>5</v>
      </c>
      <c r="RWW5750" s="913"/>
      <c r="RWX5750" s="31">
        <v>1</v>
      </c>
      <c r="RWY5750" s="34">
        <v>0</v>
      </c>
      <c r="RWZ5750" s="34">
        <v>-1</v>
      </c>
      <c r="RXA5750" s="34">
        <v>-2</v>
      </c>
      <c r="RXB5750" s="34">
        <v>-3</v>
      </c>
      <c r="RXC5750" s="34">
        <v>-4</v>
      </c>
      <c r="RXD5750" s="34">
        <v>-5</v>
      </c>
      <c r="RXE5750" s="908"/>
      <c r="RXF5750" s="909"/>
      <c r="RXG5750" s="34">
        <v>-5</v>
      </c>
      <c r="RXH5750" s="34">
        <v>-4.5</v>
      </c>
      <c r="RXI5750" s="34">
        <v>-4</v>
      </c>
      <c r="RXJ5750" s="34">
        <v>-3.5</v>
      </c>
      <c r="RXK5750" s="34">
        <v>-3</v>
      </c>
      <c r="RXL5750" s="34">
        <v>-2.5</v>
      </c>
      <c r="RXM5750" s="34">
        <v>-2</v>
      </c>
      <c r="RXN5750" s="34">
        <v>-1.5</v>
      </c>
      <c r="RXO5750" s="34">
        <v>-1</v>
      </c>
      <c r="RXP5750" s="34">
        <v>-0.5</v>
      </c>
      <c r="RXQ5750" s="34">
        <v>0</v>
      </c>
      <c r="RXR5750" s="34">
        <v>0.5</v>
      </c>
      <c r="RXS5750" s="34">
        <v>1</v>
      </c>
      <c r="RXT5750" s="34">
        <v>1.5</v>
      </c>
      <c r="RXU5750" s="34">
        <v>2</v>
      </c>
      <c r="RXV5750" s="34">
        <v>2.5</v>
      </c>
      <c r="RXW5750" s="34">
        <v>3</v>
      </c>
      <c r="RXX5750" s="34">
        <v>3.5</v>
      </c>
      <c r="RXY5750" s="34">
        <v>4</v>
      </c>
      <c r="RXZ5750" s="34">
        <v>4.5</v>
      </c>
      <c r="RYA5750" s="34">
        <v>5</v>
      </c>
      <c r="RYC5750" s="913"/>
      <c r="RYD5750" s="31">
        <v>1</v>
      </c>
      <c r="RYE5750" s="34">
        <v>0</v>
      </c>
      <c r="RYF5750" s="34">
        <v>-1</v>
      </c>
      <c r="RYG5750" s="34">
        <v>-2</v>
      </c>
      <c r="RYH5750" s="34">
        <v>-3</v>
      </c>
      <c r="RYI5750" s="34">
        <v>-4</v>
      </c>
      <c r="RYJ5750" s="34">
        <v>-5</v>
      </c>
      <c r="RYK5750" s="908"/>
      <c r="RYL5750" s="909"/>
      <c r="RYM5750" s="34">
        <v>-5</v>
      </c>
      <c r="RYN5750" s="34">
        <v>-4.5</v>
      </c>
      <c r="RYO5750" s="34">
        <v>-4</v>
      </c>
      <c r="RYP5750" s="34">
        <v>-3.5</v>
      </c>
      <c r="RYQ5750" s="34">
        <v>-3</v>
      </c>
      <c r="RYR5750" s="34">
        <v>-2.5</v>
      </c>
      <c r="RYS5750" s="34">
        <v>-2</v>
      </c>
      <c r="RYT5750" s="34">
        <v>-1.5</v>
      </c>
      <c r="RYU5750" s="34">
        <v>-1</v>
      </c>
      <c r="RYV5750" s="34">
        <v>-0.5</v>
      </c>
      <c r="RYW5750" s="34">
        <v>0</v>
      </c>
      <c r="RYX5750" s="34">
        <v>0.5</v>
      </c>
      <c r="RYY5750" s="34">
        <v>1</v>
      </c>
      <c r="RYZ5750" s="34">
        <v>1.5</v>
      </c>
      <c r="RZA5750" s="34">
        <v>2</v>
      </c>
      <c r="RZB5750" s="34">
        <v>2.5</v>
      </c>
      <c r="RZC5750" s="34">
        <v>3</v>
      </c>
      <c r="RZD5750" s="34">
        <v>3.5</v>
      </c>
      <c r="RZE5750" s="34">
        <v>4</v>
      </c>
      <c r="RZF5750" s="34">
        <v>4.5</v>
      </c>
      <c r="RZG5750" s="34">
        <v>5</v>
      </c>
      <c r="RZI5750" s="913"/>
      <c r="RZJ5750" s="31">
        <v>1</v>
      </c>
      <c r="RZK5750" s="34">
        <v>0</v>
      </c>
      <c r="RZL5750" s="34">
        <v>-1</v>
      </c>
      <c r="RZM5750" s="34">
        <v>-2</v>
      </c>
      <c r="RZN5750" s="34">
        <v>-3</v>
      </c>
      <c r="RZO5750" s="34">
        <v>-4</v>
      </c>
      <c r="RZP5750" s="34">
        <v>-5</v>
      </c>
      <c r="RZQ5750" s="908"/>
      <c r="RZR5750" s="909"/>
      <c r="RZS5750" s="34">
        <v>-5</v>
      </c>
      <c r="RZT5750" s="34">
        <v>-4.5</v>
      </c>
      <c r="RZU5750" s="34">
        <v>-4</v>
      </c>
      <c r="RZV5750" s="34">
        <v>-3.5</v>
      </c>
      <c r="RZW5750" s="34">
        <v>-3</v>
      </c>
      <c r="RZX5750" s="34">
        <v>-2.5</v>
      </c>
      <c r="RZY5750" s="34">
        <v>-2</v>
      </c>
      <c r="RZZ5750" s="34">
        <v>-1.5</v>
      </c>
      <c r="SAA5750" s="34">
        <v>-1</v>
      </c>
      <c r="SAB5750" s="34">
        <v>-0.5</v>
      </c>
      <c r="SAC5750" s="34">
        <v>0</v>
      </c>
      <c r="SAD5750" s="34">
        <v>0.5</v>
      </c>
      <c r="SAE5750" s="34">
        <v>1</v>
      </c>
      <c r="SAF5750" s="34">
        <v>1.5</v>
      </c>
      <c r="SAG5750" s="34">
        <v>2</v>
      </c>
      <c r="SAH5750" s="34">
        <v>2.5</v>
      </c>
      <c r="SAI5750" s="34">
        <v>3</v>
      </c>
      <c r="SAJ5750" s="34">
        <v>3.5</v>
      </c>
      <c r="SAK5750" s="34">
        <v>4</v>
      </c>
      <c r="SAL5750" s="34">
        <v>4.5</v>
      </c>
      <c r="SAM5750" s="34">
        <v>5</v>
      </c>
      <c r="SAO5750" s="913"/>
      <c r="SAP5750" s="31">
        <v>1</v>
      </c>
      <c r="SAQ5750" s="34">
        <v>0</v>
      </c>
      <c r="SAR5750" s="34">
        <v>-1</v>
      </c>
      <c r="SAS5750" s="34">
        <v>-2</v>
      </c>
      <c r="SAT5750" s="34">
        <v>-3</v>
      </c>
      <c r="SAU5750" s="34">
        <v>-4</v>
      </c>
      <c r="SAV5750" s="34">
        <v>-5</v>
      </c>
      <c r="SAW5750" s="908"/>
      <c r="SAX5750" s="909"/>
      <c r="SAY5750" s="34">
        <v>-5</v>
      </c>
      <c r="SAZ5750" s="34">
        <v>-4.5</v>
      </c>
      <c r="SBA5750" s="34">
        <v>-4</v>
      </c>
      <c r="SBB5750" s="34">
        <v>-3.5</v>
      </c>
      <c r="SBC5750" s="34">
        <v>-3</v>
      </c>
      <c r="SBD5750" s="34">
        <v>-2.5</v>
      </c>
      <c r="SBE5750" s="34">
        <v>-2</v>
      </c>
      <c r="SBF5750" s="34">
        <v>-1.5</v>
      </c>
      <c r="SBG5750" s="34">
        <v>-1</v>
      </c>
      <c r="SBH5750" s="34">
        <v>-0.5</v>
      </c>
      <c r="SBI5750" s="34">
        <v>0</v>
      </c>
      <c r="SBJ5750" s="34">
        <v>0.5</v>
      </c>
      <c r="SBK5750" s="34">
        <v>1</v>
      </c>
      <c r="SBL5750" s="34">
        <v>1.5</v>
      </c>
      <c r="SBM5750" s="34">
        <v>2</v>
      </c>
      <c r="SBN5750" s="34">
        <v>2.5</v>
      </c>
      <c r="SBO5750" s="34">
        <v>3</v>
      </c>
      <c r="SBP5750" s="34">
        <v>3.5</v>
      </c>
      <c r="SBQ5750" s="34">
        <v>4</v>
      </c>
      <c r="SBR5750" s="34">
        <v>4.5</v>
      </c>
      <c r="SBS5750" s="34">
        <v>5</v>
      </c>
      <c r="SBU5750" s="913"/>
      <c r="SBV5750" s="31">
        <v>1</v>
      </c>
      <c r="SBW5750" s="34">
        <v>0</v>
      </c>
      <c r="SBX5750" s="34">
        <v>-1</v>
      </c>
      <c r="SBY5750" s="34">
        <v>-2</v>
      </c>
      <c r="SBZ5750" s="34">
        <v>-3</v>
      </c>
      <c r="SCA5750" s="34">
        <v>-4</v>
      </c>
      <c r="SCB5750" s="34">
        <v>-5</v>
      </c>
      <c r="SCC5750" s="908"/>
      <c r="SCD5750" s="909"/>
      <c r="SCE5750" s="34">
        <v>-5</v>
      </c>
      <c r="SCF5750" s="34">
        <v>-4.5</v>
      </c>
      <c r="SCG5750" s="34">
        <v>-4</v>
      </c>
      <c r="SCH5750" s="34">
        <v>-3.5</v>
      </c>
      <c r="SCI5750" s="34">
        <v>-3</v>
      </c>
      <c r="SCJ5750" s="34">
        <v>-2.5</v>
      </c>
      <c r="SCK5750" s="34">
        <v>-2</v>
      </c>
      <c r="SCL5750" s="34">
        <v>-1.5</v>
      </c>
      <c r="SCM5750" s="34">
        <v>-1</v>
      </c>
      <c r="SCN5750" s="34">
        <v>-0.5</v>
      </c>
      <c r="SCO5750" s="34">
        <v>0</v>
      </c>
      <c r="SCP5750" s="34">
        <v>0.5</v>
      </c>
      <c r="SCQ5750" s="34">
        <v>1</v>
      </c>
      <c r="SCR5750" s="34">
        <v>1.5</v>
      </c>
      <c r="SCS5750" s="34">
        <v>2</v>
      </c>
      <c r="SCT5750" s="34">
        <v>2.5</v>
      </c>
      <c r="SCU5750" s="34">
        <v>3</v>
      </c>
      <c r="SCV5750" s="34">
        <v>3.5</v>
      </c>
      <c r="SCW5750" s="34">
        <v>4</v>
      </c>
      <c r="SCX5750" s="34">
        <v>4.5</v>
      </c>
      <c r="SCY5750" s="34">
        <v>5</v>
      </c>
      <c r="SDA5750" s="913"/>
      <c r="SDB5750" s="31">
        <v>1</v>
      </c>
      <c r="SDC5750" s="34">
        <v>0</v>
      </c>
      <c r="SDD5750" s="34">
        <v>-1</v>
      </c>
      <c r="SDE5750" s="34">
        <v>-2</v>
      </c>
      <c r="SDF5750" s="34">
        <v>-3</v>
      </c>
      <c r="SDG5750" s="34">
        <v>-4</v>
      </c>
      <c r="SDH5750" s="34">
        <v>-5</v>
      </c>
      <c r="SDI5750" s="908"/>
      <c r="SDJ5750" s="909"/>
      <c r="SDK5750" s="34">
        <v>-5</v>
      </c>
      <c r="SDL5750" s="34">
        <v>-4.5</v>
      </c>
      <c r="SDM5750" s="34">
        <v>-4</v>
      </c>
      <c r="SDN5750" s="34">
        <v>-3.5</v>
      </c>
      <c r="SDO5750" s="34">
        <v>-3</v>
      </c>
      <c r="SDP5750" s="34">
        <v>-2.5</v>
      </c>
      <c r="SDQ5750" s="34">
        <v>-2</v>
      </c>
      <c r="SDR5750" s="34">
        <v>-1.5</v>
      </c>
      <c r="SDS5750" s="34">
        <v>-1</v>
      </c>
      <c r="SDT5750" s="34">
        <v>-0.5</v>
      </c>
      <c r="SDU5750" s="34">
        <v>0</v>
      </c>
      <c r="SDV5750" s="34">
        <v>0.5</v>
      </c>
      <c r="SDW5750" s="34">
        <v>1</v>
      </c>
      <c r="SDX5750" s="34">
        <v>1.5</v>
      </c>
      <c r="SDY5750" s="34">
        <v>2</v>
      </c>
      <c r="SDZ5750" s="34">
        <v>2.5</v>
      </c>
      <c r="SEA5750" s="34">
        <v>3</v>
      </c>
      <c r="SEB5750" s="34">
        <v>3.5</v>
      </c>
      <c r="SEC5750" s="34">
        <v>4</v>
      </c>
      <c r="SED5750" s="34">
        <v>4.5</v>
      </c>
      <c r="SEE5750" s="34">
        <v>5</v>
      </c>
      <c r="SEG5750" s="913"/>
      <c r="SEH5750" s="31">
        <v>1</v>
      </c>
      <c r="SEI5750" s="34">
        <v>0</v>
      </c>
      <c r="SEJ5750" s="34">
        <v>-1</v>
      </c>
      <c r="SEK5750" s="34">
        <v>-2</v>
      </c>
      <c r="SEL5750" s="34">
        <v>-3</v>
      </c>
      <c r="SEM5750" s="34">
        <v>-4</v>
      </c>
      <c r="SEN5750" s="34">
        <v>-5</v>
      </c>
      <c r="SEO5750" s="908"/>
      <c r="SEP5750" s="909"/>
      <c r="SEQ5750" s="34">
        <v>-5</v>
      </c>
      <c r="SER5750" s="34">
        <v>-4.5</v>
      </c>
      <c r="SES5750" s="34">
        <v>-4</v>
      </c>
      <c r="SET5750" s="34">
        <v>-3.5</v>
      </c>
      <c r="SEU5750" s="34">
        <v>-3</v>
      </c>
      <c r="SEV5750" s="34">
        <v>-2.5</v>
      </c>
      <c r="SEW5750" s="34">
        <v>-2</v>
      </c>
      <c r="SEX5750" s="34">
        <v>-1.5</v>
      </c>
      <c r="SEY5750" s="34">
        <v>-1</v>
      </c>
      <c r="SEZ5750" s="34">
        <v>-0.5</v>
      </c>
      <c r="SFA5750" s="34">
        <v>0</v>
      </c>
      <c r="SFB5750" s="34">
        <v>0.5</v>
      </c>
      <c r="SFC5750" s="34">
        <v>1</v>
      </c>
      <c r="SFD5750" s="34">
        <v>1.5</v>
      </c>
      <c r="SFE5750" s="34">
        <v>2</v>
      </c>
      <c r="SFF5750" s="34">
        <v>2.5</v>
      </c>
      <c r="SFG5750" s="34">
        <v>3</v>
      </c>
      <c r="SFH5750" s="34">
        <v>3.5</v>
      </c>
      <c r="SFI5750" s="34">
        <v>4</v>
      </c>
      <c r="SFJ5750" s="34">
        <v>4.5</v>
      </c>
      <c r="SFK5750" s="34">
        <v>5</v>
      </c>
      <c r="SFM5750" s="913"/>
      <c r="SFN5750" s="31">
        <v>1</v>
      </c>
      <c r="SFO5750" s="34">
        <v>0</v>
      </c>
      <c r="SFP5750" s="34">
        <v>-1</v>
      </c>
      <c r="SFQ5750" s="34">
        <v>-2</v>
      </c>
      <c r="SFR5750" s="34">
        <v>-3</v>
      </c>
      <c r="SFS5750" s="34">
        <v>-4</v>
      </c>
      <c r="SFT5750" s="34">
        <v>-5</v>
      </c>
      <c r="SFU5750" s="908"/>
      <c r="SFV5750" s="909"/>
      <c r="SFW5750" s="34">
        <v>-5</v>
      </c>
      <c r="SFX5750" s="34">
        <v>-4.5</v>
      </c>
      <c r="SFY5750" s="34">
        <v>-4</v>
      </c>
      <c r="SFZ5750" s="34">
        <v>-3.5</v>
      </c>
      <c r="SGA5750" s="34">
        <v>-3</v>
      </c>
      <c r="SGB5750" s="34">
        <v>-2.5</v>
      </c>
      <c r="SGC5750" s="34">
        <v>-2</v>
      </c>
      <c r="SGD5750" s="34">
        <v>-1.5</v>
      </c>
      <c r="SGE5750" s="34">
        <v>-1</v>
      </c>
      <c r="SGF5750" s="34">
        <v>-0.5</v>
      </c>
      <c r="SGG5750" s="34">
        <v>0</v>
      </c>
      <c r="SGH5750" s="34">
        <v>0.5</v>
      </c>
      <c r="SGI5750" s="34">
        <v>1</v>
      </c>
      <c r="SGJ5750" s="34">
        <v>1.5</v>
      </c>
      <c r="SGK5750" s="34">
        <v>2</v>
      </c>
      <c r="SGL5750" s="34">
        <v>2.5</v>
      </c>
      <c r="SGM5750" s="34">
        <v>3</v>
      </c>
      <c r="SGN5750" s="34">
        <v>3.5</v>
      </c>
      <c r="SGO5750" s="34">
        <v>4</v>
      </c>
      <c r="SGP5750" s="34">
        <v>4.5</v>
      </c>
      <c r="SGQ5750" s="34">
        <v>5</v>
      </c>
      <c r="SGS5750" s="913"/>
      <c r="SGT5750" s="31">
        <v>1</v>
      </c>
      <c r="SGU5750" s="34">
        <v>0</v>
      </c>
      <c r="SGV5750" s="34">
        <v>-1</v>
      </c>
      <c r="SGW5750" s="34">
        <v>-2</v>
      </c>
      <c r="SGX5750" s="34">
        <v>-3</v>
      </c>
      <c r="SGY5750" s="34">
        <v>-4</v>
      </c>
      <c r="SGZ5750" s="34">
        <v>-5</v>
      </c>
      <c r="SHA5750" s="908"/>
      <c r="SHB5750" s="909"/>
      <c r="SHC5750" s="34">
        <v>-5</v>
      </c>
      <c r="SHD5750" s="34">
        <v>-4.5</v>
      </c>
      <c r="SHE5750" s="34">
        <v>-4</v>
      </c>
      <c r="SHF5750" s="34">
        <v>-3.5</v>
      </c>
      <c r="SHG5750" s="34">
        <v>-3</v>
      </c>
      <c r="SHH5750" s="34">
        <v>-2.5</v>
      </c>
      <c r="SHI5750" s="34">
        <v>-2</v>
      </c>
      <c r="SHJ5750" s="34">
        <v>-1.5</v>
      </c>
      <c r="SHK5750" s="34">
        <v>-1</v>
      </c>
      <c r="SHL5750" s="34">
        <v>-0.5</v>
      </c>
      <c r="SHM5750" s="34">
        <v>0</v>
      </c>
      <c r="SHN5750" s="34">
        <v>0.5</v>
      </c>
      <c r="SHO5750" s="34">
        <v>1</v>
      </c>
      <c r="SHP5750" s="34">
        <v>1.5</v>
      </c>
      <c r="SHQ5750" s="34">
        <v>2</v>
      </c>
      <c r="SHR5750" s="34">
        <v>2.5</v>
      </c>
      <c r="SHS5750" s="34">
        <v>3</v>
      </c>
      <c r="SHT5750" s="34">
        <v>3.5</v>
      </c>
      <c r="SHU5750" s="34">
        <v>4</v>
      </c>
      <c r="SHV5750" s="34">
        <v>4.5</v>
      </c>
      <c r="SHW5750" s="34">
        <v>5</v>
      </c>
      <c r="SHY5750" s="913"/>
      <c r="SHZ5750" s="31">
        <v>1</v>
      </c>
      <c r="SIA5750" s="34">
        <v>0</v>
      </c>
      <c r="SIB5750" s="34">
        <v>-1</v>
      </c>
      <c r="SIC5750" s="34">
        <v>-2</v>
      </c>
      <c r="SID5750" s="34">
        <v>-3</v>
      </c>
      <c r="SIE5750" s="34">
        <v>-4</v>
      </c>
      <c r="SIF5750" s="34">
        <v>-5</v>
      </c>
      <c r="SIG5750" s="908"/>
      <c r="SIH5750" s="909"/>
      <c r="SII5750" s="34">
        <v>-5</v>
      </c>
      <c r="SIJ5750" s="34">
        <v>-4.5</v>
      </c>
      <c r="SIK5750" s="34">
        <v>-4</v>
      </c>
      <c r="SIL5750" s="34">
        <v>-3.5</v>
      </c>
      <c r="SIM5750" s="34">
        <v>-3</v>
      </c>
      <c r="SIN5750" s="34">
        <v>-2.5</v>
      </c>
      <c r="SIO5750" s="34">
        <v>-2</v>
      </c>
      <c r="SIP5750" s="34">
        <v>-1.5</v>
      </c>
      <c r="SIQ5750" s="34">
        <v>-1</v>
      </c>
      <c r="SIR5750" s="34">
        <v>-0.5</v>
      </c>
      <c r="SIS5750" s="34">
        <v>0</v>
      </c>
      <c r="SIT5750" s="34">
        <v>0.5</v>
      </c>
      <c r="SIU5750" s="34">
        <v>1</v>
      </c>
      <c r="SIV5750" s="34">
        <v>1.5</v>
      </c>
      <c r="SIW5750" s="34">
        <v>2</v>
      </c>
      <c r="SIX5750" s="34">
        <v>2.5</v>
      </c>
      <c r="SIY5750" s="34">
        <v>3</v>
      </c>
      <c r="SIZ5750" s="34">
        <v>3.5</v>
      </c>
      <c r="SJA5750" s="34">
        <v>4</v>
      </c>
      <c r="SJB5750" s="34">
        <v>4.5</v>
      </c>
      <c r="SJC5750" s="34">
        <v>5</v>
      </c>
      <c r="SJE5750" s="913"/>
      <c r="SJF5750" s="31">
        <v>1</v>
      </c>
      <c r="SJG5750" s="34">
        <v>0</v>
      </c>
      <c r="SJH5750" s="34">
        <v>-1</v>
      </c>
      <c r="SJI5750" s="34">
        <v>-2</v>
      </c>
      <c r="SJJ5750" s="34">
        <v>-3</v>
      </c>
      <c r="SJK5750" s="34">
        <v>-4</v>
      </c>
      <c r="SJL5750" s="34">
        <v>-5</v>
      </c>
      <c r="SJM5750" s="908"/>
      <c r="SJN5750" s="909"/>
      <c r="SJO5750" s="34">
        <v>-5</v>
      </c>
      <c r="SJP5750" s="34">
        <v>-4.5</v>
      </c>
      <c r="SJQ5750" s="34">
        <v>-4</v>
      </c>
      <c r="SJR5750" s="34">
        <v>-3.5</v>
      </c>
      <c r="SJS5750" s="34">
        <v>-3</v>
      </c>
      <c r="SJT5750" s="34">
        <v>-2.5</v>
      </c>
      <c r="SJU5750" s="34">
        <v>-2</v>
      </c>
      <c r="SJV5750" s="34">
        <v>-1.5</v>
      </c>
      <c r="SJW5750" s="34">
        <v>-1</v>
      </c>
      <c r="SJX5750" s="34">
        <v>-0.5</v>
      </c>
      <c r="SJY5750" s="34">
        <v>0</v>
      </c>
      <c r="SJZ5750" s="34">
        <v>0.5</v>
      </c>
      <c r="SKA5750" s="34">
        <v>1</v>
      </c>
      <c r="SKB5750" s="34">
        <v>1.5</v>
      </c>
      <c r="SKC5750" s="34">
        <v>2</v>
      </c>
      <c r="SKD5750" s="34">
        <v>2.5</v>
      </c>
      <c r="SKE5750" s="34">
        <v>3</v>
      </c>
      <c r="SKF5750" s="34">
        <v>3.5</v>
      </c>
      <c r="SKG5750" s="34">
        <v>4</v>
      </c>
      <c r="SKH5750" s="34">
        <v>4.5</v>
      </c>
      <c r="SKI5750" s="34">
        <v>5</v>
      </c>
      <c r="SKK5750" s="913"/>
      <c r="SKL5750" s="31">
        <v>1</v>
      </c>
      <c r="SKM5750" s="34">
        <v>0</v>
      </c>
      <c r="SKN5750" s="34">
        <v>-1</v>
      </c>
      <c r="SKO5750" s="34">
        <v>-2</v>
      </c>
      <c r="SKP5750" s="34">
        <v>-3</v>
      </c>
      <c r="SKQ5750" s="34">
        <v>-4</v>
      </c>
      <c r="SKR5750" s="34">
        <v>-5</v>
      </c>
      <c r="SKS5750" s="908"/>
      <c r="SKT5750" s="909"/>
      <c r="SKU5750" s="34">
        <v>-5</v>
      </c>
      <c r="SKV5750" s="34">
        <v>-4.5</v>
      </c>
      <c r="SKW5750" s="34">
        <v>-4</v>
      </c>
      <c r="SKX5750" s="34">
        <v>-3.5</v>
      </c>
      <c r="SKY5750" s="34">
        <v>-3</v>
      </c>
      <c r="SKZ5750" s="34">
        <v>-2.5</v>
      </c>
      <c r="SLA5750" s="34">
        <v>-2</v>
      </c>
      <c r="SLB5750" s="34">
        <v>-1.5</v>
      </c>
      <c r="SLC5750" s="34">
        <v>-1</v>
      </c>
      <c r="SLD5750" s="34">
        <v>-0.5</v>
      </c>
      <c r="SLE5750" s="34">
        <v>0</v>
      </c>
      <c r="SLF5750" s="34">
        <v>0.5</v>
      </c>
      <c r="SLG5750" s="34">
        <v>1</v>
      </c>
      <c r="SLH5750" s="34">
        <v>1.5</v>
      </c>
      <c r="SLI5750" s="34">
        <v>2</v>
      </c>
      <c r="SLJ5750" s="34">
        <v>2.5</v>
      </c>
      <c r="SLK5750" s="34">
        <v>3</v>
      </c>
      <c r="SLL5750" s="34">
        <v>3.5</v>
      </c>
      <c r="SLM5750" s="34">
        <v>4</v>
      </c>
      <c r="SLN5750" s="34">
        <v>4.5</v>
      </c>
      <c r="SLO5750" s="34">
        <v>5</v>
      </c>
      <c r="SLQ5750" s="913"/>
      <c r="SLR5750" s="31">
        <v>1</v>
      </c>
      <c r="SLS5750" s="34">
        <v>0</v>
      </c>
      <c r="SLT5750" s="34">
        <v>-1</v>
      </c>
      <c r="SLU5750" s="34">
        <v>-2</v>
      </c>
      <c r="SLV5750" s="34">
        <v>-3</v>
      </c>
      <c r="SLW5750" s="34">
        <v>-4</v>
      </c>
      <c r="SLX5750" s="34">
        <v>-5</v>
      </c>
      <c r="SLY5750" s="908"/>
      <c r="SLZ5750" s="909"/>
      <c r="SMA5750" s="34">
        <v>-5</v>
      </c>
      <c r="SMB5750" s="34">
        <v>-4.5</v>
      </c>
      <c r="SMC5750" s="34">
        <v>-4</v>
      </c>
      <c r="SMD5750" s="34">
        <v>-3.5</v>
      </c>
      <c r="SME5750" s="34">
        <v>-3</v>
      </c>
      <c r="SMF5750" s="34">
        <v>-2.5</v>
      </c>
      <c r="SMG5750" s="34">
        <v>-2</v>
      </c>
      <c r="SMH5750" s="34">
        <v>-1.5</v>
      </c>
      <c r="SMI5750" s="34">
        <v>-1</v>
      </c>
      <c r="SMJ5750" s="34">
        <v>-0.5</v>
      </c>
      <c r="SMK5750" s="34">
        <v>0</v>
      </c>
      <c r="SML5750" s="34">
        <v>0.5</v>
      </c>
      <c r="SMM5750" s="34">
        <v>1</v>
      </c>
      <c r="SMN5750" s="34">
        <v>1.5</v>
      </c>
      <c r="SMO5750" s="34">
        <v>2</v>
      </c>
      <c r="SMP5750" s="34">
        <v>2.5</v>
      </c>
      <c r="SMQ5750" s="34">
        <v>3</v>
      </c>
      <c r="SMR5750" s="34">
        <v>3.5</v>
      </c>
      <c r="SMS5750" s="34">
        <v>4</v>
      </c>
      <c r="SMT5750" s="34">
        <v>4.5</v>
      </c>
      <c r="SMU5750" s="34">
        <v>5</v>
      </c>
      <c r="SMW5750" s="913"/>
      <c r="SMX5750" s="31">
        <v>1</v>
      </c>
      <c r="SMY5750" s="34">
        <v>0</v>
      </c>
      <c r="SMZ5750" s="34">
        <v>-1</v>
      </c>
      <c r="SNA5750" s="34">
        <v>-2</v>
      </c>
      <c r="SNB5750" s="34">
        <v>-3</v>
      </c>
      <c r="SNC5750" s="34">
        <v>-4</v>
      </c>
      <c r="SND5750" s="34">
        <v>-5</v>
      </c>
      <c r="SNE5750" s="908"/>
      <c r="SNF5750" s="909"/>
      <c r="SNG5750" s="34">
        <v>-5</v>
      </c>
      <c r="SNH5750" s="34">
        <v>-4.5</v>
      </c>
      <c r="SNI5750" s="34">
        <v>-4</v>
      </c>
      <c r="SNJ5750" s="34">
        <v>-3.5</v>
      </c>
      <c r="SNK5750" s="34">
        <v>-3</v>
      </c>
      <c r="SNL5750" s="34">
        <v>-2.5</v>
      </c>
      <c r="SNM5750" s="34">
        <v>-2</v>
      </c>
      <c r="SNN5750" s="34">
        <v>-1.5</v>
      </c>
      <c r="SNO5750" s="34">
        <v>-1</v>
      </c>
      <c r="SNP5750" s="34">
        <v>-0.5</v>
      </c>
      <c r="SNQ5750" s="34">
        <v>0</v>
      </c>
      <c r="SNR5750" s="34">
        <v>0.5</v>
      </c>
      <c r="SNS5750" s="34">
        <v>1</v>
      </c>
      <c r="SNT5750" s="34">
        <v>1.5</v>
      </c>
      <c r="SNU5750" s="34">
        <v>2</v>
      </c>
      <c r="SNV5750" s="34">
        <v>2.5</v>
      </c>
      <c r="SNW5750" s="34">
        <v>3</v>
      </c>
      <c r="SNX5750" s="34">
        <v>3.5</v>
      </c>
      <c r="SNY5750" s="34">
        <v>4</v>
      </c>
      <c r="SNZ5750" s="34">
        <v>4.5</v>
      </c>
      <c r="SOA5750" s="34">
        <v>5</v>
      </c>
      <c r="SOC5750" s="913"/>
      <c r="SOD5750" s="31">
        <v>1</v>
      </c>
      <c r="SOE5750" s="34">
        <v>0</v>
      </c>
      <c r="SOF5750" s="34">
        <v>-1</v>
      </c>
      <c r="SOG5750" s="34">
        <v>-2</v>
      </c>
      <c r="SOH5750" s="34">
        <v>-3</v>
      </c>
      <c r="SOI5750" s="34">
        <v>-4</v>
      </c>
      <c r="SOJ5750" s="34">
        <v>-5</v>
      </c>
      <c r="SOK5750" s="908"/>
      <c r="SOL5750" s="909"/>
      <c r="SOM5750" s="34">
        <v>-5</v>
      </c>
      <c r="SON5750" s="34">
        <v>-4.5</v>
      </c>
      <c r="SOO5750" s="34">
        <v>-4</v>
      </c>
      <c r="SOP5750" s="34">
        <v>-3.5</v>
      </c>
      <c r="SOQ5750" s="34">
        <v>-3</v>
      </c>
      <c r="SOR5750" s="34">
        <v>-2.5</v>
      </c>
      <c r="SOS5750" s="34">
        <v>-2</v>
      </c>
      <c r="SOT5750" s="34">
        <v>-1.5</v>
      </c>
      <c r="SOU5750" s="34">
        <v>-1</v>
      </c>
      <c r="SOV5750" s="34">
        <v>-0.5</v>
      </c>
      <c r="SOW5750" s="34">
        <v>0</v>
      </c>
      <c r="SOX5750" s="34">
        <v>0.5</v>
      </c>
      <c r="SOY5750" s="34">
        <v>1</v>
      </c>
      <c r="SOZ5750" s="34">
        <v>1.5</v>
      </c>
      <c r="SPA5750" s="34">
        <v>2</v>
      </c>
      <c r="SPB5750" s="34">
        <v>2.5</v>
      </c>
      <c r="SPC5750" s="34">
        <v>3</v>
      </c>
      <c r="SPD5750" s="34">
        <v>3.5</v>
      </c>
      <c r="SPE5750" s="34">
        <v>4</v>
      </c>
      <c r="SPF5750" s="34">
        <v>4.5</v>
      </c>
      <c r="SPG5750" s="34">
        <v>5</v>
      </c>
      <c r="SPI5750" s="913"/>
      <c r="SPJ5750" s="31">
        <v>1</v>
      </c>
      <c r="SPK5750" s="34">
        <v>0</v>
      </c>
      <c r="SPL5750" s="34">
        <v>-1</v>
      </c>
      <c r="SPM5750" s="34">
        <v>-2</v>
      </c>
      <c r="SPN5750" s="34">
        <v>-3</v>
      </c>
      <c r="SPO5750" s="34">
        <v>-4</v>
      </c>
      <c r="SPP5750" s="34">
        <v>-5</v>
      </c>
      <c r="SPQ5750" s="908"/>
      <c r="SPR5750" s="909"/>
      <c r="SPS5750" s="34">
        <v>-5</v>
      </c>
      <c r="SPT5750" s="34">
        <v>-4.5</v>
      </c>
      <c r="SPU5750" s="34">
        <v>-4</v>
      </c>
      <c r="SPV5750" s="34">
        <v>-3.5</v>
      </c>
      <c r="SPW5750" s="34">
        <v>-3</v>
      </c>
      <c r="SPX5750" s="34">
        <v>-2.5</v>
      </c>
      <c r="SPY5750" s="34">
        <v>-2</v>
      </c>
      <c r="SPZ5750" s="34">
        <v>-1.5</v>
      </c>
      <c r="SQA5750" s="34">
        <v>-1</v>
      </c>
      <c r="SQB5750" s="34">
        <v>-0.5</v>
      </c>
      <c r="SQC5750" s="34">
        <v>0</v>
      </c>
      <c r="SQD5750" s="34">
        <v>0.5</v>
      </c>
      <c r="SQE5750" s="34">
        <v>1</v>
      </c>
      <c r="SQF5750" s="34">
        <v>1.5</v>
      </c>
      <c r="SQG5750" s="34">
        <v>2</v>
      </c>
      <c r="SQH5750" s="34">
        <v>2.5</v>
      </c>
      <c r="SQI5750" s="34">
        <v>3</v>
      </c>
      <c r="SQJ5750" s="34">
        <v>3.5</v>
      </c>
      <c r="SQK5750" s="34">
        <v>4</v>
      </c>
      <c r="SQL5750" s="34">
        <v>4.5</v>
      </c>
      <c r="SQM5750" s="34">
        <v>5</v>
      </c>
      <c r="SQO5750" s="913"/>
      <c r="SQP5750" s="31">
        <v>1</v>
      </c>
      <c r="SQQ5750" s="34">
        <v>0</v>
      </c>
      <c r="SQR5750" s="34">
        <v>-1</v>
      </c>
      <c r="SQS5750" s="34">
        <v>-2</v>
      </c>
      <c r="SQT5750" s="34">
        <v>-3</v>
      </c>
      <c r="SQU5750" s="34">
        <v>-4</v>
      </c>
      <c r="SQV5750" s="34">
        <v>-5</v>
      </c>
      <c r="SQW5750" s="908"/>
      <c r="SQX5750" s="909"/>
      <c r="SQY5750" s="34">
        <v>-5</v>
      </c>
      <c r="SQZ5750" s="34">
        <v>-4.5</v>
      </c>
      <c r="SRA5750" s="34">
        <v>-4</v>
      </c>
      <c r="SRB5750" s="34">
        <v>-3.5</v>
      </c>
      <c r="SRC5750" s="34">
        <v>-3</v>
      </c>
      <c r="SRD5750" s="34">
        <v>-2.5</v>
      </c>
      <c r="SRE5750" s="34">
        <v>-2</v>
      </c>
      <c r="SRF5750" s="34">
        <v>-1.5</v>
      </c>
      <c r="SRG5750" s="34">
        <v>-1</v>
      </c>
      <c r="SRH5750" s="34">
        <v>-0.5</v>
      </c>
      <c r="SRI5750" s="34">
        <v>0</v>
      </c>
      <c r="SRJ5750" s="34">
        <v>0.5</v>
      </c>
      <c r="SRK5750" s="34">
        <v>1</v>
      </c>
      <c r="SRL5750" s="34">
        <v>1.5</v>
      </c>
      <c r="SRM5750" s="34">
        <v>2</v>
      </c>
      <c r="SRN5750" s="34">
        <v>2.5</v>
      </c>
      <c r="SRO5750" s="34">
        <v>3</v>
      </c>
      <c r="SRP5750" s="34">
        <v>3.5</v>
      </c>
      <c r="SRQ5750" s="34">
        <v>4</v>
      </c>
      <c r="SRR5750" s="34">
        <v>4.5</v>
      </c>
      <c r="SRS5750" s="34">
        <v>5</v>
      </c>
      <c r="SRU5750" s="913"/>
      <c r="SRV5750" s="31">
        <v>1</v>
      </c>
      <c r="SRW5750" s="34">
        <v>0</v>
      </c>
      <c r="SRX5750" s="34">
        <v>-1</v>
      </c>
      <c r="SRY5750" s="34">
        <v>-2</v>
      </c>
      <c r="SRZ5750" s="34">
        <v>-3</v>
      </c>
      <c r="SSA5750" s="34">
        <v>-4</v>
      </c>
      <c r="SSB5750" s="34">
        <v>-5</v>
      </c>
      <c r="SSC5750" s="908"/>
      <c r="SSD5750" s="909"/>
      <c r="SSE5750" s="34">
        <v>-5</v>
      </c>
      <c r="SSF5750" s="34">
        <v>-4.5</v>
      </c>
      <c r="SSG5750" s="34">
        <v>-4</v>
      </c>
      <c r="SSH5750" s="34">
        <v>-3.5</v>
      </c>
      <c r="SSI5750" s="34">
        <v>-3</v>
      </c>
      <c r="SSJ5750" s="34">
        <v>-2.5</v>
      </c>
      <c r="SSK5750" s="34">
        <v>-2</v>
      </c>
      <c r="SSL5750" s="34">
        <v>-1.5</v>
      </c>
      <c r="SSM5750" s="34">
        <v>-1</v>
      </c>
      <c r="SSN5750" s="34">
        <v>-0.5</v>
      </c>
      <c r="SSO5750" s="34">
        <v>0</v>
      </c>
      <c r="SSP5750" s="34">
        <v>0.5</v>
      </c>
      <c r="SSQ5750" s="34">
        <v>1</v>
      </c>
      <c r="SSR5750" s="34">
        <v>1.5</v>
      </c>
      <c r="SSS5750" s="34">
        <v>2</v>
      </c>
      <c r="SST5750" s="34">
        <v>2.5</v>
      </c>
      <c r="SSU5750" s="34">
        <v>3</v>
      </c>
      <c r="SSV5750" s="34">
        <v>3.5</v>
      </c>
      <c r="SSW5750" s="34">
        <v>4</v>
      </c>
      <c r="SSX5750" s="34">
        <v>4.5</v>
      </c>
      <c r="SSY5750" s="34">
        <v>5</v>
      </c>
      <c r="STA5750" s="913"/>
      <c r="STB5750" s="31">
        <v>1</v>
      </c>
      <c r="STC5750" s="34">
        <v>0</v>
      </c>
      <c r="STD5750" s="34">
        <v>-1</v>
      </c>
      <c r="STE5750" s="34">
        <v>-2</v>
      </c>
      <c r="STF5750" s="34">
        <v>-3</v>
      </c>
      <c r="STG5750" s="34">
        <v>-4</v>
      </c>
      <c r="STH5750" s="34">
        <v>-5</v>
      </c>
      <c r="STI5750" s="908"/>
      <c r="STJ5750" s="909"/>
      <c r="STK5750" s="34">
        <v>-5</v>
      </c>
      <c r="STL5750" s="34">
        <v>-4.5</v>
      </c>
      <c r="STM5750" s="34">
        <v>-4</v>
      </c>
      <c r="STN5750" s="34">
        <v>-3.5</v>
      </c>
      <c r="STO5750" s="34">
        <v>-3</v>
      </c>
      <c r="STP5750" s="34">
        <v>-2.5</v>
      </c>
      <c r="STQ5750" s="34">
        <v>-2</v>
      </c>
      <c r="STR5750" s="34">
        <v>-1.5</v>
      </c>
      <c r="STS5750" s="34">
        <v>-1</v>
      </c>
      <c r="STT5750" s="34">
        <v>-0.5</v>
      </c>
      <c r="STU5750" s="34">
        <v>0</v>
      </c>
      <c r="STV5750" s="34">
        <v>0.5</v>
      </c>
      <c r="STW5750" s="34">
        <v>1</v>
      </c>
      <c r="STX5750" s="34">
        <v>1.5</v>
      </c>
      <c r="STY5750" s="34">
        <v>2</v>
      </c>
      <c r="STZ5750" s="34">
        <v>2.5</v>
      </c>
      <c r="SUA5750" s="34">
        <v>3</v>
      </c>
      <c r="SUB5750" s="34">
        <v>3.5</v>
      </c>
      <c r="SUC5750" s="34">
        <v>4</v>
      </c>
      <c r="SUD5750" s="34">
        <v>4.5</v>
      </c>
      <c r="SUE5750" s="34">
        <v>5</v>
      </c>
      <c r="SUG5750" s="913"/>
      <c r="SUH5750" s="31">
        <v>1</v>
      </c>
      <c r="SUI5750" s="34">
        <v>0</v>
      </c>
      <c r="SUJ5750" s="34">
        <v>-1</v>
      </c>
      <c r="SUK5750" s="34">
        <v>-2</v>
      </c>
      <c r="SUL5750" s="34">
        <v>-3</v>
      </c>
      <c r="SUM5750" s="34">
        <v>-4</v>
      </c>
      <c r="SUN5750" s="34">
        <v>-5</v>
      </c>
      <c r="SUO5750" s="908"/>
      <c r="SUP5750" s="909"/>
      <c r="SUQ5750" s="34">
        <v>-5</v>
      </c>
      <c r="SUR5750" s="34">
        <v>-4.5</v>
      </c>
      <c r="SUS5750" s="34">
        <v>-4</v>
      </c>
      <c r="SUT5750" s="34">
        <v>-3.5</v>
      </c>
      <c r="SUU5750" s="34">
        <v>-3</v>
      </c>
      <c r="SUV5750" s="34">
        <v>-2.5</v>
      </c>
      <c r="SUW5750" s="34">
        <v>-2</v>
      </c>
      <c r="SUX5750" s="34">
        <v>-1.5</v>
      </c>
      <c r="SUY5750" s="34">
        <v>-1</v>
      </c>
      <c r="SUZ5750" s="34">
        <v>-0.5</v>
      </c>
      <c r="SVA5750" s="34">
        <v>0</v>
      </c>
      <c r="SVB5750" s="34">
        <v>0.5</v>
      </c>
      <c r="SVC5750" s="34">
        <v>1</v>
      </c>
      <c r="SVD5750" s="34">
        <v>1.5</v>
      </c>
      <c r="SVE5750" s="34">
        <v>2</v>
      </c>
      <c r="SVF5750" s="34">
        <v>2.5</v>
      </c>
      <c r="SVG5750" s="34">
        <v>3</v>
      </c>
      <c r="SVH5750" s="34">
        <v>3.5</v>
      </c>
      <c r="SVI5750" s="34">
        <v>4</v>
      </c>
      <c r="SVJ5750" s="34">
        <v>4.5</v>
      </c>
      <c r="SVK5750" s="34">
        <v>5</v>
      </c>
      <c r="SVM5750" s="913"/>
      <c r="SVN5750" s="31">
        <v>1</v>
      </c>
      <c r="SVO5750" s="34">
        <v>0</v>
      </c>
      <c r="SVP5750" s="34">
        <v>-1</v>
      </c>
      <c r="SVQ5750" s="34">
        <v>-2</v>
      </c>
      <c r="SVR5750" s="34">
        <v>-3</v>
      </c>
      <c r="SVS5750" s="34">
        <v>-4</v>
      </c>
      <c r="SVT5750" s="34">
        <v>-5</v>
      </c>
      <c r="SVU5750" s="908"/>
      <c r="SVV5750" s="909"/>
      <c r="SVW5750" s="34">
        <v>-5</v>
      </c>
      <c r="SVX5750" s="34">
        <v>-4.5</v>
      </c>
      <c r="SVY5750" s="34">
        <v>-4</v>
      </c>
      <c r="SVZ5750" s="34">
        <v>-3.5</v>
      </c>
      <c r="SWA5750" s="34">
        <v>-3</v>
      </c>
      <c r="SWB5750" s="34">
        <v>-2.5</v>
      </c>
      <c r="SWC5750" s="34">
        <v>-2</v>
      </c>
      <c r="SWD5750" s="34">
        <v>-1.5</v>
      </c>
      <c r="SWE5750" s="34">
        <v>-1</v>
      </c>
      <c r="SWF5750" s="34">
        <v>-0.5</v>
      </c>
      <c r="SWG5750" s="34">
        <v>0</v>
      </c>
      <c r="SWH5750" s="34">
        <v>0.5</v>
      </c>
      <c r="SWI5750" s="34">
        <v>1</v>
      </c>
      <c r="SWJ5750" s="34">
        <v>1.5</v>
      </c>
      <c r="SWK5750" s="34">
        <v>2</v>
      </c>
      <c r="SWL5750" s="34">
        <v>2.5</v>
      </c>
      <c r="SWM5750" s="34">
        <v>3</v>
      </c>
      <c r="SWN5750" s="34">
        <v>3.5</v>
      </c>
      <c r="SWO5750" s="34">
        <v>4</v>
      </c>
      <c r="SWP5750" s="34">
        <v>4.5</v>
      </c>
      <c r="SWQ5750" s="34">
        <v>5</v>
      </c>
      <c r="SWS5750" s="913"/>
      <c r="SWT5750" s="31">
        <v>1</v>
      </c>
      <c r="SWU5750" s="34">
        <v>0</v>
      </c>
      <c r="SWV5750" s="34">
        <v>-1</v>
      </c>
      <c r="SWW5750" s="34">
        <v>-2</v>
      </c>
      <c r="SWX5750" s="34">
        <v>-3</v>
      </c>
      <c r="SWY5750" s="34">
        <v>-4</v>
      </c>
      <c r="SWZ5750" s="34">
        <v>-5</v>
      </c>
      <c r="SXA5750" s="908"/>
      <c r="SXB5750" s="909"/>
      <c r="SXC5750" s="34">
        <v>-5</v>
      </c>
      <c r="SXD5750" s="34">
        <v>-4.5</v>
      </c>
      <c r="SXE5750" s="34">
        <v>-4</v>
      </c>
      <c r="SXF5750" s="34">
        <v>-3.5</v>
      </c>
      <c r="SXG5750" s="34">
        <v>-3</v>
      </c>
      <c r="SXH5750" s="34">
        <v>-2.5</v>
      </c>
      <c r="SXI5750" s="34">
        <v>-2</v>
      </c>
      <c r="SXJ5750" s="34">
        <v>-1.5</v>
      </c>
      <c r="SXK5750" s="34">
        <v>-1</v>
      </c>
      <c r="SXL5750" s="34">
        <v>-0.5</v>
      </c>
      <c r="SXM5750" s="34">
        <v>0</v>
      </c>
      <c r="SXN5750" s="34">
        <v>0.5</v>
      </c>
      <c r="SXO5750" s="34">
        <v>1</v>
      </c>
      <c r="SXP5750" s="34">
        <v>1.5</v>
      </c>
      <c r="SXQ5750" s="34">
        <v>2</v>
      </c>
      <c r="SXR5750" s="34">
        <v>2.5</v>
      </c>
      <c r="SXS5750" s="34">
        <v>3</v>
      </c>
      <c r="SXT5750" s="34">
        <v>3.5</v>
      </c>
      <c r="SXU5750" s="34">
        <v>4</v>
      </c>
      <c r="SXV5750" s="34">
        <v>4.5</v>
      </c>
      <c r="SXW5750" s="34">
        <v>5</v>
      </c>
      <c r="SXY5750" s="913"/>
      <c r="SXZ5750" s="31">
        <v>1</v>
      </c>
      <c r="SYA5750" s="34">
        <v>0</v>
      </c>
      <c r="SYB5750" s="34">
        <v>-1</v>
      </c>
      <c r="SYC5750" s="34">
        <v>-2</v>
      </c>
      <c r="SYD5750" s="34">
        <v>-3</v>
      </c>
      <c r="SYE5750" s="34">
        <v>-4</v>
      </c>
      <c r="SYF5750" s="34">
        <v>-5</v>
      </c>
      <c r="SYG5750" s="908"/>
      <c r="SYH5750" s="909"/>
      <c r="SYI5750" s="34">
        <v>-5</v>
      </c>
      <c r="SYJ5750" s="34">
        <v>-4.5</v>
      </c>
      <c r="SYK5750" s="34">
        <v>-4</v>
      </c>
      <c r="SYL5750" s="34">
        <v>-3.5</v>
      </c>
      <c r="SYM5750" s="34">
        <v>-3</v>
      </c>
      <c r="SYN5750" s="34">
        <v>-2.5</v>
      </c>
      <c r="SYO5750" s="34">
        <v>-2</v>
      </c>
      <c r="SYP5750" s="34">
        <v>-1.5</v>
      </c>
      <c r="SYQ5750" s="34">
        <v>-1</v>
      </c>
      <c r="SYR5750" s="34">
        <v>-0.5</v>
      </c>
      <c r="SYS5750" s="34">
        <v>0</v>
      </c>
      <c r="SYT5750" s="34">
        <v>0.5</v>
      </c>
      <c r="SYU5750" s="34">
        <v>1</v>
      </c>
      <c r="SYV5750" s="34">
        <v>1.5</v>
      </c>
      <c r="SYW5750" s="34">
        <v>2</v>
      </c>
      <c r="SYX5750" s="34">
        <v>2.5</v>
      </c>
      <c r="SYY5750" s="34">
        <v>3</v>
      </c>
      <c r="SYZ5750" s="34">
        <v>3.5</v>
      </c>
      <c r="SZA5750" s="34">
        <v>4</v>
      </c>
      <c r="SZB5750" s="34">
        <v>4.5</v>
      </c>
      <c r="SZC5750" s="34">
        <v>5</v>
      </c>
      <c r="SZE5750" s="913"/>
      <c r="SZF5750" s="31">
        <v>1</v>
      </c>
      <c r="SZG5750" s="34">
        <v>0</v>
      </c>
      <c r="SZH5750" s="34">
        <v>-1</v>
      </c>
      <c r="SZI5750" s="34">
        <v>-2</v>
      </c>
      <c r="SZJ5750" s="34">
        <v>-3</v>
      </c>
      <c r="SZK5750" s="34">
        <v>-4</v>
      </c>
      <c r="SZL5750" s="34">
        <v>-5</v>
      </c>
      <c r="SZM5750" s="908"/>
      <c r="SZN5750" s="909"/>
      <c r="SZO5750" s="34">
        <v>-5</v>
      </c>
      <c r="SZP5750" s="34">
        <v>-4.5</v>
      </c>
      <c r="SZQ5750" s="34">
        <v>-4</v>
      </c>
      <c r="SZR5750" s="34">
        <v>-3.5</v>
      </c>
      <c r="SZS5750" s="34">
        <v>-3</v>
      </c>
      <c r="SZT5750" s="34">
        <v>-2.5</v>
      </c>
      <c r="SZU5750" s="34">
        <v>-2</v>
      </c>
      <c r="SZV5750" s="34">
        <v>-1.5</v>
      </c>
      <c r="SZW5750" s="34">
        <v>-1</v>
      </c>
      <c r="SZX5750" s="34">
        <v>-0.5</v>
      </c>
      <c r="SZY5750" s="34">
        <v>0</v>
      </c>
      <c r="SZZ5750" s="34">
        <v>0.5</v>
      </c>
      <c r="TAA5750" s="34">
        <v>1</v>
      </c>
      <c r="TAB5750" s="34">
        <v>1.5</v>
      </c>
      <c r="TAC5750" s="34">
        <v>2</v>
      </c>
      <c r="TAD5750" s="34">
        <v>2.5</v>
      </c>
      <c r="TAE5750" s="34">
        <v>3</v>
      </c>
      <c r="TAF5750" s="34">
        <v>3.5</v>
      </c>
      <c r="TAG5750" s="34">
        <v>4</v>
      </c>
      <c r="TAH5750" s="34">
        <v>4.5</v>
      </c>
      <c r="TAI5750" s="34">
        <v>5</v>
      </c>
      <c r="TAK5750" s="913"/>
      <c r="TAL5750" s="31">
        <v>1</v>
      </c>
      <c r="TAM5750" s="34">
        <v>0</v>
      </c>
      <c r="TAN5750" s="34">
        <v>-1</v>
      </c>
      <c r="TAO5750" s="34">
        <v>-2</v>
      </c>
      <c r="TAP5750" s="34">
        <v>-3</v>
      </c>
      <c r="TAQ5750" s="34">
        <v>-4</v>
      </c>
      <c r="TAR5750" s="34">
        <v>-5</v>
      </c>
      <c r="TAS5750" s="908"/>
      <c r="TAT5750" s="909"/>
      <c r="TAU5750" s="34">
        <v>-5</v>
      </c>
      <c r="TAV5750" s="34">
        <v>-4.5</v>
      </c>
      <c r="TAW5750" s="34">
        <v>-4</v>
      </c>
      <c r="TAX5750" s="34">
        <v>-3.5</v>
      </c>
      <c r="TAY5750" s="34">
        <v>-3</v>
      </c>
      <c r="TAZ5750" s="34">
        <v>-2.5</v>
      </c>
      <c r="TBA5750" s="34">
        <v>-2</v>
      </c>
      <c r="TBB5750" s="34">
        <v>-1.5</v>
      </c>
      <c r="TBC5750" s="34">
        <v>-1</v>
      </c>
      <c r="TBD5750" s="34">
        <v>-0.5</v>
      </c>
      <c r="TBE5750" s="34">
        <v>0</v>
      </c>
      <c r="TBF5750" s="34">
        <v>0.5</v>
      </c>
      <c r="TBG5750" s="34">
        <v>1</v>
      </c>
      <c r="TBH5750" s="34">
        <v>1.5</v>
      </c>
      <c r="TBI5750" s="34">
        <v>2</v>
      </c>
      <c r="TBJ5750" s="34">
        <v>2.5</v>
      </c>
      <c r="TBK5750" s="34">
        <v>3</v>
      </c>
      <c r="TBL5750" s="34">
        <v>3.5</v>
      </c>
      <c r="TBM5750" s="34">
        <v>4</v>
      </c>
      <c r="TBN5750" s="34">
        <v>4.5</v>
      </c>
      <c r="TBO5750" s="34">
        <v>5</v>
      </c>
      <c r="TBQ5750" s="913"/>
      <c r="TBR5750" s="31">
        <v>1</v>
      </c>
      <c r="TBS5750" s="34">
        <v>0</v>
      </c>
      <c r="TBT5750" s="34">
        <v>-1</v>
      </c>
      <c r="TBU5750" s="34">
        <v>-2</v>
      </c>
      <c r="TBV5750" s="34">
        <v>-3</v>
      </c>
      <c r="TBW5750" s="34">
        <v>-4</v>
      </c>
      <c r="TBX5750" s="34">
        <v>-5</v>
      </c>
      <c r="TBY5750" s="908"/>
      <c r="TBZ5750" s="909"/>
      <c r="TCA5750" s="34">
        <v>-5</v>
      </c>
      <c r="TCB5750" s="34">
        <v>-4.5</v>
      </c>
      <c r="TCC5750" s="34">
        <v>-4</v>
      </c>
      <c r="TCD5750" s="34">
        <v>-3.5</v>
      </c>
      <c r="TCE5750" s="34">
        <v>-3</v>
      </c>
      <c r="TCF5750" s="34">
        <v>-2.5</v>
      </c>
      <c r="TCG5750" s="34">
        <v>-2</v>
      </c>
      <c r="TCH5750" s="34">
        <v>-1.5</v>
      </c>
      <c r="TCI5750" s="34">
        <v>-1</v>
      </c>
      <c r="TCJ5750" s="34">
        <v>-0.5</v>
      </c>
      <c r="TCK5750" s="34">
        <v>0</v>
      </c>
      <c r="TCL5750" s="34">
        <v>0.5</v>
      </c>
      <c r="TCM5750" s="34">
        <v>1</v>
      </c>
      <c r="TCN5750" s="34">
        <v>1.5</v>
      </c>
      <c r="TCO5750" s="34">
        <v>2</v>
      </c>
      <c r="TCP5750" s="34">
        <v>2.5</v>
      </c>
      <c r="TCQ5750" s="34">
        <v>3</v>
      </c>
      <c r="TCR5750" s="34">
        <v>3.5</v>
      </c>
      <c r="TCS5750" s="34">
        <v>4</v>
      </c>
      <c r="TCT5750" s="34">
        <v>4.5</v>
      </c>
      <c r="TCU5750" s="34">
        <v>5</v>
      </c>
      <c r="TCW5750" s="913"/>
      <c r="TCX5750" s="31">
        <v>1</v>
      </c>
      <c r="TCY5750" s="34">
        <v>0</v>
      </c>
      <c r="TCZ5750" s="34">
        <v>-1</v>
      </c>
      <c r="TDA5750" s="34">
        <v>-2</v>
      </c>
      <c r="TDB5750" s="34">
        <v>-3</v>
      </c>
      <c r="TDC5750" s="34">
        <v>-4</v>
      </c>
      <c r="TDD5750" s="34">
        <v>-5</v>
      </c>
      <c r="TDE5750" s="908"/>
      <c r="TDF5750" s="909"/>
      <c r="TDG5750" s="34">
        <v>-5</v>
      </c>
      <c r="TDH5750" s="34">
        <v>-4.5</v>
      </c>
      <c r="TDI5750" s="34">
        <v>-4</v>
      </c>
      <c r="TDJ5750" s="34">
        <v>-3.5</v>
      </c>
      <c r="TDK5750" s="34">
        <v>-3</v>
      </c>
      <c r="TDL5750" s="34">
        <v>-2.5</v>
      </c>
      <c r="TDM5750" s="34">
        <v>-2</v>
      </c>
      <c r="TDN5750" s="34">
        <v>-1.5</v>
      </c>
      <c r="TDO5750" s="34">
        <v>-1</v>
      </c>
      <c r="TDP5750" s="34">
        <v>-0.5</v>
      </c>
      <c r="TDQ5750" s="34">
        <v>0</v>
      </c>
      <c r="TDR5750" s="34">
        <v>0.5</v>
      </c>
      <c r="TDS5750" s="34">
        <v>1</v>
      </c>
      <c r="TDT5750" s="34">
        <v>1.5</v>
      </c>
      <c r="TDU5750" s="34">
        <v>2</v>
      </c>
      <c r="TDV5750" s="34">
        <v>2.5</v>
      </c>
      <c r="TDW5750" s="34">
        <v>3</v>
      </c>
      <c r="TDX5750" s="34">
        <v>3.5</v>
      </c>
      <c r="TDY5750" s="34">
        <v>4</v>
      </c>
      <c r="TDZ5750" s="34">
        <v>4.5</v>
      </c>
      <c r="TEA5750" s="34">
        <v>5</v>
      </c>
      <c r="TEC5750" s="913"/>
      <c r="TED5750" s="31">
        <v>1</v>
      </c>
      <c r="TEE5750" s="34">
        <v>0</v>
      </c>
      <c r="TEF5750" s="34">
        <v>-1</v>
      </c>
      <c r="TEG5750" s="34">
        <v>-2</v>
      </c>
      <c r="TEH5750" s="34">
        <v>-3</v>
      </c>
      <c r="TEI5750" s="34">
        <v>-4</v>
      </c>
      <c r="TEJ5750" s="34">
        <v>-5</v>
      </c>
      <c r="TEK5750" s="908"/>
      <c r="TEL5750" s="909"/>
      <c r="TEM5750" s="34">
        <v>-5</v>
      </c>
      <c r="TEN5750" s="34">
        <v>-4.5</v>
      </c>
      <c r="TEO5750" s="34">
        <v>-4</v>
      </c>
      <c r="TEP5750" s="34">
        <v>-3.5</v>
      </c>
      <c r="TEQ5750" s="34">
        <v>-3</v>
      </c>
      <c r="TER5750" s="34">
        <v>-2.5</v>
      </c>
      <c r="TES5750" s="34">
        <v>-2</v>
      </c>
      <c r="TET5750" s="34">
        <v>-1.5</v>
      </c>
      <c r="TEU5750" s="34">
        <v>-1</v>
      </c>
      <c r="TEV5750" s="34">
        <v>-0.5</v>
      </c>
      <c r="TEW5750" s="34">
        <v>0</v>
      </c>
      <c r="TEX5750" s="34">
        <v>0.5</v>
      </c>
      <c r="TEY5750" s="34">
        <v>1</v>
      </c>
      <c r="TEZ5750" s="34">
        <v>1.5</v>
      </c>
      <c r="TFA5750" s="34">
        <v>2</v>
      </c>
      <c r="TFB5750" s="34">
        <v>2.5</v>
      </c>
      <c r="TFC5750" s="34">
        <v>3</v>
      </c>
      <c r="TFD5750" s="34">
        <v>3.5</v>
      </c>
      <c r="TFE5750" s="34">
        <v>4</v>
      </c>
      <c r="TFF5750" s="34">
        <v>4.5</v>
      </c>
      <c r="TFG5750" s="34">
        <v>5</v>
      </c>
      <c r="TFI5750" s="913"/>
      <c r="TFJ5750" s="31">
        <v>1</v>
      </c>
      <c r="TFK5750" s="34">
        <v>0</v>
      </c>
      <c r="TFL5750" s="34">
        <v>-1</v>
      </c>
      <c r="TFM5750" s="34">
        <v>-2</v>
      </c>
      <c r="TFN5750" s="34">
        <v>-3</v>
      </c>
      <c r="TFO5750" s="34">
        <v>-4</v>
      </c>
      <c r="TFP5750" s="34">
        <v>-5</v>
      </c>
      <c r="TFQ5750" s="908"/>
      <c r="TFR5750" s="909"/>
      <c r="TFS5750" s="34">
        <v>-5</v>
      </c>
      <c r="TFT5750" s="34">
        <v>-4.5</v>
      </c>
      <c r="TFU5750" s="34">
        <v>-4</v>
      </c>
      <c r="TFV5750" s="34">
        <v>-3.5</v>
      </c>
      <c r="TFW5750" s="34">
        <v>-3</v>
      </c>
      <c r="TFX5750" s="34">
        <v>-2.5</v>
      </c>
      <c r="TFY5750" s="34">
        <v>-2</v>
      </c>
      <c r="TFZ5750" s="34">
        <v>-1.5</v>
      </c>
      <c r="TGA5750" s="34">
        <v>-1</v>
      </c>
      <c r="TGB5750" s="34">
        <v>-0.5</v>
      </c>
      <c r="TGC5750" s="34">
        <v>0</v>
      </c>
      <c r="TGD5750" s="34">
        <v>0.5</v>
      </c>
      <c r="TGE5750" s="34">
        <v>1</v>
      </c>
      <c r="TGF5750" s="34">
        <v>1.5</v>
      </c>
      <c r="TGG5750" s="34">
        <v>2</v>
      </c>
      <c r="TGH5750" s="34">
        <v>2.5</v>
      </c>
      <c r="TGI5750" s="34">
        <v>3</v>
      </c>
      <c r="TGJ5750" s="34">
        <v>3.5</v>
      </c>
      <c r="TGK5750" s="34">
        <v>4</v>
      </c>
      <c r="TGL5750" s="34">
        <v>4.5</v>
      </c>
      <c r="TGM5750" s="34">
        <v>5</v>
      </c>
      <c r="TGO5750" s="913"/>
      <c r="TGP5750" s="31">
        <v>1</v>
      </c>
      <c r="TGQ5750" s="34">
        <v>0</v>
      </c>
      <c r="TGR5750" s="34">
        <v>-1</v>
      </c>
      <c r="TGS5750" s="34">
        <v>-2</v>
      </c>
      <c r="TGT5750" s="34">
        <v>-3</v>
      </c>
      <c r="TGU5750" s="34">
        <v>-4</v>
      </c>
      <c r="TGV5750" s="34">
        <v>-5</v>
      </c>
      <c r="TGW5750" s="908"/>
      <c r="TGX5750" s="909"/>
      <c r="TGY5750" s="34">
        <v>-5</v>
      </c>
      <c r="TGZ5750" s="34">
        <v>-4.5</v>
      </c>
      <c r="THA5750" s="34">
        <v>-4</v>
      </c>
      <c r="THB5750" s="34">
        <v>-3.5</v>
      </c>
      <c r="THC5750" s="34">
        <v>-3</v>
      </c>
      <c r="THD5750" s="34">
        <v>-2.5</v>
      </c>
      <c r="THE5750" s="34">
        <v>-2</v>
      </c>
      <c r="THF5750" s="34">
        <v>-1.5</v>
      </c>
      <c r="THG5750" s="34">
        <v>-1</v>
      </c>
      <c r="THH5750" s="34">
        <v>-0.5</v>
      </c>
      <c r="THI5750" s="34">
        <v>0</v>
      </c>
      <c r="THJ5750" s="34">
        <v>0.5</v>
      </c>
      <c r="THK5750" s="34">
        <v>1</v>
      </c>
      <c r="THL5750" s="34">
        <v>1.5</v>
      </c>
      <c r="THM5750" s="34">
        <v>2</v>
      </c>
      <c r="THN5750" s="34">
        <v>2.5</v>
      </c>
      <c r="THO5750" s="34">
        <v>3</v>
      </c>
      <c r="THP5750" s="34">
        <v>3.5</v>
      </c>
      <c r="THQ5750" s="34">
        <v>4</v>
      </c>
      <c r="THR5750" s="34">
        <v>4.5</v>
      </c>
      <c r="THS5750" s="34">
        <v>5</v>
      </c>
      <c r="THU5750" s="913"/>
      <c r="THV5750" s="31">
        <v>1</v>
      </c>
      <c r="THW5750" s="34">
        <v>0</v>
      </c>
      <c r="THX5750" s="34">
        <v>-1</v>
      </c>
      <c r="THY5750" s="34">
        <v>-2</v>
      </c>
      <c r="THZ5750" s="34">
        <v>-3</v>
      </c>
      <c r="TIA5750" s="34">
        <v>-4</v>
      </c>
      <c r="TIB5750" s="34">
        <v>-5</v>
      </c>
      <c r="TIC5750" s="908"/>
      <c r="TID5750" s="909"/>
      <c r="TIE5750" s="34">
        <v>-5</v>
      </c>
      <c r="TIF5750" s="34">
        <v>-4.5</v>
      </c>
      <c r="TIG5750" s="34">
        <v>-4</v>
      </c>
      <c r="TIH5750" s="34">
        <v>-3.5</v>
      </c>
      <c r="TII5750" s="34">
        <v>-3</v>
      </c>
      <c r="TIJ5750" s="34">
        <v>-2.5</v>
      </c>
      <c r="TIK5750" s="34">
        <v>-2</v>
      </c>
      <c r="TIL5750" s="34">
        <v>-1.5</v>
      </c>
      <c r="TIM5750" s="34">
        <v>-1</v>
      </c>
      <c r="TIN5750" s="34">
        <v>-0.5</v>
      </c>
      <c r="TIO5750" s="34">
        <v>0</v>
      </c>
      <c r="TIP5750" s="34">
        <v>0.5</v>
      </c>
      <c r="TIQ5750" s="34">
        <v>1</v>
      </c>
      <c r="TIR5750" s="34">
        <v>1.5</v>
      </c>
      <c r="TIS5750" s="34">
        <v>2</v>
      </c>
      <c r="TIT5750" s="34">
        <v>2.5</v>
      </c>
      <c r="TIU5750" s="34">
        <v>3</v>
      </c>
      <c r="TIV5750" s="34">
        <v>3.5</v>
      </c>
      <c r="TIW5750" s="34">
        <v>4</v>
      </c>
      <c r="TIX5750" s="34">
        <v>4.5</v>
      </c>
      <c r="TIY5750" s="34">
        <v>5</v>
      </c>
      <c r="TJA5750" s="913"/>
      <c r="TJB5750" s="31">
        <v>1</v>
      </c>
      <c r="TJC5750" s="34">
        <v>0</v>
      </c>
      <c r="TJD5750" s="34">
        <v>-1</v>
      </c>
      <c r="TJE5750" s="34">
        <v>-2</v>
      </c>
      <c r="TJF5750" s="34">
        <v>-3</v>
      </c>
      <c r="TJG5750" s="34">
        <v>-4</v>
      </c>
      <c r="TJH5750" s="34">
        <v>-5</v>
      </c>
      <c r="TJI5750" s="908"/>
      <c r="TJJ5750" s="909"/>
      <c r="TJK5750" s="34">
        <v>-5</v>
      </c>
      <c r="TJL5750" s="34">
        <v>-4.5</v>
      </c>
      <c r="TJM5750" s="34">
        <v>-4</v>
      </c>
      <c r="TJN5750" s="34">
        <v>-3.5</v>
      </c>
      <c r="TJO5750" s="34">
        <v>-3</v>
      </c>
      <c r="TJP5750" s="34">
        <v>-2.5</v>
      </c>
      <c r="TJQ5750" s="34">
        <v>-2</v>
      </c>
      <c r="TJR5750" s="34">
        <v>-1.5</v>
      </c>
      <c r="TJS5750" s="34">
        <v>-1</v>
      </c>
      <c r="TJT5750" s="34">
        <v>-0.5</v>
      </c>
      <c r="TJU5750" s="34">
        <v>0</v>
      </c>
      <c r="TJV5750" s="34">
        <v>0.5</v>
      </c>
      <c r="TJW5750" s="34">
        <v>1</v>
      </c>
      <c r="TJX5750" s="34">
        <v>1.5</v>
      </c>
      <c r="TJY5750" s="34">
        <v>2</v>
      </c>
      <c r="TJZ5750" s="34">
        <v>2.5</v>
      </c>
      <c r="TKA5750" s="34">
        <v>3</v>
      </c>
      <c r="TKB5750" s="34">
        <v>3.5</v>
      </c>
      <c r="TKC5750" s="34">
        <v>4</v>
      </c>
      <c r="TKD5750" s="34">
        <v>4.5</v>
      </c>
      <c r="TKE5750" s="34">
        <v>5</v>
      </c>
      <c r="TKG5750" s="913"/>
      <c r="TKH5750" s="31">
        <v>1</v>
      </c>
      <c r="TKI5750" s="34">
        <v>0</v>
      </c>
      <c r="TKJ5750" s="34">
        <v>-1</v>
      </c>
      <c r="TKK5750" s="34">
        <v>-2</v>
      </c>
      <c r="TKL5750" s="34">
        <v>-3</v>
      </c>
      <c r="TKM5750" s="34">
        <v>-4</v>
      </c>
      <c r="TKN5750" s="34">
        <v>-5</v>
      </c>
      <c r="TKO5750" s="908"/>
      <c r="TKP5750" s="909"/>
      <c r="TKQ5750" s="34">
        <v>-5</v>
      </c>
      <c r="TKR5750" s="34">
        <v>-4.5</v>
      </c>
      <c r="TKS5750" s="34">
        <v>-4</v>
      </c>
      <c r="TKT5750" s="34">
        <v>-3.5</v>
      </c>
      <c r="TKU5750" s="34">
        <v>-3</v>
      </c>
      <c r="TKV5750" s="34">
        <v>-2.5</v>
      </c>
      <c r="TKW5750" s="34">
        <v>-2</v>
      </c>
      <c r="TKX5750" s="34">
        <v>-1.5</v>
      </c>
      <c r="TKY5750" s="34">
        <v>-1</v>
      </c>
      <c r="TKZ5750" s="34">
        <v>-0.5</v>
      </c>
      <c r="TLA5750" s="34">
        <v>0</v>
      </c>
      <c r="TLB5750" s="34">
        <v>0.5</v>
      </c>
      <c r="TLC5750" s="34">
        <v>1</v>
      </c>
      <c r="TLD5750" s="34">
        <v>1.5</v>
      </c>
      <c r="TLE5750" s="34">
        <v>2</v>
      </c>
      <c r="TLF5750" s="34">
        <v>2.5</v>
      </c>
      <c r="TLG5750" s="34">
        <v>3</v>
      </c>
      <c r="TLH5750" s="34">
        <v>3.5</v>
      </c>
      <c r="TLI5750" s="34">
        <v>4</v>
      </c>
      <c r="TLJ5750" s="34">
        <v>4.5</v>
      </c>
      <c r="TLK5750" s="34">
        <v>5</v>
      </c>
      <c r="TLM5750" s="913"/>
      <c r="TLN5750" s="31">
        <v>1</v>
      </c>
      <c r="TLO5750" s="34">
        <v>0</v>
      </c>
      <c r="TLP5750" s="34">
        <v>-1</v>
      </c>
      <c r="TLQ5750" s="34">
        <v>-2</v>
      </c>
      <c r="TLR5750" s="34">
        <v>-3</v>
      </c>
      <c r="TLS5750" s="34">
        <v>-4</v>
      </c>
      <c r="TLT5750" s="34">
        <v>-5</v>
      </c>
      <c r="TLU5750" s="908"/>
      <c r="TLV5750" s="909"/>
      <c r="TLW5750" s="34">
        <v>-5</v>
      </c>
      <c r="TLX5750" s="34">
        <v>-4.5</v>
      </c>
      <c r="TLY5750" s="34">
        <v>-4</v>
      </c>
      <c r="TLZ5750" s="34">
        <v>-3.5</v>
      </c>
      <c r="TMA5750" s="34">
        <v>-3</v>
      </c>
      <c r="TMB5750" s="34">
        <v>-2.5</v>
      </c>
      <c r="TMC5750" s="34">
        <v>-2</v>
      </c>
      <c r="TMD5750" s="34">
        <v>-1.5</v>
      </c>
      <c r="TME5750" s="34">
        <v>-1</v>
      </c>
      <c r="TMF5750" s="34">
        <v>-0.5</v>
      </c>
      <c r="TMG5750" s="34">
        <v>0</v>
      </c>
      <c r="TMH5750" s="34">
        <v>0.5</v>
      </c>
      <c r="TMI5750" s="34">
        <v>1</v>
      </c>
      <c r="TMJ5750" s="34">
        <v>1.5</v>
      </c>
      <c r="TMK5750" s="34">
        <v>2</v>
      </c>
      <c r="TML5750" s="34">
        <v>2.5</v>
      </c>
      <c r="TMM5750" s="34">
        <v>3</v>
      </c>
      <c r="TMN5750" s="34">
        <v>3.5</v>
      </c>
      <c r="TMO5750" s="34">
        <v>4</v>
      </c>
      <c r="TMP5750" s="34">
        <v>4.5</v>
      </c>
      <c r="TMQ5750" s="34">
        <v>5</v>
      </c>
      <c r="TMS5750" s="913"/>
      <c r="TMT5750" s="31">
        <v>1</v>
      </c>
      <c r="TMU5750" s="34">
        <v>0</v>
      </c>
      <c r="TMV5750" s="34">
        <v>-1</v>
      </c>
      <c r="TMW5750" s="34">
        <v>-2</v>
      </c>
      <c r="TMX5750" s="34">
        <v>-3</v>
      </c>
      <c r="TMY5750" s="34">
        <v>-4</v>
      </c>
      <c r="TMZ5750" s="34">
        <v>-5</v>
      </c>
      <c r="TNA5750" s="908"/>
      <c r="TNB5750" s="909"/>
      <c r="TNC5750" s="34">
        <v>-5</v>
      </c>
      <c r="TND5750" s="34">
        <v>-4.5</v>
      </c>
      <c r="TNE5750" s="34">
        <v>-4</v>
      </c>
      <c r="TNF5750" s="34">
        <v>-3.5</v>
      </c>
      <c r="TNG5750" s="34">
        <v>-3</v>
      </c>
      <c r="TNH5750" s="34">
        <v>-2.5</v>
      </c>
      <c r="TNI5750" s="34">
        <v>-2</v>
      </c>
      <c r="TNJ5750" s="34">
        <v>-1.5</v>
      </c>
      <c r="TNK5750" s="34">
        <v>-1</v>
      </c>
      <c r="TNL5750" s="34">
        <v>-0.5</v>
      </c>
      <c r="TNM5750" s="34">
        <v>0</v>
      </c>
      <c r="TNN5750" s="34">
        <v>0.5</v>
      </c>
      <c r="TNO5750" s="34">
        <v>1</v>
      </c>
      <c r="TNP5750" s="34">
        <v>1.5</v>
      </c>
      <c r="TNQ5750" s="34">
        <v>2</v>
      </c>
      <c r="TNR5750" s="34">
        <v>2.5</v>
      </c>
      <c r="TNS5750" s="34">
        <v>3</v>
      </c>
      <c r="TNT5750" s="34">
        <v>3.5</v>
      </c>
      <c r="TNU5750" s="34">
        <v>4</v>
      </c>
      <c r="TNV5750" s="34">
        <v>4.5</v>
      </c>
      <c r="TNW5750" s="34">
        <v>5</v>
      </c>
      <c r="TNY5750" s="913"/>
      <c r="TNZ5750" s="31">
        <v>1</v>
      </c>
      <c r="TOA5750" s="34">
        <v>0</v>
      </c>
      <c r="TOB5750" s="34">
        <v>-1</v>
      </c>
      <c r="TOC5750" s="34">
        <v>-2</v>
      </c>
      <c r="TOD5750" s="34">
        <v>-3</v>
      </c>
      <c r="TOE5750" s="34">
        <v>-4</v>
      </c>
      <c r="TOF5750" s="34">
        <v>-5</v>
      </c>
      <c r="TOG5750" s="908"/>
      <c r="TOH5750" s="909"/>
      <c r="TOI5750" s="34">
        <v>-5</v>
      </c>
      <c r="TOJ5750" s="34">
        <v>-4.5</v>
      </c>
      <c r="TOK5750" s="34">
        <v>-4</v>
      </c>
      <c r="TOL5750" s="34">
        <v>-3.5</v>
      </c>
      <c r="TOM5750" s="34">
        <v>-3</v>
      </c>
      <c r="TON5750" s="34">
        <v>-2.5</v>
      </c>
      <c r="TOO5750" s="34">
        <v>-2</v>
      </c>
      <c r="TOP5750" s="34">
        <v>-1.5</v>
      </c>
      <c r="TOQ5750" s="34">
        <v>-1</v>
      </c>
      <c r="TOR5750" s="34">
        <v>-0.5</v>
      </c>
      <c r="TOS5750" s="34">
        <v>0</v>
      </c>
      <c r="TOT5750" s="34">
        <v>0.5</v>
      </c>
      <c r="TOU5750" s="34">
        <v>1</v>
      </c>
      <c r="TOV5750" s="34">
        <v>1.5</v>
      </c>
      <c r="TOW5750" s="34">
        <v>2</v>
      </c>
      <c r="TOX5750" s="34">
        <v>2.5</v>
      </c>
      <c r="TOY5750" s="34">
        <v>3</v>
      </c>
      <c r="TOZ5750" s="34">
        <v>3.5</v>
      </c>
      <c r="TPA5750" s="34">
        <v>4</v>
      </c>
      <c r="TPB5750" s="34">
        <v>4.5</v>
      </c>
      <c r="TPC5750" s="34">
        <v>5</v>
      </c>
      <c r="TPE5750" s="913"/>
      <c r="TPF5750" s="31">
        <v>1</v>
      </c>
      <c r="TPG5750" s="34">
        <v>0</v>
      </c>
      <c r="TPH5750" s="34">
        <v>-1</v>
      </c>
      <c r="TPI5750" s="34">
        <v>-2</v>
      </c>
      <c r="TPJ5750" s="34">
        <v>-3</v>
      </c>
      <c r="TPK5750" s="34">
        <v>-4</v>
      </c>
      <c r="TPL5750" s="34">
        <v>-5</v>
      </c>
      <c r="TPM5750" s="908"/>
      <c r="TPN5750" s="909"/>
      <c r="TPO5750" s="34">
        <v>-5</v>
      </c>
      <c r="TPP5750" s="34">
        <v>-4.5</v>
      </c>
      <c r="TPQ5750" s="34">
        <v>-4</v>
      </c>
      <c r="TPR5750" s="34">
        <v>-3.5</v>
      </c>
      <c r="TPS5750" s="34">
        <v>-3</v>
      </c>
      <c r="TPT5750" s="34">
        <v>-2.5</v>
      </c>
      <c r="TPU5750" s="34">
        <v>-2</v>
      </c>
      <c r="TPV5750" s="34">
        <v>-1.5</v>
      </c>
      <c r="TPW5750" s="34">
        <v>-1</v>
      </c>
      <c r="TPX5750" s="34">
        <v>-0.5</v>
      </c>
      <c r="TPY5750" s="34">
        <v>0</v>
      </c>
      <c r="TPZ5750" s="34">
        <v>0.5</v>
      </c>
      <c r="TQA5750" s="34">
        <v>1</v>
      </c>
      <c r="TQB5750" s="34">
        <v>1.5</v>
      </c>
      <c r="TQC5750" s="34">
        <v>2</v>
      </c>
      <c r="TQD5750" s="34">
        <v>2.5</v>
      </c>
      <c r="TQE5750" s="34">
        <v>3</v>
      </c>
      <c r="TQF5750" s="34">
        <v>3.5</v>
      </c>
      <c r="TQG5750" s="34">
        <v>4</v>
      </c>
      <c r="TQH5750" s="34">
        <v>4.5</v>
      </c>
      <c r="TQI5750" s="34">
        <v>5</v>
      </c>
      <c r="TQK5750" s="913"/>
      <c r="TQL5750" s="31">
        <v>1</v>
      </c>
      <c r="TQM5750" s="34">
        <v>0</v>
      </c>
      <c r="TQN5750" s="34">
        <v>-1</v>
      </c>
      <c r="TQO5750" s="34">
        <v>-2</v>
      </c>
      <c r="TQP5750" s="34">
        <v>-3</v>
      </c>
      <c r="TQQ5750" s="34">
        <v>-4</v>
      </c>
      <c r="TQR5750" s="34">
        <v>-5</v>
      </c>
      <c r="TQS5750" s="908"/>
      <c r="TQT5750" s="909"/>
      <c r="TQU5750" s="34">
        <v>-5</v>
      </c>
      <c r="TQV5750" s="34">
        <v>-4.5</v>
      </c>
      <c r="TQW5750" s="34">
        <v>-4</v>
      </c>
      <c r="TQX5750" s="34">
        <v>-3.5</v>
      </c>
      <c r="TQY5750" s="34">
        <v>-3</v>
      </c>
      <c r="TQZ5750" s="34">
        <v>-2.5</v>
      </c>
      <c r="TRA5750" s="34">
        <v>-2</v>
      </c>
      <c r="TRB5750" s="34">
        <v>-1.5</v>
      </c>
      <c r="TRC5750" s="34">
        <v>-1</v>
      </c>
      <c r="TRD5750" s="34">
        <v>-0.5</v>
      </c>
      <c r="TRE5750" s="34">
        <v>0</v>
      </c>
      <c r="TRF5750" s="34">
        <v>0.5</v>
      </c>
      <c r="TRG5750" s="34">
        <v>1</v>
      </c>
      <c r="TRH5750" s="34">
        <v>1.5</v>
      </c>
      <c r="TRI5750" s="34">
        <v>2</v>
      </c>
      <c r="TRJ5750" s="34">
        <v>2.5</v>
      </c>
      <c r="TRK5750" s="34">
        <v>3</v>
      </c>
      <c r="TRL5750" s="34">
        <v>3.5</v>
      </c>
      <c r="TRM5750" s="34">
        <v>4</v>
      </c>
      <c r="TRN5750" s="34">
        <v>4.5</v>
      </c>
      <c r="TRO5750" s="34">
        <v>5</v>
      </c>
      <c r="TRQ5750" s="913"/>
      <c r="TRR5750" s="31">
        <v>1</v>
      </c>
      <c r="TRS5750" s="34">
        <v>0</v>
      </c>
      <c r="TRT5750" s="34">
        <v>-1</v>
      </c>
      <c r="TRU5750" s="34">
        <v>-2</v>
      </c>
      <c r="TRV5750" s="34">
        <v>-3</v>
      </c>
      <c r="TRW5750" s="34">
        <v>-4</v>
      </c>
      <c r="TRX5750" s="34">
        <v>-5</v>
      </c>
      <c r="TRY5750" s="908"/>
      <c r="TRZ5750" s="909"/>
      <c r="TSA5750" s="34">
        <v>-5</v>
      </c>
      <c r="TSB5750" s="34">
        <v>-4.5</v>
      </c>
      <c r="TSC5750" s="34">
        <v>-4</v>
      </c>
      <c r="TSD5750" s="34">
        <v>-3.5</v>
      </c>
      <c r="TSE5750" s="34">
        <v>-3</v>
      </c>
      <c r="TSF5750" s="34">
        <v>-2.5</v>
      </c>
      <c r="TSG5750" s="34">
        <v>-2</v>
      </c>
      <c r="TSH5750" s="34">
        <v>-1.5</v>
      </c>
      <c r="TSI5750" s="34">
        <v>-1</v>
      </c>
      <c r="TSJ5750" s="34">
        <v>-0.5</v>
      </c>
      <c r="TSK5750" s="34">
        <v>0</v>
      </c>
      <c r="TSL5750" s="34">
        <v>0.5</v>
      </c>
      <c r="TSM5750" s="34">
        <v>1</v>
      </c>
      <c r="TSN5750" s="34">
        <v>1.5</v>
      </c>
      <c r="TSO5750" s="34">
        <v>2</v>
      </c>
      <c r="TSP5750" s="34">
        <v>2.5</v>
      </c>
      <c r="TSQ5750" s="34">
        <v>3</v>
      </c>
      <c r="TSR5750" s="34">
        <v>3.5</v>
      </c>
      <c r="TSS5750" s="34">
        <v>4</v>
      </c>
      <c r="TST5750" s="34">
        <v>4.5</v>
      </c>
      <c r="TSU5750" s="34">
        <v>5</v>
      </c>
      <c r="TSW5750" s="913"/>
      <c r="TSX5750" s="31">
        <v>1</v>
      </c>
      <c r="TSY5750" s="34">
        <v>0</v>
      </c>
      <c r="TSZ5750" s="34">
        <v>-1</v>
      </c>
      <c r="TTA5750" s="34">
        <v>-2</v>
      </c>
      <c r="TTB5750" s="34">
        <v>-3</v>
      </c>
      <c r="TTC5750" s="34">
        <v>-4</v>
      </c>
      <c r="TTD5750" s="34">
        <v>-5</v>
      </c>
      <c r="TTE5750" s="908"/>
      <c r="TTF5750" s="909"/>
      <c r="TTG5750" s="34">
        <v>-5</v>
      </c>
      <c r="TTH5750" s="34">
        <v>-4.5</v>
      </c>
      <c r="TTI5750" s="34">
        <v>-4</v>
      </c>
      <c r="TTJ5750" s="34">
        <v>-3.5</v>
      </c>
      <c r="TTK5750" s="34">
        <v>-3</v>
      </c>
      <c r="TTL5750" s="34">
        <v>-2.5</v>
      </c>
      <c r="TTM5750" s="34">
        <v>-2</v>
      </c>
      <c r="TTN5750" s="34">
        <v>-1.5</v>
      </c>
      <c r="TTO5750" s="34">
        <v>-1</v>
      </c>
      <c r="TTP5750" s="34">
        <v>-0.5</v>
      </c>
      <c r="TTQ5750" s="34">
        <v>0</v>
      </c>
      <c r="TTR5750" s="34">
        <v>0.5</v>
      </c>
      <c r="TTS5750" s="34">
        <v>1</v>
      </c>
      <c r="TTT5750" s="34">
        <v>1.5</v>
      </c>
      <c r="TTU5750" s="34">
        <v>2</v>
      </c>
      <c r="TTV5750" s="34">
        <v>2.5</v>
      </c>
      <c r="TTW5750" s="34">
        <v>3</v>
      </c>
      <c r="TTX5750" s="34">
        <v>3.5</v>
      </c>
      <c r="TTY5750" s="34">
        <v>4</v>
      </c>
      <c r="TTZ5750" s="34">
        <v>4.5</v>
      </c>
      <c r="TUA5750" s="34">
        <v>5</v>
      </c>
      <c r="TUC5750" s="913"/>
      <c r="TUD5750" s="31">
        <v>1</v>
      </c>
      <c r="TUE5750" s="34">
        <v>0</v>
      </c>
      <c r="TUF5750" s="34">
        <v>-1</v>
      </c>
      <c r="TUG5750" s="34">
        <v>-2</v>
      </c>
      <c r="TUH5750" s="34">
        <v>-3</v>
      </c>
      <c r="TUI5750" s="34">
        <v>-4</v>
      </c>
      <c r="TUJ5750" s="34">
        <v>-5</v>
      </c>
      <c r="TUK5750" s="908"/>
      <c r="TUL5750" s="909"/>
      <c r="TUM5750" s="34">
        <v>-5</v>
      </c>
      <c r="TUN5750" s="34">
        <v>-4.5</v>
      </c>
      <c r="TUO5750" s="34">
        <v>-4</v>
      </c>
      <c r="TUP5750" s="34">
        <v>-3.5</v>
      </c>
      <c r="TUQ5750" s="34">
        <v>-3</v>
      </c>
      <c r="TUR5750" s="34">
        <v>-2.5</v>
      </c>
      <c r="TUS5750" s="34">
        <v>-2</v>
      </c>
      <c r="TUT5750" s="34">
        <v>-1.5</v>
      </c>
      <c r="TUU5750" s="34">
        <v>-1</v>
      </c>
      <c r="TUV5750" s="34">
        <v>-0.5</v>
      </c>
      <c r="TUW5750" s="34">
        <v>0</v>
      </c>
      <c r="TUX5750" s="34">
        <v>0.5</v>
      </c>
      <c r="TUY5750" s="34">
        <v>1</v>
      </c>
      <c r="TUZ5750" s="34">
        <v>1.5</v>
      </c>
      <c r="TVA5750" s="34">
        <v>2</v>
      </c>
      <c r="TVB5750" s="34">
        <v>2.5</v>
      </c>
      <c r="TVC5750" s="34">
        <v>3</v>
      </c>
      <c r="TVD5750" s="34">
        <v>3.5</v>
      </c>
      <c r="TVE5750" s="34">
        <v>4</v>
      </c>
      <c r="TVF5750" s="34">
        <v>4.5</v>
      </c>
      <c r="TVG5750" s="34">
        <v>5</v>
      </c>
      <c r="TVI5750" s="913"/>
      <c r="TVJ5750" s="31">
        <v>1</v>
      </c>
      <c r="TVK5750" s="34">
        <v>0</v>
      </c>
      <c r="TVL5750" s="34">
        <v>-1</v>
      </c>
      <c r="TVM5750" s="34">
        <v>-2</v>
      </c>
      <c r="TVN5750" s="34">
        <v>-3</v>
      </c>
      <c r="TVO5750" s="34">
        <v>-4</v>
      </c>
      <c r="TVP5750" s="34">
        <v>-5</v>
      </c>
      <c r="TVQ5750" s="908"/>
      <c r="TVR5750" s="909"/>
      <c r="TVS5750" s="34">
        <v>-5</v>
      </c>
      <c r="TVT5750" s="34">
        <v>-4.5</v>
      </c>
      <c r="TVU5750" s="34">
        <v>-4</v>
      </c>
      <c r="TVV5750" s="34">
        <v>-3.5</v>
      </c>
      <c r="TVW5750" s="34">
        <v>-3</v>
      </c>
      <c r="TVX5750" s="34">
        <v>-2.5</v>
      </c>
      <c r="TVY5750" s="34">
        <v>-2</v>
      </c>
      <c r="TVZ5750" s="34">
        <v>-1.5</v>
      </c>
      <c r="TWA5750" s="34">
        <v>-1</v>
      </c>
      <c r="TWB5750" s="34">
        <v>-0.5</v>
      </c>
      <c r="TWC5750" s="34">
        <v>0</v>
      </c>
      <c r="TWD5750" s="34">
        <v>0.5</v>
      </c>
      <c r="TWE5750" s="34">
        <v>1</v>
      </c>
      <c r="TWF5750" s="34">
        <v>1.5</v>
      </c>
      <c r="TWG5750" s="34">
        <v>2</v>
      </c>
      <c r="TWH5750" s="34">
        <v>2.5</v>
      </c>
      <c r="TWI5750" s="34">
        <v>3</v>
      </c>
      <c r="TWJ5750" s="34">
        <v>3.5</v>
      </c>
      <c r="TWK5750" s="34">
        <v>4</v>
      </c>
      <c r="TWL5750" s="34">
        <v>4.5</v>
      </c>
      <c r="TWM5750" s="34">
        <v>5</v>
      </c>
      <c r="TWO5750" s="913"/>
      <c r="TWP5750" s="31">
        <v>1</v>
      </c>
      <c r="TWQ5750" s="34">
        <v>0</v>
      </c>
      <c r="TWR5750" s="34">
        <v>-1</v>
      </c>
      <c r="TWS5750" s="34">
        <v>-2</v>
      </c>
      <c r="TWT5750" s="34">
        <v>-3</v>
      </c>
      <c r="TWU5750" s="34">
        <v>-4</v>
      </c>
      <c r="TWV5750" s="34">
        <v>-5</v>
      </c>
      <c r="TWW5750" s="908"/>
      <c r="TWX5750" s="909"/>
      <c r="TWY5750" s="34">
        <v>-5</v>
      </c>
      <c r="TWZ5750" s="34">
        <v>-4.5</v>
      </c>
      <c r="TXA5750" s="34">
        <v>-4</v>
      </c>
      <c r="TXB5750" s="34">
        <v>-3.5</v>
      </c>
      <c r="TXC5750" s="34">
        <v>-3</v>
      </c>
      <c r="TXD5750" s="34">
        <v>-2.5</v>
      </c>
      <c r="TXE5750" s="34">
        <v>-2</v>
      </c>
      <c r="TXF5750" s="34">
        <v>-1.5</v>
      </c>
      <c r="TXG5750" s="34">
        <v>-1</v>
      </c>
      <c r="TXH5750" s="34">
        <v>-0.5</v>
      </c>
      <c r="TXI5750" s="34">
        <v>0</v>
      </c>
      <c r="TXJ5750" s="34">
        <v>0.5</v>
      </c>
      <c r="TXK5750" s="34">
        <v>1</v>
      </c>
      <c r="TXL5750" s="34">
        <v>1.5</v>
      </c>
      <c r="TXM5750" s="34">
        <v>2</v>
      </c>
      <c r="TXN5750" s="34">
        <v>2.5</v>
      </c>
      <c r="TXO5750" s="34">
        <v>3</v>
      </c>
      <c r="TXP5750" s="34">
        <v>3.5</v>
      </c>
      <c r="TXQ5750" s="34">
        <v>4</v>
      </c>
      <c r="TXR5750" s="34">
        <v>4.5</v>
      </c>
      <c r="TXS5750" s="34">
        <v>5</v>
      </c>
      <c r="TXU5750" s="913"/>
      <c r="TXV5750" s="31">
        <v>1</v>
      </c>
      <c r="TXW5750" s="34">
        <v>0</v>
      </c>
      <c r="TXX5750" s="34">
        <v>-1</v>
      </c>
      <c r="TXY5750" s="34">
        <v>-2</v>
      </c>
      <c r="TXZ5750" s="34">
        <v>-3</v>
      </c>
      <c r="TYA5750" s="34">
        <v>-4</v>
      </c>
      <c r="TYB5750" s="34">
        <v>-5</v>
      </c>
      <c r="TYC5750" s="908"/>
      <c r="TYD5750" s="909"/>
      <c r="TYE5750" s="34">
        <v>-5</v>
      </c>
      <c r="TYF5750" s="34">
        <v>-4.5</v>
      </c>
      <c r="TYG5750" s="34">
        <v>-4</v>
      </c>
      <c r="TYH5750" s="34">
        <v>-3.5</v>
      </c>
      <c r="TYI5750" s="34">
        <v>-3</v>
      </c>
      <c r="TYJ5750" s="34">
        <v>-2.5</v>
      </c>
      <c r="TYK5750" s="34">
        <v>-2</v>
      </c>
      <c r="TYL5750" s="34">
        <v>-1.5</v>
      </c>
      <c r="TYM5750" s="34">
        <v>-1</v>
      </c>
      <c r="TYN5750" s="34">
        <v>-0.5</v>
      </c>
      <c r="TYO5750" s="34">
        <v>0</v>
      </c>
      <c r="TYP5750" s="34">
        <v>0.5</v>
      </c>
      <c r="TYQ5750" s="34">
        <v>1</v>
      </c>
      <c r="TYR5750" s="34">
        <v>1.5</v>
      </c>
      <c r="TYS5750" s="34">
        <v>2</v>
      </c>
      <c r="TYT5750" s="34">
        <v>2.5</v>
      </c>
      <c r="TYU5750" s="34">
        <v>3</v>
      </c>
      <c r="TYV5750" s="34">
        <v>3.5</v>
      </c>
      <c r="TYW5750" s="34">
        <v>4</v>
      </c>
      <c r="TYX5750" s="34">
        <v>4.5</v>
      </c>
      <c r="TYY5750" s="34">
        <v>5</v>
      </c>
      <c r="TZA5750" s="913"/>
      <c r="TZB5750" s="31">
        <v>1</v>
      </c>
      <c r="TZC5750" s="34">
        <v>0</v>
      </c>
      <c r="TZD5750" s="34">
        <v>-1</v>
      </c>
      <c r="TZE5750" s="34">
        <v>-2</v>
      </c>
      <c r="TZF5750" s="34">
        <v>-3</v>
      </c>
      <c r="TZG5750" s="34">
        <v>-4</v>
      </c>
      <c r="TZH5750" s="34">
        <v>-5</v>
      </c>
      <c r="TZI5750" s="908"/>
      <c r="TZJ5750" s="909"/>
      <c r="TZK5750" s="34">
        <v>-5</v>
      </c>
      <c r="TZL5750" s="34">
        <v>-4.5</v>
      </c>
      <c r="TZM5750" s="34">
        <v>-4</v>
      </c>
      <c r="TZN5750" s="34">
        <v>-3.5</v>
      </c>
      <c r="TZO5750" s="34">
        <v>-3</v>
      </c>
      <c r="TZP5750" s="34">
        <v>-2.5</v>
      </c>
      <c r="TZQ5750" s="34">
        <v>-2</v>
      </c>
      <c r="TZR5750" s="34">
        <v>-1.5</v>
      </c>
      <c r="TZS5750" s="34">
        <v>-1</v>
      </c>
      <c r="TZT5750" s="34">
        <v>-0.5</v>
      </c>
      <c r="TZU5750" s="34">
        <v>0</v>
      </c>
      <c r="TZV5750" s="34">
        <v>0.5</v>
      </c>
      <c r="TZW5750" s="34">
        <v>1</v>
      </c>
      <c r="TZX5750" s="34">
        <v>1.5</v>
      </c>
      <c r="TZY5750" s="34">
        <v>2</v>
      </c>
      <c r="TZZ5750" s="34">
        <v>2.5</v>
      </c>
      <c r="UAA5750" s="34">
        <v>3</v>
      </c>
      <c r="UAB5750" s="34">
        <v>3.5</v>
      </c>
      <c r="UAC5750" s="34">
        <v>4</v>
      </c>
      <c r="UAD5750" s="34">
        <v>4.5</v>
      </c>
      <c r="UAE5750" s="34">
        <v>5</v>
      </c>
      <c r="UAG5750" s="913"/>
      <c r="UAH5750" s="31">
        <v>1</v>
      </c>
      <c r="UAI5750" s="34">
        <v>0</v>
      </c>
      <c r="UAJ5750" s="34">
        <v>-1</v>
      </c>
      <c r="UAK5750" s="34">
        <v>-2</v>
      </c>
      <c r="UAL5750" s="34">
        <v>-3</v>
      </c>
      <c r="UAM5750" s="34">
        <v>-4</v>
      </c>
      <c r="UAN5750" s="34">
        <v>-5</v>
      </c>
      <c r="UAO5750" s="908"/>
      <c r="UAP5750" s="909"/>
      <c r="UAQ5750" s="34">
        <v>-5</v>
      </c>
      <c r="UAR5750" s="34">
        <v>-4.5</v>
      </c>
      <c r="UAS5750" s="34">
        <v>-4</v>
      </c>
      <c r="UAT5750" s="34">
        <v>-3.5</v>
      </c>
      <c r="UAU5750" s="34">
        <v>-3</v>
      </c>
      <c r="UAV5750" s="34">
        <v>-2.5</v>
      </c>
      <c r="UAW5750" s="34">
        <v>-2</v>
      </c>
      <c r="UAX5750" s="34">
        <v>-1.5</v>
      </c>
      <c r="UAY5750" s="34">
        <v>-1</v>
      </c>
      <c r="UAZ5750" s="34">
        <v>-0.5</v>
      </c>
      <c r="UBA5750" s="34">
        <v>0</v>
      </c>
      <c r="UBB5750" s="34">
        <v>0.5</v>
      </c>
      <c r="UBC5750" s="34">
        <v>1</v>
      </c>
      <c r="UBD5750" s="34">
        <v>1.5</v>
      </c>
      <c r="UBE5750" s="34">
        <v>2</v>
      </c>
      <c r="UBF5750" s="34">
        <v>2.5</v>
      </c>
      <c r="UBG5750" s="34">
        <v>3</v>
      </c>
      <c r="UBH5750" s="34">
        <v>3.5</v>
      </c>
      <c r="UBI5750" s="34">
        <v>4</v>
      </c>
      <c r="UBJ5750" s="34">
        <v>4.5</v>
      </c>
      <c r="UBK5750" s="34">
        <v>5</v>
      </c>
      <c r="UBM5750" s="913"/>
      <c r="UBN5750" s="31">
        <v>1</v>
      </c>
      <c r="UBO5750" s="34">
        <v>0</v>
      </c>
      <c r="UBP5750" s="34">
        <v>-1</v>
      </c>
      <c r="UBQ5750" s="34">
        <v>-2</v>
      </c>
      <c r="UBR5750" s="34">
        <v>-3</v>
      </c>
      <c r="UBS5750" s="34">
        <v>-4</v>
      </c>
      <c r="UBT5750" s="34">
        <v>-5</v>
      </c>
      <c r="UBU5750" s="908"/>
      <c r="UBV5750" s="909"/>
      <c r="UBW5750" s="34">
        <v>-5</v>
      </c>
      <c r="UBX5750" s="34">
        <v>-4.5</v>
      </c>
      <c r="UBY5750" s="34">
        <v>-4</v>
      </c>
      <c r="UBZ5750" s="34">
        <v>-3.5</v>
      </c>
      <c r="UCA5750" s="34">
        <v>-3</v>
      </c>
      <c r="UCB5750" s="34">
        <v>-2.5</v>
      </c>
      <c r="UCC5750" s="34">
        <v>-2</v>
      </c>
      <c r="UCD5750" s="34">
        <v>-1.5</v>
      </c>
      <c r="UCE5750" s="34">
        <v>-1</v>
      </c>
      <c r="UCF5750" s="34">
        <v>-0.5</v>
      </c>
      <c r="UCG5750" s="34">
        <v>0</v>
      </c>
      <c r="UCH5750" s="34">
        <v>0.5</v>
      </c>
      <c r="UCI5750" s="34">
        <v>1</v>
      </c>
      <c r="UCJ5750" s="34">
        <v>1.5</v>
      </c>
      <c r="UCK5750" s="34">
        <v>2</v>
      </c>
      <c r="UCL5750" s="34">
        <v>2.5</v>
      </c>
      <c r="UCM5750" s="34">
        <v>3</v>
      </c>
      <c r="UCN5750" s="34">
        <v>3.5</v>
      </c>
      <c r="UCO5750" s="34">
        <v>4</v>
      </c>
      <c r="UCP5750" s="34">
        <v>4.5</v>
      </c>
      <c r="UCQ5750" s="34">
        <v>5</v>
      </c>
      <c r="UCS5750" s="913"/>
      <c r="UCT5750" s="31">
        <v>1</v>
      </c>
      <c r="UCU5750" s="34">
        <v>0</v>
      </c>
      <c r="UCV5750" s="34">
        <v>-1</v>
      </c>
      <c r="UCW5750" s="34">
        <v>-2</v>
      </c>
      <c r="UCX5750" s="34">
        <v>-3</v>
      </c>
      <c r="UCY5750" s="34">
        <v>-4</v>
      </c>
      <c r="UCZ5750" s="34">
        <v>-5</v>
      </c>
      <c r="UDA5750" s="908"/>
      <c r="UDB5750" s="909"/>
      <c r="UDC5750" s="34">
        <v>-5</v>
      </c>
      <c r="UDD5750" s="34">
        <v>-4.5</v>
      </c>
      <c r="UDE5750" s="34">
        <v>-4</v>
      </c>
      <c r="UDF5750" s="34">
        <v>-3.5</v>
      </c>
      <c r="UDG5750" s="34">
        <v>-3</v>
      </c>
      <c r="UDH5750" s="34">
        <v>-2.5</v>
      </c>
      <c r="UDI5750" s="34">
        <v>-2</v>
      </c>
      <c r="UDJ5750" s="34">
        <v>-1.5</v>
      </c>
      <c r="UDK5750" s="34">
        <v>-1</v>
      </c>
      <c r="UDL5750" s="34">
        <v>-0.5</v>
      </c>
      <c r="UDM5750" s="34">
        <v>0</v>
      </c>
      <c r="UDN5750" s="34">
        <v>0.5</v>
      </c>
      <c r="UDO5750" s="34">
        <v>1</v>
      </c>
      <c r="UDP5750" s="34">
        <v>1.5</v>
      </c>
      <c r="UDQ5750" s="34">
        <v>2</v>
      </c>
      <c r="UDR5750" s="34">
        <v>2.5</v>
      </c>
      <c r="UDS5750" s="34">
        <v>3</v>
      </c>
      <c r="UDT5750" s="34">
        <v>3.5</v>
      </c>
      <c r="UDU5750" s="34">
        <v>4</v>
      </c>
      <c r="UDV5750" s="34">
        <v>4.5</v>
      </c>
      <c r="UDW5750" s="34">
        <v>5</v>
      </c>
      <c r="UDY5750" s="913"/>
      <c r="UDZ5750" s="31">
        <v>1</v>
      </c>
      <c r="UEA5750" s="34">
        <v>0</v>
      </c>
      <c r="UEB5750" s="34">
        <v>-1</v>
      </c>
      <c r="UEC5750" s="34">
        <v>-2</v>
      </c>
      <c r="UED5750" s="34">
        <v>-3</v>
      </c>
      <c r="UEE5750" s="34">
        <v>-4</v>
      </c>
      <c r="UEF5750" s="34">
        <v>-5</v>
      </c>
      <c r="UEG5750" s="908"/>
      <c r="UEH5750" s="909"/>
      <c r="UEI5750" s="34">
        <v>-5</v>
      </c>
      <c r="UEJ5750" s="34">
        <v>-4.5</v>
      </c>
      <c r="UEK5750" s="34">
        <v>-4</v>
      </c>
      <c r="UEL5750" s="34">
        <v>-3.5</v>
      </c>
      <c r="UEM5750" s="34">
        <v>-3</v>
      </c>
      <c r="UEN5750" s="34">
        <v>-2.5</v>
      </c>
      <c r="UEO5750" s="34">
        <v>-2</v>
      </c>
      <c r="UEP5750" s="34">
        <v>-1.5</v>
      </c>
      <c r="UEQ5750" s="34">
        <v>-1</v>
      </c>
      <c r="UER5750" s="34">
        <v>-0.5</v>
      </c>
      <c r="UES5750" s="34">
        <v>0</v>
      </c>
      <c r="UET5750" s="34">
        <v>0.5</v>
      </c>
      <c r="UEU5750" s="34">
        <v>1</v>
      </c>
      <c r="UEV5750" s="34">
        <v>1.5</v>
      </c>
      <c r="UEW5750" s="34">
        <v>2</v>
      </c>
      <c r="UEX5750" s="34">
        <v>2.5</v>
      </c>
      <c r="UEY5750" s="34">
        <v>3</v>
      </c>
      <c r="UEZ5750" s="34">
        <v>3.5</v>
      </c>
      <c r="UFA5750" s="34">
        <v>4</v>
      </c>
      <c r="UFB5750" s="34">
        <v>4.5</v>
      </c>
      <c r="UFC5750" s="34">
        <v>5</v>
      </c>
      <c r="UFE5750" s="913"/>
      <c r="UFF5750" s="31">
        <v>1</v>
      </c>
      <c r="UFG5750" s="34">
        <v>0</v>
      </c>
      <c r="UFH5750" s="34">
        <v>-1</v>
      </c>
      <c r="UFI5750" s="34">
        <v>-2</v>
      </c>
      <c r="UFJ5750" s="34">
        <v>-3</v>
      </c>
      <c r="UFK5750" s="34">
        <v>-4</v>
      </c>
      <c r="UFL5750" s="34">
        <v>-5</v>
      </c>
      <c r="UFM5750" s="908"/>
      <c r="UFN5750" s="909"/>
      <c r="UFO5750" s="34">
        <v>-5</v>
      </c>
      <c r="UFP5750" s="34">
        <v>-4.5</v>
      </c>
      <c r="UFQ5750" s="34">
        <v>-4</v>
      </c>
      <c r="UFR5750" s="34">
        <v>-3.5</v>
      </c>
      <c r="UFS5750" s="34">
        <v>-3</v>
      </c>
      <c r="UFT5750" s="34">
        <v>-2.5</v>
      </c>
      <c r="UFU5750" s="34">
        <v>-2</v>
      </c>
      <c r="UFV5750" s="34">
        <v>-1.5</v>
      </c>
      <c r="UFW5750" s="34">
        <v>-1</v>
      </c>
      <c r="UFX5750" s="34">
        <v>-0.5</v>
      </c>
      <c r="UFY5750" s="34">
        <v>0</v>
      </c>
      <c r="UFZ5750" s="34">
        <v>0.5</v>
      </c>
      <c r="UGA5750" s="34">
        <v>1</v>
      </c>
      <c r="UGB5750" s="34">
        <v>1.5</v>
      </c>
      <c r="UGC5750" s="34">
        <v>2</v>
      </c>
      <c r="UGD5750" s="34">
        <v>2.5</v>
      </c>
      <c r="UGE5750" s="34">
        <v>3</v>
      </c>
      <c r="UGF5750" s="34">
        <v>3.5</v>
      </c>
      <c r="UGG5750" s="34">
        <v>4</v>
      </c>
      <c r="UGH5750" s="34">
        <v>4.5</v>
      </c>
      <c r="UGI5750" s="34">
        <v>5</v>
      </c>
      <c r="UGK5750" s="913"/>
      <c r="UGL5750" s="31">
        <v>1</v>
      </c>
      <c r="UGM5750" s="34">
        <v>0</v>
      </c>
      <c r="UGN5750" s="34">
        <v>-1</v>
      </c>
      <c r="UGO5750" s="34">
        <v>-2</v>
      </c>
      <c r="UGP5750" s="34">
        <v>-3</v>
      </c>
      <c r="UGQ5750" s="34">
        <v>-4</v>
      </c>
      <c r="UGR5750" s="34">
        <v>-5</v>
      </c>
      <c r="UGS5750" s="908"/>
      <c r="UGT5750" s="909"/>
      <c r="UGU5750" s="34">
        <v>-5</v>
      </c>
      <c r="UGV5750" s="34">
        <v>-4.5</v>
      </c>
      <c r="UGW5750" s="34">
        <v>-4</v>
      </c>
      <c r="UGX5750" s="34">
        <v>-3.5</v>
      </c>
      <c r="UGY5750" s="34">
        <v>-3</v>
      </c>
      <c r="UGZ5750" s="34">
        <v>-2.5</v>
      </c>
      <c r="UHA5750" s="34">
        <v>-2</v>
      </c>
      <c r="UHB5750" s="34">
        <v>-1.5</v>
      </c>
      <c r="UHC5750" s="34">
        <v>-1</v>
      </c>
      <c r="UHD5750" s="34">
        <v>-0.5</v>
      </c>
      <c r="UHE5750" s="34">
        <v>0</v>
      </c>
      <c r="UHF5750" s="34">
        <v>0.5</v>
      </c>
      <c r="UHG5750" s="34">
        <v>1</v>
      </c>
      <c r="UHH5750" s="34">
        <v>1.5</v>
      </c>
      <c r="UHI5750" s="34">
        <v>2</v>
      </c>
      <c r="UHJ5750" s="34">
        <v>2.5</v>
      </c>
      <c r="UHK5750" s="34">
        <v>3</v>
      </c>
      <c r="UHL5750" s="34">
        <v>3.5</v>
      </c>
      <c r="UHM5750" s="34">
        <v>4</v>
      </c>
      <c r="UHN5750" s="34">
        <v>4.5</v>
      </c>
      <c r="UHO5750" s="34">
        <v>5</v>
      </c>
      <c r="UHQ5750" s="913"/>
      <c r="UHR5750" s="31">
        <v>1</v>
      </c>
      <c r="UHS5750" s="34">
        <v>0</v>
      </c>
      <c r="UHT5750" s="34">
        <v>-1</v>
      </c>
      <c r="UHU5750" s="34">
        <v>-2</v>
      </c>
      <c r="UHV5750" s="34">
        <v>-3</v>
      </c>
      <c r="UHW5750" s="34">
        <v>-4</v>
      </c>
      <c r="UHX5750" s="34">
        <v>-5</v>
      </c>
      <c r="UHY5750" s="908"/>
      <c r="UHZ5750" s="909"/>
      <c r="UIA5750" s="34">
        <v>-5</v>
      </c>
      <c r="UIB5750" s="34">
        <v>-4.5</v>
      </c>
      <c r="UIC5750" s="34">
        <v>-4</v>
      </c>
      <c r="UID5750" s="34">
        <v>-3.5</v>
      </c>
      <c r="UIE5750" s="34">
        <v>-3</v>
      </c>
      <c r="UIF5750" s="34">
        <v>-2.5</v>
      </c>
      <c r="UIG5750" s="34">
        <v>-2</v>
      </c>
      <c r="UIH5750" s="34">
        <v>-1.5</v>
      </c>
      <c r="UII5750" s="34">
        <v>-1</v>
      </c>
      <c r="UIJ5750" s="34">
        <v>-0.5</v>
      </c>
      <c r="UIK5750" s="34">
        <v>0</v>
      </c>
      <c r="UIL5750" s="34">
        <v>0.5</v>
      </c>
      <c r="UIM5750" s="34">
        <v>1</v>
      </c>
      <c r="UIN5750" s="34">
        <v>1.5</v>
      </c>
      <c r="UIO5750" s="34">
        <v>2</v>
      </c>
      <c r="UIP5750" s="34">
        <v>2.5</v>
      </c>
      <c r="UIQ5750" s="34">
        <v>3</v>
      </c>
      <c r="UIR5750" s="34">
        <v>3.5</v>
      </c>
      <c r="UIS5750" s="34">
        <v>4</v>
      </c>
      <c r="UIT5750" s="34">
        <v>4.5</v>
      </c>
      <c r="UIU5750" s="34">
        <v>5</v>
      </c>
      <c r="UIW5750" s="913"/>
      <c r="UIX5750" s="31">
        <v>1</v>
      </c>
      <c r="UIY5750" s="34">
        <v>0</v>
      </c>
      <c r="UIZ5750" s="34">
        <v>-1</v>
      </c>
      <c r="UJA5750" s="34">
        <v>-2</v>
      </c>
      <c r="UJB5750" s="34">
        <v>-3</v>
      </c>
      <c r="UJC5750" s="34">
        <v>-4</v>
      </c>
      <c r="UJD5750" s="34">
        <v>-5</v>
      </c>
      <c r="UJE5750" s="908"/>
      <c r="UJF5750" s="909"/>
      <c r="UJG5750" s="34">
        <v>-5</v>
      </c>
      <c r="UJH5750" s="34">
        <v>-4.5</v>
      </c>
      <c r="UJI5750" s="34">
        <v>-4</v>
      </c>
      <c r="UJJ5750" s="34">
        <v>-3.5</v>
      </c>
      <c r="UJK5750" s="34">
        <v>-3</v>
      </c>
      <c r="UJL5750" s="34">
        <v>-2.5</v>
      </c>
      <c r="UJM5750" s="34">
        <v>-2</v>
      </c>
      <c r="UJN5750" s="34">
        <v>-1.5</v>
      </c>
      <c r="UJO5750" s="34">
        <v>-1</v>
      </c>
      <c r="UJP5750" s="34">
        <v>-0.5</v>
      </c>
      <c r="UJQ5750" s="34">
        <v>0</v>
      </c>
      <c r="UJR5750" s="34">
        <v>0.5</v>
      </c>
      <c r="UJS5750" s="34">
        <v>1</v>
      </c>
      <c r="UJT5750" s="34">
        <v>1.5</v>
      </c>
      <c r="UJU5750" s="34">
        <v>2</v>
      </c>
      <c r="UJV5750" s="34">
        <v>2.5</v>
      </c>
      <c r="UJW5750" s="34">
        <v>3</v>
      </c>
      <c r="UJX5750" s="34">
        <v>3.5</v>
      </c>
      <c r="UJY5750" s="34">
        <v>4</v>
      </c>
      <c r="UJZ5750" s="34">
        <v>4.5</v>
      </c>
      <c r="UKA5750" s="34">
        <v>5</v>
      </c>
      <c r="UKC5750" s="913"/>
      <c r="UKD5750" s="31">
        <v>1</v>
      </c>
      <c r="UKE5750" s="34">
        <v>0</v>
      </c>
      <c r="UKF5750" s="34">
        <v>-1</v>
      </c>
      <c r="UKG5750" s="34">
        <v>-2</v>
      </c>
      <c r="UKH5750" s="34">
        <v>-3</v>
      </c>
      <c r="UKI5750" s="34">
        <v>-4</v>
      </c>
      <c r="UKJ5750" s="34">
        <v>-5</v>
      </c>
      <c r="UKK5750" s="908"/>
      <c r="UKL5750" s="909"/>
      <c r="UKM5750" s="34">
        <v>-5</v>
      </c>
      <c r="UKN5750" s="34">
        <v>-4.5</v>
      </c>
      <c r="UKO5750" s="34">
        <v>-4</v>
      </c>
      <c r="UKP5750" s="34">
        <v>-3.5</v>
      </c>
      <c r="UKQ5750" s="34">
        <v>-3</v>
      </c>
      <c r="UKR5750" s="34">
        <v>-2.5</v>
      </c>
      <c r="UKS5750" s="34">
        <v>-2</v>
      </c>
      <c r="UKT5750" s="34">
        <v>-1.5</v>
      </c>
      <c r="UKU5750" s="34">
        <v>-1</v>
      </c>
      <c r="UKV5750" s="34">
        <v>-0.5</v>
      </c>
      <c r="UKW5750" s="34">
        <v>0</v>
      </c>
      <c r="UKX5750" s="34">
        <v>0.5</v>
      </c>
      <c r="UKY5750" s="34">
        <v>1</v>
      </c>
      <c r="UKZ5750" s="34">
        <v>1.5</v>
      </c>
      <c r="ULA5750" s="34">
        <v>2</v>
      </c>
      <c r="ULB5750" s="34">
        <v>2.5</v>
      </c>
      <c r="ULC5750" s="34">
        <v>3</v>
      </c>
      <c r="ULD5750" s="34">
        <v>3.5</v>
      </c>
      <c r="ULE5750" s="34">
        <v>4</v>
      </c>
      <c r="ULF5750" s="34">
        <v>4.5</v>
      </c>
      <c r="ULG5750" s="34">
        <v>5</v>
      </c>
      <c r="ULI5750" s="913"/>
      <c r="ULJ5750" s="31">
        <v>1</v>
      </c>
      <c r="ULK5750" s="34">
        <v>0</v>
      </c>
      <c r="ULL5750" s="34">
        <v>-1</v>
      </c>
      <c r="ULM5750" s="34">
        <v>-2</v>
      </c>
      <c r="ULN5750" s="34">
        <v>-3</v>
      </c>
      <c r="ULO5750" s="34">
        <v>-4</v>
      </c>
      <c r="ULP5750" s="34">
        <v>-5</v>
      </c>
      <c r="ULQ5750" s="908"/>
      <c r="ULR5750" s="909"/>
      <c r="ULS5750" s="34">
        <v>-5</v>
      </c>
      <c r="ULT5750" s="34">
        <v>-4.5</v>
      </c>
      <c r="ULU5750" s="34">
        <v>-4</v>
      </c>
      <c r="ULV5750" s="34">
        <v>-3.5</v>
      </c>
      <c r="ULW5750" s="34">
        <v>-3</v>
      </c>
      <c r="ULX5750" s="34">
        <v>-2.5</v>
      </c>
      <c r="ULY5750" s="34">
        <v>-2</v>
      </c>
      <c r="ULZ5750" s="34">
        <v>-1.5</v>
      </c>
      <c r="UMA5750" s="34">
        <v>-1</v>
      </c>
      <c r="UMB5750" s="34">
        <v>-0.5</v>
      </c>
      <c r="UMC5750" s="34">
        <v>0</v>
      </c>
      <c r="UMD5750" s="34">
        <v>0.5</v>
      </c>
      <c r="UME5750" s="34">
        <v>1</v>
      </c>
      <c r="UMF5750" s="34">
        <v>1.5</v>
      </c>
      <c r="UMG5750" s="34">
        <v>2</v>
      </c>
      <c r="UMH5750" s="34">
        <v>2.5</v>
      </c>
      <c r="UMI5750" s="34">
        <v>3</v>
      </c>
      <c r="UMJ5750" s="34">
        <v>3.5</v>
      </c>
      <c r="UMK5750" s="34">
        <v>4</v>
      </c>
      <c r="UML5750" s="34">
        <v>4.5</v>
      </c>
      <c r="UMM5750" s="34">
        <v>5</v>
      </c>
      <c r="UMO5750" s="913"/>
      <c r="UMP5750" s="31">
        <v>1</v>
      </c>
      <c r="UMQ5750" s="34">
        <v>0</v>
      </c>
      <c r="UMR5750" s="34">
        <v>-1</v>
      </c>
      <c r="UMS5750" s="34">
        <v>-2</v>
      </c>
      <c r="UMT5750" s="34">
        <v>-3</v>
      </c>
      <c r="UMU5750" s="34">
        <v>-4</v>
      </c>
      <c r="UMV5750" s="34">
        <v>-5</v>
      </c>
      <c r="UMW5750" s="908"/>
      <c r="UMX5750" s="909"/>
      <c r="UMY5750" s="34">
        <v>-5</v>
      </c>
      <c r="UMZ5750" s="34">
        <v>-4.5</v>
      </c>
      <c r="UNA5750" s="34">
        <v>-4</v>
      </c>
      <c r="UNB5750" s="34">
        <v>-3.5</v>
      </c>
      <c r="UNC5750" s="34">
        <v>-3</v>
      </c>
      <c r="UND5750" s="34">
        <v>-2.5</v>
      </c>
      <c r="UNE5750" s="34">
        <v>-2</v>
      </c>
      <c r="UNF5750" s="34">
        <v>-1.5</v>
      </c>
      <c r="UNG5750" s="34">
        <v>-1</v>
      </c>
      <c r="UNH5750" s="34">
        <v>-0.5</v>
      </c>
      <c r="UNI5750" s="34">
        <v>0</v>
      </c>
      <c r="UNJ5750" s="34">
        <v>0.5</v>
      </c>
      <c r="UNK5750" s="34">
        <v>1</v>
      </c>
      <c r="UNL5750" s="34">
        <v>1.5</v>
      </c>
      <c r="UNM5750" s="34">
        <v>2</v>
      </c>
      <c r="UNN5750" s="34">
        <v>2.5</v>
      </c>
      <c r="UNO5750" s="34">
        <v>3</v>
      </c>
      <c r="UNP5750" s="34">
        <v>3.5</v>
      </c>
      <c r="UNQ5750" s="34">
        <v>4</v>
      </c>
      <c r="UNR5750" s="34">
        <v>4.5</v>
      </c>
      <c r="UNS5750" s="34">
        <v>5</v>
      </c>
      <c r="UNU5750" s="913"/>
      <c r="UNV5750" s="31">
        <v>1</v>
      </c>
      <c r="UNW5750" s="34">
        <v>0</v>
      </c>
      <c r="UNX5750" s="34">
        <v>-1</v>
      </c>
      <c r="UNY5750" s="34">
        <v>-2</v>
      </c>
      <c r="UNZ5750" s="34">
        <v>-3</v>
      </c>
      <c r="UOA5750" s="34">
        <v>-4</v>
      </c>
      <c r="UOB5750" s="34">
        <v>-5</v>
      </c>
      <c r="UOC5750" s="908"/>
      <c r="UOD5750" s="909"/>
      <c r="UOE5750" s="34">
        <v>-5</v>
      </c>
      <c r="UOF5750" s="34">
        <v>-4.5</v>
      </c>
      <c r="UOG5750" s="34">
        <v>-4</v>
      </c>
      <c r="UOH5750" s="34">
        <v>-3.5</v>
      </c>
      <c r="UOI5750" s="34">
        <v>-3</v>
      </c>
      <c r="UOJ5750" s="34">
        <v>-2.5</v>
      </c>
      <c r="UOK5750" s="34">
        <v>-2</v>
      </c>
      <c r="UOL5750" s="34">
        <v>-1.5</v>
      </c>
      <c r="UOM5750" s="34">
        <v>-1</v>
      </c>
      <c r="UON5750" s="34">
        <v>-0.5</v>
      </c>
      <c r="UOO5750" s="34">
        <v>0</v>
      </c>
      <c r="UOP5750" s="34">
        <v>0.5</v>
      </c>
      <c r="UOQ5750" s="34">
        <v>1</v>
      </c>
      <c r="UOR5750" s="34">
        <v>1.5</v>
      </c>
      <c r="UOS5750" s="34">
        <v>2</v>
      </c>
      <c r="UOT5750" s="34">
        <v>2.5</v>
      </c>
      <c r="UOU5750" s="34">
        <v>3</v>
      </c>
      <c r="UOV5750" s="34">
        <v>3.5</v>
      </c>
      <c r="UOW5750" s="34">
        <v>4</v>
      </c>
      <c r="UOX5750" s="34">
        <v>4.5</v>
      </c>
      <c r="UOY5750" s="34">
        <v>5</v>
      </c>
      <c r="UPA5750" s="913"/>
      <c r="UPB5750" s="31">
        <v>1</v>
      </c>
      <c r="UPC5750" s="34">
        <v>0</v>
      </c>
      <c r="UPD5750" s="34">
        <v>-1</v>
      </c>
      <c r="UPE5750" s="34">
        <v>-2</v>
      </c>
      <c r="UPF5750" s="34">
        <v>-3</v>
      </c>
      <c r="UPG5750" s="34">
        <v>-4</v>
      </c>
      <c r="UPH5750" s="34">
        <v>-5</v>
      </c>
      <c r="UPI5750" s="908"/>
      <c r="UPJ5750" s="909"/>
      <c r="UPK5750" s="34">
        <v>-5</v>
      </c>
      <c r="UPL5750" s="34">
        <v>-4.5</v>
      </c>
      <c r="UPM5750" s="34">
        <v>-4</v>
      </c>
      <c r="UPN5750" s="34">
        <v>-3.5</v>
      </c>
      <c r="UPO5750" s="34">
        <v>-3</v>
      </c>
      <c r="UPP5750" s="34">
        <v>-2.5</v>
      </c>
      <c r="UPQ5750" s="34">
        <v>-2</v>
      </c>
      <c r="UPR5750" s="34">
        <v>-1.5</v>
      </c>
      <c r="UPS5750" s="34">
        <v>-1</v>
      </c>
      <c r="UPT5750" s="34">
        <v>-0.5</v>
      </c>
      <c r="UPU5750" s="34">
        <v>0</v>
      </c>
      <c r="UPV5750" s="34">
        <v>0.5</v>
      </c>
      <c r="UPW5750" s="34">
        <v>1</v>
      </c>
      <c r="UPX5750" s="34">
        <v>1.5</v>
      </c>
      <c r="UPY5750" s="34">
        <v>2</v>
      </c>
      <c r="UPZ5750" s="34">
        <v>2.5</v>
      </c>
      <c r="UQA5750" s="34">
        <v>3</v>
      </c>
      <c r="UQB5750" s="34">
        <v>3.5</v>
      </c>
      <c r="UQC5750" s="34">
        <v>4</v>
      </c>
      <c r="UQD5750" s="34">
        <v>4.5</v>
      </c>
      <c r="UQE5750" s="34">
        <v>5</v>
      </c>
      <c r="UQG5750" s="913"/>
      <c r="UQH5750" s="31">
        <v>1</v>
      </c>
      <c r="UQI5750" s="34">
        <v>0</v>
      </c>
      <c r="UQJ5750" s="34">
        <v>-1</v>
      </c>
      <c r="UQK5750" s="34">
        <v>-2</v>
      </c>
      <c r="UQL5750" s="34">
        <v>-3</v>
      </c>
      <c r="UQM5750" s="34">
        <v>-4</v>
      </c>
      <c r="UQN5750" s="34">
        <v>-5</v>
      </c>
      <c r="UQO5750" s="908"/>
      <c r="UQP5750" s="909"/>
      <c r="UQQ5750" s="34">
        <v>-5</v>
      </c>
      <c r="UQR5750" s="34">
        <v>-4.5</v>
      </c>
      <c r="UQS5750" s="34">
        <v>-4</v>
      </c>
      <c r="UQT5750" s="34">
        <v>-3.5</v>
      </c>
      <c r="UQU5750" s="34">
        <v>-3</v>
      </c>
      <c r="UQV5750" s="34">
        <v>-2.5</v>
      </c>
      <c r="UQW5750" s="34">
        <v>-2</v>
      </c>
      <c r="UQX5750" s="34">
        <v>-1.5</v>
      </c>
      <c r="UQY5750" s="34">
        <v>-1</v>
      </c>
      <c r="UQZ5750" s="34">
        <v>-0.5</v>
      </c>
      <c r="URA5750" s="34">
        <v>0</v>
      </c>
      <c r="URB5750" s="34">
        <v>0.5</v>
      </c>
      <c r="URC5750" s="34">
        <v>1</v>
      </c>
      <c r="URD5750" s="34">
        <v>1.5</v>
      </c>
      <c r="URE5750" s="34">
        <v>2</v>
      </c>
      <c r="URF5750" s="34">
        <v>2.5</v>
      </c>
      <c r="URG5750" s="34">
        <v>3</v>
      </c>
      <c r="URH5750" s="34">
        <v>3.5</v>
      </c>
      <c r="URI5750" s="34">
        <v>4</v>
      </c>
      <c r="URJ5750" s="34">
        <v>4.5</v>
      </c>
      <c r="URK5750" s="34">
        <v>5</v>
      </c>
      <c r="URM5750" s="913"/>
      <c r="URN5750" s="31">
        <v>1</v>
      </c>
      <c r="URO5750" s="34">
        <v>0</v>
      </c>
      <c r="URP5750" s="34">
        <v>-1</v>
      </c>
      <c r="URQ5750" s="34">
        <v>-2</v>
      </c>
      <c r="URR5750" s="34">
        <v>-3</v>
      </c>
      <c r="URS5750" s="34">
        <v>-4</v>
      </c>
      <c r="URT5750" s="34">
        <v>-5</v>
      </c>
      <c r="URU5750" s="908"/>
      <c r="URV5750" s="909"/>
      <c r="URW5750" s="34">
        <v>-5</v>
      </c>
      <c r="URX5750" s="34">
        <v>-4.5</v>
      </c>
      <c r="URY5750" s="34">
        <v>-4</v>
      </c>
      <c r="URZ5750" s="34">
        <v>-3.5</v>
      </c>
      <c r="USA5750" s="34">
        <v>-3</v>
      </c>
      <c r="USB5750" s="34">
        <v>-2.5</v>
      </c>
      <c r="USC5750" s="34">
        <v>-2</v>
      </c>
      <c r="USD5750" s="34">
        <v>-1.5</v>
      </c>
      <c r="USE5750" s="34">
        <v>-1</v>
      </c>
      <c r="USF5750" s="34">
        <v>-0.5</v>
      </c>
      <c r="USG5750" s="34">
        <v>0</v>
      </c>
      <c r="USH5750" s="34">
        <v>0.5</v>
      </c>
      <c r="USI5750" s="34">
        <v>1</v>
      </c>
      <c r="USJ5750" s="34">
        <v>1.5</v>
      </c>
      <c r="USK5750" s="34">
        <v>2</v>
      </c>
      <c r="USL5750" s="34">
        <v>2.5</v>
      </c>
      <c r="USM5750" s="34">
        <v>3</v>
      </c>
      <c r="USN5750" s="34">
        <v>3.5</v>
      </c>
      <c r="USO5750" s="34">
        <v>4</v>
      </c>
      <c r="USP5750" s="34">
        <v>4.5</v>
      </c>
      <c r="USQ5750" s="34">
        <v>5</v>
      </c>
      <c r="USS5750" s="913"/>
      <c r="UST5750" s="31">
        <v>1</v>
      </c>
      <c r="USU5750" s="34">
        <v>0</v>
      </c>
      <c r="USV5750" s="34">
        <v>-1</v>
      </c>
      <c r="USW5750" s="34">
        <v>-2</v>
      </c>
      <c r="USX5750" s="34">
        <v>-3</v>
      </c>
      <c r="USY5750" s="34">
        <v>-4</v>
      </c>
      <c r="USZ5750" s="34">
        <v>-5</v>
      </c>
      <c r="UTA5750" s="908"/>
      <c r="UTB5750" s="909"/>
      <c r="UTC5750" s="34">
        <v>-5</v>
      </c>
      <c r="UTD5750" s="34">
        <v>-4.5</v>
      </c>
      <c r="UTE5750" s="34">
        <v>-4</v>
      </c>
      <c r="UTF5750" s="34">
        <v>-3.5</v>
      </c>
      <c r="UTG5750" s="34">
        <v>-3</v>
      </c>
      <c r="UTH5750" s="34">
        <v>-2.5</v>
      </c>
      <c r="UTI5750" s="34">
        <v>-2</v>
      </c>
      <c r="UTJ5750" s="34">
        <v>-1.5</v>
      </c>
      <c r="UTK5750" s="34">
        <v>-1</v>
      </c>
      <c r="UTL5750" s="34">
        <v>-0.5</v>
      </c>
      <c r="UTM5750" s="34">
        <v>0</v>
      </c>
      <c r="UTN5750" s="34">
        <v>0.5</v>
      </c>
      <c r="UTO5750" s="34">
        <v>1</v>
      </c>
      <c r="UTP5750" s="34">
        <v>1.5</v>
      </c>
      <c r="UTQ5750" s="34">
        <v>2</v>
      </c>
      <c r="UTR5750" s="34">
        <v>2.5</v>
      </c>
      <c r="UTS5750" s="34">
        <v>3</v>
      </c>
      <c r="UTT5750" s="34">
        <v>3.5</v>
      </c>
      <c r="UTU5750" s="34">
        <v>4</v>
      </c>
      <c r="UTV5750" s="34">
        <v>4.5</v>
      </c>
      <c r="UTW5750" s="34">
        <v>5</v>
      </c>
      <c r="UTY5750" s="913"/>
      <c r="UTZ5750" s="31">
        <v>1</v>
      </c>
      <c r="UUA5750" s="34">
        <v>0</v>
      </c>
      <c r="UUB5750" s="34">
        <v>-1</v>
      </c>
      <c r="UUC5750" s="34">
        <v>-2</v>
      </c>
      <c r="UUD5750" s="34">
        <v>-3</v>
      </c>
      <c r="UUE5750" s="34">
        <v>-4</v>
      </c>
      <c r="UUF5750" s="34">
        <v>-5</v>
      </c>
      <c r="UUG5750" s="908"/>
      <c r="UUH5750" s="909"/>
      <c r="UUI5750" s="34">
        <v>-5</v>
      </c>
      <c r="UUJ5750" s="34">
        <v>-4.5</v>
      </c>
      <c r="UUK5750" s="34">
        <v>-4</v>
      </c>
      <c r="UUL5750" s="34">
        <v>-3.5</v>
      </c>
      <c r="UUM5750" s="34">
        <v>-3</v>
      </c>
      <c r="UUN5750" s="34">
        <v>-2.5</v>
      </c>
      <c r="UUO5750" s="34">
        <v>-2</v>
      </c>
      <c r="UUP5750" s="34">
        <v>-1.5</v>
      </c>
      <c r="UUQ5750" s="34">
        <v>-1</v>
      </c>
      <c r="UUR5750" s="34">
        <v>-0.5</v>
      </c>
      <c r="UUS5750" s="34">
        <v>0</v>
      </c>
      <c r="UUT5750" s="34">
        <v>0.5</v>
      </c>
      <c r="UUU5750" s="34">
        <v>1</v>
      </c>
      <c r="UUV5750" s="34">
        <v>1.5</v>
      </c>
      <c r="UUW5750" s="34">
        <v>2</v>
      </c>
      <c r="UUX5750" s="34">
        <v>2.5</v>
      </c>
      <c r="UUY5750" s="34">
        <v>3</v>
      </c>
      <c r="UUZ5750" s="34">
        <v>3.5</v>
      </c>
      <c r="UVA5750" s="34">
        <v>4</v>
      </c>
      <c r="UVB5750" s="34">
        <v>4.5</v>
      </c>
      <c r="UVC5750" s="34">
        <v>5</v>
      </c>
      <c r="UVE5750" s="913"/>
      <c r="UVF5750" s="31">
        <v>1</v>
      </c>
      <c r="UVG5750" s="34">
        <v>0</v>
      </c>
      <c r="UVH5750" s="34">
        <v>-1</v>
      </c>
      <c r="UVI5750" s="34">
        <v>-2</v>
      </c>
      <c r="UVJ5750" s="34">
        <v>-3</v>
      </c>
      <c r="UVK5750" s="34">
        <v>-4</v>
      </c>
      <c r="UVL5750" s="34">
        <v>-5</v>
      </c>
      <c r="UVM5750" s="908"/>
      <c r="UVN5750" s="909"/>
      <c r="UVO5750" s="34">
        <v>-5</v>
      </c>
      <c r="UVP5750" s="34">
        <v>-4.5</v>
      </c>
      <c r="UVQ5750" s="34">
        <v>-4</v>
      </c>
      <c r="UVR5750" s="34">
        <v>-3.5</v>
      </c>
      <c r="UVS5750" s="34">
        <v>-3</v>
      </c>
      <c r="UVT5750" s="34">
        <v>-2.5</v>
      </c>
      <c r="UVU5750" s="34">
        <v>-2</v>
      </c>
      <c r="UVV5750" s="34">
        <v>-1.5</v>
      </c>
      <c r="UVW5750" s="34">
        <v>-1</v>
      </c>
      <c r="UVX5750" s="34">
        <v>-0.5</v>
      </c>
      <c r="UVY5750" s="34">
        <v>0</v>
      </c>
      <c r="UVZ5750" s="34">
        <v>0.5</v>
      </c>
      <c r="UWA5750" s="34">
        <v>1</v>
      </c>
      <c r="UWB5750" s="34">
        <v>1.5</v>
      </c>
      <c r="UWC5750" s="34">
        <v>2</v>
      </c>
      <c r="UWD5750" s="34">
        <v>2.5</v>
      </c>
      <c r="UWE5750" s="34">
        <v>3</v>
      </c>
      <c r="UWF5750" s="34">
        <v>3.5</v>
      </c>
      <c r="UWG5750" s="34">
        <v>4</v>
      </c>
      <c r="UWH5750" s="34">
        <v>4.5</v>
      </c>
      <c r="UWI5750" s="34">
        <v>5</v>
      </c>
      <c r="UWK5750" s="913"/>
      <c r="UWL5750" s="31">
        <v>1</v>
      </c>
      <c r="UWM5750" s="34">
        <v>0</v>
      </c>
      <c r="UWN5750" s="34">
        <v>-1</v>
      </c>
      <c r="UWO5750" s="34">
        <v>-2</v>
      </c>
      <c r="UWP5750" s="34">
        <v>-3</v>
      </c>
      <c r="UWQ5750" s="34">
        <v>-4</v>
      </c>
      <c r="UWR5750" s="34">
        <v>-5</v>
      </c>
      <c r="UWS5750" s="908"/>
      <c r="UWT5750" s="909"/>
      <c r="UWU5750" s="34">
        <v>-5</v>
      </c>
      <c r="UWV5750" s="34">
        <v>-4.5</v>
      </c>
      <c r="UWW5750" s="34">
        <v>-4</v>
      </c>
      <c r="UWX5750" s="34">
        <v>-3.5</v>
      </c>
      <c r="UWY5750" s="34">
        <v>-3</v>
      </c>
      <c r="UWZ5750" s="34">
        <v>-2.5</v>
      </c>
      <c r="UXA5750" s="34">
        <v>-2</v>
      </c>
      <c r="UXB5750" s="34">
        <v>-1.5</v>
      </c>
      <c r="UXC5750" s="34">
        <v>-1</v>
      </c>
      <c r="UXD5750" s="34">
        <v>-0.5</v>
      </c>
      <c r="UXE5750" s="34">
        <v>0</v>
      </c>
      <c r="UXF5750" s="34">
        <v>0.5</v>
      </c>
      <c r="UXG5750" s="34">
        <v>1</v>
      </c>
      <c r="UXH5750" s="34">
        <v>1.5</v>
      </c>
      <c r="UXI5750" s="34">
        <v>2</v>
      </c>
      <c r="UXJ5750" s="34">
        <v>2.5</v>
      </c>
      <c r="UXK5750" s="34">
        <v>3</v>
      </c>
      <c r="UXL5750" s="34">
        <v>3.5</v>
      </c>
      <c r="UXM5750" s="34">
        <v>4</v>
      </c>
      <c r="UXN5750" s="34">
        <v>4.5</v>
      </c>
      <c r="UXO5750" s="34">
        <v>5</v>
      </c>
      <c r="UXQ5750" s="913"/>
      <c r="UXR5750" s="31">
        <v>1</v>
      </c>
      <c r="UXS5750" s="34">
        <v>0</v>
      </c>
      <c r="UXT5750" s="34">
        <v>-1</v>
      </c>
      <c r="UXU5750" s="34">
        <v>-2</v>
      </c>
      <c r="UXV5750" s="34">
        <v>-3</v>
      </c>
      <c r="UXW5750" s="34">
        <v>-4</v>
      </c>
      <c r="UXX5750" s="34">
        <v>-5</v>
      </c>
      <c r="UXY5750" s="908"/>
      <c r="UXZ5750" s="909"/>
      <c r="UYA5750" s="34">
        <v>-5</v>
      </c>
      <c r="UYB5750" s="34">
        <v>-4.5</v>
      </c>
      <c r="UYC5750" s="34">
        <v>-4</v>
      </c>
      <c r="UYD5750" s="34">
        <v>-3.5</v>
      </c>
      <c r="UYE5750" s="34">
        <v>-3</v>
      </c>
      <c r="UYF5750" s="34">
        <v>-2.5</v>
      </c>
      <c r="UYG5750" s="34">
        <v>-2</v>
      </c>
      <c r="UYH5750" s="34">
        <v>-1.5</v>
      </c>
      <c r="UYI5750" s="34">
        <v>-1</v>
      </c>
      <c r="UYJ5750" s="34">
        <v>-0.5</v>
      </c>
      <c r="UYK5750" s="34">
        <v>0</v>
      </c>
      <c r="UYL5750" s="34">
        <v>0.5</v>
      </c>
      <c r="UYM5750" s="34">
        <v>1</v>
      </c>
      <c r="UYN5750" s="34">
        <v>1.5</v>
      </c>
      <c r="UYO5750" s="34">
        <v>2</v>
      </c>
      <c r="UYP5750" s="34">
        <v>2.5</v>
      </c>
      <c r="UYQ5750" s="34">
        <v>3</v>
      </c>
      <c r="UYR5750" s="34">
        <v>3.5</v>
      </c>
      <c r="UYS5750" s="34">
        <v>4</v>
      </c>
      <c r="UYT5750" s="34">
        <v>4.5</v>
      </c>
      <c r="UYU5750" s="34">
        <v>5</v>
      </c>
      <c r="UYW5750" s="913"/>
      <c r="UYX5750" s="31">
        <v>1</v>
      </c>
      <c r="UYY5750" s="34">
        <v>0</v>
      </c>
      <c r="UYZ5750" s="34">
        <v>-1</v>
      </c>
      <c r="UZA5750" s="34">
        <v>-2</v>
      </c>
      <c r="UZB5750" s="34">
        <v>-3</v>
      </c>
      <c r="UZC5750" s="34">
        <v>-4</v>
      </c>
      <c r="UZD5750" s="34">
        <v>-5</v>
      </c>
      <c r="UZE5750" s="908"/>
      <c r="UZF5750" s="909"/>
      <c r="UZG5750" s="34">
        <v>-5</v>
      </c>
      <c r="UZH5750" s="34">
        <v>-4.5</v>
      </c>
      <c r="UZI5750" s="34">
        <v>-4</v>
      </c>
      <c r="UZJ5750" s="34">
        <v>-3.5</v>
      </c>
      <c r="UZK5750" s="34">
        <v>-3</v>
      </c>
      <c r="UZL5750" s="34">
        <v>-2.5</v>
      </c>
      <c r="UZM5750" s="34">
        <v>-2</v>
      </c>
      <c r="UZN5750" s="34">
        <v>-1.5</v>
      </c>
      <c r="UZO5750" s="34">
        <v>-1</v>
      </c>
      <c r="UZP5750" s="34">
        <v>-0.5</v>
      </c>
      <c r="UZQ5750" s="34">
        <v>0</v>
      </c>
      <c r="UZR5750" s="34">
        <v>0.5</v>
      </c>
      <c r="UZS5750" s="34">
        <v>1</v>
      </c>
      <c r="UZT5750" s="34">
        <v>1.5</v>
      </c>
      <c r="UZU5750" s="34">
        <v>2</v>
      </c>
      <c r="UZV5750" s="34">
        <v>2.5</v>
      </c>
      <c r="UZW5750" s="34">
        <v>3</v>
      </c>
      <c r="UZX5750" s="34">
        <v>3.5</v>
      </c>
      <c r="UZY5750" s="34">
        <v>4</v>
      </c>
      <c r="UZZ5750" s="34">
        <v>4.5</v>
      </c>
      <c r="VAA5750" s="34">
        <v>5</v>
      </c>
      <c r="VAC5750" s="913"/>
      <c r="VAD5750" s="31">
        <v>1</v>
      </c>
      <c r="VAE5750" s="34">
        <v>0</v>
      </c>
      <c r="VAF5750" s="34">
        <v>-1</v>
      </c>
      <c r="VAG5750" s="34">
        <v>-2</v>
      </c>
      <c r="VAH5750" s="34">
        <v>-3</v>
      </c>
      <c r="VAI5750" s="34">
        <v>-4</v>
      </c>
      <c r="VAJ5750" s="34">
        <v>-5</v>
      </c>
      <c r="VAK5750" s="908"/>
      <c r="VAL5750" s="909"/>
      <c r="VAM5750" s="34">
        <v>-5</v>
      </c>
      <c r="VAN5750" s="34">
        <v>-4.5</v>
      </c>
      <c r="VAO5750" s="34">
        <v>-4</v>
      </c>
      <c r="VAP5750" s="34">
        <v>-3.5</v>
      </c>
      <c r="VAQ5750" s="34">
        <v>-3</v>
      </c>
      <c r="VAR5750" s="34">
        <v>-2.5</v>
      </c>
      <c r="VAS5750" s="34">
        <v>-2</v>
      </c>
      <c r="VAT5750" s="34">
        <v>-1.5</v>
      </c>
      <c r="VAU5750" s="34">
        <v>-1</v>
      </c>
      <c r="VAV5750" s="34">
        <v>-0.5</v>
      </c>
      <c r="VAW5750" s="34">
        <v>0</v>
      </c>
      <c r="VAX5750" s="34">
        <v>0.5</v>
      </c>
      <c r="VAY5750" s="34">
        <v>1</v>
      </c>
      <c r="VAZ5750" s="34">
        <v>1.5</v>
      </c>
      <c r="VBA5750" s="34">
        <v>2</v>
      </c>
      <c r="VBB5750" s="34">
        <v>2.5</v>
      </c>
      <c r="VBC5750" s="34">
        <v>3</v>
      </c>
      <c r="VBD5750" s="34">
        <v>3.5</v>
      </c>
      <c r="VBE5750" s="34">
        <v>4</v>
      </c>
      <c r="VBF5750" s="34">
        <v>4.5</v>
      </c>
      <c r="VBG5750" s="34">
        <v>5</v>
      </c>
      <c r="VBI5750" s="913"/>
      <c r="VBJ5750" s="31">
        <v>1</v>
      </c>
      <c r="VBK5750" s="34">
        <v>0</v>
      </c>
      <c r="VBL5750" s="34">
        <v>-1</v>
      </c>
      <c r="VBM5750" s="34">
        <v>-2</v>
      </c>
      <c r="VBN5750" s="34">
        <v>-3</v>
      </c>
      <c r="VBO5750" s="34">
        <v>-4</v>
      </c>
      <c r="VBP5750" s="34">
        <v>-5</v>
      </c>
      <c r="VBQ5750" s="908"/>
      <c r="VBR5750" s="909"/>
      <c r="VBS5750" s="34">
        <v>-5</v>
      </c>
      <c r="VBT5750" s="34">
        <v>-4.5</v>
      </c>
      <c r="VBU5750" s="34">
        <v>-4</v>
      </c>
      <c r="VBV5750" s="34">
        <v>-3.5</v>
      </c>
      <c r="VBW5750" s="34">
        <v>-3</v>
      </c>
      <c r="VBX5750" s="34">
        <v>-2.5</v>
      </c>
      <c r="VBY5750" s="34">
        <v>-2</v>
      </c>
      <c r="VBZ5750" s="34">
        <v>-1.5</v>
      </c>
      <c r="VCA5750" s="34">
        <v>-1</v>
      </c>
      <c r="VCB5750" s="34">
        <v>-0.5</v>
      </c>
      <c r="VCC5750" s="34">
        <v>0</v>
      </c>
      <c r="VCD5750" s="34">
        <v>0.5</v>
      </c>
      <c r="VCE5750" s="34">
        <v>1</v>
      </c>
      <c r="VCF5750" s="34">
        <v>1.5</v>
      </c>
      <c r="VCG5750" s="34">
        <v>2</v>
      </c>
      <c r="VCH5750" s="34">
        <v>2.5</v>
      </c>
      <c r="VCI5750" s="34">
        <v>3</v>
      </c>
      <c r="VCJ5750" s="34">
        <v>3.5</v>
      </c>
      <c r="VCK5750" s="34">
        <v>4</v>
      </c>
      <c r="VCL5750" s="34">
        <v>4.5</v>
      </c>
      <c r="VCM5750" s="34">
        <v>5</v>
      </c>
      <c r="VCO5750" s="913"/>
      <c r="VCP5750" s="31">
        <v>1</v>
      </c>
      <c r="VCQ5750" s="34">
        <v>0</v>
      </c>
      <c r="VCR5750" s="34">
        <v>-1</v>
      </c>
      <c r="VCS5750" s="34">
        <v>-2</v>
      </c>
      <c r="VCT5750" s="34">
        <v>-3</v>
      </c>
      <c r="VCU5750" s="34">
        <v>-4</v>
      </c>
      <c r="VCV5750" s="34">
        <v>-5</v>
      </c>
      <c r="VCW5750" s="908"/>
      <c r="VCX5750" s="909"/>
      <c r="VCY5750" s="34">
        <v>-5</v>
      </c>
      <c r="VCZ5750" s="34">
        <v>-4.5</v>
      </c>
      <c r="VDA5750" s="34">
        <v>-4</v>
      </c>
      <c r="VDB5750" s="34">
        <v>-3.5</v>
      </c>
      <c r="VDC5750" s="34">
        <v>-3</v>
      </c>
      <c r="VDD5750" s="34">
        <v>-2.5</v>
      </c>
      <c r="VDE5750" s="34">
        <v>-2</v>
      </c>
      <c r="VDF5750" s="34">
        <v>-1.5</v>
      </c>
      <c r="VDG5750" s="34">
        <v>-1</v>
      </c>
      <c r="VDH5750" s="34">
        <v>-0.5</v>
      </c>
      <c r="VDI5750" s="34">
        <v>0</v>
      </c>
      <c r="VDJ5750" s="34">
        <v>0.5</v>
      </c>
      <c r="VDK5750" s="34">
        <v>1</v>
      </c>
      <c r="VDL5750" s="34">
        <v>1.5</v>
      </c>
      <c r="VDM5750" s="34">
        <v>2</v>
      </c>
      <c r="VDN5750" s="34">
        <v>2.5</v>
      </c>
      <c r="VDO5750" s="34">
        <v>3</v>
      </c>
      <c r="VDP5750" s="34">
        <v>3.5</v>
      </c>
      <c r="VDQ5750" s="34">
        <v>4</v>
      </c>
      <c r="VDR5750" s="34">
        <v>4.5</v>
      </c>
      <c r="VDS5750" s="34">
        <v>5</v>
      </c>
      <c r="VDU5750" s="913"/>
      <c r="VDV5750" s="31">
        <v>1</v>
      </c>
      <c r="VDW5750" s="34">
        <v>0</v>
      </c>
      <c r="VDX5750" s="34">
        <v>-1</v>
      </c>
      <c r="VDY5750" s="34">
        <v>-2</v>
      </c>
      <c r="VDZ5750" s="34">
        <v>-3</v>
      </c>
      <c r="VEA5750" s="34">
        <v>-4</v>
      </c>
      <c r="VEB5750" s="34">
        <v>-5</v>
      </c>
      <c r="VEC5750" s="908"/>
      <c r="VED5750" s="909"/>
      <c r="VEE5750" s="34">
        <v>-5</v>
      </c>
      <c r="VEF5750" s="34">
        <v>-4.5</v>
      </c>
      <c r="VEG5750" s="34">
        <v>-4</v>
      </c>
      <c r="VEH5750" s="34">
        <v>-3.5</v>
      </c>
      <c r="VEI5750" s="34">
        <v>-3</v>
      </c>
      <c r="VEJ5750" s="34">
        <v>-2.5</v>
      </c>
      <c r="VEK5750" s="34">
        <v>-2</v>
      </c>
      <c r="VEL5750" s="34">
        <v>-1.5</v>
      </c>
      <c r="VEM5750" s="34">
        <v>-1</v>
      </c>
      <c r="VEN5750" s="34">
        <v>-0.5</v>
      </c>
      <c r="VEO5750" s="34">
        <v>0</v>
      </c>
      <c r="VEP5750" s="34">
        <v>0.5</v>
      </c>
      <c r="VEQ5750" s="34">
        <v>1</v>
      </c>
      <c r="VER5750" s="34">
        <v>1.5</v>
      </c>
      <c r="VES5750" s="34">
        <v>2</v>
      </c>
      <c r="VET5750" s="34">
        <v>2.5</v>
      </c>
      <c r="VEU5750" s="34">
        <v>3</v>
      </c>
      <c r="VEV5750" s="34">
        <v>3.5</v>
      </c>
      <c r="VEW5750" s="34">
        <v>4</v>
      </c>
      <c r="VEX5750" s="34">
        <v>4.5</v>
      </c>
      <c r="VEY5750" s="34">
        <v>5</v>
      </c>
      <c r="VFA5750" s="913"/>
      <c r="VFB5750" s="31">
        <v>1</v>
      </c>
      <c r="VFC5750" s="34">
        <v>0</v>
      </c>
      <c r="VFD5750" s="34">
        <v>-1</v>
      </c>
      <c r="VFE5750" s="34">
        <v>-2</v>
      </c>
      <c r="VFF5750" s="34">
        <v>-3</v>
      </c>
      <c r="VFG5750" s="34">
        <v>-4</v>
      </c>
      <c r="VFH5750" s="34">
        <v>-5</v>
      </c>
      <c r="VFI5750" s="908"/>
      <c r="VFJ5750" s="909"/>
      <c r="VFK5750" s="34">
        <v>-5</v>
      </c>
      <c r="VFL5750" s="34">
        <v>-4.5</v>
      </c>
      <c r="VFM5750" s="34">
        <v>-4</v>
      </c>
      <c r="VFN5750" s="34">
        <v>-3.5</v>
      </c>
      <c r="VFO5750" s="34">
        <v>-3</v>
      </c>
      <c r="VFP5750" s="34">
        <v>-2.5</v>
      </c>
      <c r="VFQ5750" s="34">
        <v>-2</v>
      </c>
      <c r="VFR5750" s="34">
        <v>-1.5</v>
      </c>
      <c r="VFS5750" s="34">
        <v>-1</v>
      </c>
      <c r="VFT5750" s="34">
        <v>-0.5</v>
      </c>
      <c r="VFU5750" s="34">
        <v>0</v>
      </c>
      <c r="VFV5750" s="34">
        <v>0.5</v>
      </c>
      <c r="VFW5750" s="34">
        <v>1</v>
      </c>
      <c r="VFX5750" s="34">
        <v>1.5</v>
      </c>
      <c r="VFY5750" s="34">
        <v>2</v>
      </c>
      <c r="VFZ5750" s="34">
        <v>2.5</v>
      </c>
      <c r="VGA5750" s="34">
        <v>3</v>
      </c>
      <c r="VGB5750" s="34">
        <v>3.5</v>
      </c>
      <c r="VGC5750" s="34">
        <v>4</v>
      </c>
      <c r="VGD5750" s="34">
        <v>4.5</v>
      </c>
      <c r="VGE5750" s="34">
        <v>5</v>
      </c>
      <c r="VGG5750" s="913"/>
      <c r="VGH5750" s="31">
        <v>1</v>
      </c>
      <c r="VGI5750" s="34">
        <v>0</v>
      </c>
      <c r="VGJ5750" s="34">
        <v>-1</v>
      </c>
      <c r="VGK5750" s="34">
        <v>-2</v>
      </c>
      <c r="VGL5750" s="34">
        <v>-3</v>
      </c>
      <c r="VGM5750" s="34">
        <v>-4</v>
      </c>
      <c r="VGN5750" s="34">
        <v>-5</v>
      </c>
      <c r="VGO5750" s="908"/>
      <c r="VGP5750" s="909"/>
      <c r="VGQ5750" s="34">
        <v>-5</v>
      </c>
      <c r="VGR5750" s="34">
        <v>-4.5</v>
      </c>
      <c r="VGS5750" s="34">
        <v>-4</v>
      </c>
      <c r="VGT5750" s="34">
        <v>-3.5</v>
      </c>
      <c r="VGU5750" s="34">
        <v>-3</v>
      </c>
      <c r="VGV5750" s="34">
        <v>-2.5</v>
      </c>
      <c r="VGW5750" s="34">
        <v>-2</v>
      </c>
      <c r="VGX5750" s="34">
        <v>-1.5</v>
      </c>
      <c r="VGY5750" s="34">
        <v>-1</v>
      </c>
      <c r="VGZ5750" s="34">
        <v>-0.5</v>
      </c>
      <c r="VHA5750" s="34">
        <v>0</v>
      </c>
      <c r="VHB5750" s="34">
        <v>0.5</v>
      </c>
      <c r="VHC5750" s="34">
        <v>1</v>
      </c>
      <c r="VHD5750" s="34">
        <v>1.5</v>
      </c>
      <c r="VHE5750" s="34">
        <v>2</v>
      </c>
      <c r="VHF5750" s="34">
        <v>2.5</v>
      </c>
      <c r="VHG5750" s="34">
        <v>3</v>
      </c>
      <c r="VHH5750" s="34">
        <v>3.5</v>
      </c>
      <c r="VHI5750" s="34">
        <v>4</v>
      </c>
      <c r="VHJ5750" s="34">
        <v>4.5</v>
      </c>
      <c r="VHK5750" s="34">
        <v>5</v>
      </c>
      <c r="VHM5750" s="913"/>
      <c r="VHN5750" s="31">
        <v>1</v>
      </c>
      <c r="VHO5750" s="34">
        <v>0</v>
      </c>
      <c r="VHP5750" s="34">
        <v>-1</v>
      </c>
      <c r="VHQ5750" s="34">
        <v>-2</v>
      </c>
      <c r="VHR5750" s="34">
        <v>-3</v>
      </c>
      <c r="VHS5750" s="34">
        <v>-4</v>
      </c>
      <c r="VHT5750" s="34">
        <v>-5</v>
      </c>
      <c r="VHU5750" s="908"/>
      <c r="VHV5750" s="909"/>
      <c r="VHW5750" s="34">
        <v>-5</v>
      </c>
      <c r="VHX5750" s="34">
        <v>-4.5</v>
      </c>
      <c r="VHY5750" s="34">
        <v>-4</v>
      </c>
      <c r="VHZ5750" s="34">
        <v>-3.5</v>
      </c>
      <c r="VIA5750" s="34">
        <v>-3</v>
      </c>
      <c r="VIB5750" s="34">
        <v>-2.5</v>
      </c>
      <c r="VIC5750" s="34">
        <v>-2</v>
      </c>
      <c r="VID5750" s="34">
        <v>-1.5</v>
      </c>
      <c r="VIE5750" s="34">
        <v>-1</v>
      </c>
      <c r="VIF5750" s="34">
        <v>-0.5</v>
      </c>
      <c r="VIG5750" s="34">
        <v>0</v>
      </c>
      <c r="VIH5750" s="34">
        <v>0.5</v>
      </c>
      <c r="VII5750" s="34">
        <v>1</v>
      </c>
      <c r="VIJ5750" s="34">
        <v>1.5</v>
      </c>
      <c r="VIK5750" s="34">
        <v>2</v>
      </c>
      <c r="VIL5750" s="34">
        <v>2.5</v>
      </c>
      <c r="VIM5750" s="34">
        <v>3</v>
      </c>
      <c r="VIN5750" s="34">
        <v>3.5</v>
      </c>
      <c r="VIO5750" s="34">
        <v>4</v>
      </c>
      <c r="VIP5750" s="34">
        <v>4.5</v>
      </c>
      <c r="VIQ5750" s="34">
        <v>5</v>
      </c>
      <c r="VIS5750" s="913"/>
      <c r="VIT5750" s="31">
        <v>1</v>
      </c>
      <c r="VIU5750" s="34">
        <v>0</v>
      </c>
      <c r="VIV5750" s="34">
        <v>-1</v>
      </c>
      <c r="VIW5750" s="34">
        <v>-2</v>
      </c>
      <c r="VIX5750" s="34">
        <v>-3</v>
      </c>
      <c r="VIY5750" s="34">
        <v>-4</v>
      </c>
      <c r="VIZ5750" s="34">
        <v>-5</v>
      </c>
      <c r="VJA5750" s="908"/>
      <c r="VJB5750" s="909"/>
      <c r="VJC5750" s="34">
        <v>-5</v>
      </c>
      <c r="VJD5750" s="34">
        <v>-4.5</v>
      </c>
      <c r="VJE5750" s="34">
        <v>-4</v>
      </c>
      <c r="VJF5750" s="34">
        <v>-3.5</v>
      </c>
      <c r="VJG5750" s="34">
        <v>-3</v>
      </c>
      <c r="VJH5750" s="34">
        <v>-2.5</v>
      </c>
      <c r="VJI5750" s="34">
        <v>-2</v>
      </c>
      <c r="VJJ5750" s="34">
        <v>-1.5</v>
      </c>
      <c r="VJK5750" s="34">
        <v>-1</v>
      </c>
      <c r="VJL5750" s="34">
        <v>-0.5</v>
      </c>
      <c r="VJM5750" s="34">
        <v>0</v>
      </c>
      <c r="VJN5750" s="34">
        <v>0.5</v>
      </c>
      <c r="VJO5750" s="34">
        <v>1</v>
      </c>
      <c r="VJP5750" s="34">
        <v>1.5</v>
      </c>
      <c r="VJQ5750" s="34">
        <v>2</v>
      </c>
      <c r="VJR5750" s="34">
        <v>2.5</v>
      </c>
      <c r="VJS5750" s="34">
        <v>3</v>
      </c>
      <c r="VJT5750" s="34">
        <v>3.5</v>
      </c>
      <c r="VJU5750" s="34">
        <v>4</v>
      </c>
      <c r="VJV5750" s="34">
        <v>4.5</v>
      </c>
      <c r="VJW5750" s="34">
        <v>5</v>
      </c>
      <c r="VJY5750" s="913"/>
      <c r="VJZ5750" s="31">
        <v>1</v>
      </c>
      <c r="VKA5750" s="34">
        <v>0</v>
      </c>
      <c r="VKB5750" s="34">
        <v>-1</v>
      </c>
      <c r="VKC5750" s="34">
        <v>-2</v>
      </c>
      <c r="VKD5750" s="34">
        <v>-3</v>
      </c>
      <c r="VKE5750" s="34">
        <v>-4</v>
      </c>
      <c r="VKF5750" s="34">
        <v>-5</v>
      </c>
      <c r="VKG5750" s="908"/>
      <c r="VKH5750" s="909"/>
      <c r="VKI5750" s="34">
        <v>-5</v>
      </c>
      <c r="VKJ5750" s="34">
        <v>-4.5</v>
      </c>
      <c r="VKK5750" s="34">
        <v>-4</v>
      </c>
      <c r="VKL5750" s="34">
        <v>-3.5</v>
      </c>
      <c r="VKM5750" s="34">
        <v>-3</v>
      </c>
      <c r="VKN5750" s="34">
        <v>-2.5</v>
      </c>
      <c r="VKO5750" s="34">
        <v>-2</v>
      </c>
      <c r="VKP5750" s="34">
        <v>-1.5</v>
      </c>
      <c r="VKQ5750" s="34">
        <v>-1</v>
      </c>
      <c r="VKR5750" s="34">
        <v>-0.5</v>
      </c>
      <c r="VKS5750" s="34">
        <v>0</v>
      </c>
      <c r="VKT5750" s="34">
        <v>0.5</v>
      </c>
      <c r="VKU5750" s="34">
        <v>1</v>
      </c>
      <c r="VKV5750" s="34">
        <v>1.5</v>
      </c>
      <c r="VKW5750" s="34">
        <v>2</v>
      </c>
      <c r="VKX5750" s="34">
        <v>2.5</v>
      </c>
      <c r="VKY5750" s="34">
        <v>3</v>
      </c>
      <c r="VKZ5750" s="34">
        <v>3.5</v>
      </c>
      <c r="VLA5750" s="34">
        <v>4</v>
      </c>
      <c r="VLB5750" s="34">
        <v>4.5</v>
      </c>
      <c r="VLC5750" s="34">
        <v>5</v>
      </c>
      <c r="VLE5750" s="913"/>
      <c r="VLF5750" s="31">
        <v>1</v>
      </c>
      <c r="VLG5750" s="34">
        <v>0</v>
      </c>
      <c r="VLH5750" s="34">
        <v>-1</v>
      </c>
      <c r="VLI5750" s="34">
        <v>-2</v>
      </c>
      <c r="VLJ5750" s="34">
        <v>-3</v>
      </c>
      <c r="VLK5750" s="34">
        <v>-4</v>
      </c>
      <c r="VLL5750" s="34">
        <v>-5</v>
      </c>
      <c r="VLM5750" s="908"/>
      <c r="VLN5750" s="909"/>
      <c r="VLO5750" s="34">
        <v>-5</v>
      </c>
      <c r="VLP5750" s="34">
        <v>-4.5</v>
      </c>
      <c r="VLQ5750" s="34">
        <v>-4</v>
      </c>
      <c r="VLR5750" s="34">
        <v>-3.5</v>
      </c>
      <c r="VLS5750" s="34">
        <v>-3</v>
      </c>
      <c r="VLT5750" s="34">
        <v>-2.5</v>
      </c>
      <c r="VLU5750" s="34">
        <v>-2</v>
      </c>
      <c r="VLV5750" s="34">
        <v>-1.5</v>
      </c>
      <c r="VLW5750" s="34">
        <v>-1</v>
      </c>
      <c r="VLX5750" s="34">
        <v>-0.5</v>
      </c>
      <c r="VLY5750" s="34">
        <v>0</v>
      </c>
      <c r="VLZ5750" s="34">
        <v>0.5</v>
      </c>
      <c r="VMA5750" s="34">
        <v>1</v>
      </c>
      <c r="VMB5750" s="34">
        <v>1.5</v>
      </c>
      <c r="VMC5750" s="34">
        <v>2</v>
      </c>
      <c r="VMD5750" s="34">
        <v>2.5</v>
      </c>
      <c r="VME5750" s="34">
        <v>3</v>
      </c>
      <c r="VMF5750" s="34">
        <v>3.5</v>
      </c>
      <c r="VMG5750" s="34">
        <v>4</v>
      </c>
      <c r="VMH5750" s="34">
        <v>4.5</v>
      </c>
      <c r="VMI5750" s="34">
        <v>5</v>
      </c>
      <c r="VMK5750" s="913"/>
      <c r="VML5750" s="31">
        <v>1</v>
      </c>
      <c r="VMM5750" s="34">
        <v>0</v>
      </c>
      <c r="VMN5750" s="34">
        <v>-1</v>
      </c>
      <c r="VMO5750" s="34">
        <v>-2</v>
      </c>
      <c r="VMP5750" s="34">
        <v>-3</v>
      </c>
      <c r="VMQ5750" s="34">
        <v>-4</v>
      </c>
      <c r="VMR5750" s="34">
        <v>-5</v>
      </c>
      <c r="VMS5750" s="908"/>
      <c r="VMT5750" s="909"/>
      <c r="VMU5750" s="34">
        <v>-5</v>
      </c>
      <c r="VMV5750" s="34">
        <v>-4.5</v>
      </c>
      <c r="VMW5750" s="34">
        <v>-4</v>
      </c>
      <c r="VMX5750" s="34">
        <v>-3.5</v>
      </c>
      <c r="VMY5750" s="34">
        <v>-3</v>
      </c>
      <c r="VMZ5750" s="34">
        <v>-2.5</v>
      </c>
      <c r="VNA5750" s="34">
        <v>-2</v>
      </c>
      <c r="VNB5750" s="34">
        <v>-1.5</v>
      </c>
      <c r="VNC5750" s="34">
        <v>-1</v>
      </c>
      <c r="VND5750" s="34">
        <v>-0.5</v>
      </c>
      <c r="VNE5750" s="34">
        <v>0</v>
      </c>
      <c r="VNF5750" s="34">
        <v>0.5</v>
      </c>
      <c r="VNG5750" s="34">
        <v>1</v>
      </c>
      <c r="VNH5750" s="34">
        <v>1.5</v>
      </c>
      <c r="VNI5750" s="34">
        <v>2</v>
      </c>
      <c r="VNJ5750" s="34">
        <v>2.5</v>
      </c>
      <c r="VNK5750" s="34">
        <v>3</v>
      </c>
      <c r="VNL5750" s="34">
        <v>3.5</v>
      </c>
      <c r="VNM5750" s="34">
        <v>4</v>
      </c>
      <c r="VNN5750" s="34">
        <v>4.5</v>
      </c>
      <c r="VNO5750" s="34">
        <v>5</v>
      </c>
      <c r="VNQ5750" s="913"/>
      <c r="VNR5750" s="31">
        <v>1</v>
      </c>
      <c r="VNS5750" s="34">
        <v>0</v>
      </c>
      <c r="VNT5750" s="34">
        <v>-1</v>
      </c>
      <c r="VNU5750" s="34">
        <v>-2</v>
      </c>
      <c r="VNV5750" s="34">
        <v>-3</v>
      </c>
      <c r="VNW5750" s="34">
        <v>-4</v>
      </c>
      <c r="VNX5750" s="34">
        <v>-5</v>
      </c>
      <c r="VNY5750" s="908"/>
      <c r="VNZ5750" s="909"/>
      <c r="VOA5750" s="34">
        <v>-5</v>
      </c>
      <c r="VOB5750" s="34">
        <v>-4.5</v>
      </c>
      <c r="VOC5750" s="34">
        <v>-4</v>
      </c>
      <c r="VOD5750" s="34">
        <v>-3.5</v>
      </c>
      <c r="VOE5750" s="34">
        <v>-3</v>
      </c>
      <c r="VOF5750" s="34">
        <v>-2.5</v>
      </c>
      <c r="VOG5750" s="34">
        <v>-2</v>
      </c>
      <c r="VOH5750" s="34">
        <v>-1.5</v>
      </c>
      <c r="VOI5750" s="34">
        <v>-1</v>
      </c>
      <c r="VOJ5750" s="34">
        <v>-0.5</v>
      </c>
      <c r="VOK5750" s="34">
        <v>0</v>
      </c>
      <c r="VOL5750" s="34">
        <v>0.5</v>
      </c>
      <c r="VOM5750" s="34">
        <v>1</v>
      </c>
      <c r="VON5750" s="34">
        <v>1.5</v>
      </c>
      <c r="VOO5750" s="34">
        <v>2</v>
      </c>
      <c r="VOP5750" s="34">
        <v>2.5</v>
      </c>
      <c r="VOQ5750" s="34">
        <v>3</v>
      </c>
      <c r="VOR5750" s="34">
        <v>3.5</v>
      </c>
      <c r="VOS5750" s="34">
        <v>4</v>
      </c>
      <c r="VOT5750" s="34">
        <v>4.5</v>
      </c>
      <c r="VOU5750" s="34">
        <v>5</v>
      </c>
      <c r="VOW5750" s="913"/>
      <c r="VOX5750" s="31">
        <v>1</v>
      </c>
      <c r="VOY5750" s="34">
        <v>0</v>
      </c>
      <c r="VOZ5750" s="34">
        <v>-1</v>
      </c>
      <c r="VPA5750" s="34">
        <v>-2</v>
      </c>
      <c r="VPB5750" s="34">
        <v>-3</v>
      </c>
      <c r="VPC5750" s="34">
        <v>-4</v>
      </c>
      <c r="VPD5750" s="34">
        <v>-5</v>
      </c>
      <c r="VPE5750" s="908"/>
      <c r="VPF5750" s="909"/>
      <c r="VPG5750" s="34">
        <v>-5</v>
      </c>
      <c r="VPH5750" s="34">
        <v>-4.5</v>
      </c>
      <c r="VPI5750" s="34">
        <v>-4</v>
      </c>
      <c r="VPJ5750" s="34">
        <v>-3.5</v>
      </c>
      <c r="VPK5750" s="34">
        <v>-3</v>
      </c>
      <c r="VPL5750" s="34">
        <v>-2.5</v>
      </c>
      <c r="VPM5750" s="34">
        <v>-2</v>
      </c>
      <c r="VPN5750" s="34">
        <v>-1.5</v>
      </c>
      <c r="VPO5750" s="34">
        <v>-1</v>
      </c>
      <c r="VPP5750" s="34">
        <v>-0.5</v>
      </c>
      <c r="VPQ5750" s="34">
        <v>0</v>
      </c>
      <c r="VPR5750" s="34">
        <v>0.5</v>
      </c>
      <c r="VPS5750" s="34">
        <v>1</v>
      </c>
      <c r="VPT5750" s="34">
        <v>1.5</v>
      </c>
      <c r="VPU5750" s="34">
        <v>2</v>
      </c>
      <c r="VPV5750" s="34">
        <v>2.5</v>
      </c>
      <c r="VPW5750" s="34">
        <v>3</v>
      </c>
      <c r="VPX5750" s="34">
        <v>3.5</v>
      </c>
      <c r="VPY5750" s="34">
        <v>4</v>
      </c>
      <c r="VPZ5750" s="34">
        <v>4.5</v>
      </c>
      <c r="VQA5750" s="34">
        <v>5</v>
      </c>
      <c r="VQC5750" s="913"/>
      <c r="VQD5750" s="31">
        <v>1</v>
      </c>
      <c r="VQE5750" s="34">
        <v>0</v>
      </c>
      <c r="VQF5750" s="34">
        <v>-1</v>
      </c>
      <c r="VQG5750" s="34">
        <v>-2</v>
      </c>
      <c r="VQH5750" s="34">
        <v>-3</v>
      </c>
      <c r="VQI5750" s="34">
        <v>-4</v>
      </c>
      <c r="VQJ5750" s="34">
        <v>-5</v>
      </c>
      <c r="VQK5750" s="908"/>
      <c r="VQL5750" s="909"/>
      <c r="VQM5750" s="34">
        <v>-5</v>
      </c>
      <c r="VQN5750" s="34">
        <v>-4.5</v>
      </c>
      <c r="VQO5750" s="34">
        <v>-4</v>
      </c>
      <c r="VQP5750" s="34">
        <v>-3.5</v>
      </c>
      <c r="VQQ5750" s="34">
        <v>-3</v>
      </c>
      <c r="VQR5750" s="34">
        <v>-2.5</v>
      </c>
      <c r="VQS5750" s="34">
        <v>-2</v>
      </c>
      <c r="VQT5750" s="34">
        <v>-1.5</v>
      </c>
      <c r="VQU5750" s="34">
        <v>-1</v>
      </c>
      <c r="VQV5750" s="34">
        <v>-0.5</v>
      </c>
      <c r="VQW5750" s="34">
        <v>0</v>
      </c>
      <c r="VQX5750" s="34">
        <v>0.5</v>
      </c>
      <c r="VQY5750" s="34">
        <v>1</v>
      </c>
      <c r="VQZ5750" s="34">
        <v>1.5</v>
      </c>
      <c r="VRA5750" s="34">
        <v>2</v>
      </c>
      <c r="VRB5750" s="34">
        <v>2.5</v>
      </c>
      <c r="VRC5750" s="34">
        <v>3</v>
      </c>
      <c r="VRD5750" s="34">
        <v>3.5</v>
      </c>
      <c r="VRE5750" s="34">
        <v>4</v>
      </c>
      <c r="VRF5750" s="34">
        <v>4.5</v>
      </c>
      <c r="VRG5750" s="34">
        <v>5</v>
      </c>
      <c r="VRI5750" s="913"/>
      <c r="VRJ5750" s="31">
        <v>1</v>
      </c>
      <c r="VRK5750" s="34">
        <v>0</v>
      </c>
      <c r="VRL5750" s="34">
        <v>-1</v>
      </c>
      <c r="VRM5750" s="34">
        <v>-2</v>
      </c>
      <c r="VRN5750" s="34">
        <v>-3</v>
      </c>
      <c r="VRO5750" s="34">
        <v>-4</v>
      </c>
      <c r="VRP5750" s="34">
        <v>-5</v>
      </c>
      <c r="VRQ5750" s="908"/>
      <c r="VRR5750" s="909"/>
      <c r="VRS5750" s="34">
        <v>-5</v>
      </c>
      <c r="VRT5750" s="34">
        <v>-4.5</v>
      </c>
      <c r="VRU5750" s="34">
        <v>-4</v>
      </c>
      <c r="VRV5750" s="34">
        <v>-3.5</v>
      </c>
      <c r="VRW5750" s="34">
        <v>-3</v>
      </c>
      <c r="VRX5750" s="34">
        <v>-2.5</v>
      </c>
      <c r="VRY5750" s="34">
        <v>-2</v>
      </c>
      <c r="VRZ5750" s="34">
        <v>-1.5</v>
      </c>
      <c r="VSA5750" s="34">
        <v>-1</v>
      </c>
      <c r="VSB5750" s="34">
        <v>-0.5</v>
      </c>
      <c r="VSC5750" s="34">
        <v>0</v>
      </c>
      <c r="VSD5750" s="34">
        <v>0.5</v>
      </c>
      <c r="VSE5750" s="34">
        <v>1</v>
      </c>
      <c r="VSF5750" s="34">
        <v>1.5</v>
      </c>
      <c r="VSG5750" s="34">
        <v>2</v>
      </c>
      <c r="VSH5750" s="34">
        <v>2.5</v>
      </c>
      <c r="VSI5750" s="34">
        <v>3</v>
      </c>
      <c r="VSJ5750" s="34">
        <v>3.5</v>
      </c>
      <c r="VSK5750" s="34">
        <v>4</v>
      </c>
      <c r="VSL5750" s="34">
        <v>4.5</v>
      </c>
      <c r="VSM5750" s="34">
        <v>5</v>
      </c>
      <c r="VSO5750" s="913"/>
      <c r="VSP5750" s="31">
        <v>1</v>
      </c>
      <c r="VSQ5750" s="34">
        <v>0</v>
      </c>
      <c r="VSR5750" s="34">
        <v>-1</v>
      </c>
      <c r="VSS5750" s="34">
        <v>-2</v>
      </c>
      <c r="VST5750" s="34">
        <v>-3</v>
      </c>
      <c r="VSU5750" s="34">
        <v>-4</v>
      </c>
      <c r="VSV5750" s="34">
        <v>-5</v>
      </c>
      <c r="VSW5750" s="908"/>
      <c r="VSX5750" s="909"/>
      <c r="VSY5750" s="34">
        <v>-5</v>
      </c>
      <c r="VSZ5750" s="34">
        <v>-4.5</v>
      </c>
      <c r="VTA5750" s="34">
        <v>-4</v>
      </c>
      <c r="VTB5750" s="34">
        <v>-3.5</v>
      </c>
      <c r="VTC5750" s="34">
        <v>-3</v>
      </c>
      <c r="VTD5750" s="34">
        <v>-2.5</v>
      </c>
      <c r="VTE5750" s="34">
        <v>-2</v>
      </c>
      <c r="VTF5750" s="34">
        <v>-1.5</v>
      </c>
      <c r="VTG5750" s="34">
        <v>-1</v>
      </c>
      <c r="VTH5750" s="34">
        <v>-0.5</v>
      </c>
      <c r="VTI5750" s="34">
        <v>0</v>
      </c>
      <c r="VTJ5750" s="34">
        <v>0.5</v>
      </c>
      <c r="VTK5750" s="34">
        <v>1</v>
      </c>
      <c r="VTL5750" s="34">
        <v>1.5</v>
      </c>
      <c r="VTM5750" s="34">
        <v>2</v>
      </c>
      <c r="VTN5750" s="34">
        <v>2.5</v>
      </c>
      <c r="VTO5750" s="34">
        <v>3</v>
      </c>
      <c r="VTP5750" s="34">
        <v>3.5</v>
      </c>
      <c r="VTQ5750" s="34">
        <v>4</v>
      </c>
      <c r="VTR5750" s="34">
        <v>4.5</v>
      </c>
      <c r="VTS5750" s="34">
        <v>5</v>
      </c>
      <c r="VTU5750" s="913"/>
      <c r="VTV5750" s="31">
        <v>1</v>
      </c>
      <c r="VTW5750" s="34">
        <v>0</v>
      </c>
      <c r="VTX5750" s="34">
        <v>-1</v>
      </c>
      <c r="VTY5750" s="34">
        <v>-2</v>
      </c>
      <c r="VTZ5750" s="34">
        <v>-3</v>
      </c>
      <c r="VUA5750" s="34">
        <v>-4</v>
      </c>
      <c r="VUB5750" s="34">
        <v>-5</v>
      </c>
      <c r="VUC5750" s="908"/>
      <c r="VUD5750" s="909"/>
      <c r="VUE5750" s="34">
        <v>-5</v>
      </c>
      <c r="VUF5750" s="34">
        <v>-4.5</v>
      </c>
      <c r="VUG5750" s="34">
        <v>-4</v>
      </c>
      <c r="VUH5750" s="34">
        <v>-3.5</v>
      </c>
      <c r="VUI5750" s="34">
        <v>-3</v>
      </c>
      <c r="VUJ5750" s="34">
        <v>-2.5</v>
      </c>
      <c r="VUK5750" s="34">
        <v>-2</v>
      </c>
      <c r="VUL5750" s="34">
        <v>-1.5</v>
      </c>
      <c r="VUM5750" s="34">
        <v>-1</v>
      </c>
      <c r="VUN5750" s="34">
        <v>-0.5</v>
      </c>
      <c r="VUO5750" s="34">
        <v>0</v>
      </c>
      <c r="VUP5750" s="34">
        <v>0.5</v>
      </c>
      <c r="VUQ5750" s="34">
        <v>1</v>
      </c>
      <c r="VUR5750" s="34">
        <v>1.5</v>
      </c>
      <c r="VUS5750" s="34">
        <v>2</v>
      </c>
      <c r="VUT5750" s="34">
        <v>2.5</v>
      </c>
      <c r="VUU5750" s="34">
        <v>3</v>
      </c>
      <c r="VUV5750" s="34">
        <v>3.5</v>
      </c>
      <c r="VUW5750" s="34">
        <v>4</v>
      </c>
      <c r="VUX5750" s="34">
        <v>4.5</v>
      </c>
      <c r="VUY5750" s="34">
        <v>5</v>
      </c>
      <c r="VVA5750" s="913"/>
      <c r="VVB5750" s="31">
        <v>1</v>
      </c>
      <c r="VVC5750" s="34">
        <v>0</v>
      </c>
      <c r="VVD5750" s="34">
        <v>-1</v>
      </c>
      <c r="VVE5750" s="34">
        <v>-2</v>
      </c>
      <c r="VVF5750" s="34">
        <v>-3</v>
      </c>
      <c r="VVG5750" s="34">
        <v>-4</v>
      </c>
      <c r="VVH5750" s="34">
        <v>-5</v>
      </c>
      <c r="VVI5750" s="908"/>
      <c r="VVJ5750" s="909"/>
      <c r="VVK5750" s="34">
        <v>-5</v>
      </c>
      <c r="VVL5750" s="34">
        <v>-4.5</v>
      </c>
      <c r="VVM5750" s="34">
        <v>-4</v>
      </c>
      <c r="VVN5750" s="34">
        <v>-3.5</v>
      </c>
      <c r="VVO5750" s="34">
        <v>-3</v>
      </c>
      <c r="VVP5750" s="34">
        <v>-2.5</v>
      </c>
      <c r="VVQ5750" s="34">
        <v>-2</v>
      </c>
      <c r="VVR5750" s="34">
        <v>-1.5</v>
      </c>
      <c r="VVS5750" s="34">
        <v>-1</v>
      </c>
      <c r="VVT5750" s="34">
        <v>-0.5</v>
      </c>
      <c r="VVU5750" s="34">
        <v>0</v>
      </c>
      <c r="VVV5750" s="34">
        <v>0.5</v>
      </c>
      <c r="VVW5750" s="34">
        <v>1</v>
      </c>
      <c r="VVX5750" s="34">
        <v>1.5</v>
      </c>
      <c r="VVY5750" s="34">
        <v>2</v>
      </c>
      <c r="VVZ5750" s="34">
        <v>2.5</v>
      </c>
      <c r="VWA5750" s="34">
        <v>3</v>
      </c>
      <c r="VWB5750" s="34">
        <v>3.5</v>
      </c>
      <c r="VWC5750" s="34">
        <v>4</v>
      </c>
      <c r="VWD5750" s="34">
        <v>4.5</v>
      </c>
      <c r="VWE5750" s="34">
        <v>5</v>
      </c>
      <c r="VWG5750" s="913"/>
      <c r="VWH5750" s="31">
        <v>1</v>
      </c>
      <c r="VWI5750" s="34">
        <v>0</v>
      </c>
      <c r="VWJ5750" s="34">
        <v>-1</v>
      </c>
      <c r="VWK5750" s="34">
        <v>-2</v>
      </c>
      <c r="VWL5750" s="34">
        <v>-3</v>
      </c>
      <c r="VWM5750" s="34">
        <v>-4</v>
      </c>
      <c r="VWN5750" s="34">
        <v>-5</v>
      </c>
      <c r="VWO5750" s="908"/>
      <c r="VWP5750" s="909"/>
      <c r="VWQ5750" s="34">
        <v>-5</v>
      </c>
      <c r="VWR5750" s="34">
        <v>-4.5</v>
      </c>
      <c r="VWS5750" s="34">
        <v>-4</v>
      </c>
      <c r="VWT5750" s="34">
        <v>-3.5</v>
      </c>
      <c r="VWU5750" s="34">
        <v>-3</v>
      </c>
      <c r="VWV5750" s="34">
        <v>-2.5</v>
      </c>
      <c r="VWW5750" s="34">
        <v>-2</v>
      </c>
      <c r="VWX5750" s="34">
        <v>-1.5</v>
      </c>
      <c r="VWY5750" s="34">
        <v>-1</v>
      </c>
      <c r="VWZ5750" s="34">
        <v>-0.5</v>
      </c>
      <c r="VXA5750" s="34">
        <v>0</v>
      </c>
      <c r="VXB5750" s="34">
        <v>0.5</v>
      </c>
      <c r="VXC5750" s="34">
        <v>1</v>
      </c>
      <c r="VXD5750" s="34">
        <v>1.5</v>
      </c>
      <c r="VXE5750" s="34">
        <v>2</v>
      </c>
      <c r="VXF5750" s="34">
        <v>2.5</v>
      </c>
      <c r="VXG5750" s="34">
        <v>3</v>
      </c>
      <c r="VXH5750" s="34">
        <v>3.5</v>
      </c>
      <c r="VXI5750" s="34">
        <v>4</v>
      </c>
      <c r="VXJ5750" s="34">
        <v>4.5</v>
      </c>
      <c r="VXK5750" s="34">
        <v>5</v>
      </c>
      <c r="VXM5750" s="913"/>
      <c r="VXN5750" s="31">
        <v>1</v>
      </c>
      <c r="VXO5750" s="34">
        <v>0</v>
      </c>
      <c r="VXP5750" s="34">
        <v>-1</v>
      </c>
      <c r="VXQ5750" s="34">
        <v>-2</v>
      </c>
      <c r="VXR5750" s="34">
        <v>-3</v>
      </c>
      <c r="VXS5750" s="34">
        <v>-4</v>
      </c>
      <c r="VXT5750" s="34">
        <v>-5</v>
      </c>
      <c r="VXU5750" s="908"/>
      <c r="VXV5750" s="909"/>
      <c r="VXW5750" s="34">
        <v>-5</v>
      </c>
      <c r="VXX5750" s="34">
        <v>-4.5</v>
      </c>
      <c r="VXY5750" s="34">
        <v>-4</v>
      </c>
      <c r="VXZ5750" s="34">
        <v>-3.5</v>
      </c>
      <c r="VYA5750" s="34">
        <v>-3</v>
      </c>
      <c r="VYB5750" s="34">
        <v>-2.5</v>
      </c>
      <c r="VYC5750" s="34">
        <v>-2</v>
      </c>
      <c r="VYD5750" s="34">
        <v>-1.5</v>
      </c>
      <c r="VYE5750" s="34">
        <v>-1</v>
      </c>
      <c r="VYF5750" s="34">
        <v>-0.5</v>
      </c>
      <c r="VYG5750" s="34">
        <v>0</v>
      </c>
      <c r="VYH5750" s="34">
        <v>0.5</v>
      </c>
      <c r="VYI5750" s="34">
        <v>1</v>
      </c>
      <c r="VYJ5750" s="34">
        <v>1.5</v>
      </c>
      <c r="VYK5750" s="34">
        <v>2</v>
      </c>
      <c r="VYL5750" s="34">
        <v>2.5</v>
      </c>
      <c r="VYM5750" s="34">
        <v>3</v>
      </c>
      <c r="VYN5750" s="34">
        <v>3.5</v>
      </c>
      <c r="VYO5750" s="34">
        <v>4</v>
      </c>
      <c r="VYP5750" s="34">
        <v>4.5</v>
      </c>
      <c r="VYQ5750" s="34">
        <v>5</v>
      </c>
      <c r="VYS5750" s="913"/>
      <c r="VYT5750" s="31">
        <v>1</v>
      </c>
      <c r="VYU5750" s="34">
        <v>0</v>
      </c>
      <c r="VYV5750" s="34">
        <v>-1</v>
      </c>
      <c r="VYW5750" s="34">
        <v>-2</v>
      </c>
      <c r="VYX5750" s="34">
        <v>-3</v>
      </c>
      <c r="VYY5750" s="34">
        <v>-4</v>
      </c>
      <c r="VYZ5750" s="34">
        <v>-5</v>
      </c>
      <c r="VZA5750" s="908"/>
      <c r="VZB5750" s="909"/>
      <c r="VZC5750" s="34">
        <v>-5</v>
      </c>
      <c r="VZD5750" s="34">
        <v>-4.5</v>
      </c>
      <c r="VZE5750" s="34">
        <v>-4</v>
      </c>
      <c r="VZF5750" s="34">
        <v>-3.5</v>
      </c>
      <c r="VZG5750" s="34">
        <v>-3</v>
      </c>
      <c r="VZH5750" s="34">
        <v>-2.5</v>
      </c>
      <c r="VZI5750" s="34">
        <v>-2</v>
      </c>
      <c r="VZJ5750" s="34">
        <v>-1.5</v>
      </c>
      <c r="VZK5750" s="34">
        <v>-1</v>
      </c>
      <c r="VZL5750" s="34">
        <v>-0.5</v>
      </c>
      <c r="VZM5750" s="34">
        <v>0</v>
      </c>
      <c r="VZN5750" s="34">
        <v>0.5</v>
      </c>
      <c r="VZO5750" s="34">
        <v>1</v>
      </c>
      <c r="VZP5750" s="34">
        <v>1.5</v>
      </c>
      <c r="VZQ5750" s="34">
        <v>2</v>
      </c>
      <c r="VZR5750" s="34">
        <v>2.5</v>
      </c>
      <c r="VZS5750" s="34">
        <v>3</v>
      </c>
      <c r="VZT5750" s="34">
        <v>3.5</v>
      </c>
      <c r="VZU5750" s="34">
        <v>4</v>
      </c>
      <c r="VZV5750" s="34">
        <v>4.5</v>
      </c>
      <c r="VZW5750" s="34">
        <v>5</v>
      </c>
      <c r="VZY5750" s="913"/>
      <c r="VZZ5750" s="31">
        <v>1</v>
      </c>
      <c r="WAA5750" s="34">
        <v>0</v>
      </c>
      <c r="WAB5750" s="34">
        <v>-1</v>
      </c>
      <c r="WAC5750" s="34">
        <v>-2</v>
      </c>
      <c r="WAD5750" s="34">
        <v>-3</v>
      </c>
      <c r="WAE5750" s="34">
        <v>-4</v>
      </c>
      <c r="WAF5750" s="34">
        <v>-5</v>
      </c>
      <c r="WAG5750" s="908"/>
      <c r="WAH5750" s="909"/>
      <c r="WAI5750" s="34">
        <v>-5</v>
      </c>
      <c r="WAJ5750" s="34">
        <v>-4.5</v>
      </c>
      <c r="WAK5750" s="34">
        <v>-4</v>
      </c>
      <c r="WAL5750" s="34">
        <v>-3.5</v>
      </c>
      <c r="WAM5750" s="34">
        <v>-3</v>
      </c>
      <c r="WAN5750" s="34">
        <v>-2.5</v>
      </c>
      <c r="WAO5750" s="34">
        <v>-2</v>
      </c>
      <c r="WAP5750" s="34">
        <v>-1.5</v>
      </c>
      <c r="WAQ5750" s="34">
        <v>-1</v>
      </c>
      <c r="WAR5750" s="34">
        <v>-0.5</v>
      </c>
      <c r="WAS5750" s="34">
        <v>0</v>
      </c>
      <c r="WAT5750" s="34">
        <v>0.5</v>
      </c>
      <c r="WAU5750" s="34">
        <v>1</v>
      </c>
      <c r="WAV5750" s="34">
        <v>1.5</v>
      </c>
      <c r="WAW5750" s="34">
        <v>2</v>
      </c>
      <c r="WAX5750" s="34">
        <v>2.5</v>
      </c>
      <c r="WAY5750" s="34">
        <v>3</v>
      </c>
      <c r="WAZ5750" s="34">
        <v>3.5</v>
      </c>
      <c r="WBA5750" s="34">
        <v>4</v>
      </c>
      <c r="WBB5750" s="34">
        <v>4.5</v>
      </c>
      <c r="WBC5750" s="34">
        <v>5</v>
      </c>
      <c r="WBE5750" s="913"/>
      <c r="WBF5750" s="31">
        <v>1</v>
      </c>
      <c r="WBG5750" s="34">
        <v>0</v>
      </c>
      <c r="WBH5750" s="34">
        <v>-1</v>
      </c>
      <c r="WBI5750" s="34">
        <v>-2</v>
      </c>
      <c r="WBJ5750" s="34">
        <v>-3</v>
      </c>
      <c r="WBK5750" s="34">
        <v>-4</v>
      </c>
      <c r="WBL5750" s="34">
        <v>-5</v>
      </c>
      <c r="WBM5750" s="908"/>
      <c r="WBN5750" s="909"/>
      <c r="WBO5750" s="34">
        <v>-5</v>
      </c>
      <c r="WBP5750" s="34">
        <v>-4.5</v>
      </c>
      <c r="WBQ5750" s="34">
        <v>-4</v>
      </c>
      <c r="WBR5750" s="34">
        <v>-3.5</v>
      </c>
      <c r="WBS5750" s="34">
        <v>-3</v>
      </c>
      <c r="WBT5750" s="34">
        <v>-2.5</v>
      </c>
      <c r="WBU5750" s="34">
        <v>-2</v>
      </c>
      <c r="WBV5750" s="34">
        <v>-1.5</v>
      </c>
      <c r="WBW5750" s="34">
        <v>-1</v>
      </c>
      <c r="WBX5750" s="34">
        <v>-0.5</v>
      </c>
      <c r="WBY5750" s="34">
        <v>0</v>
      </c>
      <c r="WBZ5750" s="34">
        <v>0.5</v>
      </c>
      <c r="WCA5750" s="34">
        <v>1</v>
      </c>
      <c r="WCB5750" s="34">
        <v>1.5</v>
      </c>
      <c r="WCC5750" s="34">
        <v>2</v>
      </c>
      <c r="WCD5750" s="34">
        <v>2.5</v>
      </c>
      <c r="WCE5750" s="34">
        <v>3</v>
      </c>
      <c r="WCF5750" s="34">
        <v>3.5</v>
      </c>
      <c r="WCG5750" s="34">
        <v>4</v>
      </c>
      <c r="WCH5750" s="34">
        <v>4.5</v>
      </c>
      <c r="WCI5750" s="34">
        <v>5</v>
      </c>
      <c r="WCK5750" s="913"/>
      <c r="WCL5750" s="31">
        <v>1</v>
      </c>
      <c r="WCM5750" s="34">
        <v>0</v>
      </c>
      <c r="WCN5750" s="34">
        <v>-1</v>
      </c>
      <c r="WCO5750" s="34">
        <v>-2</v>
      </c>
      <c r="WCP5750" s="34">
        <v>-3</v>
      </c>
      <c r="WCQ5750" s="34">
        <v>-4</v>
      </c>
      <c r="WCR5750" s="34">
        <v>-5</v>
      </c>
      <c r="WCS5750" s="908"/>
      <c r="WCT5750" s="909"/>
      <c r="WCU5750" s="34">
        <v>-5</v>
      </c>
      <c r="WCV5750" s="34">
        <v>-4.5</v>
      </c>
      <c r="WCW5750" s="34">
        <v>-4</v>
      </c>
      <c r="WCX5750" s="34">
        <v>-3.5</v>
      </c>
      <c r="WCY5750" s="34">
        <v>-3</v>
      </c>
      <c r="WCZ5750" s="34">
        <v>-2.5</v>
      </c>
      <c r="WDA5750" s="34">
        <v>-2</v>
      </c>
      <c r="WDB5750" s="34">
        <v>-1.5</v>
      </c>
      <c r="WDC5750" s="34">
        <v>-1</v>
      </c>
      <c r="WDD5750" s="34">
        <v>-0.5</v>
      </c>
      <c r="WDE5750" s="34">
        <v>0</v>
      </c>
      <c r="WDF5750" s="34">
        <v>0.5</v>
      </c>
      <c r="WDG5750" s="34">
        <v>1</v>
      </c>
      <c r="WDH5750" s="34">
        <v>1.5</v>
      </c>
      <c r="WDI5750" s="34">
        <v>2</v>
      </c>
      <c r="WDJ5750" s="34">
        <v>2.5</v>
      </c>
      <c r="WDK5750" s="34">
        <v>3</v>
      </c>
      <c r="WDL5750" s="34">
        <v>3.5</v>
      </c>
      <c r="WDM5750" s="34">
        <v>4</v>
      </c>
      <c r="WDN5750" s="34">
        <v>4.5</v>
      </c>
      <c r="WDO5750" s="34">
        <v>5</v>
      </c>
      <c r="WDQ5750" s="913"/>
      <c r="WDR5750" s="31">
        <v>1</v>
      </c>
      <c r="WDS5750" s="34">
        <v>0</v>
      </c>
      <c r="WDT5750" s="34">
        <v>-1</v>
      </c>
      <c r="WDU5750" s="34">
        <v>-2</v>
      </c>
      <c r="WDV5750" s="34">
        <v>-3</v>
      </c>
      <c r="WDW5750" s="34">
        <v>-4</v>
      </c>
      <c r="WDX5750" s="34">
        <v>-5</v>
      </c>
      <c r="WDY5750" s="908"/>
      <c r="WDZ5750" s="909"/>
      <c r="WEA5750" s="34">
        <v>-5</v>
      </c>
      <c r="WEB5750" s="34">
        <v>-4.5</v>
      </c>
      <c r="WEC5750" s="34">
        <v>-4</v>
      </c>
      <c r="WED5750" s="34">
        <v>-3.5</v>
      </c>
      <c r="WEE5750" s="34">
        <v>-3</v>
      </c>
      <c r="WEF5750" s="34">
        <v>-2.5</v>
      </c>
      <c r="WEG5750" s="34">
        <v>-2</v>
      </c>
      <c r="WEH5750" s="34">
        <v>-1.5</v>
      </c>
      <c r="WEI5750" s="34">
        <v>-1</v>
      </c>
      <c r="WEJ5750" s="34">
        <v>-0.5</v>
      </c>
      <c r="WEK5750" s="34">
        <v>0</v>
      </c>
      <c r="WEL5750" s="34">
        <v>0.5</v>
      </c>
      <c r="WEM5750" s="34">
        <v>1</v>
      </c>
      <c r="WEN5750" s="34">
        <v>1.5</v>
      </c>
      <c r="WEO5750" s="34">
        <v>2</v>
      </c>
      <c r="WEP5750" s="34">
        <v>2.5</v>
      </c>
      <c r="WEQ5750" s="34">
        <v>3</v>
      </c>
      <c r="WER5750" s="34">
        <v>3.5</v>
      </c>
      <c r="WES5750" s="34">
        <v>4</v>
      </c>
      <c r="WET5750" s="34">
        <v>4.5</v>
      </c>
      <c r="WEU5750" s="34">
        <v>5</v>
      </c>
      <c r="WEW5750" s="913"/>
      <c r="WEX5750" s="31">
        <v>1</v>
      </c>
      <c r="WEY5750" s="34">
        <v>0</v>
      </c>
      <c r="WEZ5750" s="34">
        <v>-1</v>
      </c>
      <c r="WFA5750" s="34">
        <v>-2</v>
      </c>
      <c r="WFB5750" s="34">
        <v>-3</v>
      </c>
      <c r="WFC5750" s="34">
        <v>-4</v>
      </c>
      <c r="WFD5750" s="34">
        <v>-5</v>
      </c>
      <c r="WFE5750" s="908"/>
      <c r="WFF5750" s="909"/>
      <c r="WFG5750" s="34">
        <v>-5</v>
      </c>
      <c r="WFH5750" s="34">
        <v>-4.5</v>
      </c>
      <c r="WFI5750" s="34">
        <v>-4</v>
      </c>
      <c r="WFJ5750" s="34">
        <v>-3.5</v>
      </c>
      <c r="WFK5750" s="34">
        <v>-3</v>
      </c>
      <c r="WFL5750" s="34">
        <v>-2.5</v>
      </c>
      <c r="WFM5750" s="34">
        <v>-2</v>
      </c>
      <c r="WFN5750" s="34">
        <v>-1.5</v>
      </c>
      <c r="WFO5750" s="34">
        <v>-1</v>
      </c>
      <c r="WFP5750" s="34">
        <v>-0.5</v>
      </c>
      <c r="WFQ5750" s="34">
        <v>0</v>
      </c>
      <c r="WFR5750" s="34">
        <v>0.5</v>
      </c>
      <c r="WFS5750" s="34">
        <v>1</v>
      </c>
      <c r="WFT5750" s="34">
        <v>1.5</v>
      </c>
      <c r="WFU5750" s="34">
        <v>2</v>
      </c>
      <c r="WFV5750" s="34">
        <v>2.5</v>
      </c>
      <c r="WFW5750" s="34">
        <v>3</v>
      </c>
      <c r="WFX5750" s="34">
        <v>3.5</v>
      </c>
      <c r="WFY5750" s="34">
        <v>4</v>
      </c>
      <c r="WFZ5750" s="34">
        <v>4.5</v>
      </c>
      <c r="WGA5750" s="34">
        <v>5</v>
      </c>
      <c r="WGC5750" s="913"/>
      <c r="WGD5750" s="31">
        <v>1</v>
      </c>
      <c r="WGE5750" s="34">
        <v>0</v>
      </c>
      <c r="WGF5750" s="34">
        <v>-1</v>
      </c>
      <c r="WGG5750" s="34">
        <v>-2</v>
      </c>
      <c r="WGH5750" s="34">
        <v>-3</v>
      </c>
      <c r="WGI5750" s="34">
        <v>-4</v>
      </c>
      <c r="WGJ5750" s="34">
        <v>-5</v>
      </c>
      <c r="WGK5750" s="908"/>
      <c r="WGL5750" s="909"/>
      <c r="WGM5750" s="34">
        <v>-5</v>
      </c>
      <c r="WGN5750" s="34">
        <v>-4.5</v>
      </c>
      <c r="WGO5750" s="34">
        <v>-4</v>
      </c>
      <c r="WGP5750" s="34">
        <v>-3.5</v>
      </c>
      <c r="WGQ5750" s="34">
        <v>-3</v>
      </c>
      <c r="WGR5750" s="34">
        <v>-2.5</v>
      </c>
      <c r="WGS5750" s="34">
        <v>-2</v>
      </c>
      <c r="WGT5750" s="34">
        <v>-1.5</v>
      </c>
      <c r="WGU5750" s="34">
        <v>-1</v>
      </c>
      <c r="WGV5750" s="34">
        <v>-0.5</v>
      </c>
      <c r="WGW5750" s="34">
        <v>0</v>
      </c>
      <c r="WGX5750" s="34">
        <v>0.5</v>
      </c>
      <c r="WGY5750" s="34">
        <v>1</v>
      </c>
      <c r="WGZ5750" s="34">
        <v>1.5</v>
      </c>
      <c r="WHA5750" s="34">
        <v>2</v>
      </c>
      <c r="WHB5750" s="34">
        <v>2.5</v>
      </c>
      <c r="WHC5750" s="34">
        <v>3</v>
      </c>
      <c r="WHD5750" s="34">
        <v>3.5</v>
      </c>
      <c r="WHE5750" s="34">
        <v>4</v>
      </c>
      <c r="WHF5750" s="34">
        <v>4.5</v>
      </c>
      <c r="WHG5750" s="34">
        <v>5</v>
      </c>
      <c r="WHI5750" s="913"/>
      <c r="WHJ5750" s="31">
        <v>1</v>
      </c>
      <c r="WHK5750" s="34">
        <v>0</v>
      </c>
      <c r="WHL5750" s="34">
        <v>-1</v>
      </c>
      <c r="WHM5750" s="34">
        <v>-2</v>
      </c>
      <c r="WHN5750" s="34">
        <v>-3</v>
      </c>
      <c r="WHO5750" s="34">
        <v>-4</v>
      </c>
      <c r="WHP5750" s="34">
        <v>-5</v>
      </c>
      <c r="WHQ5750" s="908"/>
      <c r="WHR5750" s="909"/>
      <c r="WHS5750" s="34">
        <v>-5</v>
      </c>
      <c r="WHT5750" s="34">
        <v>-4.5</v>
      </c>
      <c r="WHU5750" s="34">
        <v>-4</v>
      </c>
      <c r="WHV5750" s="34">
        <v>-3.5</v>
      </c>
      <c r="WHW5750" s="34">
        <v>-3</v>
      </c>
      <c r="WHX5750" s="34">
        <v>-2.5</v>
      </c>
      <c r="WHY5750" s="34">
        <v>-2</v>
      </c>
      <c r="WHZ5750" s="34">
        <v>-1.5</v>
      </c>
      <c r="WIA5750" s="34">
        <v>-1</v>
      </c>
      <c r="WIB5750" s="34">
        <v>-0.5</v>
      </c>
      <c r="WIC5750" s="34">
        <v>0</v>
      </c>
      <c r="WID5750" s="34">
        <v>0.5</v>
      </c>
      <c r="WIE5750" s="34">
        <v>1</v>
      </c>
      <c r="WIF5750" s="34">
        <v>1.5</v>
      </c>
      <c r="WIG5750" s="34">
        <v>2</v>
      </c>
      <c r="WIH5750" s="34">
        <v>2.5</v>
      </c>
      <c r="WII5750" s="34">
        <v>3</v>
      </c>
      <c r="WIJ5750" s="34">
        <v>3.5</v>
      </c>
      <c r="WIK5750" s="34">
        <v>4</v>
      </c>
      <c r="WIL5750" s="34">
        <v>4.5</v>
      </c>
      <c r="WIM5750" s="34">
        <v>5</v>
      </c>
      <c r="WIO5750" s="913"/>
      <c r="WIP5750" s="31">
        <v>1</v>
      </c>
      <c r="WIQ5750" s="34">
        <v>0</v>
      </c>
      <c r="WIR5750" s="34">
        <v>-1</v>
      </c>
      <c r="WIS5750" s="34">
        <v>-2</v>
      </c>
      <c r="WIT5750" s="34">
        <v>-3</v>
      </c>
      <c r="WIU5750" s="34">
        <v>-4</v>
      </c>
      <c r="WIV5750" s="34">
        <v>-5</v>
      </c>
      <c r="WIW5750" s="908"/>
      <c r="WIX5750" s="909"/>
      <c r="WIY5750" s="34">
        <v>-5</v>
      </c>
      <c r="WIZ5750" s="34">
        <v>-4.5</v>
      </c>
      <c r="WJA5750" s="34">
        <v>-4</v>
      </c>
      <c r="WJB5750" s="34">
        <v>-3.5</v>
      </c>
      <c r="WJC5750" s="34">
        <v>-3</v>
      </c>
      <c r="WJD5750" s="34">
        <v>-2.5</v>
      </c>
      <c r="WJE5750" s="34">
        <v>-2</v>
      </c>
      <c r="WJF5750" s="34">
        <v>-1.5</v>
      </c>
      <c r="WJG5750" s="34">
        <v>-1</v>
      </c>
      <c r="WJH5750" s="34">
        <v>-0.5</v>
      </c>
      <c r="WJI5750" s="34">
        <v>0</v>
      </c>
      <c r="WJJ5750" s="34">
        <v>0.5</v>
      </c>
      <c r="WJK5750" s="34">
        <v>1</v>
      </c>
      <c r="WJL5750" s="34">
        <v>1.5</v>
      </c>
      <c r="WJM5750" s="34">
        <v>2</v>
      </c>
      <c r="WJN5750" s="34">
        <v>2.5</v>
      </c>
      <c r="WJO5750" s="34">
        <v>3</v>
      </c>
      <c r="WJP5750" s="34">
        <v>3.5</v>
      </c>
      <c r="WJQ5750" s="34">
        <v>4</v>
      </c>
      <c r="WJR5750" s="34">
        <v>4.5</v>
      </c>
      <c r="WJS5750" s="34">
        <v>5</v>
      </c>
      <c r="WJU5750" s="913"/>
      <c r="WJV5750" s="31">
        <v>1</v>
      </c>
      <c r="WJW5750" s="34">
        <v>0</v>
      </c>
      <c r="WJX5750" s="34">
        <v>-1</v>
      </c>
      <c r="WJY5750" s="34">
        <v>-2</v>
      </c>
      <c r="WJZ5750" s="34">
        <v>-3</v>
      </c>
      <c r="WKA5750" s="34">
        <v>-4</v>
      </c>
      <c r="WKB5750" s="34">
        <v>-5</v>
      </c>
      <c r="WKC5750" s="908"/>
      <c r="WKD5750" s="909"/>
      <c r="WKE5750" s="34">
        <v>-5</v>
      </c>
      <c r="WKF5750" s="34">
        <v>-4.5</v>
      </c>
      <c r="WKG5750" s="34">
        <v>-4</v>
      </c>
      <c r="WKH5750" s="34">
        <v>-3.5</v>
      </c>
      <c r="WKI5750" s="34">
        <v>-3</v>
      </c>
      <c r="WKJ5750" s="34">
        <v>-2.5</v>
      </c>
      <c r="WKK5750" s="34">
        <v>-2</v>
      </c>
      <c r="WKL5750" s="34">
        <v>-1.5</v>
      </c>
      <c r="WKM5750" s="34">
        <v>-1</v>
      </c>
      <c r="WKN5750" s="34">
        <v>-0.5</v>
      </c>
      <c r="WKO5750" s="34">
        <v>0</v>
      </c>
      <c r="WKP5750" s="34">
        <v>0.5</v>
      </c>
      <c r="WKQ5750" s="34">
        <v>1</v>
      </c>
      <c r="WKR5750" s="34">
        <v>1.5</v>
      </c>
      <c r="WKS5750" s="34">
        <v>2</v>
      </c>
      <c r="WKT5750" s="34">
        <v>2.5</v>
      </c>
      <c r="WKU5750" s="34">
        <v>3</v>
      </c>
      <c r="WKV5750" s="34">
        <v>3.5</v>
      </c>
      <c r="WKW5750" s="34">
        <v>4</v>
      </c>
      <c r="WKX5750" s="34">
        <v>4.5</v>
      </c>
      <c r="WKY5750" s="34">
        <v>5</v>
      </c>
      <c r="WLA5750" s="913"/>
      <c r="WLB5750" s="31">
        <v>1</v>
      </c>
      <c r="WLC5750" s="34">
        <v>0</v>
      </c>
      <c r="WLD5750" s="34">
        <v>-1</v>
      </c>
      <c r="WLE5750" s="34">
        <v>-2</v>
      </c>
      <c r="WLF5750" s="34">
        <v>-3</v>
      </c>
      <c r="WLG5750" s="34">
        <v>-4</v>
      </c>
      <c r="WLH5750" s="34">
        <v>-5</v>
      </c>
      <c r="WLI5750" s="908"/>
      <c r="WLJ5750" s="909"/>
      <c r="WLK5750" s="34">
        <v>-5</v>
      </c>
      <c r="WLL5750" s="34">
        <v>-4.5</v>
      </c>
      <c r="WLM5750" s="34">
        <v>-4</v>
      </c>
      <c r="WLN5750" s="34">
        <v>-3.5</v>
      </c>
      <c r="WLO5750" s="34">
        <v>-3</v>
      </c>
      <c r="WLP5750" s="34">
        <v>-2.5</v>
      </c>
      <c r="WLQ5750" s="34">
        <v>-2</v>
      </c>
      <c r="WLR5750" s="34">
        <v>-1.5</v>
      </c>
      <c r="WLS5750" s="34">
        <v>-1</v>
      </c>
      <c r="WLT5750" s="34">
        <v>-0.5</v>
      </c>
      <c r="WLU5750" s="34">
        <v>0</v>
      </c>
      <c r="WLV5750" s="34">
        <v>0.5</v>
      </c>
      <c r="WLW5750" s="34">
        <v>1</v>
      </c>
      <c r="WLX5750" s="34">
        <v>1.5</v>
      </c>
      <c r="WLY5750" s="34">
        <v>2</v>
      </c>
      <c r="WLZ5750" s="34">
        <v>2.5</v>
      </c>
      <c r="WMA5750" s="34">
        <v>3</v>
      </c>
      <c r="WMB5750" s="34">
        <v>3.5</v>
      </c>
      <c r="WMC5750" s="34">
        <v>4</v>
      </c>
      <c r="WMD5750" s="34">
        <v>4.5</v>
      </c>
      <c r="WME5750" s="34">
        <v>5</v>
      </c>
      <c r="WMG5750" s="913"/>
      <c r="WMH5750" s="31">
        <v>1</v>
      </c>
      <c r="WMI5750" s="34">
        <v>0</v>
      </c>
      <c r="WMJ5750" s="34">
        <v>-1</v>
      </c>
      <c r="WMK5750" s="34">
        <v>-2</v>
      </c>
      <c r="WML5750" s="34">
        <v>-3</v>
      </c>
      <c r="WMM5750" s="34">
        <v>-4</v>
      </c>
      <c r="WMN5750" s="34">
        <v>-5</v>
      </c>
      <c r="WMO5750" s="908"/>
      <c r="WMP5750" s="909"/>
      <c r="WMQ5750" s="34">
        <v>-5</v>
      </c>
      <c r="WMR5750" s="34">
        <v>-4.5</v>
      </c>
      <c r="WMS5750" s="34">
        <v>-4</v>
      </c>
      <c r="WMT5750" s="34">
        <v>-3.5</v>
      </c>
      <c r="WMU5750" s="34">
        <v>-3</v>
      </c>
      <c r="WMV5750" s="34">
        <v>-2.5</v>
      </c>
      <c r="WMW5750" s="34">
        <v>-2</v>
      </c>
      <c r="WMX5750" s="34">
        <v>-1.5</v>
      </c>
      <c r="WMY5750" s="34">
        <v>-1</v>
      </c>
      <c r="WMZ5750" s="34">
        <v>-0.5</v>
      </c>
      <c r="WNA5750" s="34">
        <v>0</v>
      </c>
      <c r="WNB5750" s="34">
        <v>0.5</v>
      </c>
      <c r="WNC5750" s="34">
        <v>1</v>
      </c>
      <c r="WND5750" s="34">
        <v>1.5</v>
      </c>
      <c r="WNE5750" s="34">
        <v>2</v>
      </c>
      <c r="WNF5750" s="34">
        <v>2.5</v>
      </c>
      <c r="WNG5750" s="34">
        <v>3</v>
      </c>
      <c r="WNH5750" s="34">
        <v>3.5</v>
      </c>
      <c r="WNI5750" s="34">
        <v>4</v>
      </c>
      <c r="WNJ5750" s="34">
        <v>4.5</v>
      </c>
      <c r="WNK5750" s="34">
        <v>5</v>
      </c>
      <c r="WNM5750" s="913"/>
      <c r="WNN5750" s="31">
        <v>1</v>
      </c>
      <c r="WNO5750" s="34">
        <v>0</v>
      </c>
      <c r="WNP5750" s="34">
        <v>-1</v>
      </c>
      <c r="WNQ5750" s="34">
        <v>-2</v>
      </c>
      <c r="WNR5750" s="34">
        <v>-3</v>
      </c>
      <c r="WNS5750" s="34">
        <v>-4</v>
      </c>
      <c r="WNT5750" s="34">
        <v>-5</v>
      </c>
      <c r="WNU5750" s="908"/>
      <c r="WNV5750" s="909"/>
      <c r="WNW5750" s="34">
        <v>-5</v>
      </c>
      <c r="WNX5750" s="34">
        <v>-4.5</v>
      </c>
      <c r="WNY5750" s="34">
        <v>-4</v>
      </c>
      <c r="WNZ5750" s="34">
        <v>-3.5</v>
      </c>
      <c r="WOA5750" s="34">
        <v>-3</v>
      </c>
      <c r="WOB5750" s="34">
        <v>-2.5</v>
      </c>
      <c r="WOC5750" s="34">
        <v>-2</v>
      </c>
      <c r="WOD5750" s="34">
        <v>-1.5</v>
      </c>
      <c r="WOE5750" s="34">
        <v>-1</v>
      </c>
      <c r="WOF5750" s="34">
        <v>-0.5</v>
      </c>
      <c r="WOG5750" s="34">
        <v>0</v>
      </c>
      <c r="WOH5750" s="34">
        <v>0.5</v>
      </c>
      <c r="WOI5750" s="34">
        <v>1</v>
      </c>
      <c r="WOJ5750" s="34">
        <v>1.5</v>
      </c>
      <c r="WOK5750" s="34">
        <v>2</v>
      </c>
      <c r="WOL5750" s="34">
        <v>2.5</v>
      </c>
      <c r="WOM5750" s="34">
        <v>3</v>
      </c>
      <c r="WON5750" s="34">
        <v>3.5</v>
      </c>
      <c r="WOO5750" s="34">
        <v>4</v>
      </c>
      <c r="WOP5750" s="34">
        <v>4.5</v>
      </c>
      <c r="WOQ5750" s="34">
        <v>5</v>
      </c>
      <c r="WOS5750" s="913"/>
      <c r="WOT5750" s="31">
        <v>1</v>
      </c>
      <c r="WOU5750" s="34">
        <v>0</v>
      </c>
      <c r="WOV5750" s="34">
        <v>-1</v>
      </c>
      <c r="WOW5750" s="34">
        <v>-2</v>
      </c>
      <c r="WOX5750" s="34">
        <v>-3</v>
      </c>
      <c r="WOY5750" s="34">
        <v>-4</v>
      </c>
      <c r="WOZ5750" s="34">
        <v>-5</v>
      </c>
      <c r="WPA5750" s="908"/>
      <c r="WPB5750" s="909"/>
      <c r="WPC5750" s="34">
        <v>-5</v>
      </c>
      <c r="WPD5750" s="34">
        <v>-4.5</v>
      </c>
      <c r="WPE5750" s="34">
        <v>-4</v>
      </c>
      <c r="WPF5750" s="34">
        <v>-3.5</v>
      </c>
      <c r="WPG5750" s="34">
        <v>-3</v>
      </c>
      <c r="WPH5750" s="34">
        <v>-2.5</v>
      </c>
      <c r="WPI5750" s="34">
        <v>-2</v>
      </c>
      <c r="WPJ5750" s="34">
        <v>-1.5</v>
      </c>
      <c r="WPK5750" s="34">
        <v>-1</v>
      </c>
      <c r="WPL5750" s="34">
        <v>-0.5</v>
      </c>
      <c r="WPM5750" s="34">
        <v>0</v>
      </c>
      <c r="WPN5750" s="34">
        <v>0.5</v>
      </c>
      <c r="WPO5750" s="34">
        <v>1</v>
      </c>
      <c r="WPP5750" s="34">
        <v>1.5</v>
      </c>
      <c r="WPQ5750" s="34">
        <v>2</v>
      </c>
      <c r="WPR5750" s="34">
        <v>2.5</v>
      </c>
      <c r="WPS5750" s="34">
        <v>3</v>
      </c>
      <c r="WPT5750" s="34">
        <v>3.5</v>
      </c>
      <c r="WPU5750" s="34">
        <v>4</v>
      </c>
      <c r="WPV5750" s="34">
        <v>4.5</v>
      </c>
      <c r="WPW5750" s="34">
        <v>5</v>
      </c>
      <c r="WPY5750" s="913"/>
      <c r="WPZ5750" s="31">
        <v>1</v>
      </c>
      <c r="WQA5750" s="34">
        <v>0</v>
      </c>
      <c r="WQB5750" s="34">
        <v>-1</v>
      </c>
      <c r="WQC5750" s="34">
        <v>-2</v>
      </c>
      <c r="WQD5750" s="34">
        <v>-3</v>
      </c>
      <c r="WQE5750" s="34">
        <v>-4</v>
      </c>
      <c r="WQF5750" s="34">
        <v>-5</v>
      </c>
      <c r="WQG5750" s="908"/>
      <c r="WQH5750" s="909"/>
      <c r="WQI5750" s="34">
        <v>-5</v>
      </c>
      <c r="WQJ5750" s="34">
        <v>-4.5</v>
      </c>
      <c r="WQK5750" s="34">
        <v>-4</v>
      </c>
      <c r="WQL5750" s="34">
        <v>-3.5</v>
      </c>
      <c r="WQM5750" s="34">
        <v>-3</v>
      </c>
      <c r="WQN5750" s="34">
        <v>-2.5</v>
      </c>
      <c r="WQO5750" s="34">
        <v>-2</v>
      </c>
      <c r="WQP5750" s="34">
        <v>-1.5</v>
      </c>
      <c r="WQQ5750" s="34">
        <v>-1</v>
      </c>
      <c r="WQR5750" s="34">
        <v>-0.5</v>
      </c>
      <c r="WQS5750" s="34">
        <v>0</v>
      </c>
      <c r="WQT5750" s="34">
        <v>0.5</v>
      </c>
      <c r="WQU5750" s="34">
        <v>1</v>
      </c>
      <c r="WQV5750" s="34">
        <v>1.5</v>
      </c>
      <c r="WQW5750" s="34">
        <v>2</v>
      </c>
      <c r="WQX5750" s="34">
        <v>2.5</v>
      </c>
      <c r="WQY5750" s="34">
        <v>3</v>
      </c>
      <c r="WQZ5750" s="34">
        <v>3.5</v>
      </c>
      <c r="WRA5750" s="34">
        <v>4</v>
      </c>
      <c r="WRB5750" s="34">
        <v>4.5</v>
      </c>
      <c r="WRC5750" s="34">
        <v>5</v>
      </c>
      <c r="WRE5750" s="913"/>
      <c r="WRF5750" s="31">
        <v>1</v>
      </c>
      <c r="WRG5750" s="34">
        <v>0</v>
      </c>
      <c r="WRH5750" s="34">
        <v>-1</v>
      </c>
      <c r="WRI5750" s="34">
        <v>-2</v>
      </c>
      <c r="WRJ5750" s="34">
        <v>-3</v>
      </c>
      <c r="WRK5750" s="34">
        <v>-4</v>
      </c>
      <c r="WRL5750" s="34">
        <v>-5</v>
      </c>
      <c r="WRM5750" s="908"/>
      <c r="WRN5750" s="909"/>
      <c r="WRO5750" s="34">
        <v>-5</v>
      </c>
      <c r="WRP5750" s="34">
        <v>-4.5</v>
      </c>
      <c r="WRQ5750" s="34">
        <v>-4</v>
      </c>
      <c r="WRR5750" s="34">
        <v>-3.5</v>
      </c>
      <c r="WRS5750" s="34">
        <v>-3</v>
      </c>
      <c r="WRT5750" s="34">
        <v>-2.5</v>
      </c>
      <c r="WRU5750" s="34">
        <v>-2</v>
      </c>
      <c r="WRV5750" s="34">
        <v>-1.5</v>
      </c>
      <c r="WRW5750" s="34">
        <v>-1</v>
      </c>
      <c r="WRX5750" s="34">
        <v>-0.5</v>
      </c>
      <c r="WRY5750" s="34">
        <v>0</v>
      </c>
      <c r="WRZ5750" s="34">
        <v>0.5</v>
      </c>
      <c r="WSA5750" s="34">
        <v>1</v>
      </c>
      <c r="WSB5750" s="34">
        <v>1.5</v>
      </c>
      <c r="WSC5750" s="34">
        <v>2</v>
      </c>
      <c r="WSD5750" s="34">
        <v>2.5</v>
      </c>
      <c r="WSE5750" s="34">
        <v>3</v>
      </c>
      <c r="WSF5750" s="34">
        <v>3.5</v>
      </c>
      <c r="WSG5750" s="34">
        <v>4</v>
      </c>
      <c r="WSH5750" s="34">
        <v>4.5</v>
      </c>
      <c r="WSI5750" s="34">
        <v>5</v>
      </c>
      <c r="WSK5750" s="913"/>
      <c r="WSL5750" s="31">
        <v>1</v>
      </c>
      <c r="WSM5750" s="34">
        <v>0</v>
      </c>
      <c r="WSN5750" s="34">
        <v>-1</v>
      </c>
      <c r="WSO5750" s="34">
        <v>-2</v>
      </c>
      <c r="WSP5750" s="34">
        <v>-3</v>
      </c>
      <c r="WSQ5750" s="34">
        <v>-4</v>
      </c>
      <c r="WSR5750" s="34">
        <v>-5</v>
      </c>
      <c r="WSS5750" s="908"/>
      <c r="WST5750" s="909"/>
      <c r="WSU5750" s="34">
        <v>-5</v>
      </c>
      <c r="WSV5750" s="34">
        <v>-4.5</v>
      </c>
      <c r="WSW5750" s="34">
        <v>-4</v>
      </c>
      <c r="WSX5750" s="34">
        <v>-3.5</v>
      </c>
      <c r="WSY5750" s="34">
        <v>-3</v>
      </c>
      <c r="WSZ5750" s="34">
        <v>-2.5</v>
      </c>
      <c r="WTA5750" s="34">
        <v>-2</v>
      </c>
      <c r="WTB5750" s="34">
        <v>-1.5</v>
      </c>
      <c r="WTC5750" s="34">
        <v>-1</v>
      </c>
      <c r="WTD5750" s="34">
        <v>-0.5</v>
      </c>
      <c r="WTE5750" s="34">
        <v>0</v>
      </c>
      <c r="WTF5750" s="34">
        <v>0.5</v>
      </c>
      <c r="WTG5750" s="34">
        <v>1</v>
      </c>
      <c r="WTH5750" s="34">
        <v>1.5</v>
      </c>
      <c r="WTI5750" s="34">
        <v>2</v>
      </c>
      <c r="WTJ5750" s="34">
        <v>2.5</v>
      </c>
      <c r="WTK5750" s="34">
        <v>3</v>
      </c>
      <c r="WTL5750" s="34">
        <v>3.5</v>
      </c>
      <c r="WTM5750" s="34">
        <v>4</v>
      </c>
      <c r="WTN5750" s="34">
        <v>4.5</v>
      </c>
      <c r="WTO5750" s="34">
        <v>5</v>
      </c>
      <c r="WTQ5750" s="913"/>
      <c r="WTR5750" s="31">
        <v>1</v>
      </c>
      <c r="WTS5750" s="34">
        <v>0</v>
      </c>
      <c r="WTT5750" s="34">
        <v>-1</v>
      </c>
      <c r="WTU5750" s="34">
        <v>-2</v>
      </c>
      <c r="WTV5750" s="34">
        <v>-3</v>
      </c>
      <c r="WTW5750" s="34">
        <v>-4</v>
      </c>
      <c r="WTX5750" s="34">
        <v>-5</v>
      </c>
      <c r="WTY5750" s="908"/>
      <c r="WTZ5750" s="909"/>
      <c r="WUA5750" s="34">
        <v>-5</v>
      </c>
      <c r="WUB5750" s="34">
        <v>-4.5</v>
      </c>
      <c r="WUC5750" s="34">
        <v>-4</v>
      </c>
      <c r="WUD5750" s="34">
        <v>-3.5</v>
      </c>
      <c r="WUE5750" s="34">
        <v>-3</v>
      </c>
      <c r="WUF5750" s="34">
        <v>-2.5</v>
      </c>
      <c r="WUG5750" s="34">
        <v>-2</v>
      </c>
      <c r="WUH5750" s="34">
        <v>-1.5</v>
      </c>
      <c r="WUI5750" s="34">
        <v>-1</v>
      </c>
      <c r="WUJ5750" s="34">
        <v>-0.5</v>
      </c>
      <c r="WUK5750" s="34">
        <v>0</v>
      </c>
      <c r="WUL5750" s="34">
        <v>0.5</v>
      </c>
      <c r="WUM5750" s="34">
        <v>1</v>
      </c>
      <c r="WUN5750" s="34">
        <v>1.5</v>
      </c>
      <c r="WUO5750" s="34">
        <v>2</v>
      </c>
      <c r="WUP5750" s="34">
        <v>2.5</v>
      </c>
      <c r="WUQ5750" s="34">
        <v>3</v>
      </c>
      <c r="WUR5750" s="34">
        <v>3.5</v>
      </c>
      <c r="WUS5750" s="34">
        <v>4</v>
      </c>
      <c r="WUT5750" s="34">
        <v>4.5</v>
      </c>
      <c r="WUU5750" s="34">
        <v>5</v>
      </c>
      <c r="WUW5750" s="913"/>
      <c r="WUX5750" s="31">
        <v>1</v>
      </c>
      <c r="WUY5750" s="34">
        <v>0</v>
      </c>
      <c r="WUZ5750" s="34">
        <v>-1</v>
      </c>
      <c r="WVA5750" s="34">
        <v>-2</v>
      </c>
      <c r="WVB5750" s="34">
        <v>-3</v>
      </c>
      <c r="WVC5750" s="34">
        <v>-4</v>
      </c>
      <c r="WVD5750" s="34">
        <v>-5</v>
      </c>
      <c r="WVE5750" s="908"/>
      <c r="WVF5750" s="909"/>
      <c r="WVG5750" s="34">
        <v>-5</v>
      </c>
      <c r="WVH5750" s="34">
        <v>-4.5</v>
      </c>
      <c r="WVI5750" s="34">
        <v>-4</v>
      </c>
      <c r="WVJ5750" s="34">
        <v>-3.5</v>
      </c>
      <c r="WVK5750" s="34">
        <v>-3</v>
      </c>
      <c r="WVL5750" s="34">
        <v>-2.5</v>
      </c>
      <c r="WVM5750" s="34">
        <v>-2</v>
      </c>
      <c r="WVN5750" s="34">
        <v>-1.5</v>
      </c>
      <c r="WVO5750" s="34">
        <v>-1</v>
      </c>
      <c r="WVP5750" s="34">
        <v>-0.5</v>
      </c>
      <c r="WVQ5750" s="34">
        <v>0</v>
      </c>
      <c r="WVR5750" s="34">
        <v>0.5</v>
      </c>
      <c r="WVS5750" s="34">
        <v>1</v>
      </c>
      <c r="WVT5750" s="34">
        <v>1.5</v>
      </c>
      <c r="WVU5750" s="34">
        <v>2</v>
      </c>
      <c r="WVV5750" s="34">
        <v>2.5</v>
      </c>
      <c r="WVW5750" s="34">
        <v>3</v>
      </c>
      <c r="WVX5750" s="34">
        <v>3.5</v>
      </c>
      <c r="WVY5750" s="34">
        <v>4</v>
      </c>
      <c r="WVZ5750" s="34">
        <v>4.5</v>
      </c>
      <c r="WWA5750" s="34">
        <v>5</v>
      </c>
      <c r="WWC5750" s="913"/>
      <c r="WWD5750" s="31">
        <v>1</v>
      </c>
      <c r="WWE5750" s="34">
        <v>0</v>
      </c>
      <c r="WWF5750" s="34">
        <v>-1</v>
      </c>
      <c r="WWG5750" s="34">
        <v>-2</v>
      </c>
      <c r="WWH5750" s="34">
        <v>-3</v>
      </c>
      <c r="WWI5750" s="34">
        <v>-4</v>
      </c>
      <c r="WWJ5750" s="34">
        <v>-5</v>
      </c>
      <c r="WWK5750" s="908"/>
      <c r="WWL5750" s="909"/>
      <c r="WWM5750" s="34">
        <v>-5</v>
      </c>
      <c r="WWN5750" s="34">
        <v>-4.5</v>
      </c>
      <c r="WWO5750" s="34">
        <v>-4</v>
      </c>
      <c r="WWP5750" s="34">
        <v>-3.5</v>
      </c>
      <c r="WWQ5750" s="34">
        <v>-3</v>
      </c>
      <c r="WWR5750" s="34">
        <v>-2.5</v>
      </c>
      <c r="WWS5750" s="34">
        <v>-2</v>
      </c>
      <c r="WWT5750" s="34">
        <v>-1.5</v>
      </c>
      <c r="WWU5750" s="34">
        <v>-1</v>
      </c>
      <c r="WWV5750" s="34">
        <v>-0.5</v>
      </c>
      <c r="WWW5750" s="34">
        <v>0</v>
      </c>
      <c r="WWX5750" s="34">
        <v>0.5</v>
      </c>
      <c r="WWY5750" s="34">
        <v>1</v>
      </c>
      <c r="WWZ5750" s="34">
        <v>1.5</v>
      </c>
      <c r="WXA5750" s="34">
        <v>2</v>
      </c>
      <c r="WXB5750" s="34">
        <v>2.5</v>
      </c>
      <c r="WXC5750" s="34">
        <v>3</v>
      </c>
      <c r="WXD5750" s="34">
        <v>3.5</v>
      </c>
      <c r="WXE5750" s="34">
        <v>4</v>
      </c>
      <c r="WXF5750" s="34">
        <v>4.5</v>
      </c>
      <c r="WXG5750" s="34">
        <v>5</v>
      </c>
      <c r="WXI5750" s="913"/>
      <c r="WXJ5750" s="31">
        <v>1</v>
      </c>
      <c r="WXK5750" s="34">
        <v>0</v>
      </c>
      <c r="WXL5750" s="34">
        <v>-1</v>
      </c>
      <c r="WXM5750" s="34">
        <v>-2</v>
      </c>
      <c r="WXN5750" s="34">
        <v>-3</v>
      </c>
      <c r="WXO5750" s="34">
        <v>-4</v>
      </c>
      <c r="WXP5750" s="34">
        <v>-5</v>
      </c>
      <c r="WXQ5750" s="908"/>
      <c r="WXR5750" s="909"/>
      <c r="WXS5750" s="34">
        <v>-5</v>
      </c>
      <c r="WXT5750" s="34">
        <v>-4.5</v>
      </c>
      <c r="WXU5750" s="34">
        <v>-4</v>
      </c>
      <c r="WXV5750" s="34">
        <v>-3.5</v>
      </c>
      <c r="WXW5750" s="34">
        <v>-3</v>
      </c>
      <c r="WXX5750" s="34">
        <v>-2.5</v>
      </c>
      <c r="WXY5750" s="34">
        <v>-2</v>
      </c>
      <c r="WXZ5750" s="34">
        <v>-1.5</v>
      </c>
      <c r="WYA5750" s="34">
        <v>-1</v>
      </c>
      <c r="WYB5750" s="34">
        <v>-0.5</v>
      </c>
      <c r="WYC5750" s="34">
        <v>0</v>
      </c>
      <c r="WYD5750" s="34">
        <v>0.5</v>
      </c>
      <c r="WYE5750" s="34">
        <v>1</v>
      </c>
      <c r="WYF5750" s="34">
        <v>1.5</v>
      </c>
      <c r="WYG5750" s="34">
        <v>2</v>
      </c>
      <c r="WYH5750" s="34">
        <v>2.5</v>
      </c>
      <c r="WYI5750" s="34">
        <v>3</v>
      </c>
      <c r="WYJ5750" s="34">
        <v>3.5</v>
      </c>
      <c r="WYK5750" s="34">
        <v>4</v>
      </c>
      <c r="WYL5750" s="34">
        <v>4.5</v>
      </c>
      <c r="WYM5750" s="34">
        <v>5</v>
      </c>
      <c r="WYO5750" s="913"/>
      <c r="WYP5750" s="31">
        <v>1</v>
      </c>
      <c r="WYQ5750" s="34">
        <v>0</v>
      </c>
      <c r="WYR5750" s="34">
        <v>-1</v>
      </c>
      <c r="WYS5750" s="34">
        <v>-2</v>
      </c>
      <c r="WYT5750" s="34">
        <v>-3</v>
      </c>
      <c r="WYU5750" s="34">
        <v>-4</v>
      </c>
      <c r="WYV5750" s="34">
        <v>-5</v>
      </c>
      <c r="WYW5750" s="908"/>
      <c r="WYX5750" s="909"/>
      <c r="WYY5750" s="34">
        <v>-5</v>
      </c>
      <c r="WYZ5750" s="34">
        <v>-4.5</v>
      </c>
      <c r="WZA5750" s="34">
        <v>-4</v>
      </c>
      <c r="WZB5750" s="34">
        <v>-3.5</v>
      </c>
      <c r="WZC5750" s="34">
        <v>-3</v>
      </c>
      <c r="WZD5750" s="34">
        <v>-2.5</v>
      </c>
      <c r="WZE5750" s="34">
        <v>-2</v>
      </c>
      <c r="WZF5750" s="34">
        <v>-1.5</v>
      </c>
      <c r="WZG5750" s="34">
        <v>-1</v>
      </c>
      <c r="WZH5750" s="34">
        <v>-0.5</v>
      </c>
      <c r="WZI5750" s="34">
        <v>0</v>
      </c>
      <c r="WZJ5750" s="34">
        <v>0.5</v>
      </c>
      <c r="WZK5750" s="34">
        <v>1</v>
      </c>
      <c r="WZL5750" s="34">
        <v>1.5</v>
      </c>
      <c r="WZM5750" s="34">
        <v>2</v>
      </c>
      <c r="WZN5750" s="34">
        <v>2.5</v>
      </c>
      <c r="WZO5750" s="34">
        <v>3</v>
      </c>
      <c r="WZP5750" s="34">
        <v>3.5</v>
      </c>
      <c r="WZQ5750" s="34">
        <v>4</v>
      </c>
      <c r="WZR5750" s="34">
        <v>4.5</v>
      </c>
      <c r="WZS5750" s="34">
        <v>5</v>
      </c>
      <c r="WZU5750" s="913"/>
      <c r="WZV5750" s="31">
        <v>1</v>
      </c>
      <c r="WZW5750" s="34">
        <v>0</v>
      </c>
      <c r="WZX5750" s="34">
        <v>-1</v>
      </c>
      <c r="WZY5750" s="34">
        <v>-2</v>
      </c>
      <c r="WZZ5750" s="34">
        <v>-3</v>
      </c>
      <c r="XAA5750" s="34">
        <v>-4</v>
      </c>
      <c r="XAB5750" s="34">
        <v>-5</v>
      </c>
      <c r="XAC5750" s="908"/>
      <c r="XAD5750" s="909"/>
      <c r="XAE5750" s="34">
        <v>-5</v>
      </c>
      <c r="XAF5750" s="34">
        <v>-4.5</v>
      </c>
      <c r="XAG5750" s="34">
        <v>-4</v>
      </c>
      <c r="XAH5750" s="34">
        <v>-3.5</v>
      </c>
      <c r="XAI5750" s="34">
        <v>-3</v>
      </c>
      <c r="XAJ5750" s="34">
        <v>-2.5</v>
      </c>
      <c r="XAK5750" s="34">
        <v>-2</v>
      </c>
      <c r="XAL5750" s="34">
        <v>-1.5</v>
      </c>
      <c r="XAM5750" s="34">
        <v>-1</v>
      </c>
      <c r="XAN5750" s="34">
        <v>-0.5</v>
      </c>
      <c r="XAO5750" s="34">
        <v>0</v>
      </c>
      <c r="XAP5750" s="34">
        <v>0.5</v>
      </c>
      <c r="XAQ5750" s="34">
        <v>1</v>
      </c>
      <c r="XAR5750" s="34">
        <v>1.5</v>
      </c>
      <c r="XAS5750" s="34">
        <v>2</v>
      </c>
      <c r="XAT5750" s="34">
        <v>2.5</v>
      </c>
      <c r="XAU5750" s="34">
        <v>3</v>
      </c>
      <c r="XAV5750" s="34">
        <v>3.5</v>
      </c>
      <c r="XAW5750" s="34">
        <v>4</v>
      </c>
      <c r="XAX5750" s="34">
        <v>4.5</v>
      </c>
      <c r="XAY5750" s="34">
        <v>5</v>
      </c>
      <c r="XBA5750" s="913"/>
      <c r="XBB5750" s="31">
        <v>1</v>
      </c>
      <c r="XBC5750" s="34">
        <v>0</v>
      </c>
      <c r="XBD5750" s="34">
        <v>-1</v>
      </c>
      <c r="XBE5750" s="34">
        <v>-2</v>
      </c>
      <c r="XBF5750" s="34">
        <v>-3</v>
      </c>
      <c r="XBG5750" s="34">
        <v>-4</v>
      </c>
      <c r="XBH5750" s="34">
        <v>-5</v>
      </c>
      <c r="XBI5750" s="908"/>
      <c r="XBJ5750" s="909"/>
      <c r="XBK5750" s="34">
        <v>-5</v>
      </c>
      <c r="XBL5750" s="34">
        <v>-4.5</v>
      </c>
      <c r="XBM5750" s="34">
        <v>-4</v>
      </c>
      <c r="XBN5750" s="34">
        <v>-3.5</v>
      </c>
      <c r="XBO5750" s="34">
        <v>-3</v>
      </c>
      <c r="XBP5750" s="34">
        <v>-2.5</v>
      </c>
      <c r="XBQ5750" s="34">
        <v>-2</v>
      </c>
      <c r="XBR5750" s="34">
        <v>-1.5</v>
      </c>
      <c r="XBS5750" s="34">
        <v>-1</v>
      </c>
      <c r="XBT5750" s="34">
        <v>-0.5</v>
      </c>
      <c r="XBU5750" s="34">
        <v>0</v>
      </c>
      <c r="XBV5750" s="34">
        <v>0.5</v>
      </c>
      <c r="XBW5750" s="34">
        <v>1</v>
      </c>
      <c r="XBX5750" s="34">
        <v>1.5</v>
      </c>
      <c r="XBY5750" s="34">
        <v>2</v>
      </c>
      <c r="XBZ5750" s="34">
        <v>2.5</v>
      </c>
      <c r="XCA5750" s="34">
        <v>3</v>
      </c>
      <c r="XCB5750" s="34">
        <v>3.5</v>
      </c>
      <c r="XCC5750" s="34">
        <v>4</v>
      </c>
      <c r="XCD5750" s="34">
        <v>4.5</v>
      </c>
      <c r="XCE5750" s="34">
        <v>5</v>
      </c>
      <c r="XCG5750" s="913"/>
      <c r="XCH5750" s="31">
        <v>1</v>
      </c>
      <c r="XCI5750" s="34">
        <v>0</v>
      </c>
      <c r="XCJ5750" s="34">
        <v>-1</v>
      </c>
      <c r="XCK5750" s="34">
        <v>-2</v>
      </c>
      <c r="XCL5750" s="34">
        <v>-3</v>
      </c>
      <c r="XCM5750" s="34">
        <v>-4</v>
      </c>
      <c r="XCN5750" s="34">
        <v>-5</v>
      </c>
      <c r="XCO5750" s="908"/>
      <c r="XCP5750" s="909"/>
      <c r="XCQ5750" s="34">
        <v>-5</v>
      </c>
      <c r="XCR5750" s="34">
        <v>-4.5</v>
      </c>
      <c r="XCS5750" s="34">
        <v>-4</v>
      </c>
      <c r="XCT5750" s="34">
        <v>-3.5</v>
      </c>
      <c r="XCU5750" s="34">
        <v>-3</v>
      </c>
      <c r="XCV5750" s="34">
        <v>-2.5</v>
      </c>
      <c r="XCW5750" s="34">
        <v>-2</v>
      </c>
      <c r="XCX5750" s="34">
        <v>-1.5</v>
      </c>
      <c r="XCY5750" s="34">
        <v>-1</v>
      </c>
      <c r="XCZ5750" s="34">
        <v>-0.5</v>
      </c>
      <c r="XDA5750" s="34">
        <v>0</v>
      </c>
      <c r="XDB5750" s="34">
        <v>0.5</v>
      </c>
      <c r="XDC5750" s="34">
        <v>1</v>
      </c>
      <c r="XDD5750" s="34">
        <v>1.5</v>
      </c>
      <c r="XDE5750" s="34">
        <v>2</v>
      </c>
      <c r="XDF5750" s="34">
        <v>2.5</v>
      </c>
      <c r="XDG5750" s="34">
        <v>3</v>
      </c>
      <c r="XDH5750" s="34">
        <v>3.5</v>
      </c>
      <c r="XDI5750" s="34">
        <v>4</v>
      </c>
      <c r="XDJ5750" s="34">
        <v>4.5</v>
      </c>
      <c r="XDK5750" s="34">
        <v>5</v>
      </c>
      <c r="XDM5750" s="913"/>
      <c r="XDN5750" s="31">
        <v>1</v>
      </c>
      <c r="XDO5750" s="34">
        <v>0</v>
      </c>
      <c r="XDP5750" s="34">
        <v>-1</v>
      </c>
      <c r="XDQ5750" s="34">
        <v>-2</v>
      </c>
      <c r="XDR5750" s="34">
        <v>-3</v>
      </c>
      <c r="XDS5750" s="34">
        <v>-4</v>
      </c>
      <c r="XDT5750" s="34">
        <v>-5</v>
      </c>
      <c r="XDU5750" s="908"/>
      <c r="XDV5750" s="909"/>
      <c r="XDW5750" s="34">
        <v>-5</v>
      </c>
      <c r="XDX5750" s="34">
        <v>-4.5</v>
      </c>
      <c r="XDY5750" s="34">
        <v>-4</v>
      </c>
      <c r="XDZ5750" s="34">
        <v>-3.5</v>
      </c>
      <c r="XEA5750" s="34">
        <v>-3</v>
      </c>
      <c r="XEB5750" s="34">
        <v>-2.5</v>
      </c>
      <c r="XEC5750" s="34">
        <v>-2</v>
      </c>
      <c r="XED5750" s="34">
        <v>-1.5</v>
      </c>
      <c r="XEE5750" s="34">
        <v>-1</v>
      </c>
      <c r="XEF5750" s="34">
        <v>-0.5</v>
      </c>
      <c r="XEG5750" s="34">
        <v>0</v>
      </c>
      <c r="XEH5750" s="34">
        <v>0.5</v>
      </c>
      <c r="XEI5750" s="34">
        <v>1</v>
      </c>
      <c r="XEJ5750" s="34">
        <v>1.5</v>
      </c>
      <c r="XEK5750" s="34">
        <v>2</v>
      </c>
      <c r="XEL5750" s="34">
        <v>2.5</v>
      </c>
      <c r="XEM5750" s="34">
        <v>3</v>
      </c>
      <c r="XEN5750" s="34">
        <v>3.5</v>
      </c>
      <c r="XEO5750" s="34">
        <v>4</v>
      </c>
      <c r="XEP5750" s="34">
        <v>4.5</v>
      </c>
      <c r="XEQ5750" s="34">
        <v>5</v>
      </c>
    </row>
    <row r="5751" spans="2:16372">
      <c r="B5751" s="19"/>
      <c r="C5751" s="19"/>
      <c r="D5751" s="19"/>
      <c r="E5751" s="19"/>
      <c r="F5751" s="19"/>
      <c r="G5751" s="19"/>
      <c r="H5751" s="19"/>
      <c r="I5751" s="19"/>
      <c r="J5751" s="19"/>
      <c r="K5751" s="421"/>
      <c r="L5751" s="23"/>
      <c r="M5751" s="19"/>
      <c r="N5751" s="19"/>
      <c r="O5751" s="19"/>
      <c r="P5751" s="19"/>
      <c r="Q5751" s="19"/>
    </row>
    <row r="5752" spans="2:16372">
      <c r="B5752" s="19"/>
      <c r="C5752" s="19"/>
      <c r="D5752" s="19"/>
      <c r="E5752" s="19"/>
      <c r="F5752" s="19"/>
      <c r="G5752" s="19"/>
      <c r="H5752" s="19"/>
      <c r="I5752" s="19"/>
      <c r="J5752" s="19"/>
      <c r="K5752" s="421"/>
      <c r="L5752" s="23"/>
      <c r="M5752" s="19"/>
      <c r="N5752" s="19"/>
      <c r="O5752" s="19"/>
      <c r="P5752" s="19"/>
      <c r="Q5752" s="19"/>
    </row>
    <row r="5753" spans="2:16372">
      <c r="B5753" s="19"/>
      <c r="C5753" s="19"/>
      <c r="D5753" s="19"/>
      <c r="E5753" s="19"/>
      <c r="F5753" s="19"/>
      <c r="G5753" s="19"/>
      <c r="H5753" s="19"/>
      <c r="I5753" s="19"/>
      <c r="J5753" s="19"/>
      <c r="K5753" s="421"/>
      <c r="L5753" s="23"/>
      <c r="M5753" s="19"/>
      <c r="N5753" s="19"/>
      <c r="O5753" s="19"/>
      <c r="P5753" s="19"/>
      <c r="Q5753" s="19"/>
    </row>
    <row r="5754" spans="2:16372">
      <c r="B5754" s="19"/>
      <c r="C5754" s="19"/>
      <c r="D5754" s="19"/>
      <c r="E5754" s="19"/>
      <c r="F5754" s="19"/>
      <c r="G5754" s="19"/>
      <c r="H5754" s="19"/>
      <c r="I5754" s="19"/>
      <c r="J5754" s="19"/>
      <c r="K5754" s="421"/>
      <c r="L5754" s="23"/>
      <c r="M5754" s="19"/>
      <c r="N5754" s="19"/>
      <c r="O5754" s="19"/>
      <c r="P5754" s="19"/>
      <c r="Q5754" s="19"/>
    </row>
    <row r="5755" spans="2:16372">
      <c r="B5755" s="19"/>
      <c r="C5755" s="19"/>
      <c r="D5755" s="19"/>
      <c r="E5755" s="19"/>
      <c r="F5755" s="19"/>
      <c r="G5755" s="19"/>
      <c r="H5755" s="19"/>
      <c r="I5755" s="19"/>
      <c r="J5755" s="19"/>
      <c r="K5755" s="421"/>
      <c r="L5755" s="23"/>
      <c r="M5755" s="19"/>
      <c r="N5755" s="19"/>
      <c r="O5755" s="19"/>
      <c r="P5755" s="19"/>
      <c r="Q5755" s="19"/>
    </row>
    <row r="5756" spans="2:16372">
      <c r="B5756" s="19"/>
      <c r="C5756" s="19"/>
      <c r="D5756" s="19"/>
      <c r="E5756" s="19"/>
      <c r="F5756" s="19"/>
      <c r="G5756" s="19"/>
      <c r="H5756" s="19"/>
      <c r="I5756" s="19"/>
      <c r="J5756" s="19"/>
      <c r="K5756" s="421"/>
      <c r="L5756" s="23"/>
      <c r="M5756" s="19"/>
      <c r="N5756" s="19"/>
      <c r="O5756" s="19"/>
      <c r="P5756" s="19"/>
      <c r="Q5756" s="19"/>
    </row>
    <row r="5757" spans="2:16372">
      <c r="B5757" s="19"/>
      <c r="C5757" s="19"/>
      <c r="D5757" s="19"/>
      <c r="E5757" s="19"/>
      <c r="F5757" s="19"/>
      <c r="G5757" s="19"/>
      <c r="H5757" s="19"/>
      <c r="I5757" s="19"/>
      <c r="J5757" s="19"/>
      <c r="K5757" s="421"/>
      <c r="L5757" s="23"/>
      <c r="M5757" s="19"/>
      <c r="N5757" s="19"/>
      <c r="O5757" s="19"/>
      <c r="P5757" s="19"/>
      <c r="Q5757" s="19"/>
    </row>
    <row r="5758" spans="2:16372">
      <c r="B5758" s="19"/>
      <c r="C5758" s="19"/>
      <c r="D5758" s="19"/>
      <c r="E5758" s="19"/>
      <c r="F5758" s="19"/>
      <c r="G5758" s="19"/>
      <c r="H5758" s="19"/>
      <c r="I5758" s="19"/>
      <c r="J5758" s="19"/>
      <c r="K5758" s="421"/>
      <c r="L5758" s="23"/>
      <c r="M5758" s="19"/>
      <c r="N5758" s="19"/>
      <c r="O5758" s="19"/>
      <c r="P5758" s="19"/>
      <c r="Q5758" s="19"/>
    </row>
    <row r="5759" spans="2:16372">
      <c r="B5759" s="19"/>
      <c r="C5759" s="19"/>
      <c r="D5759" s="19"/>
      <c r="E5759" s="19"/>
      <c r="F5759" s="19"/>
      <c r="G5759" s="19"/>
      <c r="H5759" s="19"/>
      <c r="I5759" s="19"/>
      <c r="J5759" s="19"/>
      <c r="K5759" s="421"/>
      <c r="L5759" s="23"/>
      <c r="M5759" s="19"/>
      <c r="N5759" s="19"/>
      <c r="O5759" s="19"/>
      <c r="P5759" s="19"/>
      <c r="Q5759" s="19"/>
    </row>
    <row r="5760" spans="2:16372">
      <c r="B5760" s="19"/>
      <c r="C5760" s="19"/>
      <c r="D5760" s="19"/>
      <c r="E5760" s="19"/>
      <c r="F5760" s="19"/>
      <c r="G5760" s="19"/>
      <c r="H5760" s="19"/>
      <c r="I5760" s="19"/>
      <c r="J5760" s="19"/>
      <c r="K5760" s="421"/>
      <c r="L5760" s="23"/>
      <c r="M5760" s="19"/>
      <c r="N5760" s="19"/>
      <c r="O5760" s="19"/>
      <c r="P5760" s="19"/>
      <c r="Q5760" s="19"/>
    </row>
    <row r="5761" spans="2:17">
      <c r="B5761" s="19"/>
      <c r="C5761" s="19"/>
      <c r="D5761" s="19"/>
      <c r="E5761" s="19"/>
      <c r="F5761" s="19"/>
      <c r="G5761" s="19"/>
      <c r="H5761" s="19"/>
      <c r="I5761" s="19"/>
      <c r="J5761" s="19"/>
      <c r="K5761" s="421"/>
      <c r="L5761" s="23"/>
      <c r="M5761" s="19"/>
      <c r="N5761" s="19"/>
      <c r="O5761" s="19"/>
      <c r="P5761" s="19"/>
      <c r="Q5761" s="19"/>
    </row>
    <row r="5762" spans="2:17">
      <c r="B5762" s="19"/>
      <c r="C5762" s="19"/>
      <c r="D5762" s="19"/>
      <c r="E5762" s="19"/>
      <c r="F5762" s="19"/>
      <c r="G5762" s="19"/>
      <c r="H5762" s="19"/>
      <c r="I5762" s="19"/>
      <c r="J5762" s="19"/>
      <c r="K5762" s="421"/>
      <c r="L5762" s="23"/>
      <c r="M5762" s="19"/>
      <c r="N5762" s="19"/>
      <c r="O5762" s="19"/>
      <c r="P5762" s="19"/>
      <c r="Q5762" s="19"/>
    </row>
    <row r="5763" spans="2:17">
      <c r="B5763" s="19"/>
      <c r="C5763" s="19"/>
      <c r="D5763" s="19"/>
      <c r="E5763" s="19"/>
      <c r="F5763" s="19"/>
      <c r="G5763" s="19"/>
      <c r="H5763" s="19"/>
      <c r="I5763" s="19"/>
      <c r="J5763" s="19"/>
      <c r="K5763" s="421"/>
      <c r="L5763" s="23"/>
      <c r="M5763" s="19"/>
      <c r="N5763" s="19"/>
      <c r="O5763" s="19"/>
      <c r="P5763" s="19"/>
      <c r="Q5763" s="19"/>
    </row>
    <row r="5764" spans="2:17">
      <c r="B5764" s="19"/>
      <c r="C5764" s="19"/>
      <c r="D5764" s="19"/>
      <c r="E5764" s="19"/>
      <c r="F5764" s="19"/>
      <c r="G5764" s="19"/>
      <c r="H5764" s="19"/>
      <c r="I5764" s="19"/>
      <c r="J5764" s="19"/>
      <c r="K5764" s="421"/>
      <c r="L5764" s="23"/>
      <c r="M5764" s="19"/>
      <c r="N5764" s="19"/>
      <c r="O5764" s="19"/>
      <c r="P5764" s="19"/>
      <c r="Q5764" s="19"/>
    </row>
    <row r="5765" spans="2:17">
      <c r="B5765" s="19"/>
      <c r="C5765" s="19"/>
      <c r="D5765" s="19"/>
      <c r="E5765" s="19"/>
      <c r="F5765" s="19"/>
      <c r="G5765" s="19"/>
      <c r="H5765" s="19"/>
      <c r="I5765" s="19"/>
      <c r="J5765" s="19"/>
      <c r="K5765" s="421"/>
      <c r="L5765" s="23"/>
      <c r="M5765" s="19"/>
      <c r="N5765" s="19"/>
      <c r="O5765" s="19"/>
      <c r="P5765" s="19"/>
      <c r="Q5765" s="19"/>
    </row>
    <row r="5766" spans="2:17">
      <c r="B5766" s="19"/>
      <c r="C5766" s="19"/>
      <c r="D5766" s="19"/>
      <c r="E5766" s="19"/>
      <c r="F5766" s="19"/>
      <c r="G5766" s="19"/>
      <c r="H5766" s="19"/>
      <c r="I5766" s="19"/>
      <c r="J5766" s="19"/>
      <c r="K5766" s="421"/>
      <c r="L5766" s="23"/>
      <c r="M5766" s="19"/>
      <c r="N5766" s="19"/>
      <c r="O5766" s="19"/>
      <c r="P5766" s="19"/>
      <c r="Q5766" s="19"/>
    </row>
    <row r="5767" spans="2:17">
      <c r="B5767" s="19"/>
      <c r="C5767" s="19"/>
      <c r="D5767" s="19"/>
      <c r="E5767" s="19"/>
      <c r="F5767" s="19"/>
      <c r="G5767" s="19"/>
      <c r="H5767" s="19"/>
      <c r="I5767" s="19"/>
      <c r="J5767" s="19"/>
      <c r="K5767" s="421"/>
      <c r="L5767" s="23"/>
      <c r="M5767" s="19"/>
      <c r="N5767" s="19"/>
      <c r="O5767" s="19"/>
      <c r="P5767" s="19"/>
      <c r="Q5767" s="19"/>
    </row>
    <row r="5768" spans="2:17">
      <c r="B5768" s="19"/>
      <c r="C5768" s="19"/>
      <c r="D5768" s="19"/>
      <c r="E5768" s="19"/>
      <c r="F5768" s="19"/>
      <c r="G5768" s="19"/>
      <c r="H5768" s="19"/>
      <c r="I5768" s="19"/>
      <c r="J5768" s="19"/>
      <c r="K5768" s="421"/>
      <c r="L5768" s="23"/>
      <c r="M5768" s="19"/>
      <c r="N5768" s="19"/>
      <c r="O5768" s="19"/>
      <c r="P5768" s="19"/>
      <c r="Q5768" s="19"/>
    </row>
    <row r="5769" spans="2:17">
      <c r="B5769" s="19"/>
      <c r="C5769" s="19"/>
      <c r="D5769" s="19"/>
      <c r="E5769" s="19"/>
      <c r="F5769" s="19"/>
      <c r="G5769" s="19"/>
      <c r="H5769" s="19"/>
      <c r="I5769" s="19"/>
      <c r="J5769" s="19"/>
      <c r="K5769" s="421"/>
      <c r="L5769" s="23"/>
      <c r="M5769" s="19"/>
      <c r="N5769" s="19"/>
      <c r="O5769" s="19"/>
      <c r="P5769" s="19"/>
      <c r="Q5769" s="19"/>
    </row>
    <row r="5770" spans="2:17">
      <c r="B5770" s="19"/>
      <c r="C5770" s="19"/>
      <c r="D5770" s="19"/>
      <c r="E5770" s="19"/>
      <c r="F5770" s="19"/>
      <c r="G5770" s="19"/>
      <c r="H5770" s="19"/>
      <c r="I5770" s="19"/>
      <c r="J5770" s="19"/>
      <c r="K5770" s="421"/>
      <c r="L5770" s="23"/>
      <c r="M5770" s="19"/>
      <c r="N5770" s="19"/>
      <c r="O5770" s="19"/>
      <c r="P5770" s="19"/>
      <c r="Q5770" s="19"/>
    </row>
    <row r="5771" spans="2:17">
      <c r="B5771" s="19"/>
      <c r="C5771" s="19"/>
      <c r="D5771" s="19"/>
      <c r="E5771" s="19"/>
      <c r="F5771" s="19"/>
      <c r="G5771" s="19"/>
      <c r="H5771" s="19"/>
      <c r="I5771" s="19"/>
      <c r="J5771" s="19"/>
      <c r="K5771" s="421"/>
      <c r="L5771" s="23"/>
      <c r="M5771" s="19"/>
      <c r="N5771" s="19"/>
      <c r="O5771" s="19"/>
      <c r="P5771" s="19"/>
      <c r="Q5771" s="19"/>
    </row>
    <row r="5772" spans="2:17">
      <c r="B5772" s="19"/>
      <c r="C5772" s="19"/>
      <c r="D5772" s="19"/>
      <c r="E5772" s="19"/>
      <c r="F5772" s="19"/>
      <c r="G5772" s="19"/>
      <c r="H5772" s="19"/>
      <c r="I5772" s="19"/>
      <c r="J5772" s="19"/>
      <c r="K5772" s="421"/>
      <c r="L5772" s="23"/>
      <c r="M5772" s="19"/>
      <c r="N5772" s="19"/>
      <c r="O5772" s="19"/>
      <c r="P5772" s="19"/>
      <c r="Q5772" s="19"/>
    </row>
    <row r="5773" spans="2:17">
      <c r="B5773" s="19"/>
      <c r="C5773" s="19"/>
      <c r="D5773" s="19"/>
      <c r="E5773" s="19"/>
      <c r="F5773" s="19"/>
      <c r="G5773" s="19"/>
      <c r="H5773" s="19"/>
      <c r="I5773" s="19"/>
      <c r="J5773" s="19"/>
      <c r="K5773" s="421"/>
      <c r="L5773" s="23"/>
      <c r="M5773" s="19"/>
      <c r="N5773" s="19"/>
      <c r="O5773" s="19"/>
      <c r="P5773" s="19"/>
      <c r="Q5773" s="19"/>
    </row>
    <row r="5774" spans="2:17">
      <c r="B5774" s="19"/>
      <c r="C5774" s="19"/>
      <c r="D5774" s="19"/>
      <c r="E5774" s="19"/>
      <c r="F5774" s="19"/>
      <c r="G5774" s="19"/>
      <c r="H5774" s="19"/>
      <c r="I5774" s="19"/>
      <c r="J5774" s="19"/>
      <c r="K5774" s="421"/>
      <c r="L5774" s="23"/>
      <c r="M5774" s="19"/>
      <c r="N5774" s="19"/>
      <c r="O5774" s="19"/>
      <c r="P5774" s="19"/>
      <c r="Q5774" s="19"/>
    </row>
    <row r="5775" spans="2:17">
      <c r="B5775" s="19"/>
      <c r="C5775" s="19"/>
      <c r="D5775" s="19"/>
      <c r="E5775" s="19"/>
      <c r="F5775" s="19"/>
      <c r="G5775" s="19"/>
      <c r="H5775" s="19"/>
      <c r="I5775" s="19"/>
      <c r="J5775" s="19"/>
      <c r="K5775" s="421"/>
      <c r="L5775" s="23"/>
      <c r="M5775" s="19"/>
      <c r="N5775" s="19"/>
      <c r="O5775" s="19"/>
      <c r="P5775" s="19"/>
      <c r="Q5775" s="19"/>
    </row>
    <row r="5776" spans="2:17">
      <c r="B5776" s="19"/>
      <c r="C5776" s="19"/>
      <c r="D5776" s="19"/>
      <c r="E5776" s="19"/>
      <c r="F5776" s="19"/>
      <c r="G5776" s="19"/>
      <c r="H5776" s="19"/>
      <c r="I5776" s="19"/>
      <c r="J5776" s="19"/>
      <c r="K5776" s="421"/>
      <c r="L5776" s="23"/>
      <c r="M5776" s="19"/>
      <c r="N5776" s="19"/>
      <c r="O5776" s="19"/>
      <c r="P5776" s="19"/>
      <c r="Q5776" s="19"/>
    </row>
    <row r="5777" spans="2:17">
      <c r="B5777" s="19"/>
      <c r="C5777" s="19"/>
      <c r="D5777" s="19"/>
      <c r="E5777" s="19"/>
      <c r="F5777" s="19"/>
      <c r="G5777" s="19"/>
      <c r="H5777" s="19"/>
      <c r="I5777" s="19"/>
      <c r="J5777" s="19"/>
      <c r="K5777" s="421"/>
      <c r="L5777" s="23"/>
      <c r="M5777" s="19"/>
      <c r="N5777" s="19"/>
      <c r="O5777" s="19"/>
      <c r="P5777" s="19"/>
      <c r="Q5777" s="19"/>
    </row>
    <row r="5778" spans="2:17">
      <c r="B5778" s="19"/>
      <c r="C5778" s="19"/>
      <c r="D5778" s="19"/>
      <c r="E5778" s="19"/>
      <c r="F5778" s="19"/>
      <c r="G5778" s="19"/>
      <c r="H5778" s="19"/>
      <c r="I5778" s="19"/>
      <c r="J5778" s="19"/>
      <c r="K5778" s="421"/>
      <c r="L5778" s="23"/>
      <c r="M5778" s="19"/>
      <c r="N5778" s="19"/>
      <c r="O5778" s="19"/>
      <c r="P5778" s="19"/>
      <c r="Q5778" s="19"/>
    </row>
    <row r="5779" spans="2:17">
      <c r="B5779" s="19"/>
      <c r="C5779" s="19"/>
      <c r="D5779" s="19"/>
      <c r="E5779" s="19"/>
      <c r="F5779" s="19"/>
      <c r="G5779" s="19"/>
      <c r="H5779" s="19"/>
      <c r="I5779" s="19"/>
      <c r="J5779" s="19"/>
      <c r="K5779" s="421"/>
      <c r="L5779" s="23"/>
      <c r="M5779" s="19"/>
      <c r="N5779" s="19"/>
      <c r="O5779" s="19"/>
      <c r="P5779" s="19"/>
      <c r="Q5779" s="19"/>
    </row>
    <row r="5780" spans="2:17">
      <c r="B5780" s="19"/>
      <c r="C5780" s="19"/>
      <c r="D5780" s="19"/>
      <c r="E5780" s="19"/>
      <c r="F5780" s="19"/>
      <c r="G5780" s="19"/>
      <c r="H5780" s="19"/>
      <c r="I5780" s="19"/>
      <c r="J5780" s="19"/>
      <c r="K5780" s="421"/>
      <c r="L5780" s="23"/>
      <c r="M5780" s="19"/>
      <c r="N5780" s="19"/>
      <c r="O5780" s="19"/>
      <c r="P5780" s="19"/>
      <c r="Q5780" s="19"/>
    </row>
    <row r="5781" spans="2:17">
      <c r="B5781" s="19"/>
      <c r="C5781" s="19"/>
      <c r="D5781" s="19"/>
      <c r="E5781" s="19"/>
      <c r="F5781" s="19"/>
      <c r="G5781" s="19"/>
      <c r="H5781" s="19"/>
      <c r="I5781" s="19"/>
      <c r="J5781" s="19"/>
      <c r="K5781" s="421"/>
      <c r="L5781" s="23"/>
      <c r="M5781" s="19"/>
      <c r="N5781" s="19"/>
      <c r="O5781" s="19"/>
      <c r="P5781" s="19"/>
      <c r="Q5781" s="19"/>
    </row>
    <row r="5782" spans="2:17">
      <c r="B5782" s="19"/>
      <c r="C5782" s="19"/>
      <c r="D5782" s="19"/>
      <c r="E5782" s="19"/>
      <c r="F5782" s="19"/>
      <c r="G5782" s="19"/>
      <c r="H5782" s="19"/>
      <c r="I5782" s="19"/>
      <c r="J5782" s="19"/>
      <c r="K5782" s="421"/>
      <c r="L5782" s="23"/>
      <c r="M5782" s="19"/>
      <c r="N5782" s="19"/>
      <c r="O5782" s="19"/>
      <c r="P5782" s="19"/>
      <c r="Q5782" s="19"/>
    </row>
    <row r="5783" spans="2:17">
      <c r="B5783" s="19"/>
      <c r="C5783" s="19"/>
      <c r="D5783" s="19"/>
      <c r="E5783" s="19"/>
      <c r="F5783" s="19"/>
      <c r="G5783" s="19"/>
      <c r="H5783" s="19"/>
      <c r="I5783" s="19"/>
      <c r="J5783" s="19"/>
      <c r="K5783" s="421"/>
      <c r="L5783" s="23"/>
      <c r="M5783" s="19"/>
      <c r="N5783" s="19"/>
      <c r="O5783" s="19"/>
      <c r="P5783" s="19"/>
      <c r="Q5783" s="19"/>
    </row>
    <row r="5784" spans="2:17">
      <c r="B5784" s="19"/>
      <c r="C5784" s="19"/>
      <c r="D5784" s="19"/>
      <c r="E5784" s="19"/>
      <c r="F5784" s="19"/>
      <c r="G5784" s="19"/>
      <c r="H5784" s="19"/>
      <c r="I5784" s="19"/>
      <c r="J5784" s="19"/>
      <c r="K5784" s="421"/>
      <c r="L5784" s="23"/>
      <c r="M5784" s="19"/>
      <c r="N5784" s="19"/>
      <c r="O5784" s="19"/>
      <c r="P5784" s="19"/>
      <c r="Q5784" s="19"/>
    </row>
    <row r="5785" spans="2:17">
      <c r="B5785" s="19"/>
      <c r="C5785" s="19"/>
      <c r="D5785" s="19"/>
      <c r="E5785" s="19"/>
      <c r="F5785" s="19"/>
      <c r="G5785" s="19"/>
      <c r="H5785" s="19"/>
      <c r="I5785" s="19"/>
      <c r="J5785" s="19"/>
      <c r="K5785" s="421"/>
      <c r="L5785" s="23"/>
      <c r="M5785" s="19"/>
      <c r="N5785" s="19"/>
      <c r="O5785" s="19"/>
      <c r="P5785" s="19"/>
      <c r="Q5785" s="19"/>
    </row>
    <row r="5786" spans="2:17">
      <c r="B5786" s="19"/>
      <c r="C5786" s="19"/>
      <c r="D5786" s="19"/>
      <c r="E5786" s="19"/>
      <c r="F5786" s="19"/>
      <c r="G5786" s="19"/>
      <c r="H5786" s="19"/>
      <c r="I5786" s="19"/>
      <c r="J5786" s="19"/>
      <c r="K5786" s="421"/>
      <c r="L5786" s="23"/>
      <c r="M5786" s="19"/>
      <c r="N5786" s="19"/>
      <c r="O5786" s="19"/>
      <c r="P5786" s="19"/>
      <c r="Q5786" s="19"/>
    </row>
    <row r="5787" spans="2:17">
      <c r="B5787" s="19"/>
      <c r="C5787" s="19"/>
      <c r="D5787" s="19"/>
      <c r="E5787" s="19"/>
      <c r="F5787" s="19"/>
      <c r="G5787" s="19"/>
      <c r="H5787" s="19"/>
      <c r="I5787" s="19"/>
      <c r="J5787" s="19"/>
      <c r="K5787" s="421"/>
      <c r="L5787" s="23"/>
      <c r="M5787" s="19"/>
      <c r="N5787" s="19"/>
      <c r="O5787" s="19"/>
      <c r="P5787" s="19"/>
      <c r="Q5787" s="19"/>
    </row>
    <row r="5788" spans="2:17">
      <c r="B5788" s="19"/>
      <c r="C5788" s="19"/>
      <c r="D5788" s="19"/>
      <c r="E5788" s="19"/>
      <c r="F5788" s="19"/>
      <c r="G5788" s="19"/>
      <c r="H5788" s="19"/>
      <c r="I5788" s="19"/>
      <c r="J5788" s="19"/>
      <c r="K5788" s="421"/>
      <c r="L5788" s="23"/>
      <c r="M5788" s="19"/>
      <c r="N5788" s="19"/>
      <c r="O5788" s="19"/>
      <c r="P5788" s="19"/>
      <c r="Q5788" s="19"/>
    </row>
    <row r="5789" spans="2:17">
      <c r="B5789" s="19"/>
      <c r="C5789" s="19"/>
      <c r="D5789" s="19"/>
      <c r="E5789" s="19"/>
      <c r="F5789" s="19"/>
      <c r="G5789" s="19"/>
      <c r="H5789" s="19"/>
      <c r="I5789" s="19"/>
      <c r="J5789" s="19"/>
      <c r="K5789" s="421"/>
      <c r="L5789" s="23"/>
      <c r="M5789" s="19"/>
      <c r="N5789" s="19"/>
      <c r="O5789" s="19"/>
      <c r="P5789" s="19"/>
      <c r="Q5789" s="19"/>
    </row>
    <row r="5790" spans="2:17">
      <c r="B5790" s="19"/>
      <c r="C5790" s="19"/>
      <c r="D5790" s="19"/>
      <c r="E5790" s="19"/>
      <c r="F5790" s="19"/>
      <c r="G5790" s="19"/>
      <c r="H5790" s="19"/>
      <c r="I5790" s="19"/>
      <c r="J5790" s="19"/>
      <c r="K5790" s="421"/>
      <c r="L5790" s="23"/>
      <c r="M5790" s="19"/>
      <c r="N5790" s="19"/>
      <c r="O5790" s="19"/>
      <c r="P5790" s="19"/>
      <c r="Q5790" s="19"/>
    </row>
    <row r="5791" spans="2:17">
      <c r="B5791" s="19"/>
      <c r="C5791" s="19"/>
      <c r="D5791" s="19"/>
      <c r="E5791" s="19"/>
      <c r="F5791" s="19"/>
      <c r="G5791" s="19"/>
      <c r="H5791" s="19"/>
      <c r="I5791" s="19"/>
      <c r="J5791" s="19"/>
      <c r="K5791" s="421"/>
      <c r="L5791" s="23"/>
      <c r="M5791" s="19"/>
      <c r="N5791" s="19"/>
      <c r="O5791" s="19"/>
      <c r="P5791" s="19"/>
      <c r="Q5791" s="19"/>
    </row>
    <row r="5792" spans="2:17">
      <c r="B5792" s="19"/>
      <c r="C5792" s="19"/>
      <c r="D5792" s="19"/>
      <c r="E5792" s="19"/>
      <c r="F5792" s="19"/>
      <c r="G5792" s="19"/>
      <c r="H5792" s="19"/>
      <c r="I5792" s="19"/>
      <c r="J5792" s="19"/>
      <c r="K5792" s="421"/>
      <c r="L5792" s="23"/>
      <c r="M5792" s="19"/>
      <c r="N5792" s="19"/>
      <c r="O5792" s="19"/>
      <c r="P5792" s="19"/>
      <c r="Q5792" s="19"/>
    </row>
    <row r="5793" spans="2:17">
      <c r="B5793" s="19"/>
      <c r="C5793" s="19"/>
      <c r="D5793" s="19"/>
      <c r="E5793" s="19"/>
      <c r="F5793" s="19"/>
      <c r="G5793" s="19"/>
      <c r="H5793" s="19"/>
      <c r="I5793" s="19"/>
      <c r="J5793" s="19"/>
      <c r="K5793" s="421"/>
      <c r="L5793" s="23"/>
      <c r="M5793" s="19"/>
      <c r="N5793" s="19"/>
      <c r="O5793" s="19"/>
      <c r="P5793" s="19"/>
      <c r="Q5793" s="19"/>
    </row>
    <row r="5794" spans="2:17">
      <c r="B5794" s="19"/>
      <c r="C5794" s="19"/>
      <c r="D5794" s="19"/>
      <c r="E5794" s="19"/>
      <c r="F5794" s="19"/>
      <c r="G5794" s="19"/>
      <c r="H5794" s="19"/>
      <c r="I5794" s="19"/>
      <c r="J5794" s="19"/>
      <c r="K5794" s="421"/>
      <c r="L5794" s="23"/>
      <c r="M5794" s="19"/>
      <c r="N5794" s="19"/>
      <c r="O5794" s="19"/>
      <c r="P5794" s="19"/>
      <c r="Q5794" s="19"/>
    </row>
    <row r="5795" spans="2:17">
      <c r="B5795" s="19"/>
      <c r="C5795" s="19"/>
      <c r="D5795" s="19"/>
      <c r="E5795" s="19"/>
      <c r="F5795" s="19"/>
      <c r="G5795" s="19"/>
      <c r="H5795" s="19"/>
      <c r="I5795" s="19"/>
      <c r="J5795" s="19"/>
      <c r="K5795" s="421"/>
      <c r="L5795" s="23"/>
      <c r="M5795" s="19"/>
      <c r="N5795" s="19"/>
      <c r="O5795" s="19"/>
      <c r="P5795" s="19"/>
      <c r="Q5795" s="19"/>
    </row>
    <row r="5796" spans="2:17">
      <c r="B5796" s="19"/>
      <c r="C5796" s="19"/>
      <c r="D5796" s="19"/>
      <c r="E5796" s="19"/>
      <c r="F5796" s="19"/>
      <c r="G5796" s="19"/>
      <c r="H5796" s="19"/>
      <c r="I5796" s="19"/>
      <c r="J5796" s="19"/>
      <c r="K5796" s="421"/>
      <c r="L5796" s="23"/>
      <c r="M5796" s="19"/>
      <c r="N5796" s="19"/>
      <c r="O5796" s="19"/>
      <c r="P5796" s="19"/>
      <c r="Q5796" s="19"/>
    </row>
    <row r="5797" spans="2:17">
      <c r="B5797" s="19"/>
      <c r="C5797" s="19"/>
      <c r="D5797" s="19"/>
      <c r="E5797" s="19"/>
      <c r="F5797" s="19"/>
      <c r="G5797" s="19"/>
      <c r="H5797" s="19"/>
      <c r="I5797" s="19"/>
      <c r="J5797" s="19"/>
      <c r="K5797" s="421"/>
      <c r="L5797" s="23"/>
      <c r="M5797" s="19"/>
      <c r="N5797" s="19"/>
      <c r="O5797" s="19"/>
      <c r="P5797" s="19"/>
      <c r="Q5797" s="19"/>
    </row>
    <row r="5798" spans="2:17">
      <c r="B5798" s="19"/>
      <c r="C5798" s="19"/>
      <c r="D5798" s="19"/>
      <c r="E5798" s="19"/>
      <c r="F5798" s="19"/>
      <c r="G5798" s="19"/>
      <c r="H5798" s="19"/>
      <c r="I5798" s="19"/>
      <c r="J5798" s="19"/>
      <c r="K5798" s="421"/>
      <c r="L5798" s="23"/>
      <c r="M5798" s="19"/>
      <c r="N5798" s="19"/>
      <c r="O5798" s="19"/>
      <c r="P5798" s="19"/>
      <c r="Q5798" s="19"/>
    </row>
    <row r="5799" spans="2:17">
      <c r="B5799" s="19"/>
      <c r="C5799" s="19"/>
      <c r="D5799" s="19"/>
      <c r="E5799" s="19"/>
      <c r="F5799" s="19"/>
      <c r="G5799" s="19"/>
      <c r="H5799" s="19"/>
      <c r="I5799" s="19"/>
      <c r="J5799" s="19"/>
      <c r="K5799" s="421"/>
      <c r="L5799" s="23"/>
      <c r="M5799" s="19"/>
      <c r="N5799" s="19"/>
      <c r="O5799" s="19"/>
      <c r="P5799" s="19"/>
      <c r="Q5799" s="19"/>
    </row>
    <row r="5800" spans="2:17">
      <c r="B5800" s="19"/>
      <c r="C5800" s="19"/>
      <c r="D5800" s="19"/>
      <c r="E5800" s="19"/>
      <c r="F5800" s="19"/>
      <c r="G5800" s="19"/>
      <c r="H5800" s="19"/>
      <c r="I5800" s="19"/>
      <c r="J5800" s="19"/>
      <c r="K5800" s="421"/>
      <c r="L5800" s="23"/>
      <c r="M5800" s="19"/>
      <c r="N5800" s="19"/>
      <c r="O5800" s="19"/>
      <c r="P5800" s="19"/>
      <c r="Q5800" s="19"/>
    </row>
    <row r="5801" spans="2:17">
      <c r="B5801" s="19"/>
      <c r="C5801" s="19"/>
      <c r="D5801" s="19"/>
      <c r="E5801" s="19"/>
      <c r="F5801" s="19"/>
      <c r="G5801" s="19"/>
      <c r="H5801" s="19"/>
      <c r="I5801" s="19"/>
      <c r="J5801" s="19"/>
      <c r="K5801" s="421"/>
      <c r="L5801" s="23"/>
      <c r="M5801" s="19"/>
      <c r="N5801" s="19"/>
      <c r="O5801" s="19"/>
      <c r="P5801" s="19"/>
      <c r="Q5801" s="19"/>
    </row>
    <row r="5802" spans="2:17">
      <c r="B5802" s="19"/>
      <c r="C5802" s="19"/>
      <c r="D5802" s="19"/>
      <c r="E5802" s="19"/>
      <c r="F5802" s="19"/>
      <c r="G5802" s="19"/>
      <c r="H5802" s="19"/>
      <c r="I5802" s="19"/>
      <c r="J5802" s="19"/>
      <c r="K5802" s="421"/>
      <c r="L5802" s="23"/>
      <c r="M5802" s="19"/>
      <c r="N5802" s="19"/>
      <c r="O5802" s="19"/>
      <c r="P5802" s="19"/>
      <c r="Q5802" s="19"/>
    </row>
    <row r="5803" spans="2:17">
      <c r="B5803" s="19"/>
      <c r="C5803" s="19"/>
      <c r="D5803" s="19"/>
      <c r="E5803" s="19"/>
      <c r="F5803" s="19"/>
      <c r="G5803" s="19"/>
      <c r="H5803" s="19"/>
      <c r="I5803" s="19"/>
      <c r="J5803" s="19"/>
      <c r="K5803" s="421"/>
      <c r="L5803" s="23"/>
      <c r="M5803" s="19"/>
      <c r="N5803" s="19"/>
      <c r="O5803" s="19"/>
      <c r="P5803" s="19"/>
      <c r="Q5803" s="19"/>
    </row>
    <row r="5804" spans="2:17">
      <c r="B5804" s="19"/>
      <c r="C5804" s="19"/>
      <c r="D5804" s="19"/>
      <c r="E5804" s="19"/>
      <c r="F5804" s="19"/>
      <c r="G5804" s="19"/>
      <c r="H5804" s="19"/>
      <c r="I5804" s="19"/>
      <c r="J5804" s="19"/>
      <c r="K5804" s="421"/>
      <c r="L5804" s="23"/>
      <c r="M5804" s="19"/>
      <c r="N5804" s="19"/>
      <c r="O5804" s="19"/>
      <c r="P5804" s="19"/>
      <c r="Q5804" s="19"/>
    </row>
    <row r="5805" spans="2:17">
      <c r="B5805" s="19"/>
      <c r="C5805" s="19"/>
      <c r="D5805" s="19"/>
      <c r="E5805" s="19"/>
      <c r="F5805" s="19"/>
      <c r="G5805" s="19"/>
      <c r="H5805" s="19"/>
      <c r="I5805" s="19"/>
      <c r="J5805" s="19"/>
      <c r="K5805" s="421"/>
      <c r="L5805" s="23"/>
      <c r="M5805" s="19"/>
      <c r="N5805" s="19"/>
      <c r="O5805" s="19"/>
      <c r="P5805" s="19"/>
      <c r="Q5805" s="19"/>
    </row>
    <row r="5806" spans="2:17">
      <c r="B5806" s="19"/>
      <c r="C5806" s="19"/>
      <c r="D5806" s="19"/>
      <c r="E5806" s="19"/>
      <c r="F5806" s="19"/>
      <c r="G5806" s="19"/>
      <c r="H5806" s="19"/>
      <c r="I5806" s="19"/>
      <c r="J5806" s="19"/>
      <c r="K5806" s="421"/>
      <c r="L5806" s="23"/>
      <c r="M5806" s="19"/>
      <c r="N5806" s="19"/>
      <c r="O5806" s="19"/>
      <c r="P5806" s="19"/>
      <c r="Q5806" s="19"/>
    </row>
    <row r="5807" spans="2:17">
      <c r="B5807" s="19"/>
      <c r="C5807" s="19"/>
      <c r="D5807" s="19"/>
      <c r="E5807" s="19"/>
      <c r="F5807" s="19"/>
      <c r="G5807" s="19"/>
      <c r="H5807" s="19"/>
      <c r="I5807" s="19"/>
      <c r="J5807" s="19"/>
      <c r="K5807" s="421"/>
      <c r="L5807" s="23"/>
      <c r="M5807" s="19"/>
      <c r="N5807" s="19"/>
      <c r="O5807" s="19"/>
      <c r="P5807" s="19"/>
      <c r="Q5807" s="19"/>
    </row>
    <row r="5808" spans="2:17">
      <c r="B5808" s="19"/>
      <c r="C5808" s="19"/>
      <c r="D5808" s="19"/>
      <c r="E5808" s="19"/>
      <c r="F5808" s="19"/>
      <c r="G5808" s="19"/>
      <c r="H5808" s="19"/>
      <c r="I5808" s="19"/>
      <c r="J5808" s="19"/>
      <c r="K5808" s="421"/>
      <c r="L5808" s="23"/>
      <c r="M5808" s="19"/>
      <c r="N5808" s="19"/>
      <c r="O5808" s="19"/>
      <c r="P5808" s="19"/>
      <c r="Q5808" s="19"/>
    </row>
    <row r="5809" spans="2:17">
      <c r="B5809" s="19"/>
      <c r="C5809" s="19"/>
      <c r="D5809" s="19"/>
      <c r="E5809" s="19"/>
      <c r="F5809" s="19"/>
      <c r="G5809" s="19"/>
      <c r="H5809" s="19"/>
      <c r="I5809" s="19"/>
      <c r="J5809" s="19"/>
      <c r="K5809" s="421"/>
      <c r="L5809" s="23"/>
      <c r="M5809" s="19"/>
      <c r="N5809" s="19"/>
      <c r="O5809" s="19"/>
      <c r="P5809" s="19"/>
      <c r="Q5809" s="19"/>
    </row>
    <row r="5810" spans="2:17">
      <c r="B5810" s="19"/>
      <c r="C5810" s="19"/>
      <c r="D5810" s="19"/>
      <c r="E5810" s="19"/>
      <c r="F5810" s="19"/>
      <c r="G5810" s="19"/>
      <c r="H5810" s="19"/>
      <c r="I5810" s="19"/>
      <c r="J5810" s="19"/>
      <c r="K5810" s="421"/>
      <c r="L5810" s="23"/>
      <c r="M5810" s="19"/>
      <c r="N5810" s="19"/>
      <c r="O5810" s="19"/>
      <c r="P5810" s="19"/>
      <c r="Q5810" s="19"/>
    </row>
    <row r="5811" spans="2:17">
      <c r="B5811" s="19"/>
      <c r="C5811" s="19"/>
      <c r="D5811" s="19"/>
      <c r="E5811" s="19"/>
      <c r="F5811" s="19"/>
      <c r="G5811" s="19"/>
      <c r="H5811" s="19"/>
      <c r="I5811" s="19"/>
      <c r="J5811" s="19"/>
      <c r="K5811" s="421"/>
      <c r="L5811" s="23"/>
      <c r="M5811" s="19"/>
      <c r="N5811" s="19"/>
      <c r="O5811" s="19"/>
      <c r="P5811" s="19"/>
      <c r="Q5811" s="19"/>
    </row>
    <row r="5812" spans="2:17">
      <c r="B5812" s="19"/>
      <c r="C5812" s="19"/>
      <c r="D5812" s="19"/>
      <c r="E5812" s="19"/>
      <c r="F5812" s="19"/>
      <c r="G5812" s="19"/>
      <c r="H5812" s="19"/>
      <c r="I5812" s="19"/>
      <c r="J5812" s="19"/>
      <c r="K5812" s="421"/>
      <c r="L5812" s="23"/>
      <c r="M5812" s="19"/>
      <c r="N5812" s="19"/>
      <c r="O5812" s="19"/>
      <c r="P5812" s="19"/>
      <c r="Q5812" s="19"/>
    </row>
    <row r="5813" spans="2:17">
      <c r="B5813" s="19"/>
      <c r="C5813" s="19"/>
      <c r="D5813" s="19"/>
      <c r="E5813" s="19"/>
      <c r="F5813" s="19"/>
      <c r="G5813" s="19"/>
      <c r="H5813" s="19"/>
      <c r="I5813" s="19"/>
      <c r="J5813" s="19"/>
      <c r="K5813" s="421"/>
      <c r="L5813" s="23"/>
      <c r="M5813" s="19"/>
      <c r="N5813" s="19"/>
      <c r="O5813" s="19"/>
      <c r="P5813" s="19"/>
      <c r="Q5813" s="19"/>
    </row>
    <row r="5814" spans="2:17">
      <c r="B5814" s="19"/>
      <c r="C5814" s="19"/>
      <c r="D5814" s="19"/>
      <c r="E5814" s="19"/>
      <c r="F5814" s="19"/>
      <c r="G5814" s="19"/>
      <c r="H5814" s="19"/>
      <c r="I5814" s="19"/>
      <c r="J5814" s="19"/>
      <c r="K5814" s="421"/>
      <c r="L5814" s="23"/>
      <c r="M5814" s="19"/>
      <c r="N5814" s="19"/>
      <c r="O5814" s="19"/>
      <c r="P5814" s="19"/>
      <c r="Q5814" s="19"/>
    </row>
    <row r="5815" spans="2:17">
      <c r="B5815" s="19"/>
      <c r="C5815" s="19"/>
      <c r="D5815" s="19"/>
      <c r="E5815" s="19"/>
      <c r="F5815" s="19"/>
      <c r="G5815" s="19"/>
      <c r="H5815" s="19"/>
      <c r="I5815" s="19"/>
      <c r="J5815" s="19"/>
      <c r="K5815" s="421"/>
      <c r="L5815" s="23"/>
      <c r="M5815" s="19"/>
      <c r="N5815" s="19"/>
      <c r="O5815" s="19"/>
      <c r="P5815" s="19"/>
      <c r="Q5815" s="19"/>
    </row>
    <row r="5816" spans="2:17">
      <c r="B5816" s="19"/>
      <c r="C5816" s="19"/>
      <c r="D5816" s="19"/>
      <c r="E5816" s="19"/>
      <c r="F5816" s="19"/>
      <c r="G5816" s="19"/>
      <c r="H5816" s="19"/>
      <c r="I5816" s="19"/>
      <c r="J5816" s="19"/>
      <c r="K5816" s="421"/>
      <c r="L5816" s="23"/>
      <c r="M5816" s="19"/>
      <c r="N5816" s="19"/>
      <c r="O5816" s="19"/>
      <c r="P5816" s="19"/>
      <c r="Q5816" s="19"/>
    </row>
    <row r="5817" spans="2:17">
      <c r="B5817" s="19"/>
      <c r="C5817" s="19"/>
      <c r="D5817" s="19"/>
      <c r="E5817" s="19"/>
      <c r="F5817" s="19"/>
      <c r="G5817" s="19"/>
      <c r="H5817" s="19"/>
      <c r="I5817" s="19"/>
      <c r="J5817" s="19"/>
      <c r="K5817" s="421"/>
      <c r="L5817" s="23"/>
      <c r="M5817" s="19"/>
      <c r="N5817" s="19"/>
      <c r="O5817" s="19"/>
      <c r="P5817" s="19"/>
      <c r="Q5817" s="19"/>
    </row>
    <row r="5818" spans="2:17">
      <c r="B5818" s="19"/>
      <c r="C5818" s="19"/>
      <c r="D5818" s="19"/>
      <c r="E5818" s="19"/>
      <c r="F5818" s="19"/>
      <c r="G5818" s="19"/>
      <c r="H5818" s="19"/>
      <c r="I5818" s="19"/>
      <c r="J5818" s="19"/>
      <c r="K5818" s="421"/>
      <c r="L5818" s="23"/>
      <c r="M5818" s="19"/>
      <c r="N5818" s="19"/>
      <c r="O5818" s="19"/>
      <c r="P5818" s="19"/>
      <c r="Q5818" s="19"/>
    </row>
    <row r="5819" spans="2:17">
      <c r="B5819" s="19"/>
      <c r="C5819" s="19"/>
      <c r="D5819" s="19"/>
      <c r="E5819" s="19"/>
      <c r="F5819" s="19"/>
      <c r="G5819" s="19"/>
      <c r="H5819" s="19"/>
      <c r="I5819" s="19"/>
      <c r="J5819" s="19"/>
      <c r="K5819" s="421"/>
      <c r="L5819" s="23"/>
      <c r="M5819" s="19"/>
      <c r="N5819" s="19"/>
      <c r="O5819" s="19"/>
      <c r="P5819" s="19"/>
      <c r="Q5819" s="19"/>
    </row>
    <row r="5820" spans="2:17">
      <c r="B5820" s="19"/>
      <c r="C5820" s="19"/>
      <c r="D5820" s="19"/>
      <c r="E5820" s="19"/>
      <c r="F5820" s="19"/>
      <c r="G5820" s="19"/>
      <c r="H5820" s="19"/>
      <c r="I5820" s="19"/>
      <c r="J5820" s="19"/>
      <c r="K5820" s="421"/>
      <c r="L5820" s="23"/>
      <c r="M5820" s="19"/>
      <c r="N5820" s="19"/>
      <c r="O5820" s="19"/>
      <c r="P5820" s="19"/>
      <c r="Q5820" s="19"/>
    </row>
    <row r="5821" spans="2:17">
      <c r="B5821" s="19"/>
      <c r="C5821" s="19"/>
      <c r="D5821" s="19"/>
      <c r="E5821" s="19"/>
      <c r="F5821" s="19"/>
      <c r="G5821" s="19"/>
      <c r="H5821" s="19"/>
      <c r="I5821" s="19"/>
      <c r="J5821" s="19"/>
      <c r="K5821" s="421"/>
      <c r="L5821" s="23"/>
      <c r="M5821" s="19"/>
      <c r="N5821" s="19"/>
      <c r="O5821" s="19"/>
      <c r="P5821" s="19"/>
      <c r="Q5821" s="19"/>
    </row>
    <row r="5822" spans="2:17">
      <c r="B5822" s="19"/>
      <c r="C5822" s="19"/>
      <c r="D5822" s="19"/>
      <c r="E5822" s="19"/>
      <c r="F5822" s="19"/>
      <c r="G5822" s="19"/>
      <c r="H5822" s="19"/>
      <c r="I5822" s="19"/>
      <c r="J5822" s="19"/>
      <c r="K5822" s="421"/>
      <c r="L5822" s="23"/>
      <c r="M5822" s="19"/>
      <c r="N5822" s="19"/>
      <c r="O5822" s="19"/>
      <c r="P5822" s="19"/>
      <c r="Q5822" s="19"/>
    </row>
    <row r="5823" spans="2:17">
      <c r="B5823" s="19"/>
      <c r="C5823" s="19"/>
      <c r="D5823" s="19"/>
      <c r="E5823" s="19"/>
      <c r="F5823" s="19"/>
      <c r="G5823" s="19"/>
      <c r="H5823" s="19"/>
      <c r="I5823" s="19"/>
      <c r="J5823" s="19"/>
      <c r="K5823" s="421"/>
      <c r="L5823" s="23"/>
      <c r="M5823" s="19"/>
      <c r="N5823" s="19"/>
      <c r="O5823" s="19"/>
      <c r="P5823" s="19"/>
      <c r="Q5823" s="19"/>
    </row>
    <row r="5824" spans="2:17">
      <c r="B5824" s="19"/>
      <c r="C5824" s="19"/>
      <c r="D5824" s="19"/>
      <c r="E5824" s="19"/>
      <c r="F5824" s="19"/>
      <c r="G5824" s="19"/>
      <c r="H5824" s="19"/>
      <c r="I5824" s="19"/>
      <c r="J5824" s="19"/>
      <c r="K5824" s="421"/>
      <c r="L5824" s="23"/>
      <c r="M5824" s="19"/>
      <c r="N5824" s="19"/>
      <c r="O5824" s="19"/>
      <c r="P5824" s="19"/>
      <c r="Q5824" s="19"/>
    </row>
    <row r="5825" spans="2:17">
      <c r="B5825" s="19"/>
      <c r="C5825" s="19"/>
      <c r="D5825" s="19"/>
      <c r="E5825" s="19"/>
      <c r="F5825" s="19"/>
      <c r="G5825" s="19"/>
      <c r="H5825" s="19"/>
      <c r="I5825" s="19"/>
      <c r="J5825" s="19"/>
      <c r="K5825" s="421"/>
      <c r="L5825" s="23"/>
      <c r="M5825" s="19"/>
      <c r="N5825" s="19"/>
      <c r="O5825" s="19"/>
      <c r="P5825" s="19"/>
      <c r="Q5825" s="19"/>
    </row>
    <row r="5826" spans="2:17">
      <c r="B5826" s="19"/>
      <c r="C5826" s="19"/>
      <c r="D5826" s="19"/>
      <c r="E5826" s="19"/>
      <c r="F5826" s="19"/>
      <c r="G5826" s="19"/>
      <c r="H5826" s="19"/>
      <c r="I5826" s="19"/>
      <c r="J5826" s="19"/>
      <c r="K5826" s="421"/>
      <c r="L5826" s="23"/>
      <c r="M5826" s="19"/>
      <c r="N5826" s="19"/>
      <c r="O5826" s="19"/>
      <c r="P5826" s="19"/>
      <c r="Q5826" s="19"/>
    </row>
    <row r="5827" spans="2:17">
      <c r="B5827" s="19"/>
      <c r="C5827" s="19"/>
      <c r="D5827" s="19"/>
      <c r="E5827" s="19"/>
      <c r="F5827" s="19"/>
      <c r="G5827" s="19"/>
      <c r="H5827" s="19"/>
      <c r="I5827" s="19"/>
      <c r="J5827" s="19"/>
      <c r="K5827" s="421"/>
      <c r="L5827" s="23"/>
      <c r="M5827" s="19"/>
      <c r="N5827" s="19"/>
      <c r="O5827" s="19"/>
      <c r="P5827" s="19"/>
      <c r="Q5827" s="19"/>
    </row>
    <row r="5828" spans="2:17">
      <c r="B5828" s="19"/>
      <c r="C5828" s="19"/>
      <c r="D5828" s="19"/>
      <c r="E5828" s="19"/>
      <c r="F5828" s="19"/>
      <c r="G5828" s="19"/>
      <c r="H5828" s="19"/>
      <c r="I5828" s="19"/>
      <c r="J5828" s="19"/>
      <c r="K5828" s="421"/>
      <c r="L5828" s="23"/>
      <c r="M5828" s="19"/>
      <c r="N5828" s="19"/>
      <c r="O5828" s="19"/>
      <c r="P5828" s="19"/>
      <c r="Q5828" s="19"/>
    </row>
    <row r="5829" spans="2:17">
      <c r="B5829" s="19"/>
      <c r="C5829" s="19"/>
      <c r="D5829" s="19"/>
      <c r="E5829" s="19"/>
      <c r="F5829" s="19"/>
      <c r="G5829" s="19"/>
      <c r="H5829" s="19"/>
      <c r="I5829" s="19"/>
      <c r="J5829" s="19"/>
      <c r="K5829" s="421"/>
      <c r="L5829" s="23"/>
      <c r="M5829" s="19"/>
      <c r="N5829" s="19"/>
      <c r="O5829" s="19"/>
      <c r="P5829" s="19"/>
      <c r="Q5829" s="19"/>
    </row>
    <row r="5830" spans="2:17">
      <c r="B5830" s="19"/>
      <c r="C5830" s="19"/>
      <c r="D5830" s="19"/>
      <c r="E5830" s="19"/>
      <c r="F5830" s="19"/>
      <c r="G5830" s="19"/>
      <c r="H5830" s="19"/>
      <c r="I5830" s="19"/>
      <c r="J5830" s="19"/>
      <c r="K5830" s="421"/>
      <c r="L5830" s="23"/>
      <c r="M5830" s="19"/>
      <c r="N5830" s="19"/>
      <c r="O5830" s="19"/>
      <c r="P5830" s="19"/>
      <c r="Q5830" s="19"/>
    </row>
    <row r="5831" spans="2:17">
      <c r="B5831" s="19"/>
      <c r="C5831" s="19"/>
      <c r="D5831" s="19"/>
      <c r="E5831" s="19"/>
      <c r="F5831" s="19"/>
      <c r="G5831" s="19"/>
      <c r="H5831" s="19"/>
      <c r="I5831" s="19"/>
      <c r="J5831" s="19"/>
      <c r="K5831" s="421"/>
      <c r="L5831" s="23"/>
      <c r="M5831" s="19"/>
      <c r="N5831" s="19"/>
      <c r="O5831" s="19"/>
      <c r="P5831" s="19"/>
      <c r="Q5831" s="19"/>
    </row>
    <row r="5832" spans="2:17">
      <c r="B5832" s="19"/>
      <c r="C5832" s="19"/>
      <c r="D5832" s="19"/>
      <c r="E5832" s="19"/>
      <c r="F5832" s="19"/>
      <c r="G5832" s="19"/>
      <c r="H5832" s="19"/>
      <c r="I5832" s="19"/>
      <c r="J5832" s="19"/>
      <c r="K5832" s="421"/>
      <c r="L5832" s="23"/>
      <c r="M5832" s="19"/>
      <c r="N5832" s="19"/>
      <c r="O5832" s="19"/>
      <c r="P5832" s="19"/>
      <c r="Q5832" s="19"/>
    </row>
    <row r="5833" spans="2:17">
      <c r="B5833" s="19"/>
      <c r="C5833" s="19"/>
      <c r="D5833" s="19"/>
      <c r="E5833" s="19"/>
      <c r="F5833" s="19"/>
      <c r="G5833" s="19"/>
      <c r="H5833" s="19"/>
      <c r="I5833" s="19"/>
      <c r="J5833" s="19"/>
      <c r="K5833" s="421"/>
      <c r="L5833" s="23"/>
      <c r="M5833" s="19"/>
      <c r="N5833" s="19"/>
      <c r="O5833" s="19"/>
      <c r="P5833" s="19"/>
      <c r="Q5833" s="19"/>
    </row>
    <row r="5834" spans="2:17">
      <c r="B5834" s="19"/>
      <c r="C5834" s="19"/>
      <c r="D5834" s="19"/>
      <c r="E5834" s="19"/>
      <c r="F5834" s="19"/>
      <c r="G5834" s="19"/>
      <c r="H5834" s="19"/>
      <c r="I5834" s="19"/>
      <c r="J5834" s="19"/>
      <c r="K5834" s="421"/>
      <c r="L5834" s="23"/>
      <c r="M5834" s="19"/>
      <c r="N5834" s="19"/>
      <c r="O5834" s="19"/>
      <c r="P5834" s="19"/>
      <c r="Q5834" s="19"/>
    </row>
    <row r="5835" spans="2:17">
      <c r="B5835" s="19"/>
      <c r="C5835" s="19"/>
      <c r="D5835" s="19"/>
      <c r="E5835" s="19"/>
      <c r="F5835" s="19"/>
      <c r="G5835" s="19"/>
      <c r="H5835" s="19"/>
      <c r="I5835" s="19"/>
      <c r="J5835" s="19"/>
      <c r="K5835" s="421"/>
      <c r="L5835" s="23"/>
      <c r="M5835" s="19"/>
      <c r="N5835" s="19"/>
      <c r="O5835" s="19"/>
      <c r="P5835" s="19"/>
      <c r="Q5835" s="19"/>
    </row>
    <row r="5836" spans="2:17">
      <c r="B5836" s="19"/>
      <c r="C5836" s="19"/>
      <c r="D5836" s="19"/>
      <c r="E5836" s="19"/>
      <c r="F5836" s="19"/>
      <c r="G5836" s="19"/>
      <c r="H5836" s="19"/>
      <c r="I5836" s="19"/>
      <c r="J5836" s="19"/>
      <c r="K5836" s="421"/>
      <c r="L5836" s="23"/>
      <c r="M5836" s="19"/>
      <c r="N5836" s="19"/>
      <c r="O5836" s="19"/>
      <c r="P5836" s="19"/>
      <c r="Q5836" s="19"/>
    </row>
    <row r="5837" spans="2:17">
      <c r="B5837" s="19"/>
      <c r="C5837" s="19"/>
      <c r="D5837" s="19"/>
      <c r="E5837" s="19"/>
      <c r="F5837" s="19"/>
      <c r="G5837" s="19"/>
      <c r="H5837" s="19"/>
      <c r="I5837" s="19"/>
      <c r="J5837" s="19"/>
      <c r="K5837" s="421"/>
      <c r="L5837" s="23"/>
      <c r="M5837" s="19"/>
      <c r="N5837" s="19"/>
      <c r="O5837" s="19"/>
      <c r="P5837" s="19"/>
      <c r="Q5837" s="19"/>
    </row>
    <row r="5838" spans="2:17">
      <c r="B5838" s="19"/>
      <c r="C5838" s="19"/>
      <c r="D5838" s="19"/>
      <c r="E5838" s="19"/>
      <c r="F5838" s="19"/>
      <c r="G5838" s="19"/>
      <c r="H5838" s="19"/>
      <c r="I5838" s="19"/>
      <c r="J5838" s="19"/>
      <c r="K5838" s="421"/>
      <c r="L5838" s="23"/>
      <c r="M5838" s="19"/>
      <c r="N5838" s="19"/>
      <c r="O5838" s="19"/>
      <c r="P5838" s="19"/>
      <c r="Q5838" s="19"/>
    </row>
    <row r="5839" spans="2:17">
      <c r="B5839" s="19"/>
      <c r="C5839" s="19"/>
      <c r="D5839" s="19"/>
      <c r="E5839" s="19"/>
      <c r="F5839" s="19"/>
      <c r="G5839" s="19"/>
      <c r="H5839" s="19"/>
      <c r="I5839" s="19"/>
      <c r="J5839" s="19"/>
      <c r="K5839" s="421"/>
      <c r="L5839" s="23"/>
      <c r="M5839" s="19"/>
      <c r="N5839" s="19"/>
      <c r="O5839" s="19"/>
      <c r="P5839" s="19"/>
      <c r="Q5839" s="19"/>
    </row>
    <row r="5840" spans="2:17">
      <c r="B5840" s="19"/>
      <c r="C5840" s="19"/>
      <c r="D5840" s="19"/>
      <c r="E5840" s="19"/>
      <c r="F5840" s="19"/>
      <c r="G5840" s="19"/>
      <c r="H5840" s="19"/>
      <c r="I5840" s="19"/>
      <c r="J5840" s="19"/>
      <c r="K5840" s="421"/>
      <c r="L5840" s="23"/>
      <c r="M5840" s="19"/>
      <c r="N5840" s="19"/>
      <c r="O5840" s="19"/>
      <c r="P5840" s="19"/>
      <c r="Q5840" s="19"/>
    </row>
    <row r="5841" spans="2:17">
      <c r="B5841" s="19"/>
      <c r="C5841" s="19"/>
      <c r="D5841" s="19"/>
      <c r="E5841" s="19"/>
      <c r="F5841" s="19"/>
      <c r="G5841" s="19"/>
      <c r="H5841" s="19"/>
      <c r="I5841" s="19"/>
      <c r="J5841" s="19"/>
      <c r="K5841" s="421"/>
      <c r="L5841" s="23"/>
      <c r="M5841" s="19"/>
      <c r="N5841" s="19"/>
      <c r="O5841" s="19"/>
      <c r="P5841" s="19"/>
      <c r="Q5841" s="19"/>
    </row>
    <row r="5842" spans="2:17">
      <c r="B5842" s="19"/>
      <c r="C5842" s="19"/>
      <c r="D5842" s="19"/>
      <c r="E5842" s="19"/>
      <c r="F5842" s="19"/>
      <c r="G5842" s="19"/>
      <c r="H5842" s="19"/>
      <c r="I5842" s="19"/>
      <c r="J5842" s="19"/>
      <c r="K5842" s="421"/>
      <c r="L5842" s="23"/>
      <c r="M5842" s="19"/>
      <c r="N5842" s="19"/>
      <c r="O5842" s="19"/>
      <c r="P5842" s="19"/>
      <c r="Q5842" s="19"/>
    </row>
    <row r="5843" spans="2:17">
      <c r="B5843" s="19"/>
      <c r="C5843" s="19"/>
      <c r="D5843" s="19"/>
      <c r="E5843" s="19"/>
      <c r="F5843" s="19"/>
      <c r="G5843" s="19"/>
      <c r="H5843" s="19"/>
      <c r="I5843" s="19"/>
      <c r="J5843" s="19"/>
      <c r="K5843" s="421"/>
      <c r="L5843" s="23"/>
      <c r="M5843" s="19"/>
      <c r="N5843" s="19"/>
      <c r="O5843" s="19"/>
      <c r="P5843" s="19"/>
      <c r="Q5843" s="19"/>
    </row>
    <row r="5844" spans="2:17">
      <c r="B5844" s="19"/>
      <c r="C5844" s="19"/>
      <c r="D5844" s="19"/>
      <c r="E5844" s="19"/>
      <c r="F5844" s="19"/>
      <c r="G5844" s="19"/>
      <c r="H5844" s="19"/>
      <c r="I5844" s="19"/>
      <c r="J5844" s="19"/>
      <c r="K5844" s="421"/>
      <c r="L5844" s="23"/>
      <c r="M5844" s="19"/>
      <c r="N5844" s="19"/>
      <c r="O5844" s="19"/>
      <c r="P5844" s="19"/>
      <c r="Q5844" s="19"/>
    </row>
    <row r="5845" spans="2:17">
      <c r="B5845" s="19"/>
      <c r="C5845" s="19"/>
      <c r="D5845" s="19"/>
      <c r="E5845" s="19"/>
      <c r="F5845" s="19"/>
      <c r="G5845" s="19"/>
      <c r="H5845" s="19"/>
      <c r="I5845" s="19"/>
      <c r="J5845" s="19"/>
      <c r="K5845" s="421"/>
      <c r="L5845" s="23"/>
      <c r="M5845" s="19"/>
      <c r="N5845" s="19"/>
      <c r="O5845" s="19"/>
      <c r="P5845" s="19"/>
      <c r="Q5845" s="19"/>
    </row>
    <row r="5846" spans="2:17">
      <c r="B5846" s="19"/>
      <c r="C5846" s="19"/>
      <c r="D5846" s="19"/>
      <c r="E5846" s="19"/>
      <c r="F5846" s="19"/>
      <c r="G5846" s="19"/>
      <c r="H5846" s="19"/>
      <c r="I5846" s="19"/>
      <c r="J5846" s="19"/>
      <c r="K5846" s="421"/>
      <c r="L5846" s="23"/>
      <c r="M5846" s="19"/>
      <c r="N5846" s="19"/>
      <c r="O5846" s="19"/>
      <c r="P5846" s="19"/>
      <c r="Q5846" s="19"/>
    </row>
    <row r="5847" spans="2:17">
      <c r="B5847" s="19"/>
      <c r="C5847" s="19"/>
      <c r="D5847" s="19"/>
      <c r="E5847" s="19"/>
      <c r="F5847" s="19"/>
      <c r="G5847" s="19"/>
      <c r="H5847" s="19"/>
      <c r="I5847" s="19"/>
      <c r="J5847" s="19"/>
      <c r="K5847" s="421"/>
      <c r="L5847" s="23"/>
      <c r="M5847" s="19"/>
      <c r="N5847" s="19"/>
      <c r="O5847" s="19"/>
      <c r="P5847" s="19"/>
      <c r="Q5847" s="19"/>
    </row>
    <row r="5848" spans="2:17">
      <c r="B5848" s="19"/>
      <c r="C5848" s="19"/>
      <c r="D5848" s="19"/>
      <c r="E5848" s="19"/>
      <c r="F5848" s="19"/>
      <c r="G5848" s="19"/>
      <c r="H5848" s="19"/>
      <c r="I5848" s="19"/>
      <c r="J5848" s="19"/>
      <c r="K5848" s="421"/>
      <c r="L5848" s="23"/>
      <c r="M5848" s="19"/>
      <c r="N5848" s="19"/>
      <c r="O5848" s="19"/>
      <c r="P5848" s="19"/>
      <c r="Q5848" s="19"/>
    </row>
    <row r="5849" spans="2:17">
      <c r="B5849" s="19"/>
      <c r="C5849" s="19"/>
      <c r="D5849" s="19"/>
      <c r="E5849" s="19"/>
      <c r="F5849" s="19"/>
      <c r="G5849" s="19"/>
      <c r="H5849" s="19"/>
      <c r="I5849" s="19"/>
      <c r="J5849" s="19"/>
      <c r="K5849" s="421"/>
      <c r="L5849" s="23"/>
      <c r="M5849" s="19"/>
      <c r="N5849" s="19"/>
      <c r="O5849" s="19"/>
      <c r="P5849" s="19"/>
      <c r="Q5849" s="19"/>
    </row>
    <row r="5850" spans="2:17">
      <c r="B5850" s="19"/>
      <c r="C5850" s="19"/>
      <c r="D5850" s="19"/>
      <c r="E5850" s="19"/>
      <c r="F5850" s="19"/>
      <c r="G5850" s="19"/>
      <c r="H5850" s="19"/>
      <c r="I5850" s="19"/>
      <c r="J5850" s="19"/>
      <c r="K5850" s="421"/>
      <c r="L5850" s="23"/>
      <c r="M5850" s="19"/>
      <c r="N5850" s="19"/>
      <c r="O5850" s="19"/>
      <c r="P5850" s="19"/>
      <c r="Q5850" s="19"/>
    </row>
    <row r="5851" spans="2:17">
      <c r="B5851" s="19"/>
      <c r="C5851" s="19"/>
      <c r="D5851" s="19"/>
      <c r="E5851" s="19"/>
      <c r="F5851" s="19"/>
      <c r="G5851" s="19"/>
      <c r="H5851" s="19"/>
      <c r="I5851" s="19"/>
      <c r="J5851" s="19"/>
      <c r="K5851" s="421"/>
      <c r="L5851" s="23"/>
      <c r="M5851" s="19"/>
      <c r="N5851" s="19"/>
      <c r="O5851" s="19"/>
      <c r="P5851" s="19"/>
      <c r="Q5851" s="19"/>
    </row>
    <row r="5852" spans="2:17">
      <c r="B5852" s="19"/>
      <c r="C5852" s="19"/>
      <c r="D5852" s="19"/>
      <c r="E5852" s="19"/>
      <c r="F5852" s="19"/>
      <c r="G5852" s="19"/>
      <c r="H5852" s="19"/>
      <c r="I5852" s="19"/>
      <c r="J5852" s="19"/>
      <c r="K5852" s="421"/>
      <c r="L5852" s="23"/>
      <c r="M5852" s="19"/>
      <c r="N5852" s="19"/>
      <c r="O5852" s="19"/>
      <c r="P5852" s="19"/>
      <c r="Q5852" s="19"/>
    </row>
    <row r="5853" spans="2:17">
      <c r="B5853" s="19"/>
      <c r="C5853" s="19"/>
      <c r="D5853" s="19"/>
      <c r="E5853" s="19"/>
      <c r="F5853" s="19"/>
      <c r="G5853" s="19"/>
      <c r="H5853" s="19"/>
      <c r="I5853" s="19"/>
      <c r="J5853" s="19"/>
      <c r="K5853" s="421"/>
      <c r="L5853" s="23"/>
      <c r="M5853" s="19"/>
      <c r="N5853" s="19"/>
      <c r="O5853" s="19"/>
      <c r="P5853" s="19"/>
      <c r="Q5853" s="19"/>
    </row>
    <row r="5854" spans="2:17">
      <c r="B5854" s="19"/>
      <c r="C5854" s="19"/>
      <c r="D5854" s="19"/>
      <c r="E5854" s="19"/>
      <c r="F5854" s="19"/>
      <c r="G5854" s="19"/>
      <c r="H5854" s="19"/>
      <c r="I5854" s="19"/>
      <c r="J5854" s="19"/>
      <c r="K5854" s="421"/>
      <c r="L5854" s="23"/>
      <c r="M5854" s="19"/>
      <c r="N5854" s="19"/>
      <c r="O5854" s="19"/>
      <c r="P5854" s="19"/>
      <c r="Q5854" s="19"/>
    </row>
    <row r="5855" spans="2:17">
      <c r="B5855" s="19"/>
      <c r="C5855" s="19"/>
      <c r="D5855" s="19"/>
      <c r="E5855" s="19"/>
      <c r="F5855" s="19"/>
      <c r="G5855" s="19"/>
      <c r="H5855" s="19"/>
      <c r="I5855" s="19"/>
      <c r="J5855" s="19"/>
      <c r="K5855" s="421"/>
      <c r="L5855" s="23"/>
      <c r="M5855" s="19"/>
      <c r="N5855" s="19"/>
      <c r="O5855" s="19"/>
      <c r="P5855" s="19"/>
      <c r="Q5855" s="19"/>
    </row>
    <row r="5856" spans="2:17">
      <c r="B5856" s="19"/>
      <c r="C5856" s="19"/>
      <c r="D5856" s="19"/>
      <c r="E5856" s="19"/>
      <c r="F5856" s="19"/>
      <c r="G5856" s="19"/>
      <c r="H5856" s="19"/>
      <c r="I5856" s="19"/>
      <c r="J5856" s="19"/>
      <c r="K5856" s="421"/>
      <c r="L5856" s="23"/>
      <c r="M5856" s="19"/>
      <c r="N5856" s="19"/>
      <c r="O5856" s="19"/>
      <c r="P5856" s="19"/>
      <c r="Q5856" s="19"/>
    </row>
    <row r="5857" spans="2:17">
      <c r="B5857" s="19"/>
      <c r="C5857" s="19"/>
      <c r="D5857" s="19"/>
      <c r="E5857" s="19"/>
      <c r="F5857" s="19"/>
      <c r="G5857" s="19"/>
      <c r="H5857" s="19"/>
      <c r="I5857" s="19"/>
      <c r="J5857" s="19"/>
      <c r="K5857" s="421"/>
      <c r="L5857" s="23"/>
      <c r="M5857" s="19"/>
      <c r="N5857" s="19"/>
      <c r="O5857" s="19"/>
      <c r="P5857" s="19"/>
      <c r="Q5857" s="19"/>
    </row>
    <row r="5858" spans="2:17">
      <c r="B5858" s="19"/>
      <c r="C5858" s="19"/>
      <c r="D5858" s="19"/>
      <c r="E5858" s="19"/>
      <c r="F5858" s="19"/>
      <c r="G5858" s="19"/>
      <c r="H5858" s="19"/>
      <c r="I5858" s="19"/>
      <c r="J5858" s="19"/>
      <c r="K5858" s="421"/>
      <c r="L5858" s="23"/>
      <c r="M5858" s="19"/>
      <c r="N5858" s="19"/>
      <c r="O5858" s="19"/>
      <c r="P5858" s="19"/>
      <c r="Q5858" s="19"/>
    </row>
    <row r="5859" spans="2:17">
      <c r="B5859" s="19"/>
      <c r="C5859" s="19"/>
      <c r="D5859" s="19"/>
      <c r="E5859" s="19"/>
      <c r="F5859" s="19"/>
      <c r="G5859" s="19"/>
      <c r="H5859" s="19"/>
      <c r="I5859" s="19"/>
      <c r="J5859" s="19"/>
      <c r="K5859" s="421"/>
      <c r="L5859" s="23"/>
      <c r="M5859" s="19"/>
      <c r="N5859" s="19"/>
      <c r="O5859" s="19"/>
      <c r="P5859" s="19"/>
      <c r="Q5859" s="19"/>
    </row>
    <row r="5860" spans="2:17">
      <c r="B5860" s="19"/>
      <c r="C5860" s="19"/>
      <c r="D5860" s="19"/>
      <c r="E5860" s="19"/>
      <c r="F5860" s="19"/>
      <c r="G5860" s="19"/>
      <c r="H5860" s="19"/>
      <c r="I5860" s="19"/>
      <c r="J5860" s="19"/>
      <c r="K5860" s="421"/>
      <c r="L5860" s="23"/>
      <c r="M5860" s="19"/>
      <c r="N5860" s="19"/>
      <c r="O5860" s="19"/>
      <c r="P5860" s="19"/>
      <c r="Q5860" s="19"/>
    </row>
    <row r="5861" spans="2:17">
      <c r="B5861" s="19"/>
      <c r="C5861" s="19"/>
      <c r="D5861" s="19"/>
      <c r="E5861" s="19"/>
      <c r="F5861" s="19"/>
      <c r="G5861" s="19"/>
      <c r="H5861" s="19"/>
      <c r="I5861" s="19"/>
      <c r="J5861" s="19"/>
      <c r="K5861" s="421"/>
      <c r="L5861" s="23"/>
      <c r="M5861" s="19"/>
      <c r="N5861" s="19"/>
      <c r="O5861" s="19"/>
      <c r="P5861" s="19"/>
      <c r="Q5861" s="19"/>
    </row>
    <row r="5862" spans="2:17">
      <c r="B5862" s="19"/>
      <c r="C5862" s="19"/>
      <c r="D5862" s="19"/>
      <c r="E5862" s="19"/>
      <c r="F5862" s="19"/>
      <c r="G5862" s="19"/>
      <c r="H5862" s="19"/>
      <c r="I5862" s="19"/>
      <c r="J5862" s="19"/>
      <c r="K5862" s="421"/>
      <c r="L5862" s="23"/>
      <c r="M5862" s="19"/>
      <c r="N5862" s="19"/>
      <c r="O5862" s="19"/>
      <c r="P5862" s="19"/>
      <c r="Q5862" s="19"/>
    </row>
    <row r="5863" spans="2:17">
      <c r="B5863" s="19"/>
      <c r="C5863" s="19"/>
      <c r="D5863" s="19"/>
      <c r="E5863" s="19"/>
      <c r="F5863" s="19"/>
      <c r="G5863" s="19"/>
      <c r="H5863" s="19"/>
      <c r="I5863" s="19"/>
      <c r="J5863" s="19"/>
      <c r="K5863" s="421"/>
      <c r="L5863" s="23"/>
      <c r="M5863" s="19"/>
      <c r="N5863" s="19"/>
      <c r="O5863" s="19"/>
      <c r="P5863" s="19"/>
      <c r="Q5863" s="19"/>
    </row>
    <row r="5864" spans="2:17">
      <c r="B5864" s="19"/>
      <c r="C5864" s="19"/>
      <c r="D5864" s="19"/>
      <c r="E5864" s="19"/>
      <c r="F5864" s="19"/>
      <c r="G5864" s="19"/>
      <c r="H5864" s="19"/>
      <c r="I5864" s="19"/>
      <c r="J5864" s="19"/>
      <c r="K5864" s="421"/>
      <c r="L5864" s="23"/>
      <c r="M5864" s="19"/>
      <c r="N5864" s="19"/>
      <c r="O5864" s="19"/>
      <c r="P5864" s="19"/>
      <c r="Q5864" s="19"/>
    </row>
    <row r="5865" spans="2:17">
      <c r="B5865" s="19"/>
      <c r="C5865" s="19"/>
      <c r="D5865" s="19"/>
      <c r="E5865" s="19"/>
      <c r="F5865" s="19"/>
      <c r="G5865" s="19"/>
      <c r="H5865" s="19"/>
      <c r="I5865" s="19"/>
      <c r="J5865" s="19"/>
      <c r="K5865" s="421"/>
      <c r="L5865" s="23"/>
      <c r="M5865" s="19"/>
      <c r="N5865" s="19"/>
      <c r="O5865" s="19"/>
      <c r="P5865" s="19"/>
      <c r="Q5865" s="19"/>
    </row>
    <row r="5866" spans="2:17">
      <c r="B5866" s="19"/>
      <c r="C5866" s="19"/>
      <c r="D5866" s="19"/>
      <c r="E5866" s="19"/>
      <c r="F5866" s="19"/>
      <c r="G5866" s="19"/>
      <c r="H5866" s="19"/>
      <c r="I5866" s="19"/>
      <c r="J5866" s="19"/>
      <c r="K5866" s="421"/>
      <c r="L5866" s="23"/>
      <c r="M5866" s="19"/>
      <c r="N5866" s="19"/>
      <c r="O5866" s="19"/>
      <c r="P5866" s="19"/>
      <c r="Q5866" s="19"/>
    </row>
    <row r="5867" spans="2:17">
      <c r="B5867" s="19"/>
      <c r="C5867" s="19"/>
      <c r="D5867" s="19"/>
      <c r="E5867" s="19"/>
      <c r="F5867" s="19"/>
      <c r="G5867" s="19"/>
      <c r="H5867" s="19"/>
      <c r="I5867" s="19"/>
      <c r="J5867" s="19"/>
      <c r="K5867" s="421"/>
      <c r="L5867" s="23"/>
      <c r="M5867" s="19"/>
      <c r="N5867" s="19"/>
      <c r="O5867" s="19"/>
      <c r="P5867" s="19"/>
      <c r="Q5867" s="19"/>
    </row>
    <row r="5868" spans="2:17">
      <c r="B5868" s="19"/>
      <c r="C5868" s="19"/>
      <c r="D5868" s="19"/>
      <c r="E5868" s="19"/>
      <c r="F5868" s="19"/>
      <c r="G5868" s="19"/>
      <c r="H5868" s="19"/>
      <c r="I5868" s="19"/>
      <c r="J5868" s="19"/>
      <c r="K5868" s="421"/>
      <c r="L5868" s="23"/>
      <c r="M5868" s="19"/>
      <c r="N5868" s="19"/>
      <c r="O5868" s="19"/>
      <c r="P5868" s="19"/>
      <c r="Q5868" s="19"/>
    </row>
    <row r="5869" spans="2:17">
      <c r="B5869" s="19"/>
      <c r="C5869" s="19"/>
      <c r="D5869" s="19"/>
      <c r="E5869" s="19"/>
      <c r="F5869" s="19"/>
      <c r="G5869" s="19"/>
      <c r="H5869" s="19"/>
      <c r="I5869" s="19"/>
      <c r="J5869" s="19"/>
      <c r="K5869" s="421"/>
      <c r="L5869" s="23"/>
      <c r="M5869" s="19"/>
      <c r="N5869" s="19"/>
      <c r="O5869" s="19"/>
      <c r="P5869" s="19"/>
      <c r="Q5869" s="19"/>
    </row>
    <row r="5870" spans="2:17">
      <c r="B5870" s="19"/>
      <c r="C5870" s="19"/>
      <c r="D5870" s="19"/>
      <c r="E5870" s="19"/>
      <c r="F5870" s="19"/>
      <c r="G5870" s="19"/>
      <c r="H5870" s="19"/>
      <c r="I5870" s="19"/>
      <c r="J5870" s="19"/>
      <c r="K5870" s="421"/>
      <c r="L5870" s="23"/>
      <c r="M5870" s="19"/>
      <c r="N5870" s="19"/>
      <c r="O5870" s="19"/>
      <c r="P5870" s="19"/>
      <c r="Q5870" s="19"/>
    </row>
    <row r="5871" spans="2:17">
      <c r="B5871" s="19"/>
      <c r="C5871" s="19"/>
      <c r="D5871" s="19"/>
      <c r="E5871" s="19"/>
      <c r="F5871" s="19"/>
      <c r="G5871" s="19"/>
      <c r="H5871" s="19"/>
      <c r="I5871" s="19"/>
      <c r="J5871" s="19"/>
      <c r="K5871" s="421"/>
      <c r="L5871" s="23"/>
      <c r="M5871" s="19"/>
      <c r="N5871" s="19"/>
      <c r="O5871" s="19"/>
      <c r="P5871" s="19"/>
      <c r="Q5871" s="19"/>
    </row>
    <row r="5872" spans="2:17">
      <c r="B5872" s="19"/>
      <c r="C5872" s="19"/>
      <c r="D5872" s="19"/>
      <c r="E5872" s="19"/>
      <c r="F5872" s="19"/>
      <c r="G5872" s="19"/>
      <c r="H5872" s="19"/>
      <c r="I5872" s="19"/>
      <c r="J5872" s="19"/>
      <c r="K5872" s="421"/>
      <c r="L5872" s="23"/>
      <c r="M5872" s="19"/>
      <c r="N5872" s="19"/>
      <c r="O5872" s="19"/>
      <c r="P5872" s="19"/>
      <c r="Q5872" s="19"/>
    </row>
    <row r="5873" spans="2:17">
      <c r="B5873" s="19"/>
      <c r="C5873" s="19"/>
      <c r="D5873" s="19"/>
      <c r="E5873" s="19"/>
      <c r="F5873" s="19"/>
      <c r="G5873" s="19"/>
      <c r="H5873" s="19"/>
      <c r="I5873" s="19"/>
      <c r="J5873" s="19"/>
      <c r="K5873" s="421"/>
      <c r="L5873" s="23"/>
      <c r="M5873" s="19"/>
      <c r="N5873" s="19"/>
      <c r="O5873" s="19"/>
      <c r="P5873" s="19"/>
      <c r="Q5873" s="19"/>
    </row>
    <row r="5874" spans="2:17">
      <c r="B5874" s="19"/>
      <c r="C5874" s="19"/>
      <c r="D5874" s="19"/>
      <c r="E5874" s="19"/>
      <c r="F5874" s="19"/>
      <c r="G5874" s="19"/>
      <c r="H5874" s="19"/>
      <c r="I5874" s="19"/>
      <c r="J5874" s="19"/>
      <c r="K5874" s="421"/>
      <c r="L5874" s="23"/>
      <c r="M5874" s="19"/>
      <c r="N5874" s="19"/>
      <c r="O5874" s="19"/>
      <c r="P5874" s="19"/>
      <c r="Q5874" s="19"/>
    </row>
    <row r="5875" spans="2:17">
      <c r="B5875" s="19"/>
      <c r="C5875" s="19"/>
      <c r="D5875" s="19"/>
      <c r="E5875" s="19"/>
      <c r="F5875" s="19"/>
      <c r="G5875" s="19"/>
      <c r="H5875" s="19"/>
      <c r="I5875" s="19"/>
      <c r="J5875" s="19"/>
      <c r="K5875" s="421"/>
      <c r="L5875" s="23"/>
      <c r="M5875" s="19"/>
      <c r="N5875" s="19"/>
      <c r="O5875" s="19"/>
      <c r="P5875" s="19"/>
      <c r="Q5875" s="19"/>
    </row>
    <row r="5876" spans="2:17">
      <c r="B5876" s="19"/>
      <c r="C5876" s="19"/>
      <c r="D5876" s="19"/>
      <c r="E5876" s="19"/>
      <c r="F5876" s="19"/>
      <c r="G5876" s="19"/>
      <c r="H5876" s="19"/>
      <c r="I5876" s="19"/>
      <c r="J5876" s="19"/>
      <c r="K5876" s="421"/>
      <c r="L5876" s="23"/>
      <c r="M5876" s="19"/>
      <c r="N5876" s="19"/>
      <c r="O5876" s="19"/>
      <c r="P5876" s="19"/>
      <c r="Q5876" s="19"/>
    </row>
    <row r="5877" spans="2:17">
      <c r="B5877" s="19"/>
      <c r="C5877" s="19"/>
      <c r="D5877" s="19"/>
      <c r="E5877" s="19"/>
      <c r="F5877" s="19"/>
      <c r="G5877" s="19"/>
      <c r="H5877" s="19"/>
      <c r="I5877" s="19"/>
      <c r="J5877" s="19"/>
      <c r="K5877" s="421"/>
      <c r="L5877" s="23"/>
      <c r="M5877" s="19"/>
      <c r="N5877" s="19"/>
      <c r="O5877" s="19"/>
      <c r="P5877" s="19"/>
      <c r="Q5877" s="19"/>
    </row>
    <row r="5878" spans="2:17">
      <c r="B5878" s="19"/>
      <c r="C5878" s="19"/>
      <c r="D5878" s="19"/>
      <c r="E5878" s="19"/>
      <c r="F5878" s="19"/>
      <c r="G5878" s="19"/>
      <c r="H5878" s="19"/>
      <c r="I5878" s="19"/>
      <c r="J5878" s="19"/>
      <c r="K5878" s="421"/>
      <c r="L5878" s="23"/>
      <c r="M5878" s="19"/>
      <c r="N5878" s="19"/>
      <c r="O5878" s="19"/>
      <c r="P5878" s="19"/>
      <c r="Q5878" s="19"/>
    </row>
    <row r="5879" spans="2:17">
      <c r="B5879" s="19"/>
      <c r="C5879" s="19"/>
      <c r="D5879" s="19"/>
      <c r="E5879" s="19"/>
      <c r="F5879" s="19"/>
      <c r="G5879" s="19"/>
      <c r="H5879" s="19"/>
      <c r="I5879" s="19"/>
      <c r="J5879" s="19"/>
      <c r="K5879" s="421"/>
      <c r="L5879" s="23"/>
      <c r="M5879" s="19"/>
      <c r="N5879" s="19"/>
      <c r="O5879" s="19"/>
      <c r="P5879" s="19"/>
      <c r="Q5879" s="19"/>
    </row>
    <row r="5880" spans="2:17">
      <c r="B5880" s="19"/>
      <c r="C5880" s="19"/>
      <c r="D5880" s="19"/>
      <c r="E5880" s="19"/>
      <c r="F5880" s="19"/>
      <c r="G5880" s="19"/>
      <c r="H5880" s="19"/>
      <c r="I5880" s="19"/>
      <c r="J5880" s="19"/>
      <c r="K5880" s="421"/>
      <c r="L5880" s="23"/>
      <c r="M5880" s="19"/>
      <c r="N5880" s="19"/>
      <c r="O5880" s="19"/>
      <c r="P5880" s="19"/>
      <c r="Q5880" s="19"/>
    </row>
    <row r="5881" spans="2:17">
      <c r="B5881" s="19"/>
      <c r="C5881" s="19"/>
      <c r="D5881" s="19"/>
      <c r="E5881" s="19"/>
      <c r="F5881" s="19"/>
      <c r="G5881" s="19"/>
      <c r="H5881" s="19"/>
      <c r="I5881" s="19"/>
      <c r="J5881" s="19"/>
      <c r="K5881" s="421"/>
      <c r="L5881" s="23"/>
      <c r="M5881" s="19"/>
      <c r="N5881" s="19"/>
      <c r="O5881" s="19"/>
      <c r="P5881" s="19"/>
      <c r="Q5881" s="19"/>
    </row>
    <row r="5882" spans="2:17">
      <c r="B5882" s="19"/>
      <c r="C5882" s="19"/>
      <c r="D5882" s="19"/>
      <c r="E5882" s="19"/>
      <c r="F5882" s="19"/>
      <c r="G5882" s="19"/>
      <c r="H5882" s="19"/>
      <c r="I5882" s="19"/>
      <c r="J5882" s="19"/>
      <c r="K5882" s="421"/>
      <c r="L5882" s="23"/>
      <c r="M5882" s="19"/>
      <c r="N5882" s="19"/>
      <c r="O5882" s="19"/>
      <c r="P5882" s="19"/>
      <c r="Q5882" s="19"/>
    </row>
    <row r="5883" spans="2:17">
      <c r="B5883" s="19"/>
      <c r="C5883" s="19"/>
      <c r="D5883" s="19"/>
      <c r="E5883" s="19"/>
      <c r="F5883" s="19"/>
      <c r="G5883" s="19"/>
      <c r="H5883" s="19"/>
      <c r="I5883" s="19"/>
      <c r="J5883" s="19"/>
      <c r="K5883" s="421"/>
      <c r="L5883" s="23"/>
      <c r="M5883" s="19"/>
      <c r="N5883" s="19"/>
      <c r="O5883" s="19"/>
      <c r="P5883" s="19"/>
      <c r="Q5883" s="19"/>
    </row>
    <row r="5884" spans="2:17">
      <c r="B5884" s="19"/>
      <c r="C5884" s="19"/>
      <c r="D5884" s="19"/>
      <c r="E5884" s="19"/>
      <c r="F5884" s="19"/>
      <c r="G5884" s="19"/>
      <c r="H5884" s="19"/>
      <c r="I5884" s="19"/>
      <c r="J5884" s="19"/>
      <c r="K5884" s="421"/>
      <c r="L5884" s="23"/>
      <c r="M5884" s="19"/>
      <c r="N5884" s="19"/>
      <c r="O5884" s="19"/>
      <c r="P5884" s="19"/>
      <c r="Q5884" s="19"/>
    </row>
    <row r="5885" spans="2:17">
      <c r="I5885" s="20"/>
      <c r="K5885" s="423"/>
      <c r="L5885" s="44"/>
      <c r="M5885" s="19"/>
      <c r="N5885" s="19"/>
      <c r="O5885" s="19"/>
      <c r="P5885" s="19"/>
      <c r="Q5885" s="19"/>
    </row>
    <row r="5886" spans="2:17">
      <c r="I5886" s="20"/>
      <c r="M5886" s="19"/>
      <c r="N5886" s="19"/>
      <c r="O5886" s="19"/>
      <c r="P5886" s="19"/>
      <c r="Q5886" s="19"/>
    </row>
    <row r="5887" spans="2:17">
      <c r="I5887" s="20"/>
      <c r="M5887" s="19"/>
      <c r="N5887" s="19"/>
      <c r="O5887" s="19"/>
      <c r="P5887" s="19"/>
      <c r="Q5887" s="19"/>
    </row>
    <row r="5888" spans="2:17">
      <c r="I5888" s="20"/>
      <c r="M5888" s="19"/>
      <c r="N5888" s="19"/>
      <c r="O5888" s="19"/>
      <c r="P5888" s="19"/>
      <c r="Q5888" s="19"/>
    </row>
    <row r="5889" spans="9:17">
      <c r="I5889" s="20"/>
      <c r="M5889" s="19"/>
      <c r="N5889" s="19"/>
      <c r="O5889" s="19"/>
      <c r="P5889" s="19"/>
      <c r="Q5889" s="19"/>
    </row>
    <row r="5890" spans="9:17">
      <c r="I5890" s="20"/>
      <c r="M5890" s="19"/>
      <c r="N5890" s="19"/>
      <c r="O5890" s="19"/>
      <c r="P5890" s="19"/>
      <c r="Q5890" s="19"/>
    </row>
    <row r="5891" spans="9:17">
      <c r="I5891" s="20"/>
      <c r="M5891" s="19"/>
      <c r="N5891" s="19"/>
      <c r="O5891" s="19"/>
      <c r="P5891" s="19"/>
      <c r="Q5891" s="19"/>
    </row>
    <row r="5892" spans="9:17">
      <c r="I5892" s="20"/>
      <c r="M5892" s="19"/>
      <c r="N5892" s="19"/>
      <c r="O5892" s="19"/>
      <c r="P5892" s="19"/>
      <c r="Q5892" s="19"/>
    </row>
    <row r="5893" spans="9:17">
      <c r="I5893" s="20"/>
      <c r="M5893" s="19"/>
      <c r="N5893" s="19"/>
      <c r="O5893" s="19"/>
      <c r="P5893" s="19"/>
      <c r="Q5893" s="19"/>
    </row>
    <row r="5894" spans="9:17">
      <c r="I5894" s="20"/>
      <c r="M5894" s="19"/>
      <c r="N5894" s="19"/>
      <c r="O5894" s="19"/>
      <c r="P5894" s="19"/>
      <c r="Q5894" s="19"/>
    </row>
    <row r="5895" spans="9:17">
      <c r="I5895" s="20"/>
      <c r="M5895" s="19"/>
      <c r="N5895" s="19"/>
      <c r="O5895" s="19"/>
      <c r="P5895" s="19"/>
      <c r="Q5895" s="19"/>
    </row>
    <row r="5896" spans="9:17">
      <c r="I5896" s="20"/>
      <c r="M5896" s="19"/>
      <c r="N5896" s="19"/>
      <c r="O5896" s="19"/>
      <c r="P5896" s="19"/>
      <c r="Q5896" s="19"/>
    </row>
    <row r="5897" spans="9:17">
      <c r="I5897" s="20"/>
      <c r="M5897" s="19"/>
      <c r="N5897" s="19"/>
      <c r="O5897" s="19"/>
      <c r="P5897" s="19"/>
      <c r="Q5897" s="19"/>
    </row>
    <row r="5898" spans="9:17">
      <c r="I5898" s="20"/>
      <c r="M5898" s="19"/>
      <c r="N5898" s="19"/>
      <c r="O5898" s="19"/>
      <c r="P5898" s="19"/>
      <c r="Q5898" s="19"/>
    </row>
    <row r="5899" spans="9:17">
      <c r="I5899" s="20"/>
      <c r="M5899" s="19"/>
      <c r="N5899" s="19"/>
      <c r="O5899" s="19"/>
      <c r="P5899" s="19"/>
      <c r="Q5899" s="19"/>
    </row>
    <row r="5900" spans="9:17">
      <c r="I5900" s="20"/>
      <c r="M5900" s="19"/>
      <c r="N5900" s="19"/>
      <c r="O5900" s="19"/>
      <c r="P5900" s="19"/>
      <c r="Q5900" s="19"/>
    </row>
    <row r="5901" spans="9:17">
      <c r="I5901" s="20"/>
      <c r="M5901" s="19"/>
      <c r="N5901" s="19"/>
      <c r="O5901" s="19"/>
      <c r="P5901" s="19"/>
      <c r="Q5901" s="19"/>
    </row>
    <row r="5902" spans="9:17">
      <c r="I5902" s="20"/>
      <c r="M5902" s="19"/>
      <c r="N5902" s="19"/>
      <c r="O5902" s="19"/>
      <c r="P5902" s="19"/>
      <c r="Q5902" s="19"/>
    </row>
    <row r="5903" spans="9:17">
      <c r="I5903" s="20"/>
      <c r="M5903" s="19"/>
      <c r="N5903" s="19"/>
      <c r="O5903" s="19"/>
      <c r="P5903" s="19"/>
      <c r="Q5903" s="19"/>
    </row>
    <row r="5904" spans="9:17">
      <c r="I5904" s="20"/>
      <c r="M5904" s="19"/>
      <c r="N5904" s="19"/>
      <c r="O5904" s="19"/>
      <c r="P5904" s="19"/>
      <c r="Q5904" s="19"/>
    </row>
    <row r="5905" spans="9:17">
      <c r="I5905" s="20"/>
      <c r="M5905" s="19"/>
      <c r="N5905" s="19"/>
      <c r="O5905" s="19"/>
      <c r="P5905" s="19"/>
      <c r="Q5905" s="19"/>
    </row>
    <row r="5906" spans="9:17">
      <c r="I5906" s="20"/>
      <c r="M5906" s="19"/>
      <c r="N5906" s="19"/>
      <c r="O5906" s="19"/>
      <c r="P5906" s="19"/>
      <c r="Q5906" s="19"/>
    </row>
    <row r="5907" spans="9:17">
      <c r="I5907" s="20"/>
      <c r="M5907" s="19"/>
      <c r="N5907" s="19"/>
      <c r="O5907" s="19"/>
      <c r="P5907" s="19"/>
      <c r="Q5907" s="19"/>
    </row>
    <row r="5908" spans="9:17">
      <c r="I5908" s="20"/>
      <c r="M5908" s="19"/>
      <c r="N5908" s="19"/>
      <c r="O5908" s="19"/>
      <c r="P5908" s="19"/>
      <c r="Q5908" s="19"/>
    </row>
    <row r="5909" spans="9:17">
      <c r="I5909" s="20"/>
      <c r="M5909" s="19"/>
      <c r="N5909" s="19"/>
      <c r="O5909" s="19"/>
      <c r="P5909" s="19"/>
      <c r="Q5909" s="19"/>
    </row>
    <row r="5910" spans="9:17">
      <c r="I5910" s="20"/>
      <c r="M5910" s="19"/>
      <c r="N5910" s="19"/>
      <c r="O5910" s="19"/>
      <c r="P5910" s="19"/>
      <c r="Q5910" s="19"/>
    </row>
    <row r="5911" spans="9:17">
      <c r="I5911" s="20"/>
      <c r="M5911" s="19"/>
      <c r="N5911" s="19"/>
      <c r="O5911" s="19"/>
      <c r="P5911" s="19"/>
      <c r="Q5911" s="19"/>
    </row>
    <row r="5912" spans="9:17">
      <c r="I5912" s="20"/>
      <c r="M5912" s="19"/>
      <c r="N5912" s="19"/>
      <c r="O5912" s="19"/>
      <c r="P5912" s="19"/>
      <c r="Q5912" s="19"/>
    </row>
    <row r="5913" spans="9:17">
      <c r="I5913" s="20"/>
      <c r="M5913" s="19"/>
      <c r="N5913" s="19"/>
      <c r="O5913" s="19"/>
      <c r="P5913" s="19"/>
      <c r="Q5913" s="19"/>
    </row>
    <row r="5914" spans="9:17">
      <c r="I5914" s="20"/>
      <c r="M5914" s="19"/>
      <c r="N5914" s="19"/>
      <c r="O5914" s="19"/>
      <c r="P5914" s="19"/>
      <c r="Q5914" s="19"/>
    </row>
    <row r="5915" spans="9:17">
      <c r="I5915" s="20"/>
      <c r="M5915" s="19"/>
      <c r="N5915" s="19"/>
      <c r="O5915" s="19"/>
      <c r="P5915" s="19"/>
      <c r="Q5915" s="19"/>
    </row>
    <row r="5916" spans="9:17">
      <c r="I5916" s="20"/>
      <c r="M5916" s="19"/>
      <c r="N5916" s="19"/>
      <c r="O5916" s="19"/>
      <c r="P5916" s="19"/>
      <c r="Q5916" s="19"/>
    </row>
    <row r="5917" spans="9:17">
      <c r="I5917" s="20"/>
      <c r="M5917" s="19"/>
      <c r="N5917" s="19"/>
      <c r="O5917" s="19"/>
      <c r="P5917" s="19"/>
      <c r="Q5917" s="19"/>
    </row>
    <row r="5918" spans="9:17">
      <c r="I5918" s="20"/>
      <c r="M5918" s="19"/>
      <c r="N5918" s="19"/>
      <c r="O5918" s="19"/>
      <c r="P5918" s="19"/>
      <c r="Q5918" s="19"/>
    </row>
    <row r="5919" spans="9:17">
      <c r="I5919" s="20"/>
      <c r="M5919" s="19"/>
      <c r="N5919" s="19"/>
      <c r="O5919" s="19"/>
      <c r="P5919" s="19"/>
      <c r="Q5919" s="19"/>
    </row>
    <row r="5920" spans="9:17">
      <c r="I5920" s="20"/>
      <c r="M5920" s="19"/>
      <c r="N5920" s="19"/>
      <c r="O5920" s="19"/>
      <c r="P5920" s="19"/>
      <c r="Q5920" s="19"/>
    </row>
    <row r="5921" spans="9:17">
      <c r="I5921" s="20"/>
      <c r="M5921" s="19"/>
      <c r="N5921" s="19"/>
      <c r="O5921" s="19"/>
      <c r="P5921" s="19"/>
      <c r="Q5921" s="19"/>
    </row>
    <row r="5922" spans="9:17">
      <c r="I5922" s="20"/>
      <c r="M5922" s="19"/>
      <c r="N5922" s="19"/>
      <c r="O5922" s="19"/>
      <c r="P5922" s="19"/>
      <c r="Q5922" s="19"/>
    </row>
    <row r="5923" spans="9:17">
      <c r="I5923" s="20"/>
      <c r="M5923" s="19"/>
      <c r="N5923" s="19"/>
      <c r="O5923" s="19"/>
      <c r="P5923" s="19"/>
      <c r="Q5923" s="19"/>
    </row>
    <row r="5924" spans="9:17">
      <c r="I5924" s="20"/>
      <c r="M5924" s="19"/>
      <c r="N5924" s="19"/>
      <c r="O5924" s="19"/>
      <c r="P5924" s="19"/>
      <c r="Q5924" s="19"/>
    </row>
    <row r="5925" spans="9:17">
      <c r="I5925" s="20"/>
      <c r="M5925" s="19"/>
      <c r="N5925" s="19"/>
      <c r="O5925" s="19"/>
      <c r="P5925" s="19"/>
      <c r="Q5925" s="19"/>
    </row>
    <row r="5926" spans="9:17">
      <c r="I5926" s="20"/>
      <c r="M5926" s="19"/>
      <c r="N5926" s="19"/>
      <c r="O5926" s="19"/>
      <c r="P5926" s="19"/>
      <c r="Q5926" s="19"/>
    </row>
    <row r="5927" spans="9:17">
      <c r="I5927" s="20"/>
      <c r="M5927" s="19"/>
      <c r="N5927" s="19"/>
      <c r="O5927" s="19"/>
      <c r="P5927" s="19"/>
      <c r="Q5927" s="19"/>
    </row>
    <row r="5928" spans="9:17">
      <c r="I5928" s="20"/>
      <c r="M5928" s="19"/>
      <c r="N5928" s="19"/>
      <c r="O5928" s="19"/>
      <c r="P5928" s="19"/>
      <c r="Q5928" s="19"/>
    </row>
    <row r="5929" spans="9:17">
      <c r="I5929" s="20"/>
      <c r="M5929" s="19"/>
      <c r="N5929" s="19"/>
      <c r="O5929" s="19"/>
      <c r="P5929" s="19"/>
      <c r="Q5929" s="19"/>
    </row>
    <row r="5930" spans="9:17">
      <c r="I5930" s="20"/>
      <c r="M5930" s="19"/>
      <c r="N5930" s="19"/>
      <c r="O5930" s="19"/>
      <c r="P5930" s="19"/>
      <c r="Q5930" s="19"/>
    </row>
    <row r="5931" spans="9:17">
      <c r="I5931" s="20"/>
      <c r="M5931" s="19"/>
      <c r="N5931" s="19"/>
      <c r="O5931" s="19"/>
      <c r="P5931" s="19"/>
      <c r="Q5931" s="19"/>
    </row>
    <row r="5932" spans="9:17">
      <c r="I5932" s="20"/>
      <c r="M5932" s="19"/>
      <c r="N5932" s="19"/>
      <c r="O5932" s="19"/>
      <c r="P5932" s="19"/>
      <c r="Q5932" s="19"/>
    </row>
    <row r="5933" spans="9:17">
      <c r="I5933" s="20"/>
      <c r="M5933" s="19"/>
      <c r="N5933" s="19"/>
      <c r="O5933" s="19"/>
      <c r="P5933" s="19"/>
      <c r="Q5933" s="19"/>
    </row>
    <row r="5934" spans="9:17">
      <c r="I5934" s="20"/>
      <c r="M5934" s="19"/>
      <c r="N5934" s="19"/>
      <c r="O5934" s="19"/>
      <c r="P5934" s="19"/>
      <c r="Q5934" s="19"/>
    </row>
    <row r="5935" spans="9:17">
      <c r="I5935" s="20"/>
      <c r="M5935" s="19"/>
      <c r="N5935" s="19"/>
      <c r="O5935" s="19"/>
      <c r="P5935" s="19"/>
      <c r="Q5935" s="19"/>
    </row>
    <row r="5936" spans="9:17">
      <c r="I5936" s="20"/>
      <c r="M5936" s="19"/>
      <c r="N5936" s="19"/>
      <c r="O5936" s="19"/>
      <c r="P5936" s="19"/>
      <c r="Q5936" s="19"/>
    </row>
    <row r="5937" spans="9:17">
      <c r="I5937" s="20"/>
      <c r="M5937" s="19"/>
      <c r="N5937" s="19"/>
      <c r="O5937" s="19"/>
      <c r="P5937" s="19"/>
      <c r="Q5937" s="19"/>
    </row>
    <row r="5938" spans="9:17">
      <c r="I5938" s="20"/>
      <c r="M5938" s="19"/>
      <c r="N5938" s="19"/>
      <c r="O5938" s="19"/>
      <c r="P5938" s="19"/>
      <c r="Q5938" s="19"/>
    </row>
    <row r="5939" spans="9:17">
      <c r="I5939" s="20"/>
      <c r="M5939" s="19"/>
      <c r="N5939" s="19"/>
      <c r="O5939" s="19"/>
      <c r="P5939" s="19"/>
      <c r="Q5939" s="19"/>
    </row>
    <row r="5940" spans="9:17">
      <c r="I5940" s="20"/>
      <c r="M5940" s="19"/>
      <c r="N5940" s="19"/>
      <c r="O5940" s="19"/>
      <c r="P5940" s="19"/>
      <c r="Q5940" s="19"/>
    </row>
    <row r="5941" spans="9:17">
      <c r="I5941" s="20"/>
      <c r="M5941" s="19"/>
      <c r="N5941" s="19"/>
      <c r="O5941" s="19"/>
      <c r="P5941" s="19"/>
      <c r="Q5941" s="19"/>
    </row>
    <row r="5942" spans="9:17">
      <c r="I5942" s="20"/>
      <c r="M5942" s="19"/>
      <c r="N5942" s="19"/>
      <c r="O5942" s="19"/>
      <c r="P5942" s="19"/>
      <c r="Q5942" s="19"/>
    </row>
    <row r="5943" spans="9:17">
      <c r="I5943" s="20"/>
      <c r="M5943" s="19"/>
      <c r="N5943" s="19"/>
      <c r="O5943" s="19"/>
      <c r="P5943" s="19"/>
      <c r="Q5943" s="19"/>
    </row>
    <row r="5944" spans="9:17">
      <c r="I5944" s="20"/>
      <c r="M5944" s="19"/>
      <c r="N5944" s="19"/>
      <c r="O5944" s="19"/>
      <c r="P5944" s="19"/>
      <c r="Q5944" s="19"/>
    </row>
    <row r="5945" spans="9:17">
      <c r="I5945" s="20"/>
      <c r="M5945" s="19"/>
      <c r="N5945" s="19"/>
      <c r="O5945" s="19"/>
      <c r="P5945" s="19"/>
      <c r="Q5945" s="19"/>
    </row>
    <row r="5946" spans="9:17">
      <c r="I5946" s="20"/>
      <c r="M5946" s="19"/>
      <c r="N5946" s="19"/>
      <c r="O5946" s="19"/>
      <c r="P5946" s="19"/>
      <c r="Q5946" s="19"/>
    </row>
    <row r="5947" spans="9:17">
      <c r="I5947" s="20"/>
      <c r="M5947" s="19"/>
      <c r="N5947" s="19"/>
      <c r="O5947" s="19"/>
      <c r="P5947" s="19"/>
      <c r="Q5947" s="19"/>
    </row>
    <row r="5948" spans="9:17">
      <c r="I5948" s="20"/>
      <c r="M5948" s="19"/>
      <c r="N5948" s="19"/>
      <c r="O5948" s="19"/>
      <c r="P5948" s="19"/>
      <c r="Q5948" s="19"/>
    </row>
    <row r="5949" spans="9:17">
      <c r="I5949" s="20"/>
      <c r="M5949" s="19"/>
      <c r="N5949" s="19"/>
      <c r="O5949" s="19"/>
      <c r="P5949" s="19"/>
      <c r="Q5949" s="19"/>
    </row>
    <row r="5950" spans="9:17">
      <c r="I5950" s="20"/>
      <c r="M5950" s="19"/>
      <c r="N5950" s="19"/>
      <c r="O5950" s="19"/>
      <c r="P5950" s="19"/>
      <c r="Q5950" s="19"/>
    </row>
    <row r="5951" spans="9:17">
      <c r="I5951" s="20"/>
      <c r="M5951" s="19"/>
      <c r="N5951" s="19"/>
      <c r="O5951" s="19"/>
      <c r="P5951" s="19"/>
      <c r="Q5951" s="19"/>
    </row>
    <row r="5952" spans="9:17">
      <c r="I5952" s="20"/>
      <c r="M5952" s="19"/>
      <c r="N5952" s="19"/>
      <c r="O5952" s="19"/>
      <c r="P5952" s="19"/>
      <c r="Q5952" s="19"/>
    </row>
    <row r="5953" spans="9:17">
      <c r="I5953" s="20"/>
      <c r="M5953" s="19"/>
      <c r="N5953" s="19"/>
      <c r="O5953" s="19"/>
      <c r="P5953" s="19"/>
      <c r="Q5953" s="19"/>
    </row>
    <row r="5954" spans="9:17">
      <c r="I5954" s="20"/>
      <c r="M5954" s="19"/>
      <c r="N5954" s="19"/>
      <c r="O5954" s="19"/>
      <c r="P5954" s="19"/>
      <c r="Q5954" s="19"/>
    </row>
    <row r="5955" spans="9:17">
      <c r="I5955" s="20"/>
      <c r="M5955" s="19"/>
      <c r="N5955" s="19"/>
      <c r="O5955" s="19"/>
      <c r="P5955" s="19"/>
      <c r="Q5955" s="19"/>
    </row>
    <row r="5956" spans="9:17">
      <c r="I5956" s="20"/>
      <c r="M5956" s="19"/>
      <c r="N5956" s="19"/>
      <c r="O5956" s="19"/>
      <c r="P5956" s="19"/>
      <c r="Q5956" s="19"/>
    </row>
    <row r="5957" spans="9:17">
      <c r="I5957" s="20"/>
      <c r="M5957" s="19"/>
      <c r="N5957" s="19"/>
      <c r="O5957" s="19"/>
      <c r="P5957" s="19"/>
      <c r="Q5957" s="19"/>
    </row>
    <row r="5958" spans="9:17">
      <c r="I5958" s="20"/>
      <c r="M5958" s="19"/>
      <c r="N5958" s="19"/>
      <c r="O5958" s="19"/>
      <c r="P5958" s="19"/>
      <c r="Q5958" s="19"/>
    </row>
    <row r="5959" spans="9:17">
      <c r="I5959" s="20"/>
      <c r="M5959" s="19"/>
      <c r="N5959" s="19"/>
      <c r="O5959" s="19"/>
      <c r="P5959" s="19"/>
      <c r="Q5959" s="19"/>
    </row>
    <row r="5960" spans="9:17">
      <c r="I5960" s="20"/>
      <c r="M5960" s="19"/>
      <c r="N5960" s="19"/>
      <c r="O5960" s="19"/>
      <c r="P5960" s="19"/>
      <c r="Q5960" s="19"/>
    </row>
    <row r="5961" spans="9:17">
      <c r="I5961" s="20"/>
      <c r="M5961" s="19"/>
      <c r="N5961" s="19"/>
      <c r="O5961" s="19"/>
      <c r="P5961" s="19"/>
      <c r="Q5961" s="19"/>
    </row>
    <row r="5962" spans="9:17">
      <c r="I5962" s="20"/>
      <c r="M5962" s="19"/>
      <c r="N5962" s="19"/>
      <c r="O5962" s="19"/>
      <c r="P5962" s="19"/>
      <c r="Q5962" s="19"/>
    </row>
    <row r="5963" spans="9:17">
      <c r="I5963" s="20"/>
      <c r="M5963" s="19"/>
      <c r="N5963" s="19"/>
      <c r="O5963" s="19"/>
      <c r="P5963" s="19"/>
      <c r="Q5963" s="19"/>
    </row>
    <row r="5964" spans="9:17">
      <c r="I5964" s="20"/>
      <c r="M5964" s="19"/>
      <c r="N5964" s="19"/>
      <c r="O5964" s="19"/>
      <c r="P5964" s="19"/>
      <c r="Q5964" s="19"/>
    </row>
    <row r="5965" spans="9:17">
      <c r="I5965" s="20"/>
      <c r="M5965" s="19"/>
      <c r="N5965" s="19"/>
      <c r="O5965" s="19"/>
      <c r="P5965" s="19"/>
      <c r="Q5965" s="19"/>
    </row>
    <row r="5966" spans="9:17">
      <c r="I5966" s="20"/>
      <c r="M5966" s="19"/>
      <c r="N5966" s="19"/>
      <c r="O5966" s="19"/>
      <c r="P5966" s="19"/>
      <c r="Q5966" s="19"/>
    </row>
    <row r="5967" spans="9:17">
      <c r="I5967" s="20"/>
      <c r="M5967" s="19"/>
      <c r="N5967" s="19"/>
      <c r="O5967" s="19"/>
      <c r="P5967" s="19"/>
      <c r="Q5967" s="19"/>
    </row>
    <row r="5968" spans="9:17">
      <c r="I5968" s="20"/>
      <c r="M5968" s="19"/>
      <c r="N5968" s="19"/>
      <c r="O5968" s="19"/>
      <c r="P5968" s="19"/>
      <c r="Q5968" s="19"/>
    </row>
    <row r="5969" spans="9:17">
      <c r="I5969" s="20"/>
      <c r="M5969" s="19"/>
      <c r="N5969" s="19"/>
      <c r="O5969" s="19"/>
      <c r="P5969" s="19"/>
      <c r="Q5969" s="19"/>
    </row>
    <row r="5970" spans="9:17">
      <c r="I5970" s="20"/>
      <c r="M5970" s="19"/>
      <c r="N5970" s="19"/>
      <c r="O5970" s="19"/>
      <c r="P5970" s="19"/>
      <c r="Q5970" s="19"/>
    </row>
    <row r="5971" spans="9:17">
      <c r="I5971" s="20"/>
      <c r="M5971" s="19"/>
      <c r="N5971" s="19"/>
      <c r="O5971" s="19"/>
      <c r="P5971" s="19"/>
      <c r="Q5971" s="19"/>
    </row>
    <row r="5972" spans="9:17">
      <c r="I5972" s="20"/>
      <c r="M5972" s="19"/>
      <c r="N5972" s="19"/>
      <c r="O5972" s="19"/>
      <c r="P5972" s="19"/>
      <c r="Q5972" s="19"/>
    </row>
    <row r="5973" spans="9:17">
      <c r="I5973" s="20"/>
      <c r="M5973" s="19"/>
      <c r="N5973" s="19"/>
      <c r="O5973" s="19"/>
      <c r="P5973" s="19"/>
      <c r="Q5973" s="19"/>
    </row>
    <row r="5974" spans="9:17">
      <c r="I5974" s="20"/>
      <c r="M5974" s="19"/>
      <c r="N5974" s="19"/>
      <c r="O5974" s="19"/>
      <c r="P5974" s="19"/>
      <c r="Q5974" s="19"/>
    </row>
    <row r="5975" spans="9:17">
      <c r="I5975" s="20"/>
      <c r="M5975" s="19"/>
      <c r="N5975" s="19"/>
      <c r="O5975" s="19"/>
      <c r="P5975" s="19"/>
      <c r="Q5975" s="19"/>
    </row>
    <row r="5976" spans="9:17">
      <c r="I5976" s="20"/>
      <c r="M5976" s="19"/>
      <c r="N5976" s="19"/>
      <c r="O5976" s="19"/>
      <c r="P5976" s="19"/>
      <c r="Q5976" s="19"/>
    </row>
    <row r="5977" spans="9:17">
      <c r="I5977" s="20"/>
      <c r="M5977" s="19"/>
      <c r="N5977" s="19"/>
      <c r="O5977" s="19"/>
      <c r="P5977" s="19"/>
      <c r="Q5977" s="19"/>
    </row>
    <row r="5978" spans="9:17">
      <c r="I5978" s="20"/>
      <c r="M5978" s="19"/>
      <c r="N5978" s="19"/>
      <c r="O5978" s="19"/>
      <c r="P5978" s="19"/>
      <c r="Q5978" s="19"/>
    </row>
    <row r="5979" spans="9:17">
      <c r="I5979" s="20"/>
      <c r="M5979" s="19"/>
      <c r="N5979" s="19"/>
      <c r="O5979" s="19"/>
      <c r="P5979" s="19"/>
      <c r="Q5979" s="19"/>
    </row>
    <row r="5980" spans="9:17">
      <c r="I5980" s="20"/>
      <c r="M5980" s="19"/>
      <c r="N5980" s="19"/>
      <c r="O5980" s="19"/>
      <c r="P5980" s="19"/>
      <c r="Q5980" s="19"/>
    </row>
    <row r="5981" spans="9:17">
      <c r="I5981" s="20"/>
      <c r="M5981" s="19"/>
      <c r="N5981" s="19"/>
      <c r="O5981" s="19"/>
      <c r="P5981" s="19"/>
      <c r="Q5981" s="19"/>
    </row>
    <row r="5982" spans="9:17">
      <c r="I5982" s="20"/>
      <c r="M5982" s="19"/>
      <c r="N5982" s="19"/>
      <c r="O5982" s="19"/>
      <c r="P5982" s="19"/>
      <c r="Q5982" s="19"/>
    </row>
    <row r="5983" spans="9:17">
      <c r="I5983" s="20"/>
      <c r="M5983" s="19"/>
      <c r="N5983" s="19"/>
      <c r="O5983" s="19"/>
      <c r="P5983" s="19"/>
      <c r="Q5983" s="19"/>
    </row>
    <row r="5984" spans="9:17">
      <c r="I5984" s="20"/>
      <c r="M5984" s="19"/>
      <c r="N5984" s="19"/>
      <c r="O5984" s="19"/>
      <c r="P5984" s="19"/>
      <c r="Q5984" s="19"/>
    </row>
    <row r="5985" spans="9:17">
      <c r="I5985" s="20"/>
      <c r="M5985" s="19"/>
      <c r="N5985" s="19"/>
      <c r="O5985" s="19"/>
      <c r="P5985" s="19"/>
      <c r="Q5985" s="19"/>
    </row>
    <row r="5986" spans="9:17">
      <c r="I5986" s="20"/>
      <c r="M5986" s="19"/>
      <c r="N5986" s="19"/>
      <c r="O5986" s="19"/>
      <c r="P5986" s="19"/>
      <c r="Q5986" s="19"/>
    </row>
    <row r="5987" spans="9:17">
      <c r="I5987" s="20"/>
      <c r="M5987" s="19"/>
      <c r="N5987" s="19"/>
      <c r="O5987" s="19"/>
      <c r="P5987" s="19"/>
      <c r="Q5987" s="19"/>
    </row>
    <row r="5988" spans="9:17">
      <c r="I5988" s="20"/>
      <c r="M5988" s="19"/>
      <c r="N5988" s="19"/>
      <c r="O5988" s="19"/>
      <c r="P5988" s="19"/>
      <c r="Q5988" s="19"/>
    </row>
    <row r="5989" spans="9:17">
      <c r="I5989" s="20"/>
      <c r="M5989" s="19"/>
      <c r="N5989" s="19"/>
      <c r="O5989" s="19"/>
      <c r="P5989" s="19"/>
      <c r="Q5989" s="19"/>
    </row>
    <row r="5990" spans="9:17">
      <c r="I5990" s="20"/>
      <c r="M5990" s="19"/>
      <c r="N5990" s="19"/>
      <c r="O5990" s="19"/>
      <c r="P5990" s="19"/>
      <c r="Q5990" s="19"/>
    </row>
    <row r="5991" spans="9:17">
      <c r="I5991" s="20"/>
      <c r="M5991" s="19"/>
      <c r="N5991" s="19"/>
      <c r="O5991" s="19"/>
      <c r="P5991" s="19"/>
      <c r="Q5991" s="19"/>
    </row>
    <row r="5992" spans="9:17">
      <c r="I5992" s="20"/>
      <c r="M5992" s="19"/>
      <c r="N5992" s="19"/>
      <c r="O5992" s="19"/>
      <c r="P5992" s="19"/>
      <c r="Q5992" s="19"/>
    </row>
    <row r="5993" spans="9:17">
      <c r="I5993" s="20"/>
      <c r="M5993" s="19"/>
      <c r="N5993" s="19"/>
      <c r="O5993" s="19"/>
      <c r="P5993" s="19"/>
      <c r="Q5993" s="19"/>
    </row>
    <row r="5994" spans="9:17">
      <c r="I5994" s="20"/>
      <c r="M5994" s="19"/>
      <c r="N5994" s="19"/>
      <c r="O5994" s="19"/>
      <c r="P5994" s="19"/>
      <c r="Q5994" s="19"/>
    </row>
    <row r="5995" spans="9:17">
      <c r="I5995" s="20"/>
      <c r="M5995" s="19"/>
      <c r="N5995" s="19"/>
      <c r="O5995" s="19"/>
      <c r="P5995" s="19"/>
      <c r="Q5995" s="19"/>
    </row>
    <row r="5996" spans="9:17">
      <c r="I5996" s="20"/>
      <c r="M5996" s="19"/>
      <c r="N5996" s="19"/>
      <c r="O5996" s="19"/>
      <c r="P5996" s="19"/>
      <c r="Q5996" s="19"/>
    </row>
    <row r="5997" spans="9:17">
      <c r="I5997" s="20"/>
      <c r="M5997" s="19"/>
      <c r="N5997" s="19"/>
      <c r="O5997" s="19"/>
      <c r="P5997" s="19"/>
      <c r="Q5997" s="19"/>
    </row>
    <row r="5998" spans="9:17">
      <c r="I5998" s="20"/>
      <c r="M5998" s="19"/>
      <c r="N5998" s="19"/>
      <c r="O5998" s="19"/>
      <c r="P5998" s="19"/>
      <c r="Q5998" s="19"/>
    </row>
    <row r="5999" spans="9:17">
      <c r="I5999" s="20"/>
      <c r="M5999" s="19"/>
      <c r="N5999" s="19"/>
      <c r="O5999" s="19"/>
      <c r="P5999" s="19"/>
      <c r="Q5999" s="19"/>
    </row>
    <row r="6000" spans="9:17">
      <c r="I6000" s="20"/>
      <c r="M6000" s="19"/>
      <c r="N6000" s="19"/>
      <c r="O6000" s="19"/>
      <c r="P6000" s="19"/>
      <c r="Q6000" s="19"/>
    </row>
    <row r="6001" spans="9:17">
      <c r="I6001" s="20"/>
      <c r="M6001" s="19"/>
      <c r="N6001" s="19"/>
      <c r="O6001" s="19"/>
      <c r="P6001" s="19"/>
      <c r="Q6001" s="19"/>
    </row>
    <row r="6002" spans="9:17">
      <c r="I6002" s="20"/>
      <c r="M6002" s="19"/>
      <c r="N6002" s="19"/>
      <c r="O6002" s="19"/>
      <c r="P6002" s="19"/>
      <c r="Q6002" s="19"/>
    </row>
    <row r="6003" spans="9:17">
      <c r="I6003" s="20"/>
      <c r="M6003" s="19"/>
      <c r="N6003" s="19"/>
      <c r="O6003" s="19"/>
      <c r="P6003" s="19"/>
      <c r="Q6003" s="19"/>
    </row>
    <row r="6004" spans="9:17">
      <c r="I6004" s="20"/>
      <c r="M6004" s="19"/>
      <c r="N6004" s="19"/>
      <c r="O6004" s="19"/>
      <c r="P6004" s="19"/>
      <c r="Q6004" s="19"/>
    </row>
    <row r="6005" spans="9:17">
      <c r="I6005" s="20"/>
      <c r="M6005" s="19"/>
      <c r="N6005" s="19"/>
      <c r="O6005" s="19"/>
      <c r="P6005" s="19"/>
      <c r="Q6005" s="19"/>
    </row>
    <row r="6006" spans="9:17">
      <c r="I6006" s="20"/>
      <c r="M6006" s="19"/>
      <c r="N6006" s="19"/>
      <c r="O6006" s="19"/>
      <c r="P6006" s="19"/>
      <c r="Q6006" s="19"/>
    </row>
    <row r="6007" spans="9:17">
      <c r="I6007" s="20"/>
      <c r="M6007" s="19"/>
      <c r="N6007" s="19"/>
      <c r="O6007" s="19"/>
      <c r="P6007" s="19"/>
      <c r="Q6007" s="19"/>
    </row>
    <row r="6008" spans="9:17">
      <c r="I6008" s="20"/>
      <c r="M6008" s="19"/>
      <c r="N6008" s="19"/>
      <c r="O6008" s="19"/>
      <c r="P6008" s="19"/>
      <c r="Q6008" s="19"/>
    </row>
    <row r="6009" spans="9:17">
      <c r="I6009" s="20"/>
      <c r="M6009" s="19"/>
      <c r="N6009" s="19"/>
      <c r="O6009" s="19"/>
      <c r="P6009" s="19"/>
      <c r="Q6009" s="19"/>
    </row>
    <row r="6010" spans="9:17">
      <c r="I6010" s="20"/>
      <c r="M6010" s="19"/>
      <c r="N6010" s="19"/>
      <c r="O6010" s="19"/>
      <c r="P6010" s="19"/>
      <c r="Q6010" s="19"/>
    </row>
    <row r="6011" spans="9:17">
      <c r="I6011" s="20"/>
      <c r="M6011" s="19"/>
      <c r="N6011" s="19"/>
      <c r="O6011" s="19"/>
      <c r="P6011" s="19"/>
      <c r="Q6011" s="19"/>
    </row>
    <row r="6012" spans="9:17">
      <c r="I6012" s="20"/>
      <c r="M6012" s="19"/>
      <c r="N6012" s="19"/>
      <c r="O6012" s="19"/>
      <c r="P6012" s="19"/>
      <c r="Q6012" s="19"/>
    </row>
    <row r="6013" spans="9:17">
      <c r="I6013" s="20"/>
      <c r="M6013" s="19"/>
      <c r="N6013" s="19"/>
      <c r="O6013" s="19"/>
      <c r="P6013" s="19"/>
      <c r="Q6013" s="19"/>
    </row>
    <row r="6014" spans="9:17">
      <c r="I6014" s="20"/>
      <c r="M6014" s="19"/>
      <c r="N6014" s="19"/>
      <c r="O6014" s="19"/>
      <c r="P6014" s="19"/>
      <c r="Q6014" s="19"/>
    </row>
    <row r="6015" spans="9:17">
      <c r="I6015" s="20"/>
      <c r="M6015" s="19"/>
      <c r="N6015" s="19"/>
      <c r="O6015" s="19"/>
      <c r="P6015" s="19"/>
      <c r="Q6015" s="19"/>
    </row>
    <row r="6016" spans="9:17">
      <c r="I6016" s="20"/>
      <c r="M6016" s="19"/>
      <c r="N6016" s="19"/>
      <c r="O6016" s="19"/>
      <c r="P6016" s="19"/>
      <c r="Q6016" s="19"/>
    </row>
    <row r="6017" spans="9:17">
      <c r="I6017" s="20"/>
      <c r="M6017" s="19"/>
      <c r="N6017" s="19"/>
      <c r="O6017" s="19"/>
      <c r="P6017" s="19"/>
      <c r="Q6017" s="19"/>
    </row>
    <row r="6018" spans="9:17">
      <c r="I6018" s="20"/>
      <c r="M6018" s="19"/>
      <c r="N6018" s="19"/>
      <c r="O6018" s="19"/>
      <c r="P6018" s="19"/>
      <c r="Q6018" s="19"/>
    </row>
    <row r="6019" spans="9:17">
      <c r="I6019" s="20"/>
      <c r="M6019" s="19"/>
      <c r="N6019" s="19"/>
      <c r="O6019" s="19"/>
      <c r="P6019" s="19"/>
      <c r="Q6019" s="19"/>
    </row>
    <row r="6020" spans="9:17">
      <c r="I6020" s="20"/>
      <c r="M6020" s="19"/>
      <c r="N6020" s="19"/>
      <c r="O6020" s="19"/>
      <c r="P6020" s="19"/>
      <c r="Q6020" s="19"/>
    </row>
    <row r="6021" spans="9:17">
      <c r="I6021" s="20"/>
      <c r="M6021" s="19"/>
      <c r="N6021" s="19"/>
      <c r="O6021" s="19"/>
      <c r="P6021" s="19"/>
      <c r="Q6021" s="19"/>
    </row>
    <row r="6022" spans="9:17">
      <c r="I6022" s="20"/>
      <c r="M6022" s="19"/>
      <c r="N6022" s="19"/>
      <c r="O6022" s="19"/>
      <c r="P6022" s="19"/>
      <c r="Q6022" s="19"/>
    </row>
    <row r="6023" spans="9:17">
      <c r="I6023" s="20"/>
      <c r="M6023" s="19"/>
      <c r="N6023" s="19"/>
      <c r="O6023" s="19"/>
      <c r="P6023" s="19"/>
      <c r="Q6023" s="19"/>
    </row>
    <row r="6024" spans="9:17">
      <c r="I6024" s="20"/>
      <c r="M6024" s="19"/>
      <c r="N6024" s="19"/>
      <c r="O6024" s="19"/>
      <c r="P6024" s="19"/>
      <c r="Q6024" s="19"/>
    </row>
    <row r="6025" spans="9:17">
      <c r="I6025" s="20"/>
      <c r="M6025" s="19"/>
      <c r="N6025" s="19"/>
      <c r="O6025" s="19"/>
      <c r="P6025" s="19"/>
      <c r="Q6025" s="19"/>
    </row>
    <row r="6026" spans="9:17">
      <c r="I6026" s="20"/>
      <c r="M6026" s="19"/>
      <c r="N6026" s="19"/>
      <c r="O6026" s="19"/>
      <c r="P6026" s="19"/>
      <c r="Q6026" s="19"/>
    </row>
    <row r="6027" spans="9:17">
      <c r="I6027" s="20"/>
      <c r="M6027" s="19"/>
      <c r="N6027" s="19"/>
      <c r="O6027" s="19"/>
      <c r="P6027" s="19"/>
      <c r="Q6027" s="19"/>
    </row>
    <row r="6028" spans="9:17">
      <c r="I6028" s="20"/>
      <c r="M6028" s="19"/>
      <c r="N6028" s="19"/>
      <c r="O6028" s="19"/>
      <c r="P6028" s="19"/>
      <c r="Q6028" s="19"/>
    </row>
    <row r="6029" spans="9:17">
      <c r="I6029" s="20"/>
      <c r="M6029" s="19"/>
      <c r="N6029" s="19"/>
      <c r="O6029" s="19"/>
      <c r="P6029" s="19"/>
      <c r="Q6029" s="19"/>
    </row>
    <row r="6030" spans="9:17">
      <c r="I6030" s="20"/>
      <c r="M6030" s="19"/>
      <c r="N6030" s="19"/>
      <c r="O6030" s="19"/>
      <c r="P6030" s="19"/>
      <c r="Q6030" s="19"/>
    </row>
    <row r="6031" spans="9:17">
      <c r="I6031" s="20"/>
      <c r="M6031" s="19"/>
      <c r="N6031" s="19"/>
      <c r="O6031" s="19"/>
      <c r="P6031" s="19"/>
      <c r="Q6031" s="19"/>
    </row>
    <row r="6032" spans="9:17">
      <c r="I6032" s="20"/>
      <c r="M6032" s="19"/>
      <c r="N6032" s="19"/>
      <c r="O6032" s="19"/>
      <c r="P6032" s="19"/>
      <c r="Q6032" s="19"/>
    </row>
    <row r="6033" spans="9:17">
      <c r="I6033" s="20"/>
      <c r="M6033" s="19"/>
      <c r="N6033" s="19"/>
      <c r="O6033" s="19"/>
      <c r="P6033" s="19"/>
      <c r="Q6033" s="19"/>
    </row>
    <row r="6034" spans="9:17">
      <c r="I6034" s="20"/>
      <c r="M6034" s="19"/>
      <c r="N6034" s="19"/>
      <c r="O6034" s="19"/>
      <c r="P6034" s="19"/>
      <c r="Q6034" s="19"/>
    </row>
    <row r="6035" spans="9:17">
      <c r="I6035" s="20"/>
      <c r="M6035" s="19"/>
      <c r="N6035" s="19"/>
      <c r="O6035" s="19"/>
      <c r="P6035" s="19"/>
      <c r="Q6035" s="19"/>
    </row>
    <row r="6036" spans="9:17">
      <c r="I6036" s="20"/>
      <c r="M6036" s="19"/>
      <c r="N6036" s="19"/>
      <c r="O6036" s="19"/>
      <c r="P6036" s="19"/>
      <c r="Q6036" s="19"/>
    </row>
    <row r="6037" spans="9:17">
      <c r="I6037" s="20"/>
      <c r="M6037" s="19"/>
      <c r="N6037" s="19"/>
      <c r="O6037" s="19"/>
      <c r="P6037" s="19"/>
      <c r="Q6037" s="19"/>
    </row>
    <row r="6038" spans="9:17">
      <c r="I6038" s="20"/>
      <c r="M6038" s="19"/>
      <c r="N6038" s="19"/>
      <c r="O6038" s="19"/>
      <c r="P6038" s="19"/>
      <c r="Q6038" s="19"/>
    </row>
    <row r="6039" spans="9:17">
      <c r="I6039" s="20"/>
      <c r="M6039" s="19"/>
      <c r="N6039" s="19"/>
      <c r="O6039" s="19"/>
      <c r="P6039" s="19"/>
      <c r="Q6039" s="19"/>
    </row>
    <row r="6040" spans="9:17">
      <c r="I6040" s="20"/>
      <c r="M6040" s="19"/>
      <c r="N6040" s="19"/>
      <c r="O6040" s="19"/>
      <c r="P6040" s="19"/>
      <c r="Q6040" s="19"/>
    </row>
    <row r="6041" spans="9:17">
      <c r="I6041" s="20"/>
      <c r="M6041" s="19"/>
      <c r="N6041" s="19"/>
      <c r="O6041" s="19"/>
      <c r="P6041" s="19"/>
      <c r="Q6041" s="19"/>
    </row>
    <row r="6042" spans="9:17">
      <c r="I6042" s="20"/>
      <c r="M6042" s="19"/>
      <c r="N6042" s="19"/>
      <c r="O6042" s="19"/>
      <c r="P6042" s="19"/>
      <c r="Q6042" s="19"/>
    </row>
    <row r="6043" spans="9:17">
      <c r="I6043" s="20"/>
      <c r="M6043" s="19"/>
      <c r="N6043" s="19"/>
      <c r="O6043" s="19"/>
      <c r="P6043" s="19"/>
      <c r="Q6043" s="19"/>
    </row>
    <row r="6044" spans="9:17">
      <c r="I6044" s="20"/>
      <c r="M6044" s="19"/>
      <c r="N6044" s="19"/>
      <c r="O6044" s="19"/>
      <c r="P6044" s="19"/>
      <c r="Q6044" s="19"/>
    </row>
    <row r="6045" spans="9:17">
      <c r="I6045" s="20"/>
      <c r="M6045" s="19"/>
      <c r="N6045" s="19"/>
      <c r="O6045" s="19"/>
      <c r="P6045" s="19"/>
      <c r="Q6045" s="19"/>
    </row>
    <row r="6046" spans="9:17">
      <c r="I6046" s="20"/>
      <c r="M6046" s="19"/>
      <c r="N6046" s="19"/>
      <c r="O6046" s="19"/>
      <c r="P6046" s="19"/>
      <c r="Q6046" s="19"/>
    </row>
    <row r="6047" spans="9:17">
      <c r="I6047" s="20"/>
      <c r="M6047" s="19"/>
      <c r="N6047" s="19"/>
      <c r="O6047" s="19"/>
      <c r="P6047" s="19"/>
      <c r="Q6047" s="19"/>
    </row>
    <row r="6048" spans="9:17">
      <c r="I6048" s="20"/>
      <c r="M6048" s="19"/>
      <c r="N6048" s="19"/>
      <c r="O6048" s="19"/>
      <c r="P6048" s="19"/>
      <c r="Q6048" s="19"/>
    </row>
    <row r="6049" spans="9:17">
      <c r="I6049" s="20"/>
      <c r="M6049" s="19"/>
      <c r="N6049" s="19"/>
      <c r="O6049" s="19"/>
      <c r="P6049" s="19"/>
      <c r="Q6049" s="19"/>
    </row>
    <row r="6050" spans="9:17">
      <c r="I6050" s="20"/>
      <c r="M6050" s="19"/>
      <c r="N6050" s="19"/>
      <c r="O6050" s="19"/>
      <c r="P6050" s="19"/>
      <c r="Q6050" s="19"/>
    </row>
    <row r="6051" spans="9:17">
      <c r="I6051" s="20"/>
      <c r="M6051" s="19"/>
      <c r="N6051" s="19"/>
      <c r="O6051" s="19"/>
      <c r="P6051" s="19"/>
      <c r="Q6051" s="19"/>
    </row>
    <row r="6052" spans="9:17">
      <c r="I6052" s="20"/>
      <c r="M6052" s="19"/>
      <c r="N6052" s="19"/>
      <c r="O6052" s="19"/>
      <c r="P6052" s="19"/>
      <c r="Q6052" s="19"/>
    </row>
    <row r="6053" spans="9:17">
      <c r="I6053" s="20"/>
      <c r="M6053" s="19"/>
      <c r="N6053" s="19"/>
      <c r="O6053" s="19"/>
      <c r="P6053" s="19"/>
      <c r="Q6053" s="19"/>
    </row>
    <row r="6054" spans="9:17">
      <c r="I6054" s="20"/>
      <c r="M6054" s="19"/>
      <c r="N6054" s="19"/>
      <c r="O6054" s="19"/>
      <c r="P6054" s="19"/>
      <c r="Q6054" s="19"/>
    </row>
    <row r="6055" spans="9:17">
      <c r="I6055" s="20"/>
      <c r="M6055" s="19"/>
      <c r="N6055" s="19"/>
      <c r="O6055" s="19"/>
      <c r="P6055" s="19"/>
      <c r="Q6055" s="19"/>
    </row>
    <row r="6056" spans="9:17">
      <c r="I6056" s="20"/>
      <c r="M6056" s="19"/>
      <c r="N6056" s="19"/>
      <c r="O6056" s="19"/>
      <c r="P6056" s="19"/>
      <c r="Q6056" s="19"/>
    </row>
    <row r="6057" spans="9:17">
      <c r="I6057" s="20"/>
      <c r="M6057" s="19"/>
      <c r="N6057" s="19"/>
      <c r="O6057" s="19"/>
      <c r="P6057" s="19"/>
      <c r="Q6057" s="19"/>
    </row>
    <row r="6058" spans="9:17">
      <c r="I6058" s="20"/>
      <c r="M6058" s="19"/>
      <c r="N6058" s="19"/>
      <c r="O6058" s="19"/>
      <c r="P6058" s="19"/>
      <c r="Q6058" s="19"/>
    </row>
    <row r="6059" spans="9:17">
      <c r="I6059" s="20"/>
      <c r="M6059" s="19"/>
      <c r="N6059" s="19"/>
      <c r="O6059" s="19"/>
      <c r="P6059" s="19"/>
      <c r="Q6059" s="19"/>
    </row>
    <row r="6060" spans="9:17">
      <c r="I6060" s="20"/>
      <c r="M6060" s="19"/>
      <c r="N6060" s="19"/>
      <c r="O6060" s="19"/>
      <c r="P6060" s="19"/>
      <c r="Q6060" s="19"/>
    </row>
    <row r="6061" spans="9:17">
      <c r="I6061" s="20"/>
      <c r="M6061" s="19"/>
      <c r="N6061" s="19"/>
      <c r="O6061" s="19"/>
      <c r="P6061" s="19"/>
      <c r="Q6061" s="19"/>
    </row>
    <row r="6062" spans="9:17">
      <c r="I6062" s="20"/>
      <c r="M6062" s="19"/>
      <c r="N6062" s="19"/>
      <c r="O6062" s="19"/>
      <c r="P6062" s="19"/>
      <c r="Q6062" s="19"/>
    </row>
    <row r="6063" spans="9:17">
      <c r="I6063" s="20"/>
      <c r="M6063" s="19"/>
      <c r="N6063" s="19"/>
      <c r="O6063" s="19"/>
      <c r="P6063" s="19"/>
      <c r="Q6063" s="19"/>
    </row>
    <row r="6064" spans="9:17">
      <c r="I6064" s="20"/>
      <c r="M6064" s="19"/>
      <c r="N6064" s="19"/>
      <c r="O6064" s="19"/>
      <c r="P6064" s="19"/>
      <c r="Q6064" s="19"/>
    </row>
    <row r="6065" spans="9:17">
      <c r="I6065" s="20"/>
      <c r="M6065" s="19"/>
      <c r="N6065" s="19"/>
      <c r="O6065" s="19"/>
      <c r="P6065" s="19"/>
      <c r="Q6065" s="19"/>
    </row>
    <row r="6066" spans="9:17">
      <c r="I6066" s="20"/>
      <c r="M6066" s="19"/>
      <c r="N6066" s="19"/>
      <c r="O6066" s="19"/>
      <c r="P6066" s="19"/>
      <c r="Q6066" s="19"/>
    </row>
    <row r="6067" spans="9:17">
      <c r="I6067" s="20"/>
      <c r="M6067" s="19"/>
      <c r="N6067" s="19"/>
      <c r="O6067" s="19"/>
      <c r="P6067" s="19"/>
      <c r="Q6067" s="19"/>
    </row>
    <row r="6068" spans="9:17">
      <c r="I6068" s="20"/>
      <c r="M6068" s="19"/>
      <c r="N6068" s="19"/>
      <c r="O6068" s="19"/>
      <c r="P6068" s="19"/>
      <c r="Q6068" s="19"/>
    </row>
    <row r="6069" spans="9:17">
      <c r="I6069" s="20"/>
      <c r="M6069" s="19"/>
      <c r="N6069" s="19"/>
      <c r="O6069" s="19"/>
      <c r="P6069" s="19"/>
      <c r="Q6069" s="19"/>
    </row>
    <row r="6070" spans="9:17">
      <c r="I6070" s="20"/>
      <c r="M6070" s="19"/>
      <c r="N6070" s="19"/>
      <c r="O6070" s="19"/>
      <c r="P6070" s="19"/>
      <c r="Q6070" s="19"/>
    </row>
    <row r="6071" spans="9:17">
      <c r="I6071" s="20"/>
      <c r="M6071" s="19"/>
      <c r="N6071" s="19"/>
      <c r="O6071" s="19"/>
      <c r="P6071" s="19"/>
      <c r="Q6071" s="19"/>
    </row>
    <row r="6072" spans="9:17">
      <c r="I6072" s="20"/>
      <c r="M6072" s="19"/>
      <c r="N6072" s="19"/>
      <c r="O6072" s="19"/>
      <c r="P6072" s="19"/>
      <c r="Q6072" s="19"/>
    </row>
    <row r="6073" spans="9:17">
      <c r="I6073" s="20"/>
      <c r="M6073" s="19"/>
      <c r="N6073" s="19"/>
      <c r="O6073" s="19"/>
      <c r="P6073" s="19"/>
      <c r="Q6073" s="19"/>
    </row>
    <row r="6074" spans="9:17">
      <c r="I6074" s="20"/>
      <c r="M6074" s="19"/>
      <c r="N6074" s="19"/>
      <c r="O6074" s="19"/>
      <c r="P6074" s="19"/>
      <c r="Q6074" s="19"/>
    </row>
    <row r="6075" spans="9:17">
      <c r="I6075" s="20"/>
      <c r="M6075" s="19"/>
      <c r="N6075" s="19"/>
      <c r="O6075" s="19"/>
      <c r="P6075" s="19"/>
      <c r="Q6075" s="19"/>
    </row>
    <row r="6076" spans="9:17">
      <c r="I6076" s="20"/>
      <c r="M6076" s="19"/>
      <c r="N6076" s="19"/>
      <c r="O6076" s="19"/>
      <c r="P6076" s="19"/>
      <c r="Q6076" s="19"/>
    </row>
    <row r="6077" spans="9:17">
      <c r="I6077" s="20"/>
      <c r="M6077" s="19"/>
      <c r="N6077" s="19"/>
      <c r="O6077" s="19"/>
      <c r="P6077" s="19"/>
      <c r="Q6077" s="19"/>
    </row>
    <row r="6078" spans="9:17">
      <c r="I6078" s="20"/>
      <c r="M6078" s="19"/>
      <c r="N6078" s="19"/>
      <c r="O6078" s="19"/>
      <c r="P6078" s="19"/>
      <c r="Q6078" s="19"/>
    </row>
    <row r="6079" spans="9:17">
      <c r="I6079" s="20"/>
      <c r="M6079" s="19"/>
      <c r="N6079" s="19"/>
      <c r="O6079" s="19"/>
      <c r="P6079" s="19"/>
      <c r="Q6079" s="19"/>
    </row>
    <row r="6080" spans="9:17">
      <c r="I6080" s="20"/>
      <c r="M6080" s="19"/>
      <c r="N6080" s="19"/>
      <c r="O6080" s="19"/>
      <c r="P6080" s="19"/>
      <c r="Q6080" s="19"/>
    </row>
    <row r="6081" spans="9:17">
      <c r="I6081" s="20"/>
      <c r="M6081" s="19"/>
      <c r="N6081" s="19"/>
      <c r="O6081" s="19"/>
      <c r="P6081" s="19"/>
      <c r="Q6081" s="19"/>
    </row>
    <row r="6082" spans="9:17">
      <c r="I6082" s="20"/>
      <c r="M6082" s="19"/>
      <c r="N6082" s="19"/>
      <c r="O6082" s="19"/>
      <c r="P6082" s="19"/>
      <c r="Q6082" s="19"/>
    </row>
    <row r="6083" spans="9:17">
      <c r="I6083" s="20"/>
      <c r="M6083" s="19"/>
      <c r="N6083" s="19"/>
      <c r="O6083" s="19"/>
      <c r="P6083" s="19"/>
      <c r="Q6083" s="19"/>
    </row>
    <row r="6084" spans="9:17">
      <c r="I6084" s="20"/>
      <c r="M6084" s="19"/>
      <c r="N6084" s="19"/>
      <c r="O6084" s="19"/>
      <c r="P6084" s="19"/>
      <c r="Q6084" s="19"/>
    </row>
    <row r="6085" spans="9:17">
      <c r="I6085" s="20"/>
      <c r="M6085" s="19"/>
      <c r="N6085" s="19"/>
      <c r="O6085" s="19"/>
      <c r="P6085" s="19"/>
      <c r="Q6085" s="19"/>
    </row>
    <row r="6086" spans="9:17">
      <c r="I6086" s="20"/>
      <c r="M6086" s="19"/>
      <c r="N6086" s="19"/>
      <c r="O6086" s="19"/>
      <c r="P6086" s="19"/>
      <c r="Q6086" s="19"/>
    </row>
    <row r="6087" spans="9:17">
      <c r="I6087" s="20"/>
      <c r="M6087" s="19"/>
      <c r="N6087" s="19"/>
      <c r="O6087" s="19"/>
      <c r="P6087" s="19"/>
      <c r="Q6087" s="19"/>
    </row>
    <row r="6088" spans="9:17">
      <c r="I6088" s="20"/>
      <c r="M6088" s="19"/>
      <c r="N6088" s="19"/>
      <c r="O6088" s="19"/>
      <c r="P6088" s="19"/>
      <c r="Q6088" s="19"/>
    </row>
    <row r="6089" spans="9:17">
      <c r="I6089" s="20"/>
      <c r="M6089" s="19"/>
      <c r="N6089" s="19"/>
      <c r="O6089" s="19"/>
      <c r="P6089" s="19"/>
      <c r="Q6089" s="19"/>
    </row>
    <row r="6090" spans="9:17">
      <c r="I6090" s="20"/>
      <c r="M6090" s="19"/>
      <c r="N6090" s="19"/>
      <c r="O6090" s="19"/>
      <c r="P6090" s="19"/>
      <c r="Q6090" s="19"/>
    </row>
    <row r="6091" spans="9:17">
      <c r="I6091" s="20"/>
      <c r="M6091" s="19"/>
      <c r="N6091" s="19"/>
      <c r="O6091" s="19"/>
      <c r="P6091" s="19"/>
      <c r="Q6091" s="19"/>
    </row>
    <row r="6092" spans="9:17">
      <c r="I6092" s="20"/>
      <c r="M6092" s="19"/>
      <c r="N6092" s="19"/>
      <c r="O6092" s="19"/>
      <c r="P6092" s="19"/>
      <c r="Q6092" s="19"/>
    </row>
    <row r="6093" spans="9:17">
      <c r="I6093" s="20"/>
      <c r="M6093" s="19"/>
      <c r="N6093" s="19"/>
      <c r="O6093" s="19"/>
      <c r="P6093" s="19"/>
      <c r="Q6093" s="19"/>
    </row>
    <row r="6094" spans="9:17">
      <c r="I6094" s="20"/>
      <c r="M6094" s="19"/>
      <c r="N6094" s="19"/>
      <c r="O6094" s="19"/>
      <c r="P6094" s="19"/>
      <c r="Q6094" s="19"/>
    </row>
    <row r="6095" spans="9:17">
      <c r="I6095" s="20"/>
      <c r="M6095" s="19"/>
      <c r="N6095" s="19"/>
      <c r="O6095" s="19"/>
      <c r="P6095" s="19"/>
      <c r="Q6095" s="19"/>
    </row>
    <row r="6096" spans="9:17">
      <c r="I6096" s="20"/>
      <c r="M6096" s="19"/>
      <c r="N6096" s="19"/>
      <c r="O6096" s="19"/>
      <c r="P6096" s="19"/>
      <c r="Q6096" s="19"/>
    </row>
    <row r="6097" spans="9:17">
      <c r="I6097" s="20"/>
      <c r="M6097" s="19"/>
      <c r="N6097" s="19"/>
      <c r="O6097" s="19"/>
      <c r="P6097" s="19"/>
      <c r="Q6097" s="19"/>
    </row>
    <row r="6098" spans="9:17">
      <c r="I6098" s="20"/>
      <c r="M6098" s="19"/>
      <c r="N6098" s="19"/>
      <c r="O6098" s="19"/>
      <c r="P6098" s="19"/>
      <c r="Q6098" s="19"/>
    </row>
    <row r="6099" spans="9:17">
      <c r="I6099" s="20"/>
      <c r="M6099" s="19"/>
      <c r="N6099" s="19"/>
      <c r="O6099" s="19"/>
      <c r="P6099" s="19"/>
      <c r="Q6099" s="19"/>
    </row>
    <row r="6100" spans="9:17">
      <c r="I6100" s="20"/>
      <c r="M6100" s="19"/>
      <c r="N6100" s="19"/>
      <c r="O6100" s="19"/>
      <c r="P6100" s="19"/>
      <c r="Q6100" s="19"/>
    </row>
    <row r="6101" spans="9:17">
      <c r="I6101" s="20"/>
      <c r="M6101" s="19"/>
      <c r="N6101" s="19"/>
      <c r="O6101" s="19"/>
      <c r="P6101" s="19"/>
      <c r="Q6101" s="19"/>
    </row>
    <row r="6102" spans="9:17">
      <c r="I6102" s="20"/>
      <c r="M6102" s="19"/>
      <c r="N6102" s="19"/>
      <c r="O6102" s="19"/>
      <c r="P6102" s="19"/>
      <c r="Q6102" s="19"/>
    </row>
    <row r="6103" spans="9:17">
      <c r="I6103" s="20"/>
      <c r="M6103" s="19"/>
      <c r="N6103" s="19"/>
      <c r="O6103" s="19"/>
      <c r="P6103" s="19"/>
      <c r="Q6103" s="19"/>
    </row>
    <row r="6104" spans="9:17">
      <c r="I6104" s="20"/>
      <c r="M6104" s="19"/>
      <c r="N6104" s="19"/>
      <c r="O6104" s="19"/>
      <c r="P6104" s="19"/>
      <c r="Q6104" s="19"/>
    </row>
    <row r="6105" spans="9:17">
      <c r="I6105" s="20"/>
      <c r="M6105" s="19"/>
      <c r="N6105" s="19"/>
      <c r="O6105" s="19"/>
      <c r="P6105" s="19"/>
      <c r="Q6105" s="19"/>
    </row>
    <row r="6106" spans="9:17">
      <c r="I6106" s="20"/>
      <c r="M6106" s="19"/>
      <c r="N6106" s="19"/>
      <c r="O6106" s="19"/>
      <c r="P6106" s="19"/>
      <c r="Q6106" s="19"/>
    </row>
    <row r="6107" spans="9:17">
      <c r="I6107" s="20"/>
      <c r="M6107" s="19"/>
      <c r="N6107" s="19"/>
      <c r="O6107" s="19"/>
      <c r="P6107" s="19"/>
      <c r="Q6107" s="19"/>
    </row>
    <row r="6108" spans="9:17">
      <c r="I6108" s="20"/>
      <c r="M6108" s="19"/>
      <c r="N6108" s="19"/>
      <c r="O6108" s="19"/>
      <c r="P6108" s="19"/>
      <c r="Q6108" s="19"/>
    </row>
    <row r="6109" spans="9:17">
      <c r="I6109" s="20"/>
      <c r="M6109" s="19"/>
      <c r="N6109" s="19"/>
      <c r="O6109" s="19"/>
      <c r="P6109" s="19"/>
      <c r="Q6109" s="19"/>
    </row>
    <row r="6110" spans="9:17">
      <c r="I6110" s="20"/>
      <c r="M6110" s="19"/>
      <c r="N6110" s="19"/>
      <c r="O6110" s="19"/>
      <c r="P6110" s="19"/>
      <c r="Q6110" s="19"/>
    </row>
    <row r="6111" spans="9:17">
      <c r="I6111" s="20"/>
      <c r="M6111" s="19"/>
      <c r="N6111" s="19"/>
      <c r="O6111" s="19"/>
      <c r="P6111" s="19"/>
      <c r="Q6111" s="19"/>
    </row>
    <row r="6112" spans="9:17">
      <c r="I6112" s="20"/>
      <c r="M6112" s="19"/>
      <c r="N6112" s="19"/>
      <c r="O6112" s="19"/>
      <c r="P6112" s="19"/>
      <c r="Q6112" s="19"/>
    </row>
    <row r="6113" spans="9:17">
      <c r="I6113" s="20"/>
      <c r="M6113" s="19"/>
      <c r="N6113" s="19"/>
      <c r="O6113" s="19"/>
      <c r="P6113" s="19"/>
      <c r="Q6113" s="19"/>
    </row>
    <row r="6114" spans="9:17">
      <c r="I6114" s="20"/>
      <c r="M6114" s="19"/>
      <c r="N6114" s="19"/>
      <c r="O6114" s="19"/>
      <c r="P6114" s="19"/>
      <c r="Q6114" s="19"/>
    </row>
    <row r="6115" spans="9:17">
      <c r="I6115" s="20"/>
      <c r="M6115" s="19"/>
      <c r="N6115" s="19"/>
      <c r="O6115" s="19"/>
      <c r="P6115" s="19"/>
      <c r="Q6115" s="19"/>
    </row>
    <row r="6116" spans="9:17">
      <c r="I6116" s="20"/>
      <c r="M6116" s="19"/>
      <c r="N6116" s="19"/>
      <c r="O6116" s="19"/>
      <c r="P6116" s="19"/>
      <c r="Q6116" s="19"/>
    </row>
    <row r="6117" spans="9:17">
      <c r="I6117" s="20"/>
      <c r="M6117" s="19"/>
      <c r="N6117" s="19"/>
      <c r="O6117" s="19"/>
      <c r="P6117" s="19"/>
      <c r="Q6117" s="19"/>
    </row>
    <row r="6118" spans="9:17">
      <c r="I6118" s="20"/>
      <c r="M6118" s="19"/>
      <c r="N6118" s="19"/>
      <c r="O6118" s="19"/>
      <c r="P6118" s="19"/>
      <c r="Q6118" s="19"/>
    </row>
    <row r="6119" spans="9:17">
      <c r="I6119" s="20"/>
      <c r="M6119" s="19"/>
      <c r="N6119" s="19"/>
      <c r="O6119" s="19"/>
      <c r="P6119" s="19"/>
      <c r="Q6119" s="19"/>
    </row>
    <row r="6120" spans="9:17">
      <c r="I6120" s="20"/>
      <c r="M6120" s="19"/>
      <c r="N6120" s="19"/>
      <c r="O6120" s="19"/>
      <c r="P6120" s="19"/>
      <c r="Q6120" s="19"/>
    </row>
    <row r="6121" spans="9:17">
      <c r="I6121" s="20"/>
      <c r="M6121" s="19"/>
      <c r="N6121" s="19"/>
      <c r="O6121" s="19"/>
      <c r="P6121" s="19"/>
      <c r="Q6121" s="19"/>
    </row>
    <row r="6122" spans="9:17">
      <c r="I6122" s="20"/>
      <c r="M6122" s="19"/>
      <c r="N6122" s="19"/>
      <c r="O6122" s="19"/>
      <c r="P6122" s="19"/>
      <c r="Q6122" s="19"/>
    </row>
    <row r="6123" spans="9:17">
      <c r="I6123" s="20"/>
      <c r="M6123" s="19"/>
      <c r="N6123" s="19"/>
      <c r="O6123" s="19"/>
      <c r="P6123" s="19"/>
      <c r="Q6123" s="19"/>
    </row>
    <row r="6124" spans="9:17">
      <c r="I6124" s="20"/>
      <c r="M6124" s="19"/>
      <c r="N6124" s="19"/>
      <c r="O6124" s="19"/>
      <c r="P6124" s="19"/>
      <c r="Q6124" s="19"/>
    </row>
    <row r="6125" spans="9:17">
      <c r="I6125" s="20"/>
      <c r="M6125" s="19"/>
      <c r="N6125" s="19"/>
      <c r="O6125" s="19"/>
      <c r="P6125" s="19"/>
      <c r="Q6125" s="19"/>
    </row>
    <row r="6126" spans="9:17">
      <c r="I6126" s="20"/>
      <c r="M6126" s="19"/>
      <c r="N6126" s="19"/>
      <c r="O6126" s="19"/>
      <c r="P6126" s="19"/>
      <c r="Q6126" s="19"/>
    </row>
    <row r="6127" spans="9:17">
      <c r="I6127" s="20"/>
      <c r="M6127" s="19"/>
      <c r="N6127" s="19"/>
      <c r="O6127" s="19"/>
      <c r="P6127" s="19"/>
      <c r="Q6127" s="19"/>
    </row>
    <row r="6128" spans="9:17">
      <c r="I6128" s="20"/>
      <c r="M6128" s="19"/>
      <c r="N6128" s="19"/>
      <c r="O6128" s="19"/>
      <c r="P6128" s="19"/>
      <c r="Q6128" s="19"/>
    </row>
    <row r="6129" spans="9:17">
      <c r="I6129" s="20"/>
      <c r="M6129" s="19"/>
      <c r="N6129" s="19"/>
      <c r="O6129" s="19"/>
      <c r="P6129" s="19"/>
      <c r="Q6129" s="19"/>
    </row>
    <row r="6130" spans="9:17">
      <c r="I6130" s="20"/>
      <c r="M6130" s="19"/>
      <c r="N6130" s="19"/>
      <c r="O6130" s="19"/>
      <c r="P6130" s="19"/>
      <c r="Q6130" s="19"/>
    </row>
    <row r="6131" spans="9:17">
      <c r="I6131" s="20"/>
      <c r="M6131" s="19"/>
      <c r="N6131" s="19"/>
      <c r="O6131" s="19"/>
      <c r="P6131" s="19"/>
      <c r="Q6131" s="19"/>
    </row>
    <row r="6132" spans="9:17">
      <c r="I6132" s="20"/>
      <c r="M6132" s="19"/>
      <c r="N6132" s="19"/>
      <c r="O6132" s="19"/>
      <c r="P6132" s="19"/>
      <c r="Q6132" s="19"/>
    </row>
    <row r="6133" spans="9:17">
      <c r="I6133" s="20"/>
      <c r="M6133" s="19"/>
      <c r="N6133" s="19"/>
      <c r="O6133" s="19"/>
      <c r="P6133" s="19"/>
      <c r="Q6133" s="19"/>
    </row>
    <row r="6134" spans="9:17">
      <c r="I6134" s="20"/>
      <c r="M6134" s="19"/>
      <c r="N6134" s="19"/>
      <c r="O6134" s="19"/>
      <c r="P6134" s="19"/>
      <c r="Q6134" s="19"/>
    </row>
    <row r="6135" spans="9:17">
      <c r="I6135" s="20"/>
      <c r="M6135" s="19"/>
      <c r="N6135" s="19"/>
      <c r="O6135" s="19"/>
      <c r="P6135" s="19"/>
      <c r="Q6135" s="19"/>
    </row>
    <row r="6136" spans="9:17">
      <c r="I6136" s="20"/>
      <c r="M6136" s="19"/>
      <c r="N6136" s="19"/>
      <c r="O6136" s="19"/>
      <c r="P6136" s="19"/>
      <c r="Q6136" s="19"/>
    </row>
    <row r="6137" spans="9:17">
      <c r="I6137" s="20"/>
      <c r="M6137" s="19"/>
      <c r="N6137" s="19"/>
      <c r="O6137" s="19"/>
      <c r="P6137" s="19"/>
      <c r="Q6137" s="19"/>
    </row>
    <row r="6138" spans="9:17">
      <c r="I6138" s="20"/>
      <c r="M6138" s="19"/>
      <c r="N6138" s="19"/>
      <c r="O6138" s="19"/>
      <c r="P6138" s="19"/>
      <c r="Q6138" s="19"/>
    </row>
    <row r="6139" spans="9:17">
      <c r="I6139" s="20"/>
      <c r="M6139" s="19"/>
      <c r="N6139" s="19"/>
      <c r="O6139" s="19"/>
      <c r="P6139" s="19"/>
      <c r="Q6139" s="19"/>
    </row>
    <row r="6140" spans="9:17">
      <c r="I6140" s="20"/>
      <c r="M6140" s="19"/>
      <c r="N6140" s="19"/>
      <c r="O6140" s="19"/>
      <c r="P6140" s="19"/>
      <c r="Q6140" s="19"/>
    </row>
    <row r="6141" spans="9:17">
      <c r="I6141" s="20"/>
      <c r="M6141" s="19"/>
      <c r="N6141" s="19"/>
      <c r="O6141" s="19"/>
      <c r="P6141" s="19"/>
      <c r="Q6141" s="19"/>
    </row>
    <row r="6142" spans="9:17">
      <c r="I6142" s="20"/>
      <c r="M6142" s="19"/>
      <c r="N6142" s="19"/>
      <c r="O6142" s="19"/>
      <c r="P6142" s="19"/>
      <c r="Q6142" s="19"/>
    </row>
    <row r="6143" spans="9:17">
      <c r="I6143" s="20"/>
      <c r="M6143" s="19"/>
      <c r="N6143" s="19"/>
      <c r="O6143" s="19"/>
      <c r="P6143" s="19"/>
      <c r="Q6143" s="19"/>
    </row>
    <row r="6144" spans="9:17">
      <c r="I6144" s="20"/>
      <c r="M6144" s="19"/>
      <c r="N6144" s="19"/>
      <c r="O6144" s="19"/>
      <c r="P6144" s="19"/>
      <c r="Q6144" s="19"/>
    </row>
    <row r="6145" spans="9:17">
      <c r="I6145" s="20"/>
      <c r="M6145" s="19"/>
      <c r="N6145" s="19"/>
      <c r="O6145" s="19"/>
      <c r="P6145" s="19"/>
      <c r="Q6145" s="19"/>
    </row>
    <row r="6146" spans="9:17">
      <c r="I6146" s="20"/>
      <c r="M6146" s="19"/>
      <c r="N6146" s="19"/>
      <c r="O6146" s="19"/>
      <c r="P6146" s="19"/>
      <c r="Q6146" s="19"/>
    </row>
    <row r="6147" spans="9:17">
      <c r="I6147" s="20"/>
      <c r="M6147" s="19"/>
      <c r="N6147" s="19"/>
      <c r="O6147" s="19"/>
      <c r="P6147" s="19"/>
      <c r="Q6147" s="19"/>
    </row>
    <row r="6148" spans="9:17">
      <c r="I6148" s="20"/>
      <c r="M6148" s="19"/>
      <c r="N6148" s="19"/>
      <c r="O6148" s="19"/>
      <c r="P6148" s="19"/>
      <c r="Q6148" s="19"/>
    </row>
    <row r="6149" spans="9:17">
      <c r="I6149" s="20"/>
      <c r="M6149" s="19"/>
      <c r="N6149" s="19"/>
      <c r="O6149" s="19"/>
      <c r="P6149" s="19"/>
      <c r="Q6149" s="19"/>
    </row>
    <row r="6150" spans="9:17">
      <c r="I6150" s="20"/>
      <c r="M6150" s="19"/>
      <c r="N6150" s="19"/>
      <c r="O6150" s="19"/>
      <c r="P6150" s="19"/>
      <c r="Q6150" s="19"/>
    </row>
    <row r="6151" spans="9:17">
      <c r="I6151" s="20"/>
      <c r="M6151" s="19"/>
      <c r="N6151" s="19"/>
      <c r="O6151" s="19"/>
      <c r="P6151" s="19"/>
      <c r="Q6151" s="19"/>
    </row>
    <row r="6152" spans="9:17">
      <c r="I6152" s="20"/>
      <c r="M6152" s="19"/>
      <c r="N6152" s="19"/>
      <c r="O6152" s="19"/>
      <c r="P6152" s="19"/>
      <c r="Q6152" s="19"/>
    </row>
    <row r="6153" spans="9:17">
      <c r="I6153" s="20"/>
      <c r="M6153" s="19"/>
      <c r="N6153" s="19"/>
      <c r="O6153" s="19"/>
      <c r="P6153" s="19"/>
      <c r="Q6153" s="19"/>
    </row>
    <row r="6154" spans="9:17">
      <c r="I6154" s="20"/>
      <c r="M6154" s="19"/>
      <c r="N6154" s="19"/>
      <c r="O6154" s="19"/>
      <c r="P6154" s="19"/>
      <c r="Q6154" s="19"/>
    </row>
    <row r="6155" spans="9:17">
      <c r="I6155" s="20"/>
      <c r="M6155" s="19"/>
      <c r="N6155" s="19"/>
      <c r="O6155" s="19"/>
      <c r="P6155" s="19"/>
      <c r="Q6155" s="19"/>
    </row>
    <row r="6156" spans="9:17">
      <c r="I6156" s="20"/>
      <c r="M6156" s="19"/>
      <c r="N6156" s="19"/>
      <c r="O6156" s="19"/>
      <c r="P6156" s="19"/>
      <c r="Q6156" s="19"/>
    </row>
    <row r="6157" spans="9:17">
      <c r="I6157" s="20"/>
      <c r="M6157" s="19"/>
      <c r="N6157" s="19"/>
      <c r="O6157" s="19"/>
      <c r="P6157" s="19"/>
      <c r="Q6157" s="19"/>
    </row>
    <row r="6158" spans="9:17">
      <c r="I6158" s="20"/>
      <c r="M6158" s="19"/>
      <c r="N6158" s="19"/>
      <c r="O6158" s="19"/>
      <c r="P6158" s="19"/>
      <c r="Q6158" s="19"/>
    </row>
    <row r="6159" spans="9:17">
      <c r="I6159" s="20"/>
      <c r="M6159" s="19"/>
      <c r="N6159" s="19"/>
      <c r="O6159" s="19"/>
      <c r="P6159" s="19"/>
      <c r="Q6159" s="19"/>
    </row>
    <row r="6160" spans="9:17">
      <c r="I6160" s="20"/>
      <c r="M6160" s="19"/>
      <c r="N6160" s="19"/>
      <c r="O6160" s="19"/>
      <c r="P6160" s="19"/>
      <c r="Q6160" s="19"/>
    </row>
    <row r="6161" spans="9:17">
      <c r="I6161" s="20"/>
      <c r="M6161" s="19"/>
      <c r="N6161" s="19"/>
      <c r="O6161" s="19"/>
      <c r="P6161" s="19"/>
      <c r="Q6161" s="19"/>
    </row>
    <row r="6162" spans="9:17">
      <c r="I6162" s="20"/>
      <c r="M6162" s="19"/>
      <c r="N6162" s="19"/>
      <c r="O6162" s="19"/>
      <c r="P6162" s="19"/>
      <c r="Q6162" s="19"/>
    </row>
    <row r="6163" spans="9:17">
      <c r="I6163" s="20"/>
      <c r="M6163" s="19"/>
      <c r="N6163" s="19"/>
      <c r="O6163" s="19"/>
      <c r="P6163" s="19"/>
      <c r="Q6163" s="19"/>
    </row>
    <row r="6164" spans="9:17">
      <c r="I6164" s="20"/>
      <c r="M6164" s="19"/>
      <c r="N6164" s="19"/>
      <c r="O6164" s="19"/>
      <c r="P6164" s="19"/>
      <c r="Q6164" s="19"/>
    </row>
    <row r="6165" spans="9:17">
      <c r="I6165" s="20"/>
      <c r="M6165" s="19"/>
      <c r="N6165" s="19"/>
      <c r="O6165" s="19"/>
      <c r="P6165" s="19"/>
      <c r="Q6165" s="19"/>
    </row>
    <row r="6166" spans="9:17">
      <c r="I6166" s="20"/>
      <c r="M6166" s="19"/>
      <c r="N6166" s="19"/>
      <c r="O6166" s="19"/>
      <c r="P6166" s="19"/>
      <c r="Q6166" s="19"/>
    </row>
    <row r="6167" spans="9:17">
      <c r="I6167" s="20"/>
      <c r="M6167" s="19"/>
      <c r="N6167" s="19"/>
      <c r="O6167" s="19"/>
      <c r="P6167" s="19"/>
      <c r="Q6167" s="19"/>
    </row>
    <row r="6168" spans="9:17">
      <c r="I6168" s="20"/>
      <c r="M6168" s="19"/>
      <c r="N6168" s="19"/>
      <c r="O6168" s="19"/>
      <c r="P6168" s="19"/>
      <c r="Q6168" s="19"/>
    </row>
    <row r="6169" spans="9:17">
      <c r="I6169" s="20"/>
      <c r="M6169" s="19"/>
      <c r="N6169" s="19"/>
      <c r="O6169" s="19"/>
      <c r="P6169" s="19"/>
      <c r="Q6169" s="19"/>
    </row>
    <row r="6170" spans="9:17">
      <c r="I6170" s="20"/>
      <c r="M6170" s="19"/>
      <c r="N6170" s="19"/>
      <c r="O6170" s="19"/>
      <c r="P6170" s="19"/>
      <c r="Q6170" s="19"/>
    </row>
    <row r="6171" spans="9:17">
      <c r="I6171" s="20"/>
      <c r="M6171" s="19"/>
      <c r="N6171" s="19"/>
      <c r="O6171" s="19"/>
      <c r="P6171" s="19"/>
      <c r="Q6171" s="19"/>
    </row>
    <row r="6172" spans="9:17">
      <c r="I6172" s="20"/>
      <c r="M6172" s="19"/>
      <c r="N6172" s="19"/>
      <c r="O6172" s="19"/>
      <c r="P6172" s="19"/>
      <c r="Q6172" s="19"/>
    </row>
    <row r="6173" spans="9:17">
      <c r="I6173" s="20"/>
      <c r="M6173" s="19"/>
      <c r="N6173" s="19"/>
      <c r="O6173" s="19"/>
      <c r="P6173" s="19"/>
      <c r="Q6173" s="19"/>
    </row>
    <row r="6174" spans="9:17">
      <c r="I6174" s="20"/>
      <c r="M6174" s="19"/>
      <c r="N6174" s="19"/>
      <c r="O6174" s="19"/>
      <c r="P6174" s="19"/>
      <c r="Q6174" s="19"/>
    </row>
    <row r="6175" spans="9:17">
      <c r="I6175" s="20"/>
      <c r="M6175" s="19"/>
      <c r="N6175" s="19"/>
      <c r="O6175" s="19"/>
      <c r="P6175" s="19"/>
      <c r="Q6175" s="19"/>
    </row>
    <row r="6280" ht="15" customHeight="1"/>
  </sheetData>
  <mergeCells count="18033">
    <mergeCell ref="XDM5749:XDM5750"/>
    <mergeCell ref="XDO5749:XDT5749"/>
    <mergeCell ref="XDU5749:XDU5750"/>
    <mergeCell ref="XDV5749:XDV5750"/>
    <mergeCell ref="XDW5749:XEF5749"/>
    <mergeCell ref="XEH5749:XEQ5749"/>
    <mergeCell ref="WVF5749:WVF5750"/>
    <mergeCell ref="WVG5749:WVP5749"/>
    <mergeCell ref="WVR5749:WWA5749"/>
    <mergeCell ref="WWC5749:WWC5750"/>
    <mergeCell ref="WWE5749:WWJ5749"/>
    <mergeCell ref="WWK5749:WWK5750"/>
    <mergeCell ref="WWL5749:WWL5750"/>
    <mergeCell ref="WWM5749:WWV5749"/>
    <mergeCell ref="WWX5749:WXG5749"/>
    <mergeCell ref="WXI5749:WXI5750"/>
    <mergeCell ref="WXK5749:WXP5749"/>
    <mergeCell ref="WXQ5749:WXQ5750"/>
    <mergeCell ref="WXR5749:WXR5750"/>
    <mergeCell ref="WXS5749:WYB5749"/>
    <mergeCell ref="WYD5749:WYM5749"/>
    <mergeCell ref="WYO5749:WYO5750"/>
    <mergeCell ref="WYQ5749:WYV5749"/>
    <mergeCell ref="WYW5749:WYW5750"/>
    <mergeCell ref="WYX5749:WYX5750"/>
    <mergeCell ref="WYY5749:WZH5749"/>
    <mergeCell ref="WZJ5749:WZS5749"/>
    <mergeCell ref="WZU5749:WZU5750"/>
    <mergeCell ref="WZW5749:XAB5749"/>
    <mergeCell ref="XAC5749:XAC5750"/>
    <mergeCell ref="XAD5749:XAD5750"/>
    <mergeCell ref="XAE5749:XAN5749"/>
    <mergeCell ref="XAP5749:XAY5749"/>
    <mergeCell ref="XBA5749:XBA5750"/>
    <mergeCell ref="XBC5749:XBH5749"/>
    <mergeCell ref="XBI5749:XBI5750"/>
    <mergeCell ref="XBJ5749:XBJ5750"/>
    <mergeCell ref="XBK5749:XBT5749"/>
    <mergeCell ref="XBV5749:XCE5749"/>
    <mergeCell ref="WPY5749:WPY5750"/>
    <mergeCell ref="WQA5749:WQF5749"/>
    <mergeCell ref="WQG5749:WQG5750"/>
    <mergeCell ref="WQH5749:WQH5750"/>
    <mergeCell ref="WQI5749:WQR5749"/>
    <mergeCell ref="WQT5749:WRC5749"/>
    <mergeCell ref="WRE5749:WRE5750"/>
    <mergeCell ref="WRG5749:WRL5749"/>
    <mergeCell ref="WRM5749:WRM5750"/>
    <mergeCell ref="WRN5749:WRN5750"/>
    <mergeCell ref="WRO5749:WRX5749"/>
    <mergeCell ref="WRZ5749:WSI5749"/>
    <mergeCell ref="WSK5749:WSK5750"/>
    <mergeCell ref="WSM5749:WSR5749"/>
    <mergeCell ref="WSS5749:WSS5750"/>
    <mergeCell ref="WST5749:WST5750"/>
    <mergeCell ref="WSU5749:WTD5749"/>
    <mergeCell ref="WTF5749:WTO5749"/>
    <mergeCell ref="WTQ5749:WTQ5750"/>
    <mergeCell ref="WTS5749:WTX5749"/>
    <mergeCell ref="WTY5749:WTY5750"/>
    <mergeCell ref="WTZ5749:WTZ5750"/>
    <mergeCell ref="WUA5749:WUJ5749"/>
    <mergeCell ref="WUL5749:WUU5749"/>
    <mergeCell ref="WUW5749:WUW5750"/>
    <mergeCell ref="WUY5749:WVD5749"/>
    <mergeCell ref="WVE5749:WVE5750"/>
    <mergeCell ref="XCG5749:XCG5750"/>
    <mergeCell ref="XCI5749:XCN5749"/>
    <mergeCell ref="XCO5749:XCO5750"/>
    <mergeCell ref="XCP5749:XCP5750"/>
    <mergeCell ref="XCQ5749:XCZ5749"/>
    <mergeCell ref="XDB5749:XDK5749"/>
    <mergeCell ref="WIX5749:WIX5750"/>
    <mergeCell ref="WIY5749:WJH5749"/>
    <mergeCell ref="WJJ5749:WJS5749"/>
    <mergeCell ref="WJU5749:WJU5750"/>
    <mergeCell ref="WJW5749:WKB5749"/>
    <mergeCell ref="WKC5749:WKC5750"/>
    <mergeCell ref="WKD5749:WKD5750"/>
    <mergeCell ref="WKE5749:WKN5749"/>
    <mergeCell ref="WKP5749:WKY5749"/>
    <mergeCell ref="WLA5749:WLA5750"/>
    <mergeCell ref="WLC5749:WLH5749"/>
    <mergeCell ref="WLI5749:WLI5750"/>
    <mergeCell ref="WLJ5749:WLJ5750"/>
    <mergeCell ref="WLK5749:WLT5749"/>
    <mergeCell ref="WLV5749:WME5749"/>
    <mergeCell ref="WMG5749:WMG5750"/>
    <mergeCell ref="WMI5749:WMN5749"/>
    <mergeCell ref="WMO5749:WMO5750"/>
    <mergeCell ref="WMP5749:WMP5750"/>
    <mergeCell ref="WMQ5749:WMZ5749"/>
    <mergeCell ref="WNB5749:WNK5749"/>
    <mergeCell ref="WNM5749:WNM5750"/>
    <mergeCell ref="WNO5749:WNT5749"/>
    <mergeCell ref="WNU5749:WNU5750"/>
    <mergeCell ref="WNV5749:WNV5750"/>
    <mergeCell ref="WNW5749:WOF5749"/>
    <mergeCell ref="WOH5749:WOQ5749"/>
    <mergeCell ref="WOS5749:WOS5750"/>
    <mergeCell ref="WOU5749:WOZ5749"/>
    <mergeCell ref="WPA5749:WPA5750"/>
    <mergeCell ref="WPB5749:WPB5750"/>
    <mergeCell ref="WPC5749:WPL5749"/>
    <mergeCell ref="WPN5749:WPW5749"/>
    <mergeCell ref="WCK5749:WCK5750"/>
    <mergeCell ref="WCM5749:WCR5749"/>
    <mergeCell ref="WCS5749:WCS5750"/>
    <mergeCell ref="WCT5749:WCT5750"/>
    <mergeCell ref="WCU5749:WDD5749"/>
    <mergeCell ref="WDF5749:WDO5749"/>
    <mergeCell ref="WDQ5749:WDQ5750"/>
    <mergeCell ref="WDS5749:WDX5749"/>
    <mergeCell ref="WDY5749:WDY5750"/>
    <mergeCell ref="WDZ5749:WDZ5750"/>
    <mergeCell ref="WEA5749:WEJ5749"/>
    <mergeCell ref="WEL5749:WEU5749"/>
    <mergeCell ref="WEW5749:WEW5750"/>
    <mergeCell ref="WEY5749:WFD5749"/>
    <mergeCell ref="WFE5749:WFE5750"/>
    <mergeCell ref="WFF5749:WFF5750"/>
    <mergeCell ref="WFG5749:WFP5749"/>
    <mergeCell ref="WFR5749:WGA5749"/>
    <mergeCell ref="WGC5749:WGC5750"/>
    <mergeCell ref="WGE5749:WGJ5749"/>
    <mergeCell ref="WGK5749:WGK5750"/>
    <mergeCell ref="WGL5749:WGL5750"/>
    <mergeCell ref="WGM5749:WGV5749"/>
    <mergeCell ref="WGX5749:WHG5749"/>
    <mergeCell ref="WHI5749:WHI5750"/>
    <mergeCell ref="WHK5749:WHP5749"/>
    <mergeCell ref="WHQ5749:WHQ5750"/>
    <mergeCell ref="WHR5749:WHR5750"/>
    <mergeCell ref="WHS5749:WIB5749"/>
    <mergeCell ref="WID5749:WIM5749"/>
    <mergeCell ref="WIO5749:WIO5750"/>
    <mergeCell ref="WIQ5749:WIV5749"/>
    <mergeCell ref="WIW5749:WIW5750"/>
    <mergeCell ref="VVJ5749:VVJ5750"/>
    <mergeCell ref="VVK5749:VVT5749"/>
    <mergeCell ref="VVV5749:VWE5749"/>
    <mergeCell ref="VWG5749:VWG5750"/>
    <mergeCell ref="VWI5749:VWN5749"/>
    <mergeCell ref="VWO5749:VWO5750"/>
    <mergeCell ref="VWP5749:VWP5750"/>
    <mergeCell ref="VWQ5749:VWZ5749"/>
    <mergeCell ref="VXB5749:VXK5749"/>
    <mergeCell ref="VXM5749:VXM5750"/>
    <mergeCell ref="VXO5749:VXT5749"/>
    <mergeCell ref="VXU5749:VXU5750"/>
    <mergeCell ref="VXV5749:VXV5750"/>
    <mergeCell ref="VXW5749:VYF5749"/>
    <mergeCell ref="VYH5749:VYQ5749"/>
    <mergeCell ref="VYS5749:VYS5750"/>
    <mergeCell ref="VYU5749:VYZ5749"/>
    <mergeCell ref="VZA5749:VZA5750"/>
    <mergeCell ref="VZB5749:VZB5750"/>
    <mergeCell ref="VZC5749:VZL5749"/>
    <mergeCell ref="VZN5749:VZW5749"/>
    <mergeCell ref="VZY5749:VZY5750"/>
    <mergeCell ref="WAA5749:WAF5749"/>
    <mergeCell ref="WAG5749:WAG5750"/>
    <mergeCell ref="WAH5749:WAH5750"/>
    <mergeCell ref="WAI5749:WAR5749"/>
    <mergeCell ref="WAT5749:WBC5749"/>
    <mergeCell ref="WBE5749:WBE5750"/>
    <mergeCell ref="WBG5749:WBL5749"/>
    <mergeCell ref="WBM5749:WBM5750"/>
    <mergeCell ref="WBN5749:WBN5750"/>
    <mergeCell ref="WBO5749:WBX5749"/>
    <mergeCell ref="WBZ5749:WCI5749"/>
    <mergeCell ref="VOW5749:VOW5750"/>
    <mergeCell ref="VOY5749:VPD5749"/>
    <mergeCell ref="VPE5749:VPE5750"/>
    <mergeCell ref="VPF5749:VPF5750"/>
    <mergeCell ref="VPG5749:VPP5749"/>
    <mergeCell ref="VPR5749:VQA5749"/>
    <mergeCell ref="VQC5749:VQC5750"/>
    <mergeCell ref="VQE5749:VQJ5749"/>
    <mergeCell ref="VQK5749:VQK5750"/>
    <mergeCell ref="VQL5749:VQL5750"/>
    <mergeCell ref="VQM5749:VQV5749"/>
    <mergeCell ref="VQX5749:VRG5749"/>
    <mergeCell ref="VRI5749:VRI5750"/>
    <mergeCell ref="VRK5749:VRP5749"/>
    <mergeCell ref="VRQ5749:VRQ5750"/>
    <mergeCell ref="VRR5749:VRR5750"/>
    <mergeCell ref="VRS5749:VSB5749"/>
    <mergeCell ref="VSD5749:VSM5749"/>
    <mergeCell ref="VSO5749:VSO5750"/>
    <mergeCell ref="VSQ5749:VSV5749"/>
    <mergeCell ref="VSW5749:VSW5750"/>
    <mergeCell ref="VSX5749:VSX5750"/>
    <mergeCell ref="VSY5749:VTH5749"/>
    <mergeCell ref="VTJ5749:VTS5749"/>
    <mergeCell ref="VTU5749:VTU5750"/>
    <mergeCell ref="VTW5749:VUB5749"/>
    <mergeCell ref="VUC5749:VUC5750"/>
    <mergeCell ref="VUD5749:VUD5750"/>
    <mergeCell ref="VUE5749:VUN5749"/>
    <mergeCell ref="VUP5749:VUY5749"/>
    <mergeCell ref="VVA5749:VVA5750"/>
    <mergeCell ref="VVC5749:VVH5749"/>
    <mergeCell ref="VVI5749:VVI5750"/>
    <mergeCell ref="VHV5749:VHV5750"/>
    <mergeCell ref="VHW5749:VIF5749"/>
    <mergeCell ref="VIH5749:VIQ5749"/>
    <mergeCell ref="VIS5749:VIS5750"/>
    <mergeCell ref="VIU5749:VIZ5749"/>
    <mergeCell ref="VJA5749:VJA5750"/>
    <mergeCell ref="VJB5749:VJB5750"/>
    <mergeCell ref="VJC5749:VJL5749"/>
    <mergeCell ref="VJN5749:VJW5749"/>
    <mergeCell ref="VJY5749:VJY5750"/>
    <mergeCell ref="VKA5749:VKF5749"/>
    <mergeCell ref="VKG5749:VKG5750"/>
    <mergeCell ref="VKH5749:VKH5750"/>
    <mergeCell ref="VKI5749:VKR5749"/>
    <mergeCell ref="VKT5749:VLC5749"/>
    <mergeCell ref="VLE5749:VLE5750"/>
    <mergeCell ref="VLG5749:VLL5749"/>
    <mergeCell ref="VLM5749:VLM5750"/>
    <mergeCell ref="VLN5749:VLN5750"/>
    <mergeCell ref="VLO5749:VLX5749"/>
    <mergeCell ref="VLZ5749:VMI5749"/>
    <mergeCell ref="VMK5749:VMK5750"/>
    <mergeCell ref="VMM5749:VMR5749"/>
    <mergeCell ref="VMS5749:VMS5750"/>
    <mergeCell ref="VMT5749:VMT5750"/>
    <mergeCell ref="VMU5749:VND5749"/>
    <mergeCell ref="VNF5749:VNO5749"/>
    <mergeCell ref="VNQ5749:VNQ5750"/>
    <mergeCell ref="VNS5749:VNX5749"/>
    <mergeCell ref="VNY5749:VNY5750"/>
    <mergeCell ref="VNZ5749:VNZ5750"/>
    <mergeCell ref="VOA5749:VOJ5749"/>
    <mergeCell ref="VOL5749:VOU5749"/>
    <mergeCell ref="VBI5749:VBI5750"/>
    <mergeCell ref="VBK5749:VBP5749"/>
    <mergeCell ref="VBQ5749:VBQ5750"/>
    <mergeCell ref="VBR5749:VBR5750"/>
    <mergeCell ref="VBS5749:VCB5749"/>
    <mergeCell ref="VCD5749:VCM5749"/>
    <mergeCell ref="VCO5749:VCO5750"/>
    <mergeCell ref="VCQ5749:VCV5749"/>
    <mergeCell ref="VCW5749:VCW5750"/>
    <mergeCell ref="VCX5749:VCX5750"/>
    <mergeCell ref="VCY5749:VDH5749"/>
    <mergeCell ref="VDJ5749:VDS5749"/>
    <mergeCell ref="VDU5749:VDU5750"/>
    <mergeCell ref="VDW5749:VEB5749"/>
    <mergeCell ref="VEC5749:VEC5750"/>
    <mergeCell ref="VED5749:VED5750"/>
    <mergeCell ref="VEE5749:VEN5749"/>
    <mergeCell ref="VEP5749:VEY5749"/>
    <mergeCell ref="VFA5749:VFA5750"/>
    <mergeCell ref="VFC5749:VFH5749"/>
    <mergeCell ref="VFI5749:VFI5750"/>
    <mergeCell ref="VFJ5749:VFJ5750"/>
    <mergeCell ref="VFK5749:VFT5749"/>
    <mergeCell ref="VFV5749:VGE5749"/>
    <mergeCell ref="VGG5749:VGG5750"/>
    <mergeCell ref="VGI5749:VGN5749"/>
    <mergeCell ref="VGO5749:VGO5750"/>
    <mergeCell ref="VGP5749:VGP5750"/>
    <mergeCell ref="VGQ5749:VGZ5749"/>
    <mergeCell ref="VHB5749:VHK5749"/>
    <mergeCell ref="VHM5749:VHM5750"/>
    <mergeCell ref="VHO5749:VHT5749"/>
    <mergeCell ref="VHU5749:VHU5750"/>
    <mergeCell ref="UUH5749:UUH5750"/>
    <mergeCell ref="UUI5749:UUR5749"/>
    <mergeCell ref="UUT5749:UVC5749"/>
    <mergeCell ref="UVE5749:UVE5750"/>
    <mergeCell ref="UVG5749:UVL5749"/>
    <mergeCell ref="UVM5749:UVM5750"/>
    <mergeCell ref="UVN5749:UVN5750"/>
    <mergeCell ref="UVO5749:UVX5749"/>
    <mergeCell ref="UVZ5749:UWI5749"/>
    <mergeCell ref="UWK5749:UWK5750"/>
    <mergeCell ref="UWM5749:UWR5749"/>
    <mergeCell ref="UWS5749:UWS5750"/>
    <mergeCell ref="UWT5749:UWT5750"/>
    <mergeCell ref="UWU5749:UXD5749"/>
    <mergeCell ref="UXF5749:UXO5749"/>
    <mergeCell ref="UXQ5749:UXQ5750"/>
    <mergeCell ref="UXS5749:UXX5749"/>
    <mergeCell ref="UXY5749:UXY5750"/>
    <mergeCell ref="UXZ5749:UXZ5750"/>
    <mergeCell ref="UYA5749:UYJ5749"/>
    <mergeCell ref="UYL5749:UYU5749"/>
    <mergeCell ref="UYW5749:UYW5750"/>
    <mergeCell ref="UYY5749:UZD5749"/>
    <mergeCell ref="UZE5749:UZE5750"/>
    <mergeCell ref="UZF5749:UZF5750"/>
    <mergeCell ref="UZG5749:UZP5749"/>
    <mergeCell ref="UZR5749:VAA5749"/>
    <mergeCell ref="VAC5749:VAC5750"/>
    <mergeCell ref="VAE5749:VAJ5749"/>
    <mergeCell ref="VAK5749:VAK5750"/>
    <mergeCell ref="VAL5749:VAL5750"/>
    <mergeCell ref="VAM5749:VAV5749"/>
    <mergeCell ref="VAX5749:VBG5749"/>
    <mergeCell ref="UNU5749:UNU5750"/>
    <mergeCell ref="UNW5749:UOB5749"/>
    <mergeCell ref="UOC5749:UOC5750"/>
    <mergeCell ref="UOD5749:UOD5750"/>
    <mergeCell ref="UOE5749:UON5749"/>
    <mergeCell ref="UOP5749:UOY5749"/>
    <mergeCell ref="UPA5749:UPA5750"/>
    <mergeCell ref="UPC5749:UPH5749"/>
    <mergeCell ref="UPI5749:UPI5750"/>
    <mergeCell ref="UPJ5749:UPJ5750"/>
    <mergeCell ref="UPK5749:UPT5749"/>
    <mergeCell ref="UPV5749:UQE5749"/>
    <mergeCell ref="UQG5749:UQG5750"/>
    <mergeCell ref="UQI5749:UQN5749"/>
    <mergeCell ref="UQO5749:UQO5750"/>
    <mergeCell ref="UQP5749:UQP5750"/>
    <mergeCell ref="UQQ5749:UQZ5749"/>
    <mergeCell ref="URB5749:URK5749"/>
    <mergeCell ref="URM5749:URM5750"/>
    <mergeCell ref="URO5749:URT5749"/>
    <mergeCell ref="URU5749:URU5750"/>
    <mergeCell ref="URV5749:URV5750"/>
    <mergeCell ref="URW5749:USF5749"/>
    <mergeCell ref="USH5749:USQ5749"/>
    <mergeCell ref="USS5749:USS5750"/>
    <mergeCell ref="USU5749:USZ5749"/>
    <mergeCell ref="UTA5749:UTA5750"/>
    <mergeCell ref="UTB5749:UTB5750"/>
    <mergeCell ref="UTC5749:UTL5749"/>
    <mergeCell ref="UTN5749:UTW5749"/>
    <mergeCell ref="UTY5749:UTY5750"/>
    <mergeCell ref="UUA5749:UUF5749"/>
    <mergeCell ref="UUG5749:UUG5750"/>
    <mergeCell ref="UGT5749:UGT5750"/>
    <mergeCell ref="UGU5749:UHD5749"/>
    <mergeCell ref="UHF5749:UHO5749"/>
    <mergeCell ref="UHQ5749:UHQ5750"/>
    <mergeCell ref="UHS5749:UHX5749"/>
    <mergeCell ref="UHY5749:UHY5750"/>
    <mergeCell ref="UHZ5749:UHZ5750"/>
    <mergeCell ref="UIA5749:UIJ5749"/>
    <mergeCell ref="UIL5749:UIU5749"/>
    <mergeCell ref="UIW5749:UIW5750"/>
    <mergeCell ref="UIY5749:UJD5749"/>
    <mergeCell ref="UJE5749:UJE5750"/>
    <mergeCell ref="UJF5749:UJF5750"/>
    <mergeCell ref="UJG5749:UJP5749"/>
    <mergeCell ref="UJR5749:UKA5749"/>
    <mergeCell ref="UKC5749:UKC5750"/>
    <mergeCell ref="UKE5749:UKJ5749"/>
    <mergeCell ref="UKK5749:UKK5750"/>
    <mergeCell ref="UKL5749:UKL5750"/>
    <mergeCell ref="UKM5749:UKV5749"/>
    <mergeCell ref="UKX5749:ULG5749"/>
    <mergeCell ref="ULI5749:ULI5750"/>
    <mergeCell ref="ULK5749:ULP5749"/>
    <mergeCell ref="ULQ5749:ULQ5750"/>
    <mergeCell ref="ULR5749:ULR5750"/>
    <mergeCell ref="ULS5749:UMB5749"/>
    <mergeCell ref="UMD5749:UMM5749"/>
    <mergeCell ref="UMO5749:UMO5750"/>
    <mergeCell ref="UMQ5749:UMV5749"/>
    <mergeCell ref="UMW5749:UMW5750"/>
    <mergeCell ref="UMX5749:UMX5750"/>
    <mergeCell ref="UMY5749:UNH5749"/>
    <mergeCell ref="UNJ5749:UNS5749"/>
    <mergeCell ref="UAG5749:UAG5750"/>
    <mergeCell ref="UAI5749:UAN5749"/>
    <mergeCell ref="UAO5749:UAO5750"/>
    <mergeCell ref="UAP5749:UAP5750"/>
    <mergeCell ref="UAQ5749:UAZ5749"/>
    <mergeCell ref="UBB5749:UBK5749"/>
    <mergeCell ref="UBM5749:UBM5750"/>
    <mergeCell ref="UBO5749:UBT5749"/>
    <mergeCell ref="UBU5749:UBU5750"/>
    <mergeCell ref="UBV5749:UBV5750"/>
    <mergeCell ref="UBW5749:UCF5749"/>
    <mergeCell ref="UCH5749:UCQ5749"/>
    <mergeCell ref="UCS5749:UCS5750"/>
    <mergeCell ref="UCU5749:UCZ5749"/>
    <mergeCell ref="UDA5749:UDA5750"/>
    <mergeCell ref="UDB5749:UDB5750"/>
    <mergeCell ref="UDC5749:UDL5749"/>
    <mergeCell ref="UDN5749:UDW5749"/>
    <mergeCell ref="UDY5749:UDY5750"/>
    <mergeCell ref="UEA5749:UEF5749"/>
    <mergeCell ref="UEG5749:UEG5750"/>
    <mergeCell ref="UEH5749:UEH5750"/>
    <mergeCell ref="UEI5749:UER5749"/>
    <mergeCell ref="UET5749:UFC5749"/>
    <mergeCell ref="UFE5749:UFE5750"/>
    <mergeCell ref="UFG5749:UFL5749"/>
    <mergeCell ref="UFM5749:UFM5750"/>
    <mergeCell ref="UFN5749:UFN5750"/>
    <mergeCell ref="UFO5749:UFX5749"/>
    <mergeCell ref="UFZ5749:UGI5749"/>
    <mergeCell ref="UGK5749:UGK5750"/>
    <mergeCell ref="UGM5749:UGR5749"/>
    <mergeCell ref="UGS5749:UGS5750"/>
    <mergeCell ref="TTF5749:TTF5750"/>
    <mergeCell ref="TTG5749:TTP5749"/>
    <mergeCell ref="TTR5749:TUA5749"/>
    <mergeCell ref="TUC5749:TUC5750"/>
    <mergeCell ref="TUE5749:TUJ5749"/>
    <mergeCell ref="TUK5749:TUK5750"/>
    <mergeCell ref="TUL5749:TUL5750"/>
    <mergeCell ref="TUM5749:TUV5749"/>
    <mergeCell ref="TUX5749:TVG5749"/>
    <mergeCell ref="TVI5749:TVI5750"/>
    <mergeCell ref="TVK5749:TVP5749"/>
    <mergeCell ref="TVQ5749:TVQ5750"/>
    <mergeCell ref="TVR5749:TVR5750"/>
    <mergeCell ref="TVS5749:TWB5749"/>
    <mergeCell ref="TWD5749:TWM5749"/>
    <mergeCell ref="TWO5749:TWO5750"/>
    <mergeCell ref="TWQ5749:TWV5749"/>
    <mergeCell ref="TWW5749:TWW5750"/>
    <mergeCell ref="TWX5749:TWX5750"/>
    <mergeCell ref="TWY5749:TXH5749"/>
    <mergeCell ref="TXJ5749:TXS5749"/>
    <mergeCell ref="TXU5749:TXU5750"/>
    <mergeCell ref="TXW5749:TYB5749"/>
    <mergeCell ref="TYC5749:TYC5750"/>
    <mergeCell ref="TYD5749:TYD5750"/>
    <mergeCell ref="TYE5749:TYN5749"/>
    <mergeCell ref="TYP5749:TYY5749"/>
    <mergeCell ref="TZA5749:TZA5750"/>
    <mergeCell ref="TZC5749:TZH5749"/>
    <mergeCell ref="TZI5749:TZI5750"/>
    <mergeCell ref="TZJ5749:TZJ5750"/>
    <mergeCell ref="TZK5749:TZT5749"/>
    <mergeCell ref="TZV5749:UAE5749"/>
    <mergeCell ref="TMS5749:TMS5750"/>
    <mergeCell ref="TMU5749:TMZ5749"/>
    <mergeCell ref="TNA5749:TNA5750"/>
    <mergeCell ref="TNB5749:TNB5750"/>
    <mergeCell ref="TNC5749:TNL5749"/>
    <mergeCell ref="TNN5749:TNW5749"/>
    <mergeCell ref="TNY5749:TNY5750"/>
    <mergeCell ref="TOA5749:TOF5749"/>
    <mergeCell ref="TOG5749:TOG5750"/>
    <mergeCell ref="TOH5749:TOH5750"/>
    <mergeCell ref="TOI5749:TOR5749"/>
    <mergeCell ref="TOT5749:TPC5749"/>
    <mergeCell ref="TPE5749:TPE5750"/>
    <mergeCell ref="TPG5749:TPL5749"/>
    <mergeCell ref="TPM5749:TPM5750"/>
    <mergeCell ref="TPN5749:TPN5750"/>
    <mergeCell ref="TPO5749:TPX5749"/>
    <mergeCell ref="TPZ5749:TQI5749"/>
    <mergeCell ref="TQK5749:TQK5750"/>
    <mergeCell ref="TQM5749:TQR5749"/>
    <mergeCell ref="TQS5749:TQS5750"/>
    <mergeCell ref="TQT5749:TQT5750"/>
    <mergeCell ref="TQU5749:TRD5749"/>
    <mergeCell ref="TRF5749:TRO5749"/>
    <mergeCell ref="TRQ5749:TRQ5750"/>
    <mergeCell ref="TRS5749:TRX5749"/>
    <mergeCell ref="TRY5749:TRY5750"/>
    <mergeCell ref="TRZ5749:TRZ5750"/>
    <mergeCell ref="TSA5749:TSJ5749"/>
    <mergeCell ref="TSL5749:TSU5749"/>
    <mergeCell ref="TSW5749:TSW5750"/>
    <mergeCell ref="TSY5749:TTD5749"/>
    <mergeCell ref="TTE5749:TTE5750"/>
    <mergeCell ref="TFR5749:TFR5750"/>
    <mergeCell ref="TFS5749:TGB5749"/>
    <mergeCell ref="TGD5749:TGM5749"/>
    <mergeCell ref="TGO5749:TGO5750"/>
    <mergeCell ref="TGQ5749:TGV5749"/>
    <mergeCell ref="TGW5749:TGW5750"/>
    <mergeCell ref="TGX5749:TGX5750"/>
    <mergeCell ref="TGY5749:THH5749"/>
    <mergeCell ref="THJ5749:THS5749"/>
    <mergeCell ref="THU5749:THU5750"/>
    <mergeCell ref="THW5749:TIB5749"/>
    <mergeCell ref="TIC5749:TIC5750"/>
    <mergeCell ref="TID5749:TID5750"/>
    <mergeCell ref="TIE5749:TIN5749"/>
    <mergeCell ref="TIP5749:TIY5749"/>
    <mergeCell ref="TJA5749:TJA5750"/>
    <mergeCell ref="TJC5749:TJH5749"/>
    <mergeCell ref="TJI5749:TJI5750"/>
    <mergeCell ref="TJJ5749:TJJ5750"/>
    <mergeCell ref="TJK5749:TJT5749"/>
    <mergeCell ref="TJV5749:TKE5749"/>
    <mergeCell ref="TKG5749:TKG5750"/>
    <mergeCell ref="TKI5749:TKN5749"/>
    <mergeCell ref="TKO5749:TKO5750"/>
    <mergeCell ref="TKP5749:TKP5750"/>
    <mergeCell ref="TKQ5749:TKZ5749"/>
    <mergeCell ref="TLB5749:TLK5749"/>
    <mergeCell ref="TLM5749:TLM5750"/>
    <mergeCell ref="TLO5749:TLT5749"/>
    <mergeCell ref="TLU5749:TLU5750"/>
    <mergeCell ref="TLV5749:TLV5750"/>
    <mergeCell ref="TLW5749:TMF5749"/>
    <mergeCell ref="TMH5749:TMQ5749"/>
    <mergeCell ref="SZE5749:SZE5750"/>
    <mergeCell ref="SZG5749:SZL5749"/>
    <mergeCell ref="SZM5749:SZM5750"/>
    <mergeCell ref="SZN5749:SZN5750"/>
    <mergeCell ref="SZO5749:SZX5749"/>
    <mergeCell ref="SZZ5749:TAI5749"/>
    <mergeCell ref="TAK5749:TAK5750"/>
    <mergeCell ref="TAM5749:TAR5749"/>
    <mergeCell ref="TAS5749:TAS5750"/>
    <mergeCell ref="TAT5749:TAT5750"/>
    <mergeCell ref="TAU5749:TBD5749"/>
    <mergeCell ref="TBF5749:TBO5749"/>
    <mergeCell ref="TBQ5749:TBQ5750"/>
    <mergeCell ref="TBS5749:TBX5749"/>
    <mergeCell ref="TBY5749:TBY5750"/>
    <mergeCell ref="TBZ5749:TBZ5750"/>
    <mergeCell ref="TCA5749:TCJ5749"/>
    <mergeCell ref="TCL5749:TCU5749"/>
    <mergeCell ref="TCW5749:TCW5750"/>
    <mergeCell ref="TCY5749:TDD5749"/>
    <mergeCell ref="TDE5749:TDE5750"/>
    <mergeCell ref="TDF5749:TDF5750"/>
    <mergeCell ref="TDG5749:TDP5749"/>
    <mergeCell ref="TDR5749:TEA5749"/>
    <mergeCell ref="TEC5749:TEC5750"/>
    <mergeCell ref="TEE5749:TEJ5749"/>
    <mergeCell ref="TEK5749:TEK5750"/>
    <mergeCell ref="TEL5749:TEL5750"/>
    <mergeCell ref="TEM5749:TEV5749"/>
    <mergeCell ref="TEX5749:TFG5749"/>
    <mergeCell ref="TFI5749:TFI5750"/>
    <mergeCell ref="TFK5749:TFP5749"/>
    <mergeCell ref="TFQ5749:TFQ5750"/>
    <mergeCell ref="SSD5749:SSD5750"/>
    <mergeCell ref="SSE5749:SSN5749"/>
    <mergeCell ref="SSP5749:SSY5749"/>
    <mergeCell ref="STA5749:STA5750"/>
    <mergeCell ref="STC5749:STH5749"/>
    <mergeCell ref="STI5749:STI5750"/>
    <mergeCell ref="STJ5749:STJ5750"/>
    <mergeCell ref="STK5749:STT5749"/>
    <mergeCell ref="STV5749:SUE5749"/>
    <mergeCell ref="SUG5749:SUG5750"/>
    <mergeCell ref="SUI5749:SUN5749"/>
    <mergeCell ref="SUO5749:SUO5750"/>
    <mergeCell ref="SUP5749:SUP5750"/>
    <mergeCell ref="SUQ5749:SUZ5749"/>
    <mergeCell ref="SVB5749:SVK5749"/>
    <mergeCell ref="SVM5749:SVM5750"/>
    <mergeCell ref="SVO5749:SVT5749"/>
    <mergeCell ref="SVU5749:SVU5750"/>
    <mergeCell ref="SVV5749:SVV5750"/>
    <mergeCell ref="SVW5749:SWF5749"/>
    <mergeCell ref="SWH5749:SWQ5749"/>
    <mergeCell ref="SWS5749:SWS5750"/>
    <mergeCell ref="SWU5749:SWZ5749"/>
    <mergeCell ref="SXA5749:SXA5750"/>
    <mergeCell ref="SXB5749:SXB5750"/>
    <mergeCell ref="SXC5749:SXL5749"/>
    <mergeCell ref="SXN5749:SXW5749"/>
    <mergeCell ref="SXY5749:SXY5750"/>
    <mergeCell ref="SYA5749:SYF5749"/>
    <mergeCell ref="SYG5749:SYG5750"/>
    <mergeCell ref="SYH5749:SYH5750"/>
    <mergeCell ref="SYI5749:SYR5749"/>
    <mergeCell ref="SYT5749:SZC5749"/>
    <mergeCell ref="SLQ5749:SLQ5750"/>
    <mergeCell ref="SLS5749:SLX5749"/>
    <mergeCell ref="SLY5749:SLY5750"/>
    <mergeCell ref="SLZ5749:SLZ5750"/>
    <mergeCell ref="SMA5749:SMJ5749"/>
    <mergeCell ref="SML5749:SMU5749"/>
    <mergeCell ref="SMW5749:SMW5750"/>
    <mergeCell ref="SMY5749:SND5749"/>
    <mergeCell ref="SNE5749:SNE5750"/>
    <mergeCell ref="SNF5749:SNF5750"/>
    <mergeCell ref="SNG5749:SNP5749"/>
    <mergeCell ref="SNR5749:SOA5749"/>
    <mergeCell ref="SOC5749:SOC5750"/>
    <mergeCell ref="SOE5749:SOJ5749"/>
    <mergeCell ref="SOK5749:SOK5750"/>
    <mergeCell ref="SOL5749:SOL5750"/>
    <mergeCell ref="SOM5749:SOV5749"/>
    <mergeCell ref="SOX5749:SPG5749"/>
    <mergeCell ref="SPI5749:SPI5750"/>
    <mergeCell ref="SPK5749:SPP5749"/>
    <mergeCell ref="SPQ5749:SPQ5750"/>
    <mergeCell ref="SPR5749:SPR5750"/>
    <mergeCell ref="SPS5749:SQB5749"/>
    <mergeCell ref="SQD5749:SQM5749"/>
    <mergeCell ref="SQO5749:SQO5750"/>
    <mergeCell ref="SQQ5749:SQV5749"/>
    <mergeCell ref="SQW5749:SQW5750"/>
    <mergeCell ref="SQX5749:SQX5750"/>
    <mergeCell ref="SQY5749:SRH5749"/>
    <mergeCell ref="SRJ5749:SRS5749"/>
    <mergeCell ref="SRU5749:SRU5750"/>
    <mergeCell ref="SRW5749:SSB5749"/>
    <mergeCell ref="SSC5749:SSC5750"/>
    <mergeCell ref="SEP5749:SEP5750"/>
    <mergeCell ref="SEQ5749:SEZ5749"/>
    <mergeCell ref="SFB5749:SFK5749"/>
    <mergeCell ref="SFM5749:SFM5750"/>
    <mergeCell ref="SFO5749:SFT5749"/>
    <mergeCell ref="SFU5749:SFU5750"/>
    <mergeCell ref="SFV5749:SFV5750"/>
    <mergeCell ref="SFW5749:SGF5749"/>
    <mergeCell ref="SGH5749:SGQ5749"/>
    <mergeCell ref="SGS5749:SGS5750"/>
    <mergeCell ref="SGU5749:SGZ5749"/>
    <mergeCell ref="SHA5749:SHA5750"/>
    <mergeCell ref="SHB5749:SHB5750"/>
    <mergeCell ref="SHC5749:SHL5749"/>
    <mergeCell ref="SHN5749:SHW5749"/>
    <mergeCell ref="SHY5749:SHY5750"/>
    <mergeCell ref="SIA5749:SIF5749"/>
    <mergeCell ref="SIG5749:SIG5750"/>
    <mergeCell ref="SIH5749:SIH5750"/>
    <mergeCell ref="SII5749:SIR5749"/>
    <mergeCell ref="SIT5749:SJC5749"/>
    <mergeCell ref="SJE5749:SJE5750"/>
    <mergeCell ref="SJG5749:SJL5749"/>
    <mergeCell ref="SJM5749:SJM5750"/>
    <mergeCell ref="SJN5749:SJN5750"/>
    <mergeCell ref="SJO5749:SJX5749"/>
    <mergeCell ref="SJZ5749:SKI5749"/>
    <mergeCell ref="SKK5749:SKK5750"/>
    <mergeCell ref="SKM5749:SKR5749"/>
    <mergeCell ref="SKS5749:SKS5750"/>
    <mergeCell ref="SKT5749:SKT5750"/>
    <mergeCell ref="SKU5749:SLD5749"/>
    <mergeCell ref="SLF5749:SLO5749"/>
    <mergeCell ref="RYC5749:RYC5750"/>
    <mergeCell ref="RYE5749:RYJ5749"/>
    <mergeCell ref="RYK5749:RYK5750"/>
    <mergeCell ref="RYL5749:RYL5750"/>
    <mergeCell ref="RYM5749:RYV5749"/>
    <mergeCell ref="RYX5749:RZG5749"/>
    <mergeCell ref="RZI5749:RZI5750"/>
    <mergeCell ref="RZK5749:RZP5749"/>
    <mergeCell ref="RZQ5749:RZQ5750"/>
    <mergeCell ref="RZR5749:RZR5750"/>
    <mergeCell ref="RZS5749:SAB5749"/>
    <mergeCell ref="SAD5749:SAM5749"/>
    <mergeCell ref="SAO5749:SAO5750"/>
    <mergeCell ref="SAQ5749:SAV5749"/>
    <mergeCell ref="SAW5749:SAW5750"/>
    <mergeCell ref="SAX5749:SAX5750"/>
    <mergeCell ref="SAY5749:SBH5749"/>
    <mergeCell ref="SBJ5749:SBS5749"/>
    <mergeCell ref="SBU5749:SBU5750"/>
    <mergeCell ref="SBW5749:SCB5749"/>
    <mergeCell ref="SCC5749:SCC5750"/>
    <mergeCell ref="SCD5749:SCD5750"/>
    <mergeCell ref="SCE5749:SCN5749"/>
    <mergeCell ref="SCP5749:SCY5749"/>
    <mergeCell ref="SDA5749:SDA5750"/>
    <mergeCell ref="SDC5749:SDH5749"/>
    <mergeCell ref="SDI5749:SDI5750"/>
    <mergeCell ref="SDJ5749:SDJ5750"/>
    <mergeCell ref="SDK5749:SDT5749"/>
    <mergeCell ref="SDV5749:SEE5749"/>
    <mergeCell ref="SEG5749:SEG5750"/>
    <mergeCell ref="SEI5749:SEN5749"/>
    <mergeCell ref="SEO5749:SEO5750"/>
    <mergeCell ref="RRB5749:RRB5750"/>
    <mergeCell ref="RRC5749:RRL5749"/>
    <mergeCell ref="RRN5749:RRW5749"/>
    <mergeCell ref="RRY5749:RRY5750"/>
    <mergeCell ref="RSA5749:RSF5749"/>
    <mergeCell ref="RSG5749:RSG5750"/>
    <mergeCell ref="RSH5749:RSH5750"/>
    <mergeCell ref="RSI5749:RSR5749"/>
    <mergeCell ref="RST5749:RTC5749"/>
    <mergeCell ref="RTE5749:RTE5750"/>
    <mergeCell ref="RTG5749:RTL5749"/>
    <mergeCell ref="RTM5749:RTM5750"/>
    <mergeCell ref="RTN5749:RTN5750"/>
    <mergeCell ref="RTO5749:RTX5749"/>
    <mergeCell ref="RTZ5749:RUI5749"/>
    <mergeCell ref="RUK5749:RUK5750"/>
    <mergeCell ref="RUM5749:RUR5749"/>
    <mergeCell ref="RUS5749:RUS5750"/>
    <mergeCell ref="RUT5749:RUT5750"/>
    <mergeCell ref="RUU5749:RVD5749"/>
    <mergeCell ref="RVF5749:RVO5749"/>
    <mergeCell ref="RVQ5749:RVQ5750"/>
    <mergeCell ref="RVS5749:RVX5749"/>
    <mergeCell ref="RVY5749:RVY5750"/>
    <mergeCell ref="RVZ5749:RVZ5750"/>
    <mergeCell ref="RWA5749:RWJ5749"/>
    <mergeCell ref="RWL5749:RWU5749"/>
    <mergeCell ref="RWW5749:RWW5750"/>
    <mergeCell ref="RWY5749:RXD5749"/>
    <mergeCell ref="RXE5749:RXE5750"/>
    <mergeCell ref="RXF5749:RXF5750"/>
    <mergeCell ref="RXG5749:RXP5749"/>
    <mergeCell ref="RXR5749:RYA5749"/>
    <mergeCell ref="RKO5749:RKO5750"/>
    <mergeCell ref="RKQ5749:RKV5749"/>
    <mergeCell ref="RKW5749:RKW5750"/>
    <mergeCell ref="RKX5749:RKX5750"/>
    <mergeCell ref="RKY5749:RLH5749"/>
    <mergeCell ref="RLJ5749:RLS5749"/>
    <mergeCell ref="RLU5749:RLU5750"/>
    <mergeCell ref="RLW5749:RMB5749"/>
    <mergeCell ref="RMC5749:RMC5750"/>
    <mergeCell ref="RMD5749:RMD5750"/>
    <mergeCell ref="RME5749:RMN5749"/>
    <mergeCell ref="RMP5749:RMY5749"/>
    <mergeCell ref="RNA5749:RNA5750"/>
    <mergeCell ref="RNC5749:RNH5749"/>
    <mergeCell ref="RNI5749:RNI5750"/>
    <mergeCell ref="RNJ5749:RNJ5750"/>
    <mergeCell ref="RNK5749:RNT5749"/>
    <mergeCell ref="RNV5749:ROE5749"/>
    <mergeCell ref="ROG5749:ROG5750"/>
    <mergeCell ref="ROI5749:RON5749"/>
    <mergeCell ref="ROO5749:ROO5750"/>
    <mergeCell ref="ROP5749:ROP5750"/>
    <mergeCell ref="ROQ5749:ROZ5749"/>
    <mergeCell ref="RPB5749:RPK5749"/>
    <mergeCell ref="RPM5749:RPM5750"/>
    <mergeCell ref="RPO5749:RPT5749"/>
    <mergeCell ref="RPU5749:RPU5750"/>
    <mergeCell ref="RPV5749:RPV5750"/>
    <mergeCell ref="RPW5749:RQF5749"/>
    <mergeCell ref="RQH5749:RQQ5749"/>
    <mergeCell ref="RQS5749:RQS5750"/>
    <mergeCell ref="RQU5749:RQZ5749"/>
    <mergeCell ref="RRA5749:RRA5750"/>
    <mergeCell ref="RDN5749:RDN5750"/>
    <mergeCell ref="RDO5749:RDX5749"/>
    <mergeCell ref="RDZ5749:REI5749"/>
    <mergeCell ref="REK5749:REK5750"/>
    <mergeCell ref="REM5749:RER5749"/>
    <mergeCell ref="RES5749:RES5750"/>
    <mergeCell ref="RET5749:RET5750"/>
    <mergeCell ref="REU5749:RFD5749"/>
    <mergeCell ref="RFF5749:RFO5749"/>
    <mergeCell ref="RFQ5749:RFQ5750"/>
    <mergeCell ref="RFS5749:RFX5749"/>
    <mergeCell ref="RFY5749:RFY5750"/>
    <mergeCell ref="RFZ5749:RFZ5750"/>
    <mergeCell ref="RGA5749:RGJ5749"/>
    <mergeCell ref="RGL5749:RGU5749"/>
    <mergeCell ref="RGW5749:RGW5750"/>
    <mergeCell ref="RGY5749:RHD5749"/>
    <mergeCell ref="RHE5749:RHE5750"/>
    <mergeCell ref="RHF5749:RHF5750"/>
    <mergeCell ref="RHG5749:RHP5749"/>
    <mergeCell ref="RHR5749:RIA5749"/>
    <mergeCell ref="RIC5749:RIC5750"/>
    <mergeCell ref="RIE5749:RIJ5749"/>
    <mergeCell ref="RIK5749:RIK5750"/>
    <mergeCell ref="RIL5749:RIL5750"/>
    <mergeCell ref="RIM5749:RIV5749"/>
    <mergeCell ref="RIX5749:RJG5749"/>
    <mergeCell ref="RJI5749:RJI5750"/>
    <mergeCell ref="RJK5749:RJP5749"/>
    <mergeCell ref="RJQ5749:RJQ5750"/>
    <mergeCell ref="RJR5749:RJR5750"/>
    <mergeCell ref="RJS5749:RKB5749"/>
    <mergeCell ref="RKD5749:RKM5749"/>
    <mergeCell ref="QXA5749:QXA5750"/>
    <mergeCell ref="QXC5749:QXH5749"/>
    <mergeCell ref="QXI5749:QXI5750"/>
    <mergeCell ref="QXJ5749:QXJ5750"/>
    <mergeCell ref="QXK5749:QXT5749"/>
    <mergeCell ref="QXV5749:QYE5749"/>
    <mergeCell ref="QYG5749:QYG5750"/>
    <mergeCell ref="QYI5749:QYN5749"/>
    <mergeCell ref="QYO5749:QYO5750"/>
    <mergeCell ref="QYP5749:QYP5750"/>
    <mergeCell ref="QYQ5749:QYZ5749"/>
    <mergeCell ref="QZB5749:QZK5749"/>
    <mergeCell ref="QZM5749:QZM5750"/>
    <mergeCell ref="QZO5749:QZT5749"/>
    <mergeCell ref="QZU5749:QZU5750"/>
    <mergeCell ref="QZV5749:QZV5750"/>
    <mergeCell ref="QZW5749:RAF5749"/>
    <mergeCell ref="RAH5749:RAQ5749"/>
    <mergeCell ref="RAS5749:RAS5750"/>
    <mergeCell ref="RAU5749:RAZ5749"/>
    <mergeCell ref="RBA5749:RBA5750"/>
    <mergeCell ref="RBB5749:RBB5750"/>
    <mergeCell ref="RBC5749:RBL5749"/>
    <mergeCell ref="RBN5749:RBW5749"/>
    <mergeCell ref="RBY5749:RBY5750"/>
    <mergeCell ref="RCA5749:RCF5749"/>
    <mergeCell ref="RCG5749:RCG5750"/>
    <mergeCell ref="RCH5749:RCH5750"/>
    <mergeCell ref="RCI5749:RCR5749"/>
    <mergeCell ref="RCT5749:RDC5749"/>
    <mergeCell ref="RDE5749:RDE5750"/>
    <mergeCell ref="RDG5749:RDL5749"/>
    <mergeCell ref="RDM5749:RDM5750"/>
    <mergeCell ref="QPZ5749:QPZ5750"/>
    <mergeCell ref="QQA5749:QQJ5749"/>
    <mergeCell ref="QQL5749:QQU5749"/>
    <mergeCell ref="QQW5749:QQW5750"/>
    <mergeCell ref="QQY5749:QRD5749"/>
    <mergeCell ref="QRE5749:QRE5750"/>
    <mergeCell ref="QRF5749:QRF5750"/>
    <mergeCell ref="QRG5749:QRP5749"/>
    <mergeCell ref="QRR5749:QSA5749"/>
    <mergeCell ref="QSC5749:QSC5750"/>
    <mergeCell ref="QSE5749:QSJ5749"/>
    <mergeCell ref="QSK5749:QSK5750"/>
    <mergeCell ref="QSL5749:QSL5750"/>
    <mergeCell ref="QSM5749:QSV5749"/>
    <mergeCell ref="QSX5749:QTG5749"/>
    <mergeCell ref="QTI5749:QTI5750"/>
    <mergeCell ref="QTK5749:QTP5749"/>
    <mergeCell ref="QTQ5749:QTQ5750"/>
    <mergeCell ref="QTR5749:QTR5750"/>
    <mergeCell ref="QTS5749:QUB5749"/>
    <mergeCell ref="QUD5749:QUM5749"/>
    <mergeCell ref="QUO5749:QUO5750"/>
    <mergeCell ref="QUQ5749:QUV5749"/>
    <mergeCell ref="QUW5749:QUW5750"/>
    <mergeCell ref="QUX5749:QUX5750"/>
    <mergeCell ref="QUY5749:QVH5749"/>
    <mergeCell ref="QVJ5749:QVS5749"/>
    <mergeCell ref="QVU5749:QVU5750"/>
    <mergeCell ref="QVW5749:QWB5749"/>
    <mergeCell ref="QWC5749:QWC5750"/>
    <mergeCell ref="QWD5749:QWD5750"/>
    <mergeCell ref="QWE5749:QWN5749"/>
    <mergeCell ref="QWP5749:QWY5749"/>
    <mergeCell ref="QJM5749:QJM5750"/>
    <mergeCell ref="QJO5749:QJT5749"/>
    <mergeCell ref="QJU5749:QJU5750"/>
    <mergeCell ref="QJV5749:QJV5750"/>
    <mergeCell ref="QJW5749:QKF5749"/>
    <mergeCell ref="QKH5749:QKQ5749"/>
    <mergeCell ref="QKS5749:QKS5750"/>
    <mergeCell ref="QKU5749:QKZ5749"/>
    <mergeCell ref="QLA5749:QLA5750"/>
    <mergeCell ref="QLB5749:QLB5750"/>
    <mergeCell ref="QLC5749:QLL5749"/>
    <mergeCell ref="QLN5749:QLW5749"/>
    <mergeCell ref="QLY5749:QLY5750"/>
    <mergeCell ref="QMA5749:QMF5749"/>
    <mergeCell ref="QMG5749:QMG5750"/>
    <mergeCell ref="QMH5749:QMH5750"/>
    <mergeCell ref="QMI5749:QMR5749"/>
    <mergeCell ref="QMT5749:QNC5749"/>
    <mergeCell ref="QNE5749:QNE5750"/>
    <mergeCell ref="QNG5749:QNL5749"/>
    <mergeCell ref="QNM5749:QNM5750"/>
    <mergeCell ref="QNN5749:QNN5750"/>
    <mergeCell ref="QNO5749:QNX5749"/>
    <mergeCell ref="QNZ5749:QOI5749"/>
    <mergeCell ref="QOK5749:QOK5750"/>
    <mergeCell ref="QOM5749:QOR5749"/>
    <mergeCell ref="QOS5749:QOS5750"/>
    <mergeCell ref="QOT5749:QOT5750"/>
    <mergeCell ref="QOU5749:QPD5749"/>
    <mergeCell ref="QPF5749:QPO5749"/>
    <mergeCell ref="QPQ5749:QPQ5750"/>
    <mergeCell ref="QPS5749:QPX5749"/>
    <mergeCell ref="QPY5749:QPY5750"/>
    <mergeCell ref="QCL5749:QCL5750"/>
    <mergeCell ref="QCM5749:QCV5749"/>
    <mergeCell ref="QCX5749:QDG5749"/>
    <mergeCell ref="QDI5749:QDI5750"/>
    <mergeCell ref="QDK5749:QDP5749"/>
    <mergeCell ref="QDQ5749:QDQ5750"/>
    <mergeCell ref="QDR5749:QDR5750"/>
    <mergeCell ref="QDS5749:QEB5749"/>
    <mergeCell ref="QED5749:QEM5749"/>
    <mergeCell ref="QEO5749:QEO5750"/>
    <mergeCell ref="QEQ5749:QEV5749"/>
    <mergeCell ref="QEW5749:QEW5750"/>
    <mergeCell ref="QEX5749:QEX5750"/>
    <mergeCell ref="QEY5749:QFH5749"/>
    <mergeCell ref="QFJ5749:QFS5749"/>
    <mergeCell ref="QFU5749:QFU5750"/>
    <mergeCell ref="QFW5749:QGB5749"/>
    <mergeCell ref="QGC5749:QGC5750"/>
    <mergeCell ref="QGD5749:QGD5750"/>
    <mergeCell ref="QGE5749:QGN5749"/>
    <mergeCell ref="QGP5749:QGY5749"/>
    <mergeCell ref="QHA5749:QHA5750"/>
    <mergeCell ref="QHC5749:QHH5749"/>
    <mergeCell ref="QHI5749:QHI5750"/>
    <mergeCell ref="QHJ5749:QHJ5750"/>
    <mergeCell ref="QHK5749:QHT5749"/>
    <mergeCell ref="QHV5749:QIE5749"/>
    <mergeCell ref="QIG5749:QIG5750"/>
    <mergeCell ref="QII5749:QIN5749"/>
    <mergeCell ref="QIO5749:QIO5750"/>
    <mergeCell ref="QIP5749:QIP5750"/>
    <mergeCell ref="QIQ5749:QIZ5749"/>
    <mergeCell ref="QJB5749:QJK5749"/>
    <mergeCell ref="PVY5749:PVY5750"/>
    <mergeCell ref="PWA5749:PWF5749"/>
    <mergeCell ref="PWG5749:PWG5750"/>
    <mergeCell ref="PWH5749:PWH5750"/>
    <mergeCell ref="PWI5749:PWR5749"/>
    <mergeCell ref="PWT5749:PXC5749"/>
    <mergeCell ref="PXE5749:PXE5750"/>
    <mergeCell ref="PXG5749:PXL5749"/>
    <mergeCell ref="PXM5749:PXM5750"/>
    <mergeCell ref="PXN5749:PXN5750"/>
    <mergeCell ref="PXO5749:PXX5749"/>
    <mergeCell ref="PXZ5749:PYI5749"/>
    <mergeCell ref="PYK5749:PYK5750"/>
    <mergeCell ref="PYM5749:PYR5749"/>
    <mergeCell ref="PYS5749:PYS5750"/>
    <mergeCell ref="PYT5749:PYT5750"/>
    <mergeCell ref="PYU5749:PZD5749"/>
    <mergeCell ref="PZF5749:PZO5749"/>
    <mergeCell ref="PZQ5749:PZQ5750"/>
    <mergeCell ref="PZS5749:PZX5749"/>
    <mergeCell ref="PZY5749:PZY5750"/>
    <mergeCell ref="PZZ5749:PZZ5750"/>
    <mergeCell ref="QAA5749:QAJ5749"/>
    <mergeCell ref="QAL5749:QAU5749"/>
    <mergeCell ref="QAW5749:QAW5750"/>
    <mergeCell ref="QAY5749:QBD5749"/>
    <mergeCell ref="QBE5749:QBE5750"/>
    <mergeCell ref="QBF5749:QBF5750"/>
    <mergeCell ref="QBG5749:QBP5749"/>
    <mergeCell ref="QBR5749:QCA5749"/>
    <mergeCell ref="QCC5749:QCC5750"/>
    <mergeCell ref="QCE5749:QCJ5749"/>
    <mergeCell ref="QCK5749:QCK5750"/>
    <mergeCell ref="POX5749:POX5750"/>
    <mergeCell ref="POY5749:PPH5749"/>
    <mergeCell ref="PPJ5749:PPS5749"/>
    <mergeCell ref="PPU5749:PPU5750"/>
    <mergeCell ref="PPW5749:PQB5749"/>
    <mergeCell ref="PQC5749:PQC5750"/>
    <mergeCell ref="PQD5749:PQD5750"/>
    <mergeCell ref="PQE5749:PQN5749"/>
    <mergeCell ref="PQP5749:PQY5749"/>
    <mergeCell ref="PRA5749:PRA5750"/>
    <mergeCell ref="PRC5749:PRH5749"/>
    <mergeCell ref="PRI5749:PRI5750"/>
    <mergeCell ref="PRJ5749:PRJ5750"/>
    <mergeCell ref="PRK5749:PRT5749"/>
    <mergeCell ref="PRV5749:PSE5749"/>
    <mergeCell ref="PSG5749:PSG5750"/>
    <mergeCell ref="PSI5749:PSN5749"/>
    <mergeCell ref="PSO5749:PSO5750"/>
    <mergeCell ref="PSP5749:PSP5750"/>
    <mergeCell ref="PSQ5749:PSZ5749"/>
    <mergeCell ref="PTB5749:PTK5749"/>
    <mergeCell ref="PTM5749:PTM5750"/>
    <mergeCell ref="PTO5749:PTT5749"/>
    <mergeCell ref="PTU5749:PTU5750"/>
    <mergeCell ref="PTV5749:PTV5750"/>
    <mergeCell ref="PTW5749:PUF5749"/>
    <mergeCell ref="PUH5749:PUQ5749"/>
    <mergeCell ref="PUS5749:PUS5750"/>
    <mergeCell ref="PUU5749:PUZ5749"/>
    <mergeCell ref="PVA5749:PVA5750"/>
    <mergeCell ref="PVB5749:PVB5750"/>
    <mergeCell ref="PVC5749:PVL5749"/>
    <mergeCell ref="PVN5749:PVW5749"/>
    <mergeCell ref="PIK5749:PIK5750"/>
    <mergeCell ref="PIM5749:PIR5749"/>
    <mergeCell ref="PIS5749:PIS5750"/>
    <mergeCell ref="PIT5749:PIT5750"/>
    <mergeCell ref="PIU5749:PJD5749"/>
    <mergeCell ref="PJF5749:PJO5749"/>
    <mergeCell ref="PJQ5749:PJQ5750"/>
    <mergeCell ref="PJS5749:PJX5749"/>
    <mergeCell ref="PJY5749:PJY5750"/>
    <mergeCell ref="PJZ5749:PJZ5750"/>
    <mergeCell ref="PKA5749:PKJ5749"/>
    <mergeCell ref="PKL5749:PKU5749"/>
    <mergeCell ref="PKW5749:PKW5750"/>
    <mergeCell ref="PKY5749:PLD5749"/>
    <mergeCell ref="PLE5749:PLE5750"/>
    <mergeCell ref="PLF5749:PLF5750"/>
    <mergeCell ref="PLG5749:PLP5749"/>
    <mergeCell ref="PLR5749:PMA5749"/>
    <mergeCell ref="PMC5749:PMC5750"/>
    <mergeCell ref="PME5749:PMJ5749"/>
    <mergeCell ref="PMK5749:PMK5750"/>
    <mergeCell ref="PML5749:PML5750"/>
    <mergeCell ref="PMM5749:PMV5749"/>
    <mergeCell ref="PMX5749:PNG5749"/>
    <mergeCell ref="PNI5749:PNI5750"/>
    <mergeCell ref="PNK5749:PNP5749"/>
    <mergeCell ref="PNQ5749:PNQ5750"/>
    <mergeCell ref="PNR5749:PNR5750"/>
    <mergeCell ref="PNS5749:POB5749"/>
    <mergeCell ref="POD5749:POM5749"/>
    <mergeCell ref="POO5749:POO5750"/>
    <mergeCell ref="POQ5749:POV5749"/>
    <mergeCell ref="POW5749:POW5750"/>
    <mergeCell ref="PBJ5749:PBJ5750"/>
    <mergeCell ref="PBK5749:PBT5749"/>
    <mergeCell ref="PBV5749:PCE5749"/>
    <mergeCell ref="PCG5749:PCG5750"/>
    <mergeCell ref="PCI5749:PCN5749"/>
    <mergeCell ref="PCO5749:PCO5750"/>
    <mergeCell ref="PCP5749:PCP5750"/>
    <mergeCell ref="PCQ5749:PCZ5749"/>
    <mergeCell ref="PDB5749:PDK5749"/>
    <mergeCell ref="PDM5749:PDM5750"/>
    <mergeCell ref="PDO5749:PDT5749"/>
    <mergeCell ref="PDU5749:PDU5750"/>
    <mergeCell ref="PDV5749:PDV5750"/>
    <mergeCell ref="PDW5749:PEF5749"/>
    <mergeCell ref="PEH5749:PEQ5749"/>
    <mergeCell ref="PES5749:PES5750"/>
    <mergeCell ref="PEU5749:PEZ5749"/>
    <mergeCell ref="PFA5749:PFA5750"/>
    <mergeCell ref="PFB5749:PFB5750"/>
    <mergeCell ref="PFC5749:PFL5749"/>
    <mergeCell ref="PFN5749:PFW5749"/>
    <mergeCell ref="PFY5749:PFY5750"/>
    <mergeCell ref="PGA5749:PGF5749"/>
    <mergeCell ref="PGG5749:PGG5750"/>
    <mergeCell ref="PGH5749:PGH5750"/>
    <mergeCell ref="PGI5749:PGR5749"/>
    <mergeCell ref="PGT5749:PHC5749"/>
    <mergeCell ref="PHE5749:PHE5750"/>
    <mergeCell ref="PHG5749:PHL5749"/>
    <mergeCell ref="PHM5749:PHM5750"/>
    <mergeCell ref="PHN5749:PHN5750"/>
    <mergeCell ref="PHO5749:PHX5749"/>
    <mergeCell ref="PHZ5749:PII5749"/>
    <mergeCell ref="OUW5749:OUW5750"/>
    <mergeCell ref="OUY5749:OVD5749"/>
    <mergeCell ref="OVE5749:OVE5750"/>
    <mergeCell ref="OVF5749:OVF5750"/>
    <mergeCell ref="OVG5749:OVP5749"/>
    <mergeCell ref="OVR5749:OWA5749"/>
    <mergeCell ref="OWC5749:OWC5750"/>
    <mergeCell ref="OWE5749:OWJ5749"/>
    <mergeCell ref="OWK5749:OWK5750"/>
    <mergeCell ref="OWL5749:OWL5750"/>
    <mergeCell ref="OWM5749:OWV5749"/>
    <mergeCell ref="OWX5749:OXG5749"/>
    <mergeCell ref="OXI5749:OXI5750"/>
    <mergeCell ref="OXK5749:OXP5749"/>
    <mergeCell ref="OXQ5749:OXQ5750"/>
    <mergeCell ref="OXR5749:OXR5750"/>
    <mergeCell ref="OXS5749:OYB5749"/>
    <mergeCell ref="OYD5749:OYM5749"/>
    <mergeCell ref="OYO5749:OYO5750"/>
    <mergeCell ref="OYQ5749:OYV5749"/>
    <mergeCell ref="OYW5749:OYW5750"/>
    <mergeCell ref="OYX5749:OYX5750"/>
    <mergeCell ref="OYY5749:OZH5749"/>
    <mergeCell ref="OZJ5749:OZS5749"/>
    <mergeCell ref="OZU5749:OZU5750"/>
    <mergeCell ref="OZW5749:PAB5749"/>
    <mergeCell ref="PAC5749:PAC5750"/>
    <mergeCell ref="PAD5749:PAD5750"/>
    <mergeCell ref="PAE5749:PAN5749"/>
    <mergeCell ref="PAP5749:PAY5749"/>
    <mergeCell ref="PBA5749:PBA5750"/>
    <mergeCell ref="PBC5749:PBH5749"/>
    <mergeCell ref="PBI5749:PBI5750"/>
    <mergeCell ref="ONV5749:ONV5750"/>
    <mergeCell ref="ONW5749:OOF5749"/>
    <mergeCell ref="OOH5749:OOQ5749"/>
    <mergeCell ref="OOS5749:OOS5750"/>
    <mergeCell ref="OOU5749:OOZ5749"/>
    <mergeCell ref="OPA5749:OPA5750"/>
    <mergeCell ref="OPB5749:OPB5750"/>
    <mergeCell ref="OPC5749:OPL5749"/>
    <mergeCell ref="OPN5749:OPW5749"/>
    <mergeCell ref="OPY5749:OPY5750"/>
    <mergeCell ref="OQA5749:OQF5749"/>
    <mergeCell ref="OQG5749:OQG5750"/>
    <mergeCell ref="OQH5749:OQH5750"/>
    <mergeCell ref="OQI5749:OQR5749"/>
    <mergeCell ref="OQT5749:ORC5749"/>
    <mergeCell ref="ORE5749:ORE5750"/>
    <mergeCell ref="ORG5749:ORL5749"/>
    <mergeCell ref="ORM5749:ORM5750"/>
    <mergeCell ref="ORN5749:ORN5750"/>
    <mergeCell ref="ORO5749:ORX5749"/>
    <mergeCell ref="ORZ5749:OSI5749"/>
    <mergeCell ref="OSK5749:OSK5750"/>
    <mergeCell ref="OSM5749:OSR5749"/>
    <mergeCell ref="OSS5749:OSS5750"/>
    <mergeCell ref="OST5749:OST5750"/>
    <mergeCell ref="OSU5749:OTD5749"/>
    <mergeCell ref="OTF5749:OTO5749"/>
    <mergeCell ref="OTQ5749:OTQ5750"/>
    <mergeCell ref="OTS5749:OTX5749"/>
    <mergeCell ref="OTY5749:OTY5750"/>
    <mergeCell ref="OTZ5749:OTZ5750"/>
    <mergeCell ref="OUA5749:OUJ5749"/>
    <mergeCell ref="OUL5749:OUU5749"/>
    <mergeCell ref="OHI5749:OHI5750"/>
    <mergeCell ref="OHK5749:OHP5749"/>
    <mergeCell ref="OHQ5749:OHQ5750"/>
    <mergeCell ref="OHR5749:OHR5750"/>
    <mergeCell ref="OHS5749:OIB5749"/>
    <mergeCell ref="OID5749:OIM5749"/>
    <mergeCell ref="OIO5749:OIO5750"/>
    <mergeCell ref="OIQ5749:OIV5749"/>
    <mergeCell ref="OIW5749:OIW5750"/>
    <mergeCell ref="OIX5749:OIX5750"/>
    <mergeCell ref="OIY5749:OJH5749"/>
    <mergeCell ref="OJJ5749:OJS5749"/>
    <mergeCell ref="OJU5749:OJU5750"/>
    <mergeCell ref="OJW5749:OKB5749"/>
    <mergeCell ref="OKC5749:OKC5750"/>
    <mergeCell ref="OKD5749:OKD5750"/>
    <mergeCell ref="OKE5749:OKN5749"/>
    <mergeCell ref="OKP5749:OKY5749"/>
    <mergeCell ref="OLA5749:OLA5750"/>
    <mergeCell ref="OLC5749:OLH5749"/>
    <mergeCell ref="OLI5749:OLI5750"/>
    <mergeCell ref="OLJ5749:OLJ5750"/>
    <mergeCell ref="OLK5749:OLT5749"/>
    <mergeCell ref="OLV5749:OME5749"/>
    <mergeCell ref="OMG5749:OMG5750"/>
    <mergeCell ref="OMI5749:OMN5749"/>
    <mergeCell ref="OMO5749:OMO5750"/>
    <mergeCell ref="OMP5749:OMP5750"/>
    <mergeCell ref="OMQ5749:OMZ5749"/>
    <mergeCell ref="ONB5749:ONK5749"/>
    <mergeCell ref="ONM5749:ONM5750"/>
    <mergeCell ref="ONO5749:ONT5749"/>
    <mergeCell ref="ONU5749:ONU5750"/>
    <mergeCell ref="OAH5749:OAH5750"/>
    <mergeCell ref="OAI5749:OAR5749"/>
    <mergeCell ref="OAT5749:OBC5749"/>
    <mergeCell ref="OBE5749:OBE5750"/>
    <mergeCell ref="OBG5749:OBL5749"/>
    <mergeCell ref="OBM5749:OBM5750"/>
    <mergeCell ref="OBN5749:OBN5750"/>
    <mergeCell ref="OBO5749:OBX5749"/>
    <mergeCell ref="OBZ5749:OCI5749"/>
    <mergeCell ref="OCK5749:OCK5750"/>
    <mergeCell ref="OCM5749:OCR5749"/>
    <mergeCell ref="OCS5749:OCS5750"/>
    <mergeCell ref="OCT5749:OCT5750"/>
    <mergeCell ref="OCU5749:ODD5749"/>
    <mergeCell ref="ODF5749:ODO5749"/>
    <mergeCell ref="ODQ5749:ODQ5750"/>
    <mergeCell ref="ODS5749:ODX5749"/>
    <mergeCell ref="ODY5749:ODY5750"/>
    <mergeCell ref="ODZ5749:ODZ5750"/>
    <mergeCell ref="OEA5749:OEJ5749"/>
    <mergeCell ref="OEL5749:OEU5749"/>
    <mergeCell ref="OEW5749:OEW5750"/>
    <mergeCell ref="OEY5749:OFD5749"/>
    <mergeCell ref="OFE5749:OFE5750"/>
    <mergeCell ref="OFF5749:OFF5750"/>
    <mergeCell ref="OFG5749:OFP5749"/>
    <mergeCell ref="OFR5749:OGA5749"/>
    <mergeCell ref="OGC5749:OGC5750"/>
    <mergeCell ref="OGE5749:OGJ5749"/>
    <mergeCell ref="OGK5749:OGK5750"/>
    <mergeCell ref="OGL5749:OGL5750"/>
    <mergeCell ref="OGM5749:OGV5749"/>
    <mergeCell ref="OGX5749:OHG5749"/>
    <mergeCell ref="NTU5749:NTU5750"/>
    <mergeCell ref="NTW5749:NUB5749"/>
    <mergeCell ref="NUC5749:NUC5750"/>
    <mergeCell ref="NUD5749:NUD5750"/>
    <mergeCell ref="NUE5749:NUN5749"/>
    <mergeCell ref="NUP5749:NUY5749"/>
    <mergeCell ref="NVA5749:NVA5750"/>
    <mergeCell ref="NVC5749:NVH5749"/>
    <mergeCell ref="NVI5749:NVI5750"/>
    <mergeCell ref="NVJ5749:NVJ5750"/>
    <mergeCell ref="NVK5749:NVT5749"/>
    <mergeCell ref="NVV5749:NWE5749"/>
    <mergeCell ref="NWG5749:NWG5750"/>
    <mergeCell ref="NWI5749:NWN5749"/>
    <mergeCell ref="NWO5749:NWO5750"/>
    <mergeCell ref="NWP5749:NWP5750"/>
    <mergeCell ref="NWQ5749:NWZ5749"/>
    <mergeCell ref="NXB5749:NXK5749"/>
    <mergeCell ref="NXM5749:NXM5750"/>
    <mergeCell ref="NXO5749:NXT5749"/>
    <mergeCell ref="NXU5749:NXU5750"/>
    <mergeCell ref="NXV5749:NXV5750"/>
    <mergeCell ref="NXW5749:NYF5749"/>
    <mergeCell ref="NYH5749:NYQ5749"/>
    <mergeCell ref="NYS5749:NYS5750"/>
    <mergeCell ref="NYU5749:NYZ5749"/>
    <mergeCell ref="NZA5749:NZA5750"/>
    <mergeCell ref="NZB5749:NZB5750"/>
    <mergeCell ref="NZC5749:NZL5749"/>
    <mergeCell ref="NZN5749:NZW5749"/>
    <mergeCell ref="NZY5749:NZY5750"/>
    <mergeCell ref="OAA5749:OAF5749"/>
    <mergeCell ref="OAG5749:OAG5750"/>
    <mergeCell ref="NMT5749:NMT5750"/>
    <mergeCell ref="NMU5749:NND5749"/>
    <mergeCell ref="NNF5749:NNO5749"/>
    <mergeCell ref="NNQ5749:NNQ5750"/>
    <mergeCell ref="NNS5749:NNX5749"/>
    <mergeCell ref="NNY5749:NNY5750"/>
    <mergeCell ref="NNZ5749:NNZ5750"/>
    <mergeCell ref="NOA5749:NOJ5749"/>
    <mergeCell ref="NOL5749:NOU5749"/>
    <mergeCell ref="NOW5749:NOW5750"/>
    <mergeCell ref="NOY5749:NPD5749"/>
    <mergeCell ref="NPE5749:NPE5750"/>
    <mergeCell ref="NPF5749:NPF5750"/>
    <mergeCell ref="NPG5749:NPP5749"/>
    <mergeCell ref="NPR5749:NQA5749"/>
    <mergeCell ref="NQC5749:NQC5750"/>
    <mergeCell ref="NQE5749:NQJ5749"/>
    <mergeCell ref="NQK5749:NQK5750"/>
    <mergeCell ref="NQL5749:NQL5750"/>
    <mergeCell ref="NQM5749:NQV5749"/>
    <mergeCell ref="NQX5749:NRG5749"/>
    <mergeCell ref="NRI5749:NRI5750"/>
    <mergeCell ref="NRK5749:NRP5749"/>
    <mergeCell ref="NRQ5749:NRQ5750"/>
    <mergeCell ref="NRR5749:NRR5750"/>
    <mergeCell ref="NRS5749:NSB5749"/>
    <mergeCell ref="NSD5749:NSM5749"/>
    <mergeCell ref="NSO5749:NSO5750"/>
    <mergeCell ref="NSQ5749:NSV5749"/>
    <mergeCell ref="NSW5749:NSW5750"/>
    <mergeCell ref="NSX5749:NSX5750"/>
    <mergeCell ref="NSY5749:NTH5749"/>
    <mergeCell ref="NTJ5749:NTS5749"/>
    <mergeCell ref="NGG5749:NGG5750"/>
    <mergeCell ref="NGI5749:NGN5749"/>
    <mergeCell ref="NGO5749:NGO5750"/>
    <mergeCell ref="NGP5749:NGP5750"/>
    <mergeCell ref="NGQ5749:NGZ5749"/>
    <mergeCell ref="NHB5749:NHK5749"/>
    <mergeCell ref="NHM5749:NHM5750"/>
    <mergeCell ref="NHO5749:NHT5749"/>
    <mergeCell ref="NHU5749:NHU5750"/>
    <mergeCell ref="NHV5749:NHV5750"/>
    <mergeCell ref="NHW5749:NIF5749"/>
    <mergeCell ref="NIH5749:NIQ5749"/>
    <mergeCell ref="NIS5749:NIS5750"/>
    <mergeCell ref="NIU5749:NIZ5749"/>
    <mergeCell ref="NJA5749:NJA5750"/>
    <mergeCell ref="NJB5749:NJB5750"/>
    <mergeCell ref="NJC5749:NJL5749"/>
    <mergeCell ref="NJN5749:NJW5749"/>
    <mergeCell ref="NJY5749:NJY5750"/>
    <mergeCell ref="NKA5749:NKF5749"/>
    <mergeCell ref="NKG5749:NKG5750"/>
    <mergeCell ref="NKH5749:NKH5750"/>
    <mergeCell ref="NKI5749:NKR5749"/>
    <mergeCell ref="NKT5749:NLC5749"/>
    <mergeCell ref="NLE5749:NLE5750"/>
    <mergeCell ref="NLG5749:NLL5749"/>
    <mergeCell ref="NLM5749:NLM5750"/>
    <mergeCell ref="NLN5749:NLN5750"/>
    <mergeCell ref="NLO5749:NLX5749"/>
    <mergeCell ref="NLZ5749:NMI5749"/>
    <mergeCell ref="NMK5749:NMK5750"/>
    <mergeCell ref="NMM5749:NMR5749"/>
    <mergeCell ref="NMS5749:NMS5750"/>
    <mergeCell ref="MZF5749:MZF5750"/>
    <mergeCell ref="MZG5749:MZP5749"/>
    <mergeCell ref="MZR5749:NAA5749"/>
    <mergeCell ref="NAC5749:NAC5750"/>
    <mergeCell ref="NAE5749:NAJ5749"/>
    <mergeCell ref="NAK5749:NAK5750"/>
    <mergeCell ref="NAL5749:NAL5750"/>
    <mergeCell ref="NAM5749:NAV5749"/>
    <mergeCell ref="NAX5749:NBG5749"/>
    <mergeCell ref="NBI5749:NBI5750"/>
    <mergeCell ref="NBK5749:NBP5749"/>
    <mergeCell ref="NBQ5749:NBQ5750"/>
    <mergeCell ref="NBR5749:NBR5750"/>
    <mergeCell ref="NBS5749:NCB5749"/>
    <mergeCell ref="NCD5749:NCM5749"/>
    <mergeCell ref="NCO5749:NCO5750"/>
    <mergeCell ref="NCQ5749:NCV5749"/>
    <mergeCell ref="NCW5749:NCW5750"/>
    <mergeCell ref="NCX5749:NCX5750"/>
    <mergeCell ref="NCY5749:NDH5749"/>
    <mergeCell ref="NDJ5749:NDS5749"/>
    <mergeCell ref="NDU5749:NDU5750"/>
    <mergeCell ref="NDW5749:NEB5749"/>
    <mergeCell ref="NEC5749:NEC5750"/>
    <mergeCell ref="NED5749:NED5750"/>
    <mergeCell ref="NEE5749:NEN5749"/>
    <mergeCell ref="NEP5749:NEY5749"/>
    <mergeCell ref="NFA5749:NFA5750"/>
    <mergeCell ref="NFC5749:NFH5749"/>
    <mergeCell ref="NFI5749:NFI5750"/>
    <mergeCell ref="NFJ5749:NFJ5750"/>
    <mergeCell ref="NFK5749:NFT5749"/>
    <mergeCell ref="NFV5749:NGE5749"/>
    <mergeCell ref="MSS5749:MSS5750"/>
    <mergeCell ref="MSU5749:MSZ5749"/>
    <mergeCell ref="MTA5749:MTA5750"/>
    <mergeCell ref="MTB5749:MTB5750"/>
    <mergeCell ref="MTC5749:MTL5749"/>
    <mergeCell ref="MTN5749:MTW5749"/>
    <mergeCell ref="MTY5749:MTY5750"/>
    <mergeCell ref="MUA5749:MUF5749"/>
    <mergeCell ref="MUG5749:MUG5750"/>
    <mergeCell ref="MUH5749:MUH5750"/>
    <mergeCell ref="MUI5749:MUR5749"/>
    <mergeCell ref="MUT5749:MVC5749"/>
    <mergeCell ref="MVE5749:MVE5750"/>
    <mergeCell ref="MVG5749:MVL5749"/>
    <mergeCell ref="MVM5749:MVM5750"/>
    <mergeCell ref="MVN5749:MVN5750"/>
    <mergeCell ref="MVO5749:MVX5749"/>
    <mergeCell ref="MVZ5749:MWI5749"/>
    <mergeCell ref="MWK5749:MWK5750"/>
    <mergeCell ref="MWM5749:MWR5749"/>
    <mergeCell ref="MWS5749:MWS5750"/>
    <mergeCell ref="MWT5749:MWT5750"/>
    <mergeCell ref="MWU5749:MXD5749"/>
    <mergeCell ref="MXF5749:MXO5749"/>
    <mergeCell ref="MXQ5749:MXQ5750"/>
    <mergeCell ref="MXS5749:MXX5749"/>
    <mergeCell ref="MXY5749:MXY5750"/>
    <mergeCell ref="MXZ5749:MXZ5750"/>
    <mergeCell ref="MYA5749:MYJ5749"/>
    <mergeCell ref="MYL5749:MYU5749"/>
    <mergeCell ref="MYW5749:MYW5750"/>
    <mergeCell ref="MYY5749:MZD5749"/>
    <mergeCell ref="MZE5749:MZE5750"/>
    <mergeCell ref="MLR5749:MLR5750"/>
    <mergeCell ref="MLS5749:MMB5749"/>
    <mergeCell ref="MMD5749:MMM5749"/>
    <mergeCell ref="MMO5749:MMO5750"/>
    <mergeCell ref="MMQ5749:MMV5749"/>
    <mergeCell ref="MMW5749:MMW5750"/>
    <mergeCell ref="MMX5749:MMX5750"/>
    <mergeCell ref="MMY5749:MNH5749"/>
    <mergeCell ref="MNJ5749:MNS5749"/>
    <mergeCell ref="MNU5749:MNU5750"/>
    <mergeCell ref="MNW5749:MOB5749"/>
    <mergeCell ref="MOC5749:MOC5750"/>
    <mergeCell ref="MOD5749:MOD5750"/>
    <mergeCell ref="MOE5749:MON5749"/>
    <mergeCell ref="MOP5749:MOY5749"/>
    <mergeCell ref="MPA5749:MPA5750"/>
    <mergeCell ref="MPC5749:MPH5749"/>
    <mergeCell ref="MPI5749:MPI5750"/>
    <mergeCell ref="MPJ5749:MPJ5750"/>
    <mergeCell ref="MPK5749:MPT5749"/>
    <mergeCell ref="MPV5749:MQE5749"/>
    <mergeCell ref="MQG5749:MQG5750"/>
    <mergeCell ref="MQI5749:MQN5749"/>
    <mergeCell ref="MQO5749:MQO5750"/>
    <mergeCell ref="MQP5749:MQP5750"/>
    <mergeCell ref="MQQ5749:MQZ5749"/>
    <mergeCell ref="MRB5749:MRK5749"/>
    <mergeCell ref="MRM5749:MRM5750"/>
    <mergeCell ref="MRO5749:MRT5749"/>
    <mergeCell ref="MRU5749:MRU5750"/>
    <mergeCell ref="MRV5749:MRV5750"/>
    <mergeCell ref="MRW5749:MSF5749"/>
    <mergeCell ref="MSH5749:MSQ5749"/>
    <mergeCell ref="MFE5749:MFE5750"/>
    <mergeCell ref="MFG5749:MFL5749"/>
    <mergeCell ref="MFM5749:MFM5750"/>
    <mergeCell ref="MFN5749:MFN5750"/>
    <mergeCell ref="MFO5749:MFX5749"/>
    <mergeCell ref="MFZ5749:MGI5749"/>
    <mergeCell ref="MGK5749:MGK5750"/>
    <mergeCell ref="MGM5749:MGR5749"/>
    <mergeCell ref="MGS5749:MGS5750"/>
    <mergeCell ref="MGT5749:MGT5750"/>
    <mergeCell ref="MGU5749:MHD5749"/>
    <mergeCell ref="MHF5749:MHO5749"/>
    <mergeCell ref="MHQ5749:MHQ5750"/>
    <mergeCell ref="MHS5749:MHX5749"/>
    <mergeCell ref="MHY5749:MHY5750"/>
    <mergeCell ref="MHZ5749:MHZ5750"/>
    <mergeCell ref="MIA5749:MIJ5749"/>
    <mergeCell ref="MIL5749:MIU5749"/>
    <mergeCell ref="MIW5749:MIW5750"/>
    <mergeCell ref="MIY5749:MJD5749"/>
    <mergeCell ref="MJE5749:MJE5750"/>
    <mergeCell ref="MJF5749:MJF5750"/>
    <mergeCell ref="MJG5749:MJP5749"/>
    <mergeCell ref="MJR5749:MKA5749"/>
    <mergeCell ref="MKC5749:MKC5750"/>
    <mergeCell ref="MKE5749:MKJ5749"/>
    <mergeCell ref="MKK5749:MKK5750"/>
    <mergeCell ref="MKL5749:MKL5750"/>
    <mergeCell ref="MKM5749:MKV5749"/>
    <mergeCell ref="MKX5749:MLG5749"/>
    <mergeCell ref="MLI5749:MLI5750"/>
    <mergeCell ref="MLK5749:MLP5749"/>
    <mergeCell ref="MLQ5749:MLQ5750"/>
    <mergeCell ref="LYD5749:LYD5750"/>
    <mergeCell ref="LYE5749:LYN5749"/>
    <mergeCell ref="LYP5749:LYY5749"/>
    <mergeCell ref="LZA5749:LZA5750"/>
    <mergeCell ref="LZC5749:LZH5749"/>
    <mergeCell ref="LZI5749:LZI5750"/>
    <mergeCell ref="LZJ5749:LZJ5750"/>
    <mergeCell ref="LZK5749:LZT5749"/>
    <mergeCell ref="LZV5749:MAE5749"/>
    <mergeCell ref="MAG5749:MAG5750"/>
    <mergeCell ref="MAI5749:MAN5749"/>
    <mergeCell ref="MAO5749:MAO5750"/>
    <mergeCell ref="MAP5749:MAP5750"/>
    <mergeCell ref="MAQ5749:MAZ5749"/>
    <mergeCell ref="MBB5749:MBK5749"/>
    <mergeCell ref="MBM5749:MBM5750"/>
    <mergeCell ref="MBO5749:MBT5749"/>
    <mergeCell ref="MBU5749:MBU5750"/>
    <mergeCell ref="MBV5749:MBV5750"/>
    <mergeCell ref="MBW5749:MCF5749"/>
    <mergeCell ref="MCH5749:MCQ5749"/>
    <mergeCell ref="MCS5749:MCS5750"/>
    <mergeCell ref="MCU5749:MCZ5749"/>
    <mergeCell ref="MDA5749:MDA5750"/>
    <mergeCell ref="MDB5749:MDB5750"/>
    <mergeCell ref="MDC5749:MDL5749"/>
    <mergeCell ref="MDN5749:MDW5749"/>
    <mergeCell ref="MDY5749:MDY5750"/>
    <mergeCell ref="MEA5749:MEF5749"/>
    <mergeCell ref="MEG5749:MEG5750"/>
    <mergeCell ref="MEH5749:MEH5750"/>
    <mergeCell ref="MEI5749:MER5749"/>
    <mergeCell ref="MET5749:MFC5749"/>
    <mergeCell ref="LRQ5749:LRQ5750"/>
    <mergeCell ref="LRS5749:LRX5749"/>
    <mergeCell ref="LRY5749:LRY5750"/>
    <mergeCell ref="LRZ5749:LRZ5750"/>
    <mergeCell ref="LSA5749:LSJ5749"/>
    <mergeCell ref="LSL5749:LSU5749"/>
    <mergeCell ref="LSW5749:LSW5750"/>
    <mergeCell ref="LSY5749:LTD5749"/>
    <mergeCell ref="LTE5749:LTE5750"/>
    <mergeCell ref="LTF5749:LTF5750"/>
    <mergeCell ref="LTG5749:LTP5749"/>
    <mergeCell ref="LTR5749:LUA5749"/>
    <mergeCell ref="LUC5749:LUC5750"/>
    <mergeCell ref="LUE5749:LUJ5749"/>
    <mergeCell ref="LUK5749:LUK5750"/>
    <mergeCell ref="LUL5749:LUL5750"/>
    <mergeCell ref="LUM5749:LUV5749"/>
    <mergeCell ref="LUX5749:LVG5749"/>
    <mergeCell ref="LVI5749:LVI5750"/>
    <mergeCell ref="LVK5749:LVP5749"/>
    <mergeCell ref="LVQ5749:LVQ5750"/>
    <mergeCell ref="LVR5749:LVR5750"/>
    <mergeCell ref="LVS5749:LWB5749"/>
    <mergeCell ref="LWD5749:LWM5749"/>
    <mergeCell ref="LWO5749:LWO5750"/>
    <mergeCell ref="LWQ5749:LWV5749"/>
    <mergeCell ref="LWW5749:LWW5750"/>
    <mergeCell ref="LWX5749:LWX5750"/>
    <mergeCell ref="LWY5749:LXH5749"/>
    <mergeCell ref="LXJ5749:LXS5749"/>
    <mergeCell ref="LXU5749:LXU5750"/>
    <mergeCell ref="LXW5749:LYB5749"/>
    <mergeCell ref="LYC5749:LYC5750"/>
    <mergeCell ref="LKP5749:LKP5750"/>
    <mergeCell ref="LKQ5749:LKZ5749"/>
    <mergeCell ref="LLB5749:LLK5749"/>
    <mergeCell ref="LLM5749:LLM5750"/>
    <mergeCell ref="LLO5749:LLT5749"/>
    <mergeCell ref="LLU5749:LLU5750"/>
    <mergeCell ref="LLV5749:LLV5750"/>
    <mergeCell ref="LLW5749:LMF5749"/>
    <mergeCell ref="LMH5749:LMQ5749"/>
    <mergeCell ref="LMS5749:LMS5750"/>
    <mergeCell ref="LMU5749:LMZ5749"/>
    <mergeCell ref="LNA5749:LNA5750"/>
    <mergeCell ref="LNB5749:LNB5750"/>
    <mergeCell ref="LNC5749:LNL5749"/>
    <mergeCell ref="LNN5749:LNW5749"/>
    <mergeCell ref="LNY5749:LNY5750"/>
    <mergeCell ref="LOA5749:LOF5749"/>
    <mergeCell ref="LOG5749:LOG5750"/>
    <mergeCell ref="LOH5749:LOH5750"/>
    <mergeCell ref="LOI5749:LOR5749"/>
    <mergeCell ref="LOT5749:LPC5749"/>
    <mergeCell ref="LPE5749:LPE5750"/>
    <mergeCell ref="LPG5749:LPL5749"/>
    <mergeCell ref="LPM5749:LPM5750"/>
    <mergeCell ref="LPN5749:LPN5750"/>
    <mergeCell ref="LPO5749:LPX5749"/>
    <mergeCell ref="LPZ5749:LQI5749"/>
    <mergeCell ref="LQK5749:LQK5750"/>
    <mergeCell ref="LQM5749:LQR5749"/>
    <mergeCell ref="LQS5749:LQS5750"/>
    <mergeCell ref="LQT5749:LQT5750"/>
    <mergeCell ref="LQU5749:LRD5749"/>
    <mergeCell ref="LRF5749:LRO5749"/>
    <mergeCell ref="LEC5749:LEC5750"/>
    <mergeCell ref="LEE5749:LEJ5749"/>
    <mergeCell ref="LEK5749:LEK5750"/>
    <mergeCell ref="LEL5749:LEL5750"/>
    <mergeCell ref="LEM5749:LEV5749"/>
    <mergeCell ref="LEX5749:LFG5749"/>
    <mergeCell ref="LFI5749:LFI5750"/>
    <mergeCell ref="LFK5749:LFP5749"/>
    <mergeCell ref="LFQ5749:LFQ5750"/>
    <mergeCell ref="LFR5749:LFR5750"/>
    <mergeCell ref="LFS5749:LGB5749"/>
    <mergeCell ref="LGD5749:LGM5749"/>
    <mergeCell ref="LGO5749:LGO5750"/>
    <mergeCell ref="LGQ5749:LGV5749"/>
    <mergeCell ref="LGW5749:LGW5750"/>
    <mergeCell ref="LGX5749:LGX5750"/>
    <mergeCell ref="LGY5749:LHH5749"/>
    <mergeCell ref="LHJ5749:LHS5749"/>
    <mergeCell ref="LHU5749:LHU5750"/>
    <mergeCell ref="LHW5749:LIB5749"/>
    <mergeCell ref="LIC5749:LIC5750"/>
    <mergeCell ref="LID5749:LID5750"/>
    <mergeCell ref="LIE5749:LIN5749"/>
    <mergeCell ref="LIP5749:LIY5749"/>
    <mergeCell ref="LJA5749:LJA5750"/>
    <mergeCell ref="LJC5749:LJH5749"/>
    <mergeCell ref="LJI5749:LJI5750"/>
    <mergeCell ref="LJJ5749:LJJ5750"/>
    <mergeCell ref="LJK5749:LJT5749"/>
    <mergeCell ref="LJV5749:LKE5749"/>
    <mergeCell ref="LKG5749:LKG5750"/>
    <mergeCell ref="LKI5749:LKN5749"/>
    <mergeCell ref="LKO5749:LKO5750"/>
    <mergeCell ref="KXB5749:KXB5750"/>
    <mergeCell ref="KXC5749:KXL5749"/>
    <mergeCell ref="KXN5749:KXW5749"/>
    <mergeCell ref="KXY5749:KXY5750"/>
    <mergeCell ref="KYA5749:KYF5749"/>
    <mergeCell ref="KYG5749:KYG5750"/>
    <mergeCell ref="KYH5749:KYH5750"/>
    <mergeCell ref="KYI5749:KYR5749"/>
    <mergeCell ref="KYT5749:KZC5749"/>
    <mergeCell ref="KZE5749:KZE5750"/>
    <mergeCell ref="KZG5749:KZL5749"/>
    <mergeCell ref="KZM5749:KZM5750"/>
    <mergeCell ref="KZN5749:KZN5750"/>
    <mergeCell ref="KZO5749:KZX5749"/>
    <mergeCell ref="KZZ5749:LAI5749"/>
    <mergeCell ref="LAK5749:LAK5750"/>
    <mergeCell ref="LAM5749:LAR5749"/>
    <mergeCell ref="LAS5749:LAS5750"/>
    <mergeCell ref="LAT5749:LAT5750"/>
    <mergeCell ref="LAU5749:LBD5749"/>
    <mergeCell ref="LBF5749:LBO5749"/>
    <mergeCell ref="LBQ5749:LBQ5750"/>
    <mergeCell ref="LBS5749:LBX5749"/>
    <mergeCell ref="LBY5749:LBY5750"/>
    <mergeCell ref="LBZ5749:LBZ5750"/>
    <mergeCell ref="LCA5749:LCJ5749"/>
    <mergeCell ref="LCL5749:LCU5749"/>
    <mergeCell ref="LCW5749:LCW5750"/>
    <mergeCell ref="LCY5749:LDD5749"/>
    <mergeCell ref="LDE5749:LDE5750"/>
    <mergeCell ref="LDF5749:LDF5750"/>
    <mergeCell ref="LDG5749:LDP5749"/>
    <mergeCell ref="LDR5749:LEA5749"/>
    <mergeCell ref="KQO5749:KQO5750"/>
    <mergeCell ref="KQQ5749:KQV5749"/>
    <mergeCell ref="KQW5749:KQW5750"/>
    <mergeCell ref="KQX5749:KQX5750"/>
    <mergeCell ref="KQY5749:KRH5749"/>
    <mergeCell ref="KRJ5749:KRS5749"/>
    <mergeCell ref="KRU5749:KRU5750"/>
    <mergeCell ref="KRW5749:KSB5749"/>
    <mergeCell ref="KSC5749:KSC5750"/>
    <mergeCell ref="KSD5749:KSD5750"/>
    <mergeCell ref="KSE5749:KSN5749"/>
    <mergeCell ref="KSP5749:KSY5749"/>
    <mergeCell ref="KTA5749:KTA5750"/>
    <mergeCell ref="KTC5749:KTH5749"/>
    <mergeCell ref="KTI5749:KTI5750"/>
    <mergeCell ref="KTJ5749:KTJ5750"/>
    <mergeCell ref="KTK5749:KTT5749"/>
    <mergeCell ref="KTV5749:KUE5749"/>
    <mergeCell ref="KUG5749:KUG5750"/>
    <mergeCell ref="KUI5749:KUN5749"/>
    <mergeCell ref="KUO5749:KUO5750"/>
    <mergeCell ref="KUP5749:KUP5750"/>
    <mergeCell ref="KUQ5749:KUZ5749"/>
    <mergeCell ref="KVB5749:KVK5749"/>
    <mergeCell ref="KVM5749:KVM5750"/>
    <mergeCell ref="KVO5749:KVT5749"/>
    <mergeCell ref="KVU5749:KVU5750"/>
    <mergeCell ref="KVV5749:KVV5750"/>
    <mergeCell ref="KVW5749:KWF5749"/>
    <mergeCell ref="KWH5749:KWQ5749"/>
    <mergeCell ref="KWS5749:KWS5750"/>
    <mergeCell ref="KWU5749:KWZ5749"/>
    <mergeCell ref="KXA5749:KXA5750"/>
    <mergeCell ref="KJN5749:KJN5750"/>
    <mergeCell ref="KJO5749:KJX5749"/>
    <mergeCell ref="KJZ5749:KKI5749"/>
    <mergeCell ref="KKK5749:KKK5750"/>
    <mergeCell ref="KKM5749:KKR5749"/>
    <mergeCell ref="KKS5749:KKS5750"/>
    <mergeCell ref="KKT5749:KKT5750"/>
    <mergeCell ref="KKU5749:KLD5749"/>
    <mergeCell ref="KLF5749:KLO5749"/>
    <mergeCell ref="KLQ5749:KLQ5750"/>
    <mergeCell ref="KLS5749:KLX5749"/>
    <mergeCell ref="KLY5749:KLY5750"/>
    <mergeCell ref="KLZ5749:KLZ5750"/>
    <mergeCell ref="KMA5749:KMJ5749"/>
    <mergeCell ref="KML5749:KMU5749"/>
    <mergeCell ref="KMW5749:KMW5750"/>
    <mergeCell ref="KMY5749:KND5749"/>
    <mergeCell ref="KNE5749:KNE5750"/>
    <mergeCell ref="KNF5749:KNF5750"/>
    <mergeCell ref="KNG5749:KNP5749"/>
    <mergeCell ref="KNR5749:KOA5749"/>
    <mergeCell ref="KOC5749:KOC5750"/>
    <mergeCell ref="KOE5749:KOJ5749"/>
    <mergeCell ref="KOK5749:KOK5750"/>
    <mergeCell ref="KOL5749:KOL5750"/>
    <mergeCell ref="KOM5749:KOV5749"/>
    <mergeCell ref="KOX5749:KPG5749"/>
    <mergeCell ref="KPI5749:KPI5750"/>
    <mergeCell ref="KPK5749:KPP5749"/>
    <mergeCell ref="KPQ5749:KPQ5750"/>
    <mergeCell ref="KPR5749:KPR5750"/>
    <mergeCell ref="KPS5749:KQB5749"/>
    <mergeCell ref="KQD5749:KQM5749"/>
    <mergeCell ref="KDA5749:KDA5750"/>
    <mergeCell ref="KDC5749:KDH5749"/>
    <mergeCell ref="KDI5749:KDI5750"/>
    <mergeCell ref="KDJ5749:KDJ5750"/>
    <mergeCell ref="KDK5749:KDT5749"/>
    <mergeCell ref="KDV5749:KEE5749"/>
    <mergeCell ref="KEG5749:KEG5750"/>
    <mergeCell ref="KEI5749:KEN5749"/>
    <mergeCell ref="KEO5749:KEO5750"/>
    <mergeCell ref="KEP5749:KEP5750"/>
    <mergeCell ref="KEQ5749:KEZ5749"/>
    <mergeCell ref="KFB5749:KFK5749"/>
    <mergeCell ref="KFM5749:KFM5750"/>
    <mergeCell ref="KFO5749:KFT5749"/>
    <mergeCell ref="KFU5749:KFU5750"/>
    <mergeCell ref="KFV5749:KFV5750"/>
    <mergeCell ref="KFW5749:KGF5749"/>
    <mergeCell ref="KGH5749:KGQ5749"/>
    <mergeCell ref="KGS5749:KGS5750"/>
    <mergeCell ref="KGU5749:KGZ5749"/>
    <mergeCell ref="KHA5749:KHA5750"/>
    <mergeCell ref="KHB5749:KHB5750"/>
    <mergeCell ref="KHC5749:KHL5749"/>
    <mergeCell ref="KHN5749:KHW5749"/>
    <mergeCell ref="KHY5749:KHY5750"/>
    <mergeCell ref="KIA5749:KIF5749"/>
    <mergeCell ref="KIG5749:KIG5750"/>
    <mergeCell ref="KIH5749:KIH5750"/>
    <mergeCell ref="KII5749:KIR5749"/>
    <mergeCell ref="KIT5749:KJC5749"/>
    <mergeCell ref="KJE5749:KJE5750"/>
    <mergeCell ref="KJG5749:KJL5749"/>
    <mergeCell ref="KJM5749:KJM5750"/>
    <mergeCell ref="JVZ5749:JVZ5750"/>
    <mergeCell ref="JWA5749:JWJ5749"/>
    <mergeCell ref="JWL5749:JWU5749"/>
    <mergeCell ref="JWW5749:JWW5750"/>
    <mergeCell ref="JWY5749:JXD5749"/>
    <mergeCell ref="JXE5749:JXE5750"/>
    <mergeCell ref="JXF5749:JXF5750"/>
    <mergeCell ref="JXG5749:JXP5749"/>
    <mergeCell ref="JXR5749:JYA5749"/>
    <mergeCell ref="JYC5749:JYC5750"/>
    <mergeCell ref="JYE5749:JYJ5749"/>
    <mergeCell ref="JYK5749:JYK5750"/>
    <mergeCell ref="JYL5749:JYL5750"/>
    <mergeCell ref="JYM5749:JYV5749"/>
    <mergeCell ref="JYX5749:JZG5749"/>
    <mergeCell ref="JZI5749:JZI5750"/>
    <mergeCell ref="JZK5749:JZP5749"/>
    <mergeCell ref="JZQ5749:JZQ5750"/>
    <mergeCell ref="JZR5749:JZR5750"/>
    <mergeCell ref="JZS5749:KAB5749"/>
    <mergeCell ref="KAD5749:KAM5749"/>
    <mergeCell ref="KAO5749:KAO5750"/>
    <mergeCell ref="KAQ5749:KAV5749"/>
    <mergeCell ref="KAW5749:KAW5750"/>
    <mergeCell ref="KAX5749:KAX5750"/>
    <mergeCell ref="KAY5749:KBH5749"/>
    <mergeCell ref="KBJ5749:KBS5749"/>
    <mergeCell ref="KBU5749:KBU5750"/>
    <mergeCell ref="KBW5749:KCB5749"/>
    <mergeCell ref="KCC5749:KCC5750"/>
    <mergeCell ref="KCD5749:KCD5750"/>
    <mergeCell ref="KCE5749:KCN5749"/>
    <mergeCell ref="KCP5749:KCY5749"/>
    <mergeCell ref="JPM5749:JPM5750"/>
    <mergeCell ref="JPO5749:JPT5749"/>
    <mergeCell ref="JPU5749:JPU5750"/>
    <mergeCell ref="JPV5749:JPV5750"/>
    <mergeCell ref="JPW5749:JQF5749"/>
    <mergeCell ref="JQH5749:JQQ5749"/>
    <mergeCell ref="JQS5749:JQS5750"/>
    <mergeCell ref="JQU5749:JQZ5749"/>
    <mergeCell ref="JRA5749:JRA5750"/>
    <mergeCell ref="JRB5749:JRB5750"/>
    <mergeCell ref="JRC5749:JRL5749"/>
    <mergeCell ref="JRN5749:JRW5749"/>
    <mergeCell ref="JRY5749:JRY5750"/>
    <mergeCell ref="JSA5749:JSF5749"/>
    <mergeCell ref="JSG5749:JSG5750"/>
    <mergeCell ref="JSH5749:JSH5750"/>
    <mergeCell ref="JSI5749:JSR5749"/>
    <mergeCell ref="JST5749:JTC5749"/>
    <mergeCell ref="JTE5749:JTE5750"/>
    <mergeCell ref="JTG5749:JTL5749"/>
    <mergeCell ref="JTM5749:JTM5750"/>
    <mergeCell ref="JTN5749:JTN5750"/>
    <mergeCell ref="JTO5749:JTX5749"/>
    <mergeCell ref="JTZ5749:JUI5749"/>
    <mergeCell ref="JUK5749:JUK5750"/>
    <mergeCell ref="JUM5749:JUR5749"/>
    <mergeCell ref="JUS5749:JUS5750"/>
    <mergeCell ref="JUT5749:JUT5750"/>
    <mergeCell ref="JUU5749:JVD5749"/>
    <mergeCell ref="JVF5749:JVO5749"/>
    <mergeCell ref="JVQ5749:JVQ5750"/>
    <mergeCell ref="JVS5749:JVX5749"/>
    <mergeCell ref="JVY5749:JVY5750"/>
    <mergeCell ref="JIL5749:JIL5750"/>
    <mergeCell ref="JIM5749:JIV5749"/>
    <mergeCell ref="JIX5749:JJG5749"/>
    <mergeCell ref="JJI5749:JJI5750"/>
    <mergeCell ref="JJK5749:JJP5749"/>
    <mergeCell ref="JJQ5749:JJQ5750"/>
    <mergeCell ref="JJR5749:JJR5750"/>
    <mergeCell ref="JJS5749:JKB5749"/>
    <mergeCell ref="JKD5749:JKM5749"/>
    <mergeCell ref="JKO5749:JKO5750"/>
    <mergeCell ref="JKQ5749:JKV5749"/>
    <mergeCell ref="JKW5749:JKW5750"/>
    <mergeCell ref="JKX5749:JKX5750"/>
    <mergeCell ref="JKY5749:JLH5749"/>
    <mergeCell ref="JLJ5749:JLS5749"/>
    <mergeCell ref="JLU5749:JLU5750"/>
    <mergeCell ref="JLW5749:JMB5749"/>
    <mergeCell ref="JMC5749:JMC5750"/>
    <mergeCell ref="JMD5749:JMD5750"/>
    <mergeCell ref="JME5749:JMN5749"/>
    <mergeCell ref="JMP5749:JMY5749"/>
    <mergeCell ref="JNA5749:JNA5750"/>
    <mergeCell ref="JNC5749:JNH5749"/>
    <mergeCell ref="JNI5749:JNI5750"/>
    <mergeCell ref="JNJ5749:JNJ5750"/>
    <mergeCell ref="JNK5749:JNT5749"/>
    <mergeCell ref="JNV5749:JOE5749"/>
    <mergeCell ref="JOG5749:JOG5750"/>
    <mergeCell ref="JOI5749:JON5749"/>
    <mergeCell ref="JOO5749:JOO5750"/>
    <mergeCell ref="JOP5749:JOP5750"/>
    <mergeCell ref="JOQ5749:JOZ5749"/>
    <mergeCell ref="JPB5749:JPK5749"/>
    <mergeCell ref="JBY5749:JBY5750"/>
    <mergeCell ref="JCA5749:JCF5749"/>
    <mergeCell ref="JCG5749:JCG5750"/>
    <mergeCell ref="JCH5749:JCH5750"/>
    <mergeCell ref="JCI5749:JCR5749"/>
    <mergeCell ref="JCT5749:JDC5749"/>
    <mergeCell ref="JDE5749:JDE5750"/>
    <mergeCell ref="JDG5749:JDL5749"/>
    <mergeCell ref="JDM5749:JDM5750"/>
    <mergeCell ref="JDN5749:JDN5750"/>
    <mergeCell ref="JDO5749:JDX5749"/>
    <mergeCell ref="JDZ5749:JEI5749"/>
    <mergeCell ref="JEK5749:JEK5750"/>
    <mergeCell ref="JEM5749:JER5749"/>
    <mergeCell ref="JES5749:JES5750"/>
    <mergeCell ref="JET5749:JET5750"/>
    <mergeCell ref="JEU5749:JFD5749"/>
    <mergeCell ref="JFF5749:JFO5749"/>
    <mergeCell ref="JFQ5749:JFQ5750"/>
    <mergeCell ref="JFS5749:JFX5749"/>
    <mergeCell ref="JFY5749:JFY5750"/>
    <mergeCell ref="JFZ5749:JFZ5750"/>
    <mergeCell ref="JGA5749:JGJ5749"/>
    <mergeCell ref="JGL5749:JGU5749"/>
    <mergeCell ref="JGW5749:JGW5750"/>
    <mergeCell ref="JGY5749:JHD5749"/>
    <mergeCell ref="JHE5749:JHE5750"/>
    <mergeCell ref="JHF5749:JHF5750"/>
    <mergeCell ref="JHG5749:JHP5749"/>
    <mergeCell ref="JHR5749:JIA5749"/>
    <mergeCell ref="JIC5749:JIC5750"/>
    <mergeCell ref="JIE5749:JIJ5749"/>
    <mergeCell ref="JIK5749:JIK5750"/>
    <mergeCell ref="IUX5749:IUX5750"/>
    <mergeCell ref="IUY5749:IVH5749"/>
    <mergeCell ref="IVJ5749:IVS5749"/>
    <mergeCell ref="IVU5749:IVU5750"/>
    <mergeCell ref="IVW5749:IWB5749"/>
    <mergeCell ref="IWC5749:IWC5750"/>
    <mergeCell ref="IWD5749:IWD5750"/>
    <mergeCell ref="IWE5749:IWN5749"/>
    <mergeCell ref="IWP5749:IWY5749"/>
    <mergeCell ref="IXA5749:IXA5750"/>
    <mergeCell ref="IXC5749:IXH5749"/>
    <mergeCell ref="IXI5749:IXI5750"/>
    <mergeCell ref="IXJ5749:IXJ5750"/>
    <mergeCell ref="IXK5749:IXT5749"/>
    <mergeCell ref="IXV5749:IYE5749"/>
    <mergeCell ref="IYG5749:IYG5750"/>
    <mergeCell ref="IYI5749:IYN5749"/>
    <mergeCell ref="IYO5749:IYO5750"/>
    <mergeCell ref="IYP5749:IYP5750"/>
    <mergeCell ref="IYQ5749:IYZ5749"/>
    <mergeCell ref="IZB5749:IZK5749"/>
    <mergeCell ref="IZM5749:IZM5750"/>
    <mergeCell ref="IZO5749:IZT5749"/>
    <mergeCell ref="IZU5749:IZU5750"/>
    <mergeCell ref="IZV5749:IZV5750"/>
    <mergeCell ref="IZW5749:JAF5749"/>
    <mergeCell ref="JAH5749:JAQ5749"/>
    <mergeCell ref="JAS5749:JAS5750"/>
    <mergeCell ref="JAU5749:JAZ5749"/>
    <mergeCell ref="JBA5749:JBA5750"/>
    <mergeCell ref="JBB5749:JBB5750"/>
    <mergeCell ref="JBC5749:JBL5749"/>
    <mergeCell ref="JBN5749:JBW5749"/>
    <mergeCell ref="IOK5749:IOK5750"/>
    <mergeCell ref="IOM5749:IOR5749"/>
    <mergeCell ref="IOS5749:IOS5750"/>
    <mergeCell ref="IOT5749:IOT5750"/>
    <mergeCell ref="IOU5749:IPD5749"/>
    <mergeCell ref="IPF5749:IPO5749"/>
    <mergeCell ref="IPQ5749:IPQ5750"/>
    <mergeCell ref="IPS5749:IPX5749"/>
    <mergeCell ref="IPY5749:IPY5750"/>
    <mergeCell ref="IPZ5749:IPZ5750"/>
    <mergeCell ref="IQA5749:IQJ5749"/>
    <mergeCell ref="IQL5749:IQU5749"/>
    <mergeCell ref="IQW5749:IQW5750"/>
    <mergeCell ref="IQY5749:IRD5749"/>
    <mergeCell ref="IRE5749:IRE5750"/>
    <mergeCell ref="IRF5749:IRF5750"/>
    <mergeCell ref="IRG5749:IRP5749"/>
    <mergeCell ref="IRR5749:ISA5749"/>
    <mergeCell ref="ISC5749:ISC5750"/>
    <mergeCell ref="ISE5749:ISJ5749"/>
    <mergeCell ref="ISK5749:ISK5750"/>
    <mergeCell ref="ISL5749:ISL5750"/>
    <mergeCell ref="ISM5749:ISV5749"/>
    <mergeCell ref="ISX5749:ITG5749"/>
    <mergeCell ref="ITI5749:ITI5750"/>
    <mergeCell ref="ITK5749:ITP5749"/>
    <mergeCell ref="ITQ5749:ITQ5750"/>
    <mergeCell ref="ITR5749:ITR5750"/>
    <mergeCell ref="ITS5749:IUB5749"/>
    <mergeCell ref="IUD5749:IUM5749"/>
    <mergeCell ref="IUO5749:IUO5750"/>
    <mergeCell ref="IUQ5749:IUV5749"/>
    <mergeCell ref="IUW5749:IUW5750"/>
    <mergeCell ref="IHJ5749:IHJ5750"/>
    <mergeCell ref="IHK5749:IHT5749"/>
    <mergeCell ref="IHV5749:IIE5749"/>
    <mergeCell ref="IIG5749:IIG5750"/>
    <mergeCell ref="III5749:IIN5749"/>
    <mergeCell ref="IIO5749:IIO5750"/>
    <mergeCell ref="IIP5749:IIP5750"/>
    <mergeCell ref="IIQ5749:IIZ5749"/>
    <mergeCell ref="IJB5749:IJK5749"/>
    <mergeCell ref="IJM5749:IJM5750"/>
    <mergeCell ref="IJO5749:IJT5749"/>
    <mergeCell ref="IJU5749:IJU5750"/>
    <mergeCell ref="IJV5749:IJV5750"/>
    <mergeCell ref="IJW5749:IKF5749"/>
    <mergeCell ref="IKH5749:IKQ5749"/>
    <mergeCell ref="IKS5749:IKS5750"/>
    <mergeCell ref="IKU5749:IKZ5749"/>
    <mergeCell ref="ILA5749:ILA5750"/>
    <mergeCell ref="ILB5749:ILB5750"/>
    <mergeCell ref="ILC5749:ILL5749"/>
    <mergeCell ref="ILN5749:ILW5749"/>
    <mergeCell ref="ILY5749:ILY5750"/>
    <mergeCell ref="IMA5749:IMF5749"/>
    <mergeCell ref="IMG5749:IMG5750"/>
    <mergeCell ref="IMH5749:IMH5750"/>
    <mergeCell ref="IMI5749:IMR5749"/>
    <mergeCell ref="IMT5749:INC5749"/>
    <mergeCell ref="INE5749:INE5750"/>
    <mergeCell ref="ING5749:INL5749"/>
    <mergeCell ref="INM5749:INM5750"/>
    <mergeCell ref="INN5749:INN5750"/>
    <mergeCell ref="INO5749:INX5749"/>
    <mergeCell ref="INZ5749:IOI5749"/>
    <mergeCell ref="IAW5749:IAW5750"/>
    <mergeCell ref="IAY5749:IBD5749"/>
    <mergeCell ref="IBE5749:IBE5750"/>
    <mergeCell ref="IBF5749:IBF5750"/>
    <mergeCell ref="IBG5749:IBP5749"/>
    <mergeCell ref="IBR5749:ICA5749"/>
    <mergeCell ref="ICC5749:ICC5750"/>
    <mergeCell ref="ICE5749:ICJ5749"/>
    <mergeCell ref="ICK5749:ICK5750"/>
    <mergeCell ref="ICL5749:ICL5750"/>
    <mergeCell ref="ICM5749:ICV5749"/>
    <mergeCell ref="ICX5749:IDG5749"/>
    <mergeCell ref="IDI5749:IDI5750"/>
    <mergeCell ref="IDK5749:IDP5749"/>
    <mergeCell ref="IDQ5749:IDQ5750"/>
    <mergeCell ref="IDR5749:IDR5750"/>
    <mergeCell ref="IDS5749:IEB5749"/>
    <mergeCell ref="IED5749:IEM5749"/>
    <mergeCell ref="IEO5749:IEO5750"/>
    <mergeCell ref="IEQ5749:IEV5749"/>
    <mergeCell ref="IEW5749:IEW5750"/>
    <mergeCell ref="IEX5749:IEX5750"/>
    <mergeCell ref="IEY5749:IFH5749"/>
    <mergeCell ref="IFJ5749:IFS5749"/>
    <mergeCell ref="IFU5749:IFU5750"/>
    <mergeCell ref="IFW5749:IGB5749"/>
    <mergeCell ref="IGC5749:IGC5750"/>
    <mergeCell ref="IGD5749:IGD5750"/>
    <mergeCell ref="IGE5749:IGN5749"/>
    <mergeCell ref="IGP5749:IGY5749"/>
    <mergeCell ref="IHA5749:IHA5750"/>
    <mergeCell ref="IHC5749:IHH5749"/>
    <mergeCell ref="IHI5749:IHI5750"/>
    <mergeCell ref="HTV5749:HTV5750"/>
    <mergeCell ref="HTW5749:HUF5749"/>
    <mergeCell ref="HUH5749:HUQ5749"/>
    <mergeCell ref="HUS5749:HUS5750"/>
    <mergeCell ref="HUU5749:HUZ5749"/>
    <mergeCell ref="HVA5749:HVA5750"/>
    <mergeCell ref="HVB5749:HVB5750"/>
    <mergeCell ref="HVC5749:HVL5749"/>
    <mergeCell ref="HVN5749:HVW5749"/>
    <mergeCell ref="HVY5749:HVY5750"/>
    <mergeCell ref="HWA5749:HWF5749"/>
    <mergeCell ref="HWG5749:HWG5750"/>
    <mergeCell ref="HWH5749:HWH5750"/>
    <mergeCell ref="HWI5749:HWR5749"/>
    <mergeCell ref="HWT5749:HXC5749"/>
    <mergeCell ref="HXE5749:HXE5750"/>
    <mergeCell ref="HXG5749:HXL5749"/>
    <mergeCell ref="HXM5749:HXM5750"/>
    <mergeCell ref="HXN5749:HXN5750"/>
    <mergeCell ref="HXO5749:HXX5749"/>
    <mergeCell ref="HXZ5749:HYI5749"/>
    <mergeCell ref="HYK5749:HYK5750"/>
    <mergeCell ref="HYM5749:HYR5749"/>
    <mergeCell ref="HYS5749:HYS5750"/>
    <mergeCell ref="HYT5749:HYT5750"/>
    <mergeCell ref="HYU5749:HZD5749"/>
    <mergeCell ref="HZF5749:HZO5749"/>
    <mergeCell ref="HZQ5749:HZQ5750"/>
    <mergeCell ref="HZS5749:HZX5749"/>
    <mergeCell ref="HZY5749:HZY5750"/>
    <mergeCell ref="HZZ5749:HZZ5750"/>
    <mergeCell ref="IAA5749:IAJ5749"/>
    <mergeCell ref="IAL5749:IAU5749"/>
    <mergeCell ref="HNI5749:HNI5750"/>
    <mergeCell ref="HNK5749:HNP5749"/>
    <mergeCell ref="HNQ5749:HNQ5750"/>
    <mergeCell ref="HNR5749:HNR5750"/>
    <mergeCell ref="HNS5749:HOB5749"/>
    <mergeCell ref="HOD5749:HOM5749"/>
    <mergeCell ref="HOO5749:HOO5750"/>
    <mergeCell ref="HOQ5749:HOV5749"/>
    <mergeCell ref="HOW5749:HOW5750"/>
    <mergeCell ref="HOX5749:HOX5750"/>
    <mergeCell ref="HOY5749:HPH5749"/>
    <mergeCell ref="HPJ5749:HPS5749"/>
    <mergeCell ref="HPU5749:HPU5750"/>
    <mergeCell ref="HPW5749:HQB5749"/>
    <mergeCell ref="HQC5749:HQC5750"/>
    <mergeCell ref="HQD5749:HQD5750"/>
    <mergeCell ref="HQE5749:HQN5749"/>
    <mergeCell ref="HQP5749:HQY5749"/>
    <mergeCell ref="HRA5749:HRA5750"/>
    <mergeCell ref="HRC5749:HRH5749"/>
    <mergeCell ref="HRI5749:HRI5750"/>
    <mergeCell ref="HRJ5749:HRJ5750"/>
    <mergeCell ref="HRK5749:HRT5749"/>
    <mergeCell ref="HRV5749:HSE5749"/>
    <mergeCell ref="HSG5749:HSG5750"/>
    <mergeCell ref="HSI5749:HSN5749"/>
    <mergeCell ref="HSO5749:HSO5750"/>
    <mergeCell ref="HSP5749:HSP5750"/>
    <mergeCell ref="HSQ5749:HSZ5749"/>
    <mergeCell ref="HTB5749:HTK5749"/>
    <mergeCell ref="HTM5749:HTM5750"/>
    <mergeCell ref="HTO5749:HTT5749"/>
    <mergeCell ref="HTU5749:HTU5750"/>
    <mergeCell ref="HGH5749:HGH5750"/>
    <mergeCell ref="HGI5749:HGR5749"/>
    <mergeCell ref="HGT5749:HHC5749"/>
    <mergeCell ref="HHE5749:HHE5750"/>
    <mergeCell ref="HHG5749:HHL5749"/>
    <mergeCell ref="HHM5749:HHM5750"/>
    <mergeCell ref="HHN5749:HHN5750"/>
    <mergeCell ref="HHO5749:HHX5749"/>
    <mergeCell ref="HHZ5749:HII5749"/>
    <mergeCell ref="HIK5749:HIK5750"/>
    <mergeCell ref="HIM5749:HIR5749"/>
    <mergeCell ref="HIS5749:HIS5750"/>
    <mergeCell ref="HIT5749:HIT5750"/>
    <mergeCell ref="HIU5749:HJD5749"/>
    <mergeCell ref="HJF5749:HJO5749"/>
    <mergeCell ref="HJQ5749:HJQ5750"/>
    <mergeCell ref="HJS5749:HJX5749"/>
    <mergeCell ref="HJY5749:HJY5750"/>
    <mergeCell ref="HJZ5749:HJZ5750"/>
    <mergeCell ref="HKA5749:HKJ5749"/>
    <mergeCell ref="HKL5749:HKU5749"/>
    <mergeCell ref="HKW5749:HKW5750"/>
    <mergeCell ref="HKY5749:HLD5749"/>
    <mergeCell ref="HLE5749:HLE5750"/>
    <mergeCell ref="HLF5749:HLF5750"/>
    <mergeCell ref="HLG5749:HLP5749"/>
    <mergeCell ref="HLR5749:HMA5749"/>
    <mergeCell ref="HMC5749:HMC5750"/>
    <mergeCell ref="HME5749:HMJ5749"/>
    <mergeCell ref="HMK5749:HMK5750"/>
    <mergeCell ref="HML5749:HML5750"/>
    <mergeCell ref="HMM5749:HMV5749"/>
    <mergeCell ref="HMX5749:HNG5749"/>
    <mergeCell ref="GZU5749:GZU5750"/>
    <mergeCell ref="GZW5749:HAB5749"/>
    <mergeCell ref="HAC5749:HAC5750"/>
    <mergeCell ref="HAD5749:HAD5750"/>
    <mergeCell ref="HAE5749:HAN5749"/>
    <mergeCell ref="HAP5749:HAY5749"/>
    <mergeCell ref="HBA5749:HBA5750"/>
    <mergeCell ref="HBC5749:HBH5749"/>
    <mergeCell ref="HBI5749:HBI5750"/>
    <mergeCell ref="HBJ5749:HBJ5750"/>
    <mergeCell ref="HBK5749:HBT5749"/>
    <mergeCell ref="HBV5749:HCE5749"/>
    <mergeCell ref="HCG5749:HCG5750"/>
    <mergeCell ref="HCI5749:HCN5749"/>
    <mergeCell ref="HCO5749:HCO5750"/>
    <mergeCell ref="HCP5749:HCP5750"/>
    <mergeCell ref="HCQ5749:HCZ5749"/>
    <mergeCell ref="HDB5749:HDK5749"/>
    <mergeCell ref="HDM5749:HDM5750"/>
    <mergeCell ref="HDO5749:HDT5749"/>
    <mergeCell ref="HDU5749:HDU5750"/>
    <mergeCell ref="HDV5749:HDV5750"/>
    <mergeCell ref="HDW5749:HEF5749"/>
    <mergeCell ref="HEH5749:HEQ5749"/>
    <mergeCell ref="HES5749:HES5750"/>
    <mergeCell ref="HEU5749:HEZ5749"/>
    <mergeCell ref="HFA5749:HFA5750"/>
    <mergeCell ref="HFB5749:HFB5750"/>
    <mergeCell ref="HFC5749:HFL5749"/>
    <mergeCell ref="HFN5749:HFW5749"/>
    <mergeCell ref="HFY5749:HFY5750"/>
    <mergeCell ref="HGA5749:HGF5749"/>
    <mergeCell ref="HGG5749:HGG5750"/>
    <mergeCell ref="GST5749:GST5750"/>
    <mergeCell ref="GSU5749:GTD5749"/>
    <mergeCell ref="GTF5749:GTO5749"/>
    <mergeCell ref="GTQ5749:GTQ5750"/>
    <mergeCell ref="GTS5749:GTX5749"/>
    <mergeCell ref="GTY5749:GTY5750"/>
    <mergeCell ref="GTZ5749:GTZ5750"/>
    <mergeCell ref="GUA5749:GUJ5749"/>
    <mergeCell ref="GUL5749:GUU5749"/>
    <mergeCell ref="GUW5749:GUW5750"/>
    <mergeCell ref="GUY5749:GVD5749"/>
    <mergeCell ref="GVE5749:GVE5750"/>
    <mergeCell ref="GVF5749:GVF5750"/>
    <mergeCell ref="GVG5749:GVP5749"/>
    <mergeCell ref="GVR5749:GWA5749"/>
    <mergeCell ref="GWC5749:GWC5750"/>
    <mergeCell ref="GWE5749:GWJ5749"/>
    <mergeCell ref="GWK5749:GWK5750"/>
    <mergeCell ref="GWL5749:GWL5750"/>
    <mergeCell ref="GWM5749:GWV5749"/>
    <mergeCell ref="GWX5749:GXG5749"/>
    <mergeCell ref="GXI5749:GXI5750"/>
    <mergeCell ref="GXK5749:GXP5749"/>
    <mergeCell ref="GXQ5749:GXQ5750"/>
    <mergeCell ref="GXR5749:GXR5750"/>
    <mergeCell ref="GXS5749:GYB5749"/>
    <mergeCell ref="GYD5749:GYM5749"/>
    <mergeCell ref="GYO5749:GYO5750"/>
    <mergeCell ref="GYQ5749:GYV5749"/>
    <mergeCell ref="GYW5749:GYW5750"/>
    <mergeCell ref="GYX5749:GYX5750"/>
    <mergeCell ref="GYY5749:GZH5749"/>
    <mergeCell ref="GZJ5749:GZS5749"/>
    <mergeCell ref="GMG5749:GMG5750"/>
    <mergeCell ref="GMI5749:GMN5749"/>
    <mergeCell ref="GMO5749:GMO5750"/>
    <mergeCell ref="GMP5749:GMP5750"/>
    <mergeCell ref="GMQ5749:GMZ5749"/>
    <mergeCell ref="GNB5749:GNK5749"/>
    <mergeCell ref="GNM5749:GNM5750"/>
    <mergeCell ref="GNO5749:GNT5749"/>
    <mergeCell ref="GNU5749:GNU5750"/>
    <mergeCell ref="GNV5749:GNV5750"/>
    <mergeCell ref="GNW5749:GOF5749"/>
    <mergeCell ref="GOH5749:GOQ5749"/>
    <mergeCell ref="GOS5749:GOS5750"/>
    <mergeCell ref="GOU5749:GOZ5749"/>
    <mergeCell ref="GPA5749:GPA5750"/>
    <mergeCell ref="GPB5749:GPB5750"/>
    <mergeCell ref="GPC5749:GPL5749"/>
    <mergeCell ref="GPN5749:GPW5749"/>
    <mergeCell ref="GPY5749:GPY5750"/>
    <mergeCell ref="GQA5749:GQF5749"/>
    <mergeCell ref="GQG5749:GQG5750"/>
    <mergeCell ref="GQH5749:GQH5750"/>
    <mergeCell ref="GQI5749:GQR5749"/>
    <mergeCell ref="GQT5749:GRC5749"/>
    <mergeCell ref="GRE5749:GRE5750"/>
    <mergeCell ref="GRG5749:GRL5749"/>
    <mergeCell ref="GRM5749:GRM5750"/>
    <mergeCell ref="GRN5749:GRN5750"/>
    <mergeCell ref="GRO5749:GRX5749"/>
    <mergeCell ref="GRZ5749:GSI5749"/>
    <mergeCell ref="GSK5749:GSK5750"/>
    <mergeCell ref="GSM5749:GSR5749"/>
    <mergeCell ref="GSS5749:GSS5750"/>
    <mergeCell ref="GFF5749:GFF5750"/>
    <mergeCell ref="GFG5749:GFP5749"/>
    <mergeCell ref="GFR5749:GGA5749"/>
    <mergeCell ref="GGC5749:GGC5750"/>
    <mergeCell ref="GGE5749:GGJ5749"/>
    <mergeCell ref="GGK5749:GGK5750"/>
    <mergeCell ref="GGL5749:GGL5750"/>
    <mergeCell ref="GGM5749:GGV5749"/>
    <mergeCell ref="GGX5749:GHG5749"/>
    <mergeCell ref="GHI5749:GHI5750"/>
    <mergeCell ref="GHK5749:GHP5749"/>
    <mergeCell ref="GHQ5749:GHQ5750"/>
    <mergeCell ref="GHR5749:GHR5750"/>
    <mergeCell ref="GHS5749:GIB5749"/>
    <mergeCell ref="GID5749:GIM5749"/>
    <mergeCell ref="GIO5749:GIO5750"/>
    <mergeCell ref="GIQ5749:GIV5749"/>
    <mergeCell ref="GIW5749:GIW5750"/>
    <mergeCell ref="GIX5749:GIX5750"/>
    <mergeCell ref="GIY5749:GJH5749"/>
    <mergeCell ref="GJJ5749:GJS5749"/>
    <mergeCell ref="GJU5749:GJU5750"/>
    <mergeCell ref="GJW5749:GKB5749"/>
    <mergeCell ref="GKC5749:GKC5750"/>
    <mergeCell ref="GKD5749:GKD5750"/>
    <mergeCell ref="GKE5749:GKN5749"/>
    <mergeCell ref="GKP5749:GKY5749"/>
    <mergeCell ref="GLA5749:GLA5750"/>
    <mergeCell ref="GLC5749:GLH5749"/>
    <mergeCell ref="GLI5749:GLI5750"/>
    <mergeCell ref="GLJ5749:GLJ5750"/>
    <mergeCell ref="GLK5749:GLT5749"/>
    <mergeCell ref="GLV5749:GME5749"/>
    <mergeCell ref="FYS5749:FYS5750"/>
    <mergeCell ref="FYU5749:FYZ5749"/>
    <mergeCell ref="FZA5749:FZA5750"/>
    <mergeCell ref="FZB5749:FZB5750"/>
    <mergeCell ref="FZC5749:FZL5749"/>
    <mergeCell ref="FZN5749:FZW5749"/>
    <mergeCell ref="FZY5749:FZY5750"/>
    <mergeCell ref="GAA5749:GAF5749"/>
    <mergeCell ref="GAG5749:GAG5750"/>
    <mergeCell ref="GAH5749:GAH5750"/>
    <mergeCell ref="GAI5749:GAR5749"/>
    <mergeCell ref="GAT5749:GBC5749"/>
    <mergeCell ref="GBE5749:GBE5750"/>
    <mergeCell ref="GBG5749:GBL5749"/>
    <mergeCell ref="GBM5749:GBM5750"/>
    <mergeCell ref="GBN5749:GBN5750"/>
    <mergeCell ref="GBO5749:GBX5749"/>
    <mergeCell ref="GBZ5749:GCI5749"/>
    <mergeCell ref="GCK5749:GCK5750"/>
    <mergeCell ref="GCM5749:GCR5749"/>
    <mergeCell ref="GCS5749:GCS5750"/>
    <mergeCell ref="GCT5749:GCT5750"/>
    <mergeCell ref="GCU5749:GDD5749"/>
    <mergeCell ref="GDF5749:GDO5749"/>
    <mergeCell ref="GDQ5749:GDQ5750"/>
    <mergeCell ref="GDS5749:GDX5749"/>
    <mergeCell ref="GDY5749:GDY5750"/>
    <mergeCell ref="GDZ5749:GDZ5750"/>
    <mergeCell ref="GEA5749:GEJ5749"/>
    <mergeCell ref="GEL5749:GEU5749"/>
    <mergeCell ref="GEW5749:GEW5750"/>
    <mergeCell ref="GEY5749:GFD5749"/>
    <mergeCell ref="GFE5749:GFE5750"/>
    <mergeCell ref="FRR5749:FRR5750"/>
    <mergeCell ref="FRS5749:FSB5749"/>
    <mergeCell ref="FSD5749:FSM5749"/>
    <mergeCell ref="FSO5749:FSO5750"/>
    <mergeCell ref="FSQ5749:FSV5749"/>
    <mergeCell ref="FSW5749:FSW5750"/>
    <mergeCell ref="FSX5749:FSX5750"/>
    <mergeCell ref="FSY5749:FTH5749"/>
    <mergeCell ref="FTJ5749:FTS5749"/>
    <mergeCell ref="FTU5749:FTU5750"/>
    <mergeCell ref="FTW5749:FUB5749"/>
    <mergeCell ref="FUC5749:FUC5750"/>
    <mergeCell ref="FUD5749:FUD5750"/>
    <mergeCell ref="FUE5749:FUN5749"/>
    <mergeCell ref="FUP5749:FUY5749"/>
    <mergeCell ref="FVA5749:FVA5750"/>
    <mergeCell ref="FVC5749:FVH5749"/>
    <mergeCell ref="FVI5749:FVI5750"/>
    <mergeCell ref="FVJ5749:FVJ5750"/>
    <mergeCell ref="FVK5749:FVT5749"/>
    <mergeCell ref="FVV5749:FWE5749"/>
    <mergeCell ref="FWG5749:FWG5750"/>
    <mergeCell ref="FWI5749:FWN5749"/>
    <mergeCell ref="FWO5749:FWO5750"/>
    <mergeCell ref="FWP5749:FWP5750"/>
    <mergeCell ref="FWQ5749:FWZ5749"/>
    <mergeCell ref="FXB5749:FXK5749"/>
    <mergeCell ref="FXM5749:FXM5750"/>
    <mergeCell ref="FXO5749:FXT5749"/>
    <mergeCell ref="FXU5749:FXU5750"/>
    <mergeCell ref="FXV5749:FXV5750"/>
    <mergeCell ref="FXW5749:FYF5749"/>
    <mergeCell ref="FYH5749:FYQ5749"/>
    <mergeCell ref="FLE5749:FLE5750"/>
    <mergeCell ref="FLG5749:FLL5749"/>
    <mergeCell ref="FLM5749:FLM5750"/>
    <mergeCell ref="FLN5749:FLN5750"/>
    <mergeCell ref="FLO5749:FLX5749"/>
    <mergeCell ref="FLZ5749:FMI5749"/>
    <mergeCell ref="FMK5749:FMK5750"/>
    <mergeCell ref="FMM5749:FMR5749"/>
    <mergeCell ref="FMS5749:FMS5750"/>
    <mergeCell ref="FMT5749:FMT5750"/>
    <mergeCell ref="FMU5749:FND5749"/>
    <mergeCell ref="FNF5749:FNO5749"/>
    <mergeCell ref="FNQ5749:FNQ5750"/>
    <mergeCell ref="FNS5749:FNX5749"/>
    <mergeCell ref="FNY5749:FNY5750"/>
    <mergeCell ref="FNZ5749:FNZ5750"/>
    <mergeCell ref="FOA5749:FOJ5749"/>
    <mergeCell ref="FOL5749:FOU5749"/>
    <mergeCell ref="FOW5749:FOW5750"/>
    <mergeCell ref="FOY5749:FPD5749"/>
    <mergeCell ref="FPE5749:FPE5750"/>
    <mergeCell ref="FPF5749:FPF5750"/>
    <mergeCell ref="FPG5749:FPP5749"/>
    <mergeCell ref="FPR5749:FQA5749"/>
    <mergeCell ref="FQC5749:FQC5750"/>
    <mergeCell ref="FQE5749:FQJ5749"/>
    <mergeCell ref="FQK5749:FQK5750"/>
    <mergeCell ref="FQL5749:FQL5750"/>
    <mergeCell ref="FQM5749:FQV5749"/>
    <mergeCell ref="FQX5749:FRG5749"/>
    <mergeCell ref="FRI5749:FRI5750"/>
    <mergeCell ref="FRK5749:FRP5749"/>
    <mergeCell ref="FRQ5749:FRQ5750"/>
    <mergeCell ref="FED5749:FED5750"/>
    <mergeCell ref="FEE5749:FEN5749"/>
    <mergeCell ref="FEP5749:FEY5749"/>
    <mergeCell ref="FFA5749:FFA5750"/>
    <mergeCell ref="FFC5749:FFH5749"/>
    <mergeCell ref="FFI5749:FFI5750"/>
    <mergeCell ref="FFJ5749:FFJ5750"/>
    <mergeCell ref="FFK5749:FFT5749"/>
    <mergeCell ref="FFV5749:FGE5749"/>
    <mergeCell ref="FGG5749:FGG5750"/>
    <mergeCell ref="FGI5749:FGN5749"/>
    <mergeCell ref="FGO5749:FGO5750"/>
    <mergeCell ref="FGP5749:FGP5750"/>
    <mergeCell ref="FGQ5749:FGZ5749"/>
    <mergeCell ref="FHB5749:FHK5749"/>
    <mergeCell ref="FHM5749:FHM5750"/>
    <mergeCell ref="FHO5749:FHT5749"/>
    <mergeCell ref="FHU5749:FHU5750"/>
    <mergeCell ref="FHV5749:FHV5750"/>
    <mergeCell ref="FHW5749:FIF5749"/>
    <mergeCell ref="FIH5749:FIQ5749"/>
    <mergeCell ref="FIS5749:FIS5750"/>
    <mergeCell ref="FIU5749:FIZ5749"/>
    <mergeCell ref="FJA5749:FJA5750"/>
    <mergeCell ref="FJB5749:FJB5750"/>
    <mergeCell ref="FJC5749:FJL5749"/>
    <mergeCell ref="FJN5749:FJW5749"/>
    <mergeCell ref="FJY5749:FJY5750"/>
    <mergeCell ref="FKA5749:FKF5749"/>
    <mergeCell ref="FKG5749:FKG5750"/>
    <mergeCell ref="FKH5749:FKH5750"/>
    <mergeCell ref="FKI5749:FKR5749"/>
    <mergeCell ref="FKT5749:FLC5749"/>
    <mergeCell ref="EXQ5749:EXQ5750"/>
    <mergeCell ref="EXS5749:EXX5749"/>
    <mergeCell ref="EXY5749:EXY5750"/>
    <mergeCell ref="EXZ5749:EXZ5750"/>
    <mergeCell ref="EYA5749:EYJ5749"/>
    <mergeCell ref="EYL5749:EYU5749"/>
    <mergeCell ref="EYW5749:EYW5750"/>
    <mergeCell ref="EYY5749:EZD5749"/>
    <mergeCell ref="EZE5749:EZE5750"/>
    <mergeCell ref="EZF5749:EZF5750"/>
    <mergeCell ref="EZG5749:EZP5749"/>
    <mergeCell ref="EZR5749:FAA5749"/>
    <mergeCell ref="FAC5749:FAC5750"/>
    <mergeCell ref="FAE5749:FAJ5749"/>
    <mergeCell ref="FAK5749:FAK5750"/>
    <mergeCell ref="FAL5749:FAL5750"/>
    <mergeCell ref="FAM5749:FAV5749"/>
    <mergeCell ref="FAX5749:FBG5749"/>
    <mergeCell ref="FBI5749:FBI5750"/>
    <mergeCell ref="FBK5749:FBP5749"/>
    <mergeCell ref="FBQ5749:FBQ5750"/>
    <mergeCell ref="FBR5749:FBR5750"/>
    <mergeCell ref="FBS5749:FCB5749"/>
    <mergeCell ref="FCD5749:FCM5749"/>
    <mergeCell ref="FCO5749:FCO5750"/>
    <mergeCell ref="FCQ5749:FCV5749"/>
    <mergeCell ref="FCW5749:FCW5750"/>
    <mergeCell ref="FCX5749:FCX5750"/>
    <mergeCell ref="FCY5749:FDH5749"/>
    <mergeCell ref="FDJ5749:FDS5749"/>
    <mergeCell ref="FDU5749:FDU5750"/>
    <mergeCell ref="FDW5749:FEB5749"/>
    <mergeCell ref="FEC5749:FEC5750"/>
    <mergeCell ref="EQP5749:EQP5750"/>
    <mergeCell ref="EQQ5749:EQZ5749"/>
    <mergeCell ref="ERB5749:ERK5749"/>
    <mergeCell ref="ERM5749:ERM5750"/>
    <mergeCell ref="ERO5749:ERT5749"/>
    <mergeCell ref="ERU5749:ERU5750"/>
    <mergeCell ref="ERV5749:ERV5750"/>
    <mergeCell ref="ERW5749:ESF5749"/>
    <mergeCell ref="ESH5749:ESQ5749"/>
    <mergeCell ref="ESS5749:ESS5750"/>
    <mergeCell ref="ESU5749:ESZ5749"/>
    <mergeCell ref="ETA5749:ETA5750"/>
    <mergeCell ref="ETB5749:ETB5750"/>
    <mergeCell ref="ETC5749:ETL5749"/>
    <mergeCell ref="ETN5749:ETW5749"/>
    <mergeCell ref="ETY5749:ETY5750"/>
    <mergeCell ref="EUA5749:EUF5749"/>
    <mergeCell ref="EUG5749:EUG5750"/>
    <mergeCell ref="EUH5749:EUH5750"/>
    <mergeCell ref="EUI5749:EUR5749"/>
    <mergeCell ref="EUT5749:EVC5749"/>
    <mergeCell ref="EVE5749:EVE5750"/>
    <mergeCell ref="EVG5749:EVL5749"/>
    <mergeCell ref="EVM5749:EVM5750"/>
    <mergeCell ref="EVN5749:EVN5750"/>
    <mergeCell ref="EVO5749:EVX5749"/>
    <mergeCell ref="EVZ5749:EWI5749"/>
    <mergeCell ref="EWK5749:EWK5750"/>
    <mergeCell ref="EWM5749:EWR5749"/>
    <mergeCell ref="EWS5749:EWS5750"/>
    <mergeCell ref="EWT5749:EWT5750"/>
    <mergeCell ref="EWU5749:EXD5749"/>
    <mergeCell ref="EXF5749:EXO5749"/>
    <mergeCell ref="EKC5749:EKC5750"/>
    <mergeCell ref="EKE5749:EKJ5749"/>
    <mergeCell ref="EKK5749:EKK5750"/>
    <mergeCell ref="EKL5749:EKL5750"/>
    <mergeCell ref="EKM5749:EKV5749"/>
    <mergeCell ref="EKX5749:ELG5749"/>
    <mergeCell ref="ELI5749:ELI5750"/>
    <mergeCell ref="ELK5749:ELP5749"/>
    <mergeCell ref="ELQ5749:ELQ5750"/>
    <mergeCell ref="ELR5749:ELR5750"/>
    <mergeCell ref="ELS5749:EMB5749"/>
    <mergeCell ref="EMD5749:EMM5749"/>
    <mergeCell ref="EMO5749:EMO5750"/>
    <mergeCell ref="EMQ5749:EMV5749"/>
    <mergeCell ref="EMW5749:EMW5750"/>
    <mergeCell ref="EMX5749:EMX5750"/>
    <mergeCell ref="EMY5749:ENH5749"/>
    <mergeCell ref="ENJ5749:ENS5749"/>
    <mergeCell ref="ENU5749:ENU5750"/>
    <mergeCell ref="ENW5749:EOB5749"/>
    <mergeCell ref="EOC5749:EOC5750"/>
    <mergeCell ref="EOD5749:EOD5750"/>
    <mergeCell ref="EOE5749:EON5749"/>
    <mergeCell ref="EOP5749:EOY5749"/>
    <mergeCell ref="EPA5749:EPA5750"/>
    <mergeCell ref="EPC5749:EPH5749"/>
    <mergeCell ref="EPI5749:EPI5750"/>
    <mergeCell ref="EPJ5749:EPJ5750"/>
    <mergeCell ref="EPK5749:EPT5749"/>
    <mergeCell ref="EPV5749:EQE5749"/>
    <mergeCell ref="EQG5749:EQG5750"/>
    <mergeCell ref="EQI5749:EQN5749"/>
    <mergeCell ref="EQO5749:EQO5750"/>
    <mergeCell ref="EDB5749:EDB5750"/>
    <mergeCell ref="EDC5749:EDL5749"/>
    <mergeCell ref="EDN5749:EDW5749"/>
    <mergeCell ref="EDY5749:EDY5750"/>
    <mergeCell ref="EEA5749:EEF5749"/>
    <mergeCell ref="EEG5749:EEG5750"/>
    <mergeCell ref="EEH5749:EEH5750"/>
    <mergeCell ref="EEI5749:EER5749"/>
    <mergeCell ref="EET5749:EFC5749"/>
    <mergeCell ref="EFE5749:EFE5750"/>
    <mergeCell ref="EFG5749:EFL5749"/>
    <mergeCell ref="EFM5749:EFM5750"/>
    <mergeCell ref="EFN5749:EFN5750"/>
    <mergeCell ref="EFO5749:EFX5749"/>
    <mergeCell ref="EFZ5749:EGI5749"/>
    <mergeCell ref="EGK5749:EGK5750"/>
    <mergeCell ref="EGM5749:EGR5749"/>
    <mergeCell ref="EGS5749:EGS5750"/>
    <mergeCell ref="EGT5749:EGT5750"/>
    <mergeCell ref="EGU5749:EHD5749"/>
    <mergeCell ref="EHF5749:EHO5749"/>
    <mergeCell ref="EHQ5749:EHQ5750"/>
    <mergeCell ref="EHS5749:EHX5749"/>
    <mergeCell ref="EHY5749:EHY5750"/>
    <mergeCell ref="EHZ5749:EHZ5750"/>
    <mergeCell ref="EIA5749:EIJ5749"/>
    <mergeCell ref="EIL5749:EIU5749"/>
    <mergeCell ref="EIW5749:EIW5750"/>
    <mergeCell ref="EIY5749:EJD5749"/>
    <mergeCell ref="EJE5749:EJE5750"/>
    <mergeCell ref="EJF5749:EJF5750"/>
    <mergeCell ref="EJG5749:EJP5749"/>
    <mergeCell ref="EJR5749:EKA5749"/>
    <mergeCell ref="DWO5749:DWO5750"/>
    <mergeCell ref="DWQ5749:DWV5749"/>
    <mergeCell ref="DWW5749:DWW5750"/>
    <mergeCell ref="DWX5749:DWX5750"/>
    <mergeCell ref="DWY5749:DXH5749"/>
    <mergeCell ref="DXJ5749:DXS5749"/>
    <mergeCell ref="DXU5749:DXU5750"/>
    <mergeCell ref="DXW5749:DYB5749"/>
    <mergeCell ref="DYC5749:DYC5750"/>
    <mergeCell ref="DYD5749:DYD5750"/>
    <mergeCell ref="DYE5749:DYN5749"/>
    <mergeCell ref="DYP5749:DYY5749"/>
    <mergeCell ref="DZA5749:DZA5750"/>
    <mergeCell ref="DZC5749:DZH5749"/>
    <mergeCell ref="DZI5749:DZI5750"/>
    <mergeCell ref="DZJ5749:DZJ5750"/>
    <mergeCell ref="DZK5749:DZT5749"/>
    <mergeCell ref="DZV5749:EAE5749"/>
    <mergeCell ref="EAG5749:EAG5750"/>
    <mergeCell ref="EAI5749:EAN5749"/>
    <mergeCell ref="EAO5749:EAO5750"/>
    <mergeCell ref="EAP5749:EAP5750"/>
    <mergeCell ref="EAQ5749:EAZ5749"/>
    <mergeCell ref="EBB5749:EBK5749"/>
    <mergeCell ref="EBM5749:EBM5750"/>
    <mergeCell ref="EBO5749:EBT5749"/>
    <mergeCell ref="EBU5749:EBU5750"/>
    <mergeCell ref="EBV5749:EBV5750"/>
    <mergeCell ref="EBW5749:ECF5749"/>
    <mergeCell ref="ECH5749:ECQ5749"/>
    <mergeCell ref="ECS5749:ECS5750"/>
    <mergeCell ref="ECU5749:ECZ5749"/>
    <mergeCell ref="EDA5749:EDA5750"/>
    <mergeCell ref="DPN5749:DPN5750"/>
    <mergeCell ref="DPO5749:DPX5749"/>
    <mergeCell ref="DPZ5749:DQI5749"/>
    <mergeCell ref="DQK5749:DQK5750"/>
    <mergeCell ref="DQM5749:DQR5749"/>
    <mergeCell ref="DQS5749:DQS5750"/>
    <mergeCell ref="DQT5749:DQT5750"/>
    <mergeCell ref="DQU5749:DRD5749"/>
    <mergeCell ref="DRF5749:DRO5749"/>
    <mergeCell ref="DRQ5749:DRQ5750"/>
    <mergeCell ref="DRS5749:DRX5749"/>
    <mergeCell ref="DRY5749:DRY5750"/>
    <mergeCell ref="DRZ5749:DRZ5750"/>
    <mergeCell ref="DSA5749:DSJ5749"/>
    <mergeCell ref="DSL5749:DSU5749"/>
    <mergeCell ref="DSW5749:DSW5750"/>
    <mergeCell ref="DSY5749:DTD5749"/>
    <mergeCell ref="DTE5749:DTE5750"/>
    <mergeCell ref="DTF5749:DTF5750"/>
    <mergeCell ref="DTG5749:DTP5749"/>
    <mergeCell ref="DTR5749:DUA5749"/>
    <mergeCell ref="DUC5749:DUC5750"/>
    <mergeCell ref="DUE5749:DUJ5749"/>
    <mergeCell ref="DUK5749:DUK5750"/>
    <mergeCell ref="DUL5749:DUL5750"/>
    <mergeCell ref="DUM5749:DUV5749"/>
    <mergeCell ref="DUX5749:DVG5749"/>
    <mergeCell ref="DVI5749:DVI5750"/>
    <mergeCell ref="DVK5749:DVP5749"/>
    <mergeCell ref="DVQ5749:DVQ5750"/>
    <mergeCell ref="DVR5749:DVR5750"/>
    <mergeCell ref="DVS5749:DWB5749"/>
    <mergeCell ref="DWD5749:DWM5749"/>
    <mergeCell ref="DJA5749:DJA5750"/>
    <mergeCell ref="DJC5749:DJH5749"/>
    <mergeCell ref="DJI5749:DJI5750"/>
    <mergeCell ref="DJJ5749:DJJ5750"/>
    <mergeCell ref="DJK5749:DJT5749"/>
    <mergeCell ref="DJV5749:DKE5749"/>
    <mergeCell ref="DKG5749:DKG5750"/>
    <mergeCell ref="DKI5749:DKN5749"/>
    <mergeCell ref="DKO5749:DKO5750"/>
    <mergeCell ref="DKP5749:DKP5750"/>
    <mergeCell ref="DKQ5749:DKZ5749"/>
    <mergeCell ref="DLB5749:DLK5749"/>
    <mergeCell ref="DLM5749:DLM5750"/>
    <mergeCell ref="DLO5749:DLT5749"/>
    <mergeCell ref="DLU5749:DLU5750"/>
    <mergeCell ref="DLV5749:DLV5750"/>
    <mergeCell ref="DLW5749:DMF5749"/>
    <mergeCell ref="DMH5749:DMQ5749"/>
    <mergeCell ref="DMS5749:DMS5750"/>
    <mergeCell ref="DMU5749:DMZ5749"/>
    <mergeCell ref="DNA5749:DNA5750"/>
    <mergeCell ref="DNB5749:DNB5750"/>
    <mergeCell ref="DNC5749:DNL5749"/>
    <mergeCell ref="DNN5749:DNW5749"/>
    <mergeCell ref="DNY5749:DNY5750"/>
    <mergeCell ref="DOA5749:DOF5749"/>
    <mergeCell ref="DOG5749:DOG5750"/>
    <mergeCell ref="DOH5749:DOH5750"/>
    <mergeCell ref="DOI5749:DOR5749"/>
    <mergeCell ref="DOT5749:DPC5749"/>
    <mergeCell ref="DPE5749:DPE5750"/>
    <mergeCell ref="DPG5749:DPL5749"/>
    <mergeCell ref="DPM5749:DPM5750"/>
    <mergeCell ref="DBZ5749:DBZ5750"/>
    <mergeCell ref="DCA5749:DCJ5749"/>
    <mergeCell ref="DCL5749:DCU5749"/>
    <mergeCell ref="DCW5749:DCW5750"/>
    <mergeCell ref="DCY5749:DDD5749"/>
    <mergeCell ref="DDE5749:DDE5750"/>
    <mergeCell ref="DDF5749:DDF5750"/>
    <mergeCell ref="DDG5749:DDP5749"/>
    <mergeCell ref="DDR5749:DEA5749"/>
    <mergeCell ref="DEC5749:DEC5750"/>
    <mergeCell ref="DEE5749:DEJ5749"/>
    <mergeCell ref="DEK5749:DEK5750"/>
    <mergeCell ref="DEL5749:DEL5750"/>
    <mergeCell ref="DEM5749:DEV5749"/>
    <mergeCell ref="DEX5749:DFG5749"/>
    <mergeCell ref="DFI5749:DFI5750"/>
    <mergeCell ref="DFK5749:DFP5749"/>
    <mergeCell ref="DFQ5749:DFQ5750"/>
    <mergeCell ref="DFR5749:DFR5750"/>
    <mergeCell ref="DFS5749:DGB5749"/>
    <mergeCell ref="DGD5749:DGM5749"/>
    <mergeCell ref="DGO5749:DGO5750"/>
    <mergeCell ref="DGQ5749:DGV5749"/>
    <mergeCell ref="DGW5749:DGW5750"/>
    <mergeCell ref="DGX5749:DGX5750"/>
    <mergeCell ref="DGY5749:DHH5749"/>
    <mergeCell ref="DHJ5749:DHS5749"/>
    <mergeCell ref="DHU5749:DHU5750"/>
    <mergeCell ref="DHW5749:DIB5749"/>
    <mergeCell ref="DIC5749:DIC5750"/>
    <mergeCell ref="DID5749:DID5750"/>
    <mergeCell ref="DIE5749:DIN5749"/>
    <mergeCell ref="DIP5749:DIY5749"/>
    <mergeCell ref="CVM5749:CVM5750"/>
    <mergeCell ref="CVO5749:CVT5749"/>
    <mergeCell ref="CVU5749:CVU5750"/>
    <mergeCell ref="CVV5749:CVV5750"/>
    <mergeCell ref="CVW5749:CWF5749"/>
    <mergeCell ref="CWH5749:CWQ5749"/>
    <mergeCell ref="CWS5749:CWS5750"/>
    <mergeCell ref="CWU5749:CWZ5749"/>
    <mergeCell ref="CXA5749:CXA5750"/>
    <mergeCell ref="CXB5749:CXB5750"/>
    <mergeCell ref="CXC5749:CXL5749"/>
    <mergeCell ref="CXN5749:CXW5749"/>
    <mergeCell ref="CXY5749:CXY5750"/>
    <mergeCell ref="CYA5749:CYF5749"/>
    <mergeCell ref="CYG5749:CYG5750"/>
    <mergeCell ref="CYH5749:CYH5750"/>
    <mergeCell ref="CYI5749:CYR5749"/>
    <mergeCell ref="CYT5749:CZC5749"/>
    <mergeCell ref="CZE5749:CZE5750"/>
    <mergeCell ref="CZG5749:CZL5749"/>
    <mergeCell ref="CZM5749:CZM5750"/>
    <mergeCell ref="CZN5749:CZN5750"/>
    <mergeCell ref="CZO5749:CZX5749"/>
    <mergeCell ref="CZZ5749:DAI5749"/>
    <mergeCell ref="DAK5749:DAK5750"/>
    <mergeCell ref="DAM5749:DAR5749"/>
    <mergeCell ref="DAS5749:DAS5750"/>
    <mergeCell ref="DAT5749:DAT5750"/>
    <mergeCell ref="DAU5749:DBD5749"/>
    <mergeCell ref="DBF5749:DBO5749"/>
    <mergeCell ref="DBQ5749:DBQ5750"/>
    <mergeCell ref="DBS5749:DBX5749"/>
    <mergeCell ref="DBY5749:DBY5750"/>
    <mergeCell ref="COL5749:COL5750"/>
    <mergeCell ref="COM5749:COV5749"/>
    <mergeCell ref="COX5749:CPG5749"/>
    <mergeCell ref="CPI5749:CPI5750"/>
    <mergeCell ref="CPK5749:CPP5749"/>
    <mergeCell ref="CPQ5749:CPQ5750"/>
    <mergeCell ref="CPR5749:CPR5750"/>
    <mergeCell ref="CPS5749:CQB5749"/>
    <mergeCell ref="CQD5749:CQM5749"/>
    <mergeCell ref="CQO5749:CQO5750"/>
    <mergeCell ref="CQQ5749:CQV5749"/>
    <mergeCell ref="CQW5749:CQW5750"/>
    <mergeCell ref="CQX5749:CQX5750"/>
    <mergeCell ref="CQY5749:CRH5749"/>
    <mergeCell ref="CRJ5749:CRS5749"/>
    <mergeCell ref="CRU5749:CRU5750"/>
    <mergeCell ref="CRW5749:CSB5749"/>
    <mergeCell ref="CSC5749:CSC5750"/>
    <mergeCell ref="CSD5749:CSD5750"/>
    <mergeCell ref="CSE5749:CSN5749"/>
    <mergeCell ref="CSP5749:CSY5749"/>
    <mergeCell ref="CTA5749:CTA5750"/>
    <mergeCell ref="CTC5749:CTH5749"/>
    <mergeCell ref="CTI5749:CTI5750"/>
    <mergeCell ref="CTJ5749:CTJ5750"/>
    <mergeCell ref="CTK5749:CTT5749"/>
    <mergeCell ref="CTV5749:CUE5749"/>
    <mergeCell ref="CUG5749:CUG5750"/>
    <mergeCell ref="CUI5749:CUN5749"/>
    <mergeCell ref="CUO5749:CUO5750"/>
    <mergeCell ref="CUP5749:CUP5750"/>
    <mergeCell ref="CUQ5749:CUZ5749"/>
    <mergeCell ref="CVB5749:CVK5749"/>
    <mergeCell ref="CHY5749:CHY5750"/>
    <mergeCell ref="CIA5749:CIF5749"/>
    <mergeCell ref="CIG5749:CIG5750"/>
    <mergeCell ref="CIH5749:CIH5750"/>
    <mergeCell ref="CII5749:CIR5749"/>
    <mergeCell ref="CIT5749:CJC5749"/>
    <mergeCell ref="CJE5749:CJE5750"/>
    <mergeCell ref="CJG5749:CJL5749"/>
    <mergeCell ref="CJM5749:CJM5750"/>
    <mergeCell ref="CJN5749:CJN5750"/>
    <mergeCell ref="CJO5749:CJX5749"/>
    <mergeCell ref="CJZ5749:CKI5749"/>
    <mergeCell ref="CKK5749:CKK5750"/>
    <mergeCell ref="CKM5749:CKR5749"/>
    <mergeCell ref="CKS5749:CKS5750"/>
    <mergeCell ref="CKT5749:CKT5750"/>
    <mergeCell ref="CKU5749:CLD5749"/>
    <mergeCell ref="CLF5749:CLO5749"/>
    <mergeCell ref="CLQ5749:CLQ5750"/>
    <mergeCell ref="CLS5749:CLX5749"/>
    <mergeCell ref="CLY5749:CLY5750"/>
    <mergeCell ref="CLZ5749:CLZ5750"/>
    <mergeCell ref="CMA5749:CMJ5749"/>
    <mergeCell ref="CML5749:CMU5749"/>
    <mergeCell ref="CMW5749:CMW5750"/>
    <mergeCell ref="CMY5749:CND5749"/>
    <mergeCell ref="CNE5749:CNE5750"/>
    <mergeCell ref="CNF5749:CNF5750"/>
    <mergeCell ref="CNG5749:CNP5749"/>
    <mergeCell ref="CNR5749:COA5749"/>
    <mergeCell ref="COC5749:COC5750"/>
    <mergeCell ref="COE5749:COJ5749"/>
    <mergeCell ref="COK5749:COK5750"/>
    <mergeCell ref="CAX5749:CAX5750"/>
    <mergeCell ref="CAY5749:CBH5749"/>
    <mergeCell ref="CBJ5749:CBS5749"/>
    <mergeCell ref="CBU5749:CBU5750"/>
    <mergeCell ref="CBW5749:CCB5749"/>
    <mergeCell ref="CCC5749:CCC5750"/>
    <mergeCell ref="CCD5749:CCD5750"/>
    <mergeCell ref="CCE5749:CCN5749"/>
    <mergeCell ref="CCP5749:CCY5749"/>
    <mergeCell ref="CDA5749:CDA5750"/>
    <mergeCell ref="CDC5749:CDH5749"/>
    <mergeCell ref="CDI5749:CDI5750"/>
    <mergeCell ref="CDJ5749:CDJ5750"/>
    <mergeCell ref="CDK5749:CDT5749"/>
    <mergeCell ref="CDV5749:CEE5749"/>
    <mergeCell ref="CEG5749:CEG5750"/>
    <mergeCell ref="CEI5749:CEN5749"/>
    <mergeCell ref="CEO5749:CEO5750"/>
    <mergeCell ref="CEP5749:CEP5750"/>
    <mergeCell ref="CEQ5749:CEZ5749"/>
    <mergeCell ref="CFB5749:CFK5749"/>
    <mergeCell ref="CFM5749:CFM5750"/>
    <mergeCell ref="CFO5749:CFT5749"/>
    <mergeCell ref="CFU5749:CFU5750"/>
    <mergeCell ref="CFV5749:CFV5750"/>
    <mergeCell ref="CFW5749:CGF5749"/>
    <mergeCell ref="CGH5749:CGQ5749"/>
    <mergeCell ref="CGS5749:CGS5750"/>
    <mergeCell ref="CGU5749:CGZ5749"/>
    <mergeCell ref="CHA5749:CHA5750"/>
    <mergeCell ref="CHB5749:CHB5750"/>
    <mergeCell ref="CHC5749:CHL5749"/>
    <mergeCell ref="CHN5749:CHW5749"/>
    <mergeCell ref="BUK5749:BUK5750"/>
    <mergeCell ref="BUM5749:BUR5749"/>
    <mergeCell ref="BUS5749:BUS5750"/>
    <mergeCell ref="BUT5749:BUT5750"/>
    <mergeCell ref="BUU5749:BVD5749"/>
    <mergeCell ref="BVF5749:BVO5749"/>
    <mergeCell ref="BVQ5749:BVQ5750"/>
    <mergeCell ref="BVS5749:BVX5749"/>
    <mergeCell ref="BVY5749:BVY5750"/>
    <mergeCell ref="BVZ5749:BVZ5750"/>
    <mergeCell ref="BWA5749:BWJ5749"/>
    <mergeCell ref="BWL5749:BWU5749"/>
    <mergeCell ref="BWW5749:BWW5750"/>
    <mergeCell ref="BWY5749:BXD5749"/>
    <mergeCell ref="BXE5749:BXE5750"/>
    <mergeCell ref="BXF5749:BXF5750"/>
    <mergeCell ref="BXG5749:BXP5749"/>
    <mergeCell ref="BXR5749:BYA5749"/>
    <mergeCell ref="BYC5749:BYC5750"/>
    <mergeCell ref="BYE5749:BYJ5749"/>
    <mergeCell ref="BYK5749:BYK5750"/>
    <mergeCell ref="BYL5749:BYL5750"/>
    <mergeCell ref="BYM5749:BYV5749"/>
    <mergeCell ref="BYX5749:BZG5749"/>
    <mergeCell ref="BZI5749:BZI5750"/>
    <mergeCell ref="BZK5749:BZP5749"/>
    <mergeCell ref="BZQ5749:BZQ5750"/>
    <mergeCell ref="BZR5749:BZR5750"/>
    <mergeCell ref="BZS5749:CAB5749"/>
    <mergeCell ref="CAD5749:CAM5749"/>
    <mergeCell ref="CAO5749:CAO5750"/>
    <mergeCell ref="CAQ5749:CAV5749"/>
    <mergeCell ref="CAW5749:CAW5750"/>
    <mergeCell ref="BNJ5749:BNJ5750"/>
    <mergeCell ref="BNK5749:BNT5749"/>
    <mergeCell ref="BNV5749:BOE5749"/>
    <mergeCell ref="BOG5749:BOG5750"/>
    <mergeCell ref="BOI5749:BON5749"/>
    <mergeCell ref="BOO5749:BOO5750"/>
    <mergeCell ref="BOP5749:BOP5750"/>
    <mergeCell ref="BOQ5749:BOZ5749"/>
    <mergeCell ref="BPB5749:BPK5749"/>
    <mergeCell ref="BPM5749:BPM5750"/>
    <mergeCell ref="BPO5749:BPT5749"/>
    <mergeCell ref="BPU5749:BPU5750"/>
    <mergeCell ref="BPV5749:BPV5750"/>
    <mergeCell ref="BPW5749:BQF5749"/>
    <mergeCell ref="BQH5749:BQQ5749"/>
    <mergeCell ref="BQS5749:BQS5750"/>
    <mergeCell ref="BQU5749:BQZ5749"/>
    <mergeCell ref="BRA5749:BRA5750"/>
    <mergeCell ref="BRB5749:BRB5750"/>
    <mergeCell ref="BRC5749:BRL5749"/>
    <mergeCell ref="BRN5749:BRW5749"/>
    <mergeCell ref="BRY5749:BRY5750"/>
    <mergeCell ref="BSA5749:BSF5749"/>
    <mergeCell ref="BSG5749:BSG5750"/>
    <mergeCell ref="BSH5749:BSH5750"/>
    <mergeCell ref="BSI5749:BSR5749"/>
    <mergeCell ref="BST5749:BTC5749"/>
    <mergeCell ref="BTE5749:BTE5750"/>
    <mergeCell ref="BTG5749:BTL5749"/>
    <mergeCell ref="BTM5749:BTM5750"/>
    <mergeCell ref="BTN5749:BTN5750"/>
    <mergeCell ref="BTO5749:BTX5749"/>
    <mergeCell ref="BTZ5749:BUI5749"/>
    <mergeCell ref="BGW5749:BGW5750"/>
    <mergeCell ref="BGY5749:BHD5749"/>
    <mergeCell ref="BHE5749:BHE5750"/>
    <mergeCell ref="BHF5749:BHF5750"/>
    <mergeCell ref="BHG5749:BHP5749"/>
    <mergeCell ref="BHR5749:BIA5749"/>
    <mergeCell ref="BIC5749:BIC5750"/>
    <mergeCell ref="BIE5749:BIJ5749"/>
    <mergeCell ref="BIK5749:BIK5750"/>
    <mergeCell ref="BIL5749:BIL5750"/>
    <mergeCell ref="BIM5749:BIV5749"/>
    <mergeCell ref="BIX5749:BJG5749"/>
    <mergeCell ref="BJI5749:BJI5750"/>
    <mergeCell ref="BJK5749:BJP5749"/>
    <mergeCell ref="BJQ5749:BJQ5750"/>
    <mergeCell ref="BJR5749:BJR5750"/>
    <mergeCell ref="BJS5749:BKB5749"/>
    <mergeCell ref="BKD5749:BKM5749"/>
    <mergeCell ref="BKO5749:BKO5750"/>
    <mergeCell ref="BKQ5749:BKV5749"/>
    <mergeCell ref="BKW5749:BKW5750"/>
    <mergeCell ref="BKX5749:BKX5750"/>
    <mergeCell ref="BKY5749:BLH5749"/>
    <mergeCell ref="BLJ5749:BLS5749"/>
    <mergeCell ref="BLU5749:BLU5750"/>
    <mergeCell ref="BLW5749:BMB5749"/>
    <mergeCell ref="BMC5749:BMC5750"/>
    <mergeCell ref="BMD5749:BMD5750"/>
    <mergeCell ref="BME5749:BMN5749"/>
    <mergeCell ref="BMP5749:BMY5749"/>
    <mergeCell ref="BNA5749:BNA5750"/>
    <mergeCell ref="BNC5749:BNH5749"/>
    <mergeCell ref="BNI5749:BNI5750"/>
    <mergeCell ref="AZV5749:AZV5750"/>
    <mergeCell ref="AZW5749:BAF5749"/>
    <mergeCell ref="BAH5749:BAQ5749"/>
    <mergeCell ref="BAS5749:BAS5750"/>
    <mergeCell ref="BAU5749:BAZ5749"/>
    <mergeCell ref="BBA5749:BBA5750"/>
    <mergeCell ref="BBB5749:BBB5750"/>
    <mergeCell ref="BBC5749:BBL5749"/>
    <mergeCell ref="BBN5749:BBW5749"/>
    <mergeCell ref="BBY5749:BBY5750"/>
    <mergeCell ref="BCA5749:BCF5749"/>
    <mergeCell ref="BCG5749:BCG5750"/>
    <mergeCell ref="BCH5749:BCH5750"/>
    <mergeCell ref="BCI5749:BCR5749"/>
    <mergeCell ref="BCT5749:BDC5749"/>
    <mergeCell ref="BDE5749:BDE5750"/>
    <mergeCell ref="BDG5749:BDL5749"/>
    <mergeCell ref="BDM5749:BDM5750"/>
    <mergeCell ref="BDN5749:BDN5750"/>
    <mergeCell ref="BDO5749:BDX5749"/>
    <mergeCell ref="BDZ5749:BEI5749"/>
    <mergeCell ref="BEK5749:BEK5750"/>
    <mergeCell ref="BEM5749:BER5749"/>
    <mergeCell ref="BES5749:BES5750"/>
    <mergeCell ref="BET5749:BET5750"/>
    <mergeCell ref="BEU5749:BFD5749"/>
    <mergeCell ref="BFF5749:BFO5749"/>
    <mergeCell ref="BFQ5749:BFQ5750"/>
    <mergeCell ref="BFS5749:BFX5749"/>
    <mergeCell ref="BFY5749:BFY5750"/>
    <mergeCell ref="BFZ5749:BFZ5750"/>
    <mergeCell ref="BGA5749:BGJ5749"/>
    <mergeCell ref="BGL5749:BGU5749"/>
    <mergeCell ref="ATI5749:ATI5750"/>
    <mergeCell ref="ATK5749:ATP5749"/>
    <mergeCell ref="ATQ5749:ATQ5750"/>
    <mergeCell ref="ATR5749:ATR5750"/>
    <mergeCell ref="ATS5749:AUB5749"/>
    <mergeCell ref="AUD5749:AUM5749"/>
    <mergeCell ref="AUO5749:AUO5750"/>
    <mergeCell ref="AUQ5749:AUV5749"/>
    <mergeCell ref="AUW5749:AUW5750"/>
    <mergeCell ref="AUX5749:AUX5750"/>
    <mergeCell ref="AUY5749:AVH5749"/>
    <mergeCell ref="AVJ5749:AVS5749"/>
    <mergeCell ref="AVU5749:AVU5750"/>
    <mergeCell ref="AVW5749:AWB5749"/>
    <mergeCell ref="AWC5749:AWC5750"/>
    <mergeCell ref="AWD5749:AWD5750"/>
    <mergeCell ref="AWE5749:AWN5749"/>
    <mergeCell ref="AWP5749:AWY5749"/>
    <mergeCell ref="AXA5749:AXA5750"/>
    <mergeCell ref="AXC5749:AXH5749"/>
    <mergeCell ref="AXI5749:AXI5750"/>
    <mergeCell ref="AXJ5749:AXJ5750"/>
    <mergeCell ref="AXK5749:AXT5749"/>
    <mergeCell ref="AXV5749:AYE5749"/>
    <mergeCell ref="AYG5749:AYG5750"/>
    <mergeCell ref="AYI5749:AYN5749"/>
    <mergeCell ref="AYO5749:AYO5750"/>
    <mergeCell ref="AYP5749:AYP5750"/>
    <mergeCell ref="AYQ5749:AYZ5749"/>
    <mergeCell ref="AZB5749:AZK5749"/>
    <mergeCell ref="AZM5749:AZM5750"/>
    <mergeCell ref="AZO5749:AZT5749"/>
    <mergeCell ref="AZU5749:AZU5750"/>
    <mergeCell ref="AMH5749:AMH5750"/>
    <mergeCell ref="AMI5749:AMR5749"/>
    <mergeCell ref="AMT5749:ANC5749"/>
    <mergeCell ref="ANE5749:ANE5750"/>
    <mergeCell ref="ANG5749:ANL5749"/>
    <mergeCell ref="ANM5749:ANM5750"/>
    <mergeCell ref="ANN5749:ANN5750"/>
    <mergeCell ref="ANO5749:ANX5749"/>
    <mergeCell ref="ANZ5749:AOI5749"/>
    <mergeCell ref="AOK5749:AOK5750"/>
    <mergeCell ref="AOM5749:AOR5749"/>
    <mergeCell ref="AOS5749:AOS5750"/>
    <mergeCell ref="AOT5749:AOT5750"/>
    <mergeCell ref="AOU5749:APD5749"/>
    <mergeCell ref="APF5749:APO5749"/>
    <mergeCell ref="APQ5749:APQ5750"/>
    <mergeCell ref="APS5749:APX5749"/>
    <mergeCell ref="APY5749:APY5750"/>
    <mergeCell ref="APZ5749:APZ5750"/>
    <mergeCell ref="AQA5749:AQJ5749"/>
    <mergeCell ref="AQL5749:AQU5749"/>
    <mergeCell ref="AQW5749:AQW5750"/>
    <mergeCell ref="AQY5749:ARD5749"/>
    <mergeCell ref="ARE5749:ARE5750"/>
    <mergeCell ref="ARF5749:ARF5750"/>
    <mergeCell ref="ARG5749:ARP5749"/>
    <mergeCell ref="ARR5749:ASA5749"/>
    <mergeCell ref="ASC5749:ASC5750"/>
    <mergeCell ref="ASE5749:ASJ5749"/>
    <mergeCell ref="ASK5749:ASK5750"/>
    <mergeCell ref="ASL5749:ASL5750"/>
    <mergeCell ref="ASM5749:ASV5749"/>
    <mergeCell ref="ASX5749:ATG5749"/>
    <mergeCell ref="AFU5749:AFU5750"/>
    <mergeCell ref="AFW5749:AGB5749"/>
    <mergeCell ref="AGC5749:AGC5750"/>
    <mergeCell ref="AGD5749:AGD5750"/>
    <mergeCell ref="AGE5749:AGN5749"/>
    <mergeCell ref="AGP5749:AGY5749"/>
    <mergeCell ref="AHA5749:AHA5750"/>
    <mergeCell ref="AHC5749:AHH5749"/>
    <mergeCell ref="AHI5749:AHI5750"/>
    <mergeCell ref="AHJ5749:AHJ5750"/>
    <mergeCell ref="AHK5749:AHT5749"/>
    <mergeCell ref="AHV5749:AIE5749"/>
    <mergeCell ref="AIG5749:AIG5750"/>
    <mergeCell ref="AII5749:AIN5749"/>
    <mergeCell ref="AIO5749:AIO5750"/>
    <mergeCell ref="AIP5749:AIP5750"/>
    <mergeCell ref="AIQ5749:AIZ5749"/>
    <mergeCell ref="AJB5749:AJK5749"/>
    <mergeCell ref="AJM5749:AJM5750"/>
    <mergeCell ref="AJO5749:AJT5749"/>
    <mergeCell ref="AJU5749:AJU5750"/>
    <mergeCell ref="AJV5749:AJV5750"/>
    <mergeCell ref="AJW5749:AKF5749"/>
    <mergeCell ref="AKH5749:AKQ5749"/>
    <mergeCell ref="AKS5749:AKS5750"/>
    <mergeCell ref="AKU5749:AKZ5749"/>
    <mergeCell ref="ALA5749:ALA5750"/>
    <mergeCell ref="ALB5749:ALB5750"/>
    <mergeCell ref="ALC5749:ALL5749"/>
    <mergeCell ref="ALN5749:ALW5749"/>
    <mergeCell ref="ALY5749:ALY5750"/>
    <mergeCell ref="AMA5749:AMF5749"/>
    <mergeCell ref="AMG5749:AMG5750"/>
    <mergeCell ref="YT5749:YT5750"/>
    <mergeCell ref="YU5749:ZD5749"/>
    <mergeCell ref="ZF5749:ZO5749"/>
    <mergeCell ref="ZQ5749:ZQ5750"/>
    <mergeCell ref="ZS5749:ZX5749"/>
    <mergeCell ref="ZY5749:ZY5750"/>
    <mergeCell ref="ZZ5749:ZZ5750"/>
    <mergeCell ref="AAA5749:AAJ5749"/>
    <mergeCell ref="AAL5749:AAU5749"/>
    <mergeCell ref="AAW5749:AAW5750"/>
    <mergeCell ref="AAY5749:ABD5749"/>
    <mergeCell ref="ABE5749:ABE5750"/>
    <mergeCell ref="ABF5749:ABF5750"/>
    <mergeCell ref="ABG5749:ABP5749"/>
    <mergeCell ref="ABR5749:ACA5749"/>
    <mergeCell ref="ACC5749:ACC5750"/>
    <mergeCell ref="ACE5749:ACJ5749"/>
    <mergeCell ref="ACK5749:ACK5750"/>
    <mergeCell ref="ACL5749:ACL5750"/>
    <mergeCell ref="ACM5749:ACV5749"/>
    <mergeCell ref="ACX5749:ADG5749"/>
    <mergeCell ref="ADI5749:ADI5750"/>
    <mergeCell ref="ADK5749:ADP5749"/>
    <mergeCell ref="ADQ5749:ADQ5750"/>
    <mergeCell ref="ADR5749:ADR5750"/>
    <mergeCell ref="ADS5749:AEB5749"/>
    <mergeCell ref="AED5749:AEM5749"/>
    <mergeCell ref="AEO5749:AEO5750"/>
    <mergeCell ref="AEQ5749:AEV5749"/>
    <mergeCell ref="AEW5749:AEW5750"/>
    <mergeCell ref="AEX5749:AEX5750"/>
    <mergeCell ref="AEY5749:AFH5749"/>
    <mergeCell ref="AFJ5749:AFS5749"/>
    <mergeCell ref="SG5749:SG5750"/>
    <mergeCell ref="SI5749:SN5749"/>
    <mergeCell ref="SO5749:SO5750"/>
    <mergeCell ref="SP5749:SP5750"/>
    <mergeCell ref="SQ5749:SZ5749"/>
    <mergeCell ref="TB5749:TK5749"/>
    <mergeCell ref="TM5749:TM5750"/>
    <mergeCell ref="TO5749:TT5749"/>
    <mergeCell ref="TU5749:TU5750"/>
    <mergeCell ref="TV5749:TV5750"/>
    <mergeCell ref="TW5749:UF5749"/>
    <mergeCell ref="UH5749:UQ5749"/>
    <mergeCell ref="US5749:US5750"/>
    <mergeCell ref="UU5749:UZ5749"/>
    <mergeCell ref="VA5749:VA5750"/>
    <mergeCell ref="VB5749:VB5750"/>
    <mergeCell ref="VC5749:VL5749"/>
    <mergeCell ref="VN5749:VW5749"/>
    <mergeCell ref="VY5749:VY5750"/>
    <mergeCell ref="WA5749:WF5749"/>
    <mergeCell ref="WG5749:WG5750"/>
    <mergeCell ref="WH5749:WH5750"/>
    <mergeCell ref="WI5749:WR5749"/>
    <mergeCell ref="WT5749:XC5749"/>
    <mergeCell ref="XE5749:XE5750"/>
    <mergeCell ref="XG5749:XL5749"/>
    <mergeCell ref="XM5749:XM5750"/>
    <mergeCell ref="XN5749:XN5750"/>
    <mergeCell ref="XO5749:XX5749"/>
    <mergeCell ref="XZ5749:YI5749"/>
    <mergeCell ref="YK5749:YK5750"/>
    <mergeCell ref="YM5749:YR5749"/>
    <mergeCell ref="YS5749:YS5750"/>
    <mergeCell ref="LF5749:LF5750"/>
    <mergeCell ref="LG5749:LP5749"/>
    <mergeCell ref="LR5749:MA5749"/>
    <mergeCell ref="MC5749:MC5750"/>
    <mergeCell ref="ME5749:MJ5749"/>
    <mergeCell ref="MK5749:MK5750"/>
    <mergeCell ref="ML5749:ML5750"/>
    <mergeCell ref="MM5749:MV5749"/>
    <mergeCell ref="MX5749:NG5749"/>
    <mergeCell ref="NI5749:NI5750"/>
    <mergeCell ref="NK5749:NP5749"/>
    <mergeCell ref="NQ5749:NQ5750"/>
    <mergeCell ref="NR5749:NR5750"/>
    <mergeCell ref="NS5749:OB5749"/>
    <mergeCell ref="OD5749:OM5749"/>
    <mergeCell ref="OO5749:OO5750"/>
    <mergeCell ref="OQ5749:OV5749"/>
    <mergeCell ref="OW5749:OW5750"/>
    <mergeCell ref="OX5749:OX5750"/>
    <mergeCell ref="OY5749:PH5749"/>
    <mergeCell ref="PJ5749:PS5749"/>
    <mergeCell ref="PU5749:PU5750"/>
    <mergeCell ref="PW5749:QB5749"/>
    <mergeCell ref="QC5749:QC5750"/>
    <mergeCell ref="QD5749:QD5750"/>
    <mergeCell ref="QE5749:QN5749"/>
    <mergeCell ref="QP5749:QY5749"/>
    <mergeCell ref="RA5749:RA5750"/>
    <mergeCell ref="RC5749:RH5749"/>
    <mergeCell ref="RI5749:RI5750"/>
    <mergeCell ref="RJ5749:RJ5750"/>
    <mergeCell ref="RK5749:RT5749"/>
    <mergeCell ref="RV5749:SE5749"/>
    <mergeCell ref="WTQ5747:WUV5747"/>
    <mergeCell ref="WUW5747:WWB5747"/>
    <mergeCell ref="WWC5747:WXH5747"/>
    <mergeCell ref="WXI5747:WYN5747"/>
    <mergeCell ref="WYO5747:WZT5747"/>
    <mergeCell ref="WZU5747:XAZ5747"/>
    <mergeCell ref="XBA5747:XCF5747"/>
    <mergeCell ref="XCG5747:XDL5747"/>
    <mergeCell ref="XDM5747:XER5747"/>
    <mergeCell ref="AC5749:AC5750"/>
    <mergeCell ref="AD5749:AD5750"/>
    <mergeCell ref="AE5749:AN5749"/>
    <mergeCell ref="AP5749:AY5749"/>
    <mergeCell ref="BA5749:BA5750"/>
    <mergeCell ref="BC5749:BH5749"/>
    <mergeCell ref="BI5749:BI5750"/>
    <mergeCell ref="BJ5749:BJ5750"/>
    <mergeCell ref="BK5749:BT5749"/>
    <mergeCell ref="BV5749:CE5749"/>
    <mergeCell ref="CG5749:CG5750"/>
    <mergeCell ref="CI5749:CN5749"/>
    <mergeCell ref="CO5749:CO5750"/>
    <mergeCell ref="CP5749:CP5750"/>
    <mergeCell ref="CQ5749:CZ5749"/>
    <mergeCell ref="DB5749:DK5749"/>
    <mergeCell ref="DM5749:DM5750"/>
    <mergeCell ref="DO5749:DT5749"/>
    <mergeCell ref="DU5749:DU5750"/>
    <mergeCell ref="DV5749:DV5750"/>
    <mergeCell ref="DW5749:EF5749"/>
    <mergeCell ref="EH5749:EQ5749"/>
    <mergeCell ref="ES5749:ES5750"/>
    <mergeCell ref="EU5749:EZ5749"/>
    <mergeCell ref="FA5749:FA5750"/>
    <mergeCell ref="FB5749:FB5750"/>
    <mergeCell ref="FC5749:FL5749"/>
    <mergeCell ref="FN5749:FW5749"/>
    <mergeCell ref="FY5749:FY5750"/>
    <mergeCell ref="GA5749:GF5749"/>
    <mergeCell ref="GG5749:GG5750"/>
    <mergeCell ref="GH5749:GH5750"/>
    <mergeCell ref="GI5749:GR5749"/>
    <mergeCell ref="GT5749:HC5749"/>
    <mergeCell ref="HE5749:HE5750"/>
    <mergeCell ref="HG5749:HL5749"/>
    <mergeCell ref="HM5749:HM5750"/>
    <mergeCell ref="HN5749:HN5750"/>
    <mergeCell ref="HO5749:HX5749"/>
    <mergeCell ref="HZ5749:II5749"/>
    <mergeCell ref="IK5749:IK5750"/>
    <mergeCell ref="IM5749:IR5749"/>
    <mergeCell ref="IS5749:IS5750"/>
    <mergeCell ref="IT5749:IT5750"/>
    <mergeCell ref="IU5749:JD5749"/>
    <mergeCell ref="JF5749:JO5749"/>
    <mergeCell ref="JQ5749:JQ5750"/>
    <mergeCell ref="JS5749:JX5749"/>
    <mergeCell ref="JY5749:JY5750"/>
    <mergeCell ref="JZ5749:JZ5750"/>
    <mergeCell ref="KA5749:KJ5749"/>
    <mergeCell ref="KL5749:KU5749"/>
    <mergeCell ref="KW5749:KW5750"/>
    <mergeCell ref="KY5749:LD5749"/>
    <mergeCell ref="LE5749:LE5750"/>
    <mergeCell ref="VFA5747:VGF5747"/>
    <mergeCell ref="VGG5747:VHL5747"/>
    <mergeCell ref="VHM5747:VIR5747"/>
    <mergeCell ref="VIS5747:VJX5747"/>
    <mergeCell ref="VJY5747:VLD5747"/>
    <mergeCell ref="VLE5747:VMJ5747"/>
    <mergeCell ref="VMK5747:VNP5747"/>
    <mergeCell ref="VNQ5747:VOV5747"/>
    <mergeCell ref="VOW5747:VQB5747"/>
    <mergeCell ref="VQC5747:VRH5747"/>
    <mergeCell ref="VRI5747:VSN5747"/>
    <mergeCell ref="VSO5747:VTT5747"/>
    <mergeCell ref="VTU5747:VUZ5747"/>
    <mergeCell ref="VVA5747:VWF5747"/>
    <mergeCell ref="VWG5747:VXL5747"/>
    <mergeCell ref="VXM5747:VYR5747"/>
    <mergeCell ref="VYS5747:VZX5747"/>
    <mergeCell ref="VZY5747:WBD5747"/>
    <mergeCell ref="WBE5747:WCJ5747"/>
    <mergeCell ref="WCK5747:WDP5747"/>
    <mergeCell ref="WDQ5747:WEV5747"/>
    <mergeCell ref="WEW5747:WGB5747"/>
    <mergeCell ref="WGC5747:WHH5747"/>
    <mergeCell ref="WHI5747:WIN5747"/>
    <mergeCell ref="WIO5747:WJT5747"/>
    <mergeCell ref="WJU5747:WKZ5747"/>
    <mergeCell ref="WLA5747:WMF5747"/>
    <mergeCell ref="WMG5747:WNL5747"/>
    <mergeCell ref="WNM5747:WOR5747"/>
    <mergeCell ref="WOS5747:WPX5747"/>
    <mergeCell ref="WPY5747:WRD5747"/>
    <mergeCell ref="WRE5747:WSJ5747"/>
    <mergeCell ref="WSK5747:WTP5747"/>
    <mergeCell ref="TQK5747:TRP5747"/>
    <mergeCell ref="TRQ5747:TSV5747"/>
    <mergeCell ref="TSW5747:TUB5747"/>
    <mergeCell ref="TUC5747:TVH5747"/>
    <mergeCell ref="TVI5747:TWN5747"/>
    <mergeCell ref="TWO5747:TXT5747"/>
    <mergeCell ref="TXU5747:TYZ5747"/>
    <mergeCell ref="TZA5747:UAF5747"/>
    <mergeCell ref="UAG5747:UBL5747"/>
    <mergeCell ref="UBM5747:UCR5747"/>
    <mergeCell ref="UCS5747:UDX5747"/>
    <mergeCell ref="UDY5747:UFD5747"/>
    <mergeCell ref="UFE5747:UGJ5747"/>
    <mergeCell ref="UGK5747:UHP5747"/>
    <mergeCell ref="UHQ5747:UIV5747"/>
    <mergeCell ref="UIW5747:UKB5747"/>
    <mergeCell ref="UKC5747:ULH5747"/>
    <mergeCell ref="ULI5747:UMN5747"/>
    <mergeCell ref="UMO5747:UNT5747"/>
    <mergeCell ref="UNU5747:UOZ5747"/>
    <mergeCell ref="UPA5747:UQF5747"/>
    <mergeCell ref="UQG5747:URL5747"/>
    <mergeCell ref="URM5747:USR5747"/>
    <mergeCell ref="USS5747:UTX5747"/>
    <mergeCell ref="UTY5747:UVD5747"/>
    <mergeCell ref="UVE5747:UWJ5747"/>
    <mergeCell ref="UWK5747:UXP5747"/>
    <mergeCell ref="UXQ5747:UYV5747"/>
    <mergeCell ref="UYW5747:VAB5747"/>
    <mergeCell ref="VAC5747:VBH5747"/>
    <mergeCell ref="VBI5747:VCN5747"/>
    <mergeCell ref="VCO5747:VDT5747"/>
    <mergeCell ref="VDU5747:VEZ5747"/>
    <mergeCell ref="SBU5747:SCZ5747"/>
    <mergeCell ref="SDA5747:SEF5747"/>
    <mergeCell ref="SEG5747:SFL5747"/>
    <mergeCell ref="SFM5747:SGR5747"/>
    <mergeCell ref="SGS5747:SHX5747"/>
    <mergeCell ref="SHY5747:SJD5747"/>
    <mergeCell ref="SJE5747:SKJ5747"/>
    <mergeCell ref="SKK5747:SLP5747"/>
    <mergeCell ref="SLQ5747:SMV5747"/>
    <mergeCell ref="SMW5747:SOB5747"/>
    <mergeCell ref="SOC5747:SPH5747"/>
    <mergeCell ref="SPI5747:SQN5747"/>
    <mergeCell ref="SQO5747:SRT5747"/>
    <mergeCell ref="SRU5747:SSZ5747"/>
    <mergeCell ref="STA5747:SUF5747"/>
    <mergeCell ref="SUG5747:SVL5747"/>
    <mergeCell ref="SVM5747:SWR5747"/>
    <mergeCell ref="SWS5747:SXX5747"/>
    <mergeCell ref="SXY5747:SZD5747"/>
    <mergeCell ref="SZE5747:TAJ5747"/>
    <mergeCell ref="TAK5747:TBP5747"/>
    <mergeCell ref="TBQ5747:TCV5747"/>
    <mergeCell ref="TCW5747:TEB5747"/>
    <mergeCell ref="TEC5747:TFH5747"/>
    <mergeCell ref="TFI5747:TGN5747"/>
    <mergeCell ref="TGO5747:THT5747"/>
    <mergeCell ref="THU5747:TIZ5747"/>
    <mergeCell ref="TJA5747:TKF5747"/>
    <mergeCell ref="TKG5747:TLL5747"/>
    <mergeCell ref="TLM5747:TMR5747"/>
    <mergeCell ref="TMS5747:TNX5747"/>
    <mergeCell ref="TNY5747:TPD5747"/>
    <mergeCell ref="TPE5747:TQJ5747"/>
    <mergeCell ref="QNE5747:QOJ5747"/>
    <mergeCell ref="QOK5747:QPP5747"/>
    <mergeCell ref="QPQ5747:QQV5747"/>
    <mergeCell ref="QQW5747:QSB5747"/>
    <mergeCell ref="QSC5747:QTH5747"/>
    <mergeCell ref="QTI5747:QUN5747"/>
    <mergeCell ref="QUO5747:QVT5747"/>
    <mergeCell ref="QVU5747:QWZ5747"/>
    <mergeCell ref="QXA5747:QYF5747"/>
    <mergeCell ref="QYG5747:QZL5747"/>
    <mergeCell ref="QZM5747:RAR5747"/>
    <mergeCell ref="RAS5747:RBX5747"/>
    <mergeCell ref="RBY5747:RDD5747"/>
    <mergeCell ref="RDE5747:REJ5747"/>
    <mergeCell ref="REK5747:RFP5747"/>
    <mergeCell ref="RFQ5747:RGV5747"/>
    <mergeCell ref="RGW5747:RIB5747"/>
    <mergeCell ref="RIC5747:RJH5747"/>
    <mergeCell ref="RJI5747:RKN5747"/>
    <mergeCell ref="RKO5747:RLT5747"/>
    <mergeCell ref="RLU5747:RMZ5747"/>
    <mergeCell ref="RNA5747:ROF5747"/>
    <mergeCell ref="ROG5747:RPL5747"/>
    <mergeCell ref="RPM5747:RQR5747"/>
    <mergeCell ref="RQS5747:RRX5747"/>
    <mergeCell ref="RRY5747:RTD5747"/>
    <mergeCell ref="RTE5747:RUJ5747"/>
    <mergeCell ref="RUK5747:RVP5747"/>
    <mergeCell ref="RVQ5747:RWV5747"/>
    <mergeCell ref="RWW5747:RYB5747"/>
    <mergeCell ref="RYC5747:RZH5747"/>
    <mergeCell ref="RZI5747:SAN5747"/>
    <mergeCell ref="SAO5747:SBT5747"/>
    <mergeCell ref="OYO5747:OZT5747"/>
    <mergeCell ref="OZU5747:PAZ5747"/>
    <mergeCell ref="PBA5747:PCF5747"/>
    <mergeCell ref="PCG5747:PDL5747"/>
    <mergeCell ref="PDM5747:PER5747"/>
    <mergeCell ref="PES5747:PFX5747"/>
    <mergeCell ref="PFY5747:PHD5747"/>
    <mergeCell ref="PHE5747:PIJ5747"/>
    <mergeCell ref="PIK5747:PJP5747"/>
    <mergeCell ref="PJQ5747:PKV5747"/>
    <mergeCell ref="PKW5747:PMB5747"/>
    <mergeCell ref="PMC5747:PNH5747"/>
    <mergeCell ref="PNI5747:PON5747"/>
    <mergeCell ref="POO5747:PPT5747"/>
    <mergeCell ref="PPU5747:PQZ5747"/>
    <mergeCell ref="PRA5747:PSF5747"/>
    <mergeCell ref="PSG5747:PTL5747"/>
    <mergeCell ref="PTM5747:PUR5747"/>
    <mergeCell ref="PUS5747:PVX5747"/>
    <mergeCell ref="PVY5747:PXD5747"/>
    <mergeCell ref="PXE5747:PYJ5747"/>
    <mergeCell ref="PYK5747:PZP5747"/>
    <mergeCell ref="PZQ5747:QAV5747"/>
    <mergeCell ref="QAW5747:QCB5747"/>
    <mergeCell ref="QCC5747:QDH5747"/>
    <mergeCell ref="QDI5747:QEN5747"/>
    <mergeCell ref="QEO5747:QFT5747"/>
    <mergeCell ref="QFU5747:QGZ5747"/>
    <mergeCell ref="QHA5747:QIF5747"/>
    <mergeCell ref="QIG5747:QJL5747"/>
    <mergeCell ref="QJM5747:QKR5747"/>
    <mergeCell ref="QKS5747:QLX5747"/>
    <mergeCell ref="QLY5747:QND5747"/>
    <mergeCell ref="NJY5747:NLD5747"/>
    <mergeCell ref="NLE5747:NMJ5747"/>
    <mergeCell ref="NMK5747:NNP5747"/>
    <mergeCell ref="NNQ5747:NOV5747"/>
    <mergeCell ref="NOW5747:NQB5747"/>
    <mergeCell ref="NQC5747:NRH5747"/>
    <mergeCell ref="NRI5747:NSN5747"/>
    <mergeCell ref="NSO5747:NTT5747"/>
    <mergeCell ref="NTU5747:NUZ5747"/>
    <mergeCell ref="NVA5747:NWF5747"/>
    <mergeCell ref="NWG5747:NXL5747"/>
    <mergeCell ref="NXM5747:NYR5747"/>
    <mergeCell ref="NYS5747:NZX5747"/>
    <mergeCell ref="NZY5747:OBD5747"/>
    <mergeCell ref="OBE5747:OCJ5747"/>
    <mergeCell ref="OCK5747:ODP5747"/>
    <mergeCell ref="ODQ5747:OEV5747"/>
    <mergeCell ref="OEW5747:OGB5747"/>
    <mergeCell ref="OGC5747:OHH5747"/>
    <mergeCell ref="OHI5747:OIN5747"/>
    <mergeCell ref="OIO5747:OJT5747"/>
    <mergeCell ref="OJU5747:OKZ5747"/>
    <mergeCell ref="OLA5747:OMF5747"/>
    <mergeCell ref="OMG5747:ONL5747"/>
    <mergeCell ref="ONM5747:OOR5747"/>
    <mergeCell ref="OOS5747:OPX5747"/>
    <mergeCell ref="OPY5747:ORD5747"/>
    <mergeCell ref="ORE5747:OSJ5747"/>
    <mergeCell ref="OSK5747:OTP5747"/>
    <mergeCell ref="OTQ5747:OUV5747"/>
    <mergeCell ref="OUW5747:OWB5747"/>
    <mergeCell ref="OWC5747:OXH5747"/>
    <mergeCell ref="OXI5747:OYN5747"/>
    <mergeCell ref="LVI5747:LWN5747"/>
    <mergeCell ref="LWO5747:LXT5747"/>
    <mergeCell ref="LXU5747:LYZ5747"/>
    <mergeCell ref="LZA5747:MAF5747"/>
    <mergeCell ref="MAG5747:MBL5747"/>
    <mergeCell ref="MBM5747:MCR5747"/>
    <mergeCell ref="MCS5747:MDX5747"/>
    <mergeCell ref="MDY5747:MFD5747"/>
    <mergeCell ref="MFE5747:MGJ5747"/>
    <mergeCell ref="MGK5747:MHP5747"/>
    <mergeCell ref="MHQ5747:MIV5747"/>
    <mergeCell ref="MIW5747:MKB5747"/>
    <mergeCell ref="MKC5747:MLH5747"/>
    <mergeCell ref="MLI5747:MMN5747"/>
    <mergeCell ref="MMO5747:MNT5747"/>
    <mergeCell ref="MNU5747:MOZ5747"/>
    <mergeCell ref="MPA5747:MQF5747"/>
    <mergeCell ref="MQG5747:MRL5747"/>
    <mergeCell ref="MRM5747:MSR5747"/>
    <mergeCell ref="MSS5747:MTX5747"/>
    <mergeCell ref="MTY5747:MVD5747"/>
    <mergeCell ref="MVE5747:MWJ5747"/>
    <mergeCell ref="MWK5747:MXP5747"/>
    <mergeCell ref="MXQ5747:MYV5747"/>
    <mergeCell ref="MYW5747:NAB5747"/>
    <mergeCell ref="NAC5747:NBH5747"/>
    <mergeCell ref="NBI5747:NCN5747"/>
    <mergeCell ref="NCO5747:NDT5747"/>
    <mergeCell ref="NDU5747:NEZ5747"/>
    <mergeCell ref="NFA5747:NGF5747"/>
    <mergeCell ref="NGG5747:NHL5747"/>
    <mergeCell ref="NHM5747:NIR5747"/>
    <mergeCell ref="NIS5747:NJX5747"/>
    <mergeCell ref="KGS5747:KHX5747"/>
    <mergeCell ref="KHY5747:KJD5747"/>
    <mergeCell ref="KJE5747:KKJ5747"/>
    <mergeCell ref="KKK5747:KLP5747"/>
    <mergeCell ref="KLQ5747:KMV5747"/>
    <mergeCell ref="KMW5747:KOB5747"/>
    <mergeCell ref="KOC5747:KPH5747"/>
    <mergeCell ref="KPI5747:KQN5747"/>
    <mergeCell ref="KQO5747:KRT5747"/>
    <mergeCell ref="KRU5747:KSZ5747"/>
    <mergeCell ref="KTA5747:KUF5747"/>
    <mergeCell ref="KUG5747:KVL5747"/>
    <mergeCell ref="KVM5747:KWR5747"/>
    <mergeCell ref="KWS5747:KXX5747"/>
    <mergeCell ref="KXY5747:KZD5747"/>
    <mergeCell ref="KZE5747:LAJ5747"/>
    <mergeCell ref="LAK5747:LBP5747"/>
    <mergeCell ref="LBQ5747:LCV5747"/>
    <mergeCell ref="LCW5747:LEB5747"/>
    <mergeCell ref="LEC5747:LFH5747"/>
    <mergeCell ref="LFI5747:LGN5747"/>
    <mergeCell ref="LGO5747:LHT5747"/>
    <mergeCell ref="LHU5747:LIZ5747"/>
    <mergeCell ref="LJA5747:LKF5747"/>
    <mergeCell ref="LKG5747:LLL5747"/>
    <mergeCell ref="LLM5747:LMR5747"/>
    <mergeCell ref="LMS5747:LNX5747"/>
    <mergeCell ref="LNY5747:LPD5747"/>
    <mergeCell ref="LPE5747:LQJ5747"/>
    <mergeCell ref="LQK5747:LRP5747"/>
    <mergeCell ref="LRQ5747:LSV5747"/>
    <mergeCell ref="LSW5747:LUB5747"/>
    <mergeCell ref="LUC5747:LVH5747"/>
    <mergeCell ref="ISC5747:ITH5747"/>
    <mergeCell ref="ITI5747:IUN5747"/>
    <mergeCell ref="IUO5747:IVT5747"/>
    <mergeCell ref="IVU5747:IWZ5747"/>
    <mergeCell ref="IXA5747:IYF5747"/>
    <mergeCell ref="IYG5747:IZL5747"/>
    <mergeCell ref="IZM5747:JAR5747"/>
    <mergeCell ref="JAS5747:JBX5747"/>
    <mergeCell ref="JBY5747:JDD5747"/>
    <mergeCell ref="JDE5747:JEJ5747"/>
    <mergeCell ref="JEK5747:JFP5747"/>
    <mergeCell ref="JFQ5747:JGV5747"/>
    <mergeCell ref="JGW5747:JIB5747"/>
    <mergeCell ref="JIC5747:JJH5747"/>
    <mergeCell ref="JJI5747:JKN5747"/>
    <mergeCell ref="JKO5747:JLT5747"/>
    <mergeCell ref="JLU5747:JMZ5747"/>
    <mergeCell ref="JNA5747:JOF5747"/>
    <mergeCell ref="JOG5747:JPL5747"/>
    <mergeCell ref="JPM5747:JQR5747"/>
    <mergeCell ref="JQS5747:JRX5747"/>
    <mergeCell ref="JRY5747:JTD5747"/>
    <mergeCell ref="JTE5747:JUJ5747"/>
    <mergeCell ref="JUK5747:JVP5747"/>
    <mergeCell ref="JVQ5747:JWV5747"/>
    <mergeCell ref="JWW5747:JYB5747"/>
    <mergeCell ref="JYC5747:JZH5747"/>
    <mergeCell ref="JZI5747:KAN5747"/>
    <mergeCell ref="KAO5747:KBT5747"/>
    <mergeCell ref="KBU5747:KCZ5747"/>
    <mergeCell ref="KDA5747:KEF5747"/>
    <mergeCell ref="KEG5747:KFL5747"/>
    <mergeCell ref="KFM5747:KGR5747"/>
    <mergeCell ref="HDM5747:HER5747"/>
    <mergeCell ref="HES5747:HFX5747"/>
    <mergeCell ref="HFY5747:HHD5747"/>
    <mergeCell ref="HHE5747:HIJ5747"/>
    <mergeCell ref="HIK5747:HJP5747"/>
    <mergeCell ref="HJQ5747:HKV5747"/>
    <mergeCell ref="HKW5747:HMB5747"/>
    <mergeCell ref="HMC5747:HNH5747"/>
    <mergeCell ref="HNI5747:HON5747"/>
    <mergeCell ref="HOO5747:HPT5747"/>
    <mergeCell ref="HPU5747:HQZ5747"/>
    <mergeCell ref="HRA5747:HSF5747"/>
    <mergeCell ref="HSG5747:HTL5747"/>
    <mergeCell ref="HTM5747:HUR5747"/>
    <mergeCell ref="HUS5747:HVX5747"/>
    <mergeCell ref="HVY5747:HXD5747"/>
    <mergeCell ref="HXE5747:HYJ5747"/>
    <mergeCell ref="HYK5747:HZP5747"/>
    <mergeCell ref="HZQ5747:IAV5747"/>
    <mergeCell ref="IAW5747:ICB5747"/>
    <mergeCell ref="ICC5747:IDH5747"/>
    <mergeCell ref="IDI5747:IEN5747"/>
    <mergeCell ref="IEO5747:IFT5747"/>
    <mergeCell ref="IFU5747:IGZ5747"/>
    <mergeCell ref="IHA5747:IIF5747"/>
    <mergeCell ref="IIG5747:IJL5747"/>
    <mergeCell ref="IJM5747:IKR5747"/>
    <mergeCell ref="IKS5747:ILX5747"/>
    <mergeCell ref="ILY5747:IND5747"/>
    <mergeCell ref="INE5747:IOJ5747"/>
    <mergeCell ref="IOK5747:IPP5747"/>
    <mergeCell ref="IPQ5747:IQV5747"/>
    <mergeCell ref="IQW5747:ISB5747"/>
    <mergeCell ref="FOW5747:FQB5747"/>
    <mergeCell ref="FQC5747:FRH5747"/>
    <mergeCell ref="FRI5747:FSN5747"/>
    <mergeCell ref="FSO5747:FTT5747"/>
    <mergeCell ref="FTU5747:FUZ5747"/>
    <mergeCell ref="FVA5747:FWF5747"/>
    <mergeCell ref="FWG5747:FXL5747"/>
    <mergeCell ref="FXM5747:FYR5747"/>
    <mergeCell ref="FYS5747:FZX5747"/>
    <mergeCell ref="FZY5747:GBD5747"/>
    <mergeCell ref="GBE5747:GCJ5747"/>
    <mergeCell ref="GCK5747:GDP5747"/>
    <mergeCell ref="GDQ5747:GEV5747"/>
    <mergeCell ref="GEW5747:GGB5747"/>
    <mergeCell ref="GGC5747:GHH5747"/>
    <mergeCell ref="GHI5747:GIN5747"/>
    <mergeCell ref="GIO5747:GJT5747"/>
    <mergeCell ref="GJU5747:GKZ5747"/>
    <mergeCell ref="GLA5747:GMF5747"/>
    <mergeCell ref="GMG5747:GNL5747"/>
    <mergeCell ref="GNM5747:GOR5747"/>
    <mergeCell ref="GOS5747:GPX5747"/>
    <mergeCell ref="GPY5747:GRD5747"/>
    <mergeCell ref="GRE5747:GSJ5747"/>
    <mergeCell ref="GSK5747:GTP5747"/>
    <mergeCell ref="GTQ5747:GUV5747"/>
    <mergeCell ref="GUW5747:GWB5747"/>
    <mergeCell ref="GWC5747:GXH5747"/>
    <mergeCell ref="GXI5747:GYN5747"/>
    <mergeCell ref="GYO5747:GZT5747"/>
    <mergeCell ref="GZU5747:HAZ5747"/>
    <mergeCell ref="HBA5747:HCF5747"/>
    <mergeCell ref="HCG5747:HDL5747"/>
    <mergeCell ref="EAG5747:EBL5747"/>
    <mergeCell ref="EBM5747:ECR5747"/>
    <mergeCell ref="ECS5747:EDX5747"/>
    <mergeCell ref="EDY5747:EFD5747"/>
    <mergeCell ref="EFE5747:EGJ5747"/>
    <mergeCell ref="EGK5747:EHP5747"/>
    <mergeCell ref="EHQ5747:EIV5747"/>
    <mergeCell ref="EIW5747:EKB5747"/>
    <mergeCell ref="EKC5747:ELH5747"/>
    <mergeCell ref="ELI5747:EMN5747"/>
    <mergeCell ref="EMO5747:ENT5747"/>
    <mergeCell ref="ENU5747:EOZ5747"/>
    <mergeCell ref="EPA5747:EQF5747"/>
    <mergeCell ref="EQG5747:ERL5747"/>
    <mergeCell ref="ERM5747:ESR5747"/>
    <mergeCell ref="ESS5747:ETX5747"/>
    <mergeCell ref="ETY5747:EVD5747"/>
    <mergeCell ref="EVE5747:EWJ5747"/>
    <mergeCell ref="EWK5747:EXP5747"/>
    <mergeCell ref="EXQ5747:EYV5747"/>
    <mergeCell ref="EYW5747:FAB5747"/>
    <mergeCell ref="FAC5747:FBH5747"/>
    <mergeCell ref="FBI5747:FCN5747"/>
    <mergeCell ref="FCO5747:FDT5747"/>
    <mergeCell ref="FDU5747:FEZ5747"/>
    <mergeCell ref="FFA5747:FGF5747"/>
    <mergeCell ref="FGG5747:FHL5747"/>
    <mergeCell ref="FHM5747:FIR5747"/>
    <mergeCell ref="FIS5747:FJX5747"/>
    <mergeCell ref="FJY5747:FLD5747"/>
    <mergeCell ref="FLE5747:FMJ5747"/>
    <mergeCell ref="FMK5747:FNP5747"/>
    <mergeCell ref="FNQ5747:FOV5747"/>
    <mergeCell ref="CLQ5747:CMV5747"/>
    <mergeCell ref="CMW5747:COB5747"/>
    <mergeCell ref="COC5747:CPH5747"/>
    <mergeCell ref="CPI5747:CQN5747"/>
    <mergeCell ref="CQO5747:CRT5747"/>
    <mergeCell ref="CRU5747:CSZ5747"/>
    <mergeCell ref="CTA5747:CUF5747"/>
    <mergeCell ref="CUG5747:CVL5747"/>
    <mergeCell ref="CVM5747:CWR5747"/>
    <mergeCell ref="CWS5747:CXX5747"/>
    <mergeCell ref="CXY5747:CZD5747"/>
    <mergeCell ref="CZE5747:DAJ5747"/>
    <mergeCell ref="DAK5747:DBP5747"/>
    <mergeCell ref="DBQ5747:DCV5747"/>
    <mergeCell ref="DCW5747:DEB5747"/>
    <mergeCell ref="DEC5747:DFH5747"/>
    <mergeCell ref="DFI5747:DGN5747"/>
    <mergeCell ref="DGO5747:DHT5747"/>
    <mergeCell ref="DHU5747:DIZ5747"/>
    <mergeCell ref="DJA5747:DKF5747"/>
    <mergeCell ref="DKG5747:DLL5747"/>
    <mergeCell ref="DLM5747:DMR5747"/>
    <mergeCell ref="DMS5747:DNX5747"/>
    <mergeCell ref="DNY5747:DPD5747"/>
    <mergeCell ref="DPE5747:DQJ5747"/>
    <mergeCell ref="DQK5747:DRP5747"/>
    <mergeCell ref="DRQ5747:DSV5747"/>
    <mergeCell ref="DSW5747:DUB5747"/>
    <mergeCell ref="DUC5747:DVH5747"/>
    <mergeCell ref="DVI5747:DWN5747"/>
    <mergeCell ref="DWO5747:DXT5747"/>
    <mergeCell ref="DXU5747:DYZ5747"/>
    <mergeCell ref="DZA5747:EAF5747"/>
    <mergeCell ref="AXA5747:AYF5747"/>
    <mergeCell ref="AYG5747:AZL5747"/>
    <mergeCell ref="AZM5747:BAR5747"/>
    <mergeCell ref="BAS5747:BBX5747"/>
    <mergeCell ref="BBY5747:BDD5747"/>
    <mergeCell ref="BDE5747:BEJ5747"/>
    <mergeCell ref="BEK5747:BFP5747"/>
    <mergeCell ref="BFQ5747:BGV5747"/>
    <mergeCell ref="BGW5747:BIB5747"/>
    <mergeCell ref="BIC5747:BJH5747"/>
    <mergeCell ref="BJI5747:BKN5747"/>
    <mergeCell ref="BKO5747:BLT5747"/>
    <mergeCell ref="BLU5747:BMZ5747"/>
    <mergeCell ref="BNA5747:BOF5747"/>
    <mergeCell ref="BOG5747:BPL5747"/>
    <mergeCell ref="BPM5747:BQR5747"/>
    <mergeCell ref="BQS5747:BRX5747"/>
    <mergeCell ref="BRY5747:BTD5747"/>
    <mergeCell ref="BTE5747:BUJ5747"/>
    <mergeCell ref="BUK5747:BVP5747"/>
    <mergeCell ref="BVQ5747:BWV5747"/>
    <mergeCell ref="BWW5747:BYB5747"/>
    <mergeCell ref="BYC5747:BZH5747"/>
    <mergeCell ref="BZI5747:CAN5747"/>
    <mergeCell ref="CAO5747:CBT5747"/>
    <mergeCell ref="CBU5747:CCZ5747"/>
    <mergeCell ref="CDA5747:CEF5747"/>
    <mergeCell ref="CEG5747:CFL5747"/>
    <mergeCell ref="CFM5747:CGR5747"/>
    <mergeCell ref="CGS5747:CHX5747"/>
    <mergeCell ref="CHY5747:CJD5747"/>
    <mergeCell ref="CJE5747:CKJ5747"/>
    <mergeCell ref="CKK5747:CLP5747"/>
    <mergeCell ref="XBJ5079:XBJ5080"/>
    <mergeCell ref="XBK5079:XBT5079"/>
    <mergeCell ref="XBV5079:XCE5079"/>
    <mergeCell ref="XCG5079:XCG5080"/>
    <mergeCell ref="XCI5079:XCN5079"/>
    <mergeCell ref="XCO5079:XCO5080"/>
    <mergeCell ref="XCP5079:XCP5080"/>
    <mergeCell ref="XCQ5079:XCZ5079"/>
    <mergeCell ref="XDB5079:XDK5079"/>
    <mergeCell ref="XDM5079:XDM5080"/>
    <mergeCell ref="XDO5079:XDT5079"/>
    <mergeCell ref="XDU5079:XDU5080"/>
    <mergeCell ref="XDV5079:XDV5080"/>
    <mergeCell ref="XDW5079:XEF5079"/>
    <mergeCell ref="XEH5079:XEQ5079"/>
    <mergeCell ref="V5625:W5625"/>
    <mergeCell ref="V5626:W5626"/>
    <mergeCell ref="Z5626:AA5626"/>
    <mergeCell ref="A5627:A5628"/>
    <mergeCell ref="J5627:J5628"/>
    <mergeCell ref="K5627:K5628"/>
    <mergeCell ref="Z5637:AA5637"/>
    <mergeCell ref="Z5641:AA5641"/>
    <mergeCell ref="V5652:W5652"/>
    <mergeCell ref="Z5652:AA5652"/>
    <mergeCell ref="BA5747:CF5747"/>
    <mergeCell ref="CG5747:DL5747"/>
    <mergeCell ref="DM5747:ER5747"/>
    <mergeCell ref="ES5747:FX5747"/>
    <mergeCell ref="FY5747:HD5747"/>
    <mergeCell ref="HE5747:IJ5747"/>
    <mergeCell ref="IK5747:JP5747"/>
    <mergeCell ref="JQ5747:KV5747"/>
    <mergeCell ref="KW5747:MB5747"/>
    <mergeCell ref="MC5747:NH5747"/>
    <mergeCell ref="NI5747:ON5747"/>
    <mergeCell ref="OO5747:PT5747"/>
    <mergeCell ref="PU5747:QZ5747"/>
    <mergeCell ref="RA5747:SF5747"/>
    <mergeCell ref="SG5747:TL5747"/>
    <mergeCell ref="TM5747:UR5747"/>
    <mergeCell ref="US5747:VX5747"/>
    <mergeCell ref="VY5747:XD5747"/>
    <mergeCell ref="XE5747:YJ5747"/>
    <mergeCell ref="YK5747:ZP5747"/>
    <mergeCell ref="ZQ5747:AAV5747"/>
    <mergeCell ref="AAW5747:ACB5747"/>
    <mergeCell ref="ACC5747:ADH5747"/>
    <mergeCell ref="ADI5747:AEN5747"/>
    <mergeCell ref="AEO5747:AFT5747"/>
    <mergeCell ref="AFU5747:AGZ5747"/>
    <mergeCell ref="AHA5747:AIF5747"/>
    <mergeCell ref="AIG5747:AJL5747"/>
    <mergeCell ref="AJM5747:AKR5747"/>
    <mergeCell ref="AKS5747:ALX5747"/>
    <mergeCell ref="ALY5747:AND5747"/>
    <mergeCell ref="ANE5747:AOJ5747"/>
    <mergeCell ref="AOK5747:APP5747"/>
    <mergeCell ref="APQ5747:AQV5747"/>
    <mergeCell ref="AQW5747:ASB5747"/>
    <mergeCell ref="ASC5747:ATH5747"/>
    <mergeCell ref="ATI5747:AUN5747"/>
    <mergeCell ref="AUO5747:AVT5747"/>
    <mergeCell ref="AVU5747:AWZ5747"/>
    <mergeCell ref="WUW5079:WUW5080"/>
    <mergeCell ref="WUY5079:WVD5079"/>
    <mergeCell ref="WVE5079:WVE5080"/>
    <mergeCell ref="WVF5079:WVF5080"/>
    <mergeCell ref="WVG5079:WVP5079"/>
    <mergeCell ref="WVR5079:WWA5079"/>
    <mergeCell ref="WWC5079:WWC5080"/>
    <mergeCell ref="WWE5079:WWJ5079"/>
    <mergeCell ref="WWK5079:WWK5080"/>
    <mergeCell ref="WWL5079:WWL5080"/>
    <mergeCell ref="WWM5079:WWV5079"/>
    <mergeCell ref="WWX5079:WXG5079"/>
    <mergeCell ref="WXI5079:WXI5080"/>
    <mergeCell ref="WXK5079:WXP5079"/>
    <mergeCell ref="WXQ5079:WXQ5080"/>
    <mergeCell ref="WXR5079:WXR5080"/>
    <mergeCell ref="WXS5079:WYB5079"/>
    <mergeCell ref="WYD5079:WYM5079"/>
    <mergeCell ref="WYO5079:WYO5080"/>
    <mergeCell ref="WYQ5079:WYV5079"/>
    <mergeCell ref="WYW5079:WYW5080"/>
    <mergeCell ref="WYX5079:WYX5080"/>
    <mergeCell ref="WYY5079:WZH5079"/>
    <mergeCell ref="WZJ5079:WZS5079"/>
    <mergeCell ref="WZU5079:WZU5080"/>
    <mergeCell ref="WZW5079:XAB5079"/>
    <mergeCell ref="XAC5079:XAC5080"/>
    <mergeCell ref="XAD5079:XAD5080"/>
    <mergeCell ref="XAE5079:XAN5079"/>
    <mergeCell ref="XAP5079:XAY5079"/>
    <mergeCell ref="XBA5079:XBA5080"/>
    <mergeCell ref="XBC5079:XBH5079"/>
    <mergeCell ref="XBI5079:XBI5080"/>
    <mergeCell ref="WNV5079:WNV5080"/>
    <mergeCell ref="WNW5079:WOF5079"/>
    <mergeCell ref="WOH5079:WOQ5079"/>
    <mergeCell ref="WOS5079:WOS5080"/>
    <mergeCell ref="WOU5079:WOZ5079"/>
    <mergeCell ref="WPA5079:WPA5080"/>
    <mergeCell ref="WPB5079:WPB5080"/>
    <mergeCell ref="WPC5079:WPL5079"/>
    <mergeCell ref="WPN5079:WPW5079"/>
    <mergeCell ref="WPY5079:WPY5080"/>
    <mergeCell ref="WQA5079:WQF5079"/>
    <mergeCell ref="WQG5079:WQG5080"/>
    <mergeCell ref="WQH5079:WQH5080"/>
    <mergeCell ref="WQI5079:WQR5079"/>
    <mergeCell ref="WQT5079:WRC5079"/>
    <mergeCell ref="WRE5079:WRE5080"/>
    <mergeCell ref="WRG5079:WRL5079"/>
    <mergeCell ref="WRM5079:WRM5080"/>
    <mergeCell ref="WRN5079:WRN5080"/>
    <mergeCell ref="WRO5079:WRX5079"/>
    <mergeCell ref="WRZ5079:WSI5079"/>
    <mergeCell ref="WSK5079:WSK5080"/>
    <mergeCell ref="WSM5079:WSR5079"/>
    <mergeCell ref="WSS5079:WSS5080"/>
    <mergeCell ref="WST5079:WST5080"/>
    <mergeCell ref="WSU5079:WTD5079"/>
    <mergeCell ref="WTF5079:WTO5079"/>
    <mergeCell ref="WTQ5079:WTQ5080"/>
    <mergeCell ref="WTS5079:WTX5079"/>
    <mergeCell ref="WTY5079:WTY5080"/>
    <mergeCell ref="WTZ5079:WTZ5080"/>
    <mergeCell ref="WUA5079:WUJ5079"/>
    <mergeCell ref="WUL5079:WUU5079"/>
    <mergeCell ref="WHI5079:WHI5080"/>
    <mergeCell ref="WHK5079:WHP5079"/>
    <mergeCell ref="WHQ5079:WHQ5080"/>
    <mergeCell ref="WHR5079:WHR5080"/>
    <mergeCell ref="WHS5079:WIB5079"/>
    <mergeCell ref="WID5079:WIM5079"/>
    <mergeCell ref="WIO5079:WIO5080"/>
    <mergeCell ref="WIQ5079:WIV5079"/>
    <mergeCell ref="WIW5079:WIW5080"/>
    <mergeCell ref="WIX5079:WIX5080"/>
    <mergeCell ref="WIY5079:WJH5079"/>
    <mergeCell ref="WJJ5079:WJS5079"/>
    <mergeCell ref="WJU5079:WJU5080"/>
    <mergeCell ref="WJW5079:WKB5079"/>
    <mergeCell ref="WKC5079:WKC5080"/>
    <mergeCell ref="WKD5079:WKD5080"/>
    <mergeCell ref="WKE5079:WKN5079"/>
    <mergeCell ref="WKP5079:WKY5079"/>
    <mergeCell ref="WLA5079:WLA5080"/>
    <mergeCell ref="WLC5079:WLH5079"/>
    <mergeCell ref="WLI5079:WLI5080"/>
    <mergeCell ref="WLJ5079:WLJ5080"/>
    <mergeCell ref="WLK5079:WLT5079"/>
    <mergeCell ref="WLV5079:WME5079"/>
    <mergeCell ref="WMG5079:WMG5080"/>
    <mergeCell ref="WMI5079:WMN5079"/>
    <mergeCell ref="WMO5079:WMO5080"/>
    <mergeCell ref="WMP5079:WMP5080"/>
    <mergeCell ref="WMQ5079:WMZ5079"/>
    <mergeCell ref="WNB5079:WNK5079"/>
    <mergeCell ref="WNM5079:WNM5080"/>
    <mergeCell ref="WNO5079:WNT5079"/>
    <mergeCell ref="WNU5079:WNU5080"/>
    <mergeCell ref="WAH5079:WAH5080"/>
    <mergeCell ref="WAI5079:WAR5079"/>
    <mergeCell ref="WAT5079:WBC5079"/>
    <mergeCell ref="WBE5079:WBE5080"/>
    <mergeCell ref="WBG5079:WBL5079"/>
    <mergeCell ref="WBM5079:WBM5080"/>
    <mergeCell ref="WBN5079:WBN5080"/>
    <mergeCell ref="WBO5079:WBX5079"/>
    <mergeCell ref="WBZ5079:WCI5079"/>
    <mergeCell ref="WCK5079:WCK5080"/>
    <mergeCell ref="WCM5079:WCR5079"/>
    <mergeCell ref="WCS5079:WCS5080"/>
    <mergeCell ref="WCT5079:WCT5080"/>
    <mergeCell ref="WCU5079:WDD5079"/>
    <mergeCell ref="WDF5079:WDO5079"/>
    <mergeCell ref="WDQ5079:WDQ5080"/>
    <mergeCell ref="WDS5079:WDX5079"/>
    <mergeCell ref="WDY5079:WDY5080"/>
    <mergeCell ref="WDZ5079:WDZ5080"/>
    <mergeCell ref="WEA5079:WEJ5079"/>
    <mergeCell ref="WEL5079:WEU5079"/>
    <mergeCell ref="WEW5079:WEW5080"/>
    <mergeCell ref="WEY5079:WFD5079"/>
    <mergeCell ref="WFE5079:WFE5080"/>
    <mergeCell ref="WFF5079:WFF5080"/>
    <mergeCell ref="WFG5079:WFP5079"/>
    <mergeCell ref="WFR5079:WGA5079"/>
    <mergeCell ref="WGC5079:WGC5080"/>
    <mergeCell ref="WGE5079:WGJ5079"/>
    <mergeCell ref="WGK5079:WGK5080"/>
    <mergeCell ref="WGL5079:WGL5080"/>
    <mergeCell ref="WGM5079:WGV5079"/>
    <mergeCell ref="WGX5079:WHG5079"/>
    <mergeCell ref="VTU5079:VTU5080"/>
    <mergeCell ref="VTW5079:VUB5079"/>
    <mergeCell ref="VUC5079:VUC5080"/>
    <mergeCell ref="VUD5079:VUD5080"/>
    <mergeCell ref="VUE5079:VUN5079"/>
    <mergeCell ref="VUP5079:VUY5079"/>
    <mergeCell ref="VVA5079:VVA5080"/>
    <mergeCell ref="VVC5079:VVH5079"/>
    <mergeCell ref="VVI5079:VVI5080"/>
    <mergeCell ref="VVJ5079:VVJ5080"/>
    <mergeCell ref="VVK5079:VVT5079"/>
    <mergeCell ref="VVV5079:VWE5079"/>
    <mergeCell ref="VWG5079:VWG5080"/>
    <mergeCell ref="VWI5079:VWN5079"/>
    <mergeCell ref="VWO5079:VWO5080"/>
    <mergeCell ref="VWP5079:VWP5080"/>
    <mergeCell ref="VWQ5079:VWZ5079"/>
    <mergeCell ref="VXB5079:VXK5079"/>
    <mergeCell ref="VXM5079:VXM5080"/>
    <mergeCell ref="VXO5079:VXT5079"/>
    <mergeCell ref="VXU5079:VXU5080"/>
    <mergeCell ref="VXV5079:VXV5080"/>
    <mergeCell ref="VXW5079:VYF5079"/>
    <mergeCell ref="VYH5079:VYQ5079"/>
    <mergeCell ref="VYS5079:VYS5080"/>
    <mergeCell ref="VYU5079:VYZ5079"/>
    <mergeCell ref="VZA5079:VZA5080"/>
    <mergeCell ref="VZB5079:VZB5080"/>
    <mergeCell ref="VZC5079:VZL5079"/>
    <mergeCell ref="VZN5079:VZW5079"/>
    <mergeCell ref="VZY5079:VZY5080"/>
    <mergeCell ref="WAA5079:WAF5079"/>
    <mergeCell ref="WAG5079:WAG5080"/>
    <mergeCell ref="VMT5079:VMT5080"/>
    <mergeCell ref="VMU5079:VND5079"/>
    <mergeCell ref="VNF5079:VNO5079"/>
    <mergeCell ref="VNQ5079:VNQ5080"/>
    <mergeCell ref="VNS5079:VNX5079"/>
    <mergeCell ref="VNY5079:VNY5080"/>
    <mergeCell ref="VNZ5079:VNZ5080"/>
    <mergeCell ref="VOA5079:VOJ5079"/>
    <mergeCell ref="VOL5079:VOU5079"/>
    <mergeCell ref="VOW5079:VOW5080"/>
    <mergeCell ref="VOY5079:VPD5079"/>
    <mergeCell ref="VPE5079:VPE5080"/>
    <mergeCell ref="VPF5079:VPF5080"/>
    <mergeCell ref="VPG5079:VPP5079"/>
    <mergeCell ref="VPR5079:VQA5079"/>
    <mergeCell ref="VQC5079:VQC5080"/>
    <mergeCell ref="VQE5079:VQJ5079"/>
    <mergeCell ref="VQK5079:VQK5080"/>
    <mergeCell ref="VQL5079:VQL5080"/>
    <mergeCell ref="VQM5079:VQV5079"/>
    <mergeCell ref="VQX5079:VRG5079"/>
    <mergeCell ref="VRI5079:VRI5080"/>
    <mergeCell ref="VRK5079:VRP5079"/>
    <mergeCell ref="VRQ5079:VRQ5080"/>
    <mergeCell ref="VRR5079:VRR5080"/>
    <mergeCell ref="VRS5079:VSB5079"/>
    <mergeCell ref="VSD5079:VSM5079"/>
    <mergeCell ref="VSO5079:VSO5080"/>
    <mergeCell ref="VSQ5079:VSV5079"/>
    <mergeCell ref="VSW5079:VSW5080"/>
    <mergeCell ref="VSX5079:VSX5080"/>
    <mergeCell ref="VSY5079:VTH5079"/>
    <mergeCell ref="VTJ5079:VTS5079"/>
    <mergeCell ref="VGG5079:VGG5080"/>
    <mergeCell ref="VGI5079:VGN5079"/>
    <mergeCell ref="VGO5079:VGO5080"/>
    <mergeCell ref="VGP5079:VGP5080"/>
    <mergeCell ref="VGQ5079:VGZ5079"/>
    <mergeCell ref="VHB5079:VHK5079"/>
    <mergeCell ref="VHM5079:VHM5080"/>
    <mergeCell ref="VHO5079:VHT5079"/>
    <mergeCell ref="VHU5079:VHU5080"/>
    <mergeCell ref="VHV5079:VHV5080"/>
    <mergeCell ref="VHW5079:VIF5079"/>
    <mergeCell ref="VIH5079:VIQ5079"/>
    <mergeCell ref="VIS5079:VIS5080"/>
    <mergeCell ref="VIU5079:VIZ5079"/>
    <mergeCell ref="VJA5079:VJA5080"/>
    <mergeCell ref="VJB5079:VJB5080"/>
    <mergeCell ref="VJC5079:VJL5079"/>
    <mergeCell ref="VJN5079:VJW5079"/>
    <mergeCell ref="VJY5079:VJY5080"/>
    <mergeCell ref="VKA5079:VKF5079"/>
    <mergeCell ref="VKG5079:VKG5080"/>
    <mergeCell ref="VKH5079:VKH5080"/>
    <mergeCell ref="VKI5079:VKR5079"/>
    <mergeCell ref="VKT5079:VLC5079"/>
    <mergeCell ref="VLE5079:VLE5080"/>
    <mergeCell ref="VLG5079:VLL5079"/>
    <mergeCell ref="VLM5079:VLM5080"/>
    <mergeCell ref="VLN5079:VLN5080"/>
    <mergeCell ref="VLO5079:VLX5079"/>
    <mergeCell ref="VLZ5079:VMI5079"/>
    <mergeCell ref="VMK5079:VMK5080"/>
    <mergeCell ref="VMM5079:VMR5079"/>
    <mergeCell ref="VMS5079:VMS5080"/>
    <mergeCell ref="UZF5079:UZF5080"/>
    <mergeCell ref="UZG5079:UZP5079"/>
    <mergeCell ref="UZR5079:VAA5079"/>
    <mergeCell ref="VAC5079:VAC5080"/>
    <mergeCell ref="VAE5079:VAJ5079"/>
    <mergeCell ref="VAK5079:VAK5080"/>
    <mergeCell ref="VAL5079:VAL5080"/>
    <mergeCell ref="VAM5079:VAV5079"/>
    <mergeCell ref="VAX5079:VBG5079"/>
    <mergeCell ref="VBI5079:VBI5080"/>
    <mergeCell ref="VBK5079:VBP5079"/>
    <mergeCell ref="VBQ5079:VBQ5080"/>
    <mergeCell ref="VBR5079:VBR5080"/>
    <mergeCell ref="VBS5079:VCB5079"/>
    <mergeCell ref="VCD5079:VCM5079"/>
    <mergeCell ref="VCO5079:VCO5080"/>
    <mergeCell ref="VCQ5079:VCV5079"/>
    <mergeCell ref="VCW5079:VCW5080"/>
    <mergeCell ref="VCX5079:VCX5080"/>
    <mergeCell ref="VCY5079:VDH5079"/>
    <mergeCell ref="VDJ5079:VDS5079"/>
    <mergeCell ref="VDU5079:VDU5080"/>
    <mergeCell ref="VDW5079:VEB5079"/>
    <mergeCell ref="VEC5079:VEC5080"/>
    <mergeCell ref="VED5079:VED5080"/>
    <mergeCell ref="VEE5079:VEN5079"/>
    <mergeCell ref="VEP5079:VEY5079"/>
    <mergeCell ref="VFA5079:VFA5080"/>
    <mergeCell ref="VFC5079:VFH5079"/>
    <mergeCell ref="VFI5079:VFI5080"/>
    <mergeCell ref="VFJ5079:VFJ5080"/>
    <mergeCell ref="VFK5079:VFT5079"/>
    <mergeCell ref="VFV5079:VGE5079"/>
    <mergeCell ref="USS5079:USS5080"/>
    <mergeCell ref="USU5079:USZ5079"/>
    <mergeCell ref="UTA5079:UTA5080"/>
    <mergeCell ref="UTB5079:UTB5080"/>
    <mergeCell ref="UTC5079:UTL5079"/>
    <mergeCell ref="UTN5079:UTW5079"/>
    <mergeCell ref="UTY5079:UTY5080"/>
    <mergeCell ref="UUA5079:UUF5079"/>
    <mergeCell ref="UUG5079:UUG5080"/>
    <mergeCell ref="UUH5079:UUH5080"/>
    <mergeCell ref="UUI5079:UUR5079"/>
    <mergeCell ref="UUT5079:UVC5079"/>
    <mergeCell ref="UVE5079:UVE5080"/>
    <mergeCell ref="UVG5079:UVL5079"/>
    <mergeCell ref="UVM5079:UVM5080"/>
    <mergeCell ref="UVN5079:UVN5080"/>
    <mergeCell ref="UVO5079:UVX5079"/>
    <mergeCell ref="UVZ5079:UWI5079"/>
    <mergeCell ref="UWK5079:UWK5080"/>
    <mergeCell ref="UWM5079:UWR5079"/>
    <mergeCell ref="UWS5079:UWS5080"/>
    <mergeCell ref="UWT5079:UWT5080"/>
    <mergeCell ref="UWU5079:UXD5079"/>
    <mergeCell ref="UXF5079:UXO5079"/>
    <mergeCell ref="UXQ5079:UXQ5080"/>
    <mergeCell ref="UXS5079:UXX5079"/>
    <mergeCell ref="UXY5079:UXY5080"/>
    <mergeCell ref="UXZ5079:UXZ5080"/>
    <mergeCell ref="UYA5079:UYJ5079"/>
    <mergeCell ref="UYL5079:UYU5079"/>
    <mergeCell ref="UYW5079:UYW5080"/>
    <mergeCell ref="UYY5079:UZD5079"/>
    <mergeCell ref="UZE5079:UZE5080"/>
    <mergeCell ref="ULR5079:ULR5080"/>
    <mergeCell ref="ULS5079:UMB5079"/>
    <mergeCell ref="UMD5079:UMM5079"/>
    <mergeCell ref="UMO5079:UMO5080"/>
    <mergeCell ref="UMQ5079:UMV5079"/>
    <mergeCell ref="UMW5079:UMW5080"/>
    <mergeCell ref="UMX5079:UMX5080"/>
    <mergeCell ref="UMY5079:UNH5079"/>
    <mergeCell ref="UNJ5079:UNS5079"/>
    <mergeCell ref="UNU5079:UNU5080"/>
    <mergeCell ref="UNW5079:UOB5079"/>
    <mergeCell ref="UOC5079:UOC5080"/>
    <mergeCell ref="UOD5079:UOD5080"/>
    <mergeCell ref="UOE5079:UON5079"/>
    <mergeCell ref="UOP5079:UOY5079"/>
    <mergeCell ref="UPA5079:UPA5080"/>
    <mergeCell ref="UPC5079:UPH5079"/>
    <mergeCell ref="UPI5079:UPI5080"/>
    <mergeCell ref="UPJ5079:UPJ5080"/>
    <mergeCell ref="UPK5079:UPT5079"/>
    <mergeCell ref="UPV5079:UQE5079"/>
    <mergeCell ref="UQG5079:UQG5080"/>
    <mergeCell ref="UQI5079:UQN5079"/>
    <mergeCell ref="UQO5079:UQO5080"/>
    <mergeCell ref="UQP5079:UQP5080"/>
    <mergeCell ref="UQQ5079:UQZ5079"/>
    <mergeCell ref="URB5079:URK5079"/>
    <mergeCell ref="URM5079:URM5080"/>
    <mergeCell ref="URO5079:URT5079"/>
    <mergeCell ref="URU5079:URU5080"/>
    <mergeCell ref="URV5079:URV5080"/>
    <mergeCell ref="URW5079:USF5079"/>
    <mergeCell ref="USH5079:USQ5079"/>
    <mergeCell ref="UFE5079:UFE5080"/>
    <mergeCell ref="UFG5079:UFL5079"/>
    <mergeCell ref="UFM5079:UFM5080"/>
    <mergeCell ref="UFN5079:UFN5080"/>
    <mergeCell ref="UFO5079:UFX5079"/>
    <mergeCell ref="UFZ5079:UGI5079"/>
    <mergeCell ref="UGK5079:UGK5080"/>
    <mergeCell ref="UGM5079:UGR5079"/>
    <mergeCell ref="UGS5079:UGS5080"/>
    <mergeCell ref="UGT5079:UGT5080"/>
    <mergeCell ref="UGU5079:UHD5079"/>
    <mergeCell ref="UHF5079:UHO5079"/>
    <mergeCell ref="UHQ5079:UHQ5080"/>
    <mergeCell ref="UHS5079:UHX5079"/>
    <mergeCell ref="UHY5079:UHY5080"/>
    <mergeCell ref="UHZ5079:UHZ5080"/>
    <mergeCell ref="UIA5079:UIJ5079"/>
    <mergeCell ref="UIL5079:UIU5079"/>
    <mergeCell ref="UIW5079:UIW5080"/>
    <mergeCell ref="UIY5079:UJD5079"/>
    <mergeCell ref="UJE5079:UJE5080"/>
    <mergeCell ref="UJF5079:UJF5080"/>
    <mergeCell ref="UJG5079:UJP5079"/>
    <mergeCell ref="UJR5079:UKA5079"/>
    <mergeCell ref="UKC5079:UKC5080"/>
    <mergeCell ref="UKE5079:UKJ5079"/>
    <mergeCell ref="UKK5079:UKK5080"/>
    <mergeCell ref="UKL5079:UKL5080"/>
    <mergeCell ref="UKM5079:UKV5079"/>
    <mergeCell ref="UKX5079:ULG5079"/>
    <mergeCell ref="ULI5079:ULI5080"/>
    <mergeCell ref="ULK5079:ULP5079"/>
    <mergeCell ref="ULQ5079:ULQ5080"/>
    <mergeCell ref="TYD5079:TYD5080"/>
    <mergeCell ref="TYE5079:TYN5079"/>
    <mergeCell ref="TYP5079:TYY5079"/>
    <mergeCell ref="TZA5079:TZA5080"/>
    <mergeCell ref="TZC5079:TZH5079"/>
    <mergeCell ref="TZI5079:TZI5080"/>
    <mergeCell ref="TZJ5079:TZJ5080"/>
    <mergeCell ref="TZK5079:TZT5079"/>
    <mergeCell ref="TZV5079:UAE5079"/>
    <mergeCell ref="UAG5079:UAG5080"/>
    <mergeCell ref="UAI5079:UAN5079"/>
    <mergeCell ref="UAO5079:UAO5080"/>
    <mergeCell ref="UAP5079:UAP5080"/>
    <mergeCell ref="UAQ5079:UAZ5079"/>
    <mergeCell ref="UBB5079:UBK5079"/>
    <mergeCell ref="UBM5079:UBM5080"/>
    <mergeCell ref="UBO5079:UBT5079"/>
    <mergeCell ref="UBU5079:UBU5080"/>
    <mergeCell ref="UBV5079:UBV5080"/>
    <mergeCell ref="UBW5079:UCF5079"/>
    <mergeCell ref="UCH5079:UCQ5079"/>
    <mergeCell ref="UCS5079:UCS5080"/>
    <mergeCell ref="UCU5079:UCZ5079"/>
    <mergeCell ref="UDA5079:UDA5080"/>
    <mergeCell ref="UDB5079:UDB5080"/>
    <mergeCell ref="UDC5079:UDL5079"/>
    <mergeCell ref="UDN5079:UDW5079"/>
    <mergeCell ref="UDY5079:UDY5080"/>
    <mergeCell ref="UEA5079:UEF5079"/>
    <mergeCell ref="UEG5079:UEG5080"/>
    <mergeCell ref="UEH5079:UEH5080"/>
    <mergeCell ref="UEI5079:UER5079"/>
    <mergeCell ref="UET5079:UFC5079"/>
    <mergeCell ref="TRQ5079:TRQ5080"/>
    <mergeCell ref="TRS5079:TRX5079"/>
    <mergeCell ref="TRY5079:TRY5080"/>
    <mergeCell ref="TRZ5079:TRZ5080"/>
    <mergeCell ref="TSA5079:TSJ5079"/>
    <mergeCell ref="TSL5079:TSU5079"/>
    <mergeCell ref="TSW5079:TSW5080"/>
    <mergeCell ref="TSY5079:TTD5079"/>
    <mergeCell ref="TTE5079:TTE5080"/>
    <mergeCell ref="TTF5079:TTF5080"/>
    <mergeCell ref="TTG5079:TTP5079"/>
    <mergeCell ref="TTR5079:TUA5079"/>
    <mergeCell ref="TUC5079:TUC5080"/>
    <mergeCell ref="TUE5079:TUJ5079"/>
    <mergeCell ref="TUK5079:TUK5080"/>
    <mergeCell ref="TUL5079:TUL5080"/>
    <mergeCell ref="TUM5079:TUV5079"/>
    <mergeCell ref="TUX5079:TVG5079"/>
    <mergeCell ref="TVI5079:TVI5080"/>
    <mergeCell ref="TVK5079:TVP5079"/>
    <mergeCell ref="TVQ5079:TVQ5080"/>
    <mergeCell ref="TVR5079:TVR5080"/>
    <mergeCell ref="TVS5079:TWB5079"/>
    <mergeCell ref="TWD5079:TWM5079"/>
    <mergeCell ref="TWO5079:TWO5080"/>
    <mergeCell ref="TWQ5079:TWV5079"/>
    <mergeCell ref="TWW5079:TWW5080"/>
    <mergeCell ref="TWX5079:TWX5080"/>
    <mergeCell ref="TWY5079:TXH5079"/>
    <mergeCell ref="TXJ5079:TXS5079"/>
    <mergeCell ref="TXU5079:TXU5080"/>
    <mergeCell ref="TXW5079:TYB5079"/>
    <mergeCell ref="TYC5079:TYC5080"/>
    <mergeCell ref="TKP5079:TKP5080"/>
    <mergeCell ref="TKQ5079:TKZ5079"/>
    <mergeCell ref="TLB5079:TLK5079"/>
    <mergeCell ref="TLM5079:TLM5080"/>
    <mergeCell ref="TLO5079:TLT5079"/>
    <mergeCell ref="TLU5079:TLU5080"/>
    <mergeCell ref="TLV5079:TLV5080"/>
    <mergeCell ref="TLW5079:TMF5079"/>
    <mergeCell ref="TMH5079:TMQ5079"/>
    <mergeCell ref="TMS5079:TMS5080"/>
    <mergeCell ref="TMU5079:TMZ5079"/>
    <mergeCell ref="TNA5079:TNA5080"/>
    <mergeCell ref="TNB5079:TNB5080"/>
    <mergeCell ref="TNC5079:TNL5079"/>
    <mergeCell ref="TNN5079:TNW5079"/>
    <mergeCell ref="TNY5079:TNY5080"/>
    <mergeCell ref="TOA5079:TOF5079"/>
    <mergeCell ref="TOG5079:TOG5080"/>
    <mergeCell ref="TOH5079:TOH5080"/>
    <mergeCell ref="TOI5079:TOR5079"/>
    <mergeCell ref="TOT5079:TPC5079"/>
    <mergeCell ref="TPE5079:TPE5080"/>
    <mergeCell ref="TPG5079:TPL5079"/>
    <mergeCell ref="TPM5079:TPM5080"/>
    <mergeCell ref="TPN5079:TPN5080"/>
    <mergeCell ref="TPO5079:TPX5079"/>
    <mergeCell ref="TPZ5079:TQI5079"/>
    <mergeCell ref="TQK5079:TQK5080"/>
    <mergeCell ref="TQM5079:TQR5079"/>
    <mergeCell ref="TQS5079:TQS5080"/>
    <mergeCell ref="TQT5079:TQT5080"/>
    <mergeCell ref="TQU5079:TRD5079"/>
    <mergeCell ref="TRF5079:TRO5079"/>
    <mergeCell ref="TEC5079:TEC5080"/>
    <mergeCell ref="TEE5079:TEJ5079"/>
    <mergeCell ref="TEK5079:TEK5080"/>
    <mergeCell ref="TEL5079:TEL5080"/>
    <mergeCell ref="TEM5079:TEV5079"/>
    <mergeCell ref="TEX5079:TFG5079"/>
    <mergeCell ref="TFI5079:TFI5080"/>
    <mergeCell ref="TFK5079:TFP5079"/>
    <mergeCell ref="TFQ5079:TFQ5080"/>
    <mergeCell ref="TFR5079:TFR5080"/>
    <mergeCell ref="TFS5079:TGB5079"/>
    <mergeCell ref="TGD5079:TGM5079"/>
    <mergeCell ref="TGO5079:TGO5080"/>
    <mergeCell ref="TGQ5079:TGV5079"/>
    <mergeCell ref="TGW5079:TGW5080"/>
    <mergeCell ref="TGX5079:TGX5080"/>
    <mergeCell ref="TGY5079:THH5079"/>
    <mergeCell ref="THJ5079:THS5079"/>
    <mergeCell ref="THU5079:THU5080"/>
    <mergeCell ref="THW5079:TIB5079"/>
    <mergeCell ref="TIC5079:TIC5080"/>
    <mergeCell ref="TID5079:TID5080"/>
    <mergeCell ref="TIE5079:TIN5079"/>
    <mergeCell ref="TIP5079:TIY5079"/>
    <mergeCell ref="TJA5079:TJA5080"/>
    <mergeCell ref="TJC5079:TJH5079"/>
    <mergeCell ref="TJI5079:TJI5080"/>
    <mergeCell ref="TJJ5079:TJJ5080"/>
    <mergeCell ref="TJK5079:TJT5079"/>
    <mergeCell ref="TJV5079:TKE5079"/>
    <mergeCell ref="TKG5079:TKG5080"/>
    <mergeCell ref="TKI5079:TKN5079"/>
    <mergeCell ref="TKO5079:TKO5080"/>
    <mergeCell ref="SXB5079:SXB5080"/>
    <mergeCell ref="SXC5079:SXL5079"/>
    <mergeCell ref="SXN5079:SXW5079"/>
    <mergeCell ref="SXY5079:SXY5080"/>
    <mergeCell ref="SYA5079:SYF5079"/>
    <mergeCell ref="SYG5079:SYG5080"/>
    <mergeCell ref="SYH5079:SYH5080"/>
    <mergeCell ref="SYI5079:SYR5079"/>
    <mergeCell ref="SYT5079:SZC5079"/>
    <mergeCell ref="SZE5079:SZE5080"/>
    <mergeCell ref="SZG5079:SZL5079"/>
    <mergeCell ref="SZM5079:SZM5080"/>
    <mergeCell ref="SZN5079:SZN5080"/>
    <mergeCell ref="SZO5079:SZX5079"/>
    <mergeCell ref="SZZ5079:TAI5079"/>
    <mergeCell ref="TAK5079:TAK5080"/>
    <mergeCell ref="TAM5079:TAR5079"/>
    <mergeCell ref="TAS5079:TAS5080"/>
    <mergeCell ref="TAT5079:TAT5080"/>
    <mergeCell ref="TAU5079:TBD5079"/>
    <mergeCell ref="TBF5079:TBO5079"/>
    <mergeCell ref="TBQ5079:TBQ5080"/>
    <mergeCell ref="TBS5079:TBX5079"/>
    <mergeCell ref="TBY5079:TBY5080"/>
    <mergeCell ref="TBZ5079:TBZ5080"/>
    <mergeCell ref="TCA5079:TCJ5079"/>
    <mergeCell ref="TCL5079:TCU5079"/>
    <mergeCell ref="TCW5079:TCW5080"/>
    <mergeCell ref="TCY5079:TDD5079"/>
    <mergeCell ref="TDE5079:TDE5080"/>
    <mergeCell ref="TDF5079:TDF5080"/>
    <mergeCell ref="TDG5079:TDP5079"/>
    <mergeCell ref="TDR5079:TEA5079"/>
    <mergeCell ref="SQO5079:SQO5080"/>
    <mergeCell ref="SQQ5079:SQV5079"/>
    <mergeCell ref="SQW5079:SQW5080"/>
    <mergeCell ref="SQX5079:SQX5080"/>
    <mergeCell ref="SQY5079:SRH5079"/>
    <mergeCell ref="SRJ5079:SRS5079"/>
    <mergeCell ref="SRU5079:SRU5080"/>
    <mergeCell ref="SRW5079:SSB5079"/>
    <mergeCell ref="SSC5079:SSC5080"/>
    <mergeCell ref="SSD5079:SSD5080"/>
    <mergeCell ref="SSE5079:SSN5079"/>
    <mergeCell ref="SSP5079:SSY5079"/>
    <mergeCell ref="STA5079:STA5080"/>
    <mergeCell ref="STC5079:STH5079"/>
    <mergeCell ref="STI5079:STI5080"/>
    <mergeCell ref="STJ5079:STJ5080"/>
    <mergeCell ref="STK5079:STT5079"/>
    <mergeCell ref="STV5079:SUE5079"/>
    <mergeCell ref="SUG5079:SUG5080"/>
    <mergeCell ref="SUI5079:SUN5079"/>
    <mergeCell ref="SUO5079:SUO5080"/>
    <mergeCell ref="SUP5079:SUP5080"/>
    <mergeCell ref="SUQ5079:SUZ5079"/>
    <mergeCell ref="SVB5079:SVK5079"/>
    <mergeCell ref="SVM5079:SVM5080"/>
    <mergeCell ref="SVO5079:SVT5079"/>
    <mergeCell ref="SVU5079:SVU5080"/>
    <mergeCell ref="SVV5079:SVV5080"/>
    <mergeCell ref="SVW5079:SWF5079"/>
    <mergeCell ref="SWH5079:SWQ5079"/>
    <mergeCell ref="SWS5079:SWS5080"/>
    <mergeCell ref="SWU5079:SWZ5079"/>
    <mergeCell ref="SXA5079:SXA5080"/>
    <mergeCell ref="SJN5079:SJN5080"/>
    <mergeCell ref="SJO5079:SJX5079"/>
    <mergeCell ref="SJZ5079:SKI5079"/>
    <mergeCell ref="SKK5079:SKK5080"/>
    <mergeCell ref="SKM5079:SKR5079"/>
    <mergeCell ref="SKS5079:SKS5080"/>
    <mergeCell ref="SKT5079:SKT5080"/>
    <mergeCell ref="SKU5079:SLD5079"/>
    <mergeCell ref="SLF5079:SLO5079"/>
    <mergeCell ref="SLQ5079:SLQ5080"/>
    <mergeCell ref="SLS5079:SLX5079"/>
    <mergeCell ref="SLY5079:SLY5080"/>
    <mergeCell ref="SLZ5079:SLZ5080"/>
    <mergeCell ref="SMA5079:SMJ5079"/>
    <mergeCell ref="SML5079:SMU5079"/>
    <mergeCell ref="SMW5079:SMW5080"/>
    <mergeCell ref="SMY5079:SND5079"/>
    <mergeCell ref="SNE5079:SNE5080"/>
    <mergeCell ref="SNF5079:SNF5080"/>
    <mergeCell ref="SNG5079:SNP5079"/>
    <mergeCell ref="SNR5079:SOA5079"/>
    <mergeCell ref="SOC5079:SOC5080"/>
    <mergeCell ref="SOE5079:SOJ5079"/>
    <mergeCell ref="SOK5079:SOK5080"/>
    <mergeCell ref="SOL5079:SOL5080"/>
    <mergeCell ref="SOM5079:SOV5079"/>
    <mergeCell ref="SOX5079:SPG5079"/>
    <mergeCell ref="SPI5079:SPI5080"/>
    <mergeCell ref="SPK5079:SPP5079"/>
    <mergeCell ref="SPQ5079:SPQ5080"/>
    <mergeCell ref="SPR5079:SPR5080"/>
    <mergeCell ref="SPS5079:SQB5079"/>
    <mergeCell ref="SQD5079:SQM5079"/>
    <mergeCell ref="SDA5079:SDA5080"/>
    <mergeCell ref="SDC5079:SDH5079"/>
    <mergeCell ref="SDI5079:SDI5080"/>
    <mergeCell ref="SDJ5079:SDJ5080"/>
    <mergeCell ref="SDK5079:SDT5079"/>
    <mergeCell ref="SDV5079:SEE5079"/>
    <mergeCell ref="SEG5079:SEG5080"/>
    <mergeCell ref="SEI5079:SEN5079"/>
    <mergeCell ref="SEO5079:SEO5080"/>
    <mergeCell ref="SEP5079:SEP5080"/>
    <mergeCell ref="SEQ5079:SEZ5079"/>
    <mergeCell ref="SFB5079:SFK5079"/>
    <mergeCell ref="SFM5079:SFM5080"/>
    <mergeCell ref="SFO5079:SFT5079"/>
    <mergeCell ref="SFU5079:SFU5080"/>
    <mergeCell ref="SFV5079:SFV5080"/>
    <mergeCell ref="SFW5079:SGF5079"/>
    <mergeCell ref="SGH5079:SGQ5079"/>
    <mergeCell ref="SGS5079:SGS5080"/>
    <mergeCell ref="SGU5079:SGZ5079"/>
    <mergeCell ref="SHA5079:SHA5080"/>
    <mergeCell ref="SHB5079:SHB5080"/>
    <mergeCell ref="SHC5079:SHL5079"/>
    <mergeCell ref="SHN5079:SHW5079"/>
    <mergeCell ref="SHY5079:SHY5080"/>
    <mergeCell ref="SIA5079:SIF5079"/>
    <mergeCell ref="SIG5079:SIG5080"/>
    <mergeCell ref="SIH5079:SIH5080"/>
    <mergeCell ref="SII5079:SIR5079"/>
    <mergeCell ref="SIT5079:SJC5079"/>
    <mergeCell ref="SJE5079:SJE5080"/>
    <mergeCell ref="SJG5079:SJL5079"/>
    <mergeCell ref="SJM5079:SJM5080"/>
    <mergeCell ref="RVZ5079:RVZ5080"/>
    <mergeCell ref="RWA5079:RWJ5079"/>
    <mergeCell ref="RWL5079:RWU5079"/>
    <mergeCell ref="RWW5079:RWW5080"/>
    <mergeCell ref="RWY5079:RXD5079"/>
    <mergeCell ref="RXE5079:RXE5080"/>
    <mergeCell ref="RXF5079:RXF5080"/>
    <mergeCell ref="RXG5079:RXP5079"/>
    <mergeCell ref="RXR5079:RYA5079"/>
    <mergeCell ref="RYC5079:RYC5080"/>
    <mergeCell ref="RYE5079:RYJ5079"/>
    <mergeCell ref="RYK5079:RYK5080"/>
    <mergeCell ref="RYL5079:RYL5080"/>
    <mergeCell ref="RYM5079:RYV5079"/>
    <mergeCell ref="RYX5079:RZG5079"/>
    <mergeCell ref="RZI5079:RZI5080"/>
    <mergeCell ref="RZK5079:RZP5079"/>
    <mergeCell ref="RZQ5079:RZQ5080"/>
    <mergeCell ref="RZR5079:RZR5080"/>
    <mergeCell ref="RZS5079:SAB5079"/>
    <mergeCell ref="SAD5079:SAM5079"/>
    <mergeCell ref="SAO5079:SAO5080"/>
    <mergeCell ref="SAQ5079:SAV5079"/>
    <mergeCell ref="SAW5079:SAW5080"/>
    <mergeCell ref="SAX5079:SAX5080"/>
    <mergeCell ref="SAY5079:SBH5079"/>
    <mergeCell ref="SBJ5079:SBS5079"/>
    <mergeCell ref="SBU5079:SBU5080"/>
    <mergeCell ref="SBW5079:SCB5079"/>
    <mergeCell ref="SCC5079:SCC5080"/>
    <mergeCell ref="SCD5079:SCD5080"/>
    <mergeCell ref="SCE5079:SCN5079"/>
    <mergeCell ref="SCP5079:SCY5079"/>
    <mergeCell ref="RPM5079:RPM5080"/>
    <mergeCell ref="RPO5079:RPT5079"/>
    <mergeCell ref="RPU5079:RPU5080"/>
    <mergeCell ref="RPV5079:RPV5080"/>
    <mergeCell ref="RPW5079:RQF5079"/>
    <mergeCell ref="RQH5079:RQQ5079"/>
    <mergeCell ref="RQS5079:RQS5080"/>
    <mergeCell ref="RQU5079:RQZ5079"/>
    <mergeCell ref="RRA5079:RRA5080"/>
    <mergeCell ref="RRB5079:RRB5080"/>
    <mergeCell ref="RRC5079:RRL5079"/>
    <mergeCell ref="RRN5079:RRW5079"/>
    <mergeCell ref="RRY5079:RRY5080"/>
    <mergeCell ref="RSA5079:RSF5079"/>
    <mergeCell ref="RSG5079:RSG5080"/>
    <mergeCell ref="RSH5079:RSH5080"/>
    <mergeCell ref="RSI5079:RSR5079"/>
    <mergeCell ref="RST5079:RTC5079"/>
    <mergeCell ref="RTE5079:RTE5080"/>
    <mergeCell ref="RTG5079:RTL5079"/>
    <mergeCell ref="RTM5079:RTM5080"/>
    <mergeCell ref="RTN5079:RTN5080"/>
    <mergeCell ref="RTO5079:RTX5079"/>
    <mergeCell ref="RTZ5079:RUI5079"/>
    <mergeCell ref="RUK5079:RUK5080"/>
    <mergeCell ref="RUM5079:RUR5079"/>
    <mergeCell ref="RUS5079:RUS5080"/>
    <mergeCell ref="RUT5079:RUT5080"/>
    <mergeCell ref="RUU5079:RVD5079"/>
    <mergeCell ref="RVF5079:RVO5079"/>
    <mergeCell ref="RVQ5079:RVQ5080"/>
    <mergeCell ref="RVS5079:RVX5079"/>
    <mergeCell ref="RVY5079:RVY5080"/>
    <mergeCell ref="RIL5079:RIL5080"/>
    <mergeCell ref="RIM5079:RIV5079"/>
    <mergeCell ref="RIX5079:RJG5079"/>
    <mergeCell ref="RJI5079:RJI5080"/>
    <mergeCell ref="RJK5079:RJP5079"/>
    <mergeCell ref="RJQ5079:RJQ5080"/>
    <mergeCell ref="RJR5079:RJR5080"/>
    <mergeCell ref="RJS5079:RKB5079"/>
    <mergeCell ref="RKD5079:RKM5079"/>
    <mergeCell ref="RKO5079:RKO5080"/>
    <mergeCell ref="RKQ5079:RKV5079"/>
    <mergeCell ref="RKW5079:RKW5080"/>
    <mergeCell ref="RKX5079:RKX5080"/>
    <mergeCell ref="RKY5079:RLH5079"/>
    <mergeCell ref="RLJ5079:RLS5079"/>
    <mergeCell ref="RLU5079:RLU5080"/>
    <mergeCell ref="RLW5079:RMB5079"/>
    <mergeCell ref="RMC5079:RMC5080"/>
    <mergeCell ref="RMD5079:RMD5080"/>
    <mergeCell ref="RME5079:RMN5079"/>
    <mergeCell ref="RMP5079:RMY5079"/>
    <mergeCell ref="RNA5079:RNA5080"/>
    <mergeCell ref="RNC5079:RNH5079"/>
    <mergeCell ref="RNI5079:RNI5080"/>
    <mergeCell ref="RNJ5079:RNJ5080"/>
    <mergeCell ref="RNK5079:RNT5079"/>
    <mergeCell ref="RNV5079:ROE5079"/>
    <mergeCell ref="ROG5079:ROG5080"/>
    <mergeCell ref="ROI5079:RON5079"/>
    <mergeCell ref="ROO5079:ROO5080"/>
    <mergeCell ref="ROP5079:ROP5080"/>
    <mergeCell ref="ROQ5079:ROZ5079"/>
    <mergeCell ref="RPB5079:RPK5079"/>
    <mergeCell ref="RBY5079:RBY5080"/>
    <mergeCell ref="RCA5079:RCF5079"/>
    <mergeCell ref="RCG5079:RCG5080"/>
    <mergeCell ref="RCH5079:RCH5080"/>
    <mergeCell ref="RCI5079:RCR5079"/>
    <mergeCell ref="RCT5079:RDC5079"/>
    <mergeCell ref="RDE5079:RDE5080"/>
    <mergeCell ref="RDG5079:RDL5079"/>
    <mergeCell ref="RDM5079:RDM5080"/>
    <mergeCell ref="RDN5079:RDN5080"/>
    <mergeCell ref="RDO5079:RDX5079"/>
    <mergeCell ref="RDZ5079:REI5079"/>
    <mergeCell ref="REK5079:REK5080"/>
    <mergeCell ref="REM5079:RER5079"/>
    <mergeCell ref="RES5079:RES5080"/>
    <mergeCell ref="RET5079:RET5080"/>
    <mergeCell ref="REU5079:RFD5079"/>
    <mergeCell ref="RFF5079:RFO5079"/>
    <mergeCell ref="RFQ5079:RFQ5080"/>
    <mergeCell ref="RFS5079:RFX5079"/>
    <mergeCell ref="RFY5079:RFY5080"/>
    <mergeCell ref="RFZ5079:RFZ5080"/>
    <mergeCell ref="RGA5079:RGJ5079"/>
    <mergeCell ref="RGL5079:RGU5079"/>
    <mergeCell ref="RGW5079:RGW5080"/>
    <mergeCell ref="RGY5079:RHD5079"/>
    <mergeCell ref="RHE5079:RHE5080"/>
    <mergeCell ref="RHF5079:RHF5080"/>
    <mergeCell ref="RHG5079:RHP5079"/>
    <mergeCell ref="RHR5079:RIA5079"/>
    <mergeCell ref="RIC5079:RIC5080"/>
    <mergeCell ref="RIE5079:RIJ5079"/>
    <mergeCell ref="RIK5079:RIK5080"/>
    <mergeCell ref="QUX5079:QUX5080"/>
    <mergeCell ref="QUY5079:QVH5079"/>
    <mergeCell ref="QVJ5079:QVS5079"/>
    <mergeCell ref="QVU5079:QVU5080"/>
    <mergeCell ref="QVW5079:QWB5079"/>
    <mergeCell ref="QWC5079:QWC5080"/>
    <mergeCell ref="QWD5079:QWD5080"/>
    <mergeCell ref="QWE5079:QWN5079"/>
    <mergeCell ref="QWP5079:QWY5079"/>
    <mergeCell ref="QXA5079:QXA5080"/>
    <mergeCell ref="QXC5079:QXH5079"/>
    <mergeCell ref="QXI5079:QXI5080"/>
    <mergeCell ref="QXJ5079:QXJ5080"/>
    <mergeCell ref="QXK5079:QXT5079"/>
    <mergeCell ref="QXV5079:QYE5079"/>
    <mergeCell ref="QYG5079:QYG5080"/>
    <mergeCell ref="QYI5079:QYN5079"/>
    <mergeCell ref="QYO5079:QYO5080"/>
    <mergeCell ref="QYP5079:QYP5080"/>
    <mergeCell ref="QYQ5079:QYZ5079"/>
    <mergeCell ref="QZB5079:QZK5079"/>
    <mergeCell ref="QZM5079:QZM5080"/>
    <mergeCell ref="QZO5079:QZT5079"/>
    <mergeCell ref="QZU5079:QZU5080"/>
    <mergeCell ref="QZV5079:QZV5080"/>
    <mergeCell ref="QZW5079:RAF5079"/>
    <mergeCell ref="RAH5079:RAQ5079"/>
    <mergeCell ref="RAS5079:RAS5080"/>
    <mergeCell ref="RAU5079:RAZ5079"/>
    <mergeCell ref="RBA5079:RBA5080"/>
    <mergeCell ref="RBB5079:RBB5080"/>
    <mergeCell ref="RBC5079:RBL5079"/>
    <mergeCell ref="RBN5079:RBW5079"/>
    <mergeCell ref="QOK5079:QOK5080"/>
    <mergeCell ref="QOM5079:QOR5079"/>
    <mergeCell ref="QOS5079:QOS5080"/>
    <mergeCell ref="QOT5079:QOT5080"/>
    <mergeCell ref="QOU5079:QPD5079"/>
    <mergeCell ref="QPF5079:QPO5079"/>
    <mergeCell ref="QPQ5079:QPQ5080"/>
    <mergeCell ref="QPS5079:QPX5079"/>
    <mergeCell ref="QPY5079:QPY5080"/>
    <mergeCell ref="QPZ5079:QPZ5080"/>
    <mergeCell ref="QQA5079:QQJ5079"/>
    <mergeCell ref="QQL5079:QQU5079"/>
    <mergeCell ref="QQW5079:QQW5080"/>
    <mergeCell ref="QQY5079:QRD5079"/>
    <mergeCell ref="QRE5079:QRE5080"/>
    <mergeCell ref="QRF5079:QRF5080"/>
    <mergeCell ref="QRG5079:QRP5079"/>
    <mergeCell ref="QRR5079:QSA5079"/>
    <mergeCell ref="QSC5079:QSC5080"/>
    <mergeCell ref="QSE5079:QSJ5079"/>
    <mergeCell ref="QSK5079:QSK5080"/>
    <mergeCell ref="QSL5079:QSL5080"/>
    <mergeCell ref="QSM5079:QSV5079"/>
    <mergeCell ref="QSX5079:QTG5079"/>
    <mergeCell ref="QTI5079:QTI5080"/>
    <mergeCell ref="QTK5079:QTP5079"/>
    <mergeCell ref="QTQ5079:QTQ5080"/>
    <mergeCell ref="QTR5079:QTR5080"/>
    <mergeCell ref="QTS5079:QUB5079"/>
    <mergeCell ref="QUD5079:QUM5079"/>
    <mergeCell ref="QUO5079:QUO5080"/>
    <mergeCell ref="QUQ5079:QUV5079"/>
    <mergeCell ref="QUW5079:QUW5080"/>
    <mergeCell ref="QHJ5079:QHJ5080"/>
    <mergeCell ref="QHK5079:QHT5079"/>
    <mergeCell ref="QHV5079:QIE5079"/>
    <mergeCell ref="QIG5079:QIG5080"/>
    <mergeCell ref="QII5079:QIN5079"/>
    <mergeCell ref="QIO5079:QIO5080"/>
    <mergeCell ref="QIP5079:QIP5080"/>
    <mergeCell ref="QIQ5079:QIZ5079"/>
    <mergeCell ref="QJB5079:QJK5079"/>
    <mergeCell ref="QJM5079:QJM5080"/>
    <mergeCell ref="QJO5079:QJT5079"/>
    <mergeCell ref="QJU5079:QJU5080"/>
    <mergeCell ref="QJV5079:QJV5080"/>
    <mergeCell ref="QJW5079:QKF5079"/>
    <mergeCell ref="QKH5079:QKQ5079"/>
    <mergeCell ref="QKS5079:QKS5080"/>
    <mergeCell ref="QKU5079:QKZ5079"/>
    <mergeCell ref="QLA5079:QLA5080"/>
    <mergeCell ref="QLB5079:QLB5080"/>
    <mergeCell ref="QLC5079:QLL5079"/>
    <mergeCell ref="QLN5079:QLW5079"/>
    <mergeCell ref="QLY5079:QLY5080"/>
    <mergeCell ref="QMA5079:QMF5079"/>
    <mergeCell ref="QMG5079:QMG5080"/>
    <mergeCell ref="QMH5079:QMH5080"/>
    <mergeCell ref="QMI5079:QMR5079"/>
    <mergeCell ref="QMT5079:QNC5079"/>
    <mergeCell ref="QNE5079:QNE5080"/>
    <mergeCell ref="QNG5079:QNL5079"/>
    <mergeCell ref="QNM5079:QNM5080"/>
    <mergeCell ref="QNN5079:QNN5080"/>
    <mergeCell ref="QNO5079:QNX5079"/>
    <mergeCell ref="QNZ5079:QOI5079"/>
    <mergeCell ref="QAW5079:QAW5080"/>
    <mergeCell ref="QAY5079:QBD5079"/>
    <mergeCell ref="QBE5079:QBE5080"/>
    <mergeCell ref="QBF5079:QBF5080"/>
    <mergeCell ref="QBG5079:QBP5079"/>
    <mergeCell ref="QBR5079:QCA5079"/>
    <mergeCell ref="QCC5079:QCC5080"/>
    <mergeCell ref="QCE5079:QCJ5079"/>
    <mergeCell ref="QCK5079:QCK5080"/>
    <mergeCell ref="QCL5079:QCL5080"/>
    <mergeCell ref="QCM5079:QCV5079"/>
    <mergeCell ref="QCX5079:QDG5079"/>
    <mergeCell ref="QDI5079:QDI5080"/>
    <mergeCell ref="QDK5079:QDP5079"/>
    <mergeCell ref="QDQ5079:QDQ5080"/>
    <mergeCell ref="QDR5079:QDR5080"/>
    <mergeCell ref="QDS5079:QEB5079"/>
    <mergeCell ref="QED5079:QEM5079"/>
    <mergeCell ref="QEO5079:QEO5080"/>
    <mergeCell ref="QEQ5079:QEV5079"/>
    <mergeCell ref="QEW5079:QEW5080"/>
    <mergeCell ref="QEX5079:QEX5080"/>
    <mergeCell ref="QEY5079:QFH5079"/>
    <mergeCell ref="QFJ5079:QFS5079"/>
    <mergeCell ref="QFU5079:QFU5080"/>
    <mergeCell ref="QFW5079:QGB5079"/>
    <mergeCell ref="QGC5079:QGC5080"/>
    <mergeCell ref="QGD5079:QGD5080"/>
    <mergeCell ref="QGE5079:QGN5079"/>
    <mergeCell ref="QGP5079:QGY5079"/>
    <mergeCell ref="QHA5079:QHA5080"/>
    <mergeCell ref="QHC5079:QHH5079"/>
    <mergeCell ref="QHI5079:QHI5080"/>
    <mergeCell ref="PTV5079:PTV5080"/>
    <mergeCell ref="PTW5079:PUF5079"/>
    <mergeCell ref="PUH5079:PUQ5079"/>
    <mergeCell ref="PUS5079:PUS5080"/>
    <mergeCell ref="PUU5079:PUZ5079"/>
    <mergeCell ref="PVA5079:PVA5080"/>
    <mergeCell ref="PVB5079:PVB5080"/>
    <mergeCell ref="PVC5079:PVL5079"/>
    <mergeCell ref="PVN5079:PVW5079"/>
    <mergeCell ref="PVY5079:PVY5080"/>
    <mergeCell ref="PWA5079:PWF5079"/>
    <mergeCell ref="PWG5079:PWG5080"/>
    <mergeCell ref="PWH5079:PWH5080"/>
    <mergeCell ref="PWI5079:PWR5079"/>
    <mergeCell ref="PWT5079:PXC5079"/>
    <mergeCell ref="PXE5079:PXE5080"/>
    <mergeCell ref="PXG5079:PXL5079"/>
    <mergeCell ref="PXM5079:PXM5080"/>
    <mergeCell ref="PXN5079:PXN5080"/>
    <mergeCell ref="PXO5079:PXX5079"/>
    <mergeCell ref="PXZ5079:PYI5079"/>
    <mergeCell ref="PYK5079:PYK5080"/>
    <mergeCell ref="PYM5079:PYR5079"/>
    <mergeCell ref="PYS5079:PYS5080"/>
    <mergeCell ref="PYT5079:PYT5080"/>
    <mergeCell ref="PYU5079:PZD5079"/>
    <mergeCell ref="PZF5079:PZO5079"/>
    <mergeCell ref="PZQ5079:PZQ5080"/>
    <mergeCell ref="PZS5079:PZX5079"/>
    <mergeCell ref="PZY5079:PZY5080"/>
    <mergeCell ref="PZZ5079:PZZ5080"/>
    <mergeCell ref="QAA5079:QAJ5079"/>
    <mergeCell ref="QAL5079:QAU5079"/>
    <mergeCell ref="PNI5079:PNI5080"/>
    <mergeCell ref="PNK5079:PNP5079"/>
    <mergeCell ref="PNQ5079:PNQ5080"/>
    <mergeCell ref="PNR5079:PNR5080"/>
    <mergeCell ref="PNS5079:POB5079"/>
    <mergeCell ref="POD5079:POM5079"/>
    <mergeCell ref="POO5079:POO5080"/>
    <mergeCell ref="POQ5079:POV5079"/>
    <mergeCell ref="POW5079:POW5080"/>
    <mergeCell ref="POX5079:POX5080"/>
    <mergeCell ref="POY5079:PPH5079"/>
    <mergeCell ref="PPJ5079:PPS5079"/>
    <mergeCell ref="PPU5079:PPU5080"/>
    <mergeCell ref="PPW5079:PQB5079"/>
    <mergeCell ref="PQC5079:PQC5080"/>
    <mergeCell ref="PQD5079:PQD5080"/>
    <mergeCell ref="PQE5079:PQN5079"/>
    <mergeCell ref="PQP5079:PQY5079"/>
    <mergeCell ref="PRA5079:PRA5080"/>
    <mergeCell ref="PRC5079:PRH5079"/>
    <mergeCell ref="PRI5079:PRI5080"/>
    <mergeCell ref="PRJ5079:PRJ5080"/>
    <mergeCell ref="PRK5079:PRT5079"/>
    <mergeCell ref="PRV5079:PSE5079"/>
    <mergeCell ref="PSG5079:PSG5080"/>
    <mergeCell ref="PSI5079:PSN5079"/>
    <mergeCell ref="PSO5079:PSO5080"/>
    <mergeCell ref="PSP5079:PSP5080"/>
    <mergeCell ref="PSQ5079:PSZ5079"/>
    <mergeCell ref="PTB5079:PTK5079"/>
    <mergeCell ref="PTM5079:PTM5080"/>
    <mergeCell ref="PTO5079:PTT5079"/>
    <mergeCell ref="PTU5079:PTU5080"/>
    <mergeCell ref="PGH5079:PGH5080"/>
    <mergeCell ref="PGI5079:PGR5079"/>
    <mergeCell ref="PGT5079:PHC5079"/>
    <mergeCell ref="PHE5079:PHE5080"/>
    <mergeCell ref="PHG5079:PHL5079"/>
    <mergeCell ref="PHM5079:PHM5080"/>
    <mergeCell ref="PHN5079:PHN5080"/>
    <mergeCell ref="PHO5079:PHX5079"/>
    <mergeCell ref="PHZ5079:PII5079"/>
    <mergeCell ref="PIK5079:PIK5080"/>
    <mergeCell ref="PIM5079:PIR5079"/>
    <mergeCell ref="PIS5079:PIS5080"/>
    <mergeCell ref="PIT5079:PIT5080"/>
    <mergeCell ref="PIU5079:PJD5079"/>
    <mergeCell ref="PJF5079:PJO5079"/>
    <mergeCell ref="PJQ5079:PJQ5080"/>
    <mergeCell ref="PJS5079:PJX5079"/>
    <mergeCell ref="PJY5079:PJY5080"/>
    <mergeCell ref="PJZ5079:PJZ5080"/>
    <mergeCell ref="PKA5079:PKJ5079"/>
    <mergeCell ref="PKL5079:PKU5079"/>
    <mergeCell ref="PKW5079:PKW5080"/>
    <mergeCell ref="PKY5079:PLD5079"/>
    <mergeCell ref="PLE5079:PLE5080"/>
    <mergeCell ref="PLF5079:PLF5080"/>
    <mergeCell ref="PLG5079:PLP5079"/>
    <mergeCell ref="PLR5079:PMA5079"/>
    <mergeCell ref="PMC5079:PMC5080"/>
    <mergeCell ref="PME5079:PMJ5079"/>
    <mergeCell ref="PMK5079:PMK5080"/>
    <mergeCell ref="PML5079:PML5080"/>
    <mergeCell ref="PMM5079:PMV5079"/>
    <mergeCell ref="PMX5079:PNG5079"/>
    <mergeCell ref="OZU5079:OZU5080"/>
    <mergeCell ref="OZW5079:PAB5079"/>
    <mergeCell ref="PAC5079:PAC5080"/>
    <mergeCell ref="PAD5079:PAD5080"/>
    <mergeCell ref="PAE5079:PAN5079"/>
    <mergeCell ref="PAP5079:PAY5079"/>
    <mergeCell ref="PBA5079:PBA5080"/>
    <mergeCell ref="PBC5079:PBH5079"/>
    <mergeCell ref="PBI5079:PBI5080"/>
    <mergeCell ref="PBJ5079:PBJ5080"/>
    <mergeCell ref="PBK5079:PBT5079"/>
    <mergeCell ref="PBV5079:PCE5079"/>
    <mergeCell ref="PCG5079:PCG5080"/>
    <mergeCell ref="PCI5079:PCN5079"/>
    <mergeCell ref="PCO5079:PCO5080"/>
    <mergeCell ref="PCP5079:PCP5080"/>
    <mergeCell ref="PCQ5079:PCZ5079"/>
    <mergeCell ref="PDB5079:PDK5079"/>
    <mergeCell ref="PDM5079:PDM5080"/>
    <mergeCell ref="PDO5079:PDT5079"/>
    <mergeCell ref="PDU5079:PDU5080"/>
    <mergeCell ref="PDV5079:PDV5080"/>
    <mergeCell ref="PDW5079:PEF5079"/>
    <mergeCell ref="PEH5079:PEQ5079"/>
    <mergeCell ref="PES5079:PES5080"/>
    <mergeCell ref="PEU5079:PEZ5079"/>
    <mergeCell ref="PFA5079:PFA5080"/>
    <mergeCell ref="PFB5079:PFB5080"/>
    <mergeCell ref="PFC5079:PFL5079"/>
    <mergeCell ref="PFN5079:PFW5079"/>
    <mergeCell ref="PFY5079:PFY5080"/>
    <mergeCell ref="PGA5079:PGF5079"/>
    <mergeCell ref="PGG5079:PGG5080"/>
    <mergeCell ref="OST5079:OST5080"/>
    <mergeCell ref="OSU5079:OTD5079"/>
    <mergeCell ref="OTF5079:OTO5079"/>
    <mergeCell ref="OTQ5079:OTQ5080"/>
    <mergeCell ref="OTS5079:OTX5079"/>
    <mergeCell ref="OTY5079:OTY5080"/>
    <mergeCell ref="OTZ5079:OTZ5080"/>
    <mergeCell ref="OUA5079:OUJ5079"/>
    <mergeCell ref="OUL5079:OUU5079"/>
    <mergeCell ref="OUW5079:OUW5080"/>
    <mergeCell ref="OUY5079:OVD5079"/>
    <mergeCell ref="OVE5079:OVE5080"/>
    <mergeCell ref="OVF5079:OVF5080"/>
    <mergeCell ref="OVG5079:OVP5079"/>
    <mergeCell ref="OVR5079:OWA5079"/>
    <mergeCell ref="OWC5079:OWC5080"/>
    <mergeCell ref="OWE5079:OWJ5079"/>
    <mergeCell ref="OWK5079:OWK5080"/>
    <mergeCell ref="OWL5079:OWL5080"/>
    <mergeCell ref="OWM5079:OWV5079"/>
    <mergeCell ref="OWX5079:OXG5079"/>
    <mergeCell ref="OXI5079:OXI5080"/>
    <mergeCell ref="OXK5079:OXP5079"/>
    <mergeCell ref="OXQ5079:OXQ5080"/>
    <mergeCell ref="OXR5079:OXR5080"/>
    <mergeCell ref="OXS5079:OYB5079"/>
    <mergeCell ref="OYD5079:OYM5079"/>
    <mergeCell ref="OYO5079:OYO5080"/>
    <mergeCell ref="OYQ5079:OYV5079"/>
    <mergeCell ref="OYW5079:OYW5080"/>
    <mergeCell ref="OYX5079:OYX5080"/>
    <mergeCell ref="OYY5079:OZH5079"/>
    <mergeCell ref="OZJ5079:OZS5079"/>
    <mergeCell ref="OMG5079:OMG5080"/>
    <mergeCell ref="OMI5079:OMN5079"/>
    <mergeCell ref="OMO5079:OMO5080"/>
    <mergeCell ref="OMP5079:OMP5080"/>
    <mergeCell ref="OMQ5079:OMZ5079"/>
    <mergeCell ref="ONB5079:ONK5079"/>
    <mergeCell ref="ONM5079:ONM5080"/>
    <mergeCell ref="ONO5079:ONT5079"/>
    <mergeCell ref="ONU5079:ONU5080"/>
    <mergeCell ref="ONV5079:ONV5080"/>
    <mergeCell ref="ONW5079:OOF5079"/>
    <mergeCell ref="OOH5079:OOQ5079"/>
    <mergeCell ref="OOS5079:OOS5080"/>
    <mergeCell ref="OOU5079:OOZ5079"/>
    <mergeCell ref="OPA5079:OPA5080"/>
    <mergeCell ref="OPB5079:OPB5080"/>
    <mergeCell ref="OPC5079:OPL5079"/>
    <mergeCell ref="OPN5079:OPW5079"/>
    <mergeCell ref="OPY5079:OPY5080"/>
    <mergeCell ref="OQA5079:OQF5079"/>
    <mergeCell ref="OQG5079:OQG5080"/>
    <mergeCell ref="OQH5079:OQH5080"/>
    <mergeCell ref="OQI5079:OQR5079"/>
    <mergeCell ref="OQT5079:ORC5079"/>
    <mergeCell ref="ORE5079:ORE5080"/>
    <mergeCell ref="ORG5079:ORL5079"/>
    <mergeCell ref="ORM5079:ORM5080"/>
    <mergeCell ref="ORN5079:ORN5080"/>
    <mergeCell ref="ORO5079:ORX5079"/>
    <mergeCell ref="ORZ5079:OSI5079"/>
    <mergeCell ref="OSK5079:OSK5080"/>
    <mergeCell ref="OSM5079:OSR5079"/>
    <mergeCell ref="OSS5079:OSS5080"/>
    <mergeCell ref="OFF5079:OFF5080"/>
    <mergeCell ref="OFG5079:OFP5079"/>
    <mergeCell ref="OFR5079:OGA5079"/>
    <mergeCell ref="OGC5079:OGC5080"/>
    <mergeCell ref="OGE5079:OGJ5079"/>
    <mergeCell ref="OGK5079:OGK5080"/>
    <mergeCell ref="OGL5079:OGL5080"/>
    <mergeCell ref="OGM5079:OGV5079"/>
    <mergeCell ref="OGX5079:OHG5079"/>
    <mergeCell ref="OHI5079:OHI5080"/>
    <mergeCell ref="OHK5079:OHP5079"/>
    <mergeCell ref="OHQ5079:OHQ5080"/>
    <mergeCell ref="OHR5079:OHR5080"/>
    <mergeCell ref="OHS5079:OIB5079"/>
    <mergeCell ref="OID5079:OIM5079"/>
    <mergeCell ref="OIO5079:OIO5080"/>
    <mergeCell ref="OIQ5079:OIV5079"/>
    <mergeCell ref="OIW5079:OIW5080"/>
    <mergeCell ref="OIX5079:OIX5080"/>
    <mergeCell ref="OIY5079:OJH5079"/>
    <mergeCell ref="OJJ5079:OJS5079"/>
    <mergeCell ref="OJU5079:OJU5080"/>
    <mergeCell ref="OJW5079:OKB5079"/>
    <mergeCell ref="OKC5079:OKC5080"/>
    <mergeCell ref="OKD5079:OKD5080"/>
    <mergeCell ref="OKE5079:OKN5079"/>
    <mergeCell ref="OKP5079:OKY5079"/>
    <mergeCell ref="OLA5079:OLA5080"/>
    <mergeCell ref="OLC5079:OLH5079"/>
    <mergeCell ref="OLI5079:OLI5080"/>
    <mergeCell ref="OLJ5079:OLJ5080"/>
    <mergeCell ref="OLK5079:OLT5079"/>
    <mergeCell ref="OLV5079:OME5079"/>
    <mergeCell ref="NYS5079:NYS5080"/>
    <mergeCell ref="NYU5079:NYZ5079"/>
    <mergeCell ref="NZA5079:NZA5080"/>
    <mergeCell ref="NZB5079:NZB5080"/>
    <mergeCell ref="NZC5079:NZL5079"/>
    <mergeCell ref="NZN5079:NZW5079"/>
    <mergeCell ref="NZY5079:NZY5080"/>
    <mergeCell ref="OAA5079:OAF5079"/>
    <mergeCell ref="OAG5079:OAG5080"/>
    <mergeCell ref="OAH5079:OAH5080"/>
    <mergeCell ref="OAI5079:OAR5079"/>
    <mergeCell ref="OAT5079:OBC5079"/>
    <mergeCell ref="OBE5079:OBE5080"/>
    <mergeCell ref="OBG5079:OBL5079"/>
    <mergeCell ref="OBM5079:OBM5080"/>
    <mergeCell ref="OBN5079:OBN5080"/>
    <mergeCell ref="OBO5079:OBX5079"/>
    <mergeCell ref="OBZ5079:OCI5079"/>
    <mergeCell ref="OCK5079:OCK5080"/>
    <mergeCell ref="OCM5079:OCR5079"/>
    <mergeCell ref="OCS5079:OCS5080"/>
    <mergeCell ref="OCT5079:OCT5080"/>
    <mergeCell ref="OCU5079:ODD5079"/>
    <mergeCell ref="ODF5079:ODO5079"/>
    <mergeCell ref="ODQ5079:ODQ5080"/>
    <mergeCell ref="ODS5079:ODX5079"/>
    <mergeCell ref="ODY5079:ODY5080"/>
    <mergeCell ref="ODZ5079:ODZ5080"/>
    <mergeCell ref="OEA5079:OEJ5079"/>
    <mergeCell ref="OEL5079:OEU5079"/>
    <mergeCell ref="OEW5079:OEW5080"/>
    <mergeCell ref="OEY5079:OFD5079"/>
    <mergeCell ref="OFE5079:OFE5080"/>
    <mergeCell ref="NRR5079:NRR5080"/>
    <mergeCell ref="NRS5079:NSB5079"/>
    <mergeCell ref="NSD5079:NSM5079"/>
    <mergeCell ref="NSO5079:NSO5080"/>
    <mergeCell ref="NSQ5079:NSV5079"/>
    <mergeCell ref="NSW5079:NSW5080"/>
    <mergeCell ref="NSX5079:NSX5080"/>
    <mergeCell ref="NSY5079:NTH5079"/>
    <mergeCell ref="NTJ5079:NTS5079"/>
    <mergeCell ref="NTU5079:NTU5080"/>
    <mergeCell ref="NTW5079:NUB5079"/>
    <mergeCell ref="NUC5079:NUC5080"/>
    <mergeCell ref="NUD5079:NUD5080"/>
    <mergeCell ref="NUE5079:NUN5079"/>
    <mergeCell ref="NUP5079:NUY5079"/>
    <mergeCell ref="NVA5079:NVA5080"/>
    <mergeCell ref="NVC5079:NVH5079"/>
    <mergeCell ref="NVI5079:NVI5080"/>
    <mergeCell ref="NVJ5079:NVJ5080"/>
    <mergeCell ref="NVK5079:NVT5079"/>
    <mergeCell ref="NVV5079:NWE5079"/>
    <mergeCell ref="NWG5079:NWG5080"/>
    <mergeCell ref="NWI5079:NWN5079"/>
    <mergeCell ref="NWO5079:NWO5080"/>
    <mergeCell ref="NWP5079:NWP5080"/>
    <mergeCell ref="NWQ5079:NWZ5079"/>
    <mergeCell ref="NXB5079:NXK5079"/>
    <mergeCell ref="NXM5079:NXM5080"/>
    <mergeCell ref="NXO5079:NXT5079"/>
    <mergeCell ref="NXU5079:NXU5080"/>
    <mergeCell ref="NXV5079:NXV5080"/>
    <mergeCell ref="NXW5079:NYF5079"/>
    <mergeCell ref="NYH5079:NYQ5079"/>
    <mergeCell ref="NLE5079:NLE5080"/>
    <mergeCell ref="NLG5079:NLL5079"/>
    <mergeCell ref="NLM5079:NLM5080"/>
    <mergeCell ref="NLN5079:NLN5080"/>
    <mergeCell ref="NLO5079:NLX5079"/>
    <mergeCell ref="NLZ5079:NMI5079"/>
    <mergeCell ref="NMK5079:NMK5080"/>
    <mergeCell ref="NMM5079:NMR5079"/>
    <mergeCell ref="NMS5079:NMS5080"/>
    <mergeCell ref="NMT5079:NMT5080"/>
    <mergeCell ref="NMU5079:NND5079"/>
    <mergeCell ref="NNF5079:NNO5079"/>
    <mergeCell ref="NNQ5079:NNQ5080"/>
    <mergeCell ref="NNS5079:NNX5079"/>
    <mergeCell ref="NNY5079:NNY5080"/>
    <mergeCell ref="NNZ5079:NNZ5080"/>
    <mergeCell ref="NOA5079:NOJ5079"/>
    <mergeCell ref="NOL5079:NOU5079"/>
    <mergeCell ref="NOW5079:NOW5080"/>
    <mergeCell ref="NOY5079:NPD5079"/>
    <mergeCell ref="NPE5079:NPE5080"/>
    <mergeCell ref="NPF5079:NPF5080"/>
    <mergeCell ref="NPG5079:NPP5079"/>
    <mergeCell ref="NPR5079:NQA5079"/>
    <mergeCell ref="NQC5079:NQC5080"/>
    <mergeCell ref="NQE5079:NQJ5079"/>
    <mergeCell ref="NQK5079:NQK5080"/>
    <mergeCell ref="NQL5079:NQL5080"/>
    <mergeCell ref="NQM5079:NQV5079"/>
    <mergeCell ref="NQX5079:NRG5079"/>
    <mergeCell ref="NRI5079:NRI5080"/>
    <mergeCell ref="NRK5079:NRP5079"/>
    <mergeCell ref="NRQ5079:NRQ5080"/>
    <mergeCell ref="NED5079:NED5080"/>
    <mergeCell ref="NEE5079:NEN5079"/>
    <mergeCell ref="NEP5079:NEY5079"/>
    <mergeCell ref="NFA5079:NFA5080"/>
    <mergeCell ref="NFC5079:NFH5079"/>
    <mergeCell ref="NFI5079:NFI5080"/>
    <mergeCell ref="NFJ5079:NFJ5080"/>
    <mergeCell ref="NFK5079:NFT5079"/>
    <mergeCell ref="NFV5079:NGE5079"/>
    <mergeCell ref="NGG5079:NGG5080"/>
    <mergeCell ref="NGI5079:NGN5079"/>
    <mergeCell ref="NGO5079:NGO5080"/>
    <mergeCell ref="NGP5079:NGP5080"/>
    <mergeCell ref="NGQ5079:NGZ5079"/>
    <mergeCell ref="NHB5079:NHK5079"/>
    <mergeCell ref="NHM5079:NHM5080"/>
    <mergeCell ref="NHO5079:NHT5079"/>
    <mergeCell ref="NHU5079:NHU5080"/>
    <mergeCell ref="NHV5079:NHV5080"/>
    <mergeCell ref="NHW5079:NIF5079"/>
    <mergeCell ref="NIH5079:NIQ5079"/>
    <mergeCell ref="NIS5079:NIS5080"/>
    <mergeCell ref="NIU5079:NIZ5079"/>
    <mergeCell ref="NJA5079:NJA5080"/>
    <mergeCell ref="NJB5079:NJB5080"/>
    <mergeCell ref="NJC5079:NJL5079"/>
    <mergeCell ref="NJN5079:NJW5079"/>
    <mergeCell ref="NJY5079:NJY5080"/>
    <mergeCell ref="NKA5079:NKF5079"/>
    <mergeCell ref="NKG5079:NKG5080"/>
    <mergeCell ref="NKH5079:NKH5080"/>
    <mergeCell ref="NKI5079:NKR5079"/>
    <mergeCell ref="NKT5079:NLC5079"/>
    <mergeCell ref="MXQ5079:MXQ5080"/>
    <mergeCell ref="MXS5079:MXX5079"/>
    <mergeCell ref="MXY5079:MXY5080"/>
    <mergeCell ref="MXZ5079:MXZ5080"/>
    <mergeCell ref="MYA5079:MYJ5079"/>
    <mergeCell ref="MYL5079:MYU5079"/>
    <mergeCell ref="MYW5079:MYW5080"/>
    <mergeCell ref="MYY5079:MZD5079"/>
    <mergeCell ref="MZE5079:MZE5080"/>
    <mergeCell ref="MZF5079:MZF5080"/>
    <mergeCell ref="MZG5079:MZP5079"/>
    <mergeCell ref="MZR5079:NAA5079"/>
    <mergeCell ref="NAC5079:NAC5080"/>
    <mergeCell ref="NAE5079:NAJ5079"/>
    <mergeCell ref="NAK5079:NAK5080"/>
    <mergeCell ref="NAL5079:NAL5080"/>
    <mergeCell ref="NAM5079:NAV5079"/>
    <mergeCell ref="NAX5079:NBG5079"/>
    <mergeCell ref="NBI5079:NBI5080"/>
    <mergeCell ref="NBK5079:NBP5079"/>
    <mergeCell ref="NBQ5079:NBQ5080"/>
    <mergeCell ref="NBR5079:NBR5080"/>
    <mergeCell ref="NBS5079:NCB5079"/>
    <mergeCell ref="NCD5079:NCM5079"/>
    <mergeCell ref="NCO5079:NCO5080"/>
    <mergeCell ref="NCQ5079:NCV5079"/>
    <mergeCell ref="NCW5079:NCW5080"/>
    <mergeCell ref="NCX5079:NCX5080"/>
    <mergeCell ref="NCY5079:NDH5079"/>
    <mergeCell ref="NDJ5079:NDS5079"/>
    <mergeCell ref="NDU5079:NDU5080"/>
    <mergeCell ref="NDW5079:NEB5079"/>
    <mergeCell ref="NEC5079:NEC5080"/>
    <mergeCell ref="MQP5079:MQP5080"/>
    <mergeCell ref="MQQ5079:MQZ5079"/>
    <mergeCell ref="MRB5079:MRK5079"/>
    <mergeCell ref="MRM5079:MRM5080"/>
    <mergeCell ref="MRO5079:MRT5079"/>
    <mergeCell ref="MRU5079:MRU5080"/>
    <mergeCell ref="MRV5079:MRV5080"/>
    <mergeCell ref="MRW5079:MSF5079"/>
    <mergeCell ref="MSH5079:MSQ5079"/>
    <mergeCell ref="MSS5079:MSS5080"/>
    <mergeCell ref="MSU5079:MSZ5079"/>
    <mergeCell ref="MTA5079:MTA5080"/>
    <mergeCell ref="MTB5079:MTB5080"/>
    <mergeCell ref="MTC5079:MTL5079"/>
    <mergeCell ref="MTN5079:MTW5079"/>
    <mergeCell ref="MTY5079:MTY5080"/>
    <mergeCell ref="MUA5079:MUF5079"/>
    <mergeCell ref="MUG5079:MUG5080"/>
    <mergeCell ref="MUH5079:MUH5080"/>
    <mergeCell ref="MUI5079:MUR5079"/>
    <mergeCell ref="MUT5079:MVC5079"/>
    <mergeCell ref="MVE5079:MVE5080"/>
    <mergeCell ref="MVG5079:MVL5079"/>
    <mergeCell ref="MVM5079:MVM5080"/>
    <mergeCell ref="MVN5079:MVN5080"/>
    <mergeCell ref="MVO5079:MVX5079"/>
    <mergeCell ref="MVZ5079:MWI5079"/>
    <mergeCell ref="MWK5079:MWK5080"/>
    <mergeCell ref="MWM5079:MWR5079"/>
    <mergeCell ref="MWS5079:MWS5080"/>
    <mergeCell ref="MWT5079:MWT5080"/>
    <mergeCell ref="MWU5079:MXD5079"/>
    <mergeCell ref="MXF5079:MXO5079"/>
    <mergeCell ref="MKC5079:MKC5080"/>
    <mergeCell ref="MKE5079:MKJ5079"/>
    <mergeCell ref="MKK5079:MKK5080"/>
    <mergeCell ref="MKL5079:MKL5080"/>
    <mergeCell ref="MKM5079:MKV5079"/>
    <mergeCell ref="MKX5079:MLG5079"/>
    <mergeCell ref="MLI5079:MLI5080"/>
    <mergeCell ref="MLK5079:MLP5079"/>
    <mergeCell ref="MLQ5079:MLQ5080"/>
    <mergeCell ref="MLR5079:MLR5080"/>
    <mergeCell ref="MLS5079:MMB5079"/>
    <mergeCell ref="MMD5079:MMM5079"/>
    <mergeCell ref="MMO5079:MMO5080"/>
    <mergeCell ref="MMQ5079:MMV5079"/>
    <mergeCell ref="MMW5079:MMW5080"/>
    <mergeCell ref="MMX5079:MMX5080"/>
    <mergeCell ref="MMY5079:MNH5079"/>
    <mergeCell ref="MNJ5079:MNS5079"/>
    <mergeCell ref="MNU5079:MNU5080"/>
    <mergeCell ref="MNW5079:MOB5079"/>
    <mergeCell ref="MOC5079:MOC5080"/>
    <mergeCell ref="MOD5079:MOD5080"/>
    <mergeCell ref="MOE5079:MON5079"/>
    <mergeCell ref="MOP5079:MOY5079"/>
    <mergeCell ref="MPA5079:MPA5080"/>
    <mergeCell ref="MPC5079:MPH5079"/>
    <mergeCell ref="MPI5079:MPI5080"/>
    <mergeCell ref="MPJ5079:MPJ5080"/>
    <mergeCell ref="MPK5079:MPT5079"/>
    <mergeCell ref="MPV5079:MQE5079"/>
    <mergeCell ref="MQG5079:MQG5080"/>
    <mergeCell ref="MQI5079:MQN5079"/>
    <mergeCell ref="MQO5079:MQO5080"/>
    <mergeCell ref="MDB5079:MDB5080"/>
    <mergeCell ref="MDC5079:MDL5079"/>
    <mergeCell ref="MDN5079:MDW5079"/>
    <mergeCell ref="MDY5079:MDY5080"/>
    <mergeCell ref="MEA5079:MEF5079"/>
    <mergeCell ref="MEG5079:MEG5080"/>
    <mergeCell ref="MEH5079:MEH5080"/>
    <mergeCell ref="MEI5079:MER5079"/>
    <mergeCell ref="MET5079:MFC5079"/>
    <mergeCell ref="MFE5079:MFE5080"/>
    <mergeCell ref="MFG5079:MFL5079"/>
    <mergeCell ref="MFM5079:MFM5080"/>
    <mergeCell ref="MFN5079:MFN5080"/>
    <mergeCell ref="MFO5079:MFX5079"/>
    <mergeCell ref="MFZ5079:MGI5079"/>
    <mergeCell ref="MGK5079:MGK5080"/>
    <mergeCell ref="MGM5079:MGR5079"/>
    <mergeCell ref="MGS5079:MGS5080"/>
    <mergeCell ref="MGT5079:MGT5080"/>
    <mergeCell ref="MGU5079:MHD5079"/>
    <mergeCell ref="MHF5079:MHO5079"/>
    <mergeCell ref="MHQ5079:MHQ5080"/>
    <mergeCell ref="MHS5079:MHX5079"/>
    <mergeCell ref="MHY5079:MHY5080"/>
    <mergeCell ref="MHZ5079:MHZ5080"/>
    <mergeCell ref="MIA5079:MIJ5079"/>
    <mergeCell ref="MIL5079:MIU5079"/>
    <mergeCell ref="MIW5079:MIW5080"/>
    <mergeCell ref="MIY5079:MJD5079"/>
    <mergeCell ref="MJE5079:MJE5080"/>
    <mergeCell ref="MJF5079:MJF5080"/>
    <mergeCell ref="MJG5079:MJP5079"/>
    <mergeCell ref="MJR5079:MKA5079"/>
    <mergeCell ref="LWO5079:LWO5080"/>
    <mergeCell ref="LWQ5079:LWV5079"/>
    <mergeCell ref="LWW5079:LWW5080"/>
    <mergeCell ref="LWX5079:LWX5080"/>
    <mergeCell ref="LWY5079:LXH5079"/>
    <mergeCell ref="LXJ5079:LXS5079"/>
    <mergeCell ref="LXU5079:LXU5080"/>
    <mergeCell ref="LXW5079:LYB5079"/>
    <mergeCell ref="LYC5079:LYC5080"/>
    <mergeCell ref="LYD5079:LYD5080"/>
    <mergeCell ref="LYE5079:LYN5079"/>
    <mergeCell ref="LYP5079:LYY5079"/>
    <mergeCell ref="LZA5079:LZA5080"/>
    <mergeCell ref="LZC5079:LZH5079"/>
    <mergeCell ref="LZI5079:LZI5080"/>
    <mergeCell ref="LZJ5079:LZJ5080"/>
    <mergeCell ref="LZK5079:LZT5079"/>
    <mergeCell ref="LZV5079:MAE5079"/>
    <mergeCell ref="MAG5079:MAG5080"/>
    <mergeCell ref="MAI5079:MAN5079"/>
    <mergeCell ref="MAO5079:MAO5080"/>
    <mergeCell ref="MAP5079:MAP5080"/>
    <mergeCell ref="MAQ5079:MAZ5079"/>
    <mergeCell ref="MBB5079:MBK5079"/>
    <mergeCell ref="MBM5079:MBM5080"/>
    <mergeCell ref="MBO5079:MBT5079"/>
    <mergeCell ref="MBU5079:MBU5080"/>
    <mergeCell ref="MBV5079:MBV5080"/>
    <mergeCell ref="MBW5079:MCF5079"/>
    <mergeCell ref="MCH5079:MCQ5079"/>
    <mergeCell ref="MCS5079:MCS5080"/>
    <mergeCell ref="MCU5079:MCZ5079"/>
    <mergeCell ref="MDA5079:MDA5080"/>
    <mergeCell ref="LPN5079:LPN5080"/>
    <mergeCell ref="LPO5079:LPX5079"/>
    <mergeCell ref="LPZ5079:LQI5079"/>
    <mergeCell ref="LQK5079:LQK5080"/>
    <mergeCell ref="LQM5079:LQR5079"/>
    <mergeCell ref="LQS5079:LQS5080"/>
    <mergeCell ref="LQT5079:LQT5080"/>
    <mergeCell ref="LQU5079:LRD5079"/>
    <mergeCell ref="LRF5079:LRO5079"/>
    <mergeCell ref="LRQ5079:LRQ5080"/>
    <mergeCell ref="LRS5079:LRX5079"/>
    <mergeCell ref="LRY5079:LRY5080"/>
    <mergeCell ref="LRZ5079:LRZ5080"/>
    <mergeCell ref="LSA5079:LSJ5079"/>
    <mergeCell ref="LSL5079:LSU5079"/>
    <mergeCell ref="LSW5079:LSW5080"/>
    <mergeCell ref="LSY5079:LTD5079"/>
    <mergeCell ref="LTE5079:LTE5080"/>
    <mergeCell ref="LTF5079:LTF5080"/>
    <mergeCell ref="LTG5079:LTP5079"/>
    <mergeCell ref="LTR5079:LUA5079"/>
    <mergeCell ref="LUC5079:LUC5080"/>
    <mergeCell ref="LUE5079:LUJ5079"/>
    <mergeCell ref="LUK5079:LUK5080"/>
    <mergeCell ref="LUL5079:LUL5080"/>
    <mergeCell ref="LUM5079:LUV5079"/>
    <mergeCell ref="LUX5079:LVG5079"/>
    <mergeCell ref="LVI5079:LVI5080"/>
    <mergeCell ref="LVK5079:LVP5079"/>
    <mergeCell ref="LVQ5079:LVQ5080"/>
    <mergeCell ref="LVR5079:LVR5080"/>
    <mergeCell ref="LVS5079:LWB5079"/>
    <mergeCell ref="LWD5079:LWM5079"/>
    <mergeCell ref="LJA5079:LJA5080"/>
    <mergeCell ref="LJC5079:LJH5079"/>
    <mergeCell ref="LJI5079:LJI5080"/>
    <mergeCell ref="LJJ5079:LJJ5080"/>
    <mergeCell ref="LJK5079:LJT5079"/>
    <mergeCell ref="LJV5079:LKE5079"/>
    <mergeCell ref="LKG5079:LKG5080"/>
    <mergeCell ref="LKI5079:LKN5079"/>
    <mergeCell ref="LKO5079:LKO5080"/>
    <mergeCell ref="LKP5079:LKP5080"/>
    <mergeCell ref="LKQ5079:LKZ5079"/>
    <mergeCell ref="LLB5079:LLK5079"/>
    <mergeCell ref="LLM5079:LLM5080"/>
    <mergeCell ref="LLO5079:LLT5079"/>
    <mergeCell ref="LLU5079:LLU5080"/>
    <mergeCell ref="LLV5079:LLV5080"/>
    <mergeCell ref="LLW5079:LMF5079"/>
    <mergeCell ref="LMH5079:LMQ5079"/>
    <mergeCell ref="LMS5079:LMS5080"/>
    <mergeCell ref="LMU5079:LMZ5079"/>
    <mergeCell ref="LNA5079:LNA5080"/>
    <mergeCell ref="LNB5079:LNB5080"/>
    <mergeCell ref="LNC5079:LNL5079"/>
    <mergeCell ref="LNN5079:LNW5079"/>
    <mergeCell ref="LNY5079:LNY5080"/>
    <mergeCell ref="LOA5079:LOF5079"/>
    <mergeCell ref="LOG5079:LOG5080"/>
    <mergeCell ref="LOH5079:LOH5080"/>
    <mergeCell ref="LOI5079:LOR5079"/>
    <mergeCell ref="LOT5079:LPC5079"/>
    <mergeCell ref="LPE5079:LPE5080"/>
    <mergeCell ref="LPG5079:LPL5079"/>
    <mergeCell ref="LPM5079:LPM5080"/>
    <mergeCell ref="LBZ5079:LBZ5080"/>
    <mergeCell ref="LCA5079:LCJ5079"/>
    <mergeCell ref="LCL5079:LCU5079"/>
    <mergeCell ref="LCW5079:LCW5080"/>
    <mergeCell ref="LCY5079:LDD5079"/>
    <mergeCell ref="LDE5079:LDE5080"/>
    <mergeCell ref="LDF5079:LDF5080"/>
    <mergeCell ref="LDG5079:LDP5079"/>
    <mergeCell ref="LDR5079:LEA5079"/>
    <mergeCell ref="LEC5079:LEC5080"/>
    <mergeCell ref="LEE5079:LEJ5079"/>
    <mergeCell ref="LEK5079:LEK5080"/>
    <mergeCell ref="LEL5079:LEL5080"/>
    <mergeCell ref="LEM5079:LEV5079"/>
    <mergeCell ref="LEX5079:LFG5079"/>
    <mergeCell ref="LFI5079:LFI5080"/>
    <mergeCell ref="LFK5079:LFP5079"/>
    <mergeCell ref="LFQ5079:LFQ5080"/>
    <mergeCell ref="LFR5079:LFR5080"/>
    <mergeCell ref="LFS5079:LGB5079"/>
    <mergeCell ref="LGD5079:LGM5079"/>
    <mergeCell ref="LGO5079:LGO5080"/>
    <mergeCell ref="LGQ5079:LGV5079"/>
    <mergeCell ref="LGW5079:LGW5080"/>
    <mergeCell ref="LGX5079:LGX5080"/>
    <mergeCell ref="LGY5079:LHH5079"/>
    <mergeCell ref="LHJ5079:LHS5079"/>
    <mergeCell ref="LHU5079:LHU5080"/>
    <mergeCell ref="LHW5079:LIB5079"/>
    <mergeCell ref="LIC5079:LIC5080"/>
    <mergeCell ref="LID5079:LID5080"/>
    <mergeCell ref="LIE5079:LIN5079"/>
    <mergeCell ref="LIP5079:LIY5079"/>
    <mergeCell ref="KVM5079:KVM5080"/>
    <mergeCell ref="KVO5079:KVT5079"/>
    <mergeCell ref="KVU5079:KVU5080"/>
    <mergeCell ref="KVV5079:KVV5080"/>
    <mergeCell ref="KVW5079:KWF5079"/>
    <mergeCell ref="KWH5079:KWQ5079"/>
    <mergeCell ref="KWS5079:KWS5080"/>
    <mergeCell ref="KWU5079:KWZ5079"/>
    <mergeCell ref="KXA5079:KXA5080"/>
    <mergeCell ref="KXB5079:KXB5080"/>
    <mergeCell ref="KXC5079:KXL5079"/>
    <mergeCell ref="KXN5079:KXW5079"/>
    <mergeCell ref="KXY5079:KXY5080"/>
    <mergeCell ref="KYA5079:KYF5079"/>
    <mergeCell ref="KYG5079:KYG5080"/>
    <mergeCell ref="KYH5079:KYH5080"/>
    <mergeCell ref="KYI5079:KYR5079"/>
    <mergeCell ref="KYT5079:KZC5079"/>
    <mergeCell ref="KZE5079:KZE5080"/>
    <mergeCell ref="KZG5079:KZL5079"/>
    <mergeCell ref="KZM5079:KZM5080"/>
    <mergeCell ref="KZN5079:KZN5080"/>
    <mergeCell ref="KZO5079:KZX5079"/>
    <mergeCell ref="KZZ5079:LAI5079"/>
    <mergeCell ref="LAK5079:LAK5080"/>
    <mergeCell ref="LAM5079:LAR5079"/>
    <mergeCell ref="LAS5079:LAS5080"/>
    <mergeCell ref="LAT5079:LAT5080"/>
    <mergeCell ref="LAU5079:LBD5079"/>
    <mergeCell ref="LBF5079:LBO5079"/>
    <mergeCell ref="LBQ5079:LBQ5080"/>
    <mergeCell ref="LBS5079:LBX5079"/>
    <mergeCell ref="LBY5079:LBY5080"/>
    <mergeCell ref="KOL5079:KOL5080"/>
    <mergeCell ref="KOM5079:KOV5079"/>
    <mergeCell ref="KOX5079:KPG5079"/>
    <mergeCell ref="KPI5079:KPI5080"/>
    <mergeCell ref="KPK5079:KPP5079"/>
    <mergeCell ref="KPQ5079:KPQ5080"/>
    <mergeCell ref="KPR5079:KPR5080"/>
    <mergeCell ref="KPS5079:KQB5079"/>
    <mergeCell ref="KQD5079:KQM5079"/>
    <mergeCell ref="KQO5079:KQO5080"/>
    <mergeCell ref="KQQ5079:KQV5079"/>
    <mergeCell ref="KQW5079:KQW5080"/>
    <mergeCell ref="KQX5079:KQX5080"/>
    <mergeCell ref="KQY5079:KRH5079"/>
    <mergeCell ref="KRJ5079:KRS5079"/>
    <mergeCell ref="KRU5079:KRU5080"/>
    <mergeCell ref="KRW5079:KSB5079"/>
    <mergeCell ref="KSC5079:KSC5080"/>
    <mergeCell ref="KSD5079:KSD5080"/>
    <mergeCell ref="KSE5079:KSN5079"/>
    <mergeCell ref="KSP5079:KSY5079"/>
    <mergeCell ref="KTA5079:KTA5080"/>
    <mergeCell ref="KTC5079:KTH5079"/>
    <mergeCell ref="KTI5079:KTI5080"/>
    <mergeCell ref="KTJ5079:KTJ5080"/>
    <mergeCell ref="KTK5079:KTT5079"/>
    <mergeCell ref="KTV5079:KUE5079"/>
    <mergeCell ref="KUG5079:KUG5080"/>
    <mergeCell ref="KUI5079:KUN5079"/>
    <mergeCell ref="KUO5079:KUO5080"/>
    <mergeCell ref="KUP5079:KUP5080"/>
    <mergeCell ref="KUQ5079:KUZ5079"/>
    <mergeCell ref="KVB5079:KVK5079"/>
    <mergeCell ref="KHY5079:KHY5080"/>
    <mergeCell ref="KIA5079:KIF5079"/>
    <mergeCell ref="KIG5079:KIG5080"/>
    <mergeCell ref="KIH5079:KIH5080"/>
    <mergeCell ref="KII5079:KIR5079"/>
    <mergeCell ref="KIT5079:KJC5079"/>
    <mergeCell ref="KJE5079:KJE5080"/>
    <mergeCell ref="KJG5079:KJL5079"/>
    <mergeCell ref="KJM5079:KJM5080"/>
    <mergeCell ref="KJN5079:KJN5080"/>
    <mergeCell ref="KJO5079:KJX5079"/>
    <mergeCell ref="KJZ5079:KKI5079"/>
    <mergeCell ref="KKK5079:KKK5080"/>
    <mergeCell ref="KKM5079:KKR5079"/>
    <mergeCell ref="KKS5079:KKS5080"/>
    <mergeCell ref="KKT5079:KKT5080"/>
    <mergeCell ref="KKU5079:KLD5079"/>
    <mergeCell ref="KLF5079:KLO5079"/>
    <mergeCell ref="KLQ5079:KLQ5080"/>
    <mergeCell ref="KLS5079:KLX5079"/>
    <mergeCell ref="KLY5079:KLY5080"/>
    <mergeCell ref="KLZ5079:KLZ5080"/>
    <mergeCell ref="KMA5079:KMJ5079"/>
    <mergeCell ref="KML5079:KMU5079"/>
    <mergeCell ref="KMW5079:KMW5080"/>
    <mergeCell ref="KMY5079:KND5079"/>
    <mergeCell ref="KNE5079:KNE5080"/>
    <mergeCell ref="KNF5079:KNF5080"/>
    <mergeCell ref="KNG5079:KNP5079"/>
    <mergeCell ref="KNR5079:KOA5079"/>
    <mergeCell ref="KOC5079:KOC5080"/>
    <mergeCell ref="KOE5079:KOJ5079"/>
    <mergeCell ref="KOK5079:KOK5080"/>
    <mergeCell ref="KAX5079:KAX5080"/>
    <mergeCell ref="KAY5079:KBH5079"/>
    <mergeCell ref="KBJ5079:KBS5079"/>
    <mergeCell ref="KBU5079:KBU5080"/>
    <mergeCell ref="KBW5079:KCB5079"/>
    <mergeCell ref="KCC5079:KCC5080"/>
    <mergeCell ref="KCD5079:KCD5080"/>
    <mergeCell ref="KCE5079:KCN5079"/>
    <mergeCell ref="KCP5079:KCY5079"/>
    <mergeCell ref="KDA5079:KDA5080"/>
    <mergeCell ref="KDC5079:KDH5079"/>
    <mergeCell ref="KDI5079:KDI5080"/>
    <mergeCell ref="KDJ5079:KDJ5080"/>
    <mergeCell ref="KDK5079:KDT5079"/>
    <mergeCell ref="KDV5079:KEE5079"/>
    <mergeCell ref="KEG5079:KEG5080"/>
    <mergeCell ref="KEI5079:KEN5079"/>
    <mergeCell ref="KEO5079:KEO5080"/>
    <mergeCell ref="KEP5079:KEP5080"/>
    <mergeCell ref="KEQ5079:KEZ5079"/>
    <mergeCell ref="KFB5079:KFK5079"/>
    <mergeCell ref="KFM5079:KFM5080"/>
    <mergeCell ref="KFO5079:KFT5079"/>
    <mergeCell ref="KFU5079:KFU5080"/>
    <mergeCell ref="KFV5079:KFV5080"/>
    <mergeCell ref="KFW5079:KGF5079"/>
    <mergeCell ref="KGH5079:KGQ5079"/>
    <mergeCell ref="KGS5079:KGS5080"/>
    <mergeCell ref="KGU5079:KGZ5079"/>
    <mergeCell ref="KHA5079:KHA5080"/>
    <mergeCell ref="KHB5079:KHB5080"/>
    <mergeCell ref="KHC5079:KHL5079"/>
    <mergeCell ref="KHN5079:KHW5079"/>
    <mergeCell ref="JUK5079:JUK5080"/>
    <mergeCell ref="JUM5079:JUR5079"/>
    <mergeCell ref="JUS5079:JUS5080"/>
    <mergeCell ref="JUT5079:JUT5080"/>
    <mergeCell ref="JUU5079:JVD5079"/>
    <mergeCell ref="JVF5079:JVO5079"/>
    <mergeCell ref="JVQ5079:JVQ5080"/>
    <mergeCell ref="JVS5079:JVX5079"/>
    <mergeCell ref="JVY5079:JVY5080"/>
    <mergeCell ref="JVZ5079:JVZ5080"/>
    <mergeCell ref="JWA5079:JWJ5079"/>
    <mergeCell ref="JWL5079:JWU5079"/>
    <mergeCell ref="JWW5079:JWW5080"/>
    <mergeCell ref="JWY5079:JXD5079"/>
    <mergeCell ref="JXE5079:JXE5080"/>
    <mergeCell ref="JXF5079:JXF5080"/>
    <mergeCell ref="JXG5079:JXP5079"/>
    <mergeCell ref="JXR5079:JYA5079"/>
    <mergeCell ref="JYC5079:JYC5080"/>
    <mergeCell ref="JYE5079:JYJ5079"/>
    <mergeCell ref="JYK5079:JYK5080"/>
    <mergeCell ref="JYL5079:JYL5080"/>
    <mergeCell ref="JYM5079:JYV5079"/>
    <mergeCell ref="JYX5079:JZG5079"/>
    <mergeCell ref="JZI5079:JZI5080"/>
    <mergeCell ref="JZK5079:JZP5079"/>
    <mergeCell ref="JZQ5079:JZQ5080"/>
    <mergeCell ref="JZR5079:JZR5080"/>
    <mergeCell ref="JZS5079:KAB5079"/>
    <mergeCell ref="KAD5079:KAM5079"/>
    <mergeCell ref="KAO5079:KAO5080"/>
    <mergeCell ref="KAQ5079:KAV5079"/>
    <mergeCell ref="KAW5079:KAW5080"/>
    <mergeCell ref="JNJ5079:JNJ5080"/>
    <mergeCell ref="JNK5079:JNT5079"/>
    <mergeCell ref="JNV5079:JOE5079"/>
    <mergeCell ref="JOG5079:JOG5080"/>
    <mergeCell ref="JOI5079:JON5079"/>
    <mergeCell ref="JOO5079:JOO5080"/>
    <mergeCell ref="JOP5079:JOP5080"/>
    <mergeCell ref="JOQ5079:JOZ5079"/>
    <mergeCell ref="JPB5079:JPK5079"/>
    <mergeCell ref="JPM5079:JPM5080"/>
    <mergeCell ref="JPO5079:JPT5079"/>
    <mergeCell ref="JPU5079:JPU5080"/>
    <mergeCell ref="JPV5079:JPV5080"/>
    <mergeCell ref="JPW5079:JQF5079"/>
    <mergeCell ref="JQH5079:JQQ5079"/>
    <mergeCell ref="JQS5079:JQS5080"/>
    <mergeCell ref="JQU5079:JQZ5079"/>
    <mergeCell ref="JRA5079:JRA5080"/>
    <mergeCell ref="JRB5079:JRB5080"/>
    <mergeCell ref="JRC5079:JRL5079"/>
    <mergeCell ref="JRN5079:JRW5079"/>
    <mergeCell ref="JRY5079:JRY5080"/>
    <mergeCell ref="JSA5079:JSF5079"/>
    <mergeCell ref="JSG5079:JSG5080"/>
    <mergeCell ref="JSH5079:JSH5080"/>
    <mergeCell ref="JSI5079:JSR5079"/>
    <mergeCell ref="JST5079:JTC5079"/>
    <mergeCell ref="JTE5079:JTE5080"/>
    <mergeCell ref="JTG5079:JTL5079"/>
    <mergeCell ref="JTM5079:JTM5080"/>
    <mergeCell ref="JTN5079:JTN5080"/>
    <mergeCell ref="JTO5079:JTX5079"/>
    <mergeCell ref="JTZ5079:JUI5079"/>
    <mergeCell ref="JGW5079:JGW5080"/>
    <mergeCell ref="JGY5079:JHD5079"/>
    <mergeCell ref="JHE5079:JHE5080"/>
    <mergeCell ref="JHF5079:JHF5080"/>
    <mergeCell ref="JHG5079:JHP5079"/>
    <mergeCell ref="JHR5079:JIA5079"/>
    <mergeCell ref="JIC5079:JIC5080"/>
    <mergeCell ref="JIE5079:JIJ5079"/>
    <mergeCell ref="JIK5079:JIK5080"/>
    <mergeCell ref="JIL5079:JIL5080"/>
    <mergeCell ref="JIM5079:JIV5079"/>
    <mergeCell ref="JIX5079:JJG5079"/>
    <mergeCell ref="JJI5079:JJI5080"/>
    <mergeCell ref="JJK5079:JJP5079"/>
    <mergeCell ref="JJQ5079:JJQ5080"/>
    <mergeCell ref="JJR5079:JJR5080"/>
    <mergeCell ref="JJS5079:JKB5079"/>
    <mergeCell ref="JKD5079:JKM5079"/>
    <mergeCell ref="JKO5079:JKO5080"/>
    <mergeCell ref="JKQ5079:JKV5079"/>
    <mergeCell ref="JKW5079:JKW5080"/>
    <mergeCell ref="JKX5079:JKX5080"/>
    <mergeCell ref="JKY5079:JLH5079"/>
    <mergeCell ref="JLJ5079:JLS5079"/>
    <mergeCell ref="JLU5079:JLU5080"/>
    <mergeCell ref="JLW5079:JMB5079"/>
    <mergeCell ref="JMC5079:JMC5080"/>
    <mergeCell ref="JMD5079:JMD5080"/>
    <mergeCell ref="JME5079:JMN5079"/>
    <mergeCell ref="JMP5079:JMY5079"/>
    <mergeCell ref="JNA5079:JNA5080"/>
    <mergeCell ref="JNC5079:JNH5079"/>
    <mergeCell ref="JNI5079:JNI5080"/>
    <mergeCell ref="IZV5079:IZV5080"/>
    <mergeCell ref="IZW5079:JAF5079"/>
    <mergeCell ref="JAH5079:JAQ5079"/>
    <mergeCell ref="JAS5079:JAS5080"/>
    <mergeCell ref="JAU5079:JAZ5079"/>
    <mergeCell ref="JBA5079:JBA5080"/>
    <mergeCell ref="JBB5079:JBB5080"/>
    <mergeCell ref="JBC5079:JBL5079"/>
    <mergeCell ref="JBN5079:JBW5079"/>
    <mergeCell ref="JBY5079:JBY5080"/>
    <mergeCell ref="JCA5079:JCF5079"/>
    <mergeCell ref="JCG5079:JCG5080"/>
    <mergeCell ref="JCH5079:JCH5080"/>
    <mergeCell ref="JCI5079:JCR5079"/>
    <mergeCell ref="JCT5079:JDC5079"/>
    <mergeCell ref="JDE5079:JDE5080"/>
    <mergeCell ref="JDG5079:JDL5079"/>
    <mergeCell ref="JDM5079:JDM5080"/>
    <mergeCell ref="JDN5079:JDN5080"/>
    <mergeCell ref="JDO5079:JDX5079"/>
    <mergeCell ref="JDZ5079:JEI5079"/>
    <mergeCell ref="JEK5079:JEK5080"/>
    <mergeCell ref="JEM5079:JER5079"/>
    <mergeCell ref="JES5079:JES5080"/>
    <mergeCell ref="JET5079:JET5080"/>
    <mergeCell ref="JEU5079:JFD5079"/>
    <mergeCell ref="JFF5079:JFO5079"/>
    <mergeCell ref="JFQ5079:JFQ5080"/>
    <mergeCell ref="JFS5079:JFX5079"/>
    <mergeCell ref="JFY5079:JFY5080"/>
    <mergeCell ref="JFZ5079:JFZ5080"/>
    <mergeCell ref="JGA5079:JGJ5079"/>
    <mergeCell ref="JGL5079:JGU5079"/>
    <mergeCell ref="ITI5079:ITI5080"/>
    <mergeCell ref="ITK5079:ITP5079"/>
    <mergeCell ref="ITQ5079:ITQ5080"/>
    <mergeCell ref="ITR5079:ITR5080"/>
    <mergeCell ref="ITS5079:IUB5079"/>
    <mergeCell ref="IUD5079:IUM5079"/>
    <mergeCell ref="IUO5079:IUO5080"/>
    <mergeCell ref="IUQ5079:IUV5079"/>
    <mergeCell ref="IUW5079:IUW5080"/>
    <mergeCell ref="IUX5079:IUX5080"/>
    <mergeCell ref="IUY5079:IVH5079"/>
    <mergeCell ref="IVJ5079:IVS5079"/>
    <mergeCell ref="IVU5079:IVU5080"/>
    <mergeCell ref="IVW5079:IWB5079"/>
    <mergeCell ref="IWC5079:IWC5080"/>
    <mergeCell ref="IWD5079:IWD5080"/>
    <mergeCell ref="IWE5079:IWN5079"/>
    <mergeCell ref="IWP5079:IWY5079"/>
    <mergeCell ref="IXA5079:IXA5080"/>
    <mergeCell ref="IXC5079:IXH5079"/>
    <mergeCell ref="IXI5079:IXI5080"/>
    <mergeCell ref="IXJ5079:IXJ5080"/>
    <mergeCell ref="IXK5079:IXT5079"/>
    <mergeCell ref="IXV5079:IYE5079"/>
    <mergeCell ref="IYG5079:IYG5080"/>
    <mergeCell ref="IYI5079:IYN5079"/>
    <mergeCell ref="IYO5079:IYO5080"/>
    <mergeCell ref="IYP5079:IYP5080"/>
    <mergeCell ref="IYQ5079:IYZ5079"/>
    <mergeCell ref="IZB5079:IZK5079"/>
    <mergeCell ref="IZM5079:IZM5080"/>
    <mergeCell ref="IZO5079:IZT5079"/>
    <mergeCell ref="IZU5079:IZU5080"/>
    <mergeCell ref="IMH5079:IMH5080"/>
    <mergeCell ref="IMI5079:IMR5079"/>
    <mergeCell ref="IMT5079:INC5079"/>
    <mergeCell ref="INE5079:INE5080"/>
    <mergeCell ref="ING5079:INL5079"/>
    <mergeCell ref="INM5079:INM5080"/>
    <mergeCell ref="INN5079:INN5080"/>
    <mergeCell ref="INO5079:INX5079"/>
    <mergeCell ref="INZ5079:IOI5079"/>
    <mergeCell ref="IOK5079:IOK5080"/>
    <mergeCell ref="IOM5079:IOR5079"/>
    <mergeCell ref="IOS5079:IOS5080"/>
    <mergeCell ref="IOT5079:IOT5080"/>
    <mergeCell ref="IOU5079:IPD5079"/>
    <mergeCell ref="IPF5079:IPO5079"/>
    <mergeCell ref="IPQ5079:IPQ5080"/>
    <mergeCell ref="IPS5079:IPX5079"/>
    <mergeCell ref="IPY5079:IPY5080"/>
    <mergeCell ref="IPZ5079:IPZ5080"/>
    <mergeCell ref="IQA5079:IQJ5079"/>
    <mergeCell ref="IQL5079:IQU5079"/>
    <mergeCell ref="IQW5079:IQW5080"/>
    <mergeCell ref="IQY5079:IRD5079"/>
    <mergeCell ref="IRE5079:IRE5080"/>
    <mergeCell ref="IRF5079:IRF5080"/>
    <mergeCell ref="IRG5079:IRP5079"/>
    <mergeCell ref="IRR5079:ISA5079"/>
    <mergeCell ref="ISC5079:ISC5080"/>
    <mergeCell ref="ISE5079:ISJ5079"/>
    <mergeCell ref="ISK5079:ISK5080"/>
    <mergeCell ref="ISL5079:ISL5080"/>
    <mergeCell ref="ISM5079:ISV5079"/>
    <mergeCell ref="ISX5079:ITG5079"/>
    <mergeCell ref="IFU5079:IFU5080"/>
    <mergeCell ref="IFW5079:IGB5079"/>
    <mergeCell ref="IGC5079:IGC5080"/>
    <mergeCell ref="IGD5079:IGD5080"/>
    <mergeCell ref="IGE5079:IGN5079"/>
    <mergeCell ref="IGP5079:IGY5079"/>
    <mergeCell ref="IHA5079:IHA5080"/>
    <mergeCell ref="IHC5079:IHH5079"/>
    <mergeCell ref="IHI5079:IHI5080"/>
    <mergeCell ref="IHJ5079:IHJ5080"/>
    <mergeCell ref="IHK5079:IHT5079"/>
    <mergeCell ref="IHV5079:IIE5079"/>
    <mergeCell ref="IIG5079:IIG5080"/>
    <mergeCell ref="III5079:IIN5079"/>
    <mergeCell ref="IIO5079:IIO5080"/>
    <mergeCell ref="IIP5079:IIP5080"/>
    <mergeCell ref="IIQ5079:IIZ5079"/>
    <mergeCell ref="IJB5079:IJK5079"/>
    <mergeCell ref="IJM5079:IJM5080"/>
    <mergeCell ref="IJO5079:IJT5079"/>
    <mergeCell ref="IJU5079:IJU5080"/>
    <mergeCell ref="IJV5079:IJV5080"/>
    <mergeCell ref="IJW5079:IKF5079"/>
    <mergeCell ref="IKH5079:IKQ5079"/>
    <mergeCell ref="IKS5079:IKS5080"/>
    <mergeCell ref="IKU5079:IKZ5079"/>
    <mergeCell ref="ILA5079:ILA5080"/>
    <mergeCell ref="ILB5079:ILB5080"/>
    <mergeCell ref="ILC5079:ILL5079"/>
    <mergeCell ref="ILN5079:ILW5079"/>
    <mergeCell ref="ILY5079:ILY5080"/>
    <mergeCell ref="IMA5079:IMF5079"/>
    <mergeCell ref="IMG5079:IMG5080"/>
    <mergeCell ref="HYT5079:HYT5080"/>
    <mergeCell ref="HYU5079:HZD5079"/>
    <mergeCell ref="HZF5079:HZO5079"/>
    <mergeCell ref="HZQ5079:HZQ5080"/>
    <mergeCell ref="HZS5079:HZX5079"/>
    <mergeCell ref="HZY5079:HZY5080"/>
    <mergeCell ref="HZZ5079:HZZ5080"/>
    <mergeCell ref="IAA5079:IAJ5079"/>
    <mergeCell ref="IAL5079:IAU5079"/>
    <mergeCell ref="IAW5079:IAW5080"/>
    <mergeCell ref="IAY5079:IBD5079"/>
    <mergeCell ref="IBE5079:IBE5080"/>
    <mergeCell ref="IBF5079:IBF5080"/>
    <mergeCell ref="IBG5079:IBP5079"/>
    <mergeCell ref="IBR5079:ICA5079"/>
    <mergeCell ref="ICC5079:ICC5080"/>
    <mergeCell ref="ICE5079:ICJ5079"/>
    <mergeCell ref="ICK5079:ICK5080"/>
    <mergeCell ref="ICL5079:ICL5080"/>
    <mergeCell ref="ICM5079:ICV5079"/>
    <mergeCell ref="ICX5079:IDG5079"/>
    <mergeCell ref="IDI5079:IDI5080"/>
    <mergeCell ref="IDK5079:IDP5079"/>
    <mergeCell ref="IDQ5079:IDQ5080"/>
    <mergeCell ref="IDR5079:IDR5080"/>
    <mergeCell ref="IDS5079:IEB5079"/>
    <mergeCell ref="IED5079:IEM5079"/>
    <mergeCell ref="IEO5079:IEO5080"/>
    <mergeCell ref="IEQ5079:IEV5079"/>
    <mergeCell ref="IEW5079:IEW5080"/>
    <mergeCell ref="IEX5079:IEX5080"/>
    <mergeCell ref="IEY5079:IFH5079"/>
    <mergeCell ref="IFJ5079:IFS5079"/>
    <mergeCell ref="HSG5079:HSG5080"/>
    <mergeCell ref="HSI5079:HSN5079"/>
    <mergeCell ref="HSO5079:HSO5080"/>
    <mergeCell ref="HSP5079:HSP5080"/>
    <mergeCell ref="HSQ5079:HSZ5079"/>
    <mergeCell ref="HTB5079:HTK5079"/>
    <mergeCell ref="HTM5079:HTM5080"/>
    <mergeCell ref="HTO5079:HTT5079"/>
    <mergeCell ref="HTU5079:HTU5080"/>
    <mergeCell ref="HTV5079:HTV5080"/>
    <mergeCell ref="HTW5079:HUF5079"/>
    <mergeCell ref="HUH5079:HUQ5079"/>
    <mergeCell ref="HUS5079:HUS5080"/>
    <mergeCell ref="HUU5079:HUZ5079"/>
    <mergeCell ref="HVA5079:HVA5080"/>
    <mergeCell ref="HVB5079:HVB5080"/>
    <mergeCell ref="HVC5079:HVL5079"/>
    <mergeCell ref="HVN5079:HVW5079"/>
    <mergeCell ref="HVY5079:HVY5080"/>
    <mergeCell ref="HWA5079:HWF5079"/>
    <mergeCell ref="HWG5079:HWG5080"/>
    <mergeCell ref="HWH5079:HWH5080"/>
    <mergeCell ref="HWI5079:HWR5079"/>
    <mergeCell ref="HWT5079:HXC5079"/>
    <mergeCell ref="HXE5079:HXE5080"/>
    <mergeCell ref="HXG5079:HXL5079"/>
    <mergeCell ref="HXM5079:HXM5080"/>
    <mergeCell ref="HXN5079:HXN5080"/>
    <mergeCell ref="HXO5079:HXX5079"/>
    <mergeCell ref="HXZ5079:HYI5079"/>
    <mergeCell ref="HYK5079:HYK5080"/>
    <mergeCell ref="HYM5079:HYR5079"/>
    <mergeCell ref="HYS5079:HYS5080"/>
    <mergeCell ref="HLF5079:HLF5080"/>
    <mergeCell ref="HLG5079:HLP5079"/>
    <mergeCell ref="HLR5079:HMA5079"/>
    <mergeCell ref="HMC5079:HMC5080"/>
    <mergeCell ref="HME5079:HMJ5079"/>
    <mergeCell ref="HMK5079:HMK5080"/>
    <mergeCell ref="HML5079:HML5080"/>
    <mergeCell ref="HMM5079:HMV5079"/>
    <mergeCell ref="HMX5079:HNG5079"/>
    <mergeCell ref="HNI5079:HNI5080"/>
    <mergeCell ref="HNK5079:HNP5079"/>
    <mergeCell ref="HNQ5079:HNQ5080"/>
    <mergeCell ref="HNR5079:HNR5080"/>
    <mergeCell ref="HNS5079:HOB5079"/>
    <mergeCell ref="HOD5079:HOM5079"/>
    <mergeCell ref="HOO5079:HOO5080"/>
    <mergeCell ref="HOQ5079:HOV5079"/>
    <mergeCell ref="HOW5079:HOW5080"/>
    <mergeCell ref="HOX5079:HOX5080"/>
    <mergeCell ref="HOY5079:HPH5079"/>
    <mergeCell ref="HPJ5079:HPS5079"/>
    <mergeCell ref="HPU5079:HPU5080"/>
    <mergeCell ref="HPW5079:HQB5079"/>
    <mergeCell ref="HQC5079:HQC5080"/>
    <mergeCell ref="HQD5079:HQD5080"/>
    <mergeCell ref="HQE5079:HQN5079"/>
    <mergeCell ref="HQP5079:HQY5079"/>
    <mergeCell ref="HRA5079:HRA5080"/>
    <mergeCell ref="HRC5079:HRH5079"/>
    <mergeCell ref="HRI5079:HRI5080"/>
    <mergeCell ref="HRJ5079:HRJ5080"/>
    <mergeCell ref="HRK5079:HRT5079"/>
    <mergeCell ref="HRV5079:HSE5079"/>
    <mergeCell ref="HES5079:HES5080"/>
    <mergeCell ref="HEU5079:HEZ5079"/>
    <mergeCell ref="HFA5079:HFA5080"/>
    <mergeCell ref="HFB5079:HFB5080"/>
    <mergeCell ref="HFC5079:HFL5079"/>
    <mergeCell ref="HFN5079:HFW5079"/>
    <mergeCell ref="HFY5079:HFY5080"/>
    <mergeCell ref="HGA5079:HGF5079"/>
    <mergeCell ref="HGG5079:HGG5080"/>
    <mergeCell ref="HGH5079:HGH5080"/>
    <mergeCell ref="HGI5079:HGR5079"/>
    <mergeCell ref="HGT5079:HHC5079"/>
    <mergeCell ref="HHE5079:HHE5080"/>
    <mergeCell ref="HHG5079:HHL5079"/>
    <mergeCell ref="HHM5079:HHM5080"/>
    <mergeCell ref="HHN5079:HHN5080"/>
    <mergeCell ref="HHO5079:HHX5079"/>
    <mergeCell ref="HHZ5079:HII5079"/>
    <mergeCell ref="HIK5079:HIK5080"/>
    <mergeCell ref="HIM5079:HIR5079"/>
    <mergeCell ref="HIS5079:HIS5080"/>
    <mergeCell ref="HIT5079:HIT5080"/>
    <mergeCell ref="HIU5079:HJD5079"/>
    <mergeCell ref="HJF5079:HJO5079"/>
    <mergeCell ref="HJQ5079:HJQ5080"/>
    <mergeCell ref="HJS5079:HJX5079"/>
    <mergeCell ref="HJY5079:HJY5080"/>
    <mergeCell ref="HJZ5079:HJZ5080"/>
    <mergeCell ref="HKA5079:HKJ5079"/>
    <mergeCell ref="HKL5079:HKU5079"/>
    <mergeCell ref="HKW5079:HKW5080"/>
    <mergeCell ref="HKY5079:HLD5079"/>
    <mergeCell ref="HLE5079:HLE5080"/>
    <mergeCell ref="GXR5079:GXR5080"/>
    <mergeCell ref="GXS5079:GYB5079"/>
    <mergeCell ref="GYD5079:GYM5079"/>
    <mergeCell ref="GYO5079:GYO5080"/>
    <mergeCell ref="GYQ5079:GYV5079"/>
    <mergeCell ref="GYW5079:GYW5080"/>
    <mergeCell ref="GYX5079:GYX5080"/>
    <mergeCell ref="GYY5079:GZH5079"/>
    <mergeCell ref="GZJ5079:GZS5079"/>
    <mergeCell ref="GZU5079:GZU5080"/>
    <mergeCell ref="GZW5079:HAB5079"/>
    <mergeCell ref="HAC5079:HAC5080"/>
    <mergeCell ref="HAD5079:HAD5080"/>
    <mergeCell ref="HAE5079:HAN5079"/>
    <mergeCell ref="HAP5079:HAY5079"/>
    <mergeCell ref="HBA5079:HBA5080"/>
    <mergeCell ref="HBC5079:HBH5079"/>
    <mergeCell ref="HBI5079:HBI5080"/>
    <mergeCell ref="HBJ5079:HBJ5080"/>
    <mergeCell ref="HBK5079:HBT5079"/>
    <mergeCell ref="HBV5079:HCE5079"/>
    <mergeCell ref="HCG5079:HCG5080"/>
    <mergeCell ref="HCI5079:HCN5079"/>
    <mergeCell ref="HCO5079:HCO5080"/>
    <mergeCell ref="HCP5079:HCP5080"/>
    <mergeCell ref="HCQ5079:HCZ5079"/>
    <mergeCell ref="HDB5079:HDK5079"/>
    <mergeCell ref="HDM5079:HDM5080"/>
    <mergeCell ref="HDO5079:HDT5079"/>
    <mergeCell ref="HDU5079:HDU5080"/>
    <mergeCell ref="HDV5079:HDV5080"/>
    <mergeCell ref="HDW5079:HEF5079"/>
    <mergeCell ref="HEH5079:HEQ5079"/>
    <mergeCell ref="GRE5079:GRE5080"/>
    <mergeCell ref="GRG5079:GRL5079"/>
    <mergeCell ref="GRM5079:GRM5080"/>
    <mergeCell ref="GRN5079:GRN5080"/>
    <mergeCell ref="GRO5079:GRX5079"/>
    <mergeCell ref="GRZ5079:GSI5079"/>
    <mergeCell ref="GSK5079:GSK5080"/>
    <mergeCell ref="GSM5079:GSR5079"/>
    <mergeCell ref="GSS5079:GSS5080"/>
    <mergeCell ref="GST5079:GST5080"/>
    <mergeCell ref="GSU5079:GTD5079"/>
    <mergeCell ref="GTF5079:GTO5079"/>
    <mergeCell ref="GTQ5079:GTQ5080"/>
    <mergeCell ref="GTS5079:GTX5079"/>
    <mergeCell ref="GTY5079:GTY5080"/>
    <mergeCell ref="GTZ5079:GTZ5080"/>
    <mergeCell ref="GUA5079:GUJ5079"/>
    <mergeCell ref="GUL5079:GUU5079"/>
    <mergeCell ref="GUW5079:GUW5080"/>
    <mergeCell ref="GUY5079:GVD5079"/>
    <mergeCell ref="GVE5079:GVE5080"/>
    <mergeCell ref="GVF5079:GVF5080"/>
    <mergeCell ref="GVG5079:GVP5079"/>
    <mergeCell ref="GVR5079:GWA5079"/>
    <mergeCell ref="GWC5079:GWC5080"/>
    <mergeCell ref="GWE5079:GWJ5079"/>
    <mergeCell ref="GWK5079:GWK5080"/>
    <mergeCell ref="GWL5079:GWL5080"/>
    <mergeCell ref="GWM5079:GWV5079"/>
    <mergeCell ref="GWX5079:GXG5079"/>
    <mergeCell ref="GXI5079:GXI5080"/>
    <mergeCell ref="GXK5079:GXP5079"/>
    <mergeCell ref="GXQ5079:GXQ5080"/>
    <mergeCell ref="GKD5079:GKD5080"/>
    <mergeCell ref="GKE5079:GKN5079"/>
    <mergeCell ref="GKP5079:GKY5079"/>
    <mergeCell ref="GLA5079:GLA5080"/>
    <mergeCell ref="GLC5079:GLH5079"/>
    <mergeCell ref="GLI5079:GLI5080"/>
    <mergeCell ref="GLJ5079:GLJ5080"/>
    <mergeCell ref="GLK5079:GLT5079"/>
    <mergeCell ref="GLV5079:GME5079"/>
    <mergeCell ref="GMG5079:GMG5080"/>
    <mergeCell ref="GMI5079:GMN5079"/>
    <mergeCell ref="GMO5079:GMO5080"/>
    <mergeCell ref="GMP5079:GMP5080"/>
    <mergeCell ref="GMQ5079:GMZ5079"/>
    <mergeCell ref="GNB5079:GNK5079"/>
    <mergeCell ref="GNM5079:GNM5080"/>
    <mergeCell ref="GNO5079:GNT5079"/>
    <mergeCell ref="GNU5079:GNU5080"/>
    <mergeCell ref="GNV5079:GNV5080"/>
    <mergeCell ref="GNW5079:GOF5079"/>
    <mergeCell ref="GOH5079:GOQ5079"/>
    <mergeCell ref="GOS5079:GOS5080"/>
    <mergeCell ref="GOU5079:GOZ5079"/>
    <mergeCell ref="GPA5079:GPA5080"/>
    <mergeCell ref="GPB5079:GPB5080"/>
    <mergeCell ref="GPC5079:GPL5079"/>
    <mergeCell ref="GPN5079:GPW5079"/>
    <mergeCell ref="GPY5079:GPY5080"/>
    <mergeCell ref="GQA5079:GQF5079"/>
    <mergeCell ref="GQG5079:GQG5080"/>
    <mergeCell ref="GQH5079:GQH5080"/>
    <mergeCell ref="GQI5079:GQR5079"/>
    <mergeCell ref="GQT5079:GRC5079"/>
    <mergeCell ref="GDQ5079:GDQ5080"/>
    <mergeCell ref="GDS5079:GDX5079"/>
    <mergeCell ref="GDY5079:GDY5080"/>
    <mergeCell ref="GDZ5079:GDZ5080"/>
    <mergeCell ref="GEA5079:GEJ5079"/>
    <mergeCell ref="GEL5079:GEU5079"/>
    <mergeCell ref="GEW5079:GEW5080"/>
    <mergeCell ref="GEY5079:GFD5079"/>
    <mergeCell ref="GFE5079:GFE5080"/>
    <mergeCell ref="GFF5079:GFF5080"/>
    <mergeCell ref="GFG5079:GFP5079"/>
    <mergeCell ref="GFR5079:GGA5079"/>
    <mergeCell ref="GGC5079:GGC5080"/>
    <mergeCell ref="GGE5079:GGJ5079"/>
    <mergeCell ref="GGK5079:GGK5080"/>
    <mergeCell ref="GGL5079:GGL5080"/>
    <mergeCell ref="GGM5079:GGV5079"/>
    <mergeCell ref="GGX5079:GHG5079"/>
    <mergeCell ref="GHI5079:GHI5080"/>
    <mergeCell ref="GHK5079:GHP5079"/>
    <mergeCell ref="GHQ5079:GHQ5080"/>
    <mergeCell ref="GHR5079:GHR5080"/>
    <mergeCell ref="GHS5079:GIB5079"/>
    <mergeCell ref="GID5079:GIM5079"/>
    <mergeCell ref="GIO5079:GIO5080"/>
    <mergeCell ref="GIQ5079:GIV5079"/>
    <mergeCell ref="GIW5079:GIW5080"/>
    <mergeCell ref="GIX5079:GIX5080"/>
    <mergeCell ref="GIY5079:GJH5079"/>
    <mergeCell ref="GJJ5079:GJS5079"/>
    <mergeCell ref="GJU5079:GJU5080"/>
    <mergeCell ref="GJW5079:GKB5079"/>
    <mergeCell ref="GKC5079:GKC5080"/>
    <mergeCell ref="FWP5079:FWP5080"/>
    <mergeCell ref="FWQ5079:FWZ5079"/>
    <mergeCell ref="FXB5079:FXK5079"/>
    <mergeCell ref="FXM5079:FXM5080"/>
    <mergeCell ref="FXO5079:FXT5079"/>
    <mergeCell ref="FXU5079:FXU5080"/>
    <mergeCell ref="FXV5079:FXV5080"/>
    <mergeCell ref="FXW5079:FYF5079"/>
    <mergeCell ref="FYH5079:FYQ5079"/>
    <mergeCell ref="FYS5079:FYS5080"/>
    <mergeCell ref="FYU5079:FYZ5079"/>
    <mergeCell ref="FZA5079:FZA5080"/>
    <mergeCell ref="FZB5079:FZB5080"/>
    <mergeCell ref="FZC5079:FZL5079"/>
    <mergeCell ref="FZN5079:FZW5079"/>
    <mergeCell ref="FZY5079:FZY5080"/>
    <mergeCell ref="GAA5079:GAF5079"/>
    <mergeCell ref="GAG5079:GAG5080"/>
    <mergeCell ref="GAH5079:GAH5080"/>
    <mergeCell ref="GAI5079:GAR5079"/>
    <mergeCell ref="GAT5079:GBC5079"/>
    <mergeCell ref="GBE5079:GBE5080"/>
    <mergeCell ref="GBG5079:GBL5079"/>
    <mergeCell ref="GBM5079:GBM5080"/>
    <mergeCell ref="GBN5079:GBN5080"/>
    <mergeCell ref="GBO5079:GBX5079"/>
    <mergeCell ref="GBZ5079:GCI5079"/>
    <mergeCell ref="GCK5079:GCK5080"/>
    <mergeCell ref="GCM5079:GCR5079"/>
    <mergeCell ref="GCS5079:GCS5080"/>
    <mergeCell ref="GCT5079:GCT5080"/>
    <mergeCell ref="GCU5079:GDD5079"/>
    <mergeCell ref="GDF5079:GDO5079"/>
    <mergeCell ref="FQC5079:FQC5080"/>
    <mergeCell ref="FQE5079:FQJ5079"/>
    <mergeCell ref="FQK5079:FQK5080"/>
    <mergeCell ref="FQL5079:FQL5080"/>
    <mergeCell ref="FQM5079:FQV5079"/>
    <mergeCell ref="FQX5079:FRG5079"/>
    <mergeCell ref="FRI5079:FRI5080"/>
    <mergeCell ref="FRK5079:FRP5079"/>
    <mergeCell ref="FRQ5079:FRQ5080"/>
    <mergeCell ref="FRR5079:FRR5080"/>
    <mergeCell ref="FRS5079:FSB5079"/>
    <mergeCell ref="FSD5079:FSM5079"/>
    <mergeCell ref="FSO5079:FSO5080"/>
    <mergeCell ref="FSQ5079:FSV5079"/>
    <mergeCell ref="FSW5079:FSW5080"/>
    <mergeCell ref="FSX5079:FSX5080"/>
    <mergeCell ref="FSY5079:FTH5079"/>
    <mergeCell ref="FTJ5079:FTS5079"/>
    <mergeCell ref="FTU5079:FTU5080"/>
    <mergeCell ref="FTW5079:FUB5079"/>
    <mergeCell ref="FUC5079:FUC5080"/>
    <mergeCell ref="FUD5079:FUD5080"/>
    <mergeCell ref="FUE5079:FUN5079"/>
    <mergeCell ref="FUP5079:FUY5079"/>
    <mergeCell ref="FVA5079:FVA5080"/>
    <mergeCell ref="FVC5079:FVH5079"/>
    <mergeCell ref="FVI5079:FVI5080"/>
    <mergeCell ref="FVJ5079:FVJ5080"/>
    <mergeCell ref="FVK5079:FVT5079"/>
    <mergeCell ref="FVV5079:FWE5079"/>
    <mergeCell ref="FWG5079:FWG5080"/>
    <mergeCell ref="FWI5079:FWN5079"/>
    <mergeCell ref="FWO5079:FWO5080"/>
    <mergeCell ref="FJB5079:FJB5080"/>
    <mergeCell ref="FJC5079:FJL5079"/>
    <mergeCell ref="FJN5079:FJW5079"/>
    <mergeCell ref="FJY5079:FJY5080"/>
    <mergeCell ref="FKA5079:FKF5079"/>
    <mergeCell ref="FKG5079:FKG5080"/>
    <mergeCell ref="FKH5079:FKH5080"/>
    <mergeCell ref="FKI5079:FKR5079"/>
    <mergeCell ref="FKT5079:FLC5079"/>
    <mergeCell ref="FLE5079:FLE5080"/>
    <mergeCell ref="FLG5079:FLL5079"/>
    <mergeCell ref="FLM5079:FLM5080"/>
    <mergeCell ref="FLN5079:FLN5080"/>
    <mergeCell ref="FLO5079:FLX5079"/>
    <mergeCell ref="FLZ5079:FMI5079"/>
    <mergeCell ref="FMK5079:FMK5080"/>
    <mergeCell ref="FMM5079:FMR5079"/>
    <mergeCell ref="FMS5079:FMS5080"/>
    <mergeCell ref="FMT5079:FMT5080"/>
    <mergeCell ref="FMU5079:FND5079"/>
    <mergeCell ref="FNF5079:FNO5079"/>
    <mergeCell ref="FNQ5079:FNQ5080"/>
    <mergeCell ref="FNS5079:FNX5079"/>
    <mergeCell ref="FNY5079:FNY5080"/>
    <mergeCell ref="FNZ5079:FNZ5080"/>
    <mergeCell ref="FOA5079:FOJ5079"/>
    <mergeCell ref="FOL5079:FOU5079"/>
    <mergeCell ref="FOW5079:FOW5080"/>
    <mergeCell ref="FOY5079:FPD5079"/>
    <mergeCell ref="FPE5079:FPE5080"/>
    <mergeCell ref="FPF5079:FPF5080"/>
    <mergeCell ref="FPG5079:FPP5079"/>
    <mergeCell ref="FPR5079:FQA5079"/>
    <mergeCell ref="FCO5079:FCO5080"/>
    <mergeCell ref="FCQ5079:FCV5079"/>
    <mergeCell ref="FCW5079:FCW5080"/>
    <mergeCell ref="FCX5079:FCX5080"/>
    <mergeCell ref="FCY5079:FDH5079"/>
    <mergeCell ref="FDJ5079:FDS5079"/>
    <mergeCell ref="FDU5079:FDU5080"/>
    <mergeCell ref="FDW5079:FEB5079"/>
    <mergeCell ref="FEC5079:FEC5080"/>
    <mergeCell ref="FED5079:FED5080"/>
    <mergeCell ref="FEE5079:FEN5079"/>
    <mergeCell ref="FEP5079:FEY5079"/>
    <mergeCell ref="FFA5079:FFA5080"/>
    <mergeCell ref="FFC5079:FFH5079"/>
    <mergeCell ref="FFI5079:FFI5080"/>
    <mergeCell ref="FFJ5079:FFJ5080"/>
    <mergeCell ref="FFK5079:FFT5079"/>
    <mergeCell ref="FFV5079:FGE5079"/>
    <mergeCell ref="FGG5079:FGG5080"/>
    <mergeCell ref="FGI5079:FGN5079"/>
    <mergeCell ref="FGO5079:FGO5080"/>
    <mergeCell ref="FGP5079:FGP5080"/>
    <mergeCell ref="FGQ5079:FGZ5079"/>
    <mergeCell ref="FHB5079:FHK5079"/>
    <mergeCell ref="FHM5079:FHM5080"/>
    <mergeCell ref="FHO5079:FHT5079"/>
    <mergeCell ref="FHU5079:FHU5080"/>
    <mergeCell ref="FHV5079:FHV5080"/>
    <mergeCell ref="FHW5079:FIF5079"/>
    <mergeCell ref="FIH5079:FIQ5079"/>
    <mergeCell ref="FIS5079:FIS5080"/>
    <mergeCell ref="FIU5079:FIZ5079"/>
    <mergeCell ref="FJA5079:FJA5080"/>
    <mergeCell ref="EVN5079:EVN5080"/>
    <mergeCell ref="EVO5079:EVX5079"/>
    <mergeCell ref="EVZ5079:EWI5079"/>
    <mergeCell ref="EWK5079:EWK5080"/>
    <mergeCell ref="EWM5079:EWR5079"/>
    <mergeCell ref="EWS5079:EWS5080"/>
    <mergeCell ref="EWT5079:EWT5080"/>
    <mergeCell ref="EWU5079:EXD5079"/>
    <mergeCell ref="EXF5079:EXO5079"/>
    <mergeCell ref="EXQ5079:EXQ5080"/>
    <mergeCell ref="EXS5079:EXX5079"/>
    <mergeCell ref="EXY5079:EXY5080"/>
    <mergeCell ref="EXZ5079:EXZ5080"/>
    <mergeCell ref="EYA5079:EYJ5079"/>
    <mergeCell ref="EYL5079:EYU5079"/>
    <mergeCell ref="EYW5079:EYW5080"/>
    <mergeCell ref="EYY5079:EZD5079"/>
    <mergeCell ref="EZE5079:EZE5080"/>
    <mergeCell ref="EZF5079:EZF5080"/>
    <mergeCell ref="EZG5079:EZP5079"/>
    <mergeCell ref="EZR5079:FAA5079"/>
    <mergeCell ref="FAC5079:FAC5080"/>
    <mergeCell ref="FAE5079:FAJ5079"/>
    <mergeCell ref="FAK5079:FAK5080"/>
    <mergeCell ref="FAL5079:FAL5080"/>
    <mergeCell ref="FAM5079:FAV5079"/>
    <mergeCell ref="FAX5079:FBG5079"/>
    <mergeCell ref="FBI5079:FBI5080"/>
    <mergeCell ref="FBK5079:FBP5079"/>
    <mergeCell ref="FBQ5079:FBQ5080"/>
    <mergeCell ref="FBR5079:FBR5080"/>
    <mergeCell ref="FBS5079:FCB5079"/>
    <mergeCell ref="FCD5079:FCM5079"/>
    <mergeCell ref="EPA5079:EPA5080"/>
    <mergeCell ref="EPC5079:EPH5079"/>
    <mergeCell ref="EPI5079:EPI5080"/>
    <mergeCell ref="EPJ5079:EPJ5080"/>
    <mergeCell ref="EPK5079:EPT5079"/>
    <mergeCell ref="EPV5079:EQE5079"/>
    <mergeCell ref="EQG5079:EQG5080"/>
    <mergeCell ref="EQI5079:EQN5079"/>
    <mergeCell ref="EQO5079:EQO5080"/>
    <mergeCell ref="EQP5079:EQP5080"/>
    <mergeCell ref="EQQ5079:EQZ5079"/>
    <mergeCell ref="ERB5079:ERK5079"/>
    <mergeCell ref="ERM5079:ERM5080"/>
    <mergeCell ref="ERO5079:ERT5079"/>
    <mergeCell ref="ERU5079:ERU5080"/>
    <mergeCell ref="ERV5079:ERV5080"/>
    <mergeCell ref="ERW5079:ESF5079"/>
    <mergeCell ref="ESH5079:ESQ5079"/>
    <mergeCell ref="ESS5079:ESS5080"/>
    <mergeCell ref="ESU5079:ESZ5079"/>
    <mergeCell ref="ETA5079:ETA5080"/>
    <mergeCell ref="ETB5079:ETB5080"/>
    <mergeCell ref="ETC5079:ETL5079"/>
    <mergeCell ref="ETN5079:ETW5079"/>
    <mergeCell ref="ETY5079:ETY5080"/>
    <mergeCell ref="EUA5079:EUF5079"/>
    <mergeCell ref="EUG5079:EUG5080"/>
    <mergeCell ref="EUH5079:EUH5080"/>
    <mergeCell ref="EUI5079:EUR5079"/>
    <mergeCell ref="EUT5079:EVC5079"/>
    <mergeCell ref="EVE5079:EVE5080"/>
    <mergeCell ref="EVG5079:EVL5079"/>
    <mergeCell ref="EVM5079:EVM5080"/>
    <mergeCell ref="EHZ5079:EHZ5080"/>
    <mergeCell ref="EIA5079:EIJ5079"/>
    <mergeCell ref="EIL5079:EIU5079"/>
    <mergeCell ref="EIW5079:EIW5080"/>
    <mergeCell ref="EIY5079:EJD5079"/>
    <mergeCell ref="EJE5079:EJE5080"/>
    <mergeCell ref="EJF5079:EJF5080"/>
    <mergeCell ref="EJG5079:EJP5079"/>
    <mergeCell ref="EJR5079:EKA5079"/>
    <mergeCell ref="EKC5079:EKC5080"/>
    <mergeCell ref="EKE5079:EKJ5079"/>
    <mergeCell ref="EKK5079:EKK5080"/>
    <mergeCell ref="EKL5079:EKL5080"/>
    <mergeCell ref="EKM5079:EKV5079"/>
    <mergeCell ref="EKX5079:ELG5079"/>
    <mergeCell ref="ELI5079:ELI5080"/>
    <mergeCell ref="ELK5079:ELP5079"/>
    <mergeCell ref="ELQ5079:ELQ5080"/>
    <mergeCell ref="ELR5079:ELR5080"/>
    <mergeCell ref="ELS5079:EMB5079"/>
    <mergeCell ref="EMD5079:EMM5079"/>
    <mergeCell ref="EMO5079:EMO5080"/>
    <mergeCell ref="EMQ5079:EMV5079"/>
    <mergeCell ref="EMW5079:EMW5080"/>
    <mergeCell ref="EMX5079:EMX5080"/>
    <mergeCell ref="EMY5079:ENH5079"/>
    <mergeCell ref="ENJ5079:ENS5079"/>
    <mergeCell ref="ENU5079:ENU5080"/>
    <mergeCell ref="ENW5079:EOB5079"/>
    <mergeCell ref="EOC5079:EOC5080"/>
    <mergeCell ref="EOD5079:EOD5080"/>
    <mergeCell ref="EOE5079:EON5079"/>
    <mergeCell ref="EOP5079:EOY5079"/>
    <mergeCell ref="EBM5079:EBM5080"/>
    <mergeCell ref="EBO5079:EBT5079"/>
    <mergeCell ref="EBU5079:EBU5080"/>
    <mergeCell ref="EBV5079:EBV5080"/>
    <mergeCell ref="EBW5079:ECF5079"/>
    <mergeCell ref="ECH5079:ECQ5079"/>
    <mergeCell ref="ECS5079:ECS5080"/>
    <mergeCell ref="ECU5079:ECZ5079"/>
    <mergeCell ref="EDA5079:EDA5080"/>
    <mergeCell ref="EDB5079:EDB5080"/>
    <mergeCell ref="EDC5079:EDL5079"/>
    <mergeCell ref="EDN5079:EDW5079"/>
    <mergeCell ref="EDY5079:EDY5080"/>
    <mergeCell ref="EEA5079:EEF5079"/>
    <mergeCell ref="EEG5079:EEG5080"/>
    <mergeCell ref="EEH5079:EEH5080"/>
    <mergeCell ref="EEI5079:EER5079"/>
    <mergeCell ref="EET5079:EFC5079"/>
    <mergeCell ref="EFE5079:EFE5080"/>
    <mergeCell ref="EFG5079:EFL5079"/>
    <mergeCell ref="EFM5079:EFM5080"/>
    <mergeCell ref="EFN5079:EFN5080"/>
    <mergeCell ref="EFO5079:EFX5079"/>
    <mergeCell ref="EFZ5079:EGI5079"/>
    <mergeCell ref="EGK5079:EGK5080"/>
    <mergeCell ref="EGM5079:EGR5079"/>
    <mergeCell ref="EGS5079:EGS5080"/>
    <mergeCell ref="EGT5079:EGT5080"/>
    <mergeCell ref="EGU5079:EHD5079"/>
    <mergeCell ref="EHF5079:EHO5079"/>
    <mergeCell ref="EHQ5079:EHQ5080"/>
    <mergeCell ref="EHS5079:EHX5079"/>
    <mergeCell ref="EHY5079:EHY5080"/>
    <mergeCell ref="DUL5079:DUL5080"/>
    <mergeCell ref="DUM5079:DUV5079"/>
    <mergeCell ref="DUX5079:DVG5079"/>
    <mergeCell ref="DVI5079:DVI5080"/>
    <mergeCell ref="DVK5079:DVP5079"/>
    <mergeCell ref="DVQ5079:DVQ5080"/>
    <mergeCell ref="DVR5079:DVR5080"/>
    <mergeCell ref="DVS5079:DWB5079"/>
    <mergeCell ref="DWD5079:DWM5079"/>
    <mergeCell ref="DWO5079:DWO5080"/>
    <mergeCell ref="DWQ5079:DWV5079"/>
    <mergeCell ref="DWW5079:DWW5080"/>
    <mergeCell ref="DWX5079:DWX5080"/>
    <mergeCell ref="DWY5079:DXH5079"/>
    <mergeCell ref="DXJ5079:DXS5079"/>
    <mergeCell ref="DXU5079:DXU5080"/>
    <mergeCell ref="DXW5079:DYB5079"/>
    <mergeCell ref="DYC5079:DYC5080"/>
    <mergeCell ref="DYD5079:DYD5080"/>
    <mergeCell ref="DYE5079:DYN5079"/>
    <mergeCell ref="DYP5079:DYY5079"/>
    <mergeCell ref="DZA5079:DZA5080"/>
    <mergeCell ref="DZC5079:DZH5079"/>
    <mergeCell ref="DZI5079:DZI5080"/>
    <mergeCell ref="DZJ5079:DZJ5080"/>
    <mergeCell ref="DZK5079:DZT5079"/>
    <mergeCell ref="DZV5079:EAE5079"/>
    <mergeCell ref="EAG5079:EAG5080"/>
    <mergeCell ref="EAI5079:EAN5079"/>
    <mergeCell ref="EAO5079:EAO5080"/>
    <mergeCell ref="EAP5079:EAP5080"/>
    <mergeCell ref="EAQ5079:EAZ5079"/>
    <mergeCell ref="EBB5079:EBK5079"/>
    <mergeCell ref="DNY5079:DNY5080"/>
    <mergeCell ref="DOA5079:DOF5079"/>
    <mergeCell ref="DOG5079:DOG5080"/>
    <mergeCell ref="DOH5079:DOH5080"/>
    <mergeCell ref="DOI5079:DOR5079"/>
    <mergeCell ref="DOT5079:DPC5079"/>
    <mergeCell ref="DPE5079:DPE5080"/>
    <mergeCell ref="DPG5079:DPL5079"/>
    <mergeCell ref="DPM5079:DPM5080"/>
    <mergeCell ref="DPN5079:DPN5080"/>
    <mergeCell ref="DPO5079:DPX5079"/>
    <mergeCell ref="DPZ5079:DQI5079"/>
    <mergeCell ref="DQK5079:DQK5080"/>
    <mergeCell ref="DQM5079:DQR5079"/>
    <mergeCell ref="DQS5079:DQS5080"/>
    <mergeCell ref="DQT5079:DQT5080"/>
    <mergeCell ref="DQU5079:DRD5079"/>
    <mergeCell ref="DRF5079:DRO5079"/>
    <mergeCell ref="DRQ5079:DRQ5080"/>
    <mergeCell ref="DRS5079:DRX5079"/>
    <mergeCell ref="DRY5079:DRY5080"/>
    <mergeCell ref="DRZ5079:DRZ5080"/>
    <mergeCell ref="DSA5079:DSJ5079"/>
    <mergeCell ref="DSL5079:DSU5079"/>
    <mergeCell ref="DSW5079:DSW5080"/>
    <mergeCell ref="DSY5079:DTD5079"/>
    <mergeCell ref="DTE5079:DTE5080"/>
    <mergeCell ref="DTF5079:DTF5080"/>
    <mergeCell ref="DTG5079:DTP5079"/>
    <mergeCell ref="DTR5079:DUA5079"/>
    <mergeCell ref="DUC5079:DUC5080"/>
    <mergeCell ref="DUE5079:DUJ5079"/>
    <mergeCell ref="DUK5079:DUK5080"/>
    <mergeCell ref="DGX5079:DGX5080"/>
    <mergeCell ref="DGY5079:DHH5079"/>
    <mergeCell ref="DHJ5079:DHS5079"/>
    <mergeCell ref="DHU5079:DHU5080"/>
    <mergeCell ref="DHW5079:DIB5079"/>
    <mergeCell ref="DIC5079:DIC5080"/>
    <mergeCell ref="DID5079:DID5080"/>
    <mergeCell ref="DIE5079:DIN5079"/>
    <mergeCell ref="DIP5079:DIY5079"/>
    <mergeCell ref="DJA5079:DJA5080"/>
    <mergeCell ref="DJC5079:DJH5079"/>
    <mergeCell ref="DJI5079:DJI5080"/>
    <mergeCell ref="DJJ5079:DJJ5080"/>
    <mergeCell ref="DJK5079:DJT5079"/>
    <mergeCell ref="DJV5079:DKE5079"/>
    <mergeCell ref="DKG5079:DKG5080"/>
    <mergeCell ref="DKI5079:DKN5079"/>
    <mergeCell ref="DKO5079:DKO5080"/>
    <mergeCell ref="DKP5079:DKP5080"/>
    <mergeCell ref="DKQ5079:DKZ5079"/>
    <mergeCell ref="DLB5079:DLK5079"/>
    <mergeCell ref="DLM5079:DLM5080"/>
    <mergeCell ref="DLO5079:DLT5079"/>
    <mergeCell ref="DLU5079:DLU5080"/>
    <mergeCell ref="DLV5079:DLV5080"/>
    <mergeCell ref="DLW5079:DMF5079"/>
    <mergeCell ref="DMH5079:DMQ5079"/>
    <mergeCell ref="DMS5079:DMS5080"/>
    <mergeCell ref="DMU5079:DMZ5079"/>
    <mergeCell ref="DNA5079:DNA5080"/>
    <mergeCell ref="DNB5079:DNB5080"/>
    <mergeCell ref="DNC5079:DNL5079"/>
    <mergeCell ref="DNN5079:DNW5079"/>
    <mergeCell ref="DAK5079:DAK5080"/>
    <mergeCell ref="DAM5079:DAR5079"/>
    <mergeCell ref="DAS5079:DAS5080"/>
    <mergeCell ref="DAT5079:DAT5080"/>
    <mergeCell ref="DAU5079:DBD5079"/>
    <mergeCell ref="DBF5079:DBO5079"/>
    <mergeCell ref="DBQ5079:DBQ5080"/>
    <mergeCell ref="DBS5079:DBX5079"/>
    <mergeCell ref="DBY5079:DBY5080"/>
    <mergeCell ref="DBZ5079:DBZ5080"/>
    <mergeCell ref="DCA5079:DCJ5079"/>
    <mergeCell ref="DCL5079:DCU5079"/>
    <mergeCell ref="DCW5079:DCW5080"/>
    <mergeCell ref="DCY5079:DDD5079"/>
    <mergeCell ref="DDE5079:DDE5080"/>
    <mergeCell ref="DDF5079:DDF5080"/>
    <mergeCell ref="DDG5079:DDP5079"/>
    <mergeCell ref="DDR5079:DEA5079"/>
    <mergeCell ref="DEC5079:DEC5080"/>
    <mergeCell ref="DEE5079:DEJ5079"/>
    <mergeCell ref="DEK5079:DEK5080"/>
    <mergeCell ref="DEL5079:DEL5080"/>
    <mergeCell ref="DEM5079:DEV5079"/>
    <mergeCell ref="DEX5079:DFG5079"/>
    <mergeCell ref="DFI5079:DFI5080"/>
    <mergeCell ref="DFK5079:DFP5079"/>
    <mergeCell ref="DFQ5079:DFQ5080"/>
    <mergeCell ref="DFR5079:DFR5080"/>
    <mergeCell ref="DFS5079:DGB5079"/>
    <mergeCell ref="DGD5079:DGM5079"/>
    <mergeCell ref="DGO5079:DGO5080"/>
    <mergeCell ref="DGQ5079:DGV5079"/>
    <mergeCell ref="DGW5079:DGW5080"/>
    <mergeCell ref="CTJ5079:CTJ5080"/>
    <mergeCell ref="CTK5079:CTT5079"/>
    <mergeCell ref="CTV5079:CUE5079"/>
    <mergeCell ref="CUG5079:CUG5080"/>
    <mergeCell ref="CUI5079:CUN5079"/>
    <mergeCell ref="CUO5079:CUO5080"/>
    <mergeCell ref="CUP5079:CUP5080"/>
    <mergeCell ref="CUQ5079:CUZ5079"/>
    <mergeCell ref="CVB5079:CVK5079"/>
    <mergeCell ref="CVM5079:CVM5080"/>
    <mergeCell ref="CVO5079:CVT5079"/>
    <mergeCell ref="CVU5079:CVU5080"/>
    <mergeCell ref="CVV5079:CVV5080"/>
    <mergeCell ref="CVW5079:CWF5079"/>
    <mergeCell ref="CWH5079:CWQ5079"/>
    <mergeCell ref="CWS5079:CWS5080"/>
    <mergeCell ref="CWU5079:CWZ5079"/>
    <mergeCell ref="CXA5079:CXA5080"/>
    <mergeCell ref="CXB5079:CXB5080"/>
    <mergeCell ref="CXC5079:CXL5079"/>
    <mergeCell ref="CXN5079:CXW5079"/>
    <mergeCell ref="CXY5079:CXY5080"/>
    <mergeCell ref="CYA5079:CYF5079"/>
    <mergeCell ref="CYG5079:CYG5080"/>
    <mergeCell ref="CYH5079:CYH5080"/>
    <mergeCell ref="CYI5079:CYR5079"/>
    <mergeCell ref="CYT5079:CZC5079"/>
    <mergeCell ref="CZE5079:CZE5080"/>
    <mergeCell ref="CZG5079:CZL5079"/>
    <mergeCell ref="CZM5079:CZM5080"/>
    <mergeCell ref="CZN5079:CZN5080"/>
    <mergeCell ref="CZO5079:CZX5079"/>
    <mergeCell ref="CZZ5079:DAI5079"/>
    <mergeCell ref="CMW5079:CMW5080"/>
    <mergeCell ref="CMY5079:CND5079"/>
    <mergeCell ref="CNE5079:CNE5080"/>
    <mergeCell ref="CNF5079:CNF5080"/>
    <mergeCell ref="CNG5079:CNP5079"/>
    <mergeCell ref="CNR5079:COA5079"/>
    <mergeCell ref="COC5079:COC5080"/>
    <mergeCell ref="COE5079:COJ5079"/>
    <mergeCell ref="COK5079:COK5080"/>
    <mergeCell ref="COL5079:COL5080"/>
    <mergeCell ref="COM5079:COV5079"/>
    <mergeCell ref="COX5079:CPG5079"/>
    <mergeCell ref="CPI5079:CPI5080"/>
    <mergeCell ref="CPK5079:CPP5079"/>
    <mergeCell ref="CPQ5079:CPQ5080"/>
    <mergeCell ref="CPR5079:CPR5080"/>
    <mergeCell ref="CPS5079:CQB5079"/>
    <mergeCell ref="CQD5079:CQM5079"/>
    <mergeCell ref="CQO5079:CQO5080"/>
    <mergeCell ref="CQQ5079:CQV5079"/>
    <mergeCell ref="CQW5079:CQW5080"/>
    <mergeCell ref="CQX5079:CQX5080"/>
    <mergeCell ref="CQY5079:CRH5079"/>
    <mergeCell ref="CRJ5079:CRS5079"/>
    <mergeCell ref="CRU5079:CRU5080"/>
    <mergeCell ref="CRW5079:CSB5079"/>
    <mergeCell ref="CSC5079:CSC5080"/>
    <mergeCell ref="CSD5079:CSD5080"/>
    <mergeCell ref="CSE5079:CSN5079"/>
    <mergeCell ref="CSP5079:CSY5079"/>
    <mergeCell ref="CTA5079:CTA5080"/>
    <mergeCell ref="CTC5079:CTH5079"/>
    <mergeCell ref="CTI5079:CTI5080"/>
    <mergeCell ref="CFV5079:CFV5080"/>
    <mergeCell ref="CFW5079:CGF5079"/>
    <mergeCell ref="CGH5079:CGQ5079"/>
    <mergeCell ref="CGS5079:CGS5080"/>
    <mergeCell ref="CGU5079:CGZ5079"/>
    <mergeCell ref="CHA5079:CHA5080"/>
    <mergeCell ref="CHB5079:CHB5080"/>
    <mergeCell ref="CHC5079:CHL5079"/>
    <mergeCell ref="CHN5079:CHW5079"/>
    <mergeCell ref="CHY5079:CHY5080"/>
    <mergeCell ref="CIA5079:CIF5079"/>
    <mergeCell ref="CIG5079:CIG5080"/>
    <mergeCell ref="CIH5079:CIH5080"/>
    <mergeCell ref="CII5079:CIR5079"/>
    <mergeCell ref="CIT5079:CJC5079"/>
    <mergeCell ref="CJE5079:CJE5080"/>
    <mergeCell ref="CJG5079:CJL5079"/>
    <mergeCell ref="CJM5079:CJM5080"/>
    <mergeCell ref="CJN5079:CJN5080"/>
    <mergeCell ref="CJO5079:CJX5079"/>
    <mergeCell ref="CJZ5079:CKI5079"/>
    <mergeCell ref="CKK5079:CKK5080"/>
    <mergeCell ref="CKM5079:CKR5079"/>
    <mergeCell ref="CKS5079:CKS5080"/>
    <mergeCell ref="CKT5079:CKT5080"/>
    <mergeCell ref="CKU5079:CLD5079"/>
    <mergeCell ref="CLF5079:CLO5079"/>
    <mergeCell ref="CLQ5079:CLQ5080"/>
    <mergeCell ref="CLS5079:CLX5079"/>
    <mergeCell ref="CLY5079:CLY5080"/>
    <mergeCell ref="CLZ5079:CLZ5080"/>
    <mergeCell ref="CMA5079:CMJ5079"/>
    <mergeCell ref="CML5079:CMU5079"/>
    <mergeCell ref="BZI5079:BZI5080"/>
    <mergeCell ref="BZK5079:BZP5079"/>
    <mergeCell ref="BZQ5079:BZQ5080"/>
    <mergeCell ref="BZR5079:BZR5080"/>
    <mergeCell ref="BZS5079:CAB5079"/>
    <mergeCell ref="CAD5079:CAM5079"/>
    <mergeCell ref="CAO5079:CAO5080"/>
    <mergeCell ref="CAQ5079:CAV5079"/>
    <mergeCell ref="CAW5079:CAW5080"/>
    <mergeCell ref="CAX5079:CAX5080"/>
    <mergeCell ref="CAY5079:CBH5079"/>
    <mergeCell ref="CBJ5079:CBS5079"/>
    <mergeCell ref="CBU5079:CBU5080"/>
    <mergeCell ref="CBW5079:CCB5079"/>
    <mergeCell ref="CCC5079:CCC5080"/>
    <mergeCell ref="CCD5079:CCD5080"/>
    <mergeCell ref="CCE5079:CCN5079"/>
    <mergeCell ref="CCP5079:CCY5079"/>
    <mergeCell ref="CDA5079:CDA5080"/>
    <mergeCell ref="CDC5079:CDH5079"/>
    <mergeCell ref="CDI5079:CDI5080"/>
    <mergeCell ref="CDJ5079:CDJ5080"/>
    <mergeCell ref="CDK5079:CDT5079"/>
    <mergeCell ref="CDV5079:CEE5079"/>
    <mergeCell ref="CEG5079:CEG5080"/>
    <mergeCell ref="CEI5079:CEN5079"/>
    <mergeCell ref="CEO5079:CEO5080"/>
    <mergeCell ref="CEP5079:CEP5080"/>
    <mergeCell ref="CEQ5079:CEZ5079"/>
    <mergeCell ref="CFB5079:CFK5079"/>
    <mergeCell ref="CFM5079:CFM5080"/>
    <mergeCell ref="CFO5079:CFT5079"/>
    <mergeCell ref="CFU5079:CFU5080"/>
    <mergeCell ref="BSH5079:BSH5080"/>
    <mergeCell ref="BSI5079:BSR5079"/>
    <mergeCell ref="BST5079:BTC5079"/>
    <mergeCell ref="BTE5079:BTE5080"/>
    <mergeCell ref="BTG5079:BTL5079"/>
    <mergeCell ref="BTM5079:BTM5080"/>
    <mergeCell ref="BTN5079:BTN5080"/>
    <mergeCell ref="BTO5079:BTX5079"/>
    <mergeCell ref="BTZ5079:BUI5079"/>
    <mergeCell ref="BUK5079:BUK5080"/>
    <mergeCell ref="BUM5079:BUR5079"/>
    <mergeCell ref="BUS5079:BUS5080"/>
    <mergeCell ref="BUT5079:BUT5080"/>
    <mergeCell ref="BUU5079:BVD5079"/>
    <mergeCell ref="BVF5079:BVO5079"/>
    <mergeCell ref="BVQ5079:BVQ5080"/>
    <mergeCell ref="BVS5079:BVX5079"/>
    <mergeCell ref="BVY5079:BVY5080"/>
    <mergeCell ref="BVZ5079:BVZ5080"/>
    <mergeCell ref="BWA5079:BWJ5079"/>
    <mergeCell ref="BWL5079:BWU5079"/>
    <mergeCell ref="BWW5079:BWW5080"/>
    <mergeCell ref="BWY5079:BXD5079"/>
    <mergeCell ref="BXE5079:BXE5080"/>
    <mergeCell ref="BXF5079:BXF5080"/>
    <mergeCell ref="BXG5079:BXP5079"/>
    <mergeCell ref="BXR5079:BYA5079"/>
    <mergeCell ref="BYC5079:BYC5080"/>
    <mergeCell ref="BYE5079:BYJ5079"/>
    <mergeCell ref="BYK5079:BYK5080"/>
    <mergeCell ref="BYL5079:BYL5080"/>
    <mergeCell ref="BYM5079:BYV5079"/>
    <mergeCell ref="BYX5079:BZG5079"/>
    <mergeCell ref="BLU5079:BLU5080"/>
    <mergeCell ref="BLW5079:BMB5079"/>
    <mergeCell ref="BMC5079:BMC5080"/>
    <mergeCell ref="BMD5079:BMD5080"/>
    <mergeCell ref="BME5079:BMN5079"/>
    <mergeCell ref="BMP5079:BMY5079"/>
    <mergeCell ref="BNA5079:BNA5080"/>
    <mergeCell ref="BNC5079:BNH5079"/>
    <mergeCell ref="BNI5079:BNI5080"/>
    <mergeCell ref="BNJ5079:BNJ5080"/>
    <mergeCell ref="BNK5079:BNT5079"/>
    <mergeCell ref="BNV5079:BOE5079"/>
    <mergeCell ref="BOG5079:BOG5080"/>
    <mergeCell ref="BOI5079:BON5079"/>
    <mergeCell ref="BOO5079:BOO5080"/>
    <mergeCell ref="BOP5079:BOP5080"/>
    <mergeCell ref="BOQ5079:BOZ5079"/>
    <mergeCell ref="BPB5079:BPK5079"/>
    <mergeCell ref="BPM5079:BPM5080"/>
    <mergeCell ref="BPO5079:BPT5079"/>
    <mergeCell ref="BPU5079:BPU5080"/>
    <mergeCell ref="BPV5079:BPV5080"/>
    <mergeCell ref="BPW5079:BQF5079"/>
    <mergeCell ref="BQH5079:BQQ5079"/>
    <mergeCell ref="BQS5079:BQS5080"/>
    <mergeCell ref="BQU5079:BQZ5079"/>
    <mergeCell ref="BRA5079:BRA5080"/>
    <mergeCell ref="BRB5079:BRB5080"/>
    <mergeCell ref="BRC5079:BRL5079"/>
    <mergeCell ref="BRN5079:BRW5079"/>
    <mergeCell ref="BRY5079:BRY5080"/>
    <mergeCell ref="BSA5079:BSF5079"/>
    <mergeCell ref="BSG5079:BSG5080"/>
    <mergeCell ref="BET5079:BET5080"/>
    <mergeCell ref="BEU5079:BFD5079"/>
    <mergeCell ref="BFF5079:BFO5079"/>
    <mergeCell ref="BFQ5079:BFQ5080"/>
    <mergeCell ref="BFS5079:BFX5079"/>
    <mergeCell ref="BFY5079:BFY5080"/>
    <mergeCell ref="BFZ5079:BFZ5080"/>
    <mergeCell ref="BGA5079:BGJ5079"/>
    <mergeCell ref="BGL5079:BGU5079"/>
    <mergeCell ref="BGW5079:BGW5080"/>
    <mergeCell ref="BGY5079:BHD5079"/>
    <mergeCell ref="BHE5079:BHE5080"/>
    <mergeCell ref="BHF5079:BHF5080"/>
    <mergeCell ref="BHG5079:BHP5079"/>
    <mergeCell ref="BHR5079:BIA5079"/>
    <mergeCell ref="BIC5079:BIC5080"/>
    <mergeCell ref="BIE5079:BIJ5079"/>
    <mergeCell ref="BIK5079:BIK5080"/>
    <mergeCell ref="BIL5079:BIL5080"/>
    <mergeCell ref="BIM5079:BIV5079"/>
    <mergeCell ref="BIX5079:BJG5079"/>
    <mergeCell ref="BJI5079:BJI5080"/>
    <mergeCell ref="BJK5079:BJP5079"/>
    <mergeCell ref="BJQ5079:BJQ5080"/>
    <mergeCell ref="BJR5079:BJR5080"/>
    <mergeCell ref="BJS5079:BKB5079"/>
    <mergeCell ref="BKD5079:BKM5079"/>
    <mergeCell ref="BKO5079:BKO5080"/>
    <mergeCell ref="BKQ5079:BKV5079"/>
    <mergeCell ref="BKW5079:BKW5080"/>
    <mergeCell ref="BKX5079:BKX5080"/>
    <mergeCell ref="BKY5079:BLH5079"/>
    <mergeCell ref="BLJ5079:BLS5079"/>
    <mergeCell ref="AYG5079:AYG5080"/>
    <mergeCell ref="AYI5079:AYN5079"/>
    <mergeCell ref="AYO5079:AYO5080"/>
    <mergeCell ref="AYP5079:AYP5080"/>
    <mergeCell ref="AYQ5079:AYZ5079"/>
    <mergeCell ref="AZB5079:AZK5079"/>
    <mergeCell ref="AZM5079:AZM5080"/>
    <mergeCell ref="AZO5079:AZT5079"/>
    <mergeCell ref="AZU5079:AZU5080"/>
    <mergeCell ref="AZV5079:AZV5080"/>
    <mergeCell ref="AZW5079:BAF5079"/>
    <mergeCell ref="BAH5079:BAQ5079"/>
    <mergeCell ref="BAS5079:BAS5080"/>
    <mergeCell ref="BAU5079:BAZ5079"/>
    <mergeCell ref="BBA5079:BBA5080"/>
    <mergeCell ref="BBB5079:BBB5080"/>
    <mergeCell ref="BBC5079:BBL5079"/>
    <mergeCell ref="BBN5079:BBW5079"/>
    <mergeCell ref="BBY5079:BBY5080"/>
    <mergeCell ref="BCA5079:BCF5079"/>
    <mergeCell ref="BCG5079:BCG5080"/>
    <mergeCell ref="BCH5079:BCH5080"/>
    <mergeCell ref="BCI5079:BCR5079"/>
    <mergeCell ref="BCT5079:BDC5079"/>
    <mergeCell ref="BDE5079:BDE5080"/>
    <mergeCell ref="BDG5079:BDL5079"/>
    <mergeCell ref="BDM5079:BDM5080"/>
    <mergeCell ref="BDN5079:BDN5080"/>
    <mergeCell ref="BDO5079:BDX5079"/>
    <mergeCell ref="BDZ5079:BEI5079"/>
    <mergeCell ref="BEK5079:BEK5080"/>
    <mergeCell ref="BEM5079:BER5079"/>
    <mergeCell ref="BES5079:BES5080"/>
    <mergeCell ref="ARF5079:ARF5080"/>
    <mergeCell ref="ARG5079:ARP5079"/>
    <mergeCell ref="ARR5079:ASA5079"/>
    <mergeCell ref="ASC5079:ASC5080"/>
    <mergeCell ref="ASE5079:ASJ5079"/>
    <mergeCell ref="ASK5079:ASK5080"/>
    <mergeCell ref="ASL5079:ASL5080"/>
    <mergeCell ref="ASM5079:ASV5079"/>
    <mergeCell ref="ASX5079:ATG5079"/>
    <mergeCell ref="ATI5079:ATI5080"/>
    <mergeCell ref="ATK5079:ATP5079"/>
    <mergeCell ref="ATQ5079:ATQ5080"/>
    <mergeCell ref="ATR5079:ATR5080"/>
    <mergeCell ref="ATS5079:AUB5079"/>
    <mergeCell ref="AUD5079:AUM5079"/>
    <mergeCell ref="AUO5079:AUO5080"/>
    <mergeCell ref="AUQ5079:AUV5079"/>
    <mergeCell ref="AUW5079:AUW5080"/>
    <mergeCell ref="AUX5079:AUX5080"/>
    <mergeCell ref="AUY5079:AVH5079"/>
    <mergeCell ref="AVJ5079:AVS5079"/>
    <mergeCell ref="AVU5079:AVU5080"/>
    <mergeCell ref="AVW5079:AWB5079"/>
    <mergeCell ref="AWC5079:AWC5080"/>
    <mergeCell ref="AWD5079:AWD5080"/>
    <mergeCell ref="AWE5079:AWN5079"/>
    <mergeCell ref="AWP5079:AWY5079"/>
    <mergeCell ref="AXA5079:AXA5080"/>
    <mergeCell ref="AXC5079:AXH5079"/>
    <mergeCell ref="AXI5079:AXI5080"/>
    <mergeCell ref="AXJ5079:AXJ5080"/>
    <mergeCell ref="AXK5079:AXT5079"/>
    <mergeCell ref="AXV5079:AYE5079"/>
    <mergeCell ref="AKS5079:AKS5080"/>
    <mergeCell ref="AKU5079:AKZ5079"/>
    <mergeCell ref="ALA5079:ALA5080"/>
    <mergeCell ref="ALB5079:ALB5080"/>
    <mergeCell ref="ALC5079:ALL5079"/>
    <mergeCell ref="ALN5079:ALW5079"/>
    <mergeCell ref="ALY5079:ALY5080"/>
    <mergeCell ref="AMA5079:AMF5079"/>
    <mergeCell ref="AMG5079:AMG5080"/>
    <mergeCell ref="AMH5079:AMH5080"/>
    <mergeCell ref="AMI5079:AMR5079"/>
    <mergeCell ref="AMT5079:ANC5079"/>
    <mergeCell ref="ANE5079:ANE5080"/>
    <mergeCell ref="ANG5079:ANL5079"/>
    <mergeCell ref="ANM5079:ANM5080"/>
    <mergeCell ref="ANN5079:ANN5080"/>
    <mergeCell ref="ANO5079:ANX5079"/>
    <mergeCell ref="ANZ5079:AOI5079"/>
    <mergeCell ref="AOK5079:AOK5080"/>
    <mergeCell ref="AOM5079:AOR5079"/>
    <mergeCell ref="AOS5079:AOS5080"/>
    <mergeCell ref="AOT5079:AOT5080"/>
    <mergeCell ref="AOU5079:APD5079"/>
    <mergeCell ref="APF5079:APO5079"/>
    <mergeCell ref="APQ5079:APQ5080"/>
    <mergeCell ref="APS5079:APX5079"/>
    <mergeCell ref="APY5079:APY5080"/>
    <mergeCell ref="APZ5079:APZ5080"/>
    <mergeCell ref="AQA5079:AQJ5079"/>
    <mergeCell ref="AQL5079:AQU5079"/>
    <mergeCell ref="AQW5079:AQW5080"/>
    <mergeCell ref="AQY5079:ARD5079"/>
    <mergeCell ref="ARE5079:ARE5080"/>
    <mergeCell ref="ADR5079:ADR5080"/>
    <mergeCell ref="ADS5079:AEB5079"/>
    <mergeCell ref="AED5079:AEM5079"/>
    <mergeCell ref="AEO5079:AEO5080"/>
    <mergeCell ref="AEQ5079:AEV5079"/>
    <mergeCell ref="AEW5079:AEW5080"/>
    <mergeCell ref="AEX5079:AEX5080"/>
    <mergeCell ref="AEY5079:AFH5079"/>
    <mergeCell ref="AFJ5079:AFS5079"/>
    <mergeCell ref="AFU5079:AFU5080"/>
    <mergeCell ref="AFW5079:AGB5079"/>
    <mergeCell ref="AGC5079:AGC5080"/>
    <mergeCell ref="AGD5079:AGD5080"/>
    <mergeCell ref="AGE5079:AGN5079"/>
    <mergeCell ref="AGP5079:AGY5079"/>
    <mergeCell ref="AHA5079:AHA5080"/>
    <mergeCell ref="AHC5079:AHH5079"/>
    <mergeCell ref="AHI5079:AHI5080"/>
    <mergeCell ref="AHJ5079:AHJ5080"/>
    <mergeCell ref="AHK5079:AHT5079"/>
    <mergeCell ref="AHV5079:AIE5079"/>
    <mergeCell ref="AIG5079:AIG5080"/>
    <mergeCell ref="AII5079:AIN5079"/>
    <mergeCell ref="AIO5079:AIO5080"/>
    <mergeCell ref="AIP5079:AIP5080"/>
    <mergeCell ref="AIQ5079:AIZ5079"/>
    <mergeCell ref="AJB5079:AJK5079"/>
    <mergeCell ref="AJM5079:AJM5080"/>
    <mergeCell ref="AJO5079:AJT5079"/>
    <mergeCell ref="AJU5079:AJU5080"/>
    <mergeCell ref="AJV5079:AJV5080"/>
    <mergeCell ref="AJW5079:AKF5079"/>
    <mergeCell ref="AKH5079:AKQ5079"/>
    <mergeCell ref="XE5079:XE5080"/>
    <mergeCell ref="XG5079:XL5079"/>
    <mergeCell ref="XM5079:XM5080"/>
    <mergeCell ref="XN5079:XN5080"/>
    <mergeCell ref="XO5079:XX5079"/>
    <mergeCell ref="XZ5079:YI5079"/>
    <mergeCell ref="YK5079:YK5080"/>
    <mergeCell ref="YM5079:YR5079"/>
    <mergeCell ref="YS5079:YS5080"/>
    <mergeCell ref="YT5079:YT5080"/>
    <mergeCell ref="YU5079:ZD5079"/>
    <mergeCell ref="ZF5079:ZO5079"/>
    <mergeCell ref="ZQ5079:ZQ5080"/>
    <mergeCell ref="ZS5079:ZX5079"/>
    <mergeCell ref="ZY5079:ZY5080"/>
    <mergeCell ref="ZZ5079:ZZ5080"/>
    <mergeCell ref="AAA5079:AAJ5079"/>
    <mergeCell ref="AAL5079:AAU5079"/>
    <mergeCell ref="AAW5079:AAW5080"/>
    <mergeCell ref="AAY5079:ABD5079"/>
    <mergeCell ref="ABE5079:ABE5080"/>
    <mergeCell ref="ABF5079:ABF5080"/>
    <mergeCell ref="ABG5079:ABP5079"/>
    <mergeCell ref="ABR5079:ACA5079"/>
    <mergeCell ref="ACC5079:ACC5080"/>
    <mergeCell ref="ACE5079:ACJ5079"/>
    <mergeCell ref="ACK5079:ACK5080"/>
    <mergeCell ref="ACL5079:ACL5080"/>
    <mergeCell ref="ACM5079:ACV5079"/>
    <mergeCell ref="ACX5079:ADG5079"/>
    <mergeCell ref="ADI5079:ADI5080"/>
    <mergeCell ref="ADK5079:ADP5079"/>
    <mergeCell ref="ADQ5079:ADQ5080"/>
    <mergeCell ref="QD5079:QD5080"/>
    <mergeCell ref="QE5079:QN5079"/>
    <mergeCell ref="QP5079:QY5079"/>
    <mergeCell ref="RA5079:RA5080"/>
    <mergeCell ref="RC5079:RH5079"/>
    <mergeCell ref="RI5079:RI5080"/>
    <mergeCell ref="RJ5079:RJ5080"/>
    <mergeCell ref="RK5079:RT5079"/>
    <mergeCell ref="RV5079:SE5079"/>
    <mergeCell ref="SG5079:SG5080"/>
    <mergeCell ref="SI5079:SN5079"/>
    <mergeCell ref="SO5079:SO5080"/>
    <mergeCell ref="SP5079:SP5080"/>
    <mergeCell ref="SQ5079:SZ5079"/>
    <mergeCell ref="TB5079:TK5079"/>
    <mergeCell ref="TM5079:TM5080"/>
    <mergeCell ref="TO5079:TT5079"/>
    <mergeCell ref="TU5079:TU5080"/>
    <mergeCell ref="TV5079:TV5080"/>
    <mergeCell ref="TW5079:UF5079"/>
    <mergeCell ref="UH5079:UQ5079"/>
    <mergeCell ref="US5079:US5080"/>
    <mergeCell ref="UU5079:UZ5079"/>
    <mergeCell ref="VA5079:VA5080"/>
    <mergeCell ref="VB5079:VB5080"/>
    <mergeCell ref="VC5079:VL5079"/>
    <mergeCell ref="VN5079:VW5079"/>
    <mergeCell ref="VY5079:VY5080"/>
    <mergeCell ref="WA5079:WF5079"/>
    <mergeCell ref="WG5079:WG5080"/>
    <mergeCell ref="WH5079:WH5080"/>
    <mergeCell ref="WI5079:WR5079"/>
    <mergeCell ref="WT5079:XC5079"/>
    <mergeCell ref="JQ5079:JQ5080"/>
    <mergeCell ref="JS5079:JX5079"/>
    <mergeCell ref="JY5079:JY5080"/>
    <mergeCell ref="JZ5079:JZ5080"/>
    <mergeCell ref="KA5079:KJ5079"/>
    <mergeCell ref="KL5079:KU5079"/>
    <mergeCell ref="KW5079:KW5080"/>
    <mergeCell ref="KY5079:LD5079"/>
    <mergeCell ref="LE5079:LE5080"/>
    <mergeCell ref="LF5079:LF5080"/>
    <mergeCell ref="LG5079:LP5079"/>
    <mergeCell ref="LR5079:MA5079"/>
    <mergeCell ref="MC5079:MC5080"/>
    <mergeCell ref="ME5079:MJ5079"/>
    <mergeCell ref="MK5079:MK5080"/>
    <mergeCell ref="ML5079:ML5080"/>
    <mergeCell ref="MM5079:MV5079"/>
    <mergeCell ref="MX5079:NG5079"/>
    <mergeCell ref="NI5079:NI5080"/>
    <mergeCell ref="NK5079:NP5079"/>
    <mergeCell ref="NQ5079:NQ5080"/>
    <mergeCell ref="NR5079:NR5080"/>
    <mergeCell ref="NS5079:OB5079"/>
    <mergeCell ref="OD5079:OM5079"/>
    <mergeCell ref="OO5079:OO5080"/>
    <mergeCell ref="OQ5079:OV5079"/>
    <mergeCell ref="OW5079:OW5080"/>
    <mergeCell ref="OX5079:OX5080"/>
    <mergeCell ref="OY5079:PH5079"/>
    <mergeCell ref="PJ5079:PS5079"/>
    <mergeCell ref="PU5079:PU5080"/>
    <mergeCell ref="PW5079:QB5079"/>
    <mergeCell ref="QC5079:QC5080"/>
    <mergeCell ref="WIO5077:WJT5077"/>
    <mergeCell ref="WJU5077:WKZ5077"/>
    <mergeCell ref="WLA5077:WMF5077"/>
    <mergeCell ref="WMG5077:WNL5077"/>
    <mergeCell ref="WNM5077:WOR5077"/>
    <mergeCell ref="WOS5077:WPX5077"/>
    <mergeCell ref="WPY5077:WRD5077"/>
    <mergeCell ref="WRE5077:WSJ5077"/>
    <mergeCell ref="WSK5077:WTP5077"/>
    <mergeCell ref="WTQ5077:WUV5077"/>
    <mergeCell ref="WUW5077:WWB5077"/>
    <mergeCell ref="WWC5077:WXH5077"/>
    <mergeCell ref="WXI5077:WYN5077"/>
    <mergeCell ref="WYO5077:WZT5077"/>
    <mergeCell ref="WZU5077:XAZ5077"/>
    <mergeCell ref="XBA5077:XCF5077"/>
    <mergeCell ref="XCG5077:XDL5077"/>
    <mergeCell ref="XDM5077:XER5077"/>
    <mergeCell ref="AC5079:AC5080"/>
    <mergeCell ref="AD5079:AD5080"/>
    <mergeCell ref="AE5079:AN5079"/>
    <mergeCell ref="AP5079:AY5079"/>
    <mergeCell ref="BA5079:BA5080"/>
    <mergeCell ref="BC5079:BH5079"/>
    <mergeCell ref="BI5079:BI5080"/>
    <mergeCell ref="BJ5079:BJ5080"/>
    <mergeCell ref="BK5079:BT5079"/>
    <mergeCell ref="BV5079:CE5079"/>
    <mergeCell ref="CG5079:CG5080"/>
    <mergeCell ref="CI5079:CN5079"/>
    <mergeCell ref="CO5079:CO5080"/>
    <mergeCell ref="CP5079:CP5080"/>
    <mergeCell ref="CQ5079:CZ5079"/>
    <mergeCell ref="DB5079:DK5079"/>
    <mergeCell ref="DM5079:DM5080"/>
    <mergeCell ref="DO5079:DT5079"/>
    <mergeCell ref="DU5079:DU5080"/>
    <mergeCell ref="DV5079:DV5080"/>
    <mergeCell ref="DW5079:EF5079"/>
    <mergeCell ref="EH5079:EQ5079"/>
    <mergeCell ref="ES5079:ES5080"/>
    <mergeCell ref="EU5079:EZ5079"/>
    <mergeCell ref="FA5079:FA5080"/>
    <mergeCell ref="FB5079:FB5080"/>
    <mergeCell ref="FC5079:FL5079"/>
    <mergeCell ref="FN5079:FW5079"/>
    <mergeCell ref="FY5079:FY5080"/>
    <mergeCell ref="GA5079:GF5079"/>
    <mergeCell ref="GG5079:GG5080"/>
    <mergeCell ref="GH5079:GH5080"/>
    <mergeCell ref="GI5079:GR5079"/>
    <mergeCell ref="GT5079:HC5079"/>
    <mergeCell ref="HE5079:HE5080"/>
    <mergeCell ref="HG5079:HL5079"/>
    <mergeCell ref="HM5079:HM5080"/>
    <mergeCell ref="HN5079:HN5080"/>
    <mergeCell ref="HO5079:HX5079"/>
    <mergeCell ref="HZ5079:II5079"/>
    <mergeCell ref="IK5079:IK5080"/>
    <mergeCell ref="IM5079:IR5079"/>
    <mergeCell ref="IS5079:IS5080"/>
    <mergeCell ref="IT5079:IT5080"/>
    <mergeCell ref="IU5079:JD5079"/>
    <mergeCell ref="JF5079:JO5079"/>
    <mergeCell ref="UTY5077:UVD5077"/>
    <mergeCell ref="UVE5077:UWJ5077"/>
    <mergeCell ref="UWK5077:UXP5077"/>
    <mergeCell ref="UXQ5077:UYV5077"/>
    <mergeCell ref="UYW5077:VAB5077"/>
    <mergeCell ref="VAC5077:VBH5077"/>
    <mergeCell ref="VBI5077:VCN5077"/>
    <mergeCell ref="VCO5077:VDT5077"/>
    <mergeCell ref="VDU5077:VEZ5077"/>
    <mergeCell ref="VFA5077:VGF5077"/>
    <mergeCell ref="VGG5077:VHL5077"/>
    <mergeCell ref="VHM5077:VIR5077"/>
    <mergeCell ref="VIS5077:VJX5077"/>
    <mergeCell ref="VJY5077:VLD5077"/>
    <mergeCell ref="VLE5077:VMJ5077"/>
    <mergeCell ref="VMK5077:VNP5077"/>
    <mergeCell ref="VNQ5077:VOV5077"/>
    <mergeCell ref="VOW5077:VQB5077"/>
    <mergeCell ref="VQC5077:VRH5077"/>
    <mergeCell ref="VRI5077:VSN5077"/>
    <mergeCell ref="VSO5077:VTT5077"/>
    <mergeCell ref="VTU5077:VUZ5077"/>
    <mergeCell ref="VVA5077:VWF5077"/>
    <mergeCell ref="VWG5077:VXL5077"/>
    <mergeCell ref="VXM5077:VYR5077"/>
    <mergeCell ref="VYS5077:VZX5077"/>
    <mergeCell ref="VZY5077:WBD5077"/>
    <mergeCell ref="WBE5077:WCJ5077"/>
    <mergeCell ref="WCK5077:WDP5077"/>
    <mergeCell ref="WDQ5077:WEV5077"/>
    <mergeCell ref="WEW5077:WGB5077"/>
    <mergeCell ref="WGC5077:WHH5077"/>
    <mergeCell ref="WHI5077:WIN5077"/>
    <mergeCell ref="TFI5077:TGN5077"/>
    <mergeCell ref="TGO5077:THT5077"/>
    <mergeCell ref="THU5077:TIZ5077"/>
    <mergeCell ref="TJA5077:TKF5077"/>
    <mergeCell ref="TKG5077:TLL5077"/>
    <mergeCell ref="TLM5077:TMR5077"/>
    <mergeCell ref="TMS5077:TNX5077"/>
    <mergeCell ref="TNY5077:TPD5077"/>
    <mergeCell ref="TPE5077:TQJ5077"/>
    <mergeCell ref="TQK5077:TRP5077"/>
    <mergeCell ref="TRQ5077:TSV5077"/>
    <mergeCell ref="TSW5077:TUB5077"/>
    <mergeCell ref="TUC5077:TVH5077"/>
    <mergeCell ref="TVI5077:TWN5077"/>
    <mergeCell ref="TWO5077:TXT5077"/>
    <mergeCell ref="TXU5077:TYZ5077"/>
    <mergeCell ref="TZA5077:UAF5077"/>
    <mergeCell ref="UAG5077:UBL5077"/>
    <mergeCell ref="UBM5077:UCR5077"/>
    <mergeCell ref="UCS5077:UDX5077"/>
    <mergeCell ref="UDY5077:UFD5077"/>
    <mergeCell ref="UFE5077:UGJ5077"/>
    <mergeCell ref="UGK5077:UHP5077"/>
    <mergeCell ref="UHQ5077:UIV5077"/>
    <mergeCell ref="UIW5077:UKB5077"/>
    <mergeCell ref="UKC5077:ULH5077"/>
    <mergeCell ref="ULI5077:UMN5077"/>
    <mergeCell ref="UMO5077:UNT5077"/>
    <mergeCell ref="UNU5077:UOZ5077"/>
    <mergeCell ref="UPA5077:UQF5077"/>
    <mergeCell ref="UQG5077:URL5077"/>
    <mergeCell ref="URM5077:USR5077"/>
    <mergeCell ref="USS5077:UTX5077"/>
    <mergeCell ref="RQS5077:RRX5077"/>
    <mergeCell ref="RRY5077:RTD5077"/>
    <mergeCell ref="RTE5077:RUJ5077"/>
    <mergeCell ref="RUK5077:RVP5077"/>
    <mergeCell ref="RVQ5077:RWV5077"/>
    <mergeCell ref="RWW5077:RYB5077"/>
    <mergeCell ref="RYC5077:RZH5077"/>
    <mergeCell ref="RZI5077:SAN5077"/>
    <mergeCell ref="SAO5077:SBT5077"/>
    <mergeCell ref="SBU5077:SCZ5077"/>
    <mergeCell ref="SDA5077:SEF5077"/>
    <mergeCell ref="SEG5077:SFL5077"/>
    <mergeCell ref="SFM5077:SGR5077"/>
    <mergeCell ref="SGS5077:SHX5077"/>
    <mergeCell ref="SHY5077:SJD5077"/>
    <mergeCell ref="SJE5077:SKJ5077"/>
    <mergeCell ref="SKK5077:SLP5077"/>
    <mergeCell ref="SLQ5077:SMV5077"/>
    <mergeCell ref="SMW5077:SOB5077"/>
    <mergeCell ref="SOC5077:SPH5077"/>
    <mergeCell ref="SPI5077:SQN5077"/>
    <mergeCell ref="SQO5077:SRT5077"/>
    <mergeCell ref="SRU5077:SSZ5077"/>
    <mergeCell ref="STA5077:SUF5077"/>
    <mergeCell ref="SUG5077:SVL5077"/>
    <mergeCell ref="SVM5077:SWR5077"/>
    <mergeCell ref="SWS5077:SXX5077"/>
    <mergeCell ref="SXY5077:SZD5077"/>
    <mergeCell ref="SZE5077:TAJ5077"/>
    <mergeCell ref="TAK5077:TBP5077"/>
    <mergeCell ref="TBQ5077:TCV5077"/>
    <mergeCell ref="TCW5077:TEB5077"/>
    <mergeCell ref="TEC5077:TFH5077"/>
    <mergeCell ref="QCC5077:QDH5077"/>
    <mergeCell ref="QDI5077:QEN5077"/>
    <mergeCell ref="QEO5077:QFT5077"/>
    <mergeCell ref="QFU5077:QGZ5077"/>
    <mergeCell ref="QHA5077:QIF5077"/>
    <mergeCell ref="QIG5077:QJL5077"/>
    <mergeCell ref="QJM5077:QKR5077"/>
    <mergeCell ref="QKS5077:QLX5077"/>
    <mergeCell ref="QLY5077:QND5077"/>
    <mergeCell ref="QNE5077:QOJ5077"/>
    <mergeCell ref="QOK5077:QPP5077"/>
    <mergeCell ref="QPQ5077:QQV5077"/>
    <mergeCell ref="QQW5077:QSB5077"/>
    <mergeCell ref="QSC5077:QTH5077"/>
    <mergeCell ref="QTI5077:QUN5077"/>
    <mergeCell ref="QUO5077:QVT5077"/>
    <mergeCell ref="QVU5077:QWZ5077"/>
    <mergeCell ref="QXA5077:QYF5077"/>
    <mergeCell ref="QYG5077:QZL5077"/>
    <mergeCell ref="QZM5077:RAR5077"/>
    <mergeCell ref="RAS5077:RBX5077"/>
    <mergeCell ref="RBY5077:RDD5077"/>
    <mergeCell ref="RDE5077:REJ5077"/>
    <mergeCell ref="REK5077:RFP5077"/>
    <mergeCell ref="RFQ5077:RGV5077"/>
    <mergeCell ref="RGW5077:RIB5077"/>
    <mergeCell ref="RIC5077:RJH5077"/>
    <mergeCell ref="RJI5077:RKN5077"/>
    <mergeCell ref="RKO5077:RLT5077"/>
    <mergeCell ref="RLU5077:RMZ5077"/>
    <mergeCell ref="RNA5077:ROF5077"/>
    <mergeCell ref="ROG5077:RPL5077"/>
    <mergeCell ref="RPM5077:RQR5077"/>
    <mergeCell ref="ONM5077:OOR5077"/>
    <mergeCell ref="OOS5077:OPX5077"/>
    <mergeCell ref="OPY5077:ORD5077"/>
    <mergeCell ref="ORE5077:OSJ5077"/>
    <mergeCell ref="OSK5077:OTP5077"/>
    <mergeCell ref="OTQ5077:OUV5077"/>
    <mergeCell ref="OUW5077:OWB5077"/>
    <mergeCell ref="OWC5077:OXH5077"/>
    <mergeCell ref="OXI5077:OYN5077"/>
    <mergeCell ref="OYO5077:OZT5077"/>
    <mergeCell ref="OZU5077:PAZ5077"/>
    <mergeCell ref="PBA5077:PCF5077"/>
    <mergeCell ref="PCG5077:PDL5077"/>
    <mergeCell ref="PDM5077:PER5077"/>
    <mergeCell ref="PES5077:PFX5077"/>
    <mergeCell ref="PFY5077:PHD5077"/>
    <mergeCell ref="PHE5077:PIJ5077"/>
    <mergeCell ref="PIK5077:PJP5077"/>
    <mergeCell ref="PJQ5077:PKV5077"/>
    <mergeCell ref="PKW5077:PMB5077"/>
    <mergeCell ref="PMC5077:PNH5077"/>
    <mergeCell ref="PNI5077:PON5077"/>
    <mergeCell ref="POO5077:PPT5077"/>
    <mergeCell ref="PPU5077:PQZ5077"/>
    <mergeCell ref="PRA5077:PSF5077"/>
    <mergeCell ref="PSG5077:PTL5077"/>
    <mergeCell ref="PTM5077:PUR5077"/>
    <mergeCell ref="PUS5077:PVX5077"/>
    <mergeCell ref="PVY5077:PXD5077"/>
    <mergeCell ref="PXE5077:PYJ5077"/>
    <mergeCell ref="PYK5077:PZP5077"/>
    <mergeCell ref="PZQ5077:QAV5077"/>
    <mergeCell ref="QAW5077:QCB5077"/>
    <mergeCell ref="MYW5077:NAB5077"/>
    <mergeCell ref="NAC5077:NBH5077"/>
    <mergeCell ref="NBI5077:NCN5077"/>
    <mergeCell ref="NCO5077:NDT5077"/>
    <mergeCell ref="NDU5077:NEZ5077"/>
    <mergeCell ref="NFA5077:NGF5077"/>
    <mergeCell ref="NGG5077:NHL5077"/>
    <mergeCell ref="NHM5077:NIR5077"/>
    <mergeCell ref="NIS5077:NJX5077"/>
    <mergeCell ref="NJY5077:NLD5077"/>
    <mergeCell ref="NLE5077:NMJ5077"/>
    <mergeCell ref="NMK5077:NNP5077"/>
    <mergeCell ref="NNQ5077:NOV5077"/>
    <mergeCell ref="NOW5077:NQB5077"/>
    <mergeCell ref="NQC5077:NRH5077"/>
    <mergeCell ref="NRI5077:NSN5077"/>
    <mergeCell ref="NSO5077:NTT5077"/>
    <mergeCell ref="NTU5077:NUZ5077"/>
    <mergeCell ref="NVA5077:NWF5077"/>
    <mergeCell ref="NWG5077:NXL5077"/>
    <mergeCell ref="NXM5077:NYR5077"/>
    <mergeCell ref="NYS5077:NZX5077"/>
    <mergeCell ref="NZY5077:OBD5077"/>
    <mergeCell ref="OBE5077:OCJ5077"/>
    <mergeCell ref="OCK5077:ODP5077"/>
    <mergeCell ref="ODQ5077:OEV5077"/>
    <mergeCell ref="OEW5077:OGB5077"/>
    <mergeCell ref="OGC5077:OHH5077"/>
    <mergeCell ref="OHI5077:OIN5077"/>
    <mergeCell ref="OIO5077:OJT5077"/>
    <mergeCell ref="OJU5077:OKZ5077"/>
    <mergeCell ref="OLA5077:OMF5077"/>
    <mergeCell ref="OMG5077:ONL5077"/>
    <mergeCell ref="LKG5077:LLL5077"/>
    <mergeCell ref="LLM5077:LMR5077"/>
    <mergeCell ref="LMS5077:LNX5077"/>
    <mergeCell ref="LNY5077:LPD5077"/>
    <mergeCell ref="LPE5077:LQJ5077"/>
    <mergeCell ref="LQK5077:LRP5077"/>
    <mergeCell ref="LRQ5077:LSV5077"/>
    <mergeCell ref="LSW5077:LUB5077"/>
    <mergeCell ref="LUC5077:LVH5077"/>
    <mergeCell ref="LVI5077:LWN5077"/>
    <mergeCell ref="LWO5077:LXT5077"/>
    <mergeCell ref="LXU5077:LYZ5077"/>
    <mergeCell ref="LZA5077:MAF5077"/>
    <mergeCell ref="MAG5077:MBL5077"/>
    <mergeCell ref="MBM5077:MCR5077"/>
    <mergeCell ref="MCS5077:MDX5077"/>
    <mergeCell ref="MDY5077:MFD5077"/>
    <mergeCell ref="MFE5077:MGJ5077"/>
    <mergeCell ref="MGK5077:MHP5077"/>
    <mergeCell ref="MHQ5077:MIV5077"/>
    <mergeCell ref="MIW5077:MKB5077"/>
    <mergeCell ref="MKC5077:MLH5077"/>
    <mergeCell ref="MLI5077:MMN5077"/>
    <mergeCell ref="MMO5077:MNT5077"/>
    <mergeCell ref="MNU5077:MOZ5077"/>
    <mergeCell ref="MPA5077:MQF5077"/>
    <mergeCell ref="MQG5077:MRL5077"/>
    <mergeCell ref="MRM5077:MSR5077"/>
    <mergeCell ref="MSS5077:MTX5077"/>
    <mergeCell ref="MTY5077:MVD5077"/>
    <mergeCell ref="MVE5077:MWJ5077"/>
    <mergeCell ref="MWK5077:MXP5077"/>
    <mergeCell ref="MXQ5077:MYV5077"/>
    <mergeCell ref="JVQ5077:JWV5077"/>
    <mergeCell ref="JWW5077:JYB5077"/>
    <mergeCell ref="JYC5077:JZH5077"/>
    <mergeCell ref="JZI5077:KAN5077"/>
    <mergeCell ref="KAO5077:KBT5077"/>
    <mergeCell ref="KBU5077:KCZ5077"/>
    <mergeCell ref="KDA5077:KEF5077"/>
    <mergeCell ref="KEG5077:KFL5077"/>
    <mergeCell ref="KFM5077:KGR5077"/>
    <mergeCell ref="KGS5077:KHX5077"/>
    <mergeCell ref="KHY5077:KJD5077"/>
    <mergeCell ref="KJE5077:KKJ5077"/>
    <mergeCell ref="KKK5077:KLP5077"/>
    <mergeCell ref="KLQ5077:KMV5077"/>
    <mergeCell ref="KMW5077:KOB5077"/>
    <mergeCell ref="KOC5077:KPH5077"/>
    <mergeCell ref="KPI5077:KQN5077"/>
    <mergeCell ref="KQO5077:KRT5077"/>
    <mergeCell ref="KRU5077:KSZ5077"/>
    <mergeCell ref="KTA5077:KUF5077"/>
    <mergeCell ref="KUG5077:KVL5077"/>
    <mergeCell ref="KVM5077:KWR5077"/>
    <mergeCell ref="KWS5077:KXX5077"/>
    <mergeCell ref="KXY5077:KZD5077"/>
    <mergeCell ref="KZE5077:LAJ5077"/>
    <mergeCell ref="LAK5077:LBP5077"/>
    <mergeCell ref="LBQ5077:LCV5077"/>
    <mergeCell ref="LCW5077:LEB5077"/>
    <mergeCell ref="LEC5077:LFH5077"/>
    <mergeCell ref="LFI5077:LGN5077"/>
    <mergeCell ref="LGO5077:LHT5077"/>
    <mergeCell ref="LHU5077:LIZ5077"/>
    <mergeCell ref="LJA5077:LKF5077"/>
    <mergeCell ref="IHA5077:IIF5077"/>
    <mergeCell ref="IIG5077:IJL5077"/>
    <mergeCell ref="IJM5077:IKR5077"/>
    <mergeCell ref="IKS5077:ILX5077"/>
    <mergeCell ref="ILY5077:IND5077"/>
    <mergeCell ref="INE5077:IOJ5077"/>
    <mergeCell ref="IOK5077:IPP5077"/>
    <mergeCell ref="IPQ5077:IQV5077"/>
    <mergeCell ref="IQW5077:ISB5077"/>
    <mergeCell ref="ISC5077:ITH5077"/>
    <mergeCell ref="ITI5077:IUN5077"/>
    <mergeCell ref="IUO5077:IVT5077"/>
    <mergeCell ref="IVU5077:IWZ5077"/>
    <mergeCell ref="IXA5077:IYF5077"/>
    <mergeCell ref="IYG5077:IZL5077"/>
    <mergeCell ref="IZM5077:JAR5077"/>
    <mergeCell ref="JAS5077:JBX5077"/>
    <mergeCell ref="JBY5077:JDD5077"/>
    <mergeCell ref="JDE5077:JEJ5077"/>
    <mergeCell ref="JEK5077:JFP5077"/>
    <mergeCell ref="JFQ5077:JGV5077"/>
    <mergeCell ref="JGW5077:JIB5077"/>
    <mergeCell ref="JIC5077:JJH5077"/>
    <mergeCell ref="JJI5077:JKN5077"/>
    <mergeCell ref="JKO5077:JLT5077"/>
    <mergeCell ref="JLU5077:JMZ5077"/>
    <mergeCell ref="JNA5077:JOF5077"/>
    <mergeCell ref="JOG5077:JPL5077"/>
    <mergeCell ref="JPM5077:JQR5077"/>
    <mergeCell ref="JQS5077:JRX5077"/>
    <mergeCell ref="JRY5077:JTD5077"/>
    <mergeCell ref="JTE5077:JUJ5077"/>
    <mergeCell ref="JUK5077:JVP5077"/>
    <mergeCell ref="GSK5077:GTP5077"/>
    <mergeCell ref="GTQ5077:GUV5077"/>
    <mergeCell ref="GUW5077:GWB5077"/>
    <mergeCell ref="GWC5077:GXH5077"/>
    <mergeCell ref="GXI5077:GYN5077"/>
    <mergeCell ref="GYO5077:GZT5077"/>
    <mergeCell ref="GZU5077:HAZ5077"/>
    <mergeCell ref="HBA5077:HCF5077"/>
    <mergeCell ref="HCG5077:HDL5077"/>
    <mergeCell ref="HDM5077:HER5077"/>
    <mergeCell ref="HES5077:HFX5077"/>
    <mergeCell ref="HFY5077:HHD5077"/>
    <mergeCell ref="HHE5077:HIJ5077"/>
    <mergeCell ref="HIK5077:HJP5077"/>
    <mergeCell ref="HJQ5077:HKV5077"/>
    <mergeCell ref="HKW5077:HMB5077"/>
    <mergeCell ref="HMC5077:HNH5077"/>
    <mergeCell ref="HNI5077:HON5077"/>
    <mergeCell ref="HOO5077:HPT5077"/>
    <mergeCell ref="HPU5077:HQZ5077"/>
    <mergeCell ref="HRA5077:HSF5077"/>
    <mergeCell ref="HSG5077:HTL5077"/>
    <mergeCell ref="HTM5077:HUR5077"/>
    <mergeCell ref="HUS5077:HVX5077"/>
    <mergeCell ref="HVY5077:HXD5077"/>
    <mergeCell ref="HXE5077:HYJ5077"/>
    <mergeCell ref="HYK5077:HZP5077"/>
    <mergeCell ref="HZQ5077:IAV5077"/>
    <mergeCell ref="IAW5077:ICB5077"/>
    <mergeCell ref="ICC5077:IDH5077"/>
    <mergeCell ref="IDI5077:IEN5077"/>
    <mergeCell ref="IEO5077:IFT5077"/>
    <mergeCell ref="IFU5077:IGZ5077"/>
    <mergeCell ref="FDU5077:FEZ5077"/>
    <mergeCell ref="FFA5077:FGF5077"/>
    <mergeCell ref="FGG5077:FHL5077"/>
    <mergeCell ref="FHM5077:FIR5077"/>
    <mergeCell ref="FIS5077:FJX5077"/>
    <mergeCell ref="FJY5077:FLD5077"/>
    <mergeCell ref="FLE5077:FMJ5077"/>
    <mergeCell ref="FMK5077:FNP5077"/>
    <mergeCell ref="FNQ5077:FOV5077"/>
    <mergeCell ref="FOW5077:FQB5077"/>
    <mergeCell ref="FQC5077:FRH5077"/>
    <mergeCell ref="FRI5077:FSN5077"/>
    <mergeCell ref="FSO5077:FTT5077"/>
    <mergeCell ref="FTU5077:FUZ5077"/>
    <mergeCell ref="FVA5077:FWF5077"/>
    <mergeCell ref="FWG5077:FXL5077"/>
    <mergeCell ref="FXM5077:FYR5077"/>
    <mergeCell ref="FYS5077:FZX5077"/>
    <mergeCell ref="FZY5077:GBD5077"/>
    <mergeCell ref="GBE5077:GCJ5077"/>
    <mergeCell ref="GCK5077:GDP5077"/>
    <mergeCell ref="GDQ5077:GEV5077"/>
    <mergeCell ref="GEW5077:GGB5077"/>
    <mergeCell ref="GGC5077:GHH5077"/>
    <mergeCell ref="GHI5077:GIN5077"/>
    <mergeCell ref="GIO5077:GJT5077"/>
    <mergeCell ref="GJU5077:GKZ5077"/>
    <mergeCell ref="GLA5077:GMF5077"/>
    <mergeCell ref="GMG5077:GNL5077"/>
    <mergeCell ref="GNM5077:GOR5077"/>
    <mergeCell ref="GOS5077:GPX5077"/>
    <mergeCell ref="GPY5077:GRD5077"/>
    <mergeCell ref="GRE5077:GSJ5077"/>
    <mergeCell ref="DPE5077:DQJ5077"/>
    <mergeCell ref="DQK5077:DRP5077"/>
    <mergeCell ref="DRQ5077:DSV5077"/>
    <mergeCell ref="DSW5077:DUB5077"/>
    <mergeCell ref="DUC5077:DVH5077"/>
    <mergeCell ref="DVI5077:DWN5077"/>
    <mergeCell ref="DWO5077:DXT5077"/>
    <mergeCell ref="DXU5077:DYZ5077"/>
    <mergeCell ref="DZA5077:EAF5077"/>
    <mergeCell ref="EAG5077:EBL5077"/>
    <mergeCell ref="EBM5077:ECR5077"/>
    <mergeCell ref="ECS5077:EDX5077"/>
    <mergeCell ref="EDY5077:EFD5077"/>
    <mergeCell ref="EFE5077:EGJ5077"/>
    <mergeCell ref="EGK5077:EHP5077"/>
    <mergeCell ref="EHQ5077:EIV5077"/>
    <mergeCell ref="EIW5077:EKB5077"/>
    <mergeCell ref="EKC5077:ELH5077"/>
    <mergeCell ref="ELI5077:EMN5077"/>
    <mergeCell ref="EMO5077:ENT5077"/>
    <mergeCell ref="ENU5077:EOZ5077"/>
    <mergeCell ref="EPA5077:EQF5077"/>
    <mergeCell ref="EQG5077:ERL5077"/>
    <mergeCell ref="ERM5077:ESR5077"/>
    <mergeCell ref="ESS5077:ETX5077"/>
    <mergeCell ref="ETY5077:EVD5077"/>
    <mergeCell ref="EVE5077:EWJ5077"/>
    <mergeCell ref="EWK5077:EXP5077"/>
    <mergeCell ref="EXQ5077:EYV5077"/>
    <mergeCell ref="EYW5077:FAB5077"/>
    <mergeCell ref="FAC5077:FBH5077"/>
    <mergeCell ref="FBI5077:FCN5077"/>
    <mergeCell ref="FCO5077:FDT5077"/>
    <mergeCell ref="CAO5077:CBT5077"/>
    <mergeCell ref="CBU5077:CCZ5077"/>
    <mergeCell ref="CDA5077:CEF5077"/>
    <mergeCell ref="CEG5077:CFL5077"/>
    <mergeCell ref="CFM5077:CGR5077"/>
    <mergeCell ref="CGS5077:CHX5077"/>
    <mergeCell ref="CHY5077:CJD5077"/>
    <mergeCell ref="CJE5077:CKJ5077"/>
    <mergeCell ref="CKK5077:CLP5077"/>
    <mergeCell ref="CLQ5077:CMV5077"/>
    <mergeCell ref="CMW5077:COB5077"/>
    <mergeCell ref="COC5077:CPH5077"/>
    <mergeCell ref="CPI5077:CQN5077"/>
    <mergeCell ref="CQO5077:CRT5077"/>
    <mergeCell ref="CRU5077:CSZ5077"/>
    <mergeCell ref="CTA5077:CUF5077"/>
    <mergeCell ref="CUG5077:CVL5077"/>
    <mergeCell ref="CVM5077:CWR5077"/>
    <mergeCell ref="CWS5077:CXX5077"/>
    <mergeCell ref="CXY5077:CZD5077"/>
    <mergeCell ref="CZE5077:DAJ5077"/>
    <mergeCell ref="DAK5077:DBP5077"/>
    <mergeCell ref="DBQ5077:DCV5077"/>
    <mergeCell ref="DCW5077:DEB5077"/>
    <mergeCell ref="DEC5077:DFH5077"/>
    <mergeCell ref="DFI5077:DGN5077"/>
    <mergeCell ref="DGO5077:DHT5077"/>
    <mergeCell ref="DHU5077:DIZ5077"/>
    <mergeCell ref="DJA5077:DKF5077"/>
    <mergeCell ref="DKG5077:DLL5077"/>
    <mergeCell ref="DLM5077:DMR5077"/>
    <mergeCell ref="DMS5077:DNX5077"/>
    <mergeCell ref="DNY5077:DPD5077"/>
    <mergeCell ref="ALY5077:AND5077"/>
    <mergeCell ref="ANE5077:AOJ5077"/>
    <mergeCell ref="AOK5077:APP5077"/>
    <mergeCell ref="APQ5077:AQV5077"/>
    <mergeCell ref="AQW5077:ASB5077"/>
    <mergeCell ref="ASC5077:ATH5077"/>
    <mergeCell ref="ATI5077:AUN5077"/>
    <mergeCell ref="AUO5077:AVT5077"/>
    <mergeCell ref="AVU5077:AWZ5077"/>
    <mergeCell ref="AXA5077:AYF5077"/>
    <mergeCell ref="AYG5077:AZL5077"/>
    <mergeCell ref="AZM5077:BAR5077"/>
    <mergeCell ref="BAS5077:BBX5077"/>
    <mergeCell ref="BBY5077:BDD5077"/>
    <mergeCell ref="BDE5077:BEJ5077"/>
    <mergeCell ref="BEK5077:BFP5077"/>
    <mergeCell ref="BFQ5077:BGV5077"/>
    <mergeCell ref="BGW5077:BIB5077"/>
    <mergeCell ref="BIC5077:BJH5077"/>
    <mergeCell ref="BJI5077:BKN5077"/>
    <mergeCell ref="BKO5077:BLT5077"/>
    <mergeCell ref="BLU5077:BMZ5077"/>
    <mergeCell ref="BNA5077:BOF5077"/>
    <mergeCell ref="BOG5077:BPL5077"/>
    <mergeCell ref="BPM5077:BQR5077"/>
    <mergeCell ref="BQS5077:BRX5077"/>
    <mergeCell ref="BRY5077:BTD5077"/>
    <mergeCell ref="BTE5077:BUJ5077"/>
    <mergeCell ref="BUK5077:BVP5077"/>
    <mergeCell ref="BVQ5077:BWV5077"/>
    <mergeCell ref="BWW5077:BYB5077"/>
    <mergeCell ref="BYC5077:BZH5077"/>
    <mergeCell ref="BZI5077:CAN5077"/>
    <mergeCell ref="A5076:A5077"/>
    <mergeCell ref="J5076:J5077"/>
    <mergeCell ref="K5076:K5077"/>
    <mergeCell ref="BA5077:CF5077"/>
    <mergeCell ref="CG5077:DL5077"/>
    <mergeCell ref="DM5077:ER5077"/>
    <mergeCell ref="ES5077:FX5077"/>
    <mergeCell ref="FY5077:HD5077"/>
    <mergeCell ref="HE5077:IJ5077"/>
    <mergeCell ref="IK5077:JP5077"/>
    <mergeCell ref="JQ5077:KV5077"/>
    <mergeCell ref="KW5077:MB5077"/>
    <mergeCell ref="MC5077:NH5077"/>
    <mergeCell ref="NI5077:ON5077"/>
    <mergeCell ref="OO5077:PT5077"/>
    <mergeCell ref="PU5077:QZ5077"/>
    <mergeCell ref="RA5077:SF5077"/>
    <mergeCell ref="SG5077:TL5077"/>
    <mergeCell ref="TM5077:UR5077"/>
    <mergeCell ref="US5077:VX5077"/>
    <mergeCell ref="VY5077:XD5077"/>
    <mergeCell ref="XE5077:YJ5077"/>
    <mergeCell ref="YK5077:ZP5077"/>
    <mergeCell ref="ZQ5077:AAV5077"/>
    <mergeCell ref="AAW5077:ACB5077"/>
    <mergeCell ref="ACC5077:ADH5077"/>
    <mergeCell ref="ADI5077:AEN5077"/>
    <mergeCell ref="AEO5077:AFT5077"/>
    <mergeCell ref="AFU5077:AGZ5077"/>
    <mergeCell ref="AHA5077:AIF5077"/>
    <mergeCell ref="AIG5077:AJL5077"/>
    <mergeCell ref="AJM5077:AKR5077"/>
    <mergeCell ref="AKS5077:ALX5077"/>
    <mergeCell ref="A1849:A1850"/>
    <mergeCell ref="K1849:K1850"/>
    <mergeCell ref="V2087:W2087"/>
    <mergeCell ref="V2565:W2565"/>
    <mergeCell ref="V2566:W2566"/>
    <mergeCell ref="V2114:W2114"/>
    <mergeCell ref="A4528:A4529"/>
    <mergeCell ref="K4528:K4529"/>
    <mergeCell ref="Z4538:AA4538"/>
    <mergeCell ref="V2326:W2326"/>
    <mergeCell ref="V2327:W2327"/>
    <mergeCell ref="Z2327:AA2327"/>
    <mergeCell ref="A2328:A2329"/>
    <mergeCell ref="K2328:K2329"/>
    <mergeCell ref="Z2338:AA2338"/>
    <mergeCell ref="V3971:W3971"/>
    <mergeCell ref="Z3971:AA3971"/>
    <mergeCell ref="A3972:A3973"/>
    <mergeCell ref="K3972:K3973"/>
    <mergeCell ref="V3970:W3970"/>
    <mergeCell ref="Z2581:AA2581"/>
    <mergeCell ref="V2592:W2592"/>
    <mergeCell ref="Z2592:AA2592"/>
    <mergeCell ref="Z2566:AA2566"/>
    <mergeCell ref="A2567:A2568"/>
    <mergeCell ref="K2567:K2568"/>
    <mergeCell ref="K3421:K3422"/>
    <mergeCell ref="J3421:J3422"/>
    <mergeCell ref="J3972:J3973"/>
    <mergeCell ref="J4528:J4529"/>
    <mergeCell ref="Z3121:AA3121"/>
    <mergeCell ref="Z3132:AA3132"/>
    <mergeCell ref="V2834:W2834"/>
    <mergeCell ref="V2835:W2835"/>
    <mergeCell ref="Z2835:AA2835"/>
    <mergeCell ref="A2836:A2837"/>
    <mergeCell ref="J2836:J2837"/>
    <mergeCell ref="K2836:K2837"/>
    <mergeCell ref="Z2846:AA2846"/>
    <mergeCell ref="Z2850:AA2850"/>
    <mergeCell ref="V2861:W2861"/>
    <mergeCell ref="Z2861:AA2861"/>
    <mergeCell ref="Z2342:AA2342"/>
    <mergeCell ref="V2353:W2353"/>
    <mergeCell ref="Z2353:AA2353"/>
    <mergeCell ref="Z2577:AA2577"/>
    <mergeCell ref="V3105:W3105"/>
    <mergeCell ref="V3106:W3106"/>
    <mergeCell ref="Z3106:AA3106"/>
    <mergeCell ref="A3107:A3108"/>
    <mergeCell ref="K3107:K3108"/>
    <mergeCell ref="Z3117:AA3117"/>
    <mergeCell ref="V48:W48"/>
    <mergeCell ref="Z48:AA48"/>
    <mergeCell ref="V313:W313"/>
    <mergeCell ref="Z313:AA313"/>
    <mergeCell ref="V566:W566"/>
    <mergeCell ref="V567:W567"/>
    <mergeCell ref="Z567:AA567"/>
    <mergeCell ref="V578:W578"/>
    <mergeCell ref="Z578:AA578"/>
    <mergeCell ref="V830:W830"/>
    <mergeCell ref="V831:W831"/>
    <mergeCell ref="Z831:AA831"/>
    <mergeCell ref="V842:W842"/>
    <mergeCell ref="Z842:AA842"/>
    <mergeCell ref="V1094:W1094"/>
    <mergeCell ref="V1095:W1095"/>
    <mergeCell ref="Z1095:AA1095"/>
    <mergeCell ref="V1106:W1106"/>
    <mergeCell ref="Z1106:AA1106"/>
    <mergeCell ref="Z533:AA533"/>
    <mergeCell ref="A534:A535"/>
    <mergeCell ref="K534:K535"/>
    <mergeCell ref="Z544:AA544"/>
    <mergeCell ref="V796:W796"/>
    <mergeCell ref="V797:W797"/>
    <mergeCell ref="Z797:AA797"/>
    <mergeCell ref="A798:A799"/>
    <mergeCell ref="K798:K799"/>
    <mergeCell ref="V301:W301"/>
    <mergeCell ref="V302:W302"/>
    <mergeCell ref="Z302:AA302"/>
    <mergeCell ref="Z282:AA282"/>
    <mergeCell ref="Z293:AA293"/>
    <mergeCell ref="Z547:AA547"/>
    <mergeCell ref="Z558:AA558"/>
    <mergeCell ref="Z812:AA812"/>
    <mergeCell ref="Z823:AA823"/>
    <mergeCell ref="Z1076:AA1076"/>
    <mergeCell ref="Z1087:AA1087"/>
    <mergeCell ref="J269:J270"/>
    <mergeCell ref="J534:J535"/>
    <mergeCell ref="J798:J799"/>
    <mergeCell ref="XEH4764:XEQ4764"/>
    <mergeCell ref="XDM4764:XDM4765"/>
    <mergeCell ref="XDO4764:XDT4764"/>
    <mergeCell ref="XDU4764:XDU4765"/>
    <mergeCell ref="XDV4764:XDV4765"/>
    <mergeCell ref="XDW4764:XEF4764"/>
    <mergeCell ref="XCI4764:XCN4764"/>
    <mergeCell ref="XCO4764:XCO4765"/>
    <mergeCell ref="XCP4764:XCP4765"/>
    <mergeCell ref="XCQ4764:XCZ4764"/>
    <mergeCell ref="XDB4764:XDK4764"/>
    <mergeCell ref="XBI4764:XBI4765"/>
    <mergeCell ref="XBJ4764:XBJ4765"/>
    <mergeCell ref="XBK4764:XBT4764"/>
    <mergeCell ref="XBV4764:XCE4764"/>
    <mergeCell ref="XCG4764:XCG4765"/>
    <mergeCell ref="XAD4764:XAD4765"/>
    <mergeCell ref="XAE4764:XAN4764"/>
    <mergeCell ref="XAP4764:XAY4764"/>
    <mergeCell ref="XBA4764:XBA4765"/>
    <mergeCell ref="XBC4764:XBH4764"/>
    <mergeCell ref="WYY4764:WZH4764"/>
    <mergeCell ref="WZJ4764:WZS4764"/>
    <mergeCell ref="WZU4764:WZU4765"/>
    <mergeCell ref="WZW4764:XAB4764"/>
    <mergeCell ref="XAC4764:XAC4765"/>
    <mergeCell ref="WYD4764:WYM4764"/>
    <mergeCell ref="WYO4764:WYO4765"/>
    <mergeCell ref="WYQ4764:WYV4764"/>
    <mergeCell ref="WYW4764:WYW4765"/>
    <mergeCell ref="WYX4764:WYX4765"/>
    <mergeCell ref="WXI4764:WXI4765"/>
    <mergeCell ref="WXK4764:WXP4764"/>
    <mergeCell ref="WXQ4764:WXQ4765"/>
    <mergeCell ref="WXR4764:WXR4765"/>
    <mergeCell ref="WXS4764:WYB4764"/>
    <mergeCell ref="WWE4764:WWJ4764"/>
    <mergeCell ref="WWK4764:WWK4765"/>
    <mergeCell ref="WWL4764:WWL4765"/>
    <mergeCell ref="Z3986:AA3986"/>
    <mergeCell ref="V3997:W3997"/>
    <mergeCell ref="Z3997:AA3997"/>
    <mergeCell ref="Z4542:AA4542"/>
    <mergeCell ref="V4553:W4553"/>
    <mergeCell ref="Z4553:AA4553"/>
    <mergeCell ref="Z3982:AA3982"/>
    <mergeCell ref="V4526:W4526"/>
    <mergeCell ref="V4527:W4527"/>
    <mergeCell ref="WWM4764:WWV4764"/>
    <mergeCell ref="WWX4764:WXG4764"/>
    <mergeCell ref="WVE4764:WVE4765"/>
    <mergeCell ref="Z4527:AA4527"/>
    <mergeCell ref="WVF4764:WVF4765"/>
    <mergeCell ref="WVG4764:WVP4764"/>
    <mergeCell ref="WVR4764:WWA4764"/>
    <mergeCell ref="WWC4764:WWC4765"/>
    <mergeCell ref="WTZ4764:WTZ4765"/>
    <mergeCell ref="WUA4764:WUJ4764"/>
    <mergeCell ref="WUL4764:WUU4764"/>
    <mergeCell ref="WUW4764:WUW4765"/>
    <mergeCell ref="WUY4764:WVD4764"/>
    <mergeCell ref="WSU4764:WTD4764"/>
    <mergeCell ref="WTF4764:WTO4764"/>
    <mergeCell ref="WTQ4764:WTQ4765"/>
    <mergeCell ref="WTS4764:WTX4764"/>
    <mergeCell ref="WTY4764:WTY4765"/>
    <mergeCell ref="WRZ4764:WSI4764"/>
    <mergeCell ref="WSK4764:WSK4765"/>
    <mergeCell ref="WSM4764:WSR4764"/>
    <mergeCell ref="WSS4764:WSS4765"/>
    <mergeCell ref="WST4764:WST4765"/>
    <mergeCell ref="WRE4764:WRE4765"/>
    <mergeCell ref="WRG4764:WRL4764"/>
    <mergeCell ref="WRM4764:WRM4765"/>
    <mergeCell ref="WRN4764:WRN4765"/>
    <mergeCell ref="WRO4764:WRX4764"/>
    <mergeCell ref="WQA4764:WQF4764"/>
    <mergeCell ref="WQG4764:WQG4765"/>
    <mergeCell ref="WQH4764:WQH4765"/>
    <mergeCell ref="WQI4764:WQR4764"/>
    <mergeCell ref="WQT4764:WRC4764"/>
    <mergeCell ref="WPA4764:WPA4765"/>
    <mergeCell ref="WPB4764:WPB4765"/>
    <mergeCell ref="WPC4764:WPL4764"/>
    <mergeCell ref="WPN4764:WPW4764"/>
    <mergeCell ref="WPY4764:WPY4765"/>
    <mergeCell ref="WNV4764:WNV4765"/>
    <mergeCell ref="WNW4764:WOF4764"/>
    <mergeCell ref="WOH4764:WOQ4764"/>
    <mergeCell ref="WOS4764:WOS4765"/>
    <mergeCell ref="WOU4764:WOZ4764"/>
    <mergeCell ref="WMQ4764:WMZ4764"/>
    <mergeCell ref="WNB4764:WNK4764"/>
    <mergeCell ref="WNM4764:WNM4765"/>
    <mergeCell ref="WNO4764:WNT4764"/>
    <mergeCell ref="WNU4764:WNU4765"/>
    <mergeCell ref="WLV4764:WME4764"/>
    <mergeCell ref="WMG4764:WMG4765"/>
    <mergeCell ref="WMI4764:WMN4764"/>
    <mergeCell ref="WMO4764:WMO4765"/>
    <mergeCell ref="WMP4764:WMP4765"/>
    <mergeCell ref="WLA4764:WLA4765"/>
    <mergeCell ref="WLC4764:WLH4764"/>
    <mergeCell ref="WLI4764:WLI4765"/>
    <mergeCell ref="WLJ4764:WLJ4765"/>
    <mergeCell ref="WLK4764:WLT4764"/>
    <mergeCell ref="WJW4764:WKB4764"/>
    <mergeCell ref="WKC4764:WKC4765"/>
    <mergeCell ref="WKD4764:WKD4765"/>
    <mergeCell ref="WKE4764:WKN4764"/>
    <mergeCell ref="WKP4764:WKY4764"/>
    <mergeCell ref="WIW4764:WIW4765"/>
    <mergeCell ref="WIX4764:WIX4765"/>
    <mergeCell ref="WIY4764:WJH4764"/>
    <mergeCell ref="WJJ4764:WJS4764"/>
    <mergeCell ref="WJU4764:WJU4765"/>
    <mergeCell ref="WHR4764:WHR4765"/>
    <mergeCell ref="WHS4764:WIB4764"/>
    <mergeCell ref="WID4764:WIM4764"/>
    <mergeCell ref="WIO4764:WIO4765"/>
    <mergeCell ref="WIQ4764:WIV4764"/>
    <mergeCell ref="WGM4764:WGV4764"/>
    <mergeCell ref="WGX4764:WHG4764"/>
    <mergeCell ref="WHI4764:WHI4765"/>
    <mergeCell ref="WHK4764:WHP4764"/>
    <mergeCell ref="WHQ4764:WHQ4765"/>
    <mergeCell ref="WFR4764:WGA4764"/>
    <mergeCell ref="WGC4764:WGC4765"/>
    <mergeCell ref="WGE4764:WGJ4764"/>
    <mergeCell ref="WGK4764:WGK4765"/>
    <mergeCell ref="WGL4764:WGL4765"/>
    <mergeCell ref="WEW4764:WEW4765"/>
    <mergeCell ref="WEY4764:WFD4764"/>
    <mergeCell ref="WFE4764:WFE4765"/>
    <mergeCell ref="WFF4764:WFF4765"/>
    <mergeCell ref="WFG4764:WFP4764"/>
    <mergeCell ref="WDS4764:WDX4764"/>
    <mergeCell ref="WDY4764:WDY4765"/>
    <mergeCell ref="WDZ4764:WDZ4765"/>
    <mergeCell ref="WEA4764:WEJ4764"/>
    <mergeCell ref="WEL4764:WEU4764"/>
    <mergeCell ref="WCS4764:WCS4765"/>
    <mergeCell ref="WCT4764:WCT4765"/>
    <mergeCell ref="WCU4764:WDD4764"/>
    <mergeCell ref="WDF4764:WDO4764"/>
    <mergeCell ref="WDQ4764:WDQ4765"/>
    <mergeCell ref="WBN4764:WBN4765"/>
    <mergeCell ref="WBO4764:WBX4764"/>
    <mergeCell ref="WBZ4764:WCI4764"/>
    <mergeCell ref="WCK4764:WCK4765"/>
    <mergeCell ref="WCM4764:WCR4764"/>
    <mergeCell ref="WAI4764:WAR4764"/>
    <mergeCell ref="WAT4764:WBC4764"/>
    <mergeCell ref="WBE4764:WBE4765"/>
    <mergeCell ref="WBG4764:WBL4764"/>
    <mergeCell ref="WBM4764:WBM4765"/>
    <mergeCell ref="VZN4764:VZW4764"/>
    <mergeCell ref="VZY4764:VZY4765"/>
    <mergeCell ref="WAA4764:WAF4764"/>
    <mergeCell ref="WAG4764:WAG4765"/>
    <mergeCell ref="WAH4764:WAH4765"/>
    <mergeCell ref="VYS4764:VYS4765"/>
    <mergeCell ref="VYU4764:VYZ4764"/>
    <mergeCell ref="VZA4764:VZA4765"/>
    <mergeCell ref="VZB4764:VZB4765"/>
    <mergeCell ref="VZC4764:VZL4764"/>
    <mergeCell ref="VXO4764:VXT4764"/>
    <mergeCell ref="VXU4764:VXU4765"/>
    <mergeCell ref="VXV4764:VXV4765"/>
    <mergeCell ref="VXW4764:VYF4764"/>
    <mergeCell ref="VYH4764:VYQ4764"/>
    <mergeCell ref="VWO4764:VWO4765"/>
    <mergeCell ref="VWP4764:VWP4765"/>
    <mergeCell ref="VWQ4764:VWZ4764"/>
    <mergeCell ref="VXB4764:VXK4764"/>
    <mergeCell ref="VXM4764:VXM4765"/>
    <mergeCell ref="VVJ4764:VVJ4765"/>
    <mergeCell ref="VVK4764:VVT4764"/>
    <mergeCell ref="VVV4764:VWE4764"/>
    <mergeCell ref="VWG4764:VWG4765"/>
    <mergeCell ref="VWI4764:VWN4764"/>
    <mergeCell ref="VUE4764:VUN4764"/>
    <mergeCell ref="VUP4764:VUY4764"/>
    <mergeCell ref="VVA4764:VVA4765"/>
    <mergeCell ref="VVC4764:VVH4764"/>
    <mergeCell ref="VVI4764:VVI4765"/>
    <mergeCell ref="VTJ4764:VTS4764"/>
    <mergeCell ref="VTU4764:VTU4765"/>
    <mergeCell ref="VTW4764:VUB4764"/>
    <mergeCell ref="VUC4764:VUC4765"/>
    <mergeCell ref="VUD4764:VUD4765"/>
    <mergeCell ref="VSO4764:VSO4765"/>
    <mergeCell ref="VSQ4764:VSV4764"/>
    <mergeCell ref="VSW4764:VSW4765"/>
    <mergeCell ref="VSX4764:VSX4765"/>
    <mergeCell ref="VSY4764:VTH4764"/>
    <mergeCell ref="VRK4764:VRP4764"/>
    <mergeCell ref="VRQ4764:VRQ4765"/>
    <mergeCell ref="VRR4764:VRR4765"/>
    <mergeCell ref="VRS4764:VSB4764"/>
    <mergeCell ref="VSD4764:VSM4764"/>
    <mergeCell ref="VQK4764:VQK4765"/>
    <mergeCell ref="VQL4764:VQL4765"/>
    <mergeCell ref="VQM4764:VQV4764"/>
    <mergeCell ref="VQX4764:VRG4764"/>
    <mergeCell ref="VRI4764:VRI4765"/>
    <mergeCell ref="VPF4764:VPF4765"/>
    <mergeCell ref="VPG4764:VPP4764"/>
    <mergeCell ref="VPR4764:VQA4764"/>
    <mergeCell ref="VQC4764:VQC4765"/>
    <mergeCell ref="VQE4764:VQJ4764"/>
    <mergeCell ref="VOA4764:VOJ4764"/>
    <mergeCell ref="VOL4764:VOU4764"/>
    <mergeCell ref="VOW4764:VOW4765"/>
    <mergeCell ref="VOY4764:VPD4764"/>
    <mergeCell ref="VPE4764:VPE4765"/>
    <mergeCell ref="VNF4764:VNO4764"/>
    <mergeCell ref="VNQ4764:VNQ4765"/>
    <mergeCell ref="VNS4764:VNX4764"/>
    <mergeCell ref="VNY4764:VNY4765"/>
    <mergeCell ref="VNZ4764:VNZ4765"/>
    <mergeCell ref="VMK4764:VMK4765"/>
    <mergeCell ref="VMM4764:VMR4764"/>
    <mergeCell ref="VMS4764:VMS4765"/>
    <mergeCell ref="VMT4764:VMT4765"/>
    <mergeCell ref="VMU4764:VND4764"/>
    <mergeCell ref="VLG4764:VLL4764"/>
    <mergeCell ref="VLM4764:VLM4765"/>
    <mergeCell ref="VLN4764:VLN4765"/>
    <mergeCell ref="VLO4764:VLX4764"/>
    <mergeCell ref="VLZ4764:VMI4764"/>
    <mergeCell ref="VKG4764:VKG4765"/>
    <mergeCell ref="VKH4764:VKH4765"/>
    <mergeCell ref="VKI4764:VKR4764"/>
    <mergeCell ref="VKT4764:VLC4764"/>
    <mergeCell ref="VLE4764:VLE4765"/>
    <mergeCell ref="VJB4764:VJB4765"/>
    <mergeCell ref="VJC4764:VJL4764"/>
    <mergeCell ref="VJN4764:VJW4764"/>
    <mergeCell ref="VJY4764:VJY4765"/>
    <mergeCell ref="VKA4764:VKF4764"/>
    <mergeCell ref="VHW4764:VIF4764"/>
    <mergeCell ref="VIH4764:VIQ4764"/>
    <mergeCell ref="VIS4764:VIS4765"/>
    <mergeCell ref="VIU4764:VIZ4764"/>
    <mergeCell ref="VJA4764:VJA4765"/>
    <mergeCell ref="VHB4764:VHK4764"/>
    <mergeCell ref="VHM4764:VHM4765"/>
    <mergeCell ref="VHO4764:VHT4764"/>
    <mergeCell ref="VHU4764:VHU4765"/>
    <mergeCell ref="VHV4764:VHV4765"/>
    <mergeCell ref="VGG4764:VGG4765"/>
    <mergeCell ref="VGI4764:VGN4764"/>
    <mergeCell ref="VGO4764:VGO4765"/>
    <mergeCell ref="VGP4764:VGP4765"/>
    <mergeCell ref="VGQ4764:VGZ4764"/>
    <mergeCell ref="VFC4764:VFH4764"/>
    <mergeCell ref="VFI4764:VFI4765"/>
    <mergeCell ref="VFJ4764:VFJ4765"/>
    <mergeCell ref="VFK4764:VFT4764"/>
    <mergeCell ref="VFV4764:VGE4764"/>
    <mergeCell ref="VEC4764:VEC4765"/>
    <mergeCell ref="VED4764:VED4765"/>
    <mergeCell ref="VEE4764:VEN4764"/>
    <mergeCell ref="VEP4764:VEY4764"/>
    <mergeCell ref="VFA4764:VFA4765"/>
    <mergeCell ref="VCX4764:VCX4765"/>
    <mergeCell ref="VCY4764:VDH4764"/>
    <mergeCell ref="VDJ4764:VDS4764"/>
    <mergeCell ref="VDU4764:VDU4765"/>
    <mergeCell ref="VDW4764:VEB4764"/>
    <mergeCell ref="VBS4764:VCB4764"/>
    <mergeCell ref="VCD4764:VCM4764"/>
    <mergeCell ref="VCO4764:VCO4765"/>
    <mergeCell ref="VCQ4764:VCV4764"/>
    <mergeCell ref="VCW4764:VCW4765"/>
    <mergeCell ref="VAX4764:VBG4764"/>
    <mergeCell ref="VBI4764:VBI4765"/>
    <mergeCell ref="VBK4764:VBP4764"/>
    <mergeCell ref="VBQ4764:VBQ4765"/>
    <mergeCell ref="VBR4764:VBR4765"/>
    <mergeCell ref="VAC4764:VAC4765"/>
    <mergeCell ref="VAE4764:VAJ4764"/>
    <mergeCell ref="VAK4764:VAK4765"/>
    <mergeCell ref="VAL4764:VAL4765"/>
    <mergeCell ref="VAM4764:VAV4764"/>
    <mergeCell ref="UYY4764:UZD4764"/>
    <mergeCell ref="UZE4764:UZE4765"/>
    <mergeCell ref="UZF4764:UZF4765"/>
    <mergeCell ref="UZG4764:UZP4764"/>
    <mergeCell ref="UZR4764:VAA4764"/>
    <mergeCell ref="UXY4764:UXY4765"/>
    <mergeCell ref="UXZ4764:UXZ4765"/>
    <mergeCell ref="UYA4764:UYJ4764"/>
    <mergeCell ref="UYL4764:UYU4764"/>
    <mergeCell ref="UYW4764:UYW4765"/>
    <mergeCell ref="UWT4764:UWT4765"/>
    <mergeCell ref="UWU4764:UXD4764"/>
    <mergeCell ref="UXF4764:UXO4764"/>
    <mergeCell ref="UXQ4764:UXQ4765"/>
    <mergeCell ref="UXS4764:UXX4764"/>
    <mergeCell ref="UVO4764:UVX4764"/>
    <mergeCell ref="UVZ4764:UWI4764"/>
    <mergeCell ref="UWK4764:UWK4765"/>
    <mergeCell ref="UWM4764:UWR4764"/>
    <mergeCell ref="UWS4764:UWS4765"/>
    <mergeCell ref="UUT4764:UVC4764"/>
    <mergeCell ref="UVE4764:UVE4765"/>
    <mergeCell ref="UVG4764:UVL4764"/>
    <mergeCell ref="UVM4764:UVM4765"/>
    <mergeCell ref="UVN4764:UVN4765"/>
    <mergeCell ref="UTY4764:UTY4765"/>
    <mergeCell ref="UUA4764:UUF4764"/>
    <mergeCell ref="UUG4764:UUG4765"/>
    <mergeCell ref="UUH4764:UUH4765"/>
    <mergeCell ref="UUI4764:UUR4764"/>
    <mergeCell ref="USU4764:USZ4764"/>
    <mergeCell ref="UTA4764:UTA4765"/>
    <mergeCell ref="UTB4764:UTB4765"/>
    <mergeCell ref="UTC4764:UTL4764"/>
    <mergeCell ref="UTN4764:UTW4764"/>
    <mergeCell ref="URU4764:URU4765"/>
    <mergeCell ref="URV4764:URV4765"/>
    <mergeCell ref="URW4764:USF4764"/>
    <mergeCell ref="USH4764:USQ4764"/>
    <mergeCell ref="USS4764:USS4765"/>
    <mergeCell ref="UQP4764:UQP4765"/>
    <mergeCell ref="UQQ4764:UQZ4764"/>
    <mergeCell ref="URB4764:URK4764"/>
    <mergeCell ref="URM4764:URM4765"/>
    <mergeCell ref="URO4764:URT4764"/>
    <mergeCell ref="UPK4764:UPT4764"/>
    <mergeCell ref="UPV4764:UQE4764"/>
    <mergeCell ref="UQG4764:UQG4765"/>
    <mergeCell ref="UQI4764:UQN4764"/>
    <mergeCell ref="UQO4764:UQO4765"/>
    <mergeCell ref="UOP4764:UOY4764"/>
    <mergeCell ref="UPA4764:UPA4765"/>
    <mergeCell ref="UPC4764:UPH4764"/>
    <mergeCell ref="UPI4764:UPI4765"/>
    <mergeCell ref="UPJ4764:UPJ4765"/>
    <mergeCell ref="UNU4764:UNU4765"/>
    <mergeCell ref="UNW4764:UOB4764"/>
    <mergeCell ref="UOC4764:UOC4765"/>
    <mergeCell ref="UOD4764:UOD4765"/>
    <mergeCell ref="UOE4764:UON4764"/>
    <mergeCell ref="UMQ4764:UMV4764"/>
    <mergeCell ref="UMW4764:UMW4765"/>
    <mergeCell ref="UMX4764:UMX4765"/>
    <mergeCell ref="UMY4764:UNH4764"/>
    <mergeCell ref="UNJ4764:UNS4764"/>
    <mergeCell ref="ULQ4764:ULQ4765"/>
    <mergeCell ref="ULR4764:ULR4765"/>
    <mergeCell ref="ULS4764:UMB4764"/>
    <mergeCell ref="UMD4764:UMM4764"/>
    <mergeCell ref="UMO4764:UMO4765"/>
    <mergeCell ref="UKL4764:UKL4765"/>
    <mergeCell ref="UKM4764:UKV4764"/>
    <mergeCell ref="UKX4764:ULG4764"/>
    <mergeCell ref="ULI4764:ULI4765"/>
    <mergeCell ref="ULK4764:ULP4764"/>
    <mergeCell ref="UJG4764:UJP4764"/>
    <mergeCell ref="UJR4764:UKA4764"/>
    <mergeCell ref="UKC4764:UKC4765"/>
    <mergeCell ref="UKE4764:UKJ4764"/>
    <mergeCell ref="UKK4764:UKK4765"/>
    <mergeCell ref="UIL4764:UIU4764"/>
    <mergeCell ref="UIW4764:UIW4765"/>
    <mergeCell ref="UIY4764:UJD4764"/>
    <mergeCell ref="UJE4764:UJE4765"/>
    <mergeCell ref="UJF4764:UJF4765"/>
    <mergeCell ref="UHQ4764:UHQ4765"/>
    <mergeCell ref="UHS4764:UHX4764"/>
    <mergeCell ref="UHY4764:UHY4765"/>
    <mergeCell ref="UHZ4764:UHZ4765"/>
    <mergeCell ref="UIA4764:UIJ4764"/>
    <mergeCell ref="UGM4764:UGR4764"/>
    <mergeCell ref="UGS4764:UGS4765"/>
    <mergeCell ref="UGT4764:UGT4765"/>
    <mergeCell ref="UGU4764:UHD4764"/>
    <mergeCell ref="UHF4764:UHO4764"/>
    <mergeCell ref="UFM4764:UFM4765"/>
    <mergeCell ref="UFN4764:UFN4765"/>
    <mergeCell ref="UFO4764:UFX4764"/>
    <mergeCell ref="UFZ4764:UGI4764"/>
    <mergeCell ref="UGK4764:UGK4765"/>
    <mergeCell ref="UEH4764:UEH4765"/>
    <mergeCell ref="UEI4764:UER4764"/>
    <mergeCell ref="UET4764:UFC4764"/>
    <mergeCell ref="UFE4764:UFE4765"/>
    <mergeCell ref="UFG4764:UFL4764"/>
    <mergeCell ref="UDC4764:UDL4764"/>
    <mergeCell ref="UDN4764:UDW4764"/>
    <mergeCell ref="UDY4764:UDY4765"/>
    <mergeCell ref="UEA4764:UEF4764"/>
    <mergeCell ref="UEG4764:UEG4765"/>
    <mergeCell ref="UCH4764:UCQ4764"/>
    <mergeCell ref="UCS4764:UCS4765"/>
    <mergeCell ref="UCU4764:UCZ4764"/>
    <mergeCell ref="UDA4764:UDA4765"/>
    <mergeCell ref="UDB4764:UDB4765"/>
    <mergeCell ref="UBM4764:UBM4765"/>
    <mergeCell ref="UBO4764:UBT4764"/>
    <mergeCell ref="UBU4764:UBU4765"/>
    <mergeCell ref="UBV4764:UBV4765"/>
    <mergeCell ref="UBW4764:UCF4764"/>
    <mergeCell ref="UAI4764:UAN4764"/>
    <mergeCell ref="UAO4764:UAO4765"/>
    <mergeCell ref="UAP4764:UAP4765"/>
    <mergeCell ref="UAQ4764:UAZ4764"/>
    <mergeCell ref="UBB4764:UBK4764"/>
    <mergeCell ref="TZI4764:TZI4765"/>
    <mergeCell ref="TZJ4764:TZJ4765"/>
    <mergeCell ref="TZK4764:TZT4764"/>
    <mergeCell ref="TZV4764:UAE4764"/>
    <mergeCell ref="UAG4764:UAG4765"/>
    <mergeCell ref="TYD4764:TYD4765"/>
    <mergeCell ref="TYE4764:TYN4764"/>
    <mergeCell ref="TYP4764:TYY4764"/>
    <mergeCell ref="TZA4764:TZA4765"/>
    <mergeCell ref="TZC4764:TZH4764"/>
    <mergeCell ref="TWY4764:TXH4764"/>
    <mergeCell ref="TXJ4764:TXS4764"/>
    <mergeCell ref="TXU4764:TXU4765"/>
    <mergeCell ref="TXW4764:TYB4764"/>
    <mergeCell ref="TYC4764:TYC4765"/>
    <mergeCell ref="TWD4764:TWM4764"/>
    <mergeCell ref="TWO4764:TWO4765"/>
    <mergeCell ref="TWQ4764:TWV4764"/>
    <mergeCell ref="TWW4764:TWW4765"/>
    <mergeCell ref="TWX4764:TWX4765"/>
    <mergeCell ref="TVI4764:TVI4765"/>
    <mergeCell ref="TVK4764:TVP4764"/>
    <mergeCell ref="TVQ4764:TVQ4765"/>
    <mergeCell ref="TVR4764:TVR4765"/>
    <mergeCell ref="TVS4764:TWB4764"/>
    <mergeCell ref="TUE4764:TUJ4764"/>
    <mergeCell ref="TUK4764:TUK4765"/>
    <mergeCell ref="TUL4764:TUL4765"/>
    <mergeCell ref="TUM4764:TUV4764"/>
    <mergeCell ref="TUX4764:TVG4764"/>
    <mergeCell ref="TTE4764:TTE4765"/>
    <mergeCell ref="TTF4764:TTF4765"/>
    <mergeCell ref="TTG4764:TTP4764"/>
    <mergeCell ref="TTR4764:TUA4764"/>
    <mergeCell ref="TUC4764:TUC4765"/>
    <mergeCell ref="TRZ4764:TRZ4765"/>
    <mergeCell ref="TSA4764:TSJ4764"/>
    <mergeCell ref="TSL4764:TSU4764"/>
    <mergeCell ref="TSW4764:TSW4765"/>
    <mergeCell ref="TSY4764:TTD4764"/>
    <mergeCell ref="TQU4764:TRD4764"/>
    <mergeCell ref="TRF4764:TRO4764"/>
    <mergeCell ref="TRQ4764:TRQ4765"/>
    <mergeCell ref="TRS4764:TRX4764"/>
    <mergeCell ref="TRY4764:TRY4765"/>
    <mergeCell ref="TPZ4764:TQI4764"/>
    <mergeCell ref="TQK4764:TQK4765"/>
    <mergeCell ref="TQM4764:TQR4764"/>
    <mergeCell ref="TQS4764:TQS4765"/>
    <mergeCell ref="TQT4764:TQT4765"/>
    <mergeCell ref="TPE4764:TPE4765"/>
    <mergeCell ref="TPG4764:TPL4764"/>
    <mergeCell ref="TPM4764:TPM4765"/>
    <mergeCell ref="TPN4764:TPN4765"/>
    <mergeCell ref="TPO4764:TPX4764"/>
    <mergeCell ref="TOA4764:TOF4764"/>
    <mergeCell ref="TOG4764:TOG4765"/>
    <mergeCell ref="TOH4764:TOH4765"/>
    <mergeCell ref="TOI4764:TOR4764"/>
    <mergeCell ref="TOT4764:TPC4764"/>
    <mergeCell ref="TNA4764:TNA4765"/>
    <mergeCell ref="TNB4764:TNB4765"/>
    <mergeCell ref="TNC4764:TNL4764"/>
    <mergeCell ref="TNN4764:TNW4764"/>
    <mergeCell ref="TNY4764:TNY4765"/>
    <mergeCell ref="TLV4764:TLV4765"/>
    <mergeCell ref="TLW4764:TMF4764"/>
    <mergeCell ref="TMH4764:TMQ4764"/>
    <mergeCell ref="TMS4764:TMS4765"/>
    <mergeCell ref="TMU4764:TMZ4764"/>
    <mergeCell ref="TKQ4764:TKZ4764"/>
    <mergeCell ref="TLB4764:TLK4764"/>
    <mergeCell ref="TLM4764:TLM4765"/>
    <mergeCell ref="TLO4764:TLT4764"/>
    <mergeCell ref="TLU4764:TLU4765"/>
    <mergeCell ref="TJV4764:TKE4764"/>
    <mergeCell ref="TKG4764:TKG4765"/>
    <mergeCell ref="TKI4764:TKN4764"/>
    <mergeCell ref="TKO4764:TKO4765"/>
    <mergeCell ref="TKP4764:TKP4765"/>
    <mergeCell ref="TJA4764:TJA4765"/>
    <mergeCell ref="TJC4764:TJH4764"/>
    <mergeCell ref="TJI4764:TJI4765"/>
    <mergeCell ref="TJJ4764:TJJ4765"/>
    <mergeCell ref="TJK4764:TJT4764"/>
    <mergeCell ref="THW4764:TIB4764"/>
    <mergeCell ref="TIC4764:TIC4765"/>
    <mergeCell ref="TID4764:TID4765"/>
    <mergeCell ref="TIE4764:TIN4764"/>
    <mergeCell ref="TIP4764:TIY4764"/>
    <mergeCell ref="TGW4764:TGW4765"/>
    <mergeCell ref="TGX4764:TGX4765"/>
    <mergeCell ref="TGY4764:THH4764"/>
    <mergeCell ref="THJ4764:THS4764"/>
    <mergeCell ref="THU4764:THU4765"/>
    <mergeCell ref="TFR4764:TFR4765"/>
    <mergeCell ref="TFS4764:TGB4764"/>
    <mergeCell ref="TGD4764:TGM4764"/>
    <mergeCell ref="TGO4764:TGO4765"/>
    <mergeCell ref="TGQ4764:TGV4764"/>
    <mergeCell ref="TEM4764:TEV4764"/>
    <mergeCell ref="TEX4764:TFG4764"/>
    <mergeCell ref="TFI4764:TFI4765"/>
    <mergeCell ref="TFK4764:TFP4764"/>
    <mergeCell ref="TFQ4764:TFQ4765"/>
    <mergeCell ref="TDR4764:TEA4764"/>
    <mergeCell ref="TEC4764:TEC4765"/>
    <mergeCell ref="TEE4764:TEJ4764"/>
    <mergeCell ref="TEK4764:TEK4765"/>
    <mergeCell ref="TEL4764:TEL4765"/>
    <mergeCell ref="TCW4764:TCW4765"/>
    <mergeCell ref="TCY4764:TDD4764"/>
    <mergeCell ref="TDE4764:TDE4765"/>
    <mergeCell ref="TDF4764:TDF4765"/>
    <mergeCell ref="TDG4764:TDP4764"/>
    <mergeCell ref="TBS4764:TBX4764"/>
    <mergeCell ref="TBY4764:TBY4765"/>
    <mergeCell ref="TBZ4764:TBZ4765"/>
    <mergeCell ref="TCA4764:TCJ4764"/>
    <mergeCell ref="TCL4764:TCU4764"/>
    <mergeCell ref="TAS4764:TAS4765"/>
    <mergeCell ref="TAT4764:TAT4765"/>
    <mergeCell ref="TAU4764:TBD4764"/>
    <mergeCell ref="TBF4764:TBO4764"/>
    <mergeCell ref="TBQ4764:TBQ4765"/>
    <mergeCell ref="SZN4764:SZN4765"/>
    <mergeCell ref="SZO4764:SZX4764"/>
    <mergeCell ref="SZZ4764:TAI4764"/>
    <mergeCell ref="TAK4764:TAK4765"/>
    <mergeCell ref="TAM4764:TAR4764"/>
    <mergeCell ref="SYI4764:SYR4764"/>
    <mergeCell ref="SYT4764:SZC4764"/>
    <mergeCell ref="SZE4764:SZE4765"/>
    <mergeCell ref="SZG4764:SZL4764"/>
    <mergeCell ref="SZM4764:SZM4765"/>
    <mergeCell ref="SXN4764:SXW4764"/>
    <mergeCell ref="SXY4764:SXY4765"/>
    <mergeCell ref="SYA4764:SYF4764"/>
    <mergeCell ref="SYG4764:SYG4765"/>
    <mergeCell ref="SYH4764:SYH4765"/>
    <mergeCell ref="SWS4764:SWS4765"/>
    <mergeCell ref="SWU4764:SWZ4764"/>
    <mergeCell ref="SXA4764:SXA4765"/>
    <mergeCell ref="SXB4764:SXB4765"/>
    <mergeCell ref="SXC4764:SXL4764"/>
    <mergeCell ref="SVO4764:SVT4764"/>
    <mergeCell ref="SVU4764:SVU4765"/>
    <mergeCell ref="SVV4764:SVV4765"/>
    <mergeCell ref="SVW4764:SWF4764"/>
    <mergeCell ref="SWH4764:SWQ4764"/>
    <mergeCell ref="SUO4764:SUO4765"/>
    <mergeCell ref="SUP4764:SUP4765"/>
    <mergeCell ref="SUQ4764:SUZ4764"/>
    <mergeCell ref="SVB4764:SVK4764"/>
    <mergeCell ref="SVM4764:SVM4765"/>
    <mergeCell ref="STJ4764:STJ4765"/>
    <mergeCell ref="STK4764:STT4764"/>
    <mergeCell ref="STV4764:SUE4764"/>
    <mergeCell ref="SUG4764:SUG4765"/>
    <mergeCell ref="SUI4764:SUN4764"/>
    <mergeCell ref="SSE4764:SSN4764"/>
    <mergeCell ref="SSP4764:SSY4764"/>
    <mergeCell ref="STA4764:STA4765"/>
    <mergeCell ref="STC4764:STH4764"/>
    <mergeCell ref="STI4764:STI4765"/>
    <mergeCell ref="SRJ4764:SRS4764"/>
    <mergeCell ref="SRU4764:SRU4765"/>
    <mergeCell ref="SRW4764:SSB4764"/>
    <mergeCell ref="SSC4764:SSC4765"/>
    <mergeCell ref="SSD4764:SSD4765"/>
    <mergeCell ref="SQO4764:SQO4765"/>
    <mergeCell ref="SQQ4764:SQV4764"/>
    <mergeCell ref="SQW4764:SQW4765"/>
    <mergeCell ref="SQX4764:SQX4765"/>
    <mergeCell ref="SQY4764:SRH4764"/>
    <mergeCell ref="SPK4764:SPP4764"/>
    <mergeCell ref="SPQ4764:SPQ4765"/>
    <mergeCell ref="SPR4764:SPR4765"/>
    <mergeCell ref="SPS4764:SQB4764"/>
    <mergeCell ref="SQD4764:SQM4764"/>
    <mergeCell ref="SOK4764:SOK4765"/>
    <mergeCell ref="SOL4764:SOL4765"/>
    <mergeCell ref="SOM4764:SOV4764"/>
    <mergeCell ref="SOX4764:SPG4764"/>
    <mergeCell ref="SPI4764:SPI4765"/>
    <mergeCell ref="SNF4764:SNF4765"/>
    <mergeCell ref="SNG4764:SNP4764"/>
    <mergeCell ref="SNR4764:SOA4764"/>
    <mergeCell ref="SOC4764:SOC4765"/>
    <mergeCell ref="SOE4764:SOJ4764"/>
    <mergeCell ref="SMA4764:SMJ4764"/>
    <mergeCell ref="SML4764:SMU4764"/>
    <mergeCell ref="SMW4764:SMW4765"/>
    <mergeCell ref="SMY4764:SND4764"/>
    <mergeCell ref="SNE4764:SNE4765"/>
    <mergeCell ref="SLF4764:SLO4764"/>
    <mergeCell ref="SLQ4764:SLQ4765"/>
    <mergeCell ref="SLS4764:SLX4764"/>
    <mergeCell ref="SLY4764:SLY4765"/>
    <mergeCell ref="SLZ4764:SLZ4765"/>
    <mergeCell ref="SKK4764:SKK4765"/>
    <mergeCell ref="SKM4764:SKR4764"/>
    <mergeCell ref="SKS4764:SKS4765"/>
    <mergeCell ref="SKT4764:SKT4765"/>
    <mergeCell ref="SKU4764:SLD4764"/>
    <mergeCell ref="SJG4764:SJL4764"/>
    <mergeCell ref="SJM4764:SJM4765"/>
    <mergeCell ref="SJN4764:SJN4765"/>
    <mergeCell ref="SJO4764:SJX4764"/>
    <mergeCell ref="SJZ4764:SKI4764"/>
    <mergeCell ref="SIG4764:SIG4765"/>
    <mergeCell ref="SIH4764:SIH4765"/>
    <mergeCell ref="SII4764:SIR4764"/>
    <mergeCell ref="SIT4764:SJC4764"/>
    <mergeCell ref="SJE4764:SJE4765"/>
    <mergeCell ref="SHB4764:SHB4765"/>
    <mergeCell ref="SHC4764:SHL4764"/>
    <mergeCell ref="SHN4764:SHW4764"/>
    <mergeCell ref="SHY4764:SHY4765"/>
    <mergeCell ref="SIA4764:SIF4764"/>
    <mergeCell ref="SFW4764:SGF4764"/>
    <mergeCell ref="SGH4764:SGQ4764"/>
    <mergeCell ref="SGS4764:SGS4765"/>
    <mergeCell ref="SGU4764:SGZ4764"/>
    <mergeCell ref="SHA4764:SHA4765"/>
    <mergeCell ref="SFB4764:SFK4764"/>
    <mergeCell ref="SFM4764:SFM4765"/>
    <mergeCell ref="SFO4764:SFT4764"/>
    <mergeCell ref="SFU4764:SFU4765"/>
    <mergeCell ref="SFV4764:SFV4765"/>
    <mergeCell ref="SEG4764:SEG4765"/>
    <mergeCell ref="SEI4764:SEN4764"/>
    <mergeCell ref="SEO4764:SEO4765"/>
    <mergeCell ref="SEP4764:SEP4765"/>
    <mergeCell ref="SEQ4764:SEZ4764"/>
    <mergeCell ref="SDC4764:SDH4764"/>
    <mergeCell ref="SDI4764:SDI4765"/>
    <mergeCell ref="SDJ4764:SDJ4765"/>
    <mergeCell ref="SDK4764:SDT4764"/>
    <mergeCell ref="SDV4764:SEE4764"/>
    <mergeCell ref="SCC4764:SCC4765"/>
    <mergeCell ref="SCD4764:SCD4765"/>
    <mergeCell ref="SCE4764:SCN4764"/>
    <mergeCell ref="SCP4764:SCY4764"/>
    <mergeCell ref="SDA4764:SDA4765"/>
    <mergeCell ref="SAX4764:SAX4765"/>
    <mergeCell ref="SAY4764:SBH4764"/>
    <mergeCell ref="SBJ4764:SBS4764"/>
    <mergeCell ref="SBU4764:SBU4765"/>
    <mergeCell ref="SBW4764:SCB4764"/>
    <mergeCell ref="RZS4764:SAB4764"/>
    <mergeCell ref="SAD4764:SAM4764"/>
    <mergeCell ref="SAO4764:SAO4765"/>
    <mergeCell ref="SAQ4764:SAV4764"/>
    <mergeCell ref="SAW4764:SAW4765"/>
    <mergeCell ref="RYX4764:RZG4764"/>
    <mergeCell ref="RZI4764:RZI4765"/>
    <mergeCell ref="RZK4764:RZP4764"/>
    <mergeCell ref="RZQ4764:RZQ4765"/>
    <mergeCell ref="RZR4764:RZR4765"/>
    <mergeCell ref="RYC4764:RYC4765"/>
    <mergeCell ref="RYE4764:RYJ4764"/>
    <mergeCell ref="RYK4764:RYK4765"/>
    <mergeCell ref="RYL4764:RYL4765"/>
    <mergeCell ref="RYM4764:RYV4764"/>
    <mergeCell ref="RWY4764:RXD4764"/>
    <mergeCell ref="RXE4764:RXE4765"/>
    <mergeCell ref="RXF4764:RXF4765"/>
    <mergeCell ref="RXG4764:RXP4764"/>
    <mergeCell ref="RXR4764:RYA4764"/>
    <mergeCell ref="RVY4764:RVY4765"/>
    <mergeCell ref="RVZ4764:RVZ4765"/>
    <mergeCell ref="RWA4764:RWJ4764"/>
    <mergeCell ref="RWL4764:RWU4764"/>
    <mergeCell ref="RWW4764:RWW4765"/>
    <mergeCell ref="RUT4764:RUT4765"/>
    <mergeCell ref="RUU4764:RVD4764"/>
    <mergeCell ref="RVF4764:RVO4764"/>
    <mergeCell ref="RVQ4764:RVQ4765"/>
    <mergeCell ref="RVS4764:RVX4764"/>
    <mergeCell ref="RTO4764:RTX4764"/>
    <mergeCell ref="RTZ4764:RUI4764"/>
    <mergeCell ref="RUK4764:RUK4765"/>
    <mergeCell ref="RUM4764:RUR4764"/>
    <mergeCell ref="RUS4764:RUS4765"/>
    <mergeCell ref="RST4764:RTC4764"/>
    <mergeCell ref="RTE4764:RTE4765"/>
    <mergeCell ref="RTG4764:RTL4764"/>
    <mergeCell ref="RTM4764:RTM4765"/>
    <mergeCell ref="RTN4764:RTN4765"/>
    <mergeCell ref="RRY4764:RRY4765"/>
    <mergeCell ref="RSA4764:RSF4764"/>
    <mergeCell ref="RSG4764:RSG4765"/>
    <mergeCell ref="RSH4764:RSH4765"/>
    <mergeCell ref="RSI4764:RSR4764"/>
    <mergeCell ref="RQU4764:RQZ4764"/>
    <mergeCell ref="RRA4764:RRA4765"/>
    <mergeCell ref="RRB4764:RRB4765"/>
    <mergeCell ref="RRC4764:RRL4764"/>
    <mergeCell ref="RRN4764:RRW4764"/>
    <mergeCell ref="RPU4764:RPU4765"/>
    <mergeCell ref="RPV4764:RPV4765"/>
    <mergeCell ref="RPW4764:RQF4764"/>
    <mergeCell ref="RQH4764:RQQ4764"/>
    <mergeCell ref="RQS4764:RQS4765"/>
    <mergeCell ref="ROP4764:ROP4765"/>
    <mergeCell ref="ROQ4764:ROZ4764"/>
    <mergeCell ref="RPB4764:RPK4764"/>
    <mergeCell ref="RPM4764:RPM4765"/>
    <mergeCell ref="RPO4764:RPT4764"/>
    <mergeCell ref="RNK4764:RNT4764"/>
    <mergeCell ref="RNV4764:ROE4764"/>
    <mergeCell ref="ROG4764:ROG4765"/>
    <mergeCell ref="ROI4764:RON4764"/>
    <mergeCell ref="ROO4764:ROO4765"/>
    <mergeCell ref="RMP4764:RMY4764"/>
    <mergeCell ref="RNA4764:RNA4765"/>
    <mergeCell ref="RNC4764:RNH4764"/>
    <mergeCell ref="RNI4764:RNI4765"/>
    <mergeCell ref="RNJ4764:RNJ4765"/>
    <mergeCell ref="RLU4764:RLU4765"/>
    <mergeCell ref="RLW4764:RMB4764"/>
    <mergeCell ref="RMC4764:RMC4765"/>
    <mergeCell ref="RMD4764:RMD4765"/>
    <mergeCell ref="RME4764:RMN4764"/>
    <mergeCell ref="RKQ4764:RKV4764"/>
    <mergeCell ref="RKW4764:RKW4765"/>
    <mergeCell ref="RKX4764:RKX4765"/>
    <mergeCell ref="RKY4764:RLH4764"/>
    <mergeCell ref="RLJ4764:RLS4764"/>
    <mergeCell ref="RJQ4764:RJQ4765"/>
    <mergeCell ref="RJR4764:RJR4765"/>
    <mergeCell ref="RJS4764:RKB4764"/>
    <mergeCell ref="RKD4764:RKM4764"/>
    <mergeCell ref="RKO4764:RKO4765"/>
    <mergeCell ref="RIL4764:RIL4765"/>
    <mergeCell ref="RIM4764:RIV4764"/>
    <mergeCell ref="RIX4764:RJG4764"/>
    <mergeCell ref="RJI4764:RJI4765"/>
    <mergeCell ref="RJK4764:RJP4764"/>
    <mergeCell ref="RHG4764:RHP4764"/>
    <mergeCell ref="RHR4764:RIA4764"/>
    <mergeCell ref="RIC4764:RIC4765"/>
    <mergeCell ref="RIE4764:RIJ4764"/>
    <mergeCell ref="RIK4764:RIK4765"/>
    <mergeCell ref="RGL4764:RGU4764"/>
    <mergeCell ref="RGW4764:RGW4765"/>
    <mergeCell ref="RGY4764:RHD4764"/>
    <mergeCell ref="RHE4764:RHE4765"/>
    <mergeCell ref="RHF4764:RHF4765"/>
    <mergeCell ref="RFQ4764:RFQ4765"/>
    <mergeCell ref="RFS4764:RFX4764"/>
    <mergeCell ref="RFY4764:RFY4765"/>
    <mergeCell ref="RFZ4764:RFZ4765"/>
    <mergeCell ref="RGA4764:RGJ4764"/>
    <mergeCell ref="REM4764:RER4764"/>
    <mergeCell ref="RES4764:RES4765"/>
    <mergeCell ref="RET4764:RET4765"/>
    <mergeCell ref="REU4764:RFD4764"/>
    <mergeCell ref="RFF4764:RFO4764"/>
    <mergeCell ref="RDM4764:RDM4765"/>
    <mergeCell ref="RDN4764:RDN4765"/>
    <mergeCell ref="RDO4764:RDX4764"/>
    <mergeCell ref="RDZ4764:REI4764"/>
    <mergeCell ref="REK4764:REK4765"/>
    <mergeCell ref="RCH4764:RCH4765"/>
    <mergeCell ref="RCI4764:RCR4764"/>
    <mergeCell ref="RCT4764:RDC4764"/>
    <mergeCell ref="RDE4764:RDE4765"/>
    <mergeCell ref="RDG4764:RDL4764"/>
    <mergeCell ref="RBC4764:RBL4764"/>
    <mergeCell ref="RBN4764:RBW4764"/>
    <mergeCell ref="RBY4764:RBY4765"/>
    <mergeCell ref="RCA4764:RCF4764"/>
    <mergeCell ref="RCG4764:RCG4765"/>
    <mergeCell ref="RAH4764:RAQ4764"/>
    <mergeCell ref="RAS4764:RAS4765"/>
    <mergeCell ref="RAU4764:RAZ4764"/>
    <mergeCell ref="RBA4764:RBA4765"/>
    <mergeCell ref="RBB4764:RBB4765"/>
    <mergeCell ref="QZM4764:QZM4765"/>
    <mergeCell ref="QZO4764:QZT4764"/>
    <mergeCell ref="QZU4764:QZU4765"/>
    <mergeCell ref="QZV4764:QZV4765"/>
    <mergeCell ref="QZW4764:RAF4764"/>
    <mergeCell ref="QYI4764:QYN4764"/>
    <mergeCell ref="QYO4764:QYO4765"/>
    <mergeCell ref="QYP4764:QYP4765"/>
    <mergeCell ref="QYQ4764:QYZ4764"/>
    <mergeCell ref="QZB4764:QZK4764"/>
    <mergeCell ref="QXI4764:QXI4765"/>
    <mergeCell ref="QXJ4764:QXJ4765"/>
    <mergeCell ref="QXK4764:QXT4764"/>
    <mergeCell ref="QXV4764:QYE4764"/>
    <mergeCell ref="QYG4764:QYG4765"/>
    <mergeCell ref="QWD4764:QWD4765"/>
    <mergeCell ref="QWE4764:QWN4764"/>
    <mergeCell ref="QWP4764:QWY4764"/>
    <mergeCell ref="QXA4764:QXA4765"/>
    <mergeCell ref="QXC4764:QXH4764"/>
    <mergeCell ref="QUY4764:QVH4764"/>
    <mergeCell ref="QVJ4764:QVS4764"/>
    <mergeCell ref="QVU4764:QVU4765"/>
    <mergeCell ref="QVW4764:QWB4764"/>
    <mergeCell ref="QWC4764:QWC4765"/>
    <mergeCell ref="QUD4764:QUM4764"/>
    <mergeCell ref="QUO4764:QUO4765"/>
    <mergeCell ref="QUQ4764:QUV4764"/>
    <mergeCell ref="QUW4764:QUW4765"/>
    <mergeCell ref="QUX4764:QUX4765"/>
    <mergeCell ref="QTI4764:QTI4765"/>
    <mergeCell ref="QTK4764:QTP4764"/>
    <mergeCell ref="QTQ4764:QTQ4765"/>
    <mergeCell ref="QTR4764:QTR4765"/>
    <mergeCell ref="QTS4764:QUB4764"/>
    <mergeCell ref="QSE4764:QSJ4764"/>
    <mergeCell ref="QSK4764:QSK4765"/>
    <mergeCell ref="QSL4764:QSL4765"/>
    <mergeCell ref="QSM4764:QSV4764"/>
    <mergeCell ref="QSX4764:QTG4764"/>
    <mergeCell ref="QRE4764:QRE4765"/>
    <mergeCell ref="QRF4764:QRF4765"/>
    <mergeCell ref="QRG4764:QRP4764"/>
    <mergeCell ref="QRR4764:QSA4764"/>
    <mergeCell ref="QSC4764:QSC4765"/>
    <mergeCell ref="QPZ4764:QPZ4765"/>
    <mergeCell ref="QQA4764:QQJ4764"/>
    <mergeCell ref="QQL4764:QQU4764"/>
    <mergeCell ref="QQW4764:QQW4765"/>
    <mergeCell ref="QQY4764:QRD4764"/>
    <mergeCell ref="QOU4764:QPD4764"/>
    <mergeCell ref="QPF4764:QPO4764"/>
    <mergeCell ref="QPQ4764:QPQ4765"/>
    <mergeCell ref="QPS4764:QPX4764"/>
    <mergeCell ref="QPY4764:QPY4765"/>
    <mergeCell ref="QNZ4764:QOI4764"/>
    <mergeCell ref="QOK4764:QOK4765"/>
    <mergeCell ref="QOM4764:QOR4764"/>
    <mergeCell ref="QOS4764:QOS4765"/>
    <mergeCell ref="QOT4764:QOT4765"/>
    <mergeCell ref="QNE4764:QNE4765"/>
    <mergeCell ref="QNG4764:QNL4764"/>
    <mergeCell ref="QNM4764:QNM4765"/>
    <mergeCell ref="QNN4764:QNN4765"/>
    <mergeCell ref="QNO4764:QNX4764"/>
    <mergeCell ref="QMA4764:QMF4764"/>
    <mergeCell ref="QMG4764:QMG4765"/>
    <mergeCell ref="QMH4764:QMH4765"/>
    <mergeCell ref="QMI4764:QMR4764"/>
    <mergeCell ref="QMT4764:QNC4764"/>
    <mergeCell ref="QLA4764:QLA4765"/>
    <mergeCell ref="QLB4764:QLB4765"/>
    <mergeCell ref="QLC4764:QLL4764"/>
    <mergeCell ref="QLN4764:QLW4764"/>
    <mergeCell ref="QLY4764:QLY4765"/>
    <mergeCell ref="QJV4764:QJV4765"/>
    <mergeCell ref="QJW4764:QKF4764"/>
    <mergeCell ref="QKH4764:QKQ4764"/>
    <mergeCell ref="QKS4764:QKS4765"/>
    <mergeCell ref="QKU4764:QKZ4764"/>
    <mergeCell ref="QIQ4764:QIZ4764"/>
    <mergeCell ref="QJB4764:QJK4764"/>
    <mergeCell ref="QJM4764:QJM4765"/>
    <mergeCell ref="QJO4764:QJT4764"/>
    <mergeCell ref="QJU4764:QJU4765"/>
    <mergeCell ref="QHV4764:QIE4764"/>
    <mergeCell ref="QIG4764:QIG4765"/>
    <mergeCell ref="QII4764:QIN4764"/>
    <mergeCell ref="QIO4764:QIO4765"/>
    <mergeCell ref="QIP4764:QIP4765"/>
    <mergeCell ref="QHA4764:QHA4765"/>
    <mergeCell ref="QHC4764:QHH4764"/>
    <mergeCell ref="QHI4764:QHI4765"/>
    <mergeCell ref="QHJ4764:QHJ4765"/>
    <mergeCell ref="QHK4764:QHT4764"/>
    <mergeCell ref="QFW4764:QGB4764"/>
    <mergeCell ref="QGC4764:QGC4765"/>
    <mergeCell ref="QGD4764:QGD4765"/>
    <mergeCell ref="QGE4764:QGN4764"/>
    <mergeCell ref="QGP4764:QGY4764"/>
    <mergeCell ref="QEW4764:QEW4765"/>
    <mergeCell ref="QEX4764:QEX4765"/>
    <mergeCell ref="QEY4764:QFH4764"/>
    <mergeCell ref="QFJ4764:QFS4764"/>
    <mergeCell ref="QFU4764:QFU4765"/>
    <mergeCell ref="QDR4764:QDR4765"/>
    <mergeCell ref="QDS4764:QEB4764"/>
    <mergeCell ref="QED4764:QEM4764"/>
    <mergeCell ref="QEO4764:QEO4765"/>
    <mergeCell ref="QEQ4764:QEV4764"/>
    <mergeCell ref="QCM4764:QCV4764"/>
    <mergeCell ref="QCX4764:QDG4764"/>
    <mergeCell ref="QDI4764:QDI4765"/>
    <mergeCell ref="QDK4764:QDP4764"/>
    <mergeCell ref="QDQ4764:QDQ4765"/>
    <mergeCell ref="QBR4764:QCA4764"/>
    <mergeCell ref="QCC4764:QCC4765"/>
    <mergeCell ref="QCE4764:QCJ4764"/>
    <mergeCell ref="QCK4764:QCK4765"/>
    <mergeCell ref="QCL4764:QCL4765"/>
    <mergeCell ref="QAW4764:QAW4765"/>
    <mergeCell ref="QAY4764:QBD4764"/>
    <mergeCell ref="QBE4764:QBE4765"/>
    <mergeCell ref="QBF4764:QBF4765"/>
    <mergeCell ref="QBG4764:QBP4764"/>
    <mergeCell ref="PZS4764:PZX4764"/>
    <mergeCell ref="PZY4764:PZY4765"/>
    <mergeCell ref="PZZ4764:PZZ4765"/>
    <mergeCell ref="QAA4764:QAJ4764"/>
    <mergeCell ref="QAL4764:QAU4764"/>
    <mergeCell ref="PYS4764:PYS4765"/>
    <mergeCell ref="PYT4764:PYT4765"/>
    <mergeCell ref="PYU4764:PZD4764"/>
    <mergeCell ref="PZF4764:PZO4764"/>
    <mergeCell ref="PZQ4764:PZQ4765"/>
    <mergeCell ref="PXN4764:PXN4765"/>
    <mergeCell ref="PXO4764:PXX4764"/>
    <mergeCell ref="PXZ4764:PYI4764"/>
    <mergeCell ref="PYK4764:PYK4765"/>
    <mergeCell ref="PYM4764:PYR4764"/>
    <mergeCell ref="PWI4764:PWR4764"/>
    <mergeCell ref="PWT4764:PXC4764"/>
    <mergeCell ref="PXE4764:PXE4765"/>
    <mergeCell ref="PXG4764:PXL4764"/>
    <mergeCell ref="PXM4764:PXM4765"/>
    <mergeCell ref="PVN4764:PVW4764"/>
    <mergeCell ref="PVY4764:PVY4765"/>
    <mergeCell ref="PWA4764:PWF4764"/>
    <mergeCell ref="PWG4764:PWG4765"/>
    <mergeCell ref="PWH4764:PWH4765"/>
    <mergeCell ref="PUS4764:PUS4765"/>
    <mergeCell ref="PUU4764:PUZ4764"/>
    <mergeCell ref="PVA4764:PVA4765"/>
    <mergeCell ref="PVB4764:PVB4765"/>
    <mergeCell ref="PVC4764:PVL4764"/>
    <mergeCell ref="PTO4764:PTT4764"/>
    <mergeCell ref="PTU4764:PTU4765"/>
    <mergeCell ref="PTV4764:PTV4765"/>
    <mergeCell ref="PTW4764:PUF4764"/>
    <mergeCell ref="PUH4764:PUQ4764"/>
    <mergeCell ref="PSO4764:PSO4765"/>
    <mergeCell ref="PSP4764:PSP4765"/>
    <mergeCell ref="PSQ4764:PSZ4764"/>
    <mergeCell ref="PTB4764:PTK4764"/>
    <mergeCell ref="PTM4764:PTM4765"/>
    <mergeCell ref="PRJ4764:PRJ4765"/>
    <mergeCell ref="PRK4764:PRT4764"/>
    <mergeCell ref="PRV4764:PSE4764"/>
    <mergeCell ref="PSG4764:PSG4765"/>
    <mergeCell ref="PSI4764:PSN4764"/>
    <mergeCell ref="PQE4764:PQN4764"/>
    <mergeCell ref="PQP4764:PQY4764"/>
    <mergeCell ref="PRA4764:PRA4765"/>
    <mergeCell ref="PRC4764:PRH4764"/>
    <mergeCell ref="PRI4764:PRI4765"/>
    <mergeCell ref="PPJ4764:PPS4764"/>
    <mergeCell ref="PPU4764:PPU4765"/>
    <mergeCell ref="PPW4764:PQB4764"/>
    <mergeCell ref="PQC4764:PQC4765"/>
    <mergeCell ref="PQD4764:PQD4765"/>
    <mergeCell ref="POO4764:POO4765"/>
    <mergeCell ref="POQ4764:POV4764"/>
    <mergeCell ref="POW4764:POW4765"/>
    <mergeCell ref="POX4764:POX4765"/>
    <mergeCell ref="POY4764:PPH4764"/>
    <mergeCell ref="PNK4764:PNP4764"/>
    <mergeCell ref="PNQ4764:PNQ4765"/>
    <mergeCell ref="PNR4764:PNR4765"/>
    <mergeCell ref="PNS4764:POB4764"/>
    <mergeCell ref="POD4764:POM4764"/>
    <mergeCell ref="PMK4764:PMK4765"/>
    <mergeCell ref="PML4764:PML4765"/>
    <mergeCell ref="PMM4764:PMV4764"/>
    <mergeCell ref="PMX4764:PNG4764"/>
    <mergeCell ref="PNI4764:PNI4765"/>
    <mergeCell ref="PLF4764:PLF4765"/>
    <mergeCell ref="PLG4764:PLP4764"/>
    <mergeCell ref="PLR4764:PMA4764"/>
    <mergeCell ref="PMC4764:PMC4765"/>
    <mergeCell ref="PME4764:PMJ4764"/>
    <mergeCell ref="PKA4764:PKJ4764"/>
    <mergeCell ref="PKL4764:PKU4764"/>
    <mergeCell ref="PKW4764:PKW4765"/>
    <mergeCell ref="PKY4764:PLD4764"/>
    <mergeCell ref="PLE4764:PLE4765"/>
    <mergeCell ref="PJF4764:PJO4764"/>
    <mergeCell ref="PJQ4764:PJQ4765"/>
    <mergeCell ref="PJS4764:PJX4764"/>
    <mergeCell ref="PJY4764:PJY4765"/>
    <mergeCell ref="PJZ4764:PJZ4765"/>
    <mergeCell ref="PIK4764:PIK4765"/>
    <mergeCell ref="PIM4764:PIR4764"/>
    <mergeCell ref="PIS4764:PIS4765"/>
    <mergeCell ref="PIT4764:PIT4765"/>
    <mergeCell ref="PIU4764:PJD4764"/>
    <mergeCell ref="PHG4764:PHL4764"/>
    <mergeCell ref="PHM4764:PHM4765"/>
    <mergeCell ref="PHN4764:PHN4765"/>
    <mergeCell ref="PHO4764:PHX4764"/>
    <mergeCell ref="PHZ4764:PII4764"/>
    <mergeCell ref="PGG4764:PGG4765"/>
    <mergeCell ref="PGH4764:PGH4765"/>
    <mergeCell ref="PGI4764:PGR4764"/>
    <mergeCell ref="PGT4764:PHC4764"/>
    <mergeCell ref="PHE4764:PHE4765"/>
    <mergeCell ref="PFB4764:PFB4765"/>
    <mergeCell ref="PFC4764:PFL4764"/>
    <mergeCell ref="PFN4764:PFW4764"/>
    <mergeCell ref="PFY4764:PFY4765"/>
    <mergeCell ref="PGA4764:PGF4764"/>
    <mergeCell ref="PDW4764:PEF4764"/>
    <mergeCell ref="PEH4764:PEQ4764"/>
    <mergeCell ref="PES4764:PES4765"/>
    <mergeCell ref="PEU4764:PEZ4764"/>
    <mergeCell ref="PFA4764:PFA4765"/>
    <mergeCell ref="PDB4764:PDK4764"/>
    <mergeCell ref="PDM4764:PDM4765"/>
    <mergeCell ref="PDO4764:PDT4764"/>
    <mergeCell ref="PDU4764:PDU4765"/>
    <mergeCell ref="PDV4764:PDV4765"/>
    <mergeCell ref="PCG4764:PCG4765"/>
    <mergeCell ref="PCI4764:PCN4764"/>
    <mergeCell ref="PCO4764:PCO4765"/>
    <mergeCell ref="PCP4764:PCP4765"/>
    <mergeCell ref="PCQ4764:PCZ4764"/>
    <mergeCell ref="PBC4764:PBH4764"/>
    <mergeCell ref="PBI4764:PBI4765"/>
    <mergeCell ref="PBJ4764:PBJ4765"/>
    <mergeCell ref="PBK4764:PBT4764"/>
    <mergeCell ref="PBV4764:PCE4764"/>
    <mergeCell ref="PAC4764:PAC4765"/>
    <mergeCell ref="PAD4764:PAD4765"/>
    <mergeCell ref="PAE4764:PAN4764"/>
    <mergeCell ref="PAP4764:PAY4764"/>
    <mergeCell ref="PBA4764:PBA4765"/>
    <mergeCell ref="OYX4764:OYX4765"/>
    <mergeCell ref="OYY4764:OZH4764"/>
    <mergeCell ref="OZJ4764:OZS4764"/>
    <mergeCell ref="OZU4764:OZU4765"/>
    <mergeCell ref="OZW4764:PAB4764"/>
    <mergeCell ref="OXS4764:OYB4764"/>
    <mergeCell ref="OYD4764:OYM4764"/>
    <mergeCell ref="OYO4764:OYO4765"/>
    <mergeCell ref="OYQ4764:OYV4764"/>
    <mergeCell ref="OYW4764:OYW4765"/>
    <mergeCell ref="OWX4764:OXG4764"/>
    <mergeCell ref="OXI4764:OXI4765"/>
    <mergeCell ref="OXK4764:OXP4764"/>
    <mergeCell ref="OXQ4764:OXQ4765"/>
    <mergeCell ref="OXR4764:OXR4765"/>
    <mergeCell ref="OWC4764:OWC4765"/>
    <mergeCell ref="OWE4764:OWJ4764"/>
    <mergeCell ref="OWK4764:OWK4765"/>
    <mergeCell ref="OWL4764:OWL4765"/>
    <mergeCell ref="OWM4764:OWV4764"/>
    <mergeCell ref="OUY4764:OVD4764"/>
    <mergeCell ref="OVE4764:OVE4765"/>
    <mergeCell ref="OVF4764:OVF4765"/>
    <mergeCell ref="OVG4764:OVP4764"/>
    <mergeCell ref="OVR4764:OWA4764"/>
    <mergeCell ref="OTY4764:OTY4765"/>
    <mergeCell ref="OTZ4764:OTZ4765"/>
    <mergeCell ref="OUA4764:OUJ4764"/>
    <mergeCell ref="OUL4764:OUU4764"/>
    <mergeCell ref="OUW4764:OUW4765"/>
    <mergeCell ref="OST4764:OST4765"/>
    <mergeCell ref="OSU4764:OTD4764"/>
    <mergeCell ref="OTF4764:OTO4764"/>
    <mergeCell ref="OTQ4764:OTQ4765"/>
    <mergeCell ref="OTS4764:OTX4764"/>
    <mergeCell ref="ORO4764:ORX4764"/>
    <mergeCell ref="ORZ4764:OSI4764"/>
    <mergeCell ref="OSK4764:OSK4765"/>
    <mergeCell ref="OSM4764:OSR4764"/>
    <mergeCell ref="OSS4764:OSS4765"/>
    <mergeCell ref="OQT4764:ORC4764"/>
    <mergeCell ref="ORE4764:ORE4765"/>
    <mergeCell ref="ORG4764:ORL4764"/>
    <mergeCell ref="ORM4764:ORM4765"/>
    <mergeCell ref="ORN4764:ORN4765"/>
    <mergeCell ref="OPY4764:OPY4765"/>
    <mergeCell ref="OQA4764:OQF4764"/>
    <mergeCell ref="OQG4764:OQG4765"/>
    <mergeCell ref="OQH4764:OQH4765"/>
    <mergeCell ref="OQI4764:OQR4764"/>
    <mergeCell ref="OOU4764:OOZ4764"/>
    <mergeCell ref="OPA4764:OPA4765"/>
    <mergeCell ref="OPB4764:OPB4765"/>
    <mergeCell ref="OPC4764:OPL4764"/>
    <mergeCell ref="OPN4764:OPW4764"/>
    <mergeCell ref="ONU4764:ONU4765"/>
    <mergeCell ref="ONV4764:ONV4765"/>
    <mergeCell ref="ONW4764:OOF4764"/>
    <mergeCell ref="OOH4764:OOQ4764"/>
    <mergeCell ref="OOS4764:OOS4765"/>
    <mergeCell ref="OMP4764:OMP4765"/>
    <mergeCell ref="OMQ4764:OMZ4764"/>
    <mergeCell ref="ONB4764:ONK4764"/>
    <mergeCell ref="ONM4764:ONM4765"/>
    <mergeCell ref="ONO4764:ONT4764"/>
    <mergeCell ref="OLK4764:OLT4764"/>
    <mergeCell ref="OLV4764:OME4764"/>
    <mergeCell ref="OMG4764:OMG4765"/>
    <mergeCell ref="OMI4764:OMN4764"/>
    <mergeCell ref="OMO4764:OMO4765"/>
    <mergeCell ref="OKP4764:OKY4764"/>
    <mergeCell ref="OLA4764:OLA4765"/>
    <mergeCell ref="OLC4764:OLH4764"/>
    <mergeCell ref="OLI4764:OLI4765"/>
    <mergeCell ref="OLJ4764:OLJ4765"/>
    <mergeCell ref="OJU4764:OJU4765"/>
    <mergeCell ref="OJW4764:OKB4764"/>
    <mergeCell ref="OKC4764:OKC4765"/>
    <mergeCell ref="OKD4764:OKD4765"/>
    <mergeCell ref="OKE4764:OKN4764"/>
    <mergeCell ref="OIQ4764:OIV4764"/>
    <mergeCell ref="OIW4764:OIW4765"/>
    <mergeCell ref="OIX4764:OIX4765"/>
    <mergeCell ref="OIY4764:OJH4764"/>
    <mergeCell ref="OJJ4764:OJS4764"/>
    <mergeCell ref="OHQ4764:OHQ4765"/>
    <mergeCell ref="OHR4764:OHR4765"/>
    <mergeCell ref="OHS4764:OIB4764"/>
    <mergeCell ref="OID4764:OIM4764"/>
    <mergeCell ref="OIO4764:OIO4765"/>
    <mergeCell ref="OGL4764:OGL4765"/>
    <mergeCell ref="OGM4764:OGV4764"/>
    <mergeCell ref="OGX4764:OHG4764"/>
    <mergeCell ref="OHI4764:OHI4765"/>
    <mergeCell ref="OHK4764:OHP4764"/>
    <mergeCell ref="OFG4764:OFP4764"/>
    <mergeCell ref="OFR4764:OGA4764"/>
    <mergeCell ref="OGC4764:OGC4765"/>
    <mergeCell ref="OGE4764:OGJ4764"/>
    <mergeCell ref="OGK4764:OGK4765"/>
    <mergeCell ref="OEL4764:OEU4764"/>
    <mergeCell ref="OEW4764:OEW4765"/>
    <mergeCell ref="OEY4764:OFD4764"/>
    <mergeCell ref="OFE4764:OFE4765"/>
    <mergeCell ref="OFF4764:OFF4765"/>
    <mergeCell ref="ODQ4764:ODQ4765"/>
    <mergeCell ref="ODS4764:ODX4764"/>
    <mergeCell ref="ODY4764:ODY4765"/>
    <mergeCell ref="ODZ4764:ODZ4765"/>
    <mergeCell ref="OEA4764:OEJ4764"/>
    <mergeCell ref="OCM4764:OCR4764"/>
    <mergeCell ref="OCS4764:OCS4765"/>
    <mergeCell ref="OCT4764:OCT4765"/>
    <mergeCell ref="OCU4764:ODD4764"/>
    <mergeCell ref="ODF4764:ODO4764"/>
    <mergeCell ref="OBM4764:OBM4765"/>
    <mergeCell ref="OBN4764:OBN4765"/>
    <mergeCell ref="OBO4764:OBX4764"/>
    <mergeCell ref="OBZ4764:OCI4764"/>
    <mergeCell ref="OCK4764:OCK4765"/>
    <mergeCell ref="OAH4764:OAH4765"/>
    <mergeCell ref="OAI4764:OAR4764"/>
    <mergeCell ref="OAT4764:OBC4764"/>
    <mergeCell ref="OBE4764:OBE4765"/>
    <mergeCell ref="OBG4764:OBL4764"/>
    <mergeCell ref="NZC4764:NZL4764"/>
    <mergeCell ref="NZN4764:NZW4764"/>
    <mergeCell ref="NZY4764:NZY4765"/>
    <mergeCell ref="OAA4764:OAF4764"/>
    <mergeCell ref="OAG4764:OAG4765"/>
    <mergeCell ref="NYH4764:NYQ4764"/>
    <mergeCell ref="NYS4764:NYS4765"/>
    <mergeCell ref="NYU4764:NYZ4764"/>
    <mergeCell ref="NZA4764:NZA4765"/>
    <mergeCell ref="NZB4764:NZB4765"/>
    <mergeCell ref="NXM4764:NXM4765"/>
    <mergeCell ref="NXO4764:NXT4764"/>
    <mergeCell ref="NXU4764:NXU4765"/>
    <mergeCell ref="NXV4764:NXV4765"/>
    <mergeCell ref="NXW4764:NYF4764"/>
    <mergeCell ref="NWI4764:NWN4764"/>
    <mergeCell ref="NWO4764:NWO4765"/>
    <mergeCell ref="NWP4764:NWP4765"/>
    <mergeCell ref="NWQ4764:NWZ4764"/>
    <mergeCell ref="NXB4764:NXK4764"/>
    <mergeCell ref="NVI4764:NVI4765"/>
    <mergeCell ref="NVJ4764:NVJ4765"/>
    <mergeCell ref="NVK4764:NVT4764"/>
    <mergeCell ref="NVV4764:NWE4764"/>
    <mergeCell ref="NWG4764:NWG4765"/>
    <mergeCell ref="NUD4764:NUD4765"/>
    <mergeCell ref="NUE4764:NUN4764"/>
    <mergeCell ref="NUP4764:NUY4764"/>
    <mergeCell ref="NVA4764:NVA4765"/>
    <mergeCell ref="NVC4764:NVH4764"/>
    <mergeCell ref="NSY4764:NTH4764"/>
    <mergeCell ref="NTJ4764:NTS4764"/>
    <mergeCell ref="NTU4764:NTU4765"/>
    <mergeCell ref="NTW4764:NUB4764"/>
    <mergeCell ref="NUC4764:NUC4765"/>
    <mergeCell ref="NSD4764:NSM4764"/>
    <mergeCell ref="NSO4764:NSO4765"/>
    <mergeCell ref="NSQ4764:NSV4764"/>
    <mergeCell ref="NSW4764:NSW4765"/>
    <mergeCell ref="NSX4764:NSX4765"/>
    <mergeCell ref="NRI4764:NRI4765"/>
    <mergeCell ref="NRK4764:NRP4764"/>
    <mergeCell ref="NRQ4764:NRQ4765"/>
    <mergeCell ref="NRR4764:NRR4765"/>
    <mergeCell ref="NRS4764:NSB4764"/>
    <mergeCell ref="NQE4764:NQJ4764"/>
    <mergeCell ref="NQK4764:NQK4765"/>
    <mergeCell ref="NQL4764:NQL4765"/>
    <mergeCell ref="NQM4764:NQV4764"/>
    <mergeCell ref="NQX4764:NRG4764"/>
    <mergeCell ref="NPE4764:NPE4765"/>
    <mergeCell ref="NPF4764:NPF4765"/>
    <mergeCell ref="NPG4764:NPP4764"/>
    <mergeCell ref="NPR4764:NQA4764"/>
    <mergeCell ref="NQC4764:NQC4765"/>
    <mergeCell ref="NNZ4764:NNZ4765"/>
    <mergeCell ref="NOA4764:NOJ4764"/>
    <mergeCell ref="NOL4764:NOU4764"/>
    <mergeCell ref="NOW4764:NOW4765"/>
    <mergeCell ref="NOY4764:NPD4764"/>
    <mergeCell ref="NMU4764:NND4764"/>
    <mergeCell ref="NNF4764:NNO4764"/>
    <mergeCell ref="NNQ4764:NNQ4765"/>
    <mergeCell ref="NNS4764:NNX4764"/>
    <mergeCell ref="NNY4764:NNY4765"/>
    <mergeCell ref="NLZ4764:NMI4764"/>
    <mergeCell ref="NMK4764:NMK4765"/>
    <mergeCell ref="NMM4764:NMR4764"/>
    <mergeCell ref="NMS4764:NMS4765"/>
    <mergeCell ref="NMT4764:NMT4765"/>
    <mergeCell ref="NLE4764:NLE4765"/>
    <mergeCell ref="NLG4764:NLL4764"/>
    <mergeCell ref="NLM4764:NLM4765"/>
    <mergeCell ref="NLN4764:NLN4765"/>
    <mergeCell ref="NLO4764:NLX4764"/>
    <mergeCell ref="NKA4764:NKF4764"/>
    <mergeCell ref="NKG4764:NKG4765"/>
    <mergeCell ref="NKH4764:NKH4765"/>
    <mergeCell ref="NKI4764:NKR4764"/>
    <mergeCell ref="NKT4764:NLC4764"/>
    <mergeCell ref="NJA4764:NJA4765"/>
    <mergeCell ref="NJB4764:NJB4765"/>
    <mergeCell ref="NJC4764:NJL4764"/>
    <mergeCell ref="NJN4764:NJW4764"/>
    <mergeCell ref="NJY4764:NJY4765"/>
    <mergeCell ref="NHV4764:NHV4765"/>
    <mergeCell ref="NHW4764:NIF4764"/>
    <mergeCell ref="NIH4764:NIQ4764"/>
    <mergeCell ref="NIS4764:NIS4765"/>
    <mergeCell ref="NIU4764:NIZ4764"/>
    <mergeCell ref="NGQ4764:NGZ4764"/>
    <mergeCell ref="NHB4764:NHK4764"/>
    <mergeCell ref="NHM4764:NHM4765"/>
    <mergeCell ref="NHO4764:NHT4764"/>
    <mergeCell ref="NHU4764:NHU4765"/>
    <mergeCell ref="NFV4764:NGE4764"/>
    <mergeCell ref="NGG4764:NGG4765"/>
    <mergeCell ref="NGI4764:NGN4764"/>
    <mergeCell ref="NGO4764:NGO4765"/>
    <mergeCell ref="NGP4764:NGP4765"/>
    <mergeCell ref="NFA4764:NFA4765"/>
    <mergeCell ref="NFC4764:NFH4764"/>
    <mergeCell ref="NFI4764:NFI4765"/>
    <mergeCell ref="NFJ4764:NFJ4765"/>
    <mergeCell ref="NFK4764:NFT4764"/>
    <mergeCell ref="NDW4764:NEB4764"/>
    <mergeCell ref="NEC4764:NEC4765"/>
    <mergeCell ref="NED4764:NED4765"/>
    <mergeCell ref="NEE4764:NEN4764"/>
    <mergeCell ref="NEP4764:NEY4764"/>
    <mergeCell ref="NCW4764:NCW4765"/>
    <mergeCell ref="NCX4764:NCX4765"/>
    <mergeCell ref="NCY4764:NDH4764"/>
    <mergeCell ref="NDJ4764:NDS4764"/>
    <mergeCell ref="NDU4764:NDU4765"/>
    <mergeCell ref="NBR4764:NBR4765"/>
    <mergeCell ref="NBS4764:NCB4764"/>
    <mergeCell ref="NCD4764:NCM4764"/>
    <mergeCell ref="NCO4764:NCO4765"/>
    <mergeCell ref="NCQ4764:NCV4764"/>
    <mergeCell ref="NAM4764:NAV4764"/>
    <mergeCell ref="NAX4764:NBG4764"/>
    <mergeCell ref="NBI4764:NBI4765"/>
    <mergeCell ref="NBK4764:NBP4764"/>
    <mergeCell ref="NBQ4764:NBQ4765"/>
    <mergeCell ref="MZR4764:NAA4764"/>
    <mergeCell ref="NAC4764:NAC4765"/>
    <mergeCell ref="NAE4764:NAJ4764"/>
    <mergeCell ref="NAK4764:NAK4765"/>
    <mergeCell ref="NAL4764:NAL4765"/>
    <mergeCell ref="MYW4764:MYW4765"/>
    <mergeCell ref="MYY4764:MZD4764"/>
    <mergeCell ref="MZE4764:MZE4765"/>
    <mergeCell ref="MZF4764:MZF4765"/>
    <mergeCell ref="MZG4764:MZP4764"/>
    <mergeCell ref="MXS4764:MXX4764"/>
    <mergeCell ref="MXY4764:MXY4765"/>
    <mergeCell ref="MXZ4764:MXZ4765"/>
    <mergeCell ref="MYA4764:MYJ4764"/>
    <mergeCell ref="MYL4764:MYU4764"/>
    <mergeCell ref="MWS4764:MWS4765"/>
    <mergeCell ref="MWT4764:MWT4765"/>
    <mergeCell ref="MWU4764:MXD4764"/>
    <mergeCell ref="MXF4764:MXO4764"/>
    <mergeCell ref="MXQ4764:MXQ4765"/>
    <mergeCell ref="MVN4764:MVN4765"/>
    <mergeCell ref="MVO4764:MVX4764"/>
    <mergeCell ref="MVZ4764:MWI4764"/>
    <mergeCell ref="MWK4764:MWK4765"/>
    <mergeCell ref="MWM4764:MWR4764"/>
    <mergeCell ref="MUI4764:MUR4764"/>
    <mergeCell ref="MUT4764:MVC4764"/>
    <mergeCell ref="MVE4764:MVE4765"/>
    <mergeCell ref="MVG4764:MVL4764"/>
    <mergeCell ref="MVM4764:MVM4765"/>
    <mergeCell ref="MTN4764:MTW4764"/>
    <mergeCell ref="MTY4764:MTY4765"/>
    <mergeCell ref="MUA4764:MUF4764"/>
    <mergeCell ref="MUG4764:MUG4765"/>
    <mergeCell ref="MUH4764:MUH4765"/>
    <mergeCell ref="MSS4764:MSS4765"/>
    <mergeCell ref="MSU4764:MSZ4764"/>
    <mergeCell ref="MTA4764:MTA4765"/>
    <mergeCell ref="MTB4764:MTB4765"/>
    <mergeCell ref="MTC4764:MTL4764"/>
    <mergeCell ref="MRO4764:MRT4764"/>
    <mergeCell ref="MRU4764:MRU4765"/>
    <mergeCell ref="MRV4764:MRV4765"/>
    <mergeCell ref="MRW4764:MSF4764"/>
    <mergeCell ref="MSH4764:MSQ4764"/>
    <mergeCell ref="MQO4764:MQO4765"/>
    <mergeCell ref="MQP4764:MQP4765"/>
    <mergeCell ref="MQQ4764:MQZ4764"/>
    <mergeCell ref="MRB4764:MRK4764"/>
    <mergeCell ref="MRM4764:MRM4765"/>
    <mergeCell ref="MPJ4764:MPJ4765"/>
    <mergeCell ref="MPK4764:MPT4764"/>
    <mergeCell ref="MPV4764:MQE4764"/>
    <mergeCell ref="MQG4764:MQG4765"/>
    <mergeCell ref="MQI4764:MQN4764"/>
    <mergeCell ref="MOE4764:MON4764"/>
    <mergeCell ref="MOP4764:MOY4764"/>
    <mergeCell ref="MPA4764:MPA4765"/>
    <mergeCell ref="MPC4764:MPH4764"/>
    <mergeCell ref="MPI4764:MPI4765"/>
    <mergeCell ref="MNJ4764:MNS4764"/>
    <mergeCell ref="MNU4764:MNU4765"/>
    <mergeCell ref="MNW4764:MOB4764"/>
    <mergeCell ref="MOC4764:MOC4765"/>
    <mergeCell ref="MOD4764:MOD4765"/>
    <mergeCell ref="MMO4764:MMO4765"/>
    <mergeCell ref="MMQ4764:MMV4764"/>
    <mergeCell ref="MMW4764:MMW4765"/>
    <mergeCell ref="MMX4764:MMX4765"/>
    <mergeCell ref="MMY4764:MNH4764"/>
    <mergeCell ref="MLK4764:MLP4764"/>
    <mergeCell ref="MLQ4764:MLQ4765"/>
    <mergeCell ref="MLR4764:MLR4765"/>
    <mergeCell ref="MLS4764:MMB4764"/>
    <mergeCell ref="MMD4764:MMM4764"/>
    <mergeCell ref="MKK4764:MKK4765"/>
    <mergeCell ref="MKL4764:MKL4765"/>
    <mergeCell ref="MKM4764:MKV4764"/>
    <mergeCell ref="MKX4764:MLG4764"/>
    <mergeCell ref="MLI4764:MLI4765"/>
    <mergeCell ref="MJF4764:MJF4765"/>
    <mergeCell ref="MJG4764:MJP4764"/>
    <mergeCell ref="MJR4764:MKA4764"/>
    <mergeCell ref="MKC4764:MKC4765"/>
    <mergeCell ref="MKE4764:MKJ4764"/>
    <mergeCell ref="MIA4764:MIJ4764"/>
    <mergeCell ref="MIL4764:MIU4764"/>
    <mergeCell ref="MIW4764:MIW4765"/>
    <mergeCell ref="MIY4764:MJD4764"/>
    <mergeCell ref="MJE4764:MJE4765"/>
    <mergeCell ref="MHF4764:MHO4764"/>
    <mergeCell ref="MHQ4764:MHQ4765"/>
    <mergeCell ref="MHS4764:MHX4764"/>
    <mergeCell ref="MHY4764:MHY4765"/>
    <mergeCell ref="MHZ4764:MHZ4765"/>
    <mergeCell ref="MGK4764:MGK4765"/>
    <mergeCell ref="MGM4764:MGR4764"/>
    <mergeCell ref="MGS4764:MGS4765"/>
    <mergeCell ref="MGT4764:MGT4765"/>
    <mergeCell ref="MGU4764:MHD4764"/>
    <mergeCell ref="MFG4764:MFL4764"/>
    <mergeCell ref="MFM4764:MFM4765"/>
    <mergeCell ref="MFN4764:MFN4765"/>
    <mergeCell ref="MFO4764:MFX4764"/>
    <mergeCell ref="MFZ4764:MGI4764"/>
    <mergeCell ref="MEG4764:MEG4765"/>
    <mergeCell ref="MEH4764:MEH4765"/>
    <mergeCell ref="MEI4764:MER4764"/>
    <mergeCell ref="MET4764:MFC4764"/>
    <mergeCell ref="MFE4764:MFE4765"/>
    <mergeCell ref="MDB4764:MDB4765"/>
    <mergeCell ref="MDC4764:MDL4764"/>
    <mergeCell ref="MDN4764:MDW4764"/>
    <mergeCell ref="MDY4764:MDY4765"/>
    <mergeCell ref="MEA4764:MEF4764"/>
    <mergeCell ref="MBW4764:MCF4764"/>
    <mergeCell ref="MCH4764:MCQ4764"/>
    <mergeCell ref="MCS4764:MCS4765"/>
    <mergeCell ref="MCU4764:MCZ4764"/>
    <mergeCell ref="MDA4764:MDA4765"/>
    <mergeCell ref="MBB4764:MBK4764"/>
    <mergeCell ref="MBM4764:MBM4765"/>
    <mergeCell ref="MBO4764:MBT4764"/>
    <mergeCell ref="MBU4764:MBU4765"/>
    <mergeCell ref="MBV4764:MBV4765"/>
    <mergeCell ref="MAG4764:MAG4765"/>
    <mergeCell ref="MAI4764:MAN4764"/>
    <mergeCell ref="MAO4764:MAO4765"/>
    <mergeCell ref="MAP4764:MAP4765"/>
    <mergeCell ref="MAQ4764:MAZ4764"/>
    <mergeCell ref="LZC4764:LZH4764"/>
    <mergeCell ref="LZI4764:LZI4765"/>
    <mergeCell ref="LZJ4764:LZJ4765"/>
    <mergeCell ref="LZK4764:LZT4764"/>
    <mergeCell ref="LZV4764:MAE4764"/>
    <mergeCell ref="LYC4764:LYC4765"/>
    <mergeCell ref="LYD4764:LYD4765"/>
    <mergeCell ref="LYE4764:LYN4764"/>
    <mergeCell ref="LYP4764:LYY4764"/>
    <mergeCell ref="LZA4764:LZA4765"/>
    <mergeCell ref="LWX4764:LWX4765"/>
    <mergeCell ref="LWY4764:LXH4764"/>
    <mergeCell ref="LXJ4764:LXS4764"/>
    <mergeCell ref="LXU4764:LXU4765"/>
    <mergeCell ref="LXW4764:LYB4764"/>
    <mergeCell ref="LVS4764:LWB4764"/>
    <mergeCell ref="LWD4764:LWM4764"/>
    <mergeCell ref="LWO4764:LWO4765"/>
    <mergeCell ref="LWQ4764:LWV4764"/>
    <mergeCell ref="LWW4764:LWW4765"/>
    <mergeCell ref="LUX4764:LVG4764"/>
    <mergeCell ref="LVI4764:LVI4765"/>
    <mergeCell ref="LVK4764:LVP4764"/>
    <mergeCell ref="LVQ4764:LVQ4765"/>
    <mergeCell ref="LVR4764:LVR4765"/>
    <mergeCell ref="LUC4764:LUC4765"/>
    <mergeCell ref="LUE4764:LUJ4764"/>
    <mergeCell ref="LUK4764:LUK4765"/>
    <mergeCell ref="LUL4764:LUL4765"/>
    <mergeCell ref="LUM4764:LUV4764"/>
    <mergeCell ref="LSY4764:LTD4764"/>
    <mergeCell ref="LTE4764:LTE4765"/>
    <mergeCell ref="LTF4764:LTF4765"/>
    <mergeCell ref="LTG4764:LTP4764"/>
    <mergeCell ref="LTR4764:LUA4764"/>
    <mergeCell ref="LRY4764:LRY4765"/>
    <mergeCell ref="LRZ4764:LRZ4765"/>
    <mergeCell ref="LSA4764:LSJ4764"/>
    <mergeCell ref="LSL4764:LSU4764"/>
    <mergeCell ref="LSW4764:LSW4765"/>
    <mergeCell ref="LQT4764:LQT4765"/>
    <mergeCell ref="LQU4764:LRD4764"/>
    <mergeCell ref="LRF4764:LRO4764"/>
    <mergeCell ref="LRQ4764:LRQ4765"/>
    <mergeCell ref="LRS4764:LRX4764"/>
    <mergeCell ref="LPO4764:LPX4764"/>
    <mergeCell ref="LPZ4764:LQI4764"/>
    <mergeCell ref="LQK4764:LQK4765"/>
    <mergeCell ref="LQM4764:LQR4764"/>
    <mergeCell ref="LQS4764:LQS4765"/>
    <mergeCell ref="LOT4764:LPC4764"/>
    <mergeCell ref="LPE4764:LPE4765"/>
    <mergeCell ref="LPG4764:LPL4764"/>
    <mergeCell ref="LPM4764:LPM4765"/>
    <mergeCell ref="LPN4764:LPN4765"/>
    <mergeCell ref="LNY4764:LNY4765"/>
    <mergeCell ref="LOA4764:LOF4764"/>
    <mergeCell ref="LOG4764:LOG4765"/>
    <mergeCell ref="LOH4764:LOH4765"/>
    <mergeCell ref="LOI4764:LOR4764"/>
    <mergeCell ref="LMU4764:LMZ4764"/>
    <mergeCell ref="LNA4764:LNA4765"/>
    <mergeCell ref="LNB4764:LNB4765"/>
    <mergeCell ref="LNC4764:LNL4764"/>
    <mergeCell ref="LNN4764:LNW4764"/>
    <mergeCell ref="LLU4764:LLU4765"/>
    <mergeCell ref="LLV4764:LLV4765"/>
    <mergeCell ref="LLW4764:LMF4764"/>
    <mergeCell ref="LMH4764:LMQ4764"/>
    <mergeCell ref="LMS4764:LMS4765"/>
    <mergeCell ref="LKP4764:LKP4765"/>
    <mergeCell ref="LKQ4764:LKZ4764"/>
    <mergeCell ref="LLB4764:LLK4764"/>
    <mergeCell ref="LLM4764:LLM4765"/>
    <mergeCell ref="LLO4764:LLT4764"/>
    <mergeCell ref="LJK4764:LJT4764"/>
    <mergeCell ref="LJV4764:LKE4764"/>
    <mergeCell ref="LKG4764:LKG4765"/>
    <mergeCell ref="LKI4764:LKN4764"/>
    <mergeCell ref="LKO4764:LKO4765"/>
    <mergeCell ref="LIP4764:LIY4764"/>
    <mergeCell ref="LJA4764:LJA4765"/>
    <mergeCell ref="LJC4764:LJH4764"/>
    <mergeCell ref="LJI4764:LJI4765"/>
    <mergeCell ref="LJJ4764:LJJ4765"/>
    <mergeCell ref="LHU4764:LHU4765"/>
    <mergeCell ref="LHW4764:LIB4764"/>
    <mergeCell ref="LIC4764:LIC4765"/>
    <mergeCell ref="LID4764:LID4765"/>
    <mergeCell ref="LIE4764:LIN4764"/>
    <mergeCell ref="LGQ4764:LGV4764"/>
    <mergeCell ref="LGW4764:LGW4765"/>
    <mergeCell ref="LGX4764:LGX4765"/>
    <mergeCell ref="LGY4764:LHH4764"/>
    <mergeCell ref="LHJ4764:LHS4764"/>
    <mergeCell ref="LFQ4764:LFQ4765"/>
    <mergeCell ref="LFR4764:LFR4765"/>
    <mergeCell ref="LFS4764:LGB4764"/>
    <mergeCell ref="LGD4764:LGM4764"/>
    <mergeCell ref="LGO4764:LGO4765"/>
    <mergeCell ref="LEL4764:LEL4765"/>
    <mergeCell ref="LEM4764:LEV4764"/>
    <mergeCell ref="LEX4764:LFG4764"/>
    <mergeCell ref="LFI4764:LFI4765"/>
    <mergeCell ref="LFK4764:LFP4764"/>
    <mergeCell ref="LDG4764:LDP4764"/>
    <mergeCell ref="LDR4764:LEA4764"/>
    <mergeCell ref="LEC4764:LEC4765"/>
    <mergeCell ref="LEE4764:LEJ4764"/>
    <mergeCell ref="LEK4764:LEK4765"/>
    <mergeCell ref="LCL4764:LCU4764"/>
    <mergeCell ref="LCW4764:LCW4765"/>
    <mergeCell ref="LCY4764:LDD4764"/>
    <mergeCell ref="LDE4764:LDE4765"/>
    <mergeCell ref="LDF4764:LDF4765"/>
    <mergeCell ref="LBQ4764:LBQ4765"/>
    <mergeCell ref="LBS4764:LBX4764"/>
    <mergeCell ref="LBY4764:LBY4765"/>
    <mergeCell ref="LBZ4764:LBZ4765"/>
    <mergeCell ref="LCA4764:LCJ4764"/>
    <mergeCell ref="LAM4764:LAR4764"/>
    <mergeCell ref="LAS4764:LAS4765"/>
    <mergeCell ref="LAT4764:LAT4765"/>
    <mergeCell ref="LAU4764:LBD4764"/>
    <mergeCell ref="LBF4764:LBO4764"/>
    <mergeCell ref="KZM4764:KZM4765"/>
    <mergeCell ref="KZN4764:KZN4765"/>
    <mergeCell ref="KZO4764:KZX4764"/>
    <mergeCell ref="KZZ4764:LAI4764"/>
    <mergeCell ref="LAK4764:LAK4765"/>
    <mergeCell ref="KYH4764:KYH4765"/>
    <mergeCell ref="KYI4764:KYR4764"/>
    <mergeCell ref="KYT4764:KZC4764"/>
    <mergeCell ref="KZE4764:KZE4765"/>
    <mergeCell ref="KZG4764:KZL4764"/>
    <mergeCell ref="KXC4764:KXL4764"/>
    <mergeCell ref="KXN4764:KXW4764"/>
    <mergeCell ref="KXY4764:KXY4765"/>
    <mergeCell ref="KYA4764:KYF4764"/>
    <mergeCell ref="KYG4764:KYG4765"/>
    <mergeCell ref="KWH4764:KWQ4764"/>
    <mergeCell ref="KWS4764:KWS4765"/>
    <mergeCell ref="KWU4764:KWZ4764"/>
    <mergeCell ref="KXA4764:KXA4765"/>
    <mergeCell ref="KXB4764:KXB4765"/>
    <mergeCell ref="KVM4764:KVM4765"/>
    <mergeCell ref="KVO4764:KVT4764"/>
    <mergeCell ref="KVU4764:KVU4765"/>
    <mergeCell ref="KVV4764:KVV4765"/>
    <mergeCell ref="KVW4764:KWF4764"/>
    <mergeCell ref="KUI4764:KUN4764"/>
    <mergeCell ref="KUO4764:KUO4765"/>
    <mergeCell ref="KUP4764:KUP4765"/>
    <mergeCell ref="KUQ4764:KUZ4764"/>
    <mergeCell ref="KVB4764:KVK4764"/>
    <mergeCell ref="KTI4764:KTI4765"/>
    <mergeCell ref="KTJ4764:KTJ4765"/>
    <mergeCell ref="KTK4764:KTT4764"/>
    <mergeCell ref="KTV4764:KUE4764"/>
    <mergeCell ref="KUG4764:KUG4765"/>
    <mergeCell ref="KSD4764:KSD4765"/>
    <mergeCell ref="KSE4764:KSN4764"/>
    <mergeCell ref="KSP4764:KSY4764"/>
    <mergeCell ref="KTA4764:KTA4765"/>
    <mergeCell ref="KTC4764:KTH4764"/>
    <mergeCell ref="KQY4764:KRH4764"/>
    <mergeCell ref="KRJ4764:KRS4764"/>
    <mergeCell ref="KRU4764:KRU4765"/>
    <mergeCell ref="KRW4764:KSB4764"/>
    <mergeCell ref="KSC4764:KSC4765"/>
    <mergeCell ref="KQD4764:KQM4764"/>
    <mergeCell ref="KQO4764:KQO4765"/>
    <mergeCell ref="KQQ4764:KQV4764"/>
    <mergeCell ref="KQW4764:KQW4765"/>
    <mergeCell ref="KQX4764:KQX4765"/>
    <mergeCell ref="KPI4764:KPI4765"/>
    <mergeCell ref="KPK4764:KPP4764"/>
    <mergeCell ref="KPQ4764:KPQ4765"/>
    <mergeCell ref="KPR4764:KPR4765"/>
    <mergeCell ref="KPS4764:KQB4764"/>
    <mergeCell ref="KOE4764:KOJ4764"/>
    <mergeCell ref="KOK4764:KOK4765"/>
    <mergeCell ref="KOL4764:KOL4765"/>
    <mergeCell ref="KOM4764:KOV4764"/>
    <mergeCell ref="KOX4764:KPG4764"/>
    <mergeCell ref="KNE4764:KNE4765"/>
    <mergeCell ref="KNF4764:KNF4765"/>
    <mergeCell ref="KNG4764:KNP4764"/>
    <mergeCell ref="KNR4764:KOA4764"/>
    <mergeCell ref="KOC4764:KOC4765"/>
    <mergeCell ref="KLZ4764:KLZ4765"/>
    <mergeCell ref="KMA4764:KMJ4764"/>
    <mergeCell ref="KML4764:KMU4764"/>
    <mergeCell ref="KMW4764:KMW4765"/>
    <mergeCell ref="KMY4764:KND4764"/>
    <mergeCell ref="KKU4764:KLD4764"/>
    <mergeCell ref="KLF4764:KLO4764"/>
    <mergeCell ref="KLQ4764:KLQ4765"/>
    <mergeCell ref="KLS4764:KLX4764"/>
    <mergeCell ref="KLY4764:KLY4765"/>
    <mergeCell ref="KJZ4764:KKI4764"/>
    <mergeCell ref="KKK4764:KKK4765"/>
    <mergeCell ref="KKM4764:KKR4764"/>
    <mergeCell ref="KKS4764:KKS4765"/>
    <mergeCell ref="KKT4764:KKT4765"/>
    <mergeCell ref="KJE4764:KJE4765"/>
    <mergeCell ref="KJG4764:KJL4764"/>
    <mergeCell ref="KJM4764:KJM4765"/>
    <mergeCell ref="KJN4764:KJN4765"/>
    <mergeCell ref="KJO4764:KJX4764"/>
    <mergeCell ref="KIA4764:KIF4764"/>
    <mergeCell ref="KIG4764:KIG4765"/>
    <mergeCell ref="KIH4764:KIH4765"/>
    <mergeCell ref="KII4764:KIR4764"/>
    <mergeCell ref="KIT4764:KJC4764"/>
    <mergeCell ref="KHA4764:KHA4765"/>
    <mergeCell ref="KHB4764:KHB4765"/>
    <mergeCell ref="KHC4764:KHL4764"/>
    <mergeCell ref="KHN4764:KHW4764"/>
    <mergeCell ref="KHY4764:KHY4765"/>
    <mergeCell ref="KFV4764:KFV4765"/>
    <mergeCell ref="KFW4764:KGF4764"/>
    <mergeCell ref="KGH4764:KGQ4764"/>
    <mergeCell ref="KGS4764:KGS4765"/>
    <mergeCell ref="KGU4764:KGZ4764"/>
    <mergeCell ref="KEQ4764:KEZ4764"/>
    <mergeCell ref="KFB4764:KFK4764"/>
    <mergeCell ref="KFM4764:KFM4765"/>
    <mergeCell ref="KFO4764:KFT4764"/>
    <mergeCell ref="KFU4764:KFU4765"/>
    <mergeCell ref="KDV4764:KEE4764"/>
    <mergeCell ref="KEG4764:KEG4765"/>
    <mergeCell ref="KEI4764:KEN4764"/>
    <mergeCell ref="KEO4764:KEO4765"/>
    <mergeCell ref="KEP4764:KEP4765"/>
    <mergeCell ref="KDA4764:KDA4765"/>
    <mergeCell ref="KDC4764:KDH4764"/>
    <mergeCell ref="KDI4764:KDI4765"/>
    <mergeCell ref="KDJ4764:KDJ4765"/>
    <mergeCell ref="KDK4764:KDT4764"/>
    <mergeCell ref="KBW4764:KCB4764"/>
    <mergeCell ref="KCC4764:KCC4765"/>
    <mergeCell ref="KCD4764:KCD4765"/>
    <mergeCell ref="KCE4764:KCN4764"/>
    <mergeCell ref="KCP4764:KCY4764"/>
    <mergeCell ref="KAW4764:KAW4765"/>
    <mergeCell ref="KAX4764:KAX4765"/>
    <mergeCell ref="KAY4764:KBH4764"/>
    <mergeCell ref="KBJ4764:KBS4764"/>
    <mergeCell ref="KBU4764:KBU4765"/>
    <mergeCell ref="JZR4764:JZR4765"/>
    <mergeCell ref="JZS4764:KAB4764"/>
    <mergeCell ref="KAD4764:KAM4764"/>
    <mergeCell ref="KAO4764:KAO4765"/>
    <mergeCell ref="KAQ4764:KAV4764"/>
    <mergeCell ref="JYM4764:JYV4764"/>
    <mergeCell ref="JYX4764:JZG4764"/>
    <mergeCell ref="JZI4764:JZI4765"/>
    <mergeCell ref="JZK4764:JZP4764"/>
    <mergeCell ref="JZQ4764:JZQ4765"/>
    <mergeCell ref="JXR4764:JYA4764"/>
    <mergeCell ref="JYC4764:JYC4765"/>
    <mergeCell ref="JYE4764:JYJ4764"/>
    <mergeCell ref="JYK4764:JYK4765"/>
    <mergeCell ref="JYL4764:JYL4765"/>
    <mergeCell ref="JWW4764:JWW4765"/>
    <mergeCell ref="JWY4764:JXD4764"/>
    <mergeCell ref="JXE4764:JXE4765"/>
    <mergeCell ref="JXF4764:JXF4765"/>
    <mergeCell ref="JXG4764:JXP4764"/>
    <mergeCell ref="JVS4764:JVX4764"/>
    <mergeCell ref="JVY4764:JVY4765"/>
    <mergeCell ref="JVZ4764:JVZ4765"/>
    <mergeCell ref="JWA4764:JWJ4764"/>
    <mergeCell ref="JWL4764:JWU4764"/>
    <mergeCell ref="JUS4764:JUS4765"/>
    <mergeCell ref="JUT4764:JUT4765"/>
    <mergeCell ref="JUU4764:JVD4764"/>
    <mergeCell ref="JVF4764:JVO4764"/>
    <mergeCell ref="JVQ4764:JVQ4765"/>
    <mergeCell ref="JTN4764:JTN4765"/>
    <mergeCell ref="JTO4764:JTX4764"/>
    <mergeCell ref="JTZ4764:JUI4764"/>
    <mergeCell ref="JUK4764:JUK4765"/>
    <mergeCell ref="JUM4764:JUR4764"/>
    <mergeCell ref="JSI4764:JSR4764"/>
    <mergeCell ref="JST4764:JTC4764"/>
    <mergeCell ref="JTE4764:JTE4765"/>
    <mergeCell ref="JTG4764:JTL4764"/>
    <mergeCell ref="JTM4764:JTM4765"/>
    <mergeCell ref="JRN4764:JRW4764"/>
    <mergeCell ref="JRY4764:JRY4765"/>
    <mergeCell ref="JSA4764:JSF4764"/>
    <mergeCell ref="JSG4764:JSG4765"/>
    <mergeCell ref="JSH4764:JSH4765"/>
    <mergeCell ref="JQS4764:JQS4765"/>
    <mergeCell ref="JQU4764:JQZ4764"/>
    <mergeCell ref="JRA4764:JRA4765"/>
    <mergeCell ref="JRB4764:JRB4765"/>
    <mergeCell ref="JRC4764:JRL4764"/>
    <mergeCell ref="JPO4764:JPT4764"/>
    <mergeCell ref="JPU4764:JPU4765"/>
    <mergeCell ref="JPV4764:JPV4765"/>
    <mergeCell ref="JPW4764:JQF4764"/>
    <mergeCell ref="JQH4764:JQQ4764"/>
    <mergeCell ref="JOO4764:JOO4765"/>
    <mergeCell ref="JOP4764:JOP4765"/>
    <mergeCell ref="JOQ4764:JOZ4764"/>
    <mergeCell ref="JPB4764:JPK4764"/>
    <mergeCell ref="JPM4764:JPM4765"/>
    <mergeCell ref="JNJ4764:JNJ4765"/>
    <mergeCell ref="JNK4764:JNT4764"/>
    <mergeCell ref="JNV4764:JOE4764"/>
    <mergeCell ref="JOG4764:JOG4765"/>
    <mergeCell ref="JOI4764:JON4764"/>
    <mergeCell ref="JME4764:JMN4764"/>
    <mergeCell ref="JMP4764:JMY4764"/>
    <mergeCell ref="JNA4764:JNA4765"/>
    <mergeCell ref="JNC4764:JNH4764"/>
    <mergeCell ref="JNI4764:JNI4765"/>
    <mergeCell ref="JLJ4764:JLS4764"/>
    <mergeCell ref="JLU4764:JLU4765"/>
    <mergeCell ref="JLW4764:JMB4764"/>
    <mergeCell ref="JMC4764:JMC4765"/>
    <mergeCell ref="JMD4764:JMD4765"/>
    <mergeCell ref="JKO4764:JKO4765"/>
    <mergeCell ref="JKQ4764:JKV4764"/>
    <mergeCell ref="JKW4764:JKW4765"/>
    <mergeCell ref="JKX4764:JKX4765"/>
    <mergeCell ref="JKY4764:JLH4764"/>
    <mergeCell ref="JJK4764:JJP4764"/>
    <mergeCell ref="JJQ4764:JJQ4765"/>
    <mergeCell ref="JJR4764:JJR4765"/>
    <mergeCell ref="JJS4764:JKB4764"/>
    <mergeCell ref="JKD4764:JKM4764"/>
    <mergeCell ref="JIK4764:JIK4765"/>
    <mergeCell ref="JIL4764:JIL4765"/>
    <mergeCell ref="JIM4764:JIV4764"/>
    <mergeCell ref="JIX4764:JJG4764"/>
    <mergeCell ref="JJI4764:JJI4765"/>
    <mergeCell ref="JHF4764:JHF4765"/>
    <mergeCell ref="JHG4764:JHP4764"/>
    <mergeCell ref="JHR4764:JIA4764"/>
    <mergeCell ref="JIC4764:JIC4765"/>
    <mergeCell ref="JIE4764:JIJ4764"/>
    <mergeCell ref="JGA4764:JGJ4764"/>
    <mergeCell ref="JGL4764:JGU4764"/>
    <mergeCell ref="JGW4764:JGW4765"/>
    <mergeCell ref="JGY4764:JHD4764"/>
    <mergeCell ref="JHE4764:JHE4765"/>
    <mergeCell ref="JFF4764:JFO4764"/>
    <mergeCell ref="JFQ4764:JFQ4765"/>
    <mergeCell ref="JFS4764:JFX4764"/>
    <mergeCell ref="JFY4764:JFY4765"/>
    <mergeCell ref="JFZ4764:JFZ4765"/>
    <mergeCell ref="JEK4764:JEK4765"/>
    <mergeCell ref="JEM4764:JER4764"/>
    <mergeCell ref="JES4764:JES4765"/>
    <mergeCell ref="JET4764:JET4765"/>
    <mergeCell ref="JEU4764:JFD4764"/>
    <mergeCell ref="JDG4764:JDL4764"/>
    <mergeCell ref="JDM4764:JDM4765"/>
    <mergeCell ref="JDN4764:JDN4765"/>
    <mergeCell ref="JDO4764:JDX4764"/>
    <mergeCell ref="JDZ4764:JEI4764"/>
    <mergeCell ref="JCG4764:JCG4765"/>
    <mergeCell ref="JCH4764:JCH4765"/>
    <mergeCell ref="JCI4764:JCR4764"/>
    <mergeCell ref="JCT4764:JDC4764"/>
    <mergeCell ref="JDE4764:JDE4765"/>
    <mergeCell ref="JBB4764:JBB4765"/>
    <mergeCell ref="JBC4764:JBL4764"/>
    <mergeCell ref="JBN4764:JBW4764"/>
    <mergeCell ref="JBY4764:JBY4765"/>
    <mergeCell ref="JCA4764:JCF4764"/>
    <mergeCell ref="IZW4764:JAF4764"/>
    <mergeCell ref="JAH4764:JAQ4764"/>
    <mergeCell ref="JAS4764:JAS4765"/>
    <mergeCell ref="JAU4764:JAZ4764"/>
    <mergeCell ref="JBA4764:JBA4765"/>
    <mergeCell ref="IZB4764:IZK4764"/>
    <mergeCell ref="IZM4764:IZM4765"/>
    <mergeCell ref="IZO4764:IZT4764"/>
    <mergeCell ref="IZU4764:IZU4765"/>
    <mergeCell ref="IZV4764:IZV4765"/>
    <mergeCell ref="IYG4764:IYG4765"/>
    <mergeCell ref="IYI4764:IYN4764"/>
    <mergeCell ref="IYO4764:IYO4765"/>
    <mergeCell ref="IYP4764:IYP4765"/>
    <mergeCell ref="IYQ4764:IYZ4764"/>
    <mergeCell ref="IXC4764:IXH4764"/>
    <mergeCell ref="IXI4764:IXI4765"/>
    <mergeCell ref="IXJ4764:IXJ4765"/>
    <mergeCell ref="IXK4764:IXT4764"/>
    <mergeCell ref="IXV4764:IYE4764"/>
    <mergeCell ref="IWC4764:IWC4765"/>
    <mergeCell ref="IWD4764:IWD4765"/>
    <mergeCell ref="IWE4764:IWN4764"/>
    <mergeCell ref="IWP4764:IWY4764"/>
    <mergeCell ref="IXA4764:IXA4765"/>
    <mergeCell ref="IUX4764:IUX4765"/>
    <mergeCell ref="IUY4764:IVH4764"/>
    <mergeCell ref="IVJ4764:IVS4764"/>
    <mergeCell ref="IVU4764:IVU4765"/>
    <mergeCell ref="IVW4764:IWB4764"/>
    <mergeCell ref="ITS4764:IUB4764"/>
    <mergeCell ref="IUD4764:IUM4764"/>
    <mergeCell ref="IUO4764:IUO4765"/>
    <mergeCell ref="IUQ4764:IUV4764"/>
    <mergeCell ref="IUW4764:IUW4765"/>
    <mergeCell ref="ISX4764:ITG4764"/>
    <mergeCell ref="ITI4764:ITI4765"/>
    <mergeCell ref="ITK4764:ITP4764"/>
    <mergeCell ref="ITQ4764:ITQ4765"/>
    <mergeCell ref="ITR4764:ITR4765"/>
    <mergeCell ref="ISC4764:ISC4765"/>
    <mergeCell ref="ISE4764:ISJ4764"/>
    <mergeCell ref="ISK4764:ISK4765"/>
    <mergeCell ref="ISL4764:ISL4765"/>
    <mergeCell ref="ISM4764:ISV4764"/>
    <mergeCell ref="IQY4764:IRD4764"/>
    <mergeCell ref="IRE4764:IRE4765"/>
    <mergeCell ref="IRF4764:IRF4765"/>
    <mergeCell ref="IRG4764:IRP4764"/>
    <mergeCell ref="IRR4764:ISA4764"/>
    <mergeCell ref="IPY4764:IPY4765"/>
    <mergeCell ref="IPZ4764:IPZ4765"/>
    <mergeCell ref="IQA4764:IQJ4764"/>
    <mergeCell ref="IQL4764:IQU4764"/>
    <mergeCell ref="IQW4764:IQW4765"/>
    <mergeCell ref="IOT4764:IOT4765"/>
    <mergeCell ref="IOU4764:IPD4764"/>
    <mergeCell ref="IPF4764:IPO4764"/>
    <mergeCell ref="IPQ4764:IPQ4765"/>
    <mergeCell ref="IPS4764:IPX4764"/>
    <mergeCell ref="INO4764:INX4764"/>
    <mergeCell ref="INZ4764:IOI4764"/>
    <mergeCell ref="IOK4764:IOK4765"/>
    <mergeCell ref="IOM4764:IOR4764"/>
    <mergeCell ref="IOS4764:IOS4765"/>
    <mergeCell ref="IMT4764:INC4764"/>
    <mergeCell ref="INE4764:INE4765"/>
    <mergeCell ref="ING4764:INL4764"/>
    <mergeCell ref="INM4764:INM4765"/>
    <mergeCell ref="INN4764:INN4765"/>
    <mergeCell ref="ILY4764:ILY4765"/>
    <mergeCell ref="IMA4764:IMF4764"/>
    <mergeCell ref="IMG4764:IMG4765"/>
    <mergeCell ref="IMH4764:IMH4765"/>
    <mergeCell ref="IMI4764:IMR4764"/>
    <mergeCell ref="IKU4764:IKZ4764"/>
    <mergeCell ref="ILA4764:ILA4765"/>
    <mergeCell ref="ILB4764:ILB4765"/>
    <mergeCell ref="ILC4764:ILL4764"/>
    <mergeCell ref="ILN4764:ILW4764"/>
    <mergeCell ref="IJU4764:IJU4765"/>
    <mergeCell ref="IJV4764:IJV4765"/>
    <mergeCell ref="IJW4764:IKF4764"/>
    <mergeCell ref="IKH4764:IKQ4764"/>
    <mergeCell ref="IKS4764:IKS4765"/>
    <mergeCell ref="IIP4764:IIP4765"/>
    <mergeCell ref="IIQ4764:IIZ4764"/>
    <mergeCell ref="IJB4764:IJK4764"/>
    <mergeCell ref="IJM4764:IJM4765"/>
    <mergeCell ref="IJO4764:IJT4764"/>
    <mergeCell ref="IHK4764:IHT4764"/>
    <mergeCell ref="IHV4764:IIE4764"/>
    <mergeCell ref="IIG4764:IIG4765"/>
    <mergeCell ref="III4764:IIN4764"/>
    <mergeCell ref="IIO4764:IIO4765"/>
    <mergeCell ref="IGP4764:IGY4764"/>
    <mergeCell ref="IHA4764:IHA4765"/>
    <mergeCell ref="IHC4764:IHH4764"/>
    <mergeCell ref="IHI4764:IHI4765"/>
    <mergeCell ref="IHJ4764:IHJ4765"/>
    <mergeCell ref="IFU4764:IFU4765"/>
    <mergeCell ref="IFW4764:IGB4764"/>
    <mergeCell ref="IGC4764:IGC4765"/>
    <mergeCell ref="IGD4764:IGD4765"/>
    <mergeCell ref="IGE4764:IGN4764"/>
    <mergeCell ref="IEQ4764:IEV4764"/>
    <mergeCell ref="IEW4764:IEW4765"/>
    <mergeCell ref="IEX4764:IEX4765"/>
    <mergeCell ref="IEY4764:IFH4764"/>
    <mergeCell ref="IFJ4764:IFS4764"/>
    <mergeCell ref="IDQ4764:IDQ4765"/>
    <mergeCell ref="IDR4764:IDR4765"/>
    <mergeCell ref="IDS4764:IEB4764"/>
    <mergeCell ref="IED4764:IEM4764"/>
    <mergeCell ref="IEO4764:IEO4765"/>
    <mergeCell ref="ICL4764:ICL4765"/>
    <mergeCell ref="ICM4764:ICV4764"/>
    <mergeCell ref="ICX4764:IDG4764"/>
    <mergeCell ref="IDI4764:IDI4765"/>
    <mergeCell ref="IDK4764:IDP4764"/>
    <mergeCell ref="IBG4764:IBP4764"/>
    <mergeCell ref="IBR4764:ICA4764"/>
    <mergeCell ref="ICC4764:ICC4765"/>
    <mergeCell ref="ICE4764:ICJ4764"/>
    <mergeCell ref="ICK4764:ICK4765"/>
    <mergeCell ref="IAL4764:IAU4764"/>
    <mergeCell ref="IAW4764:IAW4765"/>
    <mergeCell ref="IAY4764:IBD4764"/>
    <mergeCell ref="IBE4764:IBE4765"/>
    <mergeCell ref="IBF4764:IBF4765"/>
    <mergeCell ref="HZQ4764:HZQ4765"/>
    <mergeCell ref="HZS4764:HZX4764"/>
    <mergeCell ref="HZY4764:HZY4765"/>
    <mergeCell ref="HZZ4764:HZZ4765"/>
    <mergeCell ref="IAA4764:IAJ4764"/>
    <mergeCell ref="HYM4764:HYR4764"/>
    <mergeCell ref="HYS4764:HYS4765"/>
    <mergeCell ref="HYT4764:HYT4765"/>
    <mergeCell ref="HYU4764:HZD4764"/>
    <mergeCell ref="HZF4764:HZO4764"/>
    <mergeCell ref="HXM4764:HXM4765"/>
    <mergeCell ref="HXN4764:HXN4765"/>
    <mergeCell ref="HXO4764:HXX4764"/>
    <mergeCell ref="HXZ4764:HYI4764"/>
    <mergeCell ref="HYK4764:HYK4765"/>
    <mergeCell ref="HWH4764:HWH4765"/>
    <mergeCell ref="HWI4764:HWR4764"/>
    <mergeCell ref="HWT4764:HXC4764"/>
    <mergeCell ref="HXE4764:HXE4765"/>
    <mergeCell ref="HXG4764:HXL4764"/>
    <mergeCell ref="HVC4764:HVL4764"/>
    <mergeCell ref="HVN4764:HVW4764"/>
    <mergeCell ref="HVY4764:HVY4765"/>
    <mergeCell ref="HWA4764:HWF4764"/>
    <mergeCell ref="HWG4764:HWG4765"/>
    <mergeCell ref="HUH4764:HUQ4764"/>
    <mergeCell ref="HUS4764:HUS4765"/>
    <mergeCell ref="HUU4764:HUZ4764"/>
    <mergeCell ref="HVA4764:HVA4765"/>
    <mergeCell ref="HVB4764:HVB4765"/>
    <mergeCell ref="HTM4764:HTM4765"/>
    <mergeCell ref="HTO4764:HTT4764"/>
    <mergeCell ref="HTU4764:HTU4765"/>
    <mergeCell ref="HTV4764:HTV4765"/>
    <mergeCell ref="HTW4764:HUF4764"/>
    <mergeCell ref="HSI4764:HSN4764"/>
    <mergeCell ref="HSO4764:HSO4765"/>
    <mergeCell ref="HSP4764:HSP4765"/>
    <mergeCell ref="HSQ4764:HSZ4764"/>
    <mergeCell ref="HTB4764:HTK4764"/>
    <mergeCell ref="HRI4764:HRI4765"/>
    <mergeCell ref="HRJ4764:HRJ4765"/>
    <mergeCell ref="HRK4764:HRT4764"/>
    <mergeCell ref="HRV4764:HSE4764"/>
    <mergeCell ref="HSG4764:HSG4765"/>
    <mergeCell ref="HQD4764:HQD4765"/>
    <mergeCell ref="HQE4764:HQN4764"/>
    <mergeCell ref="HQP4764:HQY4764"/>
    <mergeCell ref="HRA4764:HRA4765"/>
    <mergeCell ref="HRC4764:HRH4764"/>
    <mergeCell ref="HOY4764:HPH4764"/>
    <mergeCell ref="HPJ4764:HPS4764"/>
    <mergeCell ref="HPU4764:HPU4765"/>
    <mergeCell ref="HPW4764:HQB4764"/>
    <mergeCell ref="HQC4764:HQC4765"/>
    <mergeCell ref="HOD4764:HOM4764"/>
    <mergeCell ref="HOO4764:HOO4765"/>
    <mergeCell ref="HOQ4764:HOV4764"/>
    <mergeCell ref="HOW4764:HOW4765"/>
    <mergeCell ref="HOX4764:HOX4765"/>
    <mergeCell ref="HNI4764:HNI4765"/>
    <mergeCell ref="HNK4764:HNP4764"/>
    <mergeCell ref="HNQ4764:HNQ4765"/>
    <mergeCell ref="HNR4764:HNR4765"/>
    <mergeCell ref="HNS4764:HOB4764"/>
    <mergeCell ref="HME4764:HMJ4764"/>
    <mergeCell ref="HMK4764:HMK4765"/>
    <mergeCell ref="HML4764:HML4765"/>
    <mergeCell ref="HMM4764:HMV4764"/>
    <mergeCell ref="HMX4764:HNG4764"/>
    <mergeCell ref="HLE4764:HLE4765"/>
    <mergeCell ref="HLF4764:HLF4765"/>
    <mergeCell ref="HLG4764:HLP4764"/>
    <mergeCell ref="HLR4764:HMA4764"/>
    <mergeCell ref="HMC4764:HMC4765"/>
    <mergeCell ref="HJZ4764:HJZ4765"/>
    <mergeCell ref="HKA4764:HKJ4764"/>
    <mergeCell ref="HKL4764:HKU4764"/>
    <mergeCell ref="HKW4764:HKW4765"/>
    <mergeCell ref="HKY4764:HLD4764"/>
    <mergeCell ref="HIU4764:HJD4764"/>
    <mergeCell ref="HJF4764:HJO4764"/>
    <mergeCell ref="HJQ4764:HJQ4765"/>
    <mergeCell ref="HJS4764:HJX4764"/>
    <mergeCell ref="HJY4764:HJY4765"/>
    <mergeCell ref="HHZ4764:HII4764"/>
    <mergeCell ref="HIK4764:HIK4765"/>
    <mergeCell ref="HIM4764:HIR4764"/>
    <mergeCell ref="HIS4764:HIS4765"/>
    <mergeCell ref="HIT4764:HIT4765"/>
    <mergeCell ref="HHE4764:HHE4765"/>
    <mergeCell ref="HHG4764:HHL4764"/>
    <mergeCell ref="HHM4764:HHM4765"/>
    <mergeCell ref="HHN4764:HHN4765"/>
    <mergeCell ref="HHO4764:HHX4764"/>
    <mergeCell ref="HGA4764:HGF4764"/>
    <mergeCell ref="HGG4764:HGG4765"/>
    <mergeCell ref="HGH4764:HGH4765"/>
    <mergeCell ref="HGI4764:HGR4764"/>
    <mergeCell ref="HGT4764:HHC4764"/>
    <mergeCell ref="HFA4764:HFA4765"/>
    <mergeCell ref="HFB4764:HFB4765"/>
    <mergeCell ref="HFC4764:HFL4764"/>
    <mergeCell ref="HFN4764:HFW4764"/>
    <mergeCell ref="HFY4764:HFY4765"/>
    <mergeCell ref="HDV4764:HDV4765"/>
    <mergeCell ref="HDW4764:HEF4764"/>
    <mergeCell ref="HEH4764:HEQ4764"/>
    <mergeCell ref="HES4764:HES4765"/>
    <mergeCell ref="HEU4764:HEZ4764"/>
    <mergeCell ref="HCQ4764:HCZ4764"/>
    <mergeCell ref="HDB4764:HDK4764"/>
    <mergeCell ref="HDM4764:HDM4765"/>
    <mergeCell ref="HDO4764:HDT4764"/>
    <mergeCell ref="HDU4764:HDU4765"/>
    <mergeCell ref="HBV4764:HCE4764"/>
    <mergeCell ref="HCG4764:HCG4765"/>
    <mergeCell ref="HCI4764:HCN4764"/>
    <mergeCell ref="HCO4764:HCO4765"/>
    <mergeCell ref="HCP4764:HCP4765"/>
    <mergeCell ref="HBA4764:HBA4765"/>
    <mergeCell ref="HBC4764:HBH4764"/>
    <mergeCell ref="HBI4764:HBI4765"/>
    <mergeCell ref="HBJ4764:HBJ4765"/>
    <mergeCell ref="HBK4764:HBT4764"/>
    <mergeCell ref="GZW4764:HAB4764"/>
    <mergeCell ref="HAC4764:HAC4765"/>
    <mergeCell ref="HAD4764:HAD4765"/>
    <mergeCell ref="HAE4764:HAN4764"/>
    <mergeCell ref="HAP4764:HAY4764"/>
    <mergeCell ref="GYW4764:GYW4765"/>
    <mergeCell ref="GYX4764:GYX4765"/>
    <mergeCell ref="GYY4764:GZH4764"/>
    <mergeCell ref="GZJ4764:GZS4764"/>
    <mergeCell ref="GZU4764:GZU4765"/>
    <mergeCell ref="GXR4764:GXR4765"/>
    <mergeCell ref="GXS4764:GYB4764"/>
    <mergeCell ref="GYD4764:GYM4764"/>
    <mergeCell ref="GYO4764:GYO4765"/>
    <mergeCell ref="GYQ4764:GYV4764"/>
    <mergeCell ref="GWM4764:GWV4764"/>
    <mergeCell ref="GWX4764:GXG4764"/>
    <mergeCell ref="GXI4764:GXI4765"/>
    <mergeCell ref="GXK4764:GXP4764"/>
    <mergeCell ref="GXQ4764:GXQ4765"/>
    <mergeCell ref="GVR4764:GWA4764"/>
    <mergeCell ref="GWC4764:GWC4765"/>
    <mergeCell ref="GWE4764:GWJ4764"/>
    <mergeCell ref="GWK4764:GWK4765"/>
    <mergeCell ref="GWL4764:GWL4765"/>
    <mergeCell ref="GUW4764:GUW4765"/>
    <mergeCell ref="GUY4764:GVD4764"/>
    <mergeCell ref="GVE4764:GVE4765"/>
    <mergeCell ref="GVF4764:GVF4765"/>
    <mergeCell ref="GVG4764:GVP4764"/>
    <mergeCell ref="GTS4764:GTX4764"/>
    <mergeCell ref="GTY4764:GTY4765"/>
    <mergeCell ref="GTZ4764:GTZ4765"/>
    <mergeCell ref="GUA4764:GUJ4764"/>
    <mergeCell ref="GUL4764:GUU4764"/>
    <mergeCell ref="GSS4764:GSS4765"/>
    <mergeCell ref="GST4764:GST4765"/>
    <mergeCell ref="GSU4764:GTD4764"/>
    <mergeCell ref="GTF4764:GTO4764"/>
    <mergeCell ref="GTQ4764:GTQ4765"/>
    <mergeCell ref="GRN4764:GRN4765"/>
    <mergeCell ref="GRO4764:GRX4764"/>
    <mergeCell ref="GRZ4764:GSI4764"/>
    <mergeCell ref="GSK4764:GSK4765"/>
    <mergeCell ref="GSM4764:GSR4764"/>
    <mergeCell ref="GQI4764:GQR4764"/>
    <mergeCell ref="GQT4764:GRC4764"/>
    <mergeCell ref="GRE4764:GRE4765"/>
    <mergeCell ref="GRG4764:GRL4764"/>
    <mergeCell ref="GRM4764:GRM4765"/>
    <mergeCell ref="GPN4764:GPW4764"/>
    <mergeCell ref="GPY4764:GPY4765"/>
    <mergeCell ref="GQA4764:GQF4764"/>
    <mergeCell ref="GQG4764:GQG4765"/>
    <mergeCell ref="GQH4764:GQH4765"/>
    <mergeCell ref="GOS4764:GOS4765"/>
    <mergeCell ref="GOU4764:GOZ4764"/>
    <mergeCell ref="GPA4764:GPA4765"/>
    <mergeCell ref="GPB4764:GPB4765"/>
    <mergeCell ref="GPC4764:GPL4764"/>
    <mergeCell ref="GNO4764:GNT4764"/>
    <mergeCell ref="GNU4764:GNU4765"/>
    <mergeCell ref="GNV4764:GNV4765"/>
    <mergeCell ref="GNW4764:GOF4764"/>
    <mergeCell ref="GOH4764:GOQ4764"/>
    <mergeCell ref="GMO4764:GMO4765"/>
    <mergeCell ref="GMP4764:GMP4765"/>
    <mergeCell ref="GMQ4764:GMZ4764"/>
    <mergeCell ref="GNB4764:GNK4764"/>
    <mergeCell ref="GNM4764:GNM4765"/>
    <mergeCell ref="GLJ4764:GLJ4765"/>
    <mergeCell ref="GLK4764:GLT4764"/>
    <mergeCell ref="GLV4764:GME4764"/>
    <mergeCell ref="GMG4764:GMG4765"/>
    <mergeCell ref="GMI4764:GMN4764"/>
    <mergeCell ref="GKE4764:GKN4764"/>
    <mergeCell ref="GKP4764:GKY4764"/>
    <mergeCell ref="GLA4764:GLA4765"/>
    <mergeCell ref="GLC4764:GLH4764"/>
    <mergeCell ref="GLI4764:GLI4765"/>
    <mergeCell ref="GJJ4764:GJS4764"/>
    <mergeCell ref="GJU4764:GJU4765"/>
    <mergeCell ref="GJW4764:GKB4764"/>
    <mergeCell ref="GKC4764:GKC4765"/>
    <mergeCell ref="GKD4764:GKD4765"/>
    <mergeCell ref="GIO4764:GIO4765"/>
    <mergeCell ref="GIQ4764:GIV4764"/>
    <mergeCell ref="GIW4764:GIW4765"/>
    <mergeCell ref="GIX4764:GIX4765"/>
    <mergeCell ref="GIY4764:GJH4764"/>
    <mergeCell ref="GHK4764:GHP4764"/>
    <mergeCell ref="GHQ4764:GHQ4765"/>
    <mergeCell ref="GHR4764:GHR4765"/>
    <mergeCell ref="GHS4764:GIB4764"/>
    <mergeCell ref="GID4764:GIM4764"/>
    <mergeCell ref="GGK4764:GGK4765"/>
    <mergeCell ref="GGL4764:GGL4765"/>
    <mergeCell ref="GGM4764:GGV4764"/>
    <mergeCell ref="GGX4764:GHG4764"/>
    <mergeCell ref="GHI4764:GHI4765"/>
    <mergeCell ref="GFF4764:GFF4765"/>
    <mergeCell ref="GFG4764:GFP4764"/>
    <mergeCell ref="GFR4764:GGA4764"/>
    <mergeCell ref="GGC4764:GGC4765"/>
    <mergeCell ref="GGE4764:GGJ4764"/>
    <mergeCell ref="GEA4764:GEJ4764"/>
    <mergeCell ref="GEL4764:GEU4764"/>
    <mergeCell ref="GEW4764:GEW4765"/>
    <mergeCell ref="GEY4764:GFD4764"/>
    <mergeCell ref="GFE4764:GFE4765"/>
    <mergeCell ref="GDF4764:GDO4764"/>
    <mergeCell ref="GDQ4764:GDQ4765"/>
    <mergeCell ref="GDS4764:GDX4764"/>
    <mergeCell ref="GDY4764:GDY4765"/>
    <mergeCell ref="GDZ4764:GDZ4765"/>
    <mergeCell ref="GCK4764:GCK4765"/>
    <mergeCell ref="GCM4764:GCR4764"/>
    <mergeCell ref="GCS4764:GCS4765"/>
    <mergeCell ref="GCT4764:GCT4765"/>
    <mergeCell ref="GCU4764:GDD4764"/>
    <mergeCell ref="GBG4764:GBL4764"/>
    <mergeCell ref="GBM4764:GBM4765"/>
    <mergeCell ref="GBN4764:GBN4765"/>
    <mergeCell ref="GBO4764:GBX4764"/>
    <mergeCell ref="GBZ4764:GCI4764"/>
    <mergeCell ref="GAG4764:GAG4765"/>
    <mergeCell ref="GAH4764:GAH4765"/>
    <mergeCell ref="GAI4764:GAR4764"/>
    <mergeCell ref="GAT4764:GBC4764"/>
    <mergeCell ref="GBE4764:GBE4765"/>
    <mergeCell ref="FZB4764:FZB4765"/>
    <mergeCell ref="FZC4764:FZL4764"/>
    <mergeCell ref="FZN4764:FZW4764"/>
    <mergeCell ref="FZY4764:FZY4765"/>
    <mergeCell ref="GAA4764:GAF4764"/>
    <mergeCell ref="FXW4764:FYF4764"/>
    <mergeCell ref="FYH4764:FYQ4764"/>
    <mergeCell ref="FYS4764:FYS4765"/>
    <mergeCell ref="FYU4764:FYZ4764"/>
    <mergeCell ref="FZA4764:FZA4765"/>
    <mergeCell ref="FXB4764:FXK4764"/>
    <mergeCell ref="FXM4764:FXM4765"/>
    <mergeCell ref="FXO4764:FXT4764"/>
    <mergeCell ref="FXU4764:FXU4765"/>
    <mergeCell ref="FXV4764:FXV4765"/>
    <mergeCell ref="FWG4764:FWG4765"/>
    <mergeCell ref="FWI4764:FWN4764"/>
    <mergeCell ref="FWO4764:FWO4765"/>
    <mergeCell ref="FWP4764:FWP4765"/>
    <mergeCell ref="FWQ4764:FWZ4764"/>
    <mergeCell ref="FVC4764:FVH4764"/>
    <mergeCell ref="FVI4764:FVI4765"/>
    <mergeCell ref="FVJ4764:FVJ4765"/>
    <mergeCell ref="FVK4764:FVT4764"/>
    <mergeCell ref="FVV4764:FWE4764"/>
    <mergeCell ref="FUC4764:FUC4765"/>
    <mergeCell ref="FUD4764:FUD4765"/>
    <mergeCell ref="FUE4764:FUN4764"/>
    <mergeCell ref="FUP4764:FUY4764"/>
    <mergeCell ref="FVA4764:FVA4765"/>
    <mergeCell ref="FSX4764:FSX4765"/>
    <mergeCell ref="FSY4764:FTH4764"/>
    <mergeCell ref="FTJ4764:FTS4764"/>
    <mergeCell ref="FTU4764:FTU4765"/>
    <mergeCell ref="FTW4764:FUB4764"/>
    <mergeCell ref="FRS4764:FSB4764"/>
    <mergeCell ref="FSD4764:FSM4764"/>
    <mergeCell ref="FSO4764:FSO4765"/>
    <mergeCell ref="FSQ4764:FSV4764"/>
    <mergeCell ref="FSW4764:FSW4765"/>
    <mergeCell ref="FQX4764:FRG4764"/>
    <mergeCell ref="FRI4764:FRI4765"/>
    <mergeCell ref="FRK4764:FRP4764"/>
    <mergeCell ref="FRQ4764:FRQ4765"/>
    <mergeCell ref="FRR4764:FRR4765"/>
    <mergeCell ref="FQC4764:FQC4765"/>
    <mergeCell ref="FQE4764:FQJ4764"/>
    <mergeCell ref="FQK4764:FQK4765"/>
    <mergeCell ref="FQL4764:FQL4765"/>
    <mergeCell ref="FQM4764:FQV4764"/>
    <mergeCell ref="FOY4764:FPD4764"/>
    <mergeCell ref="FPE4764:FPE4765"/>
    <mergeCell ref="FPF4764:FPF4765"/>
    <mergeCell ref="FPG4764:FPP4764"/>
    <mergeCell ref="FPR4764:FQA4764"/>
    <mergeCell ref="FNY4764:FNY4765"/>
    <mergeCell ref="FNZ4764:FNZ4765"/>
    <mergeCell ref="FOA4764:FOJ4764"/>
    <mergeCell ref="FOL4764:FOU4764"/>
    <mergeCell ref="FOW4764:FOW4765"/>
    <mergeCell ref="FMT4764:FMT4765"/>
    <mergeCell ref="FMU4764:FND4764"/>
    <mergeCell ref="FNF4764:FNO4764"/>
    <mergeCell ref="FNQ4764:FNQ4765"/>
    <mergeCell ref="FNS4764:FNX4764"/>
    <mergeCell ref="FLO4764:FLX4764"/>
    <mergeCell ref="FLZ4764:FMI4764"/>
    <mergeCell ref="FMK4764:FMK4765"/>
    <mergeCell ref="FMM4764:FMR4764"/>
    <mergeCell ref="FMS4764:FMS4765"/>
    <mergeCell ref="FKT4764:FLC4764"/>
    <mergeCell ref="FLE4764:FLE4765"/>
    <mergeCell ref="FLG4764:FLL4764"/>
    <mergeCell ref="FLM4764:FLM4765"/>
    <mergeCell ref="FLN4764:FLN4765"/>
    <mergeCell ref="FJY4764:FJY4765"/>
    <mergeCell ref="FKA4764:FKF4764"/>
    <mergeCell ref="FKG4764:FKG4765"/>
    <mergeCell ref="FKH4764:FKH4765"/>
    <mergeCell ref="FKI4764:FKR4764"/>
    <mergeCell ref="FIU4764:FIZ4764"/>
    <mergeCell ref="FJA4764:FJA4765"/>
    <mergeCell ref="FJB4764:FJB4765"/>
    <mergeCell ref="FJC4764:FJL4764"/>
    <mergeCell ref="FJN4764:FJW4764"/>
    <mergeCell ref="FHU4764:FHU4765"/>
    <mergeCell ref="FHV4764:FHV4765"/>
    <mergeCell ref="FHW4764:FIF4764"/>
    <mergeCell ref="FIH4764:FIQ4764"/>
    <mergeCell ref="FIS4764:FIS4765"/>
    <mergeCell ref="FGP4764:FGP4765"/>
    <mergeCell ref="FGQ4764:FGZ4764"/>
    <mergeCell ref="FHB4764:FHK4764"/>
    <mergeCell ref="FHM4764:FHM4765"/>
    <mergeCell ref="FHO4764:FHT4764"/>
    <mergeCell ref="FFK4764:FFT4764"/>
    <mergeCell ref="FFV4764:FGE4764"/>
    <mergeCell ref="FGG4764:FGG4765"/>
    <mergeCell ref="FGI4764:FGN4764"/>
    <mergeCell ref="FGO4764:FGO4765"/>
    <mergeCell ref="FEP4764:FEY4764"/>
    <mergeCell ref="FFA4764:FFA4765"/>
    <mergeCell ref="FFC4764:FFH4764"/>
    <mergeCell ref="FFI4764:FFI4765"/>
    <mergeCell ref="FFJ4764:FFJ4765"/>
    <mergeCell ref="FDU4764:FDU4765"/>
    <mergeCell ref="FDW4764:FEB4764"/>
    <mergeCell ref="FEC4764:FEC4765"/>
    <mergeCell ref="FED4764:FED4765"/>
    <mergeCell ref="FEE4764:FEN4764"/>
    <mergeCell ref="FCQ4764:FCV4764"/>
    <mergeCell ref="FCW4764:FCW4765"/>
    <mergeCell ref="FCX4764:FCX4765"/>
    <mergeCell ref="FCY4764:FDH4764"/>
    <mergeCell ref="FDJ4764:FDS4764"/>
    <mergeCell ref="FBQ4764:FBQ4765"/>
    <mergeCell ref="FBR4764:FBR4765"/>
    <mergeCell ref="FBS4764:FCB4764"/>
    <mergeCell ref="FCD4764:FCM4764"/>
    <mergeCell ref="FCO4764:FCO4765"/>
    <mergeCell ref="FAL4764:FAL4765"/>
    <mergeCell ref="FAM4764:FAV4764"/>
    <mergeCell ref="FAX4764:FBG4764"/>
    <mergeCell ref="FBI4764:FBI4765"/>
    <mergeCell ref="FBK4764:FBP4764"/>
    <mergeCell ref="EZG4764:EZP4764"/>
    <mergeCell ref="EZR4764:FAA4764"/>
    <mergeCell ref="FAC4764:FAC4765"/>
    <mergeCell ref="FAE4764:FAJ4764"/>
    <mergeCell ref="FAK4764:FAK4765"/>
    <mergeCell ref="EYL4764:EYU4764"/>
    <mergeCell ref="EYW4764:EYW4765"/>
    <mergeCell ref="EYY4764:EZD4764"/>
    <mergeCell ref="EZE4764:EZE4765"/>
    <mergeCell ref="EZF4764:EZF4765"/>
    <mergeCell ref="EXQ4764:EXQ4765"/>
    <mergeCell ref="EXS4764:EXX4764"/>
    <mergeCell ref="EXY4764:EXY4765"/>
    <mergeCell ref="EXZ4764:EXZ4765"/>
    <mergeCell ref="EYA4764:EYJ4764"/>
    <mergeCell ref="EWM4764:EWR4764"/>
    <mergeCell ref="EWS4764:EWS4765"/>
    <mergeCell ref="EWT4764:EWT4765"/>
    <mergeCell ref="EWU4764:EXD4764"/>
    <mergeCell ref="EXF4764:EXO4764"/>
    <mergeCell ref="EVM4764:EVM4765"/>
    <mergeCell ref="EVN4764:EVN4765"/>
    <mergeCell ref="EVO4764:EVX4764"/>
    <mergeCell ref="EVZ4764:EWI4764"/>
    <mergeCell ref="EWK4764:EWK4765"/>
    <mergeCell ref="EUH4764:EUH4765"/>
    <mergeCell ref="EUI4764:EUR4764"/>
    <mergeCell ref="EUT4764:EVC4764"/>
    <mergeCell ref="EVE4764:EVE4765"/>
    <mergeCell ref="EVG4764:EVL4764"/>
    <mergeCell ref="ETC4764:ETL4764"/>
    <mergeCell ref="ETN4764:ETW4764"/>
    <mergeCell ref="ETY4764:ETY4765"/>
    <mergeCell ref="EUA4764:EUF4764"/>
    <mergeCell ref="EUG4764:EUG4765"/>
    <mergeCell ref="ESH4764:ESQ4764"/>
    <mergeCell ref="ESS4764:ESS4765"/>
    <mergeCell ref="ESU4764:ESZ4764"/>
    <mergeCell ref="ETA4764:ETA4765"/>
    <mergeCell ref="ETB4764:ETB4765"/>
    <mergeCell ref="ERM4764:ERM4765"/>
    <mergeCell ref="ERO4764:ERT4764"/>
    <mergeCell ref="ERU4764:ERU4765"/>
    <mergeCell ref="ERV4764:ERV4765"/>
    <mergeCell ref="ERW4764:ESF4764"/>
    <mergeCell ref="EQI4764:EQN4764"/>
    <mergeCell ref="EQO4764:EQO4765"/>
    <mergeCell ref="EQP4764:EQP4765"/>
    <mergeCell ref="EQQ4764:EQZ4764"/>
    <mergeCell ref="ERB4764:ERK4764"/>
    <mergeCell ref="EPI4764:EPI4765"/>
    <mergeCell ref="EPJ4764:EPJ4765"/>
    <mergeCell ref="EPK4764:EPT4764"/>
    <mergeCell ref="EPV4764:EQE4764"/>
    <mergeCell ref="EQG4764:EQG4765"/>
    <mergeCell ref="EOD4764:EOD4765"/>
    <mergeCell ref="EOE4764:EON4764"/>
    <mergeCell ref="EOP4764:EOY4764"/>
    <mergeCell ref="EPA4764:EPA4765"/>
    <mergeCell ref="EPC4764:EPH4764"/>
    <mergeCell ref="EMY4764:ENH4764"/>
    <mergeCell ref="ENJ4764:ENS4764"/>
    <mergeCell ref="ENU4764:ENU4765"/>
    <mergeCell ref="ENW4764:EOB4764"/>
    <mergeCell ref="EOC4764:EOC4765"/>
    <mergeCell ref="EMD4764:EMM4764"/>
    <mergeCell ref="EMO4764:EMO4765"/>
    <mergeCell ref="EMQ4764:EMV4764"/>
    <mergeCell ref="EMW4764:EMW4765"/>
    <mergeCell ref="EMX4764:EMX4765"/>
    <mergeCell ref="ELI4764:ELI4765"/>
    <mergeCell ref="ELK4764:ELP4764"/>
    <mergeCell ref="ELQ4764:ELQ4765"/>
    <mergeCell ref="ELR4764:ELR4765"/>
    <mergeCell ref="ELS4764:EMB4764"/>
    <mergeCell ref="EKE4764:EKJ4764"/>
    <mergeCell ref="EKK4764:EKK4765"/>
    <mergeCell ref="EKL4764:EKL4765"/>
    <mergeCell ref="EKM4764:EKV4764"/>
    <mergeCell ref="EKX4764:ELG4764"/>
    <mergeCell ref="EJE4764:EJE4765"/>
    <mergeCell ref="EJF4764:EJF4765"/>
    <mergeCell ref="EJG4764:EJP4764"/>
    <mergeCell ref="EJR4764:EKA4764"/>
    <mergeCell ref="EKC4764:EKC4765"/>
    <mergeCell ref="EHZ4764:EHZ4765"/>
    <mergeCell ref="EIA4764:EIJ4764"/>
    <mergeCell ref="EIL4764:EIU4764"/>
    <mergeCell ref="EIW4764:EIW4765"/>
    <mergeCell ref="EIY4764:EJD4764"/>
    <mergeCell ref="EGU4764:EHD4764"/>
    <mergeCell ref="EHF4764:EHO4764"/>
    <mergeCell ref="EHQ4764:EHQ4765"/>
    <mergeCell ref="EHS4764:EHX4764"/>
    <mergeCell ref="EHY4764:EHY4765"/>
    <mergeCell ref="EFZ4764:EGI4764"/>
    <mergeCell ref="EGK4764:EGK4765"/>
    <mergeCell ref="EGM4764:EGR4764"/>
    <mergeCell ref="EGS4764:EGS4765"/>
    <mergeCell ref="EGT4764:EGT4765"/>
    <mergeCell ref="EFE4764:EFE4765"/>
    <mergeCell ref="EFG4764:EFL4764"/>
    <mergeCell ref="EFM4764:EFM4765"/>
    <mergeCell ref="EFN4764:EFN4765"/>
    <mergeCell ref="EFO4764:EFX4764"/>
    <mergeCell ref="EEA4764:EEF4764"/>
    <mergeCell ref="EEG4764:EEG4765"/>
    <mergeCell ref="EEH4764:EEH4765"/>
    <mergeCell ref="EEI4764:EER4764"/>
    <mergeCell ref="EET4764:EFC4764"/>
    <mergeCell ref="EDA4764:EDA4765"/>
    <mergeCell ref="EDB4764:EDB4765"/>
    <mergeCell ref="EDC4764:EDL4764"/>
    <mergeCell ref="EDN4764:EDW4764"/>
    <mergeCell ref="EDY4764:EDY4765"/>
    <mergeCell ref="EBV4764:EBV4765"/>
    <mergeCell ref="EBW4764:ECF4764"/>
    <mergeCell ref="ECH4764:ECQ4764"/>
    <mergeCell ref="ECS4764:ECS4765"/>
    <mergeCell ref="ECU4764:ECZ4764"/>
    <mergeCell ref="EAQ4764:EAZ4764"/>
    <mergeCell ref="EBB4764:EBK4764"/>
    <mergeCell ref="EBM4764:EBM4765"/>
    <mergeCell ref="EBO4764:EBT4764"/>
    <mergeCell ref="EBU4764:EBU4765"/>
    <mergeCell ref="DZV4764:EAE4764"/>
    <mergeCell ref="EAG4764:EAG4765"/>
    <mergeCell ref="EAI4764:EAN4764"/>
    <mergeCell ref="EAO4764:EAO4765"/>
    <mergeCell ref="EAP4764:EAP4765"/>
    <mergeCell ref="DZA4764:DZA4765"/>
    <mergeCell ref="DZC4764:DZH4764"/>
    <mergeCell ref="DZI4764:DZI4765"/>
    <mergeCell ref="DZJ4764:DZJ4765"/>
    <mergeCell ref="DZK4764:DZT4764"/>
    <mergeCell ref="DXW4764:DYB4764"/>
    <mergeCell ref="DYC4764:DYC4765"/>
    <mergeCell ref="DYD4764:DYD4765"/>
    <mergeCell ref="DYE4764:DYN4764"/>
    <mergeCell ref="DYP4764:DYY4764"/>
    <mergeCell ref="DWW4764:DWW4765"/>
    <mergeCell ref="DWX4764:DWX4765"/>
    <mergeCell ref="DWY4764:DXH4764"/>
    <mergeCell ref="DXJ4764:DXS4764"/>
    <mergeCell ref="DXU4764:DXU4765"/>
    <mergeCell ref="DVR4764:DVR4765"/>
    <mergeCell ref="DVS4764:DWB4764"/>
    <mergeCell ref="DWD4764:DWM4764"/>
    <mergeCell ref="DWO4764:DWO4765"/>
    <mergeCell ref="DWQ4764:DWV4764"/>
    <mergeCell ref="DUM4764:DUV4764"/>
    <mergeCell ref="DUX4764:DVG4764"/>
    <mergeCell ref="DVI4764:DVI4765"/>
    <mergeCell ref="DVK4764:DVP4764"/>
    <mergeCell ref="DVQ4764:DVQ4765"/>
    <mergeCell ref="DTR4764:DUA4764"/>
    <mergeCell ref="DUC4764:DUC4765"/>
    <mergeCell ref="DUE4764:DUJ4764"/>
    <mergeCell ref="DUK4764:DUK4765"/>
    <mergeCell ref="DUL4764:DUL4765"/>
    <mergeCell ref="DSW4764:DSW4765"/>
    <mergeCell ref="DSY4764:DTD4764"/>
    <mergeCell ref="DTE4764:DTE4765"/>
    <mergeCell ref="DTF4764:DTF4765"/>
    <mergeCell ref="DTG4764:DTP4764"/>
    <mergeCell ref="DRS4764:DRX4764"/>
    <mergeCell ref="DRY4764:DRY4765"/>
    <mergeCell ref="DRZ4764:DRZ4765"/>
    <mergeCell ref="DSA4764:DSJ4764"/>
    <mergeCell ref="DSL4764:DSU4764"/>
    <mergeCell ref="DQS4764:DQS4765"/>
    <mergeCell ref="DQT4764:DQT4765"/>
    <mergeCell ref="DQU4764:DRD4764"/>
    <mergeCell ref="DRF4764:DRO4764"/>
    <mergeCell ref="DRQ4764:DRQ4765"/>
    <mergeCell ref="DPN4764:DPN4765"/>
    <mergeCell ref="DPO4764:DPX4764"/>
    <mergeCell ref="DPZ4764:DQI4764"/>
    <mergeCell ref="DQK4764:DQK4765"/>
    <mergeCell ref="DQM4764:DQR4764"/>
    <mergeCell ref="DOI4764:DOR4764"/>
    <mergeCell ref="DOT4764:DPC4764"/>
    <mergeCell ref="DPE4764:DPE4765"/>
    <mergeCell ref="DPG4764:DPL4764"/>
    <mergeCell ref="DPM4764:DPM4765"/>
    <mergeCell ref="DNN4764:DNW4764"/>
    <mergeCell ref="DNY4764:DNY4765"/>
    <mergeCell ref="DOA4764:DOF4764"/>
    <mergeCell ref="DOG4764:DOG4765"/>
    <mergeCell ref="DOH4764:DOH4765"/>
    <mergeCell ref="DMS4764:DMS4765"/>
    <mergeCell ref="DMU4764:DMZ4764"/>
    <mergeCell ref="DNA4764:DNA4765"/>
    <mergeCell ref="DNB4764:DNB4765"/>
    <mergeCell ref="DNC4764:DNL4764"/>
    <mergeCell ref="DLO4764:DLT4764"/>
    <mergeCell ref="DLU4764:DLU4765"/>
    <mergeCell ref="DLV4764:DLV4765"/>
    <mergeCell ref="DLW4764:DMF4764"/>
    <mergeCell ref="DMH4764:DMQ4764"/>
    <mergeCell ref="DKO4764:DKO4765"/>
    <mergeCell ref="DKP4764:DKP4765"/>
    <mergeCell ref="DKQ4764:DKZ4764"/>
    <mergeCell ref="DLB4764:DLK4764"/>
    <mergeCell ref="DLM4764:DLM4765"/>
    <mergeCell ref="DJJ4764:DJJ4765"/>
    <mergeCell ref="DJK4764:DJT4764"/>
    <mergeCell ref="DJV4764:DKE4764"/>
    <mergeCell ref="DKG4764:DKG4765"/>
    <mergeCell ref="DKI4764:DKN4764"/>
    <mergeCell ref="DIE4764:DIN4764"/>
    <mergeCell ref="DIP4764:DIY4764"/>
    <mergeCell ref="DJA4764:DJA4765"/>
    <mergeCell ref="DJC4764:DJH4764"/>
    <mergeCell ref="DJI4764:DJI4765"/>
    <mergeCell ref="DHJ4764:DHS4764"/>
    <mergeCell ref="DHU4764:DHU4765"/>
    <mergeCell ref="DHW4764:DIB4764"/>
    <mergeCell ref="DIC4764:DIC4765"/>
    <mergeCell ref="DID4764:DID4765"/>
    <mergeCell ref="DGO4764:DGO4765"/>
    <mergeCell ref="DGQ4764:DGV4764"/>
    <mergeCell ref="DGW4764:DGW4765"/>
    <mergeCell ref="DGX4764:DGX4765"/>
    <mergeCell ref="DGY4764:DHH4764"/>
    <mergeCell ref="DFK4764:DFP4764"/>
    <mergeCell ref="DFQ4764:DFQ4765"/>
    <mergeCell ref="DFR4764:DFR4765"/>
    <mergeCell ref="DFS4764:DGB4764"/>
    <mergeCell ref="DGD4764:DGM4764"/>
    <mergeCell ref="DEK4764:DEK4765"/>
    <mergeCell ref="DEL4764:DEL4765"/>
    <mergeCell ref="DEM4764:DEV4764"/>
    <mergeCell ref="DEX4764:DFG4764"/>
    <mergeCell ref="DFI4764:DFI4765"/>
    <mergeCell ref="DDF4764:DDF4765"/>
    <mergeCell ref="DDG4764:DDP4764"/>
    <mergeCell ref="DDR4764:DEA4764"/>
    <mergeCell ref="DEC4764:DEC4765"/>
    <mergeCell ref="DEE4764:DEJ4764"/>
    <mergeCell ref="DCA4764:DCJ4764"/>
    <mergeCell ref="DCL4764:DCU4764"/>
    <mergeCell ref="DCW4764:DCW4765"/>
    <mergeCell ref="DCY4764:DDD4764"/>
    <mergeCell ref="DDE4764:DDE4765"/>
    <mergeCell ref="DBF4764:DBO4764"/>
    <mergeCell ref="DBQ4764:DBQ4765"/>
    <mergeCell ref="DBS4764:DBX4764"/>
    <mergeCell ref="DBY4764:DBY4765"/>
    <mergeCell ref="DBZ4764:DBZ4765"/>
    <mergeCell ref="DAK4764:DAK4765"/>
    <mergeCell ref="DAM4764:DAR4764"/>
    <mergeCell ref="DAS4764:DAS4765"/>
    <mergeCell ref="DAT4764:DAT4765"/>
    <mergeCell ref="DAU4764:DBD4764"/>
    <mergeCell ref="CZG4764:CZL4764"/>
    <mergeCell ref="CZM4764:CZM4765"/>
    <mergeCell ref="CZN4764:CZN4765"/>
    <mergeCell ref="CZO4764:CZX4764"/>
    <mergeCell ref="CZZ4764:DAI4764"/>
    <mergeCell ref="CYG4764:CYG4765"/>
    <mergeCell ref="CYH4764:CYH4765"/>
    <mergeCell ref="CYI4764:CYR4764"/>
    <mergeCell ref="CYT4764:CZC4764"/>
    <mergeCell ref="CZE4764:CZE4765"/>
    <mergeCell ref="CXB4764:CXB4765"/>
    <mergeCell ref="CXC4764:CXL4764"/>
    <mergeCell ref="CXN4764:CXW4764"/>
    <mergeCell ref="CXY4764:CXY4765"/>
    <mergeCell ref="CYA4764:CYF4764"/>
    <mergeCell ref="CVW4764:CWF4764"/>
    <mergeCell ref="CWH4764:CWQ4764"/>
    <mergeCell ref="CWS4764:CWS4765"/>
    <mergeCell ref="CWU4764:CWZ4764"/>
    <mergeCell ref="CXA4764:CXA4765"/>
    <mergeCell ref="CVB4764:CVK4764"/>
    <mergeCell ref="CVM4764:CVM4765"/>
    <mergeCell ref="CVO4764:CVT4764"/>
    <mergeCell ref="CVU4764:CVU4765"/>
    <mergeCell ref="CVV4764:CVV4765"/>
    <mergeCell ref="CUG4764:CUG4765"/>
    <mergeCell ref="CUI4764:CUN4764"/>
    <mergeCell ref="CUO4764:CUO4765"/>
    <mergeCell ref="CUP4764:CUP4765"/>
    <mergeCell ref="CUQ4764:CUZ4764"/>
    <mergeCell ref="CTC4764:CTH4764"/>
    <mergeCell ref="CTI4764:CTI4765"/>
    <mergeCell ref="CTJ4764:CTJ4765"/>
    <mergeCell ref="CTK4764:CTT4764"/>
    <mergeCell ref="CTV4764:CUE4764"/>
    <mergeCell ref="CSC4764:CSC4765"/>
    <mergeCell ref="CSD4764:CSD4765"/>
    <mergeCell ref="CSE4764:CSN4764"/>
    <mergeCell ref="CSP4764:CSY4764"/>
    <mergeCell ref="CTA4764:CTA4765"/>
    <mergeCell ref="CQX4764:CQX4765"/>
    <mergeCell ref="CQY4764:CRH4764"/>
    <mergeCell ref="CRJ4764:CRS4764"/>
    <mergeCell ref="CRU4764:CRU4765"/>
    <mergeCell ref="CRW4764:CSB4764"/>
    <mergeCell ref="CPS4764:CQB4764"/>
    <mergeCell ref="CQD4764:CQM4764"/>
    <mergeCell ref="CQO4764:CQO4765"/>
    <mergeCell ref="CQQ4764:CQV4764"/>
    <mergeCell ref="CQW4764:CQW4765"/>
    <mergeCell ref="COX4764:CPG4764"/>
    <mergeCell ref="CPI4764:CPI4765"/>
    <mergeCell ref="CPK4764:CPP4764"/>
    <mergeCell ref="CPQ4764:CPQ4765"/>
    <mergeCell ref="CPR4764:CPR4765"/>
    <mergeCell ref="COC4764:COC4765"/>
    <mergeCell ref="COE4764:COJ4764"/>
    <mergeCell ref="COK4764:COK4765"/>
    <mergeCell ref="COL4764:COL4765"/>
    <mergeCell ref="COM4764:COV4764"/>
    <mergeCell ref="CMY4764:CND4764"/>
    <mergeCell ref="CNE4764:CNE4765"/>
    <mergeCell ref="CNF4764:CNF4765"/>
    <mergeCell ref="CNG4764:CNP4764"/>
    <mergeCell ref="CNR4764:COA4764"/>
    <mergeCell ref="CLY4764:CLY4765"/>
    <mergeCell ref="CLZ4764:CLZ4765"/>
    <mergeCell ref="CMA4764:CMJ4764"/>
    <mergeCell ref="CML4764:CMU4764"/>
    <mergeCell ref="CMW4764:CMW4765"/>
    <mergeCell ref="CKT4764:CKT4765"/>
    <mergeCell ref="CKU4764:CLD4764"/>
    <mergeCell ref="CLF4764:CLO4764"/>
    <mergeCell ref="CLQ4764:CLQ4765"/>
    <mergeCell ref="CLS4764:CLX4764"/>
    <mergeCell ref="CJO4764:CJX4764"/>
    <mergeCell ref="CJZ4764:CKI4764"/>
    <mergeCell ref="CKK4764:CKK4765"/>
    <mergeCell ref="CKM4764:CKR4764"/>
    <mergeCell ref="CKS4764:CKS4765"/>
    <mergeCell ref="CIT4764:CJC4764"/>
    <mergeCell ref="CJE4764:CJE4765"/>
    <mergeCell ref="CJG4764:CJL4764"/>
    <mergeCell ref="CJM4764:CJM4765"/>
    <mergeCell ref="CJN4764:CJN4765"/>
    <mergeCell ref="CHY4764:CHY4765"/>
    <mergeCell ref="CIA4764:CIF4764"/>
    <mergeCell ref="CIG4764:CIG4765"/>
    <mergeCell ref="CIH4764:CIH4765"/>
    <mergeCell ref="CII4764:CIR4764"/>
    <mergeCell ref="CGU4764:CGZ4764"/>
    <mergeCell ref="CHA4764:CHA4765"/>
    <mergeCell ref="CHB4764:CHB4765"/>
    <mergeCell ref="CHC4764:CHL4764"/>
    <mergeCell ref="CHN4764:CHW4764"/>
    <mergeCell ref="CFU4764:CFU4765"/>
    <mergeCell ref="CFV4764:CFV4765"/>
    <mergeCell ref="CFW4764:CGF4764"/>
    <mergeCell ref="CGH4764:CGQ4764"/>
    <mergeCell ref="CGS4764:CGS4765"/>
    <mergeCell ref="CEP4764:CEP4765"/>
    <mergeCell ref="CEQ4764:CEZ4764"/>
    <mergeCell ref="CFB4764:CFK4764"/>
    <mergeCell ref="CFM4764:CFM4765"/>
    <mergeCell ref="CFO4764:CFT4764"/>
    <mergeCell ref="CDK4764:CDT4764"/>
    <mergeCell ref="CDV4764:CEE4764"/>
    <mergeCell ref="CEG4764:CEG4765"/>
    <mergeCell ref="CEI4764:CEN4764"/>
    <mergeCell ref="CEO4764:CEO4765"/>
    <mergeCell ref="CCP4764:CCY4764"/>
    <mergeCell ref="CDA4764:CDA4765"/>
    <mergeCell ref="CDC4764:CDH4764"/>
    <mergeCell ref="CDI4764:CDI4765"/>
    <mergeCell ref="CDJ4764:CDJ4765"/>
    <mergeCell ref="CBU4764:CBU4765"/>
    <mergeCell ref="CBW4764:CCB4764"/>
    <mergeCell ref="CCC4764:CCC4765"/>
    <mergeCell ref="CCD4764:CCD4765"/>
    <mergeCell ref="CCE4764:CCN4764"/>
    <mergeCell ref="CAQ4764:CAV4764"/>
    <mergeCell ref="CAW4764:CAW4765"/>
    <mergeCell ref="CAX4764:CAX4765"/>
    <mergeCell ref="CAY4764:CBH4764"/>
    <mergeCell ref="CBJ4764:CBS4764"/>
    <mergeCell ref="BZQ4764:BZQ4765"/>
    <mergeCell ref="BZR4764:BZR4765"/>
    <mergeCell ref="BZS4764:CAB4764"/>
    <mergeCell ref="CAD4764:CAM4764"/>
    <mergeCell ref="CAO4764:CAO4765"/>
    <mergeCell ref="BYL4764:BYL4765"/>
    <mergeCell ref="BYM4764:BYV4764"/>
    <mergeCell ref="BYX4764:BZG4764"/>
    <mergeCell ref="BZI4764:BZI4765"/>
    <mergeCell ref="BZK4764:BZP4764"/>
    <mergeCell ref="BXG4764:BXP4764"/>
    <mergeCell ref="BXR4764:BYA4764"/>
    <mergeCell ref="BYC4764:BYC4765"/>
    <mergeCell ref="BYE4764:BYJ4764"/>
    <mergeCell ref="BYK4764:BYK4765"/>
    <mergeCell ref="BWL4764:BWU4764"/>
    <mergeCell ref="BWW4764:BWW4765"/>
    <mergeCell ref="BWY4764:BXD4764"/>
    <mergeCell ref="BXE4764:BXE4765"/>
    <mergeCell ref="BXF4764:BXF4765"/>
    <mergeCell ref="BVQ4764:BVQ4765"/>
    <mergeCell ref="BVS4764:BVX4764"/>
    <mergeCell ref="BVY4764:BVY4765"/>
    <mergeCell ref="BVZ4764:BVZ4765"/>
    <mergeCell ref="BWA4764:BWJ4764"/>
    <mergeCell ref="BUM4764:BUR4764"/>
    <mergeCell ref="BUS4764:BUS4765"/>
    <mergeCell ref="BUT4764:BUT4765"/>
    <mergeCell ref="BUU4764:BVD4764"/>
    <mergeCell ref="BVF4764:BVO4764"/>
    <mergeCell ref="BTM4764:BTM4765"/>
    <mergeCell ref="BTN4764:BTN4765"/>
    <mergeCell ref="BTO4764:BTX4764"/>
    <mergeCell ref="BTZ4764:BUI4764"/>
    <mergeCell ref="BUK4764:BUK4765"/>
    <mergeCell ref="BSH4764:BSH4765"/>
    <mergeCell ref="BSI4764:BSR4764"/>
    <mergeCell ref="BST4764:BTC4764"/>
    <mergeCell ref="BTE4764:BTE4765"/>
    <mergeCell ref="BTG4764:BTL4764"/>
    <mergeCell ref="BRC4764:BRL4764"/>
    <mergeCell ref="BRN4764:BRW4764"/>
    <mergeCell ref="BRY4764:BRY4765"/>
    <mergeCell ref="BSA4764:BSF4764"/>
    <mergeCell ref="BSG4764:BSG4765"/>
    <mergeCell ref="BQH4764:BQQ4764"/>
    <mergeCell ref="BQS4764:BQS4765"/>
    <mergeCell ref="BQU4764:BQZ4764"/>
    <mergeCell ref="BRA4764:BRA4765"/>
    <mergeCell ref="BRB4764:BRB4765"/>
    <mergeCell ref="BPM4764:BPM4765"/>
    <mergeCell ref="BPO4764:BPT4764"/>
    <mergeCell ref="BPU4764:BPU4765"/>
    <mergeCell ref="BPV4764:BPV4765"/>
    <mergeCell ref="BPW4764:BQF4764"/>
    <mergeCell ref="BOI4764:BON4764"/>
    <mergeCell ref="BOO4764:BOO4765"/>
    <mergeCell ref="BOP4764:BOP4765"/>
    <mergeCell ref="BOQ4764:BOZ4764"/>
    <mergeCell ref="BPB4764:BPK4764"/>
    <mergeCell ref="BNI4764:BNI4765"/>
    <mergeCell ref="BNJ4764:BNJ4765"/>
    <mergeCell ref="BNK4764:BNT4764"/>
    <mergeCell ref="BNV4764:BOE4764"/>
    <mergeCell ref="BOG4764:BOG4765"/>
    <mergeCell ref="BMD4764:BMD4765"/>
    <mergeCell ref="BME4764:BMN4764"/>
    <mergeCell ref="BMP4764:BMY4764"/>
    <mergeCell ref="BNA4764:BNA4765"/>
    <mergeCell ref="BNC4764:BNH4764"/>
    <mergeCell ref="BKY4764:BLH4764"/>
    <mergeCell ref="BLJ4764:BLS4764"/>
    <mergeCell ref="BLU4764:BLU4765"/>
    <mergeCell ref="BLW4764:BMB4764"/>
    <mergeCell ref="BMC4764:BMC4765"/>
    <mergeCell ref="BKD4764:BKM4764"/>
    <mergeCell ref="BKO4764:BKO4765"/>
    <mergeCell ref="BKQ4764:BKV4764"/>
    <mergeCell ref="BKW4764:BKW4765"/>
    <mergeCell ref="BKX4764:BKX4765"/>
    <mergeCell ref="BJI4764:BJI4765"/>
    <mergeCell ref="BJK4764:BJP4764"/>
    <mergeCell ref="BJQ4764:BJQ4765"/>
    <mergeCell ref="BJR4764:BJR4765"/>
    <mergeCell ref="BJS4764:BKB4764"/>
    <mergeCell ref="BIE4764:BIJ4764"/>
    <mergeCell ref="BIK4764:BIK4765"/>
    <mergeCell ref="BIL4764:BIL4765"/>
    <mergeCell ref="BIM4764:BIV4764"/>
    <mergeCell ref="BIX4764:BJG4764"/>
    <mergeCell ref="BHE4764:BHE4765"/>
    <mergeCell ref="BHF4764:BHF4765"/>
    <mergeCell ref="BHG4764:BHP4764"/>
    <mergeCell ref="BHR4764:BIA4764"/>
    <mergeCell ref="BIC4764:BIC4765"/>
    <mergeCell ref="BFZ4764:BFZ4765"/>
    <mergeCell ref="BGA4764:BGJ4764"/>
    <mergeCell ref="BGL4764:BGU4764"/>
    <mergeCell ref="BGW4764:BGW4765"/>
    <mergeCell ref="BGY4764:BHD4764"/>
    <mergeCell ref="BEU4764:BFD4764"/>
    <mergeCell ref="BFF4764:BFO4764"/>
    <mergeCell ref="BFQ4764:BFQ4765"/>
    <mergeCell ref="BFS4764:BFX4764"/>
    <mergeCell ref="BFY4764:BFY4765"/>
    <mergeCell ref="BDZ4764:BEI4764"/>
    <mergeCell ref="BEK4764:BEK4765"/>
    <mergeCell ref="BEM4764:BER4764"/>
    <mergeCell ref="BES4764:BES4765"/>
    <mergeCell ref="BET4764:BET4765"/>
    <mergeCell ref="BDE4764:BDE4765"/>
    <mergeCell ref="BDG4764:BDL4764"/>
    <mergeCell ref="BDM4764:BDM4765"/>
    <mergeCell ref="BDN4764:BDN4765"/>
    <mergeCell ref="BDO4764:BDX4764"/>
    <mergeCell ref="BCA4764:BCF4764"/>
    <mergeCell ref="BCG4764:BCG4765"/>
    <mergeCell ref="BCH4764:BCH4765"/>
    <mergeCell ref="BCI4764:BCR4764"/>
    <mergeCell ref="BCT4764:BDC4764"/>
    <mergeCell ref="BBA4764:BBA4765"/>
    <mergeCell ref="BBB4764:BBB4765"/>
    <mergeCell ref="BBC4764:BBL4764"/>
    <mergeCell ref="BBN4764:BBW4764"/>
    <mergeCell ref="BBY4764:BBY4765"/>
    <mergeCell ref="AZV4764:AZV4765"/>
    <mergeCell ref="AZW4764:BAF4764"/>
    <mergeCell ref="BAH4764:BAQ4764"/>
    <mergeCell ref="BAS4764:BAS4765"/>
    <mergeCell ref="BAU4764:BAZ4764"/>
    <mergeCell ref="AYQ4764:AYZ4764"/>
    <mergeCell ref="AZB4764:AZK4764"/>
    <mergeCell ref="AZM4764:AZM4765"/>
    <mergeCell ref="AZO4764:AZT4764"/>
    <mergeCell ref="AZU4764:AZU4765"/>
    <mergeCell ref="AXV4764:AYE4764"/>
    <mergeCell ref="AYG4764:AYG4765"/>
    <mergeCell ref="AYI4764:AYN4764"/>
    <mergeCell ref="AYO4764:AYO4765"/>
    <mergeCell ref="AYP4764:AYP4765"/>
    <mergeCell ref="AXA4764:AXA4765"/>
    <mergeCell ref="AXC4764:AXH4764"/>
    <mergeCell ref="AXI4764:AXI4765"/>
    <mergeCell ref="AXJ4764:AXJ4765"/>
    <mergeCell ref="AXK4764:AXT4764"/>
    <mergeCell ref="AVW4764:AWB4764"/>
    <mergeCell ref="AWC4764:AWC4765"/>
    <mergeCell ref="AWD4764:AWD4765"/>
    <mergeCell ref="AWE4764:AWN4764"/>
    <mergeCell ref="AWP4764:AWY4764"/>
    <mergeCell ref="AUW4764:AUW4765"/>
    <mergeCell ref="AUX4764:AUX4765"/>
    <mergeCell ref="AUY4764:AVH4764"/>
    <mergeCell ref="AVJ4764:AVS4764"/>
    <mergeCell ref="AVU4764:AVU4765"/>
    <mergeCell ref="ATR4764:ATR4765"/>
    <mergeCell ref="ATS4764:AUB4764"/>
    <mergeCell ref="AUD4764:AUM4764"/>
    <mergeCell ref="AUO4764:AUO4765"/>
    <mergeCell ref="AUQ4764:AUV4764"/>
    <mergeCell ref="ASM4764:ASV4764"/>
    <mergeCell ref="ASX4764:ATG4764"/>
    <mergeCell ref="ATI4764:ATI4765"/>
    <mergeCell ref="ATK4764:ATP4764"/>
    <mergeCell ref="ATQ4764:ATQ4765"/>
    <mergeCell ref="ARR4764:ASA4764"/>
    <mergeCell ref="ASC4764:ASC4765"/>
    <mergeCell ref="ASE4764:ASJ4764"/>
    <mergeCell ref="ASK4764:ASK4765"/>
    <mergeCell ref="ASL4764:ASL4765"/>
    <mergeCell ref="AQW4764:AQW4765"/>
    <mergeCell ref="AQY4764:ARD4764"/>
    <mergeCell ref="ARE4764:ARE4765"/>
    <mergeCell ref="ARF4764:ARF4765"/>
    <mergeCell ref="ARG4764:ARP4764"/>
    <mergeCell ref="APS4764:APX4764"/>
    <mergeCell ref="APY4764:APY4765"/>
    <mergeCell ref="APZ4764:APZ4765"/>
    <mergeCell ref="AQA4764:AQJ4764"/>
    <mergeCell ref="AQL4764:AQU4764"/>
    <mergeCell ref="AOS4764:AOS4765"/>
    <mergeCell ref="AOT4764:AOT4765"/>
    <mergeCell ref="AOU4764:APD4764"/>
    <mergeCell ref="APF4764:APO4764"/>
    <mergeCell ref="APQ4764:APQ4765"/>
    <mergeCell ref="ANN4764:ANN4765"/>
    <mergeCell ref="ANO4764:ANX4764"/>
    <mergeCell ref="ANZ4764:AOI4764"/>
    <mergeCell ref="AOK4764:AOK4765"/>
    <mergeCell ref="AOM4764:AOR4764"/>
    <mergeCell ref="AMI4764:AMR4764"/>
    <mergeCell ref="AMT4764:ANC4764"/>
    <mergeCell ref="ANE4764:ANE4765"/>
    <mergeCell ref="ANG4764:ANL4764"/>
    <mergeCell ref="ANM4764:ANM4765"/>
    <mergeCell ref="ALN4764:ALW4764"/>
    <mergeCell ref="ALY4764:ALY4765"/>
    <mergeCell ref="AMA4764:AMF4764"/>
    <mergeCell ref="AMG4764:AMG4765"/>
    <mergeCell ref="AMH4764:AMH4765"/>
    <mergeCell ref="AKS4764:AKS4765"/>
    <mergeCell ref="AKU4764:AKZ4764"/>
    <mergeCell ref="ALA4764:ALA4765"/>
    <mergeCell ref="ALB4764:ALB4765"/>
    <mergeCell ref="ALC4764:ALL4764"/>
    <mergeCell ref="AJO4764:AJT4764"/>
    <mergeCell ref="AJU4764:AJU4765"/>
    <mergeCell ref="AJV4764:AJV4765"/>
    <mergeCell ref="AJW4764:AKF4764"/>
    <mergeCell ref="AKH4764:AKQ4764"/>
    <mergeCell ref="AIO4764:AIO4765"/>
    <mergeCell ref="AIP4764:AIP4765"/>
    <mergeCell ref="AIQ4764:AIZ4764"/>
    <mergeCell ref="AJB4764:AJK4764"/>
    <mergeCell ref="AJM4764:AJM4765"/>
    <mergeCell ref="AHJ4764:AHJ4765"/>
    <mergeCell ref="AHK4764:AHT4764"/>
    <mergeCell ref="AHV4764:AIE4764"/>
    <mergeCell ref="AIG4764:AIG4765"/>
    <mergeCell ref="AII4764:AIN4764"/>
    <mergeCell ref="AGE4764:AGN4764"/>
    <mergeCell ref="AGP4764:AGY4764"/>
    <mergeCell ref="AHA4764:AHA4765"/>
    <mergeCell ref="AHC4764:AHH4764"/>
    <mergeCell ref="AHI4764:AHI4765"/>
    <mergeCell ref="AFJ4764:AFS4764"/>
    <mergeCell ref="AFU4764:AFU4765"/>
    <mergeCell ref="AFW4764:AGB4764"/>
    <mergeCell ref="AGC4764:AGC4765"/>
    <mergeCell ref="AGD4764:AGD4765"/>
    <mergeCell ref="AEO4764:AEO4765"/>
    <mergeCell ref="AEQ4764:AEV4764"/>
    <mergeCell ref="AEW4764:AEW4765"/>
    <mergeCell ref="AEX4764:AEX4765"/>
    <mergeCell ref="AEY4764:AFH4764"/>
    <mergeCell ref="ADK4764:ADP4764"/>
    <mergeCell ref="ADQ4764:ADQ4765"/>
    <mergeCell ref="ADR4764:ADR4765"/>
    <mergeCell ref="ADS4764:AEB4764"/>
    <mergeCell ref="AED4764:AEM4764"/>
    <mergeCell ref="ACK4764:ACK4765"/>
    <mergeCell ref="ACL4764:ACL4765"/>
    <mergeCell ref="ACM4764:ACV4764"/>
    <mergeCell ref="ACX4764:ADG4764"/>
    <mergeCell ref="ADI4764:ADI4765"/>
    <mergeCell ref="ABF4764:ABF4765"/>
    <mergeCell ref="ABG4764:ABP4764"/>
    <mergeCell ref="ABR4764:ACA4764"/>
    <mergeCell ref="ACC4764:ACC4765"/>
    <mergeCell ref="ACE4764:ACJ4764"/>
    <mergeCell ref="AAA4764:AAJ4764"/>
    <mergeCell ref="AAL4764:AAU4764"/>
    <mergeCell ref="AAW4764:AAW4765"/>
    <mergeCell ref="AAY4764:ABD4764"/>
    <mergeCell ref="ABE4764:ABE4765"/>
    <mergeCell ref="ZF4764:ZO4764"/>
    <mergeCell ref="ZQ4764:ZQ4765"/>
    <mergeCell ref="ZS4764:ZX4764"/>
    <mergeCell ref="ZY4764:ZY4765"/>
    <mergeCell ref="ZZ4764:ZZ4765"/>
    <mergeCell ref="YK4764:YK4765"/>
    <mergeCell ref="YM4764:YR4764"/>
    <mergeCell ref="YS4764:YS4765"/>
    <mergeCell ref="YT4764:YT4765"/>
    <mergeCell ref="YU4764:ZD4764"/>
    <mergeCell ref="XG4764:XL4764"/>
    <mergeCell ref="XM4764:XM4765"/>
    <mergeCell ref="XN4764:XN4765"/>
    <mergeCell ref="XO4764:XX4764"/>
    <mergeCell ref="XZ4764:YI4764"/>
    <mergeCell ref="WG4764:WG4765"/>
    <mergeCell ref="WH4764:WH4765"/>
    <mergeCell ref="WI4764:WR4764"/>
    <mergeCell ref="WT4764:XC4764"/>
    <mergeCell ref="XE4764:XE4765"/>
    <mergeCell ref="VB4764:VB4765"/>
    <mergeCell ref="VC4764:VL4764"/>
    <mergeCell ref="VN4764:VW4764"/>
    <mergeCell ref="VY4764:VY4765"/>
    <mergeCell ref="WA4764:WF4764"/>
    <mergeCell ref="TW4764:UF4764"/>
    <mergeCell ref="UH4764:UQ4764"/>
    <mergeCell ref="US4764:US4765"/>
    <mergeCell ref="UU4764:UZ4764"/>
    <mergeCell ref="VA4764:VA4765"/>
    <mergeCell ref="TB4764:TK4764"/>
    <mergeCell ref="TM4764:TM4765"/>
    <mergeCell ref="TO4764:TT4764"/>
    <mergeCell ref="TU4764:TU4765"/>
    <mergeCell ref="TV4764:TV4765"/>
    <mergeCell ref="SG4764:SG4765"/>
    <mergeCell ref="SI4764:SN4764"/>
    <mergeCell ref="SO4764:SO4765"/>
    <mergeCell ref="SP4764:SP4765"/>
    <mergeCell ref="SQ4764:SZ4764"/>
    <mergeCell ref="RC4764:RH4764"/>
    <mergeCell ref="RI4764:RI4765"/>
    <mergeCell ref="RJ4764:RJ4765"/>
    <mergeCell ref="RK4764:RT4764"/>
    <mergeCell ref="RV4764:SE4764"/>
    <mergeCell ref="QC4764:QC4765"/>
    <mergeCell ref="QD4764:QD4765"/>
    <mergeCell ref="QE4764:QN4764"/>
    <mergeCell ref="QP4764:QY4764"/>
    <mergeCell ref="RA4764:RA4765"/>
    <mergeCell ref="OX4764:OX4765"/>
    <mergeCell ref="OY4764:PH4764"/>
    <mergeCell ref="PJ4764:PS4764"/>
    <mergeCell ref="PU4764:PU4765"/>
    <mergeCell ref="PW4764:QB4764"/>
    <mergeCell ref="NS4764:OB4764"/>
    <mergeCell ref="OD4764:OM4764"/>
    <mergeCell ref="OO4764:OO4765"/>
    <mergeCell ref="OQ4764:OV4764"/>
    <mergeCell ref="OW4764:OW4765"/>
    <mergeCell ref="MX4764:NG4764"/>
    <mergeCell ref="NI4764:NI4765"/>
    <mergeCell ref="NK4764:NP4764"/>
    <mergeCell ref="NQ4764:NQ4765"/>
    <mergeCell ref="NR4764:NR4765"/>
    <mergeCell ref="MC4764:MC4765"/>
    <mergeCell ref="ME4764:MJ4764"/>
    <mergeCell ref="MK4764:MK4765"/>
    <mergeCell ref="ML4764:ML4765"/>
    <mergeCell ref="MM4764:MV4764"/>
    <mergeCell ref="KY4764:LD4764"/>
    <mergeCell ref="LE4764:LE4765"/>
    <mergeCell ref="LF4764:LF4765"/>
    <mergeCell ref="LG4764:LP4764"/>
    <mergeCell ref="LR4764:MA4764"/>
    <mergeCell ref="JY4764:JY4765"/>
    <mergeCell ref="JZ4764:JZ4765"/>
    <mergeCell ref="KA4764:KJ4764"/>
    <mergeCell ref="KL4764:KU4764"/>
    <mergeCell ref="KW4764:KW4765"/>
    <mergeCell ref="IT4764:IT4765"/>
    <mergeCell ref="IU4764:JD4764"/>
    <mergeCell ref="JF4764:JO4764"/>
    <mergeCell ref="JQ4764:JQ4765"/>
    <mergeCell ref="JS4764:JX4764"/>
    <mergeCell ref="HO4764:HX4764"/>
    <mergeCell ref="HZ4764:II4764"/>
    <mergeCell ref="IK4764:IK4765"/>
    <mergeCell ref="IM4764:IR4764"/>
    <mergeCell ref="IS4764:IS4765"/>
    <mergeCell ref="GT4764:HC4764"/>
    <mergeCell ref="HE4764:HE4765"/>
    <mergeCell ref="HG4764:HL4764"/>
    <mergeCell ref="HM4764:HM4765"/>
    <mergeCell ref="HN4764:HN4765"/>
    <mergeCell ref="FY4764:FY4765"/>
    <mergeCell ref="GA4764:GF4764"/>
    <mergeCell ref="GG4764:GG4765"/>
    <mergeCell ref="GH4764:GH4765"/>
    <mergeCell ref="GI4764:GR4764"/>
    <mergeCell ref="EU4764:EZ4764"/>
    <mergeCell ref="FA4764:FA4765"/>
    <mergeCell ref="FB4764:FB4765"/>
    <mergeCell ref="FC4764:FL4764"/>
    <mergeCell ref="FN4764:FW4764"/>
    <mergeCell ref="DU4764:DU4765"/>
    <mergeCell ref="DV4764:DV4765"/>
    <mergeCell ref="DW4764:EF4764"/>
    <mergeCell ref="EH4764:EQ4764"/>
    <mergeCell ref="ES4764:ES4765"/>
    <mergeCell ref="CP4764:CP4765"/>
    <mergeCell ref="CQ4764:CZ4764"/>
    <mergeCell ref="DB4764:DK4764"/>
    <mergeCell ref="DM4764:DM4765"/>
    <mergeCell ref="DO4764:DT4764"/>
    <mergeCell ref="BK4764:BT4764"/>
    <mergeCell ref="BV4764:CE4764"/>
    <mergeCell ref="CG4764:CG4765"/>
    <mergeCell ref="CI4764:CN4764"/>
    <mergeCell ref="CO4764:CO4765"/>
    <mergeCell ref="AP4764:AY4764"/>
    <mergeCell ref="BA4764:BA4765"/>
    <mergeCell ref="BC4764:BH4764"/>
    <mergeCell ref="BI4764:BI4765"/>
    <mergeCell ref="BJ4764:BJ4765"/>
    <mergeCell ref="AC4764:AC4765"/>
    <mergeCell ref="AD4764:AD4765"/>
    <mergeCell ref="AE4764:AN4764"/>
    <mergeCell ref="WZU4762:XAZ4762"/>
    <mergeCell ref="XBA4762:XCF4762"/>
    <mergeCell ref="XCG4762:XDL4762"/>
    <mergeCell ref="XDM4762:XER4762"/>
    <mergeCell ref="WTQ4762:WUV4762"/>
    <mergeCell ref="WUW4762:WWB4762"/>
    <mergeCell ref="WWC4762:WXH4762"/>
    <mergeCell ref="WXI4762:WYN4762"/>
    <mergeCell ref="WYO4762:WZT4762"/>
    <mergeCell ref="WNM4762:WOR4762"/>
    <mergeCell ref="WOS4762:WPX4762"/>
    <mergeCell ref="WPY4762:WRD4762"/>
    <mergeCell ref="WRE4762:WSJ4762"/>
    <mergeCell ref="WSK4762:WTP4762"/>
    <mergeCell ref="WHI4762:WIN4762"/>
    <mergeCell ref="WIO4762:WJT4762"/>
    <mergeCell ref="WJU4762:WKZ4762"/>
    <mergeCell ref="WLA4762:WMF4762"/>
    <mergeCell ref="WMG4762:WNL4762"/>
    <mergeCell ref="WBE4762:WCJ4762"/>
    <mergeCell ref="WCK4762:WDP4762"/>
    <mergeCell ref="WDQ4762:WEV4762"/>
    <mergeCell ref="WEW4762:WGB4762"/>
    <mergeCell ref="WGC4762:WHH4762"/>
    <mergeCell ref="VVA4762:VWF4762"/>
    <mergeCell ref="VWG4762:VXL4762"/>
    <mergeCell ref="VXM4762:VYR4762"/>
    <mergeCell ref="VYS4762:VZX4762"/>
    <mergeCell ref="VZY4762:WBD4762"/>
    <mergeCell ref="VOW4762:VQB4762"/>
    <mergeCell ref="VQC4762:VRH4762"/>
    <mergeCell ref="VRI4762:VSN4762"/>
    <mergeCell ref="VSO4762:VTT4762"/>
    <mergeCell ref="VTU4762:VUZ4762"/>
    <mergeCell ref="VIS4762:VJX4762"/>
    <mergeCell ref="VJY4762:VLD4762"/>
    <mergeCell ref="VLE4762:VMJ4762"/>
    <mergeCell ref="VMK4762:VNP4762"/>
    <mergeCell ref="VNQ4762:VOV4762"/>
    <mergeCell ref="VCO4762:VDT4762"/>
    <mergeCell ref="VDU4762:VEZ4762"/>
    <mergeCell ref="VFA4762:VGF4762"/>
    <mergeCell ref="VGG4762:VHL4762"/>
    <mergeCell ref="VHM4762:VIR4762"/>
    <mergeCell ref="UWK4762:UXP4762"/>
    <mergeCell ref="UXQ4762:UYV4762"/>
    <mergeCell ref="UYW4762:VAB4762"/>
    <mergeCell ref="VAC4762:VBH4762"/>
    <mergeCell ref="VBI4762:VCN4762"/>
    <mergeCell ref="UQG4762:URL4762"/>
    <mergeCell ref="URM4762:USR4762"/>
    <mergeCell ref="USS4762:UTX4762"/>
    <mergeCell ref="UTY4762:UVD4762"/>
    <mergeCell ref="UVE4762:UWJ4762"/>
    <mergeCell ref="UKC4762:ULH4762"/>
    <mergeCell ref="ULI4762:UMN4762"/>
    <mergeCell ref="UMO4762:UNT4762"/>
    <mergeCell ref="UNU4762:UOZ4762"/>
    <mergeCell ref="UPA4762:UQF4762"/>
    <mergeCell ref="UDY4762:UFD4762"/>
    <mergeCell ref="UFE4762:UGJ4762"/>
    <mergeCell ref="UGK4762:UHP4762"/>
    <mergeCell ref="UHQ4762:UIV4762"/>
    <mergeCell ref="UIW4762:UKB4762"/>
    <mergeCell ref="TXU4762:TYZ4762"/>
    <mergeCell ref="TZA4762:UAF4762"/>
    <mergeCell ref="UAG4762:UBL4762"/>
    <mergeCell ref="UBM4762:UCR4762"/>
    <mergeCell ref="UCS4762:UDX4762"/>
    <mergeCell ref="TRQ4762:TSV4762"/>
    <mergeCell ref="TSW4762:TUB4762"/>
    <mergeCell ref="TUC4762:TVH4762"/>
    <mergeCell ref="TVI4762:TWN4762"/>
    <mergeCell ref="TWO4762:TXT4762"/>
    <mergeCell ref="TLM4762:TMR4762"/>
    <mergeCell ref="TMS4762:TNX4762"/>
    <mergeCell ref="TNY4762:TPD4762"/>
    <mergeCell ref="TPE4762:TQJ4762"/>
    <mergeCell ref="TQK4762:TRP4762"/>
    <mergeCell ref="TFI4762:TGN4762"/>
    <mergeCell ref="TGO4762:THT4762"/>
    <mergeCell ref="THU4762:TIZ4762"/>
    <mergeCell ref="TJA4762:TKF4762"/>
    <mergeCell ref="TKG4762:TLL4762"/>
    <mergeCell ref="SZE4762:TAJ4762"/>
    <mergeCell ref="TAK4762:TBP4762"/>
    <mergeCell ref="TBQ4762:TCV4762"/>
    <mergeCell ref="TCW4762:TEB4762"/>
    <mergeCell ref="TEC4762:TFH4762"/>
    <mergeCell ref="STA4762:SUF4762"/>
    <mergeCell ref="SUG4762:SVL4762"/>
    <mergeCell ref="SVM4762:SWR4762"/>
    <mergeCell ref="SWS4762:SXX4762"/>
    <mergeCell ref="SXY4762:SZD4762"/>
    <mergeCell ref="SMW4762:SOB4762"/>
    <mergeCell ref="SOC4762:SPH4762"/>
    <mergeCell ref="SPI4762:SQN4762"/>
    <mergeCell ref="SQO4762:SRT4762"/>
    <mergeCell ref="SRU4762:SSZ4762"/>
    <mergeCell ref="SGS4762:SHX4762"/>
    <mergeCell ref="SHY4762:SJD4762"/>
    <mergeCell ref="SJE4762:SKJ4762"/>
    <mergeCell ref="SKK4762:SLP4762"/>
    <mergeCell ref="SLQ4762:SMV4762"/>
    <mergeCell ref="SAO4762:SBT4762"/>
    <mergeCell ref="SBU4762:SCZ4762"/>
    <mergeCell ref="SDA4762:SEF4762"/>
    <mergeCell ref="SEG4762:SFL4762"/>
    <mergeCell ref="SFM4762:SGR4762"/>
    <mergeCell ref="RUK4762:RVP4762"/>
    <mergeCell ref="RVQ4762:RWV4762"/>
    <mergeCell ref="RWW4762:RYB4762"/>
    <mergeCell ref="RYC4762:RZH4762"/>
    <mergeCell ref="RZI4762:SAN4762"/>
    <mergeCell ref="ROG4762:RPL4762"/>
    <mergeCell ref="RPM4762:RQR4762"/>
    <mergeCell ref="RQS4762:RRX4762"/>
    <mergeCell ref="RRY4762:RTD4762"/>
    <mergeCell ref="RTE4762:RUJ4762"/>
    <mergeCell ref="RIC4762:RJH4762"/>
    <mergeCell ref="RJI4762:RKN4762"/>
    <mergeCell ref="RKO4762:RLT4762"/>
    <mergeCell ref="RLU4762:RMZ4762"/>
    <mergeCell ref="RNA4762:ROF4762"/>
    <mergeCell ref="RBY4762:RDD4762"/>
    <mergeCell ref="RDE4762:REJ4762"/>
    <mergeCell ref="REK4762:RFP4762"/>
    <mergeCell ref="RFQ4762:RGV4762"/>
    <mergeCell ref="RGW4762:RIB4762"/>
    <mergeCell ref="QVU4762:QWZ4762"/>
    <mergeCell ref="QXA4762:QYF4762"/>
    <mergeCell ref="QYG4762:QZL4762"/>
    <mergeCell ref="QZM4762:RAR4762"/>
    <mergeCell ref="RAS4762:RBX4762"/>
    <mergeCell ref="QPQ4762:QQV4762"/>
    <mergeCell ref="QQW4762:QSB4762"/>
    <mergeCell ref="QSC4762:QTH4762"/>
    <mergeCell ref="QTI4762:QUN4762"/>
    <mergeCell ref="QUO4762:QVT4762"/>
    <mergeCell ref="QJM4762:QKR4762"/>
    <mergeCell ref="QKS4762:QLX4762"/>
    <mergeCell ref="QLY4762:QND4762"/>
    <mergeCell ref="QNE4762:QOJ4762"/>
    <mergeCell ref="QOK4762:QPP4762"/>
    <mergeCell ref="QDI4762:QEN4762"/>
    <mergeCell ref="QEO4762:QFT4762"/>
    <mergeCell ref="QFU4762:QGZ4762"/>
    <mergeCell ref="QHA4762:QIF4762"/>
    <mergeCell ref="QIG4762:QJL4762"/>
    <mergeCell ref="PXE4762:PYJ4762"/>
    <mergeCell ref="PYK4762:PZP4762"/>
    <mergeCell ref="PZQ4762:QAV4762"/>
    <mergeCell ref="QAW4762:QCB4762"/>
    <mergeCell ref="QCC4762:QDH4762"/>
    <mergeCell ref="PRA4762:PSF4762"/>
    <mergeCell ref="PSG4762:PTL4762"/>
    <mergeCell ref="PTM4762:PUR4762"/>
    <mergeCell ref="PUS4762:PVX4762"/>
    <mergeCell ref="PVY4762:PXD4762"/>
    <mergeCell ref="PKW4762:PMB4762"/>
    <mergeCell ref="PMC4762:PNH4762"/>
    <mergeCell ref="PNI4762:PON4762"/>
    <mergeCell ref="POO4762:PPT4762"/>
    <mergeCell ref="PPU4762:PQZ4762"/>
    <mergeCell ref="PES4762:PFX4762"/>
    <mergeCell ref="PFY4762:PHD4762"/>
    <mergeCell ref="PHE4762:PIJ4762"/>
    <mergeCell ref="PIK4762:PJP4762"/>
    <mergeCell ref="PJQ4762:PKV4762"/>
    <mergeCell ref="OYO4762:OZT4762"/>
    <mergeCell ref="OZU4762:PAZ4762"/>
    <mergeCell ref="PBA4762:PCF4762"/>
    <mergeCell ref="PCG4762:PDL4762"/>
    <mergeCell ref="PDM4762:PER4762"/>
    <mergeCell ref="OSK4762:OTP4762"/>
    <mergeCell ref="OTQ4762:OUV4762"/>
    <mergeCell ref="OUW4762:OWB4762"/>
    <mergeCell ref="OWC4762:OXH4762"/>
    <mergeCell ref="OXI4762:OYN4762"/>
    <mergeCell ref="OMG4762:ONL4762"/>
    <mergeCell ref="ONM4762:OOR4762"/>
    <mergeCell ref="OOS4762:OPX4762"/>
    <mergeCell ref="OPY4762:ORD4762"/>
    <mergeCell ref="ORE4762:OSJ4762"/>
    <mergeCell ref="OGC4762:OHH4762"/>
    <mergeCell ref="OHI4762:OIN4762"/>
    <mergeCell ref="OIO4762:OJT4762"/>
    <mergeCell ref="OJU4762:OKZ4762"/>
    <mergeCell ref="OLA4762:OMF4762"/>
    <mergeCell ref="NZY4762:OBD4762"/>
    <mergeCell ref="OBE4762:OCJ4762"/>
    <mergeCell ref="OCK4762:ODP4762"/>
    <mergeCell ref="ODQ4762:OEV4762"/>
    <mergeCell ref="OEW4762:OGB4762"/>
    <mergeCell ref="NTU4762:NUZ4762"/>
    <mergeCell ref="NVA4762:NWF4762"/>
    <mergeCell ref="NWG4762:NXL4762"/>
    <mergeCell ref="NXM4762:NYR4762"/>
    <mergeCell ref="NYS4762:NZX4762"/>
    <mergeCell ref="NNQ4762:NOV4762"/>
    <mergeCell ref="NOW4762:NQB4762"/>
    <mergeCell ref="NQC4762:NRH4762"/>
    <mergeCell ref="NRI4762:NSN4762"/>
    <mergeCell ref="NSO4762:NTT4762"/>
    <mergeCell ref="NHM4762:NIR4762"/>
    <mergeCell ref="NIS4762:NJX4762"/>
    <mergeCell ref="NJY4762:NLD4762"/>
    <mergeCell ref="NLE4762:NMJ4762"/>
    <mergeCell ref="NMK4762:NNP4762"/>
    <mergeCell ref="NBI4762:NCN4762"/>
    <mergeCell ref="NCO4762:NDT4762"/>
    <mergeCell ref="NDU4762:NEZ4762"/>
    <mergeCell ref="NFA4762:NGF4762"/>
    <mergeCell ref="NGG4762:NHL4762"/>
    <mergeCell ref="MVE4762:MWJ4762"/>
    <mergeCell ref="MWK4762:MXP4762"/>
    <mergeCell ref="MXQ4762:MYV4762"/>
    <mergeCell ref="MYW4762:NAB4762"/>
    <mergeCell ref="NAC4762:NBH4762"/>
    <mergeCell ref="MPA4762:MQF4762"/>
    <mergeCell ref="MQG4762:MRL4762"/>
    <mergeCell ref="MRM4762:MSR4762"/>
    <mergeCell ref="MSS4762:MTX4762"/>
    <mergeCell ref="MTY4762:MVD4762"/>
    <mergeCell ref="MIW4762:MKB4762"/>
    <mergeCell ref="MKC4762:MLH4762"/>
    <mergeCell ref="MLI4762:MMN4762"/>
    <mergeCell ref="MMO4762:MNT4762"/>
    <mergeCell ref="MNU4762:MOZ4762"/>
    <mergeCell ref="MCS4762:MDX4762"/>
    <mergeCell ref="MDY4762:MFD4762"/>
    <mergeCell ref="MFE4762:MGJ4762"/>
    <mergeCell ref="MGK4762:MHP4762"/>
    <mergeCell ref="MHQ4762:MIV4762"/>
    <mergeCell ref="LWO4762:LXT4762"/>
    <mergeCell ref="LXU4762:LYZ4762"/>
    <mergeCell ref="LZA4762:MAF4762"/>
    <mergeCell ref="MAG4762:MBL4762"/>
    <mergeCell ref="MBM4762:MCR4762"/>
    <mergeCell ref="LQK4762:LRP4762"/>
    <mergeCell ref="LRQ4762:LSV4762"/>
    <mergeCell ref="LSW4762:LUB4762"/>
    <mergeCell ref="LUC4762:LVH4762"/>
    <mergeCell ref="LVI4762:LWN4762"/>
    <mergeCell ref="LKG4762:LLL4762"/>
    <mergeCell ref="LLM4762:LMR4762"/>
    <mergeCell ref="LMS4762:LNX4762"/>
    <mergeCell ref="LNY4762:LPD4762"/>
    <mergeCell ref="LPE4762:LQJ4762"/>
    <mergeCell ref="LEC4762:LFH4762"/>
    <mergeCell ref="LFI4762:LGN4762"/>
    <mergeCell ref="LGO4762:LHT4762"/>
    <mergeCell ref="LHU4762:LIZ4762"/>
    <mergeCell ref="LJA4762:LKF4762"/>
    <mergeCell ref="KXY4762:KZD4762"/>
    <mergeCell ref="KZE4762:LAJ4762"/>
    <mergeCell ref="LAK4762:LBP4762"/>
    <mergeCell ref="LBQ4762:LCV4762"/>
    <mergeCell ref="LCW4762:LEB4762"/>
    <mergeCell ref="KRU4762:KSZ4762"/>
    <mergeCell ref="KTA4762:KUF4762"/>
    <mergeCell ref="KUG4762:KVL4762"/>
    <mergeCell ref="KVM4762:KWR4762"/>
    <mergeCell ref="KWS4762:KXX4762"/>
    <mergeCell ref="KLQ4762:KMV4762"/>
    <mergeCell ref="KMW4762:KOB4762"/>
    <mergeCell ref="KOC4762:KPH4762"/>
    <mergeCell ref="KPI4762:KQN4762"/>
    <mergeCell ref="KQO4762:KRT4762"/>
    <mergeCell ref="KFM4762:KGR4762"/>
    <mergeCell ref="KGS4762:KHX4762"/>
    <mergeCell ref="KHY4762:KJD4762"/>
    <mergeCell ref="KJE4762:KKJ4762"/>
    <mergeCell ref="KKK4762:KLP4762"/>
    <mergeCell ref="JZI4762:KAN4762"/>
    <mergeCell ref="KAO4762:KBT4762"/>
    <mergeCell ref="KBU4762:KCZ4762"/>
    <mergeCell ref="KDA4762:KEF4762"/>
    <mergeCell ref="KEG4762:KFL4762"/>
    <mergeCell ref="JTE4762:JUJ4762"/>
    <mergeCell ref="JUK4762:JVP4762"/>
    <mergeCell ref="JVQ4762:JWV4762"/>
    <mergeCell ref="JWW4762:JYB4762"/>
    <mergeCell ref="JYC4762:JZH4762"/>
    <mergeCell ref="JNA4762:JOF4762"/>
    <mergeCell ref="JOG4762:JPL4762"/>
    <mergeCell ref="JPM4762:JQR4762"/>
    <mergeCell ref="JQS4762:JRX4762"/>
    <mergeCell ref="JRY4762:JTD4762"/>
    <mergeCell ref="JGW4762:JIB4762"/>
    <mergeCell ref="JIC4762:JJH4762"/>
    <mergeCell ref="JJI4762:JKN4762"/>
    <mergeCell ref="JKO4762:JLT4762"/>
    <mergeCell ref="JLU4762:JMZ4762"/>
    <mergeCell ref="JAS4762:JBX4762"/>
    <mergeCell ref="JBY4762:JDD4762"/>
    <mergeCell ref="JDE4762:JEJ4762"/>
    <mergeCell ref="JEK4762:JFP4762"/>
    <mergeCell ref="JFQ4762:JGV4762"/>
    <mergeCell ref="IUO4762:IVT4762"/>
    <mergeCell ref="IVU4762:IWZ4762"/>
    <mergeCell ref="IXA4762:IYF4762"/>
    <mergeCell ref="IYG4762:IZL4762"/>
    <mergeCell ref="IZM4762:JAR4762"/>
    <mergeCell ref="IOK4762:IPP4762"/>
    <mergeCell ref="IPQ4762:IQV4762"/>
    <mergeCell ref="IQW4762:ISB4762"/>
    <mergeCell ref="ISC4762:ITH4762"/>
    <mergeCell ref="ITI4762:IUN4762"/>
    <mergeCell ref="IIG4762:IJL4762"/>
    <mergeCell ref="IJM4762:IKR4762"/>
    <mergeCell ref="IKS4762:ILX4762"/>
    <mergeCell ref="ILY4762:IND4762"/>
    <mergeCell ref="INE4762:IOJ4762"/>
    <mergeCell ref="ICC4762:IDH4762"/>
    <mergeCell ref="IDI4762:IEN4762"/>
    <mergeCell ref="IEO4762:IFT4762"/>
    <mergeCell ref="IFU4762:IGZ4762"/>
    <mergeCell ref="IHA4762:IIF4762"/>
    <mergeCell ref="HVY4762:HXD4762"/>
    <mergeCell ref="HXE4762:HYJ4762"/>
    <mergeCell ref="HYK4762:HZP4762"/>
    <mergeCell ref="HZQ4762:IAV4762"/>
    <mergeCell ref="IAW4762:ICB4762"/>
    <mergeCell ref="HPU4762:HQZ4762"/>
    <mergeCell ref="HRA4762:HSF4762"/>
    <mergeCell ref="HSG4762:HTL4762"/>
    <mergeCell ref="HTM4762:HUR4762"/>
    <mergeCell ref="HUS4762:HVX4762"/>
    <mergeCell ref="HJQ4762:HKV4762"/>
    <mergeCell ref="HKW4762:HMB4762"/>
    <mergeCell ref="HMC4762:HNH4762"/>
    <mergeCell ref="HNI4762:HON4762"/>
    <mergeCell ref="HOO4762:HPT4762"/>
    <mergeCell ref="HDM4762:HER4762"/>
    <mergeCell ref="HES4762:HFX4762"/>
    <mergeCell ref="HFY4762:HHD4762"/>
    <mergeCell ref="HHE4762:HIJ4762"/>
    <mergeCell ref="HIK4762:HJP4762"/>
    <mergeCell ref="GXI4762:GYN4762"/>
    <mergeCell ref="GYO4762:GZT4762"/>
    <mergeCell ref="GZU4762:HAZ4762"/>
    <mergeCell ref="HBA4762:HCF4762"/>
    <mergeCell ref="HCG4762:HDL4762"/>
    <mergeCell ref="GRE4762:GSJ4762"/>
    <mergeCell ref="GSK4762:GTP4762"/>
    <mergeCell ref="GTQ4762:GUV4762"/>
    <mergeCell ref="GUW4762:GWB4762"/>
    <mergeCell ref="GWC4762:GXH4762"/>
    <mergeCell ref="GLA4762:GMF4762"/>
    <mergeCell ref="GMG4762:GNL4762"/>
    <mergeCell ref="GNM4762:GOR4762"/>
    <mergeCell ref="GOS4762:GPX4762"/>
    <mergeCell ref="GPY4762:GRD4762"/>
    <mergeCell ref="GEW4762:GGB4762"/>
    <mergeCell ref="GGC4762:GHH4762"/>
    <mergeCell ref="GHI4762:GIN4762"/>
    <mergeCell ref="GIO4762:GJT4762"/>
    <mergeCell ref="GJU4762:GKZ4762"/>
    <mergeCell ref="FYS4762:FZX4762"/>
    <mergeCell ref="FZY4762:GBD4762"/>
    <mergeCell ref="GBE4762:GCJ4762"/>
    <mergeCell ref="GCK4762:GDP4762"/>
    <mergeCell ref="GDQ4762:GEV4762"/>
    <mergeCell ref="FSO4762:FTT4762"/>
    <mergeCell ref="FTU4762:FUZ4762"/>
    <mergeCell ref="FVA4762:FWF4762"/>
    <mergeCell ref="FWG4762:FXL4762"/>
    <mergeCell ref="FXM4762:FYR4762"/>
    <mergeCell ref="FMK4762:FNP4762"/>
    <mergeCell ref="FNQ4762:FOV4762"/>
    <mergeCell ref="FOW4762:FQB4762"/>
    <mergeCell ref="FQC4762:FRH4762"/>
    <mergeCell ref="FRI4762:FSN4762"/>
    <mergeCell ref="FGG4762:FHL4762"/>
    <mergeCell ref="FHM4762:FIR4762"/>
    <mergeCell ref="FIS4762:FJX4762"/>
    <mergeCell ref="FJY4762:FLD4762"/>
    <mergeCell ref="FLE4762:FMJ4762"/>
    <mergeCell ref="FAC4762:FBH4762"/>
    <mergeCell ref="FBI4762:FCN4762"/>
    <mergeCell ref="FCO4762:FDT4762"/>
    <mergeCell ref="FDU4762:FEZ4762"/>
    <mergeCell ref="FFA4762:FGF4762"/>
    <mergeCell ref="ETY4762:EVD4762"/>
    <mergeCell ref="EVE4762:EWJ4762"/>
    <mergeCell ref="EWK4762:EXP4762"/>
    <mergeCell ref="EXQ4762:EYV4762"/>
    <mergeCell ref="EYW4762:FAB4762"/>
    <mergeCell ref="ENU4762:EOZ4762"/>
    <mergeCell ref="EPA4762:EQF4762"/>
    <mergeCell ref="EQG4762:ERL4762"/>
    <mergeCell ref="ERM4762:ESR4762"/>
    <mergeCell ref="ESS4762:ETX4762"/>
    <mergeCell ref="EHQ4762:EIV4762"/>
    <mergeCell ref="EIW4762:EKB4762"/>
    <mergeCell ref="EKC4762:ELH4762"/>
    <mergeCell ref="ELI4762:EMN4762"/>
    <mergeCell ref="EMO4762:ENT4762"/>
    <mergeCell ref="EBM4762:ECR4762"/>
    <mergeCell ref="ECS4762:EDX4762"/>
    <mergeCell ref="EDY4762:EFD4762"/>
    <mergeCell ref="EFE4762:EGJ4762"/>
    <mergeCell ref="EGK4762:EHP4762"/>
    <mergeCell ref="DVI4762:DWN4762"/>
    <mergeCell ref="DWO4762:DXT4762"/>
    <mergeCell ref="DXU4762:DYZ4762"/>
    <mergeCell ref="DZA4762:EAF4762"/>
    <mergeCell ref="EAG4762:EBL4762"/>
    <mergeCell ref="DPE4762:DQJ4762"/>
    <mergeCell ref="DQK4762:DRP4762"/>
    <mergeCell ref="DRQ4762:DSV4762"/>
    <mergeCell ref="DSW4762:DUB4762"/>
    <mergeCell ref="DUC4762:DVH4762"/>
    <mergeCell ref="DJA4762:DKF4762"/>
    <mergeCell ref="DKG4762:DLL4762"/>
    <mergeCell ref="DLM4762:DMR4762"/>
    <mergeCell ref="DMS4762:DNX4762"/>
    <mergeCell ref="DNY4762:DPD4762"/>
    <mergeCell ref="DCW4762:DEB4762"/>
    <mergeCell ref="DEC4762:DFH4762"/>
    <mergeCell ref="DFI4762:DGN4762"/>
    <mergeCell ref="DGO4762:DHT4762"/>
    <mergeCell ref="DHU4762:DIZ4762"/>
    <mergeCell ref="CWS4762:CXX4762"/>
    <mergeCell ref="CXY4762:CZD4762"/>
    <mergeCell ref="CZE4762:DAJ4762"/>
    <mergeCell ref="DAK4762:DBP4762"/>
    <mergeCell ref="DBQ4762:DCV4762"/>
    <mergeCell ref="CQO4762:CRT4762"/>
    <mergeCell ref="CRU4762:CSZ4762"/>
    <mergeCell ref="CTA4762:CUF4762"/>
    <mergeCell ref="CUG4762:CVL4762"/>
    <mergeCell ref="CVM4762:CWR4762"/>
    <mergeCell ref="CKK4762:CLP4762"/>
    <mergeCell ref="CLQ4762:CMV4762"/>
    <mergeCell ref="CMW4762:COB4762"/>
    <mergeCell ref="COC4762:CPH4762"/>
    <mergeCell ref="CPI4762:CQN4762"/>
    <mergeCell ref="CEG4762:CFL4762"/>
    <mergeCell ref="CFM4762:CGR4762"/>
    <mergeCell ref="CGS4762:CHX4762"/>
    <mergeCell ref="CHY4762:CJD4762"/>
    <mergeCell ref="CJE4762:CKJ4762"/>
    <mergeCell ref="BYC4762:BZH4762"/>
    <mergeCell ref="BZI4762:CAN4762"/>
    <mergeCell ref="CAO4762:CBT4762"/>
    <mergeCell ref="CBU4762:CCZ4762"/>
    <mergeCell ref="CDA4762:CEF4762"/>
    <mergeCell ref="BRY4762:BTD4762"/>
    <mergeCell ref="BTE4762:BUJ4762"/>
    <mergeCell ref="BUK4762:BVP4762"/>
    <mergeCell ref="BVQ4762:BWV4762"/>
    <mergeCell ref="BWW4762:BYB4762"/>
    <mergeCell ref="BLU4762:BMZ4762"/>
    <mergeCell ref="BNA4762:BOF4762"/>
    <mergeCell ref="BOG4762:BPL4762"/>
    <mergeCell ref="BPM4762:BQR4762"/>
    <mergeCell ref="BQS4762:BRX4762"/>
    <mergeCell ref="BFQ4762:BGV4762"/>
    <mergeCell ref="BGW4762:BIB4762"/>
    <mergeCell ref="BIC4762:BJH4762"/>
    <mergeCell ref="BJI4762:BKN4762"/>
    <mergeCell ref="BKO4762:BLT4762"/>
    <mergeCell ref="AZM4762:BAR4762"/>
    <mergeCell ref="BAS4762:BBX4762"/>
    <mergeCell ref="BBY4762:BDD4762"/>
    <mergeCell ref="BDE4762:BEJ4762"/>
    <mergeCell ref="BEK4762:BFP4762"/>
    <mergeCell ref="ATI4762:AUN4762"/>
    <mergeCell ref="AUO4762:AVT4762"/>
    <mergeCell ref="AVU4762:AWZ4762"/>
    <mergeCell ref="AXA4762:AYF4762"/>
    <mergeCell ref="AYG4762:AZL4762"/>
    <mergeCell ref="ANE4762:AOJ4762"/>
    <mergeCell ref="AOK4762:APP4762"/>
    <mergeCell ref="APQ4762:AQV4762"/>
    <mergeCell ref="AQW4762:ASB4762"/>
    <mergeCell ref="ASC4762:ATH4762"/>
    <mergeCell ref="AHA4762:AIF4762"/>
    <mergeCell ref="AIG4762:AJL4762"/>
    <mergeCell ref="AJM4762:AKR4762"/>
    <mergeCell ref="AKS4762:ALX4762"/>
    <mergeCell ref="ALY4762:AND4762"/>
    <mergeCell ref="AAW4762:ACB4762"/>
    <mergeCell ref="ACC4762:ADH4762"/>
    <mergeCell ref="ADI4762:AEN4762"/>
    <mergeCell ref="AEO4762:AFT4762"/>
    <mergeCell ref="AFU4762:AGZ4762"/>
    <mergeCell ref="US4762:VX4762"/>
    <mergeCell ref="VY4762:XD4762"/>
    <mergeCell ref="XE4762:YJ4762"/>
    <mergeCell ref="YK4762:ZP4762"/>
    <mergeCell ref="ZQ4762:AAV4762"/>
    <mergeCell ref="OO4762:PT4762"/>
    <mergeCell ref="PU4762:QZ4762"/>
    <mergeCell ref="RA4762:SF4762"/>
    <mergeCell ref="SG4762:TL4762"/>
    <mergeCell ref="TM4762:UR4762"/>
    <mergeCell ref="XEH4094:XEQ4094"/>
    <mergeCell ref="WTF4094:WTO4094"/>
    <mergeCell ref="WTQ4094:WTQ4095"/>
    <mergeCell ref="WTS4094:WTX4094"/>
    <mergeCell ref="WTY4094:WTY4095"/>
    <mergeCell ref="WRZ4094:WSI4094"/>
    <mergeCell ref="WSK4094:WSK4095"/>
    <mergeCell ref="WSM4094:WSR4094"/>
    <mergeCell ref="WSS4094:WSS4095"/>
    <mergeCell ref="WST4094:WST4095"/>
    <mergeCell ref="WRE4094:WRE4095"/>
    <mergeCell ref="WRG4094:WRL4094"/>
    <mergeCell ref="WRM4094:WRM4095"/>
    <mergeCell ref="WRN4094:WRN4095"/>
    <mergeCell ref="WRO4094:WRX4094"/>
    <mergeCell ref="WQA4094:WQF4094"/>
    <mergeCell ref="WQG4094:WQG4095"/>
    <mergeCell ref="WQH4094:WQH4095"/>
    <mergeCell ref="WQI4094:WQR4094"/>
    <mergeCell ref="WQT4094:WRC4094"/>
    <mergeCell ref="WPA4094:WPA4095"/>
    <mergeCell ref="WPB4094:WPB4095"/>
    <mergeCell ref="WPC4094:WPL4094"/>
    <mergeCell ref="WPN4094:WPW4094"/>
    <mergeCell ref="WPY4094:WPY4095"/>
    <mergeCell ref="WNV4094:WNV4095"/>
    <mergeCell ref="WNW4094:WOF4094"/>
    <mergeCell ref="WOH4094:WOQ4094"/>
    <mergeCell ref="WOS4094:WOS4095"/>
    <mergeCell ref="WOU4094:WOZ4094"/>
    <mergeCell ref="WMQ4094:WMZ4094"/>
    <mergeCell ref="WNB4094:WNK4094"/>
    <mergeCell ref="WNU4094:WNU4095"/>
    <mergeCell ref="WLV4094:WME4094"/>
    <mergeCell ref="WMG4094:WMG4095"/>
    <mergeCell ref="WMI4094:WMN4094"/>
    <mergeCell ref="WMO4094:WMO4095"/>
    <mergeCell ref="WMP4094:WMP4095"/>
    <mergeCell ref="WLA4094:WLA4095"/>
    <mergeCell ref="WLC4094:WLH4094"/>
    <mergeCell ref="WLI4094:WLI4095"/>
    <mergeCell ref="WLJ4094:WLJ4095"/>
    <mergeCell ref="WLK4094:WLT4094"/>
    <mergeCell ref="WJW4094:WKB4094"/>
    <mergeCell ref="WKC4094:WKC4095"/>
    <mergeCell ref="WKD4094:WKD4095"/>
    <mergeCell ref="WKE4094:WKN4094"/>
    <mergeCell ref="WKP4094:WKY4094"/>
    <mergeCell ref="WIW4094:WIW4095"/>
    <mergeCell ref="WIX4094:WIX4095"/>
    <mergeCell ref="WIY4094:WJH4094"/>
    <mergeCell ref="WJJ4094:WJS4094"/>
    <mergeCell ref="WJU4094:WJU4095"/>
    <mergeCell ref="WHR4094:WHR4095"/>
    <mergeCell ref="BA4762:CF4762"/>
    <mergeCell ref="CG4762:DL4762"/>
    <mergeCell ref="DM4762:ER4762"/>
    <mergeCell ref="ES4762:FX4762"/>
    <mergeCell ref="FY4762:HD4762"/>
    <mergeCell ref="HE4762:IJ4762"/>
    <mergeCell ref="IK4762:JP4762"/>
    <mergeCell ref="JQ4762:KV4762"/>
    <mergeCell ref="KW4762:MB4762"/>
    <mergeCell ref="MC4762:NH4762"/>
    <mergeCell ref="NI4762:ON4762"/>
    <mergeCell ref="XDM4094:XDM4095"/>
    <mergeCell ref="XDO4094:XDT4094"/>
    <mergeCell ref="XDU4094:XDU4095"/>
    <mergeCell ref="XDV4094:XDV4095"/>
    <mergeCell ref="XDW4094:XEF4094"/>
    <mergeCell ref="XCI4094:XCN4094"/>
    <mergeCell ref="XCO4094:XCO4095"/>
    <mergeCell ref="XCP4094:XCP4095"/>
    <mergeCell ref="XCQ4094:XCZ4094"/>
    <mergeCell ref="XDB4094:XDK4094"/>
    <mergeCell ref="XBI4094:XBI4095"/>
    <mergeCell ref="XBJ4094:XBJ4095"/>
    <mergeCell ref="XBK4094:XBT4094"/>
    <mergeCell ref="XBV4094:XCE4094"/>
    <mergeCell ref="XCG4094:XCG4095"/>
    <mergeCell ref="XAD4094:XAD4095"/>
    <mergeCell ref="XAE4094:XAN4094"/>
    <mergeCell ref="XAP4094:XAY4094"/>
    <mergeCell ref="XBA4094:XBA4095"/>
    <mergeCell ref="XBC4094:XBH4094"/>
    <mergeCell ref="WYY4094:WZH4094"/>
    <mergeCell ref="WZJ4094:WZS4094"/>
    <mergeCell ref="WZU4094:WZU4095"/>
    <mergeCell ref="WZW4094:XAB4094"/>
    <mergeCell ref="XAC4094:XAC4095"/>
    <mergeCell ref="WYD4094:WYM4094"/>
    <mergeCell ref="WYO4094:WYO4095"/>
    <mergeCell ref="WYQ4094:WYV4094"/>
    <mergeCell ref="WYW4094:WYW4095"/>
    <mergeCell ref="WYX4094:WYX4095"/>
    <mergeCell ref="WXI4094:WXI4095"/>
    <mergeCell ref="WXK4094:WXP4094"/>
    <mergeCell ref="WXQ4094:WXQ4095"/>
    <mergeCell ref="WXR4094:WXR4095"/>
    <mergeCell ref="WXS4094:WYB4094"/>
    <mergeCell ref="WWE4094:WWJ4094"/>
    <mergeCell ref="WWK4094:WWK4095"/>
    <mergeCell ref="WWL4094:WWL4095"/>
    <mergeCell ref="WWM4094:WWV4094"/>
    <mergeCell ref="WWX4094:WXG4094"/>
    <mergeCell ref="WVE4094:WVE4095"/>
    <mergeCell ref="WVF4094:WVF4095"/>
    <mergeCell ref="WVG4094:WVP4094"/>
    <mergeCell ref="WVR4094:WWA4094"/>
    <mergeCell ref="WWC4094:WWC4095"/>
    <mergeCell ref="WTZ4094:WTZ4095"/>
    <mergeCell ref="WUA4094:WUJ4094"/>
    <mergeCell ref="WUL4094:WUU4094"/>
    <mergeCell ref="WUW4094:WUW4095"/>
    <mergeCell ref="WUY4094:WVD4094"/>
    <mergeCell ref="WSU4094:WTD4094"/>
    <mergeCell ref="WNM4094:WNM4095"/>
    <mergeCell ref="WNO4094:WNT4094"/>
    <mergeCell ref="WHS4094:WIB4094"/>
    <mergeCell ref="WID4094:WIM4094"/>
    <mergeCell ref="WIO4094:WIO4095"/>
    <mergeCell ref="WIQ4094:WIV4094"/>
    <mergeCell ref="WGM4094:WGV4094"/>
    <mergeCell ref="WGX4094:WHG4094"/>
    <mergeCell ref="WHI4094:WHI4095"/>
    <mergeCell ref="WHK4094:WHP4094"/>
    <mergeCell ref="WHQ4094:WHQ4095"/>
    <mergeCell ref="WFR4094:WGA4094"/>
    <mergeCell ref="WGC4094:WGC4095"/>
    <mergeCell ref="WGE4094:WGJ4094"/>
    <mergeCell ref="WGK4094:WGK4095"/>
    <mergeCell ref="WGL4094:WGL4095"/>
    <mergeCell ref="WEW4094:WEW4095"/>
    <mergeCell ref="WEY4094:WFD4094"/>
    <mergeCell ref="WFE4094:WFE4095"/>
    <mergeCell ref="WFF4094:WFF4095"/>
    <mergeCell ref="WFG4094:WFP4094"/>
    <mergeCell ref="WDS4094:WDX4094"/>
    <mergeCell ref="WDY4094:WDY4095"/>
    <mergeCell ref="WDZ4094:WDZ4095"/>
    <mergeCell ref="WEA4094:WEJ4094"/>
    <mergeCell ref="WEL4094:WEU4094"/>
    <mergeCell ref="WCS4094:WCS4095"/>
    <mergeCell ref="WCT4094:WCT4095"/>
    <mergeCell ref="WCU4094:WDD4094"/>
    <mergeCell ref="WDF4094:WDO4094"/>
    <mergeCell ref="WDQ4094:WDQ4095"/>
    <mergeCell ref="WBN4094:WBN4095"/>
    <mergeCell ref="WBO4094:WBX4094"/>
    <mergeCell ref="WBZ4094:WCI4094"/>
    <mergeCell ref="WCK4094:WCK4095"/>
    <mergeCell ref="WCM4094:WCR4094"/>
    <mergeCell ref="WAI4094:WAR4094"/>
    <mergeCell ref="WAT4094:WBC4094"/>
    <mergeCell ref="WBE4094:WBE4095"/>
    <mergeCell ref="WBG4094:WBL4094"/>
    <mergeCell ref="WBM4094:WBM4095"/>
    <mergeCell ref="VZN4094:VZW4094"/>
    <mergeCell ref="VZY4094:VZY4095"/>
    <mergeCell ref="WAA4094:WAF4094"/>
    <mergeCell ref="WAG4094:WAG4095"/>
    <mergeCell ref="WAH4094:WAH4095"/>
    <mergeCell ref="VYS4094:VYS4095"/>
    <mergeCell ref="VYU4094:VYZ4094"/>
    <mergeCell ref="VZA4094:VZA4095"/>
    <mergeCell ref="VZB4094:VZB4095"/>
    <mergeCell ref="VZC4094:VZL4094"/>
    <mergeCell ref="VXO4094:VXT4094"/>
    <mergeCell ref="VXU4094:VXU4095"/>
    <mergeCell ref="VXV4094:VXV4095"/>
    <mergeCell ref="VXW4094:VYF4094"/>
    <mergeCell ref="VYH4094:VYQ4094"/>
    <mergeCell ref="VWO4094:VWO4095"/>
    <mergeCell ref="VWP4094:VWP4095"/>
    <mergeCell ref="VWQ4094:VWZ4094"/>
    <mergeCell ref="VXB4094:VXK4094"/>
    <mergeCell ref="VXM4094:VXM4095"/>
    <mergeCell ref="VVJ4094:VVJ4095"/>
    <mergeCell ref="VVK4094:VVT4094"/>
    <mergeCell ref="VVV4094:VWE4094"/>
    <mergeCell ref="VWG4094:VWG4095"/>
    <mergeCell ref="VWI4094:VWN4094"/>
    <mergeCell ref="VUE4094:VUN4094"/>
    <mergeCell ref="VUP4094:VUY4094"/>
    <mergeCell ref="VVA4094:VVA4095"/>
    <mergeCell ref="VVC4094:VVH4094"/>
    <mergeCell ref="VVI4094:VVI4095"/>
    <mergeCell ref="VTJ4094:VTS4094"/>
    <mergeCell ref="VTU4094:VTU4095"/>
    <mergeCell ref="VTW4094:VUB4094"/>
    <mergeCell ref="VUC4094:VUC4095"/>
    <mergeCell ref="VUD4094:VUD4095"/>
    <mergeCell ref="VSO4094:VSO4095"/>
    <mergeCell ref="VSQ4094:VSV4094"/>
    <mergeCell ref="VSW4094:VSW4095"/>
    <mergeCell ref="VSX4094:VSX4095"/>
    <mergeCell ref="VSY4094:VTH4094"/>
    <mergeCell ref="VRK4094:VRP4094"/>
    <mergeCell ref="VRQ4094:VRQ4095"/>
    <mergeCell ref="VRR4094:VRR4095"/>
    <mergeCell ref="VRS4094:VSB4094"/>
    <mergeCell ref="VSD4094:VSM4094"/>
    <mergeCell ref="VQK4094:VQK4095"/>
    <mergeCell ref="VQL4094:VQL4095"/>
    <mergeCell ref="VQM4094:VQV4094"/>
    <mergeCell ref="VQX4094:VRG4094"/>
    <mergeCell ref="VRI4094:VRI4095"/>
    <mergeCell ref="VPF4094:VPF4095"/>
    <mergeCell ref="VPG4094:VPP4094"/>
    <mergeCell ref="VPR4094:VQA4094"/>
    <mergeCell ref="VQC4094:VQC4095"/>
    <mergeCell ref="VQE4094:VQJ4094"/>
    <mergeCell ref="VOA4094:VOJ4094"/>
    <mergeCell ref="VOL4094:VOU4094"/>
    <mergeCell ref="VOW4094:VOW4095"/>
    <mergeCell ref="VOY4094:VPD4094"/>
    <mergeCell ref="VPE4094:VPE4095"/>
    <mergeCell ref="VNF4094:VNO4094"/>
    <mergeCell ref="VNQ4094:VNQ4095"/>
    <mergeCell ref="VNS4094:VNX4094"/>
    <mergeCell ref="VNY4094:VNY4095"/>
    <mergeCell ref="VNZ4094:VNZ4095"/>
    <mergeCell ref="VMK4094:VMK4095"/>
    <mergeCell ref="VMM4094:VMR4094"/>
    <mergeCell ref="VMS4094:VMS4095"/>
    <mergeCell ref="VMT4094:VMT4095"/>
    <mergeCell ref="VMU4094:VND4094"/>
    <mergeCell ref="VLG4094:VLL4094"/>
    <mergeCell ref="VLM4094:VLM4095"/>
    <mergeCell ref="VLN4094:VLN4095"/>
    <mergeCell ref="VLO4094:VLX4094"/>
    <mergeCell ref="VLZ4094:VMI4094"/>
    <mergeCell ref="VKG4094:VKG4095"/>
    <mergeCell ref="VKH4094:VKH4095"/>
    <mergeCell ref="VKI4094:VKR4094"/>
    <mergeCell ref="VKT4094:VLC4094"/>
    <mergeCell ref="VLE4094:VLE4095"/>
    <mergeCell ref="VJB4094:VJB4095"/>
    <mergeCell ref="VJC4094:VJL4094"/>
    <mergeCell ref="VJN4094:VJW4094"/>
    <mergeCell ref="VJY4094:VJY4095"/>
    <mergeCell ref="VKA4094:VKF4094"/>
    <mergeCell ref="VHW4094:VIF4094"/>
    <mergeCell ref="VIH4094:VIQ4094"/>
    <mergeCell ref="VIS4094:VIS4095"/>
    <mergeCell ref="VIU4094:VIZ4094"/>
    <mergeCell ref="VJA4094:VJA4095"/>
    <mergeCell ref="VHB4094:VHK4094"/>
    <mergeCell ref="VHM4094:VHM4095"/>
    <mergeCell ref="VHO4094:VHT4094"/>
    <mergeCell ref="VHU4094:VHU4095"/>
    <mergeCell ref="VHV4094:VHV4095"/>
    <mergeCell ref="VGG4094:VGG4095"/>
    <mergeCell ref="VGI4094:VGN4094"/>
    <mergeCell ref="VGO4094:VGO4095"/>
    <mergeCell ref="VGP4094:VGP4095"/>
    <mergeCell ref="VGQ4094:VGZ4094"/>
    <mergeCell ref="VFC4094:VFH4094"/>
    <mergeCell ref="VFI4094:VFI4095"/>
    <mergeCell ref="VFJ4094:VFJ4095"/>
    <mergeCell ref="VFK4094:VFT4094"/>
    <mergeCell ref="VFV4094:VGE4094"/>
    <mergeCell ref="VEC4094:VEC4095"/>
    <mergeCell ref="VED4094:VED4095"/>
    <mergeCell ref="VEE4094:VEN4094"/>
    <mergeCell ref="VEP4094:VEY4094"/>
    <mergeCell ref="VFA4094:VFA4095"/>
    <mergeCell ref="VCX4094:VCX4095"/>
    <mergeCell ref="VCY4094:VDH4094"/>
    <mergeCell ref="VDJ4094:VDS4094"/>
    <mergeCell ref="VDU4094:VDU4095"/>
    <mergeCell ref="VDW4094:VEB4094"/>
    <mergeCell ref="VBS4094:VCB4094"/>
    <mergeCell ref="VCD4094:VCM4094"/>
    <mergeCell ref="VCO4094:VCO4095"/>
    <mergeCell ref="VCQ4094:VCV4094"/>
    <mergeCell ref="VCW4094:VCW4095"/>
    <mergeCell ref="VAX4094:VBG4094"/>
    <mergeCell ref="VBI4094:VBI4095"/>
    <mergeCell ref="VBK4094:VBP4094"/>
    <mergeCell ref="VBQ4094:VBQ4095"/>
    <mergeCell ref="VBR4094:VBR4095"/>
    <mergeCell ref="VAC4094:VAC4095"/>
    <mergeCell ref="VAE4094:VAJ4094"/>
    <mergeCell ref="VAK4094:VAK4095"/>
    <mergeCell ref="VAL4094:VAL4095"/>
    <mergeCell ref="VAM4094:VAV4094"/>
    <mergeCell ref="UYY4094:UZD4094"/>
    <mergeCell ref="UZE4094:UZE4095"/>
    <mergeCell ref="UZF4094:UZF4095"/>
    <mergeCell ref="UZG4094:UZP4094"/>
    <mergeCell ref="UZR4094:VAA4094"/>
    <mergeCell ref="UXY4094:UXY4095"/>
    <mergeCell ref="UXZ4094:UXZ4095"/>
    <mergeCell ref="UYA4094:UYJ4094"/>
    <mergeCell ref="UYL4094:UYU4094"/>
    <mergeCell ref="UYW4094:UYW4095"/>
    <mergeCell ref="UWT4094:UWT4095"/>
    <mergeCell ref="UWU4094:UXD4094"/>
    <mergeCell ref="UXF4094:UXO4094"/>
    <mergeCell ref="UXQ4094:UXQ4095"/>
    <mergeCell ref="UXS4094:UXX4094"/>
    <mergeCell ref="UVO4094:UVX4094"/>
    <mergeCell ref="UVZ4094:UWI4094"/>
    <mergeCell ref="UWK4094:UWK4095"/>
    <mergeCell ref="UWM4094:UWR4094"/>
    <mergeCell ref="UWS4094:UWS4095"/>
    <mergeCell ref="UUT4094:UVC4094"/>
    <mergeCell ref="UVE4094:UVE4095"/>
    <mergeCell ref="UVG4094:UVL4094"/>
    <mergeCell ref="UVM4094:UVM4095"/>
    <mergeCell ref="UVN4094:UVN4095"/>
    <mergeCell ref="UTY4094:UTY4095"/>
    <mergeCell ref="UUA4094:UUF4094"/>
    <mergeCell ref="UUG4094:UUG4095"/>
    <mergeCell ref="UUH4094:UUH4095"/>
    <mergeCell ref="UUI4094:UUR4094"/>
    <mergeCell ref="USU4094:USZ4094"/>
    <mergeCell ref="UTA4094:UTA4095"/>
    <mergeCell ref="UTB4094:UTB4095"/>
    <mergeCell ref="UTC4094:UTL4094"/>
    <mergeCell ref="UTN4094:UTW4094"/>
    <mergeCell ref="URU4094:URU4095"/>
    <mergeCell ref="URV4094:URV4095"/>
    <mergeCell ref="URW4094:USF4094"/>
    <mergeCell ref="USH4094:USQ4094"/>
    <mergeCell ref="USS4094:USS4095"/>
    <mergeCell ref="UQP4094:UQP4095"/>
    <mergeCell ref="UQQ4094:UQZ4094"/>
    <mergeCell ref="URB4094:URK4094"/>
    <mergeCell ref="URM4094:URM4095"/>
    <mergeCell ref="URO4094:URT4094"/>
    <mergeCell ref="UPK4094:UPT4094"/>
    <mergeCell ref="UPV4094:UQE4094"/>
    <mergeCell ref="UQG4094:UQG4095"/>
    <mergeCell ref="UQI4094:UQN4094"/>
    <mergeCell ref="UQO4094:UQO4095"/>
    <mergeCell ref="UOP4094:UOY4094"/>
    <mergeCell ref="UPA4094:UPA4095"/>
    <mergeCell ref="UPC4094:UPH4094"/>
    <mergeCell ref="UPI4094:UPI4095"/>
    <mergeCell ref="UPJ4094:UPJ4095"/>
    <mergeCell ref="UNU4094:UNU4095"/>
    <mergeCell ref="UNW4094:UOB4094"/>
    <mergeCell ref="UOC4094:UOC4095"/>
    <mergeCell ref="UOD4094:UOD4095"/>
    <mergeCell ref="UOE4094:UON4094"/>
    <mergeCell ref="UMQ4094:UMV4094"/>
    <mergeCell ref="UMW4094:UMW4095"/>
    <mergeCell ref="UMX4094:UMX4095"/>
    <mergeCell ref="UMY4094:UNH4094"/>
    <mergeCell ref="UNJ4094:UNS4094"/>
    <mergeCell ref="ULQ4094:ULQ4095"/>
    <mergeCell ref="ULR4094:ULR4095"/>
    <mergeCell ref="ULS4094:UMB4094"/>
    <mergeCell ref="UMD4094:UMM4094"/>
    <mergeCell ref="UMO4094:UMO4095"/>
    <mergeCell ref="UKL4094:UKL4095"/>
    <mergeCell ref="UKM4094:UKV4094"/>
    <mergeCell ref="UKX4094:ULG4094"/>
    <mergeCell ref="ULI4094:ULI4095"/>
    <mergeCell ref="ULK4094:ULP4094"/>
    <mergeCell ref="UJG4094:UJP4094"/>
    <mergeCell ref="UJR4094:UKA4094"/>
    <mergeCell ref="UKC4094:UKC4095"/>
    <mergeCell ref="UKE4094:UKJ4094"/>
    <mergeCell ref="UKK4094:UKK4095"/>
    <mergeCell ref="UIL4094:UIU4094"/>
    <mergeCell ref="UIW4094:UIW4095"/>
    <mergeCell ref="UIY4094:UJD4094"/>
    <mergeCell ref="UJE4094:UJE4095"/>
    <mergeCell ref="UJF4094:UJF4095"/>
    <mergeCell ref="UHQ4094:UHQ4095"/>
    <mergeCell ref="UHS4094:UHX4094"/>
    <mergeCell ref="UHY4094:UHY4095"/>
    <mergeCell ref="UHZ4094:UHZ4095"/>
    <mergeCell ref="UIA4094:UIJ4094"/>
    <mergeCell ref="UGM4094:UGR4094"/>
    <mergeCell ref="UGS4094:UGS4095"/>
    <mergeCell ref="UGT4094:UGT4095"/>
    <mergeCell ref="UGU4094:UHD4094"/>
    <mergeCell ref="UHF4094:UHO4094"/>
    <mergeCell ref="UFM4094:UFM4095"/>
    <mergeCell ref="UFN4094:UFN4095"/>
    <mergeCell ref="UFO4094:UFX4094"/>
    <mergeCell ref="UFZ4094:UGI4094"/>
    <mergeCell ref="UGK4094:UGK4095"/>
    <mergeCell ref="UEH4094:UEH4095"/>
    <mergeCell ref="UEI4094:UER4094"/>
    <mergeCell ref="UET4094:UFC4094"/>
    <mergeCell ref="UFE4094:UFE4095"/>
    <mergeCell ref="UFG4094:UFL4094"/>
    <mergeCell ref="UDC4094:UDL4094"/>
    <mergeCell ref="UDN4094:UDW4094"/>
    <mergeCell ref="UDY4094:UDY4095"/>
    <mergeCell ref="UEA4094:UEF4094"/>
    <mergeCell ref="UEG4094:UEG4095"/>
    <mergeCell ref="UCH4094:UCQ4094"/>
    <mergeCell ref="UCS4094:UCS4095"/>
    <mergeCell ref="UCU4094:UCZ4094"/>
    <mergeCell ref="UDA4094:UDA4095"/>
    <mergeCell ref="UDB4094:UDB4095"/>
    <mergeCell ref="UBM4094:UBM4095"/>
    <mergeCell ref="UBO4094:UBT4094"/>
    <mergeCell ref="UBU4094:UBU4095"/>
    <mergeCell ref="UBV4094:UBV4095"/>
    <mergeCell ref="UBW4094:UCF4094"/>
    <mergeCell ref="UAI4094:UAN4094"/>
    <mergeCell ref="UAO4094:UAO4095"/>
    <mergeCell ref="UAP4094:UAP4095"/>
    <mergeCell ref="UAQ4094:UAZ4094"/>
    <mergeCell ref="UBB4094:UBK4094"/>
    <mergeCell ref="TZI4094:TZI4095"/>
    <mergeCell ref="TZJ4094:TZJ4095"/>
    <mergeCell ref="TZK4094:TZT4094"/>
    <mergeCell ref="TZV4094:UAE4094"/>
    <mergeCell ref="UAG4094:UAG4095"/>
    <mergeCell ref="TYD4094:TYD4095"/>
    <mergeCell ref="TYE4094:TYN4094"/>
    <mergeCell ref="TYP4094:TYY4094"/>
    <mergeCell ref="TZA4094:TZA4095"/>
    <mergeCell ref="TZC4094:TZH4094"/>
    <mergeCell ref="TWY4094:TXH4094"/>
    <mergeCell ref="TXJ4094:TXS4094"/>
    <mergeCell ref="TXU4094:TXU4095"/>
    <mergeCell ref="TXW4094:TYB4094"/>
    <mergeCell ref="TYC4094:TYC4095"/>
    <mergeCell ref="TWD4094:TWM4094"/>
    <mergeCell ref="TWO4094:TWO4095"/>
    <mergeCell ref="TWQ4094:TWV4094"/>
    <mergeCell ref="TWW4094:TWW4095"/>
    <mergeCell ref="TWX4094:TWX4095"/>
    <mergeCell ref="TVI4094:TVI4095"/>
    <mergeCell ref="TVK4094:TVP4094"/>
    <mergeCell ref="TVQ4094:TVQ4095"/>
    <mergeCell ref="TVR4094:TVR4095"/>
    <mergeCell ref="TVS4094:TWB4094"/>
    <mergeCell ref="TUE4094:TUJ4094"/>
    <mergeCell ref="TUK4094:TUK4095"/>
    <mergeCell ref="TUL4094:TUL4095"/>
    <mergeCell ref="TUM4094:TUV4094"/>
    <mergeCell ref="TUX4094:TVG4094"/>
    <mergeCell ref="TTE4094:TTE4095"/>
    <mergeCell ref="TTF4094:TTF4095"/>
    <mergeCell ref="TTG4094:TTP4094"/>
    <mergeCell ref="TTR4094:TUA4094"/>
    <mergeCell ref="TUC4094:TUC4095"/>
    <mergeCell ref="TRZ4094:TRZ4095"/>
    <mergeCell ref="TSA4094:TSJ4094"/>
    <mergeCell ref="TSL4094:TSU4094"/>
    <mergeCell ref="TSW4094:TSW4095"/>
    <mergeCell ref="TSY4094:TTD4094"/>
    <mergeCell ref="TQU4094:TRD4094"/>
    <mergeCell ref="TRF4094:TRO4094"/>
    <mergeCell ref="TRQ4094:TRQ4095"/>
    <mergeCell ref="TRS4094:TRX4094"/>
    <mergeCell ref="TRY4094:TRY4095"/>
    <mergeCell ref="TPZ4094:TQI4094"/>
    <mergeCell ref="TQK4094:TQK4095"/>
    <mergeCell ref="TQM4094:TQR4094"/>
    <mergeCell ref="TQS4094:TQS4095"/>
    <mergeCell ref="TQT4094:TQT4095"/>
    <mergeCell ref="TPE4094:TPE4095"/>
    <mergeCell ref="TPG4094:TPL4094"/>
    <mergeCell ref="TPM4094:TPM4095"/>
    <mergeCell ref="TPN4094:TPN4095"/>
    <mergeCell ref="TPO4094:TPX4094"/>
    <mergeCell ref="TOA4094:TOF4094"/>
    <mergeCell ref="TOG4094:TOG4095"/>
    <mergeCell ref="TOH4094:TOH4095"/>
    <mergeCell ref="TOI4094:TOR4094"/>
    <mergeCell ref="TOT4094:TPC4094"/>
    <mergeCell ref="TNA4094:TNA4095"/>
    <mergeCell ref="TNB4094:TNB4095"/>
    <mergeCell ref="TNC4094:TNL4094"/>
    <mergeCell ref="TNN4094:TNW4094"/>
    <mergeCell ref="TNY4094:TNY4095"/>
    <mergeCell ref="TLV4094:TLV4095"/>
    <mergeCell ref="TLW4094:TMF4094"/>
    <mergeCell ref="TMH4094:TMQ4094"/>
    <mergeCell ref="TMS4094:TMS4095"/>
    <mergeCell ref="TMU4094:TMZ4094"/>
    <mergeCell ref="TKQ4094:TKZ4094"/>
    <mergeCell ref="TLB4094:TLK4094"/>
    <mergeCell ref="TLM4094:TLM4095"/>
    <mergeCell ref="TLO4094:TLT4094"/>
    <mergeCell ref="TLU4094:TLU4095"/>
    <mergeCell ref="TJV4094:TKE4094"/>
    <mergeCell ref="TKG4094:TKG4095"/>
    <mergeCell ref="TKI4094:TKN4094"/>
    <mergeCell ref="TKO4094:TKO4095"/>
    <mergeCell ref="TKP4094:TKP4095"/>
    <mergeCell ref="TJA4094:TJA4095"/>
    <mergeCell ref="TJC4094:TJH4094"/>
    <mergeCell ref="TJI4094:TJI4095"/>
    <mergeCell ref="TJJ4094:TJJ4095"/>
    <mergeCell ref="TJK4094:TJT4094"/>
    <mergeCell ref="THW4094:TIB4094"/>
    <mergeCell ref="TIC4094:TIC4095"/>
    <mergeCell ref="TID4094:TID4095"/>
    <mergeCell ref="TIE4094:TIN4094"/>
    <mergeCell ref="TIP4094:TIY4094"/>
    <mergeCell ref="TGW4094:TGW4095"/>
    <mergeCell ref="TGX4094:TGX4095"/>
    <mergeCell ref="TGY4094:THH4094"/>
    <mergeCell ref="THJ4094:THS4094"/>
    <mergeCell ref="THU4094:THU4095"/>
    <mergeCell ref="TFR4094:TFR4095"/>
    <mergeCell ref="TFS4094:TGB4094"/>
    <mergeCell ref="TGD4094:TGM4094"/>
    <mergeCell ref="TGO4094:TGO4095"/>
    <mergeCell ref="TGQ4094:TGV4094"/>
    <mergeCell ref="TEM4094:TEV4094"/>
    <mergeCell ref="TEX4094:TFG4094"/>
    <mergeCell ref="TFI4094:TFI4095"/>
    <mergeCell ref="TFK4094:TFP4094"/>
    <mergeCell ref="TFQ4094:TFQ4095"/>
    <mergeCell ref="TDR4094:TEA4094"/>
    <mergeCell ref="TEC4094:TEC4095"/>
    <mergeCell ref="TEE4094:TEJ4094"/>
    <mergeCell ref="TEK4094:TEK4095"/>
    <mergeCell ref="TEL4094:TEL4095"/>
    <mergeCell ref="TCW4094:TCW4095"/>
    <mergeCell ref="TCY4094:TDD4094"/>
    <mergeCell ref="TDE4094:TDE4095"/>
    <mergeCell ref="TDF4094:TDF4095"/>
    <mergeCell ref="TDG4094:TDP4094"/>
    <mergeCell ref="TBS4094:TBX4094"/>
    <mergeCell ref="TBY4094:TBY4095"/>
    <mergeCell ref="TBZ4094:TBZ4095"/>
    <mergeCell ref="TCA4094:TCJ4094"/>
    <mergeCell ref="TCL4094:TCU4094"/>
    <mergeCell ref="TAS4094:TAS4095"/>
    <mergeCell ref="TAT4094:TAT4095"/>
    <mergeCell ref="TAU4094:TBD4094"/>
    <mergeCell ref="TBF4094:TBO4094"/>
    <mergeCell ref="TBQ4094:TBQ4095"/>
    <mergeCell ref="SZN4094:SZN4095"/>
    <mergeCell ref="SZO4094:SZX4094"/>
    <mergeCell ref="SZZ4094:TAI4094"/>
    <mergeCell ref="TAK4094:TAK4095"/>
    <mergeCell ref="TAM4094:TAR4094"/>
    <mergeCell ref="SYI4094:SYR4094"/>
    <mergeCell ref="SYT4094:SZC4094"/>
    <mergeCell ref="SZE4094:SZE4095"/>
    <mergeCell ref="SZG4094:SZL4094"/>
    <mergeCell ref="SZM4094:SZM4095"/>
    <mergeCell ref="SXN4094:SXW4094"/>
    <mergeCell ref="SXY4094:SXY4095"/>
    <mergeCell ref="SYA4094:SYF4094"/>
    <mergeCell ref="SYG4094:SYG4095"/>
    <mergeCell ref="SYH4094:SYH4095"/>
    <mergeCell ref="SWS4094:SWS4095"/>
    <mergeCell ref="SWU4094:SWZ4094"/>
    <mergeCell ref="SXA4094:SXA4095"/>
    <mergeCell ref="SXB4094:SXB4095"/>
    <mergeCell ref="SXC4094:SXL4094"/>
    <mergeCell ref="SVO4094:SVT4094"/>
    <mergeCell ref="SVU4094:SVU4095"/>
    <mergeCell ref="SVV4094:SVV4095"/>
    <mergeCell ref="SVW4094:SWF4094"/>
    <mergeCell ref="SWH4094:SWQ4094"/>
    <mergeCell ref="SUO4094:SUO4095"/>
    <mergeCell ref="SUP4094:SUP4095"/>
    <mergeCell ref="SUQ4094:SUZ4094"/>
    <mergeCell ref="SVB4094:SVK4094"/>
    <mergeCell ref="SVM4094:SVM4095"/>
    <mergeCell ref="STJ4094:STJ4095"/>
    <mergeCell ref="STK4094:STT4094"/>
    <mergeCell ref="STV4094:SUE4094"/>
    <mergeCell ref="SUG4094:SUG4095"/>
    <mergeCell ref="SUI4094:SUN4094"/>
    <mergeCell ref="SSE4094:SSN4094"/>
    <mergeCell ref="SSP4094:SSY4094"/>
    <mergeCell ref="STA4094:STA4095"/>
    <mergeCell ref="STC4094:STH4094"/>
    <mergeCell ref="STI4094:STI4095"/>
    <mergeCell ref="SRJ4094:SRS4094"/>
    <mergeCell ref="SRU4094:SRU4095"/>
    <mergeCell ref="SRW4094:SSB4094"/>
    <mergeCell ref="SSC4094:SSC4095"/>
    <mergeCell ref="SSD4094:SSD4095"/>
    <mergeCell ref="SQO4094:SQO4095"/>
    <mergeCell ref="SQQ4094:SQV4094"/>
    <mergeCell ref="SQW4094:SQW4095"/>
    <mergeCell ref="SQX4094:SQX4095"/>
    <mergeCell ref="SQY4094:SRH4094"/>
    <mergeCell ref="SPK4094:SPP4094"/>
    <mergeCell ref="SPQ4094:SPQ4095"/>
    <mergeCell ref="SPR4094:SPR4095"/>
    <mergeCell ref="SPS4094:SQB4094"/>
    <mergeCell ref="SQD4094:SQM4094"/>
    <mergeCell ref="SOK4094:SOK4095"/>
    <mergeCell ref="SOL4094:SOL4095"/>
    <mergeCell ref="SOM4094:SOV4094"/>
    <mergeCell ref="SOX4094:SPG4094"/>
    <mergeCell ref="SPI4094:SPI4095"/>
    <mergeCell ref="SNF4094:SNF4095"/>
    <mergeCell ref="SNG4094:SNP4094"/>
    <mergeCell ref="SNR4094:SOA4094"/>
    <mergeCell ref="SOC4094:SOC4095"/>
    <mergeCell ref="SOE4094:SOJ4094"/>
    <mergeCell ref="SMA4094:SMJ4094"/>
    <mergeCell ref="SML4094:SMU4094"/>
    <mergeCell ref="SMW4094:SMW4095"/>
    <mergeCell ref="SMY4094:SND4094"/>
    <mergeCell ref="SNE4094:SNE4095"/>
    <mergeCell ref="SLF4094:SLO4094"/>
    <mergeCell ref="SLQ4094:SLQ4095"/>
    <mergeCell ref="SLS4094:SLX4094"/>
    <mergeCell ref="SLY4094:SLY4095"/>
    <mergeCell ref="SLZ4094:SLZ4095"/>
    <mergeCell ref="SKK4094:SKK4095"/>
    <mergeCell ref="SKM4094:SKR4094"/>
    <mergeCell ref="SKS4094:SKS4095"/>
    <mergeCell ref="SKT4094:SKT4095"/>
    <mergeCell ref="SKU4094:SLD4094"/>
    <mergeCell ref="SJG4094:SJL4094"/>
    <mergeCell ref="SJM4094:SJM4095"/>
    <mergeCell ref="SJN4094:SJN4095"/>
    <mergeCell ref="SJO4094:SJX4094"/>
    <mergeCell ref="SJZ4094:SKI4094"/>
    <mergeCell ref="SIG4094:SIG4095"/>
    <mergeCell ref="SIH4094:SIH4095"/>
    <mergeCell ref="SII4094:SIR4094"/>
    <mergeCell ref="SIT4094:SJC4094"/>
    <mergeCell ref="SJE4094:SJE4095"/>
    <mergeCell ref="SHB4094:SHB4095"/>
    <mergeCell ref="SHC4094:SHL4094"/>
    <mergeCell ref="SHN4094:SHW4094"/>
    <mergeCell ref="SHY4094:SHY4095"/>
    <mergeCell ref="SIA4094:SIF4094"/>
    <mergeCell ref="SFW4094:SGF4094"/>
    <mergeCell ref="SGH4094:SGQ4094"/>
    <mergeCell ref="SGS4094:SGS4095"/>
    <mergeCell ref="SGU4094:SGZ4094"/>
    <mergeCell ref="SHA4094:SHA4095"/>
    <mergeCell ref="SFB4094:SFK4094"/>
    <mergeCell ref="SFM4094:SFM4095"/>
    <mergeCell ref="SFO4094:SFT4094"/>
    <mergeCell ref="SFU4094:SFU4095"/>
    <mergeCell ref="SFV4094:SFV4095"/>
    <mergeCell ref="SEG4094:SEG4095"/>
    <mergeCell ref="SEI4094:SEN4094"/>
    <mergeCell ref="SEO4094:SEO4095"/>
    <mergeCell ref="SEP4094:SEP4095"/>
    <mergeCell ref="SEQ4094:SEZ4094"/>
    <mergeCell ref="SDC4094:SDH4094"/>
    <mergeCell ref="SDI4094:SDI4095"/>
    <mergeCell ref="SDJ4094:SDJ4095"/>
    <mergeCell ref="SDK4094:SDT4094"/>
    <mergeCell ref="SDV4094:SEE4094"/>
    <mergeCell ref="SCC4094:SCC4095"/>
    <mergeCell ref="SCD4094:SCD4095"/>
    <mergeCell ref="SCE4094:SCN4094"/>
    <mergeCell ref="SCP4094:SCY4094"/>
    <mergeCell ref="SDA4094:SDA4095"/>
    <mergeCell ref="SAX4094:SAX4095"/>
    <mergeCell ref="SAY4094:SBH4094"/>
    <mergeCell ref="SBJ4094:SBS4094"/>
    <mergeCell ref="SBU4094:SBU4095"/>
    <mergeCell ref="SBW4094:SCB4094"/>
    <mergeCell ref="RZS4094:SAB4094"/>
    <mergeCell ref="SAD4094:SAM4094"/>
    <mergeCell ref="SAO4094:SAO4095"/>
    <mergeCell ref="SAQ4094:SAV4094"/>
    <mergeCell ref="SAW4094:SAW4095"/>
    <mergeCell ref="RYX4094:RZG4094"/>
    <mergeCell ref="RZI4094:RZI4095"/>
    <mergeCell ref="RZK4094:RZP4094"/>
    <mergeCell ref="RZQ4094:RZQ4095"/>
    <mergeCell ref="RZR4094:RZR4095"/>
    <mergeCell ref="RYC4094:RYC4095"/>
    <mergeCell ref="RYE4094:RYJ4094"/>
    <mergeCell ref="RYK4094:RYK4095"/>
    <mergeCell ref="RYL4094:RYL4095"/>
    <mergeCell ref="RYM4094:RYV4094"/>
    <mergeCell ref="RWY4094:RXD4094"/>
    <mergeCell ref="RXE4094:RXE4095"/>
    <mergeCell ref="RXF4094:RXF4095"/>
    <mergeCell ref="RXG4094:RXP4094"/>
    <mergeCell ref="RXR4094:RYA4094"/>
    <mergeCell ref="RVY4094:RVY4095"/>
    <mergeCell ref="RVZ4094:RVZ4095"/>
    <mergeCell ref="RWA4094:RWJ4094"/>
    <mergeCell ref="RWL4094:RWU4094"/>
    <mergeCell ref="RWW4094:RWW4095"/>
    <mergeCell ref="RUT4094:RUT4095"/>
    <mergeCell ref="RUU4094:RVD4094"/>
    <mergeCell ref="RVF4094:RVO4094"/>
    <mergeCell ref="RVQ4094:RVQ4095"/>
    <mergeCell ref="RVS4094:RVX4094"/>
    <mergeCell ref="RTO4094:RTX4094"/>
    <mergeCell ref="RTZ4094:RUI4094"/>
    <mergeCell ref="RUK4094:RUK4095"/>
    <mergeCell ref="RUM4094:RUR4094"/>
    <mergeCell ref="RUS4094:RUS4095"/>
    <mergeCell ref="RST4094:RTC4094"/>
    <mergeCell ref="RTE4094:RTE4095"/>
    <mergeCell ref="RTG4094:RTL4094"/>
    <mergeCell ref="RTM4094:RTM4095"/>
    <mergeCell ref="RTN4094:RTN4095"/>
    <mergeCell ref="RRY4094:RRY4095"/>
    <mergeCell ref="RSA4094:RSF4094"/>
    <mergeCell ref="RSG4094:RSG4095"/>
    <mergeCell ref="RSH4094:RSH4095"/>
    <mergeCell ref="RSI4094:RSR4094"/>
    <mergeCell ref="RQU4094:RQZ4094"/>
    <mergeCell ref="RRA4094:RRA4095"/>
    <mergeCell ref="RRB4094:RRB4095"/>
    <mergeCell ref="RRC4094:RRL4094"/>
    <mergeCell ref="RRN4094:RRW4094"/>
    <mergeCell ref="RPU4094:RPU4095"/>
    <mergeCell ref="RPV4094:RPV4095"/>
    <mergeCell ref="RPW4094:RQF4094"/>
    <mergeCell ref="RQH4094:RQQ4094"/>
    <mergeCell ref="RQS4094:RQS4095"/>
    <mergeCell ref="ROP4094:ROP4095"/>
    <mergeCell ref="ROQ4094:ROZ4094"/>
    <mergeCell ref="RPB4094:RPK4094"/>
    <mergeCell ref="RPM4094:RPM4095"/>
    <mergeCell ref="RPO4094:RPT4094"/>
    <mergeCell ref="RNK4094:RNT4094"/>
    <mergeCell ref="RNV4094:ROE4094"/>
    <mergeCell ref="ROG4094:ROG4095"/>
    <mergeCell ref="ROI4094:RON4094"/>
    <mergeCell ref="ROO4094:ROO4095"/>
    <mergeCell ref="RMP4094:RMY4094"/>
    <mergeCell ref="RNA4094:RNA4095"/>
    <mergeCell ref="RNC4094:RNH4094"/>
    <mergeCell ref="RNI4094:RNI4095"/>
    <mergeCell ref="RNJ4094:RNJ4095"/>
    <mergeCell ref="RLU4094:RLU4095"/>
    <mergeCell ref="RLW4094:RMB4094"/>
    <mergeCell ref="RMC4094:RMC4095"/>
    <mergeCell ref="RMD4094:RMD4095"/>
    <mergeCell ref="RME4094:RMN4094"/>
    <mergeCell ref="RKQ4094:RKV4094"/>
    <mergeCell ref="RKW4094:RKW4095"/>
    <mergeCell ref="RKX4094:RKX4095"/>
    <mergeCell ref="RKY4094:RLH4094"/>
    <mergeCell ref="RLJ4094:RLS4094"/>
    <mergeCell ref="RJQ4094:RJQ4095"/>
    <mergeCell ref="RJR4094:RJR4095"/>
    <mergeCell ref="RJS4094:RKB4094"/>
    <mergeCell ref="RKD4094:RKM4094"/>
    <mergeCell ref="RKO4094:RKO4095"/>
    <mergeCell ref="RIL4094:RIL4095"/>
    <mergeCell ref="RIM4094:RIV4094"/>
    <mergeCell ref="RIX4094:RJG4094"/>
    <mergeCell ref="RJI4094:RJI4095"/>
    <mergeCell ref="RJK4094:RJP4094"/>
    <mergeCell ref="RHG4094:RHP4094"/>
    <mergeCell ref="RHR4094:RIA4094"/>
    <mergeCell ref="RIC4094:RIC4095"/>
    <mergeCell ref="RIE4094:RIJ4094"/>
    <mergeCell ref="RIK4094:RIK4095"/>
    <mergeCell ref="RGL4094:RGU4094"/>
    <mergeCell ref="RGW4094:RGW4095"/>
    <mergeCell ref="RGY4094:RHD4094"/>
    <mergeCell ref="RHE4094:RHE4095"/>
    <mergeCell ref="RHF4094:RHF4095"/>
    <mergeCell ref="RFQ4094:RFQ4095"/>
    <mergeCell ref="RFS4094:RFX4094"/>
    <mergeCell ref="RFY4094:RFY4095"/>
    <mergeCell ref="RFZ4094:RFZ4095"/>
    <mergeCell ref="RGA4094:RGJ4094"/>
    <mergeCell ref="REM4094:RER4094"/>
    <mergeCell ref="RES4094:RES4095"/>
    <mergeCell ref="RET4094:RET4095"/>
    <mergeCell ref="REU4094:RFD4094"/>
    <mergeCell ref="RFF4094:RFO4094"/>
    <mergeCell ref="RDM4094:RDM4095"/>
    <mergeCell ref="RDN4094:RDN4095"/>
    <mergeCell ref="RDO4094:RDX4094"/>
    <mergeCell ref="RDZ4094:REI4094"/>
    <mergeCell ref="REK4094:REK4095"/>
    <mergeCell ref="RCH4094:RCH4095"/>
    <mergeCell ref="RCI4094:RCR4094"/>
    <mergeCell ref="RCT4094:RDC4094"/>
    <mergeCell ref="RDE4094:RDE4095"/>
    <mergeCell ref="RDG4094:RDL4094"/>
    <mergeCell ref="RBC4094:RBL4094"/>
    <mergeCell ref="RBN4094:RBW4094"/>
    <mergeCell ref="RBY4094:RBY4095"/>
    <mergeCell ref="RCA4094:RCF4094"/>
    <mergeCell ref="RCG4094:RCG4095"/>
    <mergeCell ref="RAH4094:RAQ4094"/>
    <mergeCell ref="RAS4094:RAS4095"/>
    <mergeCell ref="RAU4094:RAZ4094"/>
    <mergeCell ref="RBA4094:RBA4095"/>
    <mergeCell ref="RBB4094:RBB4095"/>
    <mergeCell ref="QZM4094:QZM4095"/>
    <mergeCell ref="QZO4094:QZT4094"/>
    <mergeCell ref="QZU4094:QZU4095"/>
    <mergeCell ref="QZV4094:QZV4095"/>
    <mergeCell ref="QZW4094:RAF4094"/>
    <mergeCell ref="QYI4094:QYN4094"/>
    <mergeCell ref="QYO4094:QYO4095"/>
    <mergeCell ref="QYP4094:QYP4095"/>
    <mergeCell ref="QYQ4094:QYZ4094"/>
    <mergeCell ref="QZB4094:QZK4094"/>
    <mergeCell ref="QXI4094:QXI4095"/>
    <mergeCell ref="QXJ4094:QXJ4095"/>
    <mergeCell ref="QXK4094:QXT4094"/>
    <mergeCell ref="QXV4094:QYE4094"/>
    <mergeCell ref="QYG4094:QYG4095"/>
    <mergeCell ref="QWD4094:QWD4095"/>
    <mergeCell ref="QWE4094:QWN4094"/>
    <mergeCell ref="QWP4094:QWY4094"/>
    <mergeCell ref="QXA4094:QXA4095"/>
    <mergeCell ref="QXC4094:QXH4094"/>
    <mergeCell ref="QUY4094:QVH4094"/>
    <mergeCell ref="QVJ4094:QVS4094"/>
    <mergeCell ref="QVU4094:QVU4095"/>
    <mergeCell ref="QVW4094:QWB4094"/>
    <mergeCell ref="QWC4094:QWC4095"/>
    <mergeCell ref="QUD4094:QUM4094"/>
    <mergeCell ref="QUO4094:QUO4095"/>
    <mergeCell ref="QUQ4094:QUV4094"/>
    <mergeCell ref="QUW4094:QUW4095"/>
    <mergeCell ref="QUX4094:QUX4095"/>
    <mergeCell ref="QTI4094:QTI4095"/>
    <mergeCell ref="QTK4094:QTP4094"/>
    <mergeCell ref="QTQ4094:QTQ4095"/>
    <mergeCell ref="QTR4094:QTR4095"/>
    <mergeCell ref="QTS4094:QUB4094"/>
    <mergeCell ref="QSE4094:QSJ4094"/>
    <mergeCell ref="QSK4094:QSK4095"/>
    <mergeCell ref="QSL4094:QSL4095"/>
    <mergeCell ref="QSM4094:QSV4094"/>
    <mergeCell ref="QSX4094:QTG4094"/>
    <mergeCell ref="QRE4094:QRE4095"/>
    <mergeCell ref="QRF4094:QRF4095"/>
    <mergeCell ref="QRG4094:QRP4094"/>
    <mergeCell ref="QRR4094:QSA4094"/>
    <mergeCell ref="QSC4094:QSC4095"/>
    <mergeCell ref="QPZ4094:QPZ4095"/>
    <mergeCell ref="QQA4094:QQJ4094"/>
    <mergeCell ref="QQL4094:QQU4094"/>
    <mergeCell ref="QQW4094:QQW4095"/>
    <mergeCell ref="QQY4094:QRD4094"/>
    <mergeCell ref="QOU4094:QPD4094"/>
    <mergeCell ref="QPF4094:QPO4094"/>
    <mergeCell ref="QPQ4094:QPQ4095"/>
    <mergeCell ref="QPS4094:QPX4094"/>
    <mergeCell ref="QPY4094:QPY4095"/>
    <mergeCell ref="QNZ4094:QOI4094"/>
    <mergeCell ref="QOK4094:QOK4095"/>
    <mergeCell ref="QOM4094:QOR4094"/>
    <mergeCell ref="QOS4094:QOS4095"/>
    <mergeCell ref="QOT4094:QOT4095"/>
    <mergeCell ref="QNE4094:QNE4095"/>
    <mergeCell ref="QNG4094:QNL4094"/>
    <mergeCell ref="QNM4094:QNM4095"/>
    <mergeCell ref="QNN4094:QNN4095"/>
    <mergeCell ref="QNO4094:QNX4094"/>
    <mergeCell ref="QMA4094:QMF4094"/>
    <mergeCell ref="QMG4094:QMG4095"/>
    <mergeCell ref="QMH4094:QMH4095"/>
    <mergeCell ref="QMI4094:QMR4094"/>
    <mergeCell ref="QMT4094:QNC4094"/>
    <mergeCell ref="QLA4094:QLA4095"/>
    <mergeCell ref="QLB4094:QLB4095"/>
    <mergeCell ref="QLC4094:QLL4094"/>
    <mergeCell ref="QLN4094:QLW4094"/>
    <mergeCell ref="QLY4094:QLY4095"/>
    <mergeCell ref="QJV4094:QJV4095"/>
    <mergeCell ref="QJW4094:QKF4094"/>
    <mergeCell ref="QKH4094:QKQ4094"/>
    <mergeCell ref="QKS4094:QKS4095"/>
    <mergeCell ref="QKU4094:QKZ4094"/>
    <mergeCell ref="QIQ4094:QIZ4094"/>
    <mergeCell ref="QJB4094:QJK4094"/>
    <mergeCell ref="QJM4094:QJM4095"/>
    <mergeCell ref="QJO4094:QJT4094"/>
    <mergeCell ref="QJU4094:QJU4095"/>
    <mergeCell ref="QHV4094:QIE4094"/>
    <mergeCell ref="QIG4094:QIG4095"/>
    <mergeCell ref="QII4094:QIN4094"/>
    <mergeCell ref="QIO4094:QIO4095"/>
    <mergeCell ref="QIP4094:QIP4095"/>
    <mergeCell ref="QHA4094:QHA4095"/>
    <mergeCell ref="QHC4094:QHH4094"/>
    <mergeCell ref="QHI4094:QHI4095"/>
    <mergeCell ref="QHJ4094:QHJ4095"/>
    <mergeCell ref="QHK4094:QHT4094"/>
    <mergeCell ref="QFW4094:QGB4094"/>
    <mergeCell ref="QGC4094:QGC4095"/>
    <mergeCell ref="QGD4094:QGD4095"/>
    <mergeCell ref="QGE4094:QGN4094"/>
    <mergeCell ref="QGP4094:QGY4094"/>
    <mergeCell ref="QEW4094:QEW4095"/>
    <mergeCell ref="QEX4094:QEX4095"/>
    <mergeCell ref="QEY4094:QFH4094"/>
    <mergeCell ref="QFJ4094:QFS4094"/>
    <mergeCell ref="QFU4094:QFU4095"/>
    <mergeCell ref="QDR4094:QDR4095"/>
    <mergeCell ref="QDS4094:QEB4094"/>
    <mergeCell ref="QED4094:QEM4094"/>
    <mergeCell ref="QEO4094:QEO4095"/>
    <mergeCell ref="QEQ4094:QEV4094"/>
    <mergeCell ref="QCM4094:QCV4094"/>
    <mergeCell ref="QCX4094:QDG4094"/>
    <mergeCell ref="QDI4094:QDI4095"/>
    <mergeCell ref="QDK4094:QDP4094"/>
    <mergeCell ref="QDQ4094:QDQ4095"/>
    <mergeCell ref="QBR4094:QCA4094"/>
    <mergeCell ref="QCC4094:QCC4095"/>
    <mergeCell ref="QCE4094:QCJ4094"/>
    <mergeCell ref="QCK4094:QCK4095"/>
    <mergeCell ref="QCL4094:QCL4095"/>
    <mergeCell ref="QAW4094:QAW4095"/>
    <mergeCell ref="QAY4094:QBD4094"/>
    <mergeCell ref="QBE4094:QBE4095"/>
    <mergeCell ref="QBF4094:QBF4095"/>
    <mergeCell ref="QBG4094:QBP4094"/>
    <mergeCell ref="PZS4094:PZX4094"/>
    <mergeCell ref="PZY4094:PZY4095"/>
    <mergeCell ref="PZZ4094:PZZ4095"/>
    <mergeCell ref="QAA4094:QAJ4094"/>
    <mergeCell ref="QAL4094:QAU4094"/>
    <mergeCell ref="PYS4094:PYS4095"/>
    <mergeCell ref="PYT4094:PYT4095"/>
    <mergeCell ref="PYU4094:PZD4094"/>
    <mergeCell ref="PZF4094:PZO4094"/>
    <mergeCell ref="PZQ4094:PZQ4095"/>
    <mergeCell ref="PXN4094:PXN4095"/>
    <mergeCell ref="PXO4094:PXX4094"/>
    <mergeCell ref="PXZ4094:PYI4094"/>
    <mergeCell ref="PYK4094:PYK4095"/>
    <mergeCell ref="PYM4094:PYR4094"/>
    <mergeCell ref="PWI4094:PWR4094"/>
    <mergeCell ref="PWT4094:PXC4094"/>
    <mergeCell ref="PXE4094:PXE4095"/>
    <mergeCell ref="PXG4094:PXL4094"/>
    <mergeCell ref="PXM4094:PXM4095"/>
    <mergeCell ref="PVN4094:PVW4094"/>
    <mergeCell ref="PVY4094:PVY4095"/>
    <mergeCell ref="PWA4094:PWF4094"/>
    <mergeCell ref="PWG4094:PWG4095"/>
    <mergeCell ref="PWH4094:PWH4095"/>
    <mergeCell ref="PUS4094:PUS4095"/>
    <mergeCell ref="PUU4094:PUZ4094"/>
    <mergeCell ref="PVA4094:PVA4095"/>
    <mergeCell ref="PVB4094:PVB4095"/>
    <mergeCell ref="PVC4094:PVL4094"/>
    <mergeCell ref="PTO4094:PTT4094"/>
    <mergeCell ref="PTU4094:PTU4095"/>
    <mergeCell ref="PTV4094:PTV4095"/>
    <mergeCell ref="PTW4094:PUF4094"/>
    <mergeCell ref="PUH4094:PUQ4094"/>
    <mergeCell ref="PSO4094:PSO4095"/>
    <mergeCell ref="PSP4094:PSP4095"/>
    <mergeCell ref="PSQ4094:PSZ4094"/>
    <mergeCell ref="PTB4094:PTK4094"/>
    <mergeCell ref="PTM4094:PTM4095"/>
    <mergeCell ref="PRJ4094:PRJ4095"/>
    <mergeCell ref="PRK4094:PRT4094"/>
    <mergeCell ref="PRV4094:PSE4094"/>
    <mergeCell ref="PSG4094:PSG4095"/>
    <mergeCell ref="PSI4094:PSN4094"/>
    <mergeCell ref="PQE4094:PQN4094"/>
    <mergeCell ref="PQP4094:PQY4094"/>
    <mergeCell ref="PRA4094:PRA4095"/>
    <mergeCell ref="PRC4094:PRH4094"/>
    <mergeCell ref="PRI4094:PRI4095"/>
    <mergeCell ref="PPJ4094:PPS4094"/>
    <mergeCell ref="PPU4094:PPU4095"/>
    <mergeCell ref="PPW4094:PQB4094"/>
    <mergeCell ref="PQC4094:PQC4095"/>
    <mergeCell ref="PQD4094:PQD4095"/>
    <mergeCell ref="POO4094:POO4095"/>
    <mergeCell ref="POQ4094:POV4094"/>
    <mergeCell ref="POW4094:POW4095"/>
    <mergeCell ref="POX4094:POX4095"/>
    <mergeCell ref="POY4094:PPH4094"/>
    <mergeCell ref="PNK4094:PNP4094"/>
    <mergeCell ref="PNQ4094:PNQ4095"/>
    <mergeCell ref="PNR4094:PNR4095"/>
    <mergeCell ref="PNS4094:POB4094"/>
    <mergeCell ref="POD4094:POM4094"/>
    <mergeCell ref="PMK4094:PMK4095"/>
    <mergeCell ref="PML4094:PML4095"/>
    <mergeCell ref="PMM4094:PMV4094"/>
    <mergeCell ref="PMX4094:PNG4094"/>
    <mergeCell ref="PNI4094:PNI4095"/>
    <mergeCell ref="PLF4094:PLF4095"/>
    <mergeCell ref="PLG4094:PLP4094"/>
    <mergeCell ref="PLR4094:PMA4094"/>
    <mergeCell ref="PMC4094:PMC4095"/>
    <mergeCell ref="PME4094:PMJ4094"/>
    <mergeCell ref="PKA4094:PKJ4094"/>
    <mergeCell ref="PKL4094:PKU4094"/>
    <mergeCell ref="PKW4094:PKW4095"/>
    <mergeCell ref="PKY4094:PLD4094"/>
    <mergeCell ref="PLE4094:PLE4095"/>
    <mergeCell ref="PJF4094:PJO4094"/>
    <mergeCell ref="PJQ4094:PJQ4095"/>
    <mergeCell ref="PJS4094:PJX4094"/>
    <mergeCell ref="PJY4094:PJY4095"/>
    <mergeCell ref="PJZ4094:PJZ4095"/>
    <mergeCell ref="PIK4094:PIK4095"/>
    <mergeCell ref="PIM4094:PIR4094"/>
    <mergeCell ref="PIS4094:PIS4095"/>
    <mergeCell ref="PIT4094:PIT4095"/>
    <mergeCell ref="PIU4094:PJD4094"/>
    <mergeCell ref="PHG4094:PHL4094"/>
    <mergeCell ref="PHM4094:PHM4095"/>
    <mergeCell ref="PHN4094:PHN4095"/>
    <mergeCell ref="PHO4094:PHX4094"/>
    <mergeCell ref="PHZ4094:PII4094"/>
    <mergeCell ref="PGG4094:PGG4095"/>
    <mergeCell ref="PGH4094:PGH4095"/>
    <mergeCell ref="PGI4094:PGR4094"/>
    <mergeCell ref="PGT4094:PHC4094"/>
    <mergeCell ref="PHE4094:PHE4095"/>
    <mergeCell ref="PFB4094:PFB4095"/>
    <mergeCell ref="PFC4094:PFL4094"/>
    <mergeCell ref="PFN4094:PFW4094"/>
    <mergeCell ref="PFY4094:PFY4095"/>
    <mergeCell ref="PGA4094:PGF4094"/>
    <mergeCell ref="PDW4094:PEF4094"/>
    <mergeCell ref="PEH4094:PEQ4094"/>
    <mergeCell ref="PES4094:PES4095"/>
    <mergeCell ref="PEU4094:PEZ4094"/>
    <mergeCell ref="PFA4094:PFA4095"/>
    <mergeCell ref="PDB4094:PDK4094"/>
    <mergeCell ref="PDM4094:PDM4095"/>
    <mergeCell ref="PDO4094:PDT4094"/>
    <mergeCell ref="PDU4094:PDU4095"/>
    <mergeCell ref="PDV4094:PDV4095"/>
    <mergeCell ref="PCG4094:PCG4095"/>
    <mergeCell ref="PCI4094:PCN4094"/>
    <mergeCell ref="PCO4094:PCO4095"/>
    <mergeCell ref="PCP4094:PCP4095"/>
    <mergeCell ref="PCQ4094:PCZ4094"/>
    <mergeCell ref="PBC4094:PBH4094"/>
    <mergeCell ref="PBI4094:PBI4095"/>
    <mergeCell ref="PBJ4094:PBJ4095"/>
    <mergeCell ref="PBK4094:PBT4094"/>
    <mergeCell ref="PBV4094:PCE4094"/>
    <mergeCell ref="PAC4094:PAC4095"/>
    <mergeCell ref="PAD4094:PAD4095"/>
    <mergeCell ref="PAE4094:PAN4094"/>
    <mergeCell ref="PAP4094:PAY4094"/>
    <mergeCell ref="PBA4094:PBA4095"/>
    <mergeCell ref="OYX4094:OYX4095"/>
    <mergeCell ref="OYY4094:OZH4094"/>
    <mergeCell ref="OZJ4094:OZS4094"/>
    <mergeCell ref="OZU4094:OZU4095"/>
    <mergeCell ref="OZW4094:PAB4094"/>
    <mergeCell ref="OXS4094:OYB4094"/>
    <mergeCell ref="OYD4094:OYM4094"/>
    <mergeCell ref="OYO4094:OYO4095"/>
    <mergeCell ref="OYQ4094:OYV4094"/>
    <mergeCell ref="OYW4094:OYW4095"/>
    <mergeCell ref="OWX4094:OXG4094"/>
    <mergeCell ref="OXI4094:OXI4095"/>
    <mergeCell ref="OXK4094:OXP4094"/>
    <mergeCell ref="OXQ4094:OXQ4095"/>
    <mergeCell ref="OXR4094:OXR4095"/>
    <mergeCell ref="OWC4094:OWC4095"/>
    <mergeCell ref="OWE4094:OWJ4094"/>
    <mergeCell ref="OWK4094:OWK4095"/>
    <mergeCell ref="OWL4094:OWL4095"/>
    <mergeCell ref="OWM4094:OWV4094"/>
    <mergeCell ref="OUY4094:OVD4094"/>
    <mergeCell ref="OVE4094:OVE4095"/>
    <mergeCell ref="OVF4094:OVF4095"/>
    <mergeCell ref="OVG4094:OVP4094"/>
    <mergeCell ref="OVR4094:OWA4094"/>
    <mergeCell ref="OTY4094:OTY4095"/>
    <mergeCell ref="OTZ4094:OTZ4095"/>
    <mergeCell ref="OUA4094:OUJ4094"/>
    <mergeCell ref="OUL4094:OUU4094"/>
    <mergeCell ref="OUW4094:OUW4095"/>
    <mergeCell ref="OST4094:OST4095"/>
    <mergeCell ref="OSU4094:OTD4094"/>
    <mergeCell ref="OTF4094:OTO4094"/>
    <mergeCell ref="OTQ4094:OTQ4095"/>
    <mergeCell ref="OTS4094:OTX4094"/>
    <mergeCell ref="ORO4094:ORX4094"/>
    <mergeCell ref="ORZ4094:OSI4094"/>
    <mergeCell ref="OSK4094:OSK4095"/>
    <mergeCell ref="OSM4094:OSR4094"/>
    <mergeCell ref="OSS4094:OSS4095"/>
    <mergeCell ref="OQT4094:ORC4094"/>
    <mergeCell ref="ORE4094:ORE4095"/>
    <mergeCell ref="ORG4094:ORL4094"/>
    <mergeCell ref="ORM4094:ORM4095"/>
    <mergeCell ref="ORN4094:ORN4095"/>
    <mergeCell ref="OPY4094:OPY4095"/>
    <mergeCell ref="OQA4094:OQF4094"/>
    <mergeCell ref="OQG4094:OQG4095"/>
    <mergeCell ref="OQH4094:OQH4095"/>
    <mergeCell ref="OQI4094:OQR4094"/>
    <mergeCell ref="OOU4094:OOZ4094"/>
    <mergeCell ref="OPA4094:OPA4095"/>
    <mergeCell ref="OPB4094:OPB4095"/>
    <mergeCell ref="OPC4094:OPL4094"/>
    <mergeCell ref="OPN4094:OPW4094"/>
    <mergeCell ref="ONU4094:ONU4095"/>
    <mergeCell ref="ONV4094:ONV4095"/>
    <mergeCell ref="ONW4094:OOF4094"/>
    <mergeCell ref="OOH4094:OOQ4094"/>
    <mergeCell ref="OOS4094:OOS4095"/>
    <mergeCell ref="OMP4094:OMP4095"/>
    <mergeCell ref="OMQ4094:OMZ4094"/>
    <mergeCell ref="ONB4094:ONK4094"/>
    <mergeCell ref="ONM4094:ONM4095"/>
    <mergeCell ref="ONO4094:ONT4094"/>
    <mergeCell ref="OLK4094:OLT4094"/>
    <mergeCell ref="OLV4094:OME4094"/>
    <mergeCell ref="OMG4094:OMG4095"/>
    <mergeCell ref="OMI4094:OMN4094"/>
    <mergeCell ref="OMO4094:OMO4095"/>
    <mergeCell ref="OKP4094:OKY4094"/>
    <mergeCell ref="OLA4094:OLA4095"/>
    <mergeCell ref="OLC4094:OLH4094"/>
    <mergeCell ref="OLI4094:OLI4095"/>
    <mergeCell ref="OLJ4094:OLJ4095"/>
    <mergeCell ref="OJU4094:OJU4095"/>
    <mergeCell ref="OJW4094:OKB4094"/>
    <mergeCell ref="OKC4094:OKC4095"/>
    <mergeCell ref="OKD4094:OKD4095"/>
    <mergeCell ref="OKE4094:OKN4094"/>
    <mergeCell ref="OIQ4094:OIV4094"/>
    <mergeCell ref="OIW4094:OIW4095"/>
    <mergeCell ref="OIX4094:OIX4095"/>
    <mergeCell ref="OIY4094:OJH4094"/>
    <mergeCell ref="OJJ4094:OJS4094"/>
    <mergeCell ref="OHQ4094:OHQ4095"/>
    <mergeCell ref="OHR4094:OHR4095"/>
    <mergeCell ref="OHS4094:OIB4094"/>
    <mergeCell ref="OID4094:OIM4094"/>
    <mergeCell ref="OIO4094:OIO4095"/>
    <mergeCell ref="OGL4094:OGL4095"/>
    <mergeCell ref="OGM4094:OGV4094"/>
    <mergeCell ref="OGX4094:OHG4094"/>
    <mergeCell ref="OHI4094:OHI4095"/>
    <mergeCell ref="OHK4094:OHP4094"/>
    <mergeCell ref="OFG4094:OFP4094"/>
    <mergeCell ref="OFR4094:OGA4094"/>
    <mergeCell ref="OGC4094:OGC4095"/>
    <mergeCell ref="OGE4094:OGJ4094"/>
    <mergeCell ref="OGK4094:OGK4095"/>
    <mergeCell ref="OEL4094:OEU4094"/>
    <mergeCell ref="OEW4094:OEW4095"/>
    <mergeCell ref="OEY4094:OFD4094"/>
    <mergeCell ref="OFE4094:OFE4095"/>
    <mergeCell ref="OFF4094:OFF4095"/>
    <mergeCell ref="ODQ4094:ODQ4095"/>
    <mergeCell ref="ODS4094:ODX4094"/>
    <mergeCell ref="ODY4094:ODY4095"/>
    <mergeCell ref="ODZ4094:ODZ4095"/>
    <mergeCell ref="OEA4094:OEJ4094"/>
    <mergeCell ref="OCM4094:OCR4094"/>
    <mergeCell ref="OCS4094:OCS4095"/>
    <mergeCell ref="OCT4094:OCT4095"/>
    <mergeCell ref="OCU4094:ODD4094"/>
    <mergeCell ref="ODF4094:ODO4094"/>
    <mergeCell ref="OBM4094:OBM4095"/>
    <mergeCell ref="OBN4094:OBN4095"/>
    <mergeCell ref="OBO4094:OBX4094"/>
    <mergeCell ref="OBZ4094:OCI4094"/>
    <mergeCell ref="OCK4094:OCK4095"/>
    <mergeCell ref="OAH4094:OAH4095"/>
    <mergeCell ref="OAI4094:OAR4094"/>
    <mergeCell ref="OAT4094:OBC4094"/>
    <mergeCell ref="OBE4094:OBE4095"/>
    <mergeCell ref="OBG4094:OBL4094"/>
    <mergeCell ref="NZC4094:NZL4094"/>
    <mergeCell ref="NZN4094:NZW4094"/>
    <mergeCell ref="NZY4094:NZY4095"/>
    <mergeCell ref="OAA4094:OAF4094"/>
    <mergeCell ref="OAG4094:OAG4095"/>
    <mergeCell ref="NYH4094:NYQ4094"/>
    <mergeCell ref="NYS4094:NYS4095"/>
    <mergeCell ref="NYU4094:NYZ4094"/>
    <mergeCell ref="NZA4094:NZA4095"/>
    <mergeCell ref="NZB4094:NZB4095"/>
    <mergeCell ref="NXM4094:NXM4095"/>
    <mergeCell ref="NXO4094:NXT4094"/>
    <mergeCell ref="NXU4094:NXU4095"/>
    <mergeCell ref="NXV4094:NXV4095"/>
    <mergeCell ref="NXW4094:NYF4094"/>
    <mergeCell ref="NWI4094:NWN4094"/>
    <mergeCell ref="NWO4094:NWO4095"/>
    <mergeCell ref="NWP4094:NWP4095"/>
    <mergeCell ref="NWQ4094:NWZ4094"/>
    <mergeCell ref="NXB4094:NXK4094"/>
    <mergeCell ref="NVI4094:NVI4095"/>
    <mergeCell ref="NVJ4094:NVJ4095"/>
    <mergeCell ref="NVK4094:NVT4094"/>
    <mergeCell ref="NVV4094:NWE4094"/>
    <mergeCell ref="NWG4094:NWG4095"/>
    <mergeCell ref="NUD4094:NUD4095"/>
    <mergeCell ref="NUE4094:NUN4094"/>
    <mergeCell ref="NUP4094:NUY4094"/>
    <mergeCell ref="NVA4094:NVA4095"/>
    <mergeCell ref="NVC4094:NVH4094"/>
    <mergeCell ref="NSY4094:NTH4094"/>
    <mergeCell ref="NTJ4094:NTS4094"/>
    <mergeCell ref="NTU4094:NTU4095"/>
    <mergeCell ref="NTW4094:NUB4094"/>
    <mergeCell ref="NUC4094:NUC4095"/>
    <mergeCell ref="NSD4094:NSM4094"/>
    <mergeCell ref="NSO4094:NSO4095"/>
    <mergeCell ref="NSQ4094:NSV4094"/>
    <mergeCell ref="NSW4094:NSW4095"/>
    <mergeCell ref="NSX4094:NSX4095"/>
    <mergeCell ref="NRI4094:NRI4095"/>
    <mergeCell ref="NRK4094:NRP4094"/>
    <mergeCell ref="NRQ4094:NRQ4095"/>
    <mergeCell ref="NRR4094:NRR4095"/>
    <mergeCell ref="NRS4094:NSB4094"/>
    <mergeCell ref="NQE4094:NQJ4094"/>
    <mergeCell ref="NQK4094:NQK4095"/>
    <mergeCell ref="NQL4094:NQL4095"/>
    <mergeCell ref="NQM4094:NQV4094"/>
    <mergeCell ref="NQX4094:NRG4094"/>
    <mergeCell ref="NPE4094:NPE4095"/>
    <mergeCell ref="NPF4094:NPF4095"/>
    <mergeCell ref="NPG4094:NPP4094"/>
    <mergeCell ref="NPR4094:NQA4094"/>
    <mergeCell ref="NQC4094:NQC4095"/>
    <mergeCell ref="NNZ4094:NNZ4095"/>
    <mergeCell ref="NOA4094:NOJ4094"/>
    <mergeCell ref="NOL4094:NOU4094"/>
    <mergeCell ref="NOW4094:NOW4095"/>
    <mergeCell ref="NOY4094:NPD4094"/>
    <mergeCell ref="NMU4094:NND4094"/>
    <mergeCell ref="NNF4094:NNO4094"/>
    <mergeCell ref="NNQ4094:NNQ4095"/>
    <mergeCell ref="NNS4094:NNX4094"/>
    <mergeCell ref="NNY4094:NNY4095"/>
    <mergeCell ref="NLZ4094:NMI4094"/>
    <mergeCell ref="NMK4094:NMK4095"/>
    <mergeCell ref="NMM4094:NMR4094"/>
    <mergeCell ref="NMS4094:NMS4095"/>
    <mergeCell ref="NMT4094:NMT4095"/>
    <mergeCell ref="NLE4094:NLE4095"/>
    <mergeCell ref="NLG4094:NLL4094"/>
    <mergeCell ref="NLM4094:NLM4095"/>
    <mergeCell ref="NLN4094:NLN4095"/>
    <mergeCell ref="NLO4094:NLX4094"/>
    <mergeCell ref="NKA4094:NKF4094"/>
    <mergeCell ref="NKG4094:NKG4095"/>
    <mergeCell ref="NKH4094:NKH4095"/>
    <mergeCell ref="NKI4094:NKR4094"/>
    <mergeCell ref="NKT4094:NLC4094"/>
    <mergeCell ref="NJA4094:NJA4095"/>
    <mergeCell ref="NJB4094:NJB4095"/>
    <mergeCell ref="NJC4094:NJL4094"/>
    <mergeCell ref="NJN4094:NJW4094"/>
    <mergeCell ref="NJY4094:NJY4095"/>
    <mergeCell ref="NHV4094:NHV4095"/>
    <mergeCell ref="NHW4094:NIF4094"/>
    <mergeCell ref="NIH4094:NIQ4094"/>
    <mergeCell ref="NIS4094:NIS4095"/>
    <mergeCell ref="NIU4094:NIZ4094"/>
    <mergeCell ref="NGQ4094:NGZ4094"/>
    <mergeCell ref="NHB4094:NHK4094"/>
    <mergeCell ref="NHM4094:NHM4095"/>
    <mergeCell ref="NHO4094:NHT4094"/>
    <mergeCell ref="NHU4094:NHU4095"/>
    <mergeCell ref="NFV4094:NGE4094"/>
    <mergeCell ref="NGG4094:NGG4095"/>
    <mergeCell ref="NGI4094:NGN4094"/>
    <mergeCell ref="NGO4094:NGO4095"/>
    <mergeCell ref="NGP4094:NGP4095"/>
    <mergeCell ref="NFA4094:NFA4095"/>
    <mergeCell ref="NFC4094:NFH4094"/>
    <mergeCell ref="NFI4094:NFI4095"/>
    <mergeCell ref="NFJ4094:NFJ4095"/>
    <mergeCell ref="NFK4094:NFT4094"/>
    <mergeCell ref="NDW4094:NEB4094"/>
    <mergeCell ref="NEC4094:NEC4095"/>
    <mergeCell ref="NED4094:NED4095"/>
    <mergeCell ref="NEE4094:NEN4094"/>
    <mergeCell ref="NEP4094:NEY4094"/>
    <mergeCell ref="NCW4094:NCW4095"/>
    <mergeCell ref="NCX4094:NCX4095"/>
    <mergeCell ref="NCY4094:NDH4094"/>
    <mergeCell ref="NDJ4094:NDS4094"/>
    <mergeCell ref="NDU4094:NDU4095"/>
    <mergeCell ref="NBR4094:NBR4095"/>
    <mergeCell ref="NBS4094:NCB4094"/>
    <mergeCell ref="NCD4094:NCM4094"/>
    <mergeCell ref="NCO4094:NCO4095"/>
    <mergeCell ref="NCQ4094:NCV4094"/>
    <mergeCell ref="NAM4094:NAV4094"/>
    <mergeCell ref="NAX4094:NBG4094"/>
    <mergeCell ref="NBI4094:NBI4095"/>
    <mergeCell ref="NBK4094:NBP4094"/>
    <mergeCell ref="NBQ4094:NBQ4095"/>
    <mergeCell ref="MZR4094:NAA4094"/>
    <mergeCell ref="NAC4094:NAC4095"/>
    <mergeCell ref="NAE4094:NAJ4094"/>
    <mergeCell ref="NAK4094:NAK4095"/>
    <mergeCell ref="NAL4094:NAL4095"/>
    <mergeCell ref="MYW4094:MYW4095"/>
    <mergeCell ref="MYY4094:MZD4094"/>
    <mergeCell ref="MZE4094:MZE4095"/>
    <mergeCell ref="MZF4094:MZF4095"/>
    <mergeCell ref="MZG4094:MZP4094"/>
    <mergeCell ref="MXS4094:MXX4094"/>
    <mergeCell ref="MXY4094:MXY4095"/>
    <mergeCell ref="MXZ4094:MXZ4095"/>
    <mergeCell ref="MYA4094:MYJ4094"/>
    <mergeCell ref="MYL4094:MYU4094"/>
    <mergeCell ref="MWS4094:MWS4095"/>
    <mergeCell ref="MWT4094:MWT4095"/>
    <mergeCell ref="MWU4094:MXD4094"/>
    <mergeCell ref="MXF4094:MXO4094"/>
    <mergeCell ref="MXQ4094:MXQ4095"/>
    <mergeCell ref="MVN4094:MVN4095"/>
    <mergeCell ref="MVO4094:MVX4094"/>
    <mergeCell ref="MVZ4094:MWI4094"/>
    <mergeCell ref="MWK4094:MWK4095"/>
    <mergeCell ref="MWM4094:MWR4094"/>
    <mergeCell ref="MUI4094:MUR4094"/>
    <mergeCell ref="MUT4094:MVC4094"/>
    <mergeCell ref="MVE4094:MVE4095"/>
    <mergeCell ref="MVG4094:MVL4094"/>
    <mergeCell ref="MVM4094:MVM4095"/>
    <mergeCell ref="MTN4094:MTW4094"/>
    <mergeCell ref="MTY4094:MTY4095"/>
    <mergeCell ref="MUA4094:MUF4094"/>
    <mergeCell ref="MUG4094:MUG4095"/>
    <mergeCell ref="MUH4094:MUH4095"/>
    <mergeCell ref="MSS4094:MSS4095"/>
    <mergeCell ref="MSU4094:MSZ4094"/>
    <mergeCell ref="MTA4094:MTA4095"/>
    <mergeCell ref="MTB4094:MTB4095"/>
    <mergeCell ref="MTC4094:MTL4094"/>
    <mergeCell ref="MRO4094:MRT4094"/>
    <mergeCell ref="MRU4094:MRU4095"/>
    <mergeCell ref="MRV4094:MRV4095"/>
    <mergeCell ref="MRW4094:MSF4094"/>
    <mergeCell ref="MSH4094:MSQ4094"/>
    <mergeCell ref="MQO4094:MQO4095"/>
    <mergeCell ref="MQP4094:MQP4095"/>
    <mergeCell ref="MQQ4094:MQZ4094"/>
    <mergeCell ref="MRB4094:MRK4094"/>
    <mergeCell ref="MRM4094:MRM4095"/>
    <mergeCell ref="MPJ4094:MPJ4095"/>
    <mergeCell ref="MPK4094:MPT4094"/>
    <mergeCell ref="MPV4094:MQE4094"/>
    <mergeCell ref="MQG4094:MQG4095"/>
    <mergeCell ref="MQI4094:MQN4094"/>
    <mergeCell ref="MOE4094:MON4094"/>
    <mergeCell ref="MOP4094:MOY4094"/>
    <mergeCell ref="MPA4094:MPA4095"/>
    <mergeCell ref="MPC4094:MPH4094"/>
    <mergeCell ref="MPI4094:MPI4095"/>
    <mergeCell ref="MNJ4094:MNS4094"/>
    <mergeCell ref="MNU4094:MNU4095"/>
    <mergeCell ref="MNW4094:MOB4094"/>
    <mergeCell ref="MOC4094:MOC4095"/>
    <mergeCell ref="MOD4094:MOD4095"/>
    <mergeCell ref="MMO4094:MMO4095"/>
    <mergeCell ref="MMQ4094:MMV4094"/>
    <mergeCell ref="MMW4094:MMW4095"/>
    <mergeCell ref="MMX4094:MMX4095"/>
    <mergeCell ref="MMY4094:MNH4094"/>
    <mergeCell ref="MLK4094:MLP4094"/>
    <mergeCell ref="MLQ4094:MLQ4095"/>
    <mergeCell ref="MLR4094:MLR4095"/>
    <mergeCell ref="MLS4094:MMB4094"/>
    <mergeCell ref="MMD4094:MMM4094"/>
    <mergeCell ref="MKK4094:MKK4095"/>
    <mergeCell ref="MKL4094:MKL4095"/>
    <mergeCell ref="MKM4094:MKV4094"/>
    <mergeCell ref="MKX4094:MLG4094"/>
    <mergeCell ref="MLI4094:MLI4095"/>
    <mergeCell ref="MJF4094:MJF4095"/>
    <mergeCell ref="MJG4094:MJP4094"/>
    <mergeCell ref="MJR4094:MKA4094"/>
    <mergeCell ref="MKC4094:MKC4095"/>
    <mergeCell ref="MKE4094:MKJ4094"/>
    <mergeCell ref="MIA4094:MIJ4094"/>
    <mergeCell ref="MIL4094:MIU4094"/>
    <mergeCell ref="MIW4094:MIW4095"/>
    <mergeCell ref="MIY4094:MJD4094"/>
    <mergeCell ref="MJE4094:MJE4095"/>
    <mergeCell ref="MHF4094:MHO4094"/>
    <mergeCell ref="MHQ4094:MHQ4095"/>
    <mergeCell ref="MHS4094:MHX4094"/>
    <mergeCell ref="MHY4094:MHY4095"/>
    <mergeCell ref="MHZ4094:MHZ4095"/>
    <mergeCell ref="MGK4094:MGK4095"/>
    <mergeCell ref="MGM4094:MGR4094"/>
    <mergeCell ref="MGS4094:MGS4095"/>
    <mergeCell ref="MGT4094:MGT4095"/>
    <mergeCell ref="MGU4094:MHD4094"/>
    <mergeCell ref="MFG4094:MFL4094"/>
    <mergeCell ref="MFM4094:MFM4095"/>
    <mergeCell ref="MFN4094:MFN4095"/>
    <mergeCell ref="MFO4094:MFX4094"/>
    <mergeCell ref="MFZ4094:MGI4094"/>
    <mergeCell ref="MEG4094:MEG4095"/>
    <mergeCell ref="MEH4094:MEH4095"/>
    <mergeCell ref="MEI4094:MER4094"/>
    <mergeCell ref="MET4094:MFC4094"/>
    <mergeCell ref="MFE4094:MFE4095"/>
    <mergeCell ref="MDB4094:MDB4095"/>
    <mergeCell ref="MDC4094:MDL4094"/>
    <mergeCell ref="MDN4094:MDW4094"/>
    <mergeCell ref="MDY4094:MDY4095"/>
    <mergeCell ref="MEA4094:MEF4094"/>
    <mergeCell ref="MBW4094:MCF4094"/>
    <mergeCell ref="MCH4094:MCQ4094"/>
    <mergeCell ref="MCS4094:MCS4095"/>
    <mergeCell ref="MCU4094:MCZ4094"/>
    <mergeCell ref="MDA4094:MDA4095"/>
    <mergeCell ref="MBB4094:MBK4094"/>
    <mergeCell ref="MBM4094:MBM4095"/>
    <mergeCell ref="MBO4094:MBT4094"/>
    <mergeCell ref="MBU4094:MBU4095"/>
    <mergeCell ref="MBV4094:MBV4095"/>
    <mergeCell ref="MAG4094:MAG4095"/>
    <mergeCell ref="MAI4094:MAN4094"/>
    <mergeCell ref="MAO4094:MAO4095"/>
    <mergeCell ref="MAP4094:MAP4095"/>
    <mergeCell ref="MAQ4094:MAZ4094"/>
    <mergeCell ref="LZC4094:LZH4094"/>
    <mergeCell ref="LZI4094:LZI4095"/>
    <mergeCell ref="LZJ4094:LZJ4095"/>
    <mergeCell ref="LZK4094:LZT4094"/>
    <mergeCell ref="LZV4094:MAE4094"/>
    <mergeCell ref="LYC4094:LYC4095"/>
    <mergeCell ref="LYD4094:LYD4095"/>
    <mergeCell ref="LYE4094:LYN4094"/>
    <mergeCell ref="LYP4094:LYY4094"/>
    <mergeCell ref="LZA4094:LZA4095"/>
    <mergeCell ref="LWX4094:LWX4095"/>
    <mergeCell ref="LWY4094:LXH4094"/>
    <mergeCell ref="LXJ4094:LXS4094"/>
    <mergeCell ref="LXU4094:LXU4095"/>
    <mergeCell ref="LXW4094:LYB4094"/>
    <mergeCell ref="LVS4094:LWB4094"/>
    <mergeCell ref="LWD4094:LWM4094"/>
    <mergeCell ref="LWO4094:LWO4095"/>
    <mergeCell ref="LWQ4094:LWV4094"/>
    <mergeCell ref="LWW4094:LWW4095"/>
    <mergeCell ref="LUX4094:LVG4094"/>
    <mergeCell ref="LVI4094:LVI4095"/>
    <mergeCell ref="LVK4094:LVP4094"/>
    <mergeCell ref="LVQ4094:LVQ4095"/>
    <mergeCell ref="LVR4094:LVR4095"/>
    <mergeCell ref="LUC4094:LUC4095"/>
    <mergeCell ref="LUE4094:LUJ4094"/>
    <mergeCell ref="LUK4094:LUK4095"/>
    <mergeCell ref="LUL4094:LUL4095"/>
    <mergeCell ref="LUM4094:LUV4094"/>
    <mergeCell ref="LSY4094:LTD4094"/>
    <mergeCell ref="LTE4094:LTE4095"/>
    <mergeCell ref="LTF4094:LTF4095"/>
    <mergeCell ref="LTG4094:LTP4094"/>
    <mergeCell ref="LTR4094:LUA4094"/>
    <mergeCell ref="LRY4094:LRY4095"/>
    <mergeCell ref="LRZ4094:LRZ4095"/>
    <mergeCell ref="LSA4094:LSJ4094"/>
    <mergeCell ref="LSL4094:LSU4094"/>
    <mergeCell ref="LSW4094:LSW4095"/>
    <mergeCell ref="LQT4094:LQT4095"/>
    <mergeCell ref="LQU4094:LRD4094"/>
    <mergeCell ref="LRF4094:LRO4094"/>
    <mergeCell ref="LRQ4094:LRQ4095"/>
    <mergeCell ref="LRS4094:LRX4094"/>
    <mergeCell ref="LPO4094:LPX4094"/>
    <mergeCell ref="LPZ4094:LQI4094"/>
    <mergeCell ref="LQK4094:LQK4095"/>
    <mergeCell ref="LQM4094:LQR4094"/>
    <mergeCell ref="LQS4094:LQS4095"/>
    <mergeCell ref="LOT4094:LPC4094"/>
    <mergeCell ref="LPE4094:LPE4095"/>
    <mergeCell ref="LPG4094:LPL4094"/>
    <mergeCell ref="LPM4094:LPM4095"/>
    <mergeCell ref="LPN4094:LPN4095"/>
    <mergeCell ref="LNY4094:LNY4095"/>
    <mergeCell ref="LOA4094:LOF4094"/>
    <mergeCell ref="LOG4094:LOG4095"/>
    <mergeCell ref="LOH4094:LOH4095"/>
    <mergeCell ref="LOI4094:LOR4094"/>
    <mergeCell ref="LMU4094:LMZ4094"/>
    <mergeCell ref="LNA4094:LNA4095"/>
    <mergeCell ref="LNB4094:LNB4095"/>
    <mergeCell ref="LNC4094:LNL4094"/>
    <mergeCell ref="LNN4094:LNW4094"/>
    <mergeCell ref="LLU4094:LLU4095"/>
    <mergeCell ref="LLV4094:LLV4095"/>
    <mergeCell ref="LLW4094:LMF4094"/>
    <mergeCell ref="LMH4094:LMQ4094"/>
    <mergeCell ref="LMS4094:LMS4095"/>
    <mergeCell ref="LKP4094:LKP4095"/>
    <mergeCell ref="LKQ4094:LKZ4094"/>
    <mergeCell ref="LLB4094:LLK4094"/>
    <mergeCell ref="LLM4094:LLM4095"/>
    <mergeCell ref="LLO4094:LLT4094"/>
    <mergeCell ref="LJK4094:LJT4094"/>
    <mergeCell ref="LJV4094:LKE4094"/>
    <mergeCell ref="LKG4094:LKG4095"/>
    <mergeCell ref="LKI4094:LKN4094"/>
    <mergeCell ref="LKO4094:LKO4095"/>
    <mergeCell ref="LIP4094:LIY4094"/>
    <mergeCell ref="LJA4094:LJA4095"/>
    <mergeCell ref="LJC4094:LJH4094"/>
    <mergeCell ref="LJI4094:LJI4095"/>
    <mergeCell ref="LJJ4094:LJJ4095"/>
    <mergeCell ref="LHU4094:LHU4095"/>
    <mergeCell ref="LHW4094:LIB4094"/>
    <mergeCell ref="LIC4094:LIC4095"/>
    <mergeCell ref="LID4094:LID4095"/>
    <mergeCell ref="LIE4094:LIN4094"/>
    <mergeCell ref="LGQ4094:LGV4094"/>
    <mergeCell ref="LGW4094:LGW4095"/>
    <mergeCell ref="LGX4094:LGX4095"/>
    <mergeCell ref="LGY4094:LHH4094"/>
    <mergeCell ref="LHJ4094:LHS4094"/>
    <mergeCell ref="LFQ4094:LFQ4095"/>
    <mergeCell ref="LFR4094:LFR4095"/>
    <mergeCell ref="LFS4094:LGB4094"/>
    <mergeCell ref="LGD4094:LGM4094"/>
    <mergeCell ref="LGO4094:LGO4095"/>
    <mergeCell ref="LEL4094:LEL4095"/>
    <mergeCell ref="LEM4094:LEV4094"/>
    <mergeCell ref="LEX4094:LFG4094"/>
    <mergeCell ref="LFI4094:LFI4095"/>
    <mergeCell ref="LFK4094:LFP4094"/>
    <mergeCell ref="LDG4094:LDP4094"/>
    <mergeCell ref="LDR4094:LEA4094"/>
    <mergeCell ref="LEC4094:LEC4095"/>
    <mergeCell ref="LEE4094:LEJ4094"/>
    <mergeCell ref="LEK4094:LEK4095"/>
    <mergeCell ref="LCL4094:LCU4094"/>
    <mergeCell ref="LCW4094:LCW4095"/>
    <mergeCell ref="LCY4094:LDD4094"/>
    <mergeCell ref="LDE4094:LDE4095"/>
    <mergeCell ref="LDF4094:LDF4095"/>
    <mergeCell ref="LBQ4094:LBQ4095"/>
    <mergeCell ref="LBS4094:LBX4094"/>
    <mergeCell ref="LBY4094:LBY4095"/>
    <mergeCell ref="LBZ4094:LBZ4095"/>
    <mergeCell ref="LCA4094:LCJ4094"/>
    <mergeCell ref="LAM4094:LAR4094"/>
    <mergeCell ref="LAS4094:LAS4095"/>
    <mergeCell ref="LAT4094:LAT4095"/>
    <mergeCell ref="LAU4094:LBD4094"/>
    <mergeCell ref="LBF4094:LBO4094"/>
    <mergeCell ref="KZM4094:KZM4095"/>
    <mergeCell ref="KZN4094:KZN4095"/>
    <mergeCell ref="KZO4094:KZX4094"/>
    <mergeCell ref="KZZ4094:LAI4094"/>
    <mergeCell ref="LAK4094:LAK4095"/>
    <mergeCell ref="KYH4094:KYH4095"/>
    <mergeCell ref="KYI4094:KYR4094"/>
    <mergeCell ref="KYT4094:KZC4094"/>
    <mergeCell ref="KZE4094:KZE4095"/>
    <mergeCell ref="KZG4094:KZL4094"/>
    <mergeCell ref="KXC4094:KXL4094"/>
    <mergeCell ref="KXN4094:KXW4094"/>
    <mergeCell ref="KXY4094:KXY4095"/>
    <mergeCell ref="KYA4094:KYF4094"/>
    <mergeCell ref="KYG4094:KYG4095"/>
    <mergeCell ref="KWH4094:KWQ4094"/>
    <mergeCell ref="KWS4094:KWS4095"/>
    <mergeCell ref="KWU4094:KWZ4094"/>
    <mergeCell ref="KXA4094:KXA4095"/>
    <mergeCell ref="KXB4094:KXB4095"/>
    <mergeCell ref="KVM4094:KVM4095"/>
    <mergeCell ref="KVO4094:KVT4094"/>
    <mergeCell ref="KVU4094:KVU4095"/>
    <mergeCell ref="KVV4094:KVV4095"/>
    <mergeCell ref="KVW4094:KWF4094"/>
    <mergeCell ref="KUI4094:KUN4094"/>
    <mergeCell ref="KUO4094:KUO4095"/>
    <mergeCell ref="KUP4094:KUP4095"/>
    <mergeCell ref="KUQ4094:KUZ4094"/>
    <mergeCell ref="KVB4094:KVK4094"/>
    <mergeCell ref="KTI4094:KTI4095"/>
    <mergeCell ref="KTJ4094:KTJ4095"/>
    <mergeCell ref="KTK4094:KTT4094"/>
    <mergeCell ref="KTV4094:KUE4094"/>
    <mergeCell ref="KUG4094:KUG4095"/>
    <mergeCell ref="KSD4094:KSD4095"/>
    <mergeCell ref="KSE4094:KSN4094"/>
    <mergeCell ref="KSP4094:KSY4094"/>
    <mergeCell ref="KTA4094:KTA4095"/>
    <mergeCell ref="KTC4094:KTH4094"/>
    <mergeCell ref="KQY4094:KRH4094"/>
    <mergeCell ref="KRJ4094:KRS4094"/>
    <mergeCell ref="KRU4094:KRU4095"/>
    <mergeCell ref="KRW4094:KSB4094"/>
    <mergeCell ref="KSC4094:KSC4095"/>
    <mergeCell ref="KQD4094:KQM4094"/>
    <mergeCell ref="KQO4094:KQO4095"/>
    <mergeCell ref="KQQ4094:KQV4094"/>
    <mergeCell ref="KQW4094:KQW4095"/>
    <mergeCell ref="KQX4094:KQX4095"/>
    <mergeCell ref="KPI4094:KPI4095"/>
    <mergeCell ref="KPK4094:KPP4094"/>
    <mergeCell ref="KPQ4094:KPQ4095"/>
    <mergeCell ref="KPR4094:KPR4095"/>
    <mergeCell ref="KPS4094:KQB4094"/>
    <mergeCell ref="KOE4094:KOJ4094"/>
    <mergeCell ref="KOK4094:KOK4095"/>
    <mergeCell ref="KOL4094:KOL4095"/>
    <mergeCell ref="KOM4094:KOV4094"/>
    <mergeCell ref="KOX4094:KPG4094"/>
    <mergeCell ref="KNE4094:KNE4095"/>
    <mergeCell ref="KNF4094:KNF4095"/>
    <mergeCell ref="KNG4094:KNP4094"/>
    <mergeCell ref="KNR4094:KOA4094"/>
    <mergeCell ref="KOC4094:KOC4095"/>
    <mergeCell ref="KLZ4094:KLZ4095"/>
    <mergeCell ref="KMA4094:KMJ4094"/>
    <mergeCell ref="KML4094:KMU4094"/>
    <mergeCell ref="KMW4094:KMW4095"/>
    <mergeCell ref="KMY4094:KND4094"/>
    <mergeCell ref="KKU4094:KLD4094"/>
    <mergeCell ref="KLF4094:KLO4094"/>
    <mergeCell ref="KLQ4094:KLQ4095"/>
    <mergeCell ref="KLS4094:KLX4094"/>
    <mergeCell ref="KLY4094:KLY4095"/>
    <mergeCell ref="KJZ4094:KKI4094"/>
    <mergeCell ref="KKK4094:KKK4095"/>
    <mergeCell ref="KKM4094:KKR4094"/>
    <mergeCell ref="KKS4094:KKS4095"/>
    <mergeCell ref="KKT4094:KKT4095"/>
    <mergeCell ref="KJE4094:KJE4095"/>
    <mergeCell ref="KJG4094:KJL4094"/>
    <mergeCell ref="KJM4094:KJM4095"/>
    <mergeCell ref="KJN4094:KJN4095"/>
    <mergeCell ref="KJO4094:KJX4094"/>
    <mergeCell ref="KIA4094:KIF4094"/>
    <mergeCell ref="KIG4094:KIG4095"/>
    <mergeCell ref="KIH4094:KIH4095"/>
    <mergeCell ref="KII4094:KIR4094"/>
    <mergeCell ref="KIT4094:KJC4094"/>
    <mergeCell ref="KHA4094:KHA4095"/>
    <mergeCell ref="KHB4094:KHB4095"/>
    <mergeCell ref="KHC4094:KHL4094"/>
    <mergeCell ref="KHN4094:KHW4094"/>
    <mergeCell ref="KHY4094:KHY4095"/>
    <mergeCell ref="KFV4094:KFV4095"/>
    <mergeCell ref="KFW4094:KGF4094"/>
    <mergeCell ref="KGH4094:KGQ4094"/>
    <mergeCell ref="KGS4094:KGS4095"/>
    <mergeCell ref="KGU4094:KGZ4094"/>
    <mergeCell ref="KEQ4094:KEZ4094"/>
    <mergeCell ref="KFB4094:KFK4094"/>
    <mergeCell ref="KFM4094:KFM4095"/>
    <mergeCell ref="KFO4094:KFT4094"/>
    <mergeCell ref="KFU4094:KFU4095"/>
    <mergeCell ref="KDV4094:KEE4094"/>
    <mergeCell ref="KEG4094:KEG4095"/>
    <mergeCell ref="KEI4094:KEN4094"/>
    <mergeCell ref="KEO4094:KEO4095"/>
    <mergeCell ref="KEP4094:KEP4095"/>
    <mergeCell ref="KDA4094:KDA4095"/>
    <mergeCell ref="KDC4094:KDH4094"/>
    <mergeCell ref="KDI4094:KDI4095"/>
    <mergeCell ref="KDJ4094:KDJ4095"/>
    <mergeCell ref="KDK4094:KDT4094"/>
    <mergeCell ref="KBW4094:KCB4094"/>
    <mergeCell ref="KCC4094:KCC4095"/>
    <mergeCell ref="KCD4094:KCD4095"/>
    <mergeCell ref="KCE4094:KCN4094"/>
    <mergeCell ref="KCP4094:KCY4094"/>
    <mergeCell ref="KAW4094:KAW4095"/>
    <mergeCell ref="KAX4094:KAX4095"/>
    <mergeCell ref="KAY4094:KBH4094"/>
    <mergeCell ref="KBJ4094:KBS4094"/>
    <mergeCell ref="KBU4094:KBU4095"/>
    <mergeCell ref="JZR4094:JZR4095"/>
    <mergeCell ref="JZS4094:KAB4094"/>
    <mergeCell ref="KAD4094:KAM4094"/>
    <mergeCell ref="KAO4094:KAO4095"/>
    <mergeCell ref="KAQ4094:KAV4094"/>
    <mergeCell ref="JYM4094:JYV4094"/>
    <mergeCell ref="JYX4094:JZG4094"/>
    <mergeCell ref="JZI4094:JZI4095"/>
    <mergeCell ref="JZK4094:JZP4094"/>
    <mergeCell ref="JZQ4094:JZQ4095"/>
    <mergeCell ref="JXR4094:JYA4094"/>
    <mergeCell ref="JYC4094:JYC4095"/>
    <mergeCell ref="JYE4094:JYJ4094"/>
    <mergeCell ref="JYK4094:JYK4095"/>
    <mergeCell ref="JYL4094:JYL4095"/>
    <mergeCell ref="JWW4094:JWW4095"/>
    <mergeCell ref="JWY4094:JXD4094"/>
    <mergeCell ref="JXE4094:JXE4095"/>
    <mergeCell ref="JXF4094:JXF4095"/>
    <mergeCell ref="JXG4094:JXP4094"/>
    <mergeCell ref="JVS4094:JVX4094"/>
    <mergeCell ref="JVY4094:JVY4095"/>
    <mergeCell ref="JVZ4094:JVZ4095"/>
    <mergeCell ref="JWA4094:JWJ4094"/>
    <mergeCell ref="JWL4094:JWU4094"/>
    <mergeCell ref="JUS4094:JUS4095"/>
    <mergeCell ref="JUT4094:JUT4095"/>
    <mergeCell ref="JUU4094:JVD4094"/>
    <mergeCell ref="JVF4094:JVO4094"/>
    <mergeCell ref="JVQ4094:JVQ4095"/>
    <mergeCell ref="JTN4094:JTN4095"/>
    <mergeCell ref="JTO4094:JTX4094"/>
    <mergeCell ref="JTZ4094:JUI4094"/>
    <mergeCell ref="JUK4094:JUK4095"/>
    <mergeCell ref="JUM4094:JUR4094"/>
    <mergeCell ref="JSI4094:JSR4094"/>
    <mergeCell ref="JST4094:JTC4094"/>
    <mergeCell ref="JTE4094:JTE4095"/>
    <mergeCell ref="JTG4094:JTL4094"/>
    <mergeCell ref="JTM4094:JTM4095"/>
    <mergeCell ref="JRN4094:JRW4094"/>
    <mergeCell ref="JRY4094:JRY4095"/>
    <mergeCell ref="JSA4094:JSF4094"/>
    <mergeCell ref="JSG4094:JSG4095"/>
    <mergeCell ref="JSH4094:JSH4095"/>
    <mergeCell ref="JQS4094:JQS4095"/>
    <mergeCell ref="JQU4094:JQZ4094"/>
    <mergeCell ref="JRA4094:JRA4095"/>
    <mergeCell ref="JRB4094:JRB4095"/>
    <mergeCell ref="JRC4094:JRL4094"/>
    <mergeCell ref="JPO4094:JPT4094"/>
    <mergeCell ref="JPU4094:JPU4095"/>
    <mergeCell ref="JPV4094:JPV4095"/>
    <mergeCell ref="JPW4094:JQF4094"/>
    <mergeCell ref="JQH4094:JQQ4094"/>
    <mergeCell ref="JOO4094:JOO4095"/>
    <mergeCell ref="JOP4094:JOP4095"/>
    <mergeCell ref="JOQ4094:JOZ4094"/>
    <mergeCell ref="JPB4094:JPK4094"/>
    <mergeCell ref="JPM4094:JPM4095"/>
    <mergeCell ref="JNJ4094:JNJ4095"/>
    <mergeCell ref="JNK4094:JNT4094"/>
    <mergeCell ref="JNV4094:JOE4094"/>
    <mergeCell ref="JOG4094:JOG4095"/>
    <mergeCell ref="JOI4094:JON4094"/>
    <mergeCell ref="JME4094:JMN4094"/>
    <mergeCell ref="JMP4094:JMY4094"/>
    <mergeCell ref="JNA4094:JNA4095"/>
    <mergeCell ref="JNC4094:JNH4094"/>
    <mergeCell ref="JNI4094:JNI4095"/>
    <mergeCell ref="JLJ4094:JLS4094"/>
    <mergeCell ref="JLU4094:JLU4095"/>
    <mergeCell ref="JLW4094:JMB4094"/>
    <mergeCell ref="JMC4094:JMC4095"/>
    <mergeCell ref="JMD4094:JMD4095"/>
    <mergeCell ref="JKO4094:JKO4095"/>
    <mergeCell ref="JKQ4094:JKV4094"/>
    <mergeCell ref="JKW4094:JKW4095"/>
    <mergeCell ref="JKX4094:JKX4095"/>
    <mergeCell ref="JKY4094:JLH4094"/>
    <mergeCell ref="JJK4094:JJP4094"/>
    <mergeCell ref="JJQ4094:JJQ4095"/>
    <mergeCell ref="JJR4094:JJR4095"/>
    <mergeCell ref="JJS4094:JKB4094"/>
    <mergeCell ref="JKD4094:JKM4094"/>
    <mergeCell ref="JIK4094:JIK4095"/>
    <mergeCell ref="JIL4094:JIL4095"/>
    <mergeCell ref="JIM4094:JIV4094"/>
    <mergeCell ref="JIX4094:JJG4094"/>
    <mergeCell ref="JJI4094:JJI4095"/>
    <mergeCell ref="JHF4094:JHF4095"/>
    <mergeCell ref="JHG4094:JHP4094"/>
    <mergeCell ref="JHR4094:JIA4094"/>
    <mergeCell ref="JIC4094:JIC4095"/>
    <mergeCell ref="JIE4094:JIJ4094"/>
    <mergeCell ref="JGA4094:JGJ4094"/>
    <mergeCell ref="JGL4094:JGU4094"/>
    <mergeCell ref="JGW4094:JGW4095"/>
    <mergeCell ref="JGY4094:JHD4094"/>
    <mergeCell ref="JHE4094:JHE4095"/>
    <mergeCell ref="JFF4094:JFO4094"/>
    <mergeCell ref="JFQ4094:JFQ4095"/>
    <mergeCell ref="JFS4094:JFX4094"/>
    <mergeCell ref="JFY4094:JFY4095"/>
    <mergeCell ref="JFZ4094:JFZ4095"/>
    <mergeCell ref="JEK4094:JEK4095"/>
    <mergeCell ref="JEM4094:JER4094"/>
    <mergeCell ref="JES4094:JES4095"/>
    <mergeCell ref="JET4094:JET4095"/>
    <mergeCell ref="JEU4094:JFD4094"/>
    <mergeCell ref="JDG4094:JDL4094"/>
    <mergeCell ref="JDM4094:JDM4095"/>
    <mergeCell ref="JDN4094:JDN4095"/>
    <mergeCell ref="JDO4094:JDX4094"/>
    <mergeCell ref="JDZ4094:JEI4094"/>
    <mergeCell ref="JCG4094:JCG4095"/>
    <mergeCell ref="JCH4094:JCH4095"/>
    <mergeCell ref="JCI4094:JCR4094"/>
    <mergeCell ref="JCT4094:JDC4094"/>
    <mergeCell ref="JDE4094:JDE4095"/>
    <mergeCell ref="JBB4094:JBB4095"/>
    <mergeCell ref="JBC4094:JBL4094"/>
    <mergeCell ref="JBN4094:JBW4094"/>
    <mergeCell ref="JBY4094:JBY4095"/>
    <mergeCell ref="JCA4094:JCF4094"/>
    <mergeCell ref="IZW4094:JAF4094"/>
    <mergeCell ref="JAH4094:JAQ4094"/>
    <mergeCell ref="JAS4094:JAS4095"/>
    <mergeCell ref="JAU4094:JAZ4094"/>
    <mergeCell ref="JBA4094:JBA4095"/>
    <mergeCell ref="IZB4094:IZK4094"/>
    <mergeCell ref="IZM4094:IZM4095"/>
    <mergeCell ref="IZO4094:IZT4094"/>
    <mergeCell ref="IZU4094:IZU4095"/>
    <mergeCell ref="IZV4094:IZV4095"/>
    <mergeCell ref="IYG4094:IYG4095"/>
    <mergeCell ref="IYI4094:IYN4094"/>
    <mergeCell ref="IYO4094:IYO4095"/>
    <mergeCell ref="IYP4094:IYP4095"/>
    <mergeCell ref="IYQ4094:IYZ4094"/>
    <mergeCell ref="IXC4094:IXH4094"/>
    <mergeCell ref="IXI4094:IXI4095"/>
    <mergeCell ref="IXJ4094:IXJ4095"/>
    <mergeCell ref="IXK4094:IXT4094"/>
    <mergeCell ref="IXV4094:IYE4094"/>
    <mergeCell ref="IWC4094:IWC4095"/>
    <mergeCell ref="IWD4094:IWD4095"/>
    <mergeCell ref="IWE4094:IWN4094"/>
    <mergeCell ref="IWP4094:IWY4094"/>
    <mergeCell ref="IXA4094:IXA4095"/>
    <mergeCell ref="IUX4094:IUX4095"/>
    <mergeCell ref="IUY4094:IVH4094"/>
    <mergeCell ref="IVJ4094:IVS4094"/>
    <mergeCell ref="IVU4094:IVU4095"/>
    <mergeCell ref="IVW4094:IWB4094"/>
    <mergeCell ref="ITS4094:IUB4094"/>
    <mergeCell ref="IUD4094:IUM4094"/>
    <mergeCell ref="IUO4094:IUO4095"/>
    <mergeCell ref="IUQ4094:IUV4094"/>
    <mergeCell ref="IUW4094:IUW4095"/>
    <mergeCell ref="ISX4094:ITG4094"/>
    <mergeCell ref="ITI4094:ITI4095"/>
    <mergeCell ref="ITK4094:ITP4094"/>
    <mergeCell ref="ITQ4094:ITQ4095"/>
    <mergeCell ref="ITR4094:ITR4095"/>
    <mergeCell ref="ISC4094:ISC4095"/>
    <mergeCell ref="ISE4094:ISJ4094"/>
    <mergeCell ref="ISK4094:ISK4095"/>
    <mergeCell ref="ISL4094:ISL4095"/>
    <mergeCell ref="ISM4094:ISV4094"/>
    <mergeCell ref="IQY4094:IRD4094"/>
    <mergeCell ref="IRE4094:IRE4095"/>
    <mergeCell ref="IRF4094:IRF4095"/>
    <mergeCell ref="IRG4094:IRP4094"/>
    <mergeCell ref="IRR4094:ISA4094"/>
    <mergeCell ref="IPY4094:IPY4095"/>
    <mergeCell ref="IPZ4094:IPZ4095"/>
    <mergeCell ref="IQA4094:IQJ4094"/>
    <mergeCell ref="IQL4094:IQU4094"/>
    <mergeCell ref="IQW4094:IQW4095"/>
    <mergeCell ref="IOT4094:IOT4095"/>
    <mergeCell ref="IOU4094:IPD4094"/>
    <mergeCell ref="IPF4094:IPO4094"/>
    <mergeCell ref="IPQ4094:IPQ4095"/>
    <mergeCell ref="IPS4094:IPX4094"/>
    <mergeCell ref="INO4094:INX4094"/>
    <mergeCell ref="INZ4094:IOI4094"/>
    <mergeCell ref="IOK4094:IOK4095"/>
    <mergeCell ref="IOM4094:IOR4094"/>
    <mergeCell ref="IOS4094:IOS4095"/>
    <mergeCell ref="IMT4094:INC4094"/>
    <mergeCell ref="INE4094:INE4095"/>
    <mergeCell ref="ING4094:INL4094"/>
    <mergeCell ref="INM4094:INM4095"/>
    <mergeCell ref="INN4094:INN4095"/>
    <mergeCell ref="ILY4094:ILY4095"/>
    <mergeCell ref="IMA4094:IMF4094"/>
    <mergeCell ref="IMG4094:IMG4095"/>
    <mergeCell ref="IMH4094:IMH4095"/>
    <mergeCell ref="IMI4094:IMR4094"/>
    <mergeCell ref="IKU4094:IKZ4094"/>
    <mergeCell ref="ILA4094:ILA4095"/>
    <mergeCell ref="ILB4094:ILB4095"/>
    <mergeCell ref="ILC4094:ILL4094"/>
    <mergeCell ref="ILN4094:ILW4094"/>
    <mergeCell ref="IJU4094:IJU4095"/>
    <mergeCell ref="IJV4094:IJV4095"/>
    <mergeCell ref="IJW4094:IKF4094"/>
    <mergeCell ref="IKH4094:IKQ4094"/>
    <mergeCell ref="IKS4094:IKS4095"/>
    <mergeCell ref="IIP4094:IIP4095"/>
    <mergeCell ref="IIQ4094:IIZ4094"/>
    <mergeCell ref="IJB4094:IJK4094"/>
    <mergeCell ref="IJM4094:IJM4095"/>
    <mergeCell ref="IJO4094:IJT4094"/>
    <mergeCell ref="IHK4094:IHT4094"/>
    <mergeCell ref="IHV4094:IIE4094"/>
    <mergeCell ref="IIG4094:IIG4095"/>
    <mergeCell ref="III4094:IIN4094"/>
    <mergeCell ref="IIO4094:IIO4095"/>
    <mergeCell ref="IGP4094:IGY4094"/>
    <mergeCell ref="IHA4094:IHA4095"/>
    <mergeCell ref="IHC4094:IHH4094"/>
    <mergeCell ref="IHI4094:IHI4095"/>
    <mergeCell ref="IHJ4094:IHJ4095"/>
    <mergeCell ref="IFU4094:IFU4095"/>
    <mergeCell ref="IFW4094:IGB4094"/>
    <mergeCell ref="IGC4094:IGC4095"/>
    <mergeCell ref="IGD4094:IGD4095"/>
    <mergeCell ref="IGE4094:IGN4094"/>
    <mergeCell ref="IEQ4094:IEV4094"/>
    <mergeCell ref="IEW4094:IEW4095"/>
    <mergeCell ref="IEX4094:IEX4095"/>
    <mergeCell ref="IEY4094:IFH4094"/>
    <mergeCell ref="IFJ4094:IFS4094"/>
    <mergeCell ref="IDQ4094:IDQ4095"/>
    <mergeCell ref="IDR4094:IDR4095"/>
    <mergeCell ref="IDS4094:IEB4094"/>
    <mergeCell ref="IED4094:IEM4094"/>
    <mergeCell ref="IEO4094:IEO4095"/>
    <mergeCell ref="ICL4094:ICL4095"/>
    <mergeCell ref="ICM4094:ICV4094"/>
    <mergeCell ref="ICX4094:IDG4094"/>
    <mergeCell ref="IDI4094:IDI4095"/>
    <mergeCell ref="IDK4094:IDP4094"/>
    <mergeCell ref="IBG4094:IBP4094"/>
    <mergeCell ref="IBR4094:ICA4094"/>
    <mergeCell ref="ICC4094:ICC4095"/>
    <mergeCell ref="ICE4094:ICJ4094"/>
    <mergeCell ref="ICK4094:ICK4095"/>
    <mergeCell ref="IAL4094:IAU4094"/>
    <mergeCell ref="IAW4094:IAW4095"/>
    <mergeCell ref="IAY4094:IBD4094"/>
    <mergeCell ref="IBE4094:IBE4095"/>
    <mergeCell ref="IBF4094:IBF4095"/>
    <mergeCell ref="HZQ4094:HZQ4095"/>
    <mergeCell ref="HZS4094:HZX4094"/>
    <mergeCell ref="HZY4094:HZY4095"/>
    <mergeCell ref="HZZ4094:HZZ4095"/>
    <mergeCell ref="IAA4094:IAJ4094"/>
    <mergeCell ref="HYM4094:HYR4094"/>
    <mergeCell ref="HYS4094:HYS4095"/>
    <mergeCell ref="HYT4094:HYT4095"/>
    <mergeCell ref="HYU4094:HZD4094"/>
    <mergeCell ref="HZF4094:HZO4094"/>
    <mergeCell ref="HXM4094:HXM4095"/>
    <mergeCell ref="HXN4094:HXN4095"/>
    <mergeCell ref="HXO4094:HXX4094"/>
    <mergeCell ref="HXZ4094:HYI4094"/>
    <mergeCell ref="HYK4094:HYK4095"/>
    <mergeCell ref="HWH4094:HWH4095"/>
    <mergeCell ref="HWI4094:HWR4094"/>
    <mergeCell ref="HWT4094:HXC4094"/>
    <mergeCell ref="HXE4094:HXE4095"/>
    <mergeCell ref="HXG4094:HXL4094"/>
    <mergeCell ref="HVC4094:HVL4094"/>
    <mergeCell ref="HVN4094:HVW4094"/>
    <mergeCell ref="HVY4094:HVY4095"/>
    <mergeCell ref="HWA4094:HWF4094"/>
    <mergeCell ref="HWG4094:HWG4095"/>
    <mergeCell ref="HUH4094:HUQ4094"/>
    <mergeCell ref="HUS4094:HUS4095"/>
    <mergeCell ref="HUU4094:HUZ4094"/>
    <mergeCell ref="HVA4094:HVA4095"/>
    <mergeCell ref="HVB4094:HVB4095"/>
    <mergeCell ref="HTM4094:HTM4095"/>
    <mergeCell ref="HTO4094:HTT4094"/>
    <mergeCell ref="HTU4094:HTU4095"/>
    <mergeCell ref="HTV4094:HTV4095"/>
    <mergeCell ref="HTW4094:HUF4094"/>
    <mergeCell ref="HSI4094:HSN4094"/>
    <mergeCell ref="HSO4094:HSO4095"/>
    <mergeCell ref="HSP4094:HSP4095"/>
    <mergeCell ref="HSQ4094:HSZ4094"/>
    <mergeCell ref="HTB4094:HTK4094"/>
    <mergeCell ref="HRI4094:HRI4095"/>
    <mergeCell ref="HRJ4094:HRJ4095"/>
    <mergeCell ref="HRK4094:HRT4094"/>
    <mergeCell ref="HRV4094:HSE4094"/>
    <mergeCell ref="HSG4094:HSG4095"/>
    <mergeCell ref="HQD4094:HQD4095"/>
    <mergeCell ref="HQE4094:HQN4094"/>
    <mergeCell ref="HQP4094:HQY4094"/>
    <mergeCell ref="HRA4094:HRA4095"/>
    <mergeCell ref="HRC4094:HRH4094"/>
    <mergeCell ref="HOY4094:HPH4094"/>
    <mergeCell ref="HPJ4094:HPS4094"/>
    <mergeCell ref="HPU4094:HPU4095"/>
    <mergeCell ref="HPW4094:HQB4094"/>
    <mergeCell ref="HQC4094:HQC4095"/>
    <mergeCell ref="HOD4094:HOM4094"/>
    <mergeCell ref="HOO4094:HOO4095"/>
    <mergeCell ref="HOQ4094:HOV4094"/>
    <mergeCell ref="HOW4094:HOW4095"/>
    <mergeCell ref="HOX4094:HOX4095"/>
    <mergeCell ref="HNI4094:HNI4095"/>
    <mergeCell ref="HNK4094:HNP4094"/>
    <mergeCell ref="HNQ4094:HNQ4095"/>
    <mergeCell ref="HNR4094:HNR4095"/>
    <mergeCell ref="HNS4094:HOB4094"/>
    <mergeCell ref="HME4094:HMJ4094"/>
    <mergeCell ref="HMK4094:HMK4095"/>
    <mergeCell ref="HML4094:HML4095"/>
    <mergeCell ref="HMM4094:HMV4094"/>
    <mergeCell ref="HMX4094:HNG4094"/>
    <mergeCell ref="HLE4094:HLE4095"/>
    <mergeCell ref="HLF4094:HLF4095"/>
    <mergeCell ref="HLG4094:HLP4094"/>
    <mergeCell ref="HLR4094:HMA4094"/>
    <mergeCell ref="HMC4094:HMC4095"/>
    <mergeCell ref="HJZ4094:HJZ4095"/>
    <mergeCell ref="HKA4094:HKJ4094"/>
    <mergeCell ref="HKL4094:HKU4094"/>
    <mergeCell ref="HKW4094:HKW4095"/>
    <mergeCell ref="HKY4094:HLD4094"/>
    <mergeCell ref="HIU4094:HJD4094"/>
    <mergeCell ref="HJF4094:HJO4094"/>
    <mergeCell ref="HJQ4094:HJQ4095"/>
    <mergeCell ref="HJS4094:HJX4094"/>
    <mergeCell ref="HJY4094:HJY4095"/>
    <mergeCell ref="HHZ4094:HII4094"/>
    <mergeCell ref="HIK4094:HIK4095"/>
    <mergeCell ref="HIM4094:HIR4094"/>
    <mergeCell ref="HIS4094:HIS4095"/>
    <mergeCell ref="HIT4094:HIT4095"/>
    <mergeCell ref="HHE4094:HHE4095"/>
    <mergeCell ref="HHG4094:HHL4094"/>
    <mergeCell ref="HHM4094:HHM4095"/>
    <mergeCell ref="HHN4094:HHN4095"/>
    <mergeCell ref="HHO4094:HHX4094"/>
    <mergeCell ref="HGA4094:HGF4094"/>
    <mergeCell ref="HGG4094:HGG4095"/>
    <mergeCell ref="HGH4094:HGH4095"/>
    <mergeCell ref="HGI4094:HGR4094"/>
    <mergeCell ref="HGT4094:HHC4094"/>
    <mergeCell ref="HFA4094:HFA4095"/>
    <mergeCell ref="HFB4094:HFB4095"/>
    <mergeCell ref="HFC4094:HFL4094"/>
    <mergeCell ref="HFN4094:HFW4094"/>
    <mergeCell ref="HFY4094:HFY4095"/>
    <mergeCell ref="HDV4094:HDV4095"/>
    <mergeCell ref="HDW4094:HEF4094"/>
    <mergeCell ref="HEH4094:HEQ4094"/>
    <mergeCell ref="HES4094:HES4095"/>
    <mergeCell ref="HEU4094:HEZ4094"/>
    <mergeCell ref="HCQ4094:HCZ4094"/>
    <mergeCell ref="HDB4094:HDK4094"/>
    <mergeCell ref="HDM4094:HDM4095"/>
    <mergeCell ref="HDO4094:HDT4094"/>
    <mergeCell ref="HDU4094:HDU4095"/>
    <mergeCell ref="HBV4094:HCE4094"/>
    <mergeCell ref="HCG4094:HCG4095"/>
    <mergeCell ref="HCI4094:HCN4094"/>
    <mergeCell ref="HCO4094:HCO4095"/>
    <mergeCell ref="HCP4094:HCP4095"/>
    <mergeCell ref="HBA4094:HBA4095"/>
    <mergeCell ref="HBC4094:HBH4094"/>
    <mergeCell ref="HBI4094:HBI4095"/>
    <mergeCell ref="HBJ4094:HBJ4095"/>
    <mergeCell ref="HBK4094:HBT4094"/>
    <mergeCell ref="GZW4094:HAB4094"/>
    <mergeCell ref="HAC4094:HAC4095"/>
    <mergeCell ref="HAD4094:HAD4095"/>
    <mergeCell ref="HAE4094:HAN4094"/>
    <mergeCell ref="HAP4094:HAY4094"/>
    <mergeCell ref="GYW4094:GYW4095"/>
    <mergeCell ref="GYX4094:GYX4095"/>
    <mergeCell ref="GYY4094:GZH4094"/>
    <mergeCell ref="GZJ4094:GZS4094"/>
    <mergeCell ref="GZU4094:GZU4095"/>
    <mergeCell ref="GXR4094:GXR4095"/>
    <mergeCell ref="GXS4094:GYB4094"/>
    <mergeCell ref="GYD4094:GYM4094"/>
    <mergeCell ref="GYO4094:GYO4095"/>
    <mergeCell ref="GYQ4094:GYV4094"/>
    <mergeCell ref="GWM4094:GWV4094"/>
    <mergeCell ref="GWX4094:GXG4094"/>
    <mergeCell ref="GXI4094:GXI4095"/>
    <mergeCell ref="GXK4094:GXP4094"/>
    <mergeCell ref="GXQ4094:GXQ4095"/>
    <mergeCell ref="GVR4094:GWA4094"/>
    <mergeCell ref="GWC4094:GWC4095"/>
    <mergeCell ref="GWE4094:GWJ4094"/>
    <mergeCell ref="GWK4094:GWK4095"/>
    <mergeCell ref="GWL4094:GWL4095"/>
    <mergeCell ref="GUW4094:GUW4095"/>
    <mergeCell ref="GUY4094:GVD4094"/>
    <mergeCell ref="GVE4094:GVE4095"/>
    <mergeCell ref="GVF4094:GVF4095"/>
    <mergeCell ref="GVG4094:GVP4094"/>
    <mergeCell ref="GTS4094:GTX4094"/>
    <mergeCell ref="GTY4094:GTY4095"/>
    <mergeCell ref="GTZ4094:GTZ4095"/>
    <mergeCell ref="GUA4094:GUJ4094"/>
    <mergeCell ref="GUL4094:GUU4094"/>
    <mergeCell ref="GSS4094:GSS4095"/>
    <mergeCell ref="GST4094:GST4095"/>
    <mergeCell ref="GSU4094:GTD4094"/>
    <mergeCell ref="GTF4094:GTO4094"/>
    <mergeCell ref="GTQ4094:GTQ4095"/>
    <mergeCell ref="GRN4094:GRN4095"/>
    <mergeCell ref="GRO4094:GRX4094"/>
    <mergeCell ref="GRZ4094:GSI4094"/>
    <mergeCell ref="GSK4094:GSK4095"/>
    <mergeCell ref="GSM4094:GSR4094"/>
    <mergeCell ref="GQI4094:GQR4094"/>
    <mergeCell ref="GQT4094:GRC4094"/>
    <mergeCell ref="GRE4094:GRE4095"/>
    <mergeCell ref="GRG4094:GRL4094"/>
    <mergeCell ref="GRM4094:GRM4095"/>
    <mergeCell ref="GPN4094:GPW4094"/>
    <mergeCell ref="GPY4094:GPY4095"/>
    <mergeCell ref="GQA4094:GQF4094"/>
    <mergeCell ref="GQG4094:GQG4095"/>
    <mergeCell ref="GQH4094:GQH4095"/>
    <mergeCell ref="GOS4094:GOS4095"/>
    <mergeCell ref="GOU4094:GOZ4094"/>
    <mergeCell ref="GPA4094:GPA4095"/>
    <mergeCell ref="GPB4094:GPB4095"/>
    <mergeCell ref="GPC4094:GPL4094"/>
    <mergeCell ref="GNO4094:GNT4094"/>
    <mergeCell ref="GNU4094:GNU4095"/>
    <mergeCell ref="GNV4094:GNV4095"/>
    <mergeCell ref="GNW4094:GOF4094"/>
    <mergeCell ref="GOH4094:GOQ4094"/>
    <mergeCell ref="GMO4094:GMO4095"/>
    <mergeCell ref="GMP4094:GMP4095"/>
    <mergeCell ref="GMQ4094:GMZ4094"/>
    <mergeCell ref="GNB4094:GNK4094"/>
    <mergeCell ref="GNM4094:GNM4095"/>
    <mergeCell ref="GLJ4094:GLJ4095"/>
    <mergeCell ref="GLK4094:GLT4094"/>
    <mergeCell ref="GLV4094:GME4094"/>
    <mergeCell ref="GMG4094:GMG4095"/>
    <mergeCell ref="GMI4094:GMN4094"/>
    <mergeCell ref="GKE4094:GKN4094"/>
    <mergeCell ref="GKP4094:GKY4094"/>
    <mergeCell ref="GLA4094:GLA4095"/>
    <mergeCell ref="GLC4094:GLH4094"/>
    <mergeCell ref="GLI4094:GLI4095"/>
    <mergeCell ref="GJJ4094:GJS4094"/>
    <mergeCell ref="GJU4094:GJU4095"/>
    <mergeCell ref="GJW4094:GKB4094"/>
    <mergeCell ref="GKC4094:GKC4095"/>
    <mergeCell ref="GKD4094:GKD4095"/>
    <mergeCell ref="GIO4094:GIO4095"/>
    <mergeCell ref="GIQ4094:GIV4094"/>
    <mergeCell ref="GIW4094:GIW4095"/>
    <mergeCell ref="GIX4094:GIX4095"/>
    <mergeCell ref="GIY4094:GJH4094"/>
    <mergeCell ref="GHK4094:GHP4094"/>
    <mergeCell ref="GHQ4094:GHQ4095"/>
    <mergeCell ref="GHR4094:GHR4095"/>
    <mergeCell ref="GHS4094:GIB4094"/>
    <mergeCell ref="GID4094:GIM4094"/>
    <mergeCell ref="GGK4094:GGK4095"/>
    <mergeCell ref="GGL4094:GGL4095"/>
    <mergeCell ref="GGM4094:GGV4094"/>
    <mergeCell ref="GGX4094:GHG4094"/>
    <mergeCell ref="GHI4094:GHI4095"/>
    <mergeCell ref="GFF4094:GFF4095"/>
    <mergeCell ref="GFG4094:GFP4094"/>
    <mergeCell ref="GFR4094:GGA4094"/>
    <mergeCell ref="GGC4094:GGC4095"/>
    <mergeCell ref="GGE4094:GGJ4094"/>
    <mergeCell ref="GEA4094:GEJ4094"/>
    <mergeCell ref="GEL4094:GEU4094"/>
    <mergeCell ref="GEW4094:GEW4095"/>
    <mergeCell ref="GEY4094:GFD4094"/>
    <mergeCell ref="GFE4094:GFE4095"/>
    <mergeCell ref="GDF4094:GDO4094"/>
    <mergeCell ref="GDQ4094:GDQ4095"/>
    <mergeCell ref="GDS4094:GDX4094"/>
    <mergeCell ref="GDY4094:GDY4095"/>
    <mergeCell ref="GDZ4094:GDZ4095"/>
    <mergeCell ref="GCK4094:GCK4095"/>
    <mergeCell ref="GCM4094:GCR4094"/>
    <mergeCell ref="GCS4094:GCS4095"/>
    <mergeCell ref="GCT4094:GCT4095"/>
    <mergeCell ref="GCU4094:GDD4094"/>
    <mergeCell ref="GBG4094:GBL4094"/>
    <mergeCell ref="GBM4094:GBM4095"/>
    <mergeCell ref="GBN4094:GBN4095"/>
    <mergeCell ref="GBO4094:GBX4094"/>
    <mergeCell ref="GBZ4094:GCI4094"/>
    <mergeCell ref="GAG4094:GAG4095"/>
    <mergeCell ref="GAH4094:GAH4095"/>
    <mergeCell ref="GAI4094:GAR4094"/>
    <mergeCell ref="GAT4094:GBC4094"/>
    <mergeCell ref="GBE4094:GBE4095"/>
    <mergeCell ref="FZB4094:FZB4095"/>
    <mergeCell ref="FZC4094:FZL4094"/>
    <mergeCell ref="FZN4094:FZW4094"/>
    <mergeCell ref="FZY4094:FZY4095"/>
    <mergeCell ref="GAA4094:GAF4094"/>
    <mergeCell ref="FXW4094:FYF4094"/>
    <mergeCell ref="FYH4094:FYQ4094"/>
    <mergeCell ref="FYS4094:FYS4095"/>
    <mergeCell ref="FYU4094:FYZ4094"/>
    <mergeCell ref="FZA4094:FZA4095"/>
    <mergeCell ref="FXB4094:FXK4094"/>
    <mergeCell ref="FXM4094:FXM4095"/>
    <mergeCell ref="FXO4094:FXT4094"/>
    <mergeCell ref="FXU4094:FXU4095"/>
    <mergeCell ref="FXV4094:FXV4095"/>
    <mergeCell ref="FWG4094:FWG4095"/>
    <mergeCell ref="FWI4094:FWN4094"/>
    <mergeCell ref="FWO4094:FWO4095"/>
    <mergeCell ref="FWP4094:FWP4095"/>
    <mergeCell ref="FWQ4094:FWZ4094"/>
    <mergeCell ref="FVC4094:FVH4094"/>
    <mergeCell ref="FVI4094:FVI4095"/>
    <mergeCell ref="FVJ4094:FVJ4095"/>
    <mergeCell ref="FVK4094:FVT4094"/>
    <mergeCell ref="FVV4094:FWE4094"/>
    <mergeCell ref="FUC4094:FUC4095"/>
    <mergeCell ref="FUD4094:FUD4095"/>
    <mergeCell ref="FUE4094:FUN4094"/>
    <mergeCell ref="FUP4094:FUY4094"/>
    <mergeCell ref="FVA4094:FVA4095"/>
    <mergeCell ref="FSX4094:FSX4095"/>
    <mergeCell ref="FSY4094:FTH4094"/>
    <mergeCell ref="FTJ4094:FTS4094"/>
    <mergeCell ref="FTU4094:FTU4095"/>
    <mergeCell ref="FTW4094:FUB4094"/>
    <mergeCell ref="FRS4094:FSB4094"/>
    <mergeCell ref="FSD4094:FSM4094"/>
    <mergeCell ref="FSO4094:FSO4095"/>
    <mergeCell ref="FSQ4094:FSV4094"/>
    <mergeCell ref="FSW4094:FSW4095"/>
    <mergeCell ref="FQX4094:FRG4094"/>
    <mergeCell ref="FRI4094:FRI4095"/>
    <mergeCell ref="FRK4094:FRP4094"/>
    <mergeCell ref="FRQ4094:FRQ4095"/>
    <mergeCell ref="FRR4094:FRR4095"/>
    <mergeCell ref="FQC4094:FQC4095"/>
    <mergeCell ref="FQE4094:FQJ4094"/>
    <mergeCell ref="FQK4094:FQK4095"/>
    <mergeCell ref="FQL4094:FQL4095"/>
    <mergeCell ref="FQM4094:FQV4094"/>
    <mergeCell ref="FOY4094:FPD4094"/>
    <mergeCell ref="FPE4094:FPE4095"/>
    <mergeCell ref="FPF4094:FPF4095"/>
    <mergeCell ref="FPG4094:FPP4094"/>
    <mergeCell ref="FPR4094:FQA4094"/>
    <mergeCell ref="FNY4094:FNY4095"/>
    <mergeCell ref="FNZ4094:FNZ4095"/>
    <mergeCell ref="FOA4094:FOJ4094"/>
    <mergeCell ref="FOL4094:FOU4094"/>
    <mergeCell ref="FOW4094:FOW4095"/>
    <mergeCell ref="FMT4094:FMT4095"/>
    <mergeCell ref="FMU4094:FND4094"/>
    <mergeCell ref="FNF4094:FNO4094"/>
    <mergeCell ref="FNQ4094:FNQ4095"/>
    <mergeCell ref="FNS4094:FNX4094"/>
    <mergeCell ref="FLO4094:FLX4094"/>
    <mergeCell ref="FLZ4094:FMI4094"/>
    <mergeCell ref="FMK4094:FMK4095"/>
    <mergeCell ref="FMM4094:FMR4094"/>
    <mergeCell ref="FMS4094:FMS4095"/>
    <mergeCell ref="FKT4094:FLC4094"/>
    <mergeCell ref="FLE4094:FLE4095"/>
    <mergeCell ref="FLG4094:FLL4094"/>
    <mergeCell ref="FLM4094:FLM4095"/>
    <mergeCell ref="FLN4094:FLN4095"/>
    <mergeCell ref="FJY4094:FJY4095"/>
    <mergeCell ref="FKA4094:FKF4094"/>
    <mergeCell ref="FKG4094:FKG4095"/>
    <mergeCell ref="FKH4094:FKH4095"/>
    <mergeCell ref="FKI4094:FKR4094"/>
    <mergeCell ref="FIU4094:FIZ4094"/>
    <mergeCell ref="FJA4094:FJA4095"/>
    <mergeCell ref="FJB4094:FJB4095"/>
    <mergeCell ref="FJC4094:FJL4094"/>
    <mergeCell ref="FJN4094:FJW4094"/>
    <mergeCell ref="FHU4094:FHU4095"/>
    <mergeCell ref="FHV4094:FHV4095"/>
    <mergeCell ref="FHW4094:FIF4094"/>
    <mergeCell ref="FIH4094:FIQ4094"/>
    <mergeCell ref="FIS4094:FIS4095"/>
    <mergeCell ref="FGP4094:FGP4095"/>
    <mergeCell ref="FGQ4094:FGZ4094"/>
    <mergeCell ref="FHB4094:FHK4094"/>
    <mergeCell ref="FHM4094:FHM4095"/>
    <mergeCell ref="FHO4094:FHT4094"/>
    <mergeCell ref="FFK4094:FFT4094"/>
    <mergeCell ref="FFV4094:FGE4094"/>
    <mergeCell ref="FGG4094:FGG4095"/>
    <mergeCell ref="FGI4094:FGN4094"/>
    <mergeCell ref="FGO4094:FGO4095"/>
    <mergeCell ref="FEP4094:FEY4094"/>
    <mergeCell ref="FFA4094:FFA4095"/>
    <mergeCell ref="FFC4094:FFH4094"/>
    <mergeCell ref="FFI4094:FFI4095"/>
    <mergeCell ref="FFJ4094:FFJ4095"/>
    <mergeCell ref="FDU4094:FDU4095"/>
    <mergeCell ref="FDW4094:FEB4094"/>
    <mergeCell ref="FEC4094:FEC4095"/>
    <mergeCell ref="FED4094:FED4095"/>
    <mergeCell ref="FEE4094:FEN4094"/>
    <mergeCell ref="FCQ4094:FCV4094"/>
    <mergeCell ref="FCW4094:FCW4095"/>
    <mergeCell ref="FCX4094:FCX4095"/>
    <mergeCell ref="FCY4094:FDH4094"/>
    <mergeCell ref="FDJ4094:FDS4094"/>
    <mergeCell ref="FBQ4094:FBQ4095"/>
    <mergeCell ref="FBR4094:FBR4095"/>
    <mergeCell ref="FBS4094:FCB4094"/>
    <mergeCell ref="FCD4094:FCM4094"/>
    <mergeCell ref="FCO4094:FCO4095"/>
    <mergeCell ref="FAL4094:FAL4095"/>
    <mergeCell ref="FAM4094:FAV4094"/>
    <mergeCell ref="FAX4094:FBG4094"/>
    <mergeCell ref="FBI4094:FBI4095"/>
    <mergeCell ref="FBK4094:FBP4094"/>
    <mergeCell ref="EZG4094:EZP4094"/>
    <mergeCell ref="EZR4094:FAA4094"/>
    <mergeCell ref="FAC4094:FAC4095"/>
    <mergeCell ref="FAE4094:FAJ4094"/>
    <mergeCell ref="FAK4094:FAK4095"/>
    <mergeCell ref="EYL4094:EYU4094"/>
    <mergeCell ref="EYW4094:EYW4095"/>
    <mergeCell ref="EYY4094:EZD4094"/>
    <mergeCell ref="EZE4094:EZE4095"/>
    <mergeCell ref="EZF4094:EZF4095"/>
    <mergeCell ref="EXQ4094:EXQ4095"/>
    <mergeCell ref="EXS4094:EXX4094"/>
    <mergeCell ref="EXY4094:EXY4095"/>
    <mergeCell ref="EXZ4094:EXZ4095"/>
    <mergeCell ref="EYA4094:EYJ4094"/>
    <mergeCell ref="EWM4094:EWR4094"/>
    <mergeCell ref="EWS4094:EWS4095"/>
    <mergeCell ref="EWT4094:EWT4095"/>
    <mergeCell ref="EWU4094:EXD4094"/>
    <mergeCell ref="EXF4094:EXO4094"/>
    <mergeCell ref="EVM4094:EVM4095"/>
    <mergeCell ref="EVN4094:EVN4095"/>
    <mergeCell ref="EVO4094:EVX4094"/>
    <mergeCell ref="EVZ4094:EWI4094"/>
    <mergeCell ref="EWK4094:EWK4095"/>
    <mergeCell ref="EUH4094:EUH4095"/>
    <mergeCell ref="EUI4094:EUR4094"/>
    <mergeCell ref="EUT4094:EVC4094"/>
    <mergeCell ref="EVE4094:EVE4095"/>
    <mergeCell ref="EVG4094:EVL4094"/>
    <mergeCell ref="ETC4094:ETL4094"/>
    <mergeCell ref="ETN4094:ETW4094"/>
    <mergeCell ref="ETY4094:ETY4095"/>
    <mergeCell ref="EUA4094:EUF4094"/>
    <mergeCell ref="EUG4094:EUG4095"/>
    <mergeCell ref="ESH4094:ESQ4094"/>
    <mergeCell ref="ESS4094:ESS4095"/>
    <mergeCell ref="ESU4094:ESZ4094"/>
    <mergeCell ref="ETA4094:ETA4095"/>
    <mergeCell ref="ETB4094:ETB4095"/>
    <mergeCell ref="ERM4094:ERM4095"/>
    <mergeCell ref="ERO4094:ERT4094"/>
    <mergeCell ref="ERU4094:ERU4095"/>
    <mergeCell ref="ERV4094:ERV4095"/>
    <mergeCell ref="ERW4094:ESF4094"/>
    <mergeCell ref="EQI4094:EQN4094"/>
    <mergeCell ref="EQO4094:EQO4095"/>
    <mergeCell ref="EQP4094:EQP4095"/>
    <mergeCell ref="EQQ4094:EQZ4094"/>
    <mergeCell ref="ERB4094:ERK4094"/>
    <mergeCell ref="EPI4094:EPI4095"/>
    <mergeCell ref="EPJ4094:EPJ4095"/>
    <mergeCell ref="EPK4094:EPT4094"/>
    <mergeCell ref="EPV4094:EQE4094"/>
    <mergeCell ref="EQG4094:EQG4095"/>
    <mergeCell ref="EOD4094:EOD4095"/>
    <mergeCell ref="EOE4094:EON4094"/>
    <mergeCell ref="EOP4094:EOY4094"/>
    <mergeCell ref="EPA4094:EPA4095"/>
    <mergeCell ref="EPC4094:EPH4094"/>
    <mergeCell ref="EMY4094:ENH4094"/>
    <mergeCell ref="ENJ4094:ENS4094"/>
    <mergeCell ref="ENU4094:ENU4095"/>
    <mergeCell ref="ENW4094:EOB4094"/>
    <mergeCell ref="EOC4094:EOC4095"/>
    <mergeCell ref="EMD4094:EMM4094"/>
    <mergeCell ref="EMO4094:EMO4095"/>
    <mergeCell ref="EMQ4094:EMV4094"/>
    <mergeCell ref="EMW4094:EMW4095"/>
    <mergeCell ref="EMX4094:EMX4095"/>
    <mergeCell ref="ELI4094:ELI4095"/>
    <mergeCell ref="ELK4094:ELP4094"/>
    <mergeCell ref="ELQ4094:ELQ4095"/>
    <mergeCell ref="ELR4094:ELR4095"/>
    <mergeCell ref="ELS4094:EMB4094"/>
    <mergeCell ref="EKE4094:EKJ4094"/>
    <mergeCell ref="EKK4094:EKK4095"/>
    <mergeCell ref="EKL4094:EKL4095"/>
    <mergeCell ref="EKM4094:EKV4094"/>
    <mergeCell ref="EKX4094:ELG4094"/>
    <mergeCell ref="EJE4094:EJE4095"/>
    <mergeCell ref="EJF4094:EJF4095"/>
    <mergeCell ref="EJG4094:EJP4094"/>
    <mergeCell ref="EJR4094:EKA4094"/>
    <mergeCell ref="EKC4094:EKC4095"/>
    <mergeCell ref="EHZ4094:EHZ4095"/>
    <mergeCell ref="EIA4094:EIJ4094"/>
    <mergeCell ref="EIL4094:EIU4094"/>
    <mergeCell ref="EIW4094:EIW4095"/>
    <mergeCell ref="EIY4094:EJD4094"/>
    <mergeCell ref="EGU4094:EHD4094"/>
    <mergeCell ref="EHF4094:EHO4094"/>
    <mergeCell ref="EHQ4094:EHQ4095"/>
    <mergeCell ref="EHS4094:EHX4094"/>
    <mergeCell ref="EHY4094:EHY4095"/>
    <mergeCell ref="EFZ4094:EGI4094"/>
    <mergeCell ref="EGK4094:EGK4095"/>
    <mergeCell ref="EGM4094:EGR4094"/>
    <mergeCell ref="EGS4094:EGS4095"/>
    <mergeCell ref="EGT4094:EGT4095"/>
    <mergeCell ref="EFE4094:EFE4095"/>
    <mergeCell ref="EFG4094:EFL4094"/>
    <mergeCell ref="EFM4094:EFM4095"/>
    <mergeCell ref="EFN4094:EFN4095"/>
    <mergeCell ref="EFO4094:EFX4094"/>
    <mergeCell ref="EEA4094:EEF4094"/>
    <mergeCell ref="EEG4094:EEG4095"/>
    <mergeCell ref="EEH4094:EEH4095"/>
    <mergeCell ref="EEI4094:EER4094"/>
    <mergeCell ref="EET4094:EFC4094"/>
    <mergeCell ref="EDA4094:EDA4095"/>
    <mergeCell ref="EDB4094:EDB4095"/>
    <mergeCell ref="EDC4094:EDL4094"/>
    <mergeCell ref="EDN4094:EDW4094"/>
    <mergeCell ref="EDY4094:EDY4095"/>
    <mergeCell ref="EBV4094:EBV4095"/>
    <mergeCell ref="EBW4094:ECF4094"/>
    <mergeCell ref="ECH4094:ECQ4094"/>
    <mergeCell ref="ECS4094:ECS4095"/>
    <mergeCell ref="ECU4094:ECZ4094"/>
    <mergeCell ref="EAQ4094:EAZ4094"/>
    <mergeCell ref="EBB4094:EBK4094"/>
    <mergeCell ref="EBM4094:EBM4095"/>
    <mergeCell ref="EBO4094:EBT4094"/>
    <mergeCell ref="EBU4094:EBU4095"/>
    <mergeCell ref="DZV4094:EAE4094"/>
    <mergeCell ref="EAG4094:EAG4095"/>
    <mergeCell ref="EAI4094:EAN4094"/>
    <mergeCell ref="EAO4094:EAO4095"/>
    <mergeCell ref="EAP4094:EAP4095"/>
    <mergeCell ref="DZA4094:DZA4095"/>
    <mergeCell ref="DZC4094:DZH4094"/>
    <mergeCell ref="DZI4094:DZI4095"/>
    <mergeCell ref="DZJ4094:DZJ4095"/>
    <mergeCell ref="DZK4094:DZT4094"/>
    <mergeCell ref="DXW4094:DYB4094"/>
    <mergeCell ref="DYC4094:DYC4095"/>
    <mergeCell ref="DYD4094:DYD4095"/>
    <mergeCell ref="DYE4094:DYN4094"/>
    <mergeCell ref="DYP4094:DYY4094"/>
    <mergeCell ref="DWW4094:DWW4095"/>
    <mergeCell ref="DWX4094:DWX4095"/>
    <mergeCell ref="DWY4094:DXH4094"/>
    <mergeCell ref="DXJ4094:DXS4094"/>
    <mergeCell ref="DXU4094:DXU4095"/>
    <mergeCell ref="DVR4094:DVR4095"/>
    <mergeCell ref="DVS4094:DWB4094"/>
    <mergeCell ref="DWD4094:DWM4094"/>
    <mergeCell ref="DWO4094:DWO4095"/>
    <mergeCell ref="DWQ4094:DWV4094"/>
    <mergeCell ref="DUM4094:DUV4094"/>
    <mergeCell ref="DUX4094:DVG4094"/>
    <mergeCell ref="DVI4094:DVI4095"/>
    <mergeCell ref="DVK4094:DVP4094"/>
    <mergeCell ref="DVQ4094:DVQ4095"/>
    <mergeCell ref="DTR4094:DUA4094"/>
    <mergeCell ref="DUC4094:DUC4095"/>
    <mergeCell ref="DUE4094:DUJ4094"/>
    <mergeCell ref="DUK4094:DUK4095"/>
    <mergeCell ref="DUL4094:DUL4095"/>
    <mergeCell ref="DSW4094:DSW4095"/>
    <mergeCell ref="DSY4094:DTD4094"/>
    <mergeCell ref="DTE4094:DTE4095"/>
    <mergeCell ref="DTF4094:DTF4095"/>
    <mergeCell ref="DTG4094:DTP4094"/>
    <mergeCell ref="DRS4094:DRX4094"/>
    <mergeCell ref="DRY4094:DRY4095"/>
    <mergeCell ref="DRZ4094:DRZ4095"/>
    <mergeCell ref="DSA4094:DSJ4094"/>
    <mergeCell ref="DSL4094:DSU4094"/>
    <mergeCell ref="DQS4094:DQS4095"/>
    <mergeCell ref="DQT4094:DQT4095"/>
    <mergeCell ref="DQU4094:DRD4094"/>
    <mergeCell ref="DRF4094:DRO4094"/>
    <mergeCell ref="DRQ4094:DRQ4095"/>
    <mergeCell ref="DPN4094:DPN4095"/>
    <mergeCell ref="DPO4094:DPX4094"/>
    <mergeCell ref="DPZ4094:DQI4094"/>
    <mergeCell ref="DQK4094:DQK4095"/>
    <mergeCell ref="DQM4094:DQR4094"/>
    <mergeCell ref="DOI4094:DOR4094"/>
    <mergeCell ref="DOT4094:DPC4094"/>
    <mergeCell ref="DPE4094:DPE4095"/>
    <mergeCell ref="DPG4094:DPL4094"/>
    <mergeCell ref="DPM4094:DPM4095"/>
    <mergeCell ref="DNN4094:DNW4094"/>
    <mergeCell ref="DNY4094:DNY4095"/>
    <mergeCell ref="DOA4094:DOF4094"/>
    <mergeCell ref="DOG4094:DOG4095"/>
    <mergeCell ref="DOH4094:DOH4095"/>
    <mergeCell ref="DMS4094:DMS4095"/>
    <mergeCell ref="DMU4094:DMZ4094"/>
    <mergeCell ref="DNA4094:DNA4095"/>
    <mergeCell ref="DNB4094:DNB4095"/>
    <mergeCell ref="DNC4094:DNL4094"/>
    <mergeCell ref="DLO4094:DLT4094"/>
    <mergeCell ref="DLU4094:DLU4095"/>
    <mergeCell ref="DLV4094:DLV4095"/>
    <mergeCell ref="DLW4094:DMF4094"/>
    <mergeCell ref="DMH4094:DMQ4094"/>
    <mergeCell ref="DKO4094:DKO4095"/>
    <mergeCell ref="DKP4094:DKP4095"/>
    <mergeCell ref="DKQ4094:DKZ4094"/>
    <mergeCell ref="DLB4094:DLK4094"/>
    <mergeCell ref="DLM4094:DLM4095"/>
    <mergeCell ref="DJJ4094:DJJ4095"/>
    <mergeCell ref="DJK4094:DJT4094"/>
    <mergeCell ref="DJV4094:DKE4094"/>
    <mergeCell ref="DKG4094:DKG4095"/>
    <mergeCell ref="DKI4094:DKN4094"/>
    <mergeCell ref="DIE4094:DIN4094"/>
    <mergeCell ref="DIP4094:DIY4094"/>
    <mergeCell ref="DJA4094:DJA4095"/>
    <mergeCell ref="DJC4094:DJH4094"/>
    <mergeCell ref="DJI4094:DJI4095"/>
    <mergeCell ref="DHJ4094:DHS4094"/>
    <mergeCell ref="DHU4094:DHU4095"/>
    <mergeCell ref="DHW4094:DIB4094"/>
    <mergeCell ref="DIC4094:DIC4095"/>
    <mergeCell ref="DID4094:DID4095"/>
    <mergeCell ref="DGO4094:DGO4095"/>
    <mergeCell ref="DGQ4094:DGV4094"/>
    <mergeCell ref="DGW4094:DGW4095"/>
    <mergeCell ref="DGX4094:DGX4095"/>
    <mergeCell ref="DGY4094:DHH4094"/>
    <mergeCell ref="DFK4094:DFP4094"/>
    <mergeCell ref="DFQ4094:DFQ4095"/>
    <mergeCell ref="DFR4094:DFR4095"/>
    <mergeCell ref="DFS4094:DGB4094"/>
    <mergeCell ref="DGD4094:DGM4094"/>
    <mergeCell ref="DEK4094:DEK4095"/>
    <mergeCell ref="DEL4094:DEL4095"/>
    <mergeCell ref="DEM4094:DEV4094"/>
    <mergeCell ref="DEX4094:DFG4094"/>
    <mergeCell ref="DFI4094:DFI4095"/>
    <mergeCell ref="DDF4094:DDF4095"/>
    <mergeCell ref="DDG4094:DDP4094"/>
    <mergeCell ref="DDR4094:DEA4094"/>
    <mergeCell ref="DEC4094:DEC4095"/>
    <mergeCell ref="DEE4094:DEJ4094"/>
    <mergeCell ref="DCA4094:DCJ4094"/>
    <mergeCell ref="DCL4094:DCU4094"/>
    <mergeCell ref="DCW4094:DCW4095"/>
    <mergeCell ref="DCY4094:DDD4094"/>
    <mergeCell ref="DDE4094:DDE4095"/>
    <mergeCell ref="DBF4094:DBO4094"/>
    <mergeCell ref="DBQ4094:DBQ4095"/>
    <mergeCell ref="DBS4094:DBX4094"/>
    <mergeCell ref="DBY4094:DBY4095"/>
    <mergeCell ref="DBZ4094:DBZ4095"/>
    <mergeCell ref="DAK4094:DAK4095"/>
    <mergeCell ref="DAM4094:DAR4094"/>
    <mergeCell ref="DAS4094:DAS4095"/>
    <mergeCell ref="DAT4094:DAT4095"/>
    <mergeCell ref="DAU4094:DBD4094"/>
    <mergeCell ref="CZG4094:CZL4094"/>
    <mergeCell ref="CZM4094:CZM4095"/>
    <mergeCell ref="CZN4094:CZN4095"/>
    <mergeCell ref="CZO4094:CZX4094"/>
    <mergeCell ref="CZZ4094:DAI4094"/>
    <mergeCell ref="CYG4094:CYG4095"/>
    <mergeCell ref="CYH4094:CYH4095"/>
    <mergeCell ref="CYI4094:CYR4094"/>
    <mergeCell ref="CYT4094:CZC4094"/>
    <mergeCell ref="CZE4094:CZE4095"/>
    <mergeCell ref="CXB4094:CXB4095"/>
    <mergeCell ref="CXC4094:CXL4094"/>
    <mergeCell ref="CXN4094:CXW4094"/>
    <mergeCell ref="CXY4094:CXY4095"/>
    <mergeCell ref="CYA4094:CYF4094"/>
    <mergeCell ref="CVW4094:CWF4094"/>
    <mergeCell ref="CWH4094:CWQ4094"/>
    <mergeCell ref="CWS4094:CWS4095"/>
    <mergeCell ref="CWU4094:CWZ4094"/>
    <mergeCell ref="CXA4094:CXA4095"/>
    <mergeCell ref="CVB4094:CVK4094"/>
    <mergeCell ref="CVM4094:CVM4095"/>
    <mergeCell ref="CVO4094:CVT4094"/>
    <mergeCell ref="CVU4094:CVU4095"/>
    <mergeCell ref="CVV4094:CVV4095"/>
    <mergeCell ref="CUG4094:CUG4095"/>
    <mergeCell ref="CUI4094:CUN4094"/>
    <mergeCell ref="CUO4094:CUO4095"/>
    <mergeCell ref="CUP4094:CUP4095"/>
    <mergeCell ref="CUQ4094:CUZ4094"/>
    <mergeCell ref="CTC4094:CTH4094"/>
    <mergeCell ref="CTI4094:CTI4095"/>
    <mergeCell ref="CTJ4094:CTJ4095"/>
    <mergeCell ref="CTK4094:CTT4094"/>
    <mergeCell ref="CTV4094:CUE4094"/>
    <mergeCell ref="CSC4094:CSC4095"/>
    <mergeCell ref="CSD4094:CSD4095"/>
    <mergeCell ref="CSE4094:CSN4094"/>
    <mergeCell ref="CSP4094:CSY4094"/>
    <mergeCell ref="CTA4094:CTA4095"/>
    <mergeCell ref="CQX4094:CQX4095"/>
    <mergeCell ref="CQY4094:CRH4094"/>
    <mergeCell ref="CRJ4094:CRS4094"/>
    <mergeCell ref="CRU4094:CRU4095"/>
    <mergeCell ref="CRW4094:CSB4094"/>
    <mergeCell ref="CPS4094:CQB4094"/>
    <mergeCell ref="CQD4094:CQM4094"/>
    <mergeCell ref="CQO4094:CQO4095"/>
    <mergeCell ref="CQQ4094:CQV4094"/>
    <mergeCell ref="CQW4094:CQW4095"/>
    <mergeCell ref="COX4094:CPG4094"/>
    <mergeCell ref="CPI4094:CPI4095"/>
    <mergeCell ref="CPK4094:CPP4094"/>
    <mergeCell ref="CPQ4094:CPQ4095"/>
    <mergeCell ref="CPR4094:CPR4095"/>
    <mergeCell ref="COC4094:COC4095"/>
    <mergeCell ref="COE4094:COJ4094"/>
    <mergeCell ref="COK4094:COK4095"/>
    <mergeCell ref="COL4094:COL4095"/>
    <mergeCell ref="COM4094:COV4094"/>
    <mergeCell ref="CMY4094:CND4094"/>
    <mergeCell ref="CNE4094:CNE4095"/>
    <mergeCell ref="CNF4094:CNF4095"/>
    <mergeCell ref="CNG4094:CNP4094"/>
    <mergeCell ref="CNR4094:COA4094"/>
    <mergeCell ref="CLY4094:CLY4095"/>
    <mergeCell ref="CLZ4094:CLZ4095"/>
    <mergeCell ref="CMA4094:CMJ4094"/>
    <mergeCell ref="CML4094:CMU4094"/>
    <mergeCell ref="CMW4094:CMW4095"/>
    <mergeCell ref="CKT4094:CKT4095"/>
    <mergeCell ref="CKU4094:CLD4094"/>
    <mergeCell ref="CLF4094:CLO4094"/>
    <mergeCell ref="CLQ4094:CLQ4095"/>
    <mergeCell ref="CLS4094:CLX4094"/>
    <mergeCell ref="CJO4094:CJX4094"/>
    <mergeCell ref="CJZ4094:CKI4094"/>
    <mergeCell ref="CKK4094:CKK4095"/>
    <mergeCell ref="CKM4094:CKR4094"/>
    <mergeCell ref="CKS4094:CKS4095"/>
    <mergeCell ref="CIT4094:CJC4094"/>
    <mergeCell ref="CJE4094:CJE4095"/>
    <mergeCell ref="CJG4094:CJL4094"/>
    <mergeCell ref="CJM4094:CJM4095"/>
    <mergeCell ref="CJN4094:CJN4095"/>
    <mergeCell ref="CHY4094:CHY4095"/>
    <mergeCell ref="CIA4094:CIF4094"/>
    <mergeCell ref="CIG4094:CIG4095"/>
    <mergeCell ref="CIH4094:CIH4095"/>
    <mergeCell ref="CII4094:CIR4094"/>
    <mergeCell ref="CGU4094:CGZ4094"/>
    <mergeCell ref="CHA4094:CHA4095"/>
    <mergeCell ref="CHB4094:CHB4095"/>
    <mergeCell ref="CHC4094:CHL4094"/>
    <mergeCell ref="CHN4094:CHW4094"/>
    <mergeCell ref="CFU4094:CFU4095"/>
    <mergeCell ref="CFV4094:CFV4095"/>
    <mergeCell ref="CFW4094:CGF4094"/>
    <mergeCell ref="CGH4094:CGQ4094"/>
    <mergeCell ref="CGS4094:CGS4095"/>
    <mergeCell ref="CEP4094:CEP4095"/>
    <mergeCell ref="CEQ4094:CEZ4094"/>
    <mergeCell ref="CFB4094:CFK4094"/>
    <mergeCell ref="CFM4094:CFM4095"/>
    <mergeCell ref="CFO4094:CFT4094"/>
    <mergeCell ref="CDK4094:CDT4094"/>
    <mergeCell ref="CDV4094:CEE4094"/>
    <mergeCell ref="CEG4094:CEG4095"/>
    <mergeCell ref="CEI4094:CEN4094"/>
    <mergeCell ref="CEO4094:CEO4095"/>
    <mergeCell ref="CCP4094:CCY4094"/>
    <mergeCell ref="CDA4094:CDA4095"/>
    <mergeCell ref="CDC4094:CDH4094"/>
    <mergeCell ref="CDI4094:CDI4095"/>
    <mergeCell ref="CDJ4094:CDJ4095"/>
    <mergeCell ref="CBU4094:CBU4095"/>
    <mergeCell ref="CBW4094:CCB4094"/>
    <mergeCell ref="CCC4094:CCC4095"/>
    <mergeCell ref="CCD4094:CCD4095"/>
    <mergeCell ref="CCE4094:CCN4094"/>
    <mergeCell ref="CAQ4094:CAV4094"/>
    <mergeCell ref="CAW4094:CAW4095"/>
    <mergeCell ref="CAX4094:CAX4095"/>
    <mergeCell ref="CAY4094:CBH4094"/>
    <mergeCell ref="CBJ4094:CBS4094"/>
    <mergeCell ref="BZQ4094:BZQ4095"/>
    <mergeCell ref="BZR4094:BZR4095"/>
    <mergeCell ref="BZS4094:CAB4094"/>
    <mergeCell ref="CAD4094:CAM4094"/>
    <mergeCell ref="CAO4094:CAO4095"/>
    <mergeCell ref="BYL4094:BYL4095"/>
    <mergeCell ref="BYM4094:BYV4094"/>
    <mergeCell ref="BYX4094:BZG4094"/>
    <mergeCell ref="BZI4094:BZI4095"/>
    <mergeCell ref="BZK4094:BZP4094"/>
    <mergeCell ref="BXG4094:BXP4094"/>
    <mergeCell ref="BXR4094:BYA4094"/>
    <mergeCell ref="BYC4094:BYC4095"/>
    <mergeCell ref="BYE4094:BYJ4094"/>
    <mergeCell ref="BYK4094:BYK4095"/>
    <mergeCell ref="BWL4094:BWU4094"/>
    <mergeCell ref="BWW4094:BWW4095"/>
    <mergeCell ref="BWY4094:BXD4094"/>
    <mergeCell ref="BXE4094:BXE4095"/>
    <mergeCell ref="BXF4094:BXF4095"/>
    <mergeCell ref="BVQ4094:BVQ4095"/>
    <mergeCell ref="BVS4094:BVX4094"/>
    <mergeCell ref="BVY4094:BVY4095"/>
    <mergeCell ref="BVZ4094:BVZ4095"/>
    <mergeCell ref="BWA4094:BWJ4094"/>
    <mergeCell ref="BUM4094:BUR4094"/>
    <mergeCell ref="BUS4094:BUS4095"/>
    <mergeCell ref="BUT4094:BUT4095"/>
    <mergeCell ref="BUU4094:BVD4094"/>
    <mergeCell ref="BVF4094:BVO4094"/>
    <mergeCell ref="BTM4094:BTM4095"/>
    <mergeCell ref="BTN4094:BTN4095"/>
    <mergeCell ref="BTO4094:BTX4094"/>
    <mergeCell ref="BTZ4094:BUI4094"/>
    <mergeCell ref="BUK4094:BUK4095"/>
    <mergeCell ref="BSH4094:BSH4095"/>
    <mergeCell ref="BSI4094:BSR4094"/>
    <mergeCell ref="BST4094:BTC4094"/>
    <mergeCell ref="BTE4094:BTE4095"/>
    <mergeCell ref="BTG4094:BTL4094"/>
    <mergeCell ref="BRC4094:BRL4094"/>
    <mergeCell ref="BRN4094:BRW4094"/>
    <mergeCell ref="BRY4094:BRY4095"/>
    <mergeCell ref="BSA4094:BSF4094"/>
    <mergeCell ref="BSG4094:BSG4095"/>
    <mergeCell ref="BQH4094:BQQ4094"/>
    <mergeCell ref="BQS4094:BQS4095"/>
    <mergeCell ref="BQU4094:BQZ4094"/>
    <mergeCell ref="BRA4094:BRA4095"/>
    <mergeCell ref="BRB4094:BRB4095"/>
    <mergeCell ref="BPM4094:BPM4095"/>
    <mergeCell ref="BPO4094:BPT4094"/>
    <mergeCell ref="BPU4094:BPU4095"/>
    <mergeCell ref="BPV4094:BPV4095"/>
    <mergeCell ref="BPW4094:BQF4094"/>
    <mergeCell ref="BOI4094:BON4094"/>
    <mergeCell ref="BOO4094:BOO4095"/>
    <mergeCell ref="BOP4094:BOP4095"/>
    <mergeCell ref="BOQ4094:BOZ4094"/>
    <mergeCell ref="BPB4094:BPK4094"/>
    <mergeCell ref="BNI4094:BNI4095"/>
    <mergeCell ref="BNJ4094:BNJ4095"/>
    <mergeCell ref="BNK4094:BNT4094"/>
    <mergeCell ref="BNV4094:BOE4094"/>
    <mergeCell ref="BOG4094:BOG4095"/>
    <mergeCell ref="BMD4094:BMD4095"/>
    <mergeCell ref="BME4094:BMN4094"/>
    <mergeCell ref="BMP4094:BMY4094"/>
    <mergeCell ref="BNA4094:BNA4095"/>
    <mergeCell ref="BNC4094:BNH4094"/>
    <mergeCell ref="BKY4094:BLH4094"/>
    <mergeCell ref="BLJ4094:BLS4094"/>
    <mergeCell ref="BLU4094:BLU4095"/>
    <mergeCell ref="BLW4094:BMB4094"/>
    <mergeCell ref="BMC4094:BMC4095"/>
    <mergeCell ref="BKD4094:BKM4094"/>
    <mergeCell ref="BKO4094:BKO4095"/>
    <mergeCell ref="BKQ4094:BKV4094"/>
    <mergeCell ref="BKW4094:BKW4095"/>
    <mergeCell ref="BKX4094:BKX4095"/>
    <mergeCell ref="BJI4094:BJI4095"/>
    <mergeCell ref="BJK4094:BJP4094"/>
    <mergeCell ref="BJQ4094:BJQ4095"/>
    <mergeCell ref="BJR4094:BJR4095"/>
    <mergeCell ref="BJS4094:BKB4094"/>
    <mergeCell ref="BIE4094:BIJ4094"/>
    <mergeCell ref="BIK4094:BIK4095"/>
    <mergeCell ref="BIL4094:BIL4095"/>
    <mergeCell ref="BIM4094:BIV4094"/>
    <mergeCell ref="BIX4094:BJG4094"/>
    <mergeCell ref="BHE4094:BHE4095"/>
    <mergeCell ref="BHF4094:BHF4095"/>
    <mergeCell ref="BHG4094:BHP4094"/>
    <mergeCell ref="BHR4094:BIA4094"/>
    <mergeCell ref="BIC4094:BIC4095"/>
    <mergeCell ref="BFZ4094:BFZ4095"/>
    <mergeCell ref="BGA4094:BGJ4094"/>
    <mergeCell ref="BGL4094:BGU4094"/>
    <mergeCell ref="BGW4094:BGW4095"/>
    <mergeCell ref="BGY4094:BHD4094"/>
    <mergeCell ref="BEU4094:BFD4094"/>
    <mergeCell ref="BFF4094:BFO4094"/>
    <mergeCell ref="BFQ4094:BFQ4095"/>
    <mergeCell ref="BFS4094:BFX4094"/>
    <mergeCell ref="BFY4094:BFY4095"/>
    <mergeCell ref="BDZ4094:BEI4094"/>
    <mergeCell ref="BEK4094:BEK4095"/>
    <mergeCell ref="BEM4094:BER4094"/>
    <mergeCell ref="BES4094:BES4095"/>
    <mergeCell ref="BET4094:BET4095"/>
    <mergeCell ref="BDE4094:BDE4095"/>
    <mergeCell ref="BDG4094:BDL4094"/>
    <mergeCell ref="BDM4094:BDM4095"/>
    <mergeCell ref="BDN4094:BDN4095"/>
    <mergeCell ref="BDO4094:BDX4094"/>
    <mergeCell ref="BCA4094:BCF4094"/>
    <mergeCell ref="BCG4094:BCG4095"/>
    <mergeCell ref="BCH4094:BCH4095"/>
    <mergeCell ref="BCI4094:BCR4094"/>
    <mergeCell ref="BCT4094:BDC4094"/>
    <mergeCell ref="BBA4094:BBA4095"/>
    <mergeCell ref="BBB4094:BBB4095"/>
    <mergeCell ref="BBC4094:BBL4094"/>
    <mergeCell ref="BBN4094:BBW4094"/>
    <mergeCell ref="BBY4094:BBY4095"/>
    <mergeCell ref="AZV4094:AZV4095"/>
    <mergeCell ref="AZW4094:BAF4094"/>
    <mergeCell ref="BAH4094:BAQ4094"/>
    <mergeCell ref="BAS4094:BAS4095"/>
    <mergeCell ref="BAU4094:BAZ4094"/>
    <mergeCell ref="AYQ4094:AYZ4094"/>
    <mergeCell ref="AZB4094:AZK4094"/>
    <mergeCell ref="AZM4094:AZM4095"/>
    <mergeCell ref="AZO4094:AZT4094"/>
    <mergeCell ref="AZU4094:AZU4095"/>
    <mergeCell ref="AXV4094:AYE4094"/>
    <mergeCell ref="AYG4094:AYG4095"/>
    <mergeCell ref="AYI4094:AYN4094"/>
    <mergeCell ref="AYO4094:AYO4095"/>
    <mergeCell ref="AYP4094:AYP4095"/>
    <mergeCell ref="AXA4094:AXA4095"/>
    <mergeCell ref="AXC4094:AXH4094"/>
    <mergeCell ref="AXI4094:AXI4095"/>
    <mergeCell ref="AXJ4094:AXJ4095"/>
    <mergeCell ref="AXK4094:AXT4094"/>
    <mergeCell ref="AVW4094:AWB4094"/>
    <mergeCell ref="AWC4094:AWC4095"/>
    <mergeCell ref="AWD4094:AWD4095"/>
    <mergeCell ref="AWE4094:AWN4094"/>
    <mergeCell ref="AWP4094:AWY4094"/>
    <mergeCell ref="AUW4094:AUW4095"/>
    <mergeCell ref="AUX4094:AUX4095"/>
    <mergeCell ref="AUY4094:AVH4094"/>
    <mergeCell ref="AVJ4094:AVS4094"/>
    <mergeCell ref="AVU4094:AVU4095"/>
    <mergeCell ref="ATR4094:ATR4095"/>
    <mergeCell ref="ATS4094:AUB4094"/>
    <mergeCell ref="AUD4094:AUM4094"/>
    <mergeCell ref="AUO4094:AUO4095"/>
    <mergeCell ref="AUQ4094:AUV4094"/>
    <mergeCell ref="ASM4094:ASV4094"/>
    <mergeCell ref="ASX4094:ATG4094"/>
    <mergeCell ref="ATI4094:ATI4095"/>
    <mergeCell ref="ATK4094:ATP4094"/>
    <mergeCell ref="ATQ4094:ATQ4095"/>
    <mergeCell ref="ARR4094:ASA4094"/>
    <mergeCell ref="ASC4094:ASC4095"/>
    <mergeCell ref="ASE4094:ASJ4094"/>
    <mergeCell ref="ASK4094:ASK4095"/>
    <mergeCell ref="ASL4094:ASL4095"/>
    <mergeCell ref="AQW4094:AQW4095"/>
    <mergeCell ref="AQY4094:ARD4094"/>
    <mergeCell ref="ARE4094:ARE4095"/>
    <mergeCell ref="ARF4094:ARF4095"/>
    <mergeCell ref="ARG4094:ARP4094"/>
    <mergeCell ref="APS4094:APX4094"/>
    <mergeCell ref="APY4094:APY4095"/>
    <mergeCell ref="APZ4094:APZ4095"/>
    <mergeCell ref="AQA4094:AQJ4094"/>
    <mergeCell ref="AQL4094:AQU4094"/>
    <mergeCell ref="AOS4094:AOS4095"/>
    <mergeCell ref="AOT4094:AOT4095"/>
    <mergeCell ref="AOU4094:APD4094"/>
    <mergeCell ref="APF4094:APO4094"/>
    <mergeCell ref="APQ4094:APQ4095"/>
    <mergeCell ref="ANN4094:ANN4095"/>
    <mergeCell ref="ANO4094:ANX4094"/>
    <mergeCell ref="ANZ4094:AOI4094"/>
    <mergeCell ref="AOK4094:AOK4095"/>
    <mergeCell ref="AOM4094:AOR4094"/>
    <mergeCell ref="AMI4094:AMR4094"/>
    <mergeCell ref="AMT4094:ANC4094"/>
    <mergeCell ref="ANE4094:ANE4095"/>
    <mergeCell ref="ANG4094:ANL4094"/>
    <mergeCell ref="ANM4094:ANM4095"/>
    <mergeCell ref="ALN4094:ALW4094"/>
    <mergeCell ref="ALY4094:ALY4095"/>
    <mergeCell ref="AMA4094:AMF4094"/>
    <mergeCell ref="AMG4094:AMG4095"/>
    <mergeCell ref="AMH4094:AMH4095"/>
    <mergeCell ref="AKS4094:AKS4095"/>
    <mergeCell ref="AKU4094:AKZ4094"/>
    <mergeCell ref="ALA4094:ALA4095"/>
    <mergeCell ref="ALB4094:ALB4095"/>
    <mergeCell ref="ALC4094:ALL4094"/>
    <mergeCell ref="AJO4094:AJT4094"/>
    <mergeCell ref="AJU4094:AJU4095"/>
    <mergeCell ref="AJV4094:AJV4095"/>
    <mergeCell ref="AJW4094:AKF4094"/>
    <mergeCell ref="AKH4094:AKQ4094"/>
    <mergeCell ref="AIO4094:AIO4095"/>
    <mergeCell ref="AIP4094:AIP4095"/>
    <mergeCell ref="AIQ4094:AIZ4094"/>
    <mergeCell ref="AJB4094:AJK4094"/>
    <mergeCell ref="AJM4094:AJM4095"/>
    <mergeCell ref="AHJ4094:AHJ4095"/>
    <mergeCell ref="AHK4094:AHT4094"/>
    <mergeCell ref="AHV4094:AIE4094"/>
    <mergeCell ref="AIG4094:AIG4095"/>
    <mergeCell ref="AII4094:AIN4094"/>
    <mergeCell ref="AGE4094:AGN4094"/>
    <mergeCell ref="AGP4094:AGY4094"/>
    <mergeCell ref="AHA4094:AHA4095"/>
    <mergeCell ref="AHC4094:AHH4094"/>
    <mergeCell ref="AHI4094:AHI4095"/>
    <mergeCell ref="AFJ4094:AFS4094"/>
    <mergeCell ref="AFU4094:AFU4095"/>
    <mergeCell ref="AFW4094:AGB4094"/>
    <mergeCell ref="AGC4094:AGC4095"/>
    <mergeCell ref="AGD4094:AGD4095"/>
    <mergeCell ref="AEO4094:AEO4095"/>
    <mergeCell ref="AEQ4094:AEV4094"/>
    <mergeCell ref="AEW4094:AEW4095"/>
    <mergeCell ref="AEX4094:AEX4095"/>
    <mergeCell ref="AEY4094:AFH4094"/>
    <mergeCell ref="ADK4094:ADP4094"/>
    <mergeCell ref="ADQ4094:ADQ4095"/>
    <mergeCell ref="ADR4094:ADR4095"/>
    <mergeCell ref="ADS4094:AEB4094"/>
    <mergeCell ref="AED4094:AEM4094"/>
    <mergeCell ref="ACK4094:ACK4095"/>
    <mergeCell ref="ACL4094:ACL4095"/>
    <mergeCell ref="ACM4094:ACV4094"/>
    <mergeCell ref="ACX4094:ADG4094"/>
    <mergeCell ref="ADI4094:ADI4095"/>
    <mergeCell ref="ABF4094:ABF4095"/>
    <mergeCell ref="ABG4094:ABP4094"/>
    <mergeCell ref="ABR4094:ACA4094"/>
    <mergeCell ref="ACC4094:ACC4095"/>
    <mergeCell ref="ACE4094:ACJ4094"/>
    <mergeCell ref="AAA4094:AAJ4094"/>
    <mergeCell ref="AAL4094:AAU4094"/>
    <mergeCell ref="AAW4094:AAW4095"/>
    <mergeCell ref="AAY4094:ABD4094"/>
    <mergeCell ref="ABE4094:ABE4095"/>
    <mergeCell ref="ZF4094:ZO4094"/>
    <mergeCell ref="ZQ4094:ZQ4095"/>
    <mergeCell ref="ZS4094:ZX4094"/>
    <mergeCell ref="ZY4094:ZY4095"/>
    <mergeCell ref="ZZ4094:ZZ4095"/>
    <mergeCell ref="YK4094:YK4095"/>
    <mergeCell ref="YM4094:YR4094"/>
    <mergeCell ref="YS4094:YS4095"/>
    <mergeCell ref="YT4094:YT4095"/>
    <mergeCell ref="YU4094:ZD4094"/>
    <mergeCell ref="XG4094:XL4094"/>
    <mergeCell ref="XM4094:XM4095"/>
    <mergeCell ref="XN4094:XN4095"/>
    <mergeCell ref="XO4094:XX4094"/>
    <mergeCell ref="XZ4094:YI4094"/>
    <mergeCell ref="WG4094:WG4095"/>
    <mergeCell ref="WH4094:WH4095"/>
    <mergeCell ref="WI4094:WR4094"/>
    <mergeCell ref="WT4094:XC4094"/>
    <mergeCell ref="XE4094:XE4095"/>
    <mergeCell ref="VB4094:VB4095"/>
    <mergeCell ref="VC4094:VL4094"/>
    <mergeCell ref="VN4094:VW4094"/>
    <mergeCell ref="VY4094:VY4095"/>
    <mergeCell ref="WA4094:WF4094"/>
    <mergeCell ref="TW4094:UF4094"/>
    <mergeCell ref="UH4094:UQ4094"/>
    <mergeCell ref="US4094:US4095"/>
    <mergeCell ref="UU4094:UZ4094"/>
    <mergeCell ref="VA4094:VA4095"/>
    <mergeCell ref="TB4094:TK4094"/>
    <mergeCell ref="TM4094:TM4095"/>
    <mergeCell ref="TO4094:TT4094"/>
    <mergeCell ref="TU4094:TU4095"/>
    <mergeCell ref="TV4094:TV4095"/>
    <mergeCell ref="SG4094:SG4095"/>
    <mergeCell ref="SI4094:SN4094"/>
    <mergeCell ref="SO4094:SO4095"/>
    <mergeCell ref="SP4094:SP4095"/>
    <mergeCell ref="SQ4094:SZ4094"/>
    <mergeCell ref="RC4094:RH4094"/>
    <mergeCell ref="RI4094:RI4095"/>
    <mergeCell ref="RJ4094:RJ4095"/>
    <mergeCell ref="RK4094:RT4094"/>
    <mergeCell ref="RV4094:SE4094"/>
    <mergeCell ref="QC4094:QC4095"/>
    <mergeCell ref="QD4094:QD4095"/>
    <mergeCell ref="QE4094:QN4094"/>
    <mergeCell ref="QP4094:QY4094"/>
    <mergeCell ref="RA4094:RA4095"/>
    <mergeCell ref="OX4094:OX4095"/>
    <mergeCell ref="OY4094:PH4094"/>
    <mergeCell ref="PJ4094:PS4094"/>
    <mergeCell ref="PU4094:PU4095"/>
    <mergeCell ref="PW4094:QB4094"/>
    <mergeCell ref="NS4094:OB4094"/>
    <mergeCell ref="OD4094:OM4094"/>
    <mergeCell ref="OO4094:OO4095"/>
    <mergeCell ref="OQ4094:OV4094"/>
    <mergeCell ref="OW4094:OW4095"/>
    <mergeCell ref="MX4094:NG4094"/>
    <mergeCell ref="NI4094:NI4095"/>
    <mergeCell ref="NK4094:NP4094"/>
    <mergeCell ref="NQ4094:NQ4095"/>
    <mergeCell ref="NR4094:NR4095"/>
    <mergeCell ref="MC4094:MC4095"/>
    <mergeCell ref="ME4094:MJ4094"/>
    <mergeCell ref="MK4094:MK4095"/>
    <mergeCell ref="ML4094:ML4095"/>
    <mergeCell ref="MM4094:MV4094"/>
    <mergeCell ref="KY4094:LD4094"/>
    <mergeCell ref="LE4094:LE4095"/>
    <mergeCell ref="LF4094:LF4095"/>
    <mergeCell ref="LG4094:LP4094"/>
    <mergeCell ref="LR4094:MA4094"/>
    <mergeCell ref="JY4094:JY4095"/>
    <mergeCell ref="JZ4094:JZ4095"/>
    <mergeCell ref="KA4094:KJ4094"/>
    <mergeCell ref="KL4094:KU4094"/>
    <mergeCell ref="KW4094:KW4095"/>
    <mergeCell ref="IT4094:IT4095"/>
    <mergeCell ref="IU4094:JD4094"/>
    <mergeCell ref="JF4094:JO4094"/>
    <mergeCell ref="JQ4094:JQ4095"/>
    <mergeCell ref="JS4094:JX4094"/>
    <mergeCell ref="HO4094:HX4094"/>
    <mergeCell ref="HZ4094:II4094"/>
    <mergeCell ref="IK4094:IK4095"/>
    <mergeCell ref="IM4094:IR4094"/>
    <mergeCell ref="IS4094:IS4095"/>
    <mergeCell ref="GT4094:HC4094"/>
    <mergeCell ref="HE4094:HE4095"/>
    <mergeCell ref="HG4094:HL4094"/>
    <mergeCell ref="HM4094:HM4095"/>
    <mergeCell ref="HN4094:HN4095"/>
    <mergeCell ref="FY4094:FY4095"/>
    <mergeCell ref="GA4094:GF4094"/>
    <mergeCell ref="GG4094:GG4095"/>
    <mergeCell ref="GH4094:GH4095"/>
    <mergeCell ref="GI4094:GR4094"/>
    <mergeCell ref="EU4094:EZ4094"/>
    <mergeCell ref="FA4094:FA4095"/>
    <mergeCell ref="FB4094:FB4095"/>
    <mergeCell ref="FC4094:FL4094"/>
    <mergeCell ref="FN4094:FW4094"/>
    <mergeCell ref="DU4094:DU4095"/>
    <mergeCell ref="DV4094:DV4095"/>
    <mergeCell ref="DW4094:EF4094"/>
    <mergeCell ref="EH4094:EQ4094"/>
    <mergeCell ref="ES4094:ES4095"/>
    <mergeCell ref="CP4094:CP4095"/>
    <mergeCell ref="CQ4094:CZ4094"/>
    <mergeCell ref="DB4094:DK4094"/>
    <mergeCell ref="DM4094:DM4095"/>
    <mergeCell ref="DO4094:DT4094"/>
    <mergeCell ref="BK4094:BT4094"/>
    <mergeCell ref="BV4094:CE4094"/>
    <mergeCell ref="CG4094:CG4095"/>
    <mergeCell ref="CI4094:CN4094"/>
    <mergeCell ref="CO4094:CO4095"/>
    <mergeCell ref="AP4094:AY4094"/>
    <mergeCell ref="BA4094:BA4095"/>
    <mergeCell ref="BC4094:BH4094"/>
    <mergeCell ref="BI4094:BI4095"/>
    <mergeCell ref="BJ4094:BJ4095"/>
    <mergeCell ref="AC4094:AC4095"/>
    <mergeCell ref="AD4094:AD4095"/>
    <mergeCell ref="AE4094:AN4094"/>
    <mergeCell ref="WZU4092:XAZ4092"/>
    <mergeCell ref="XBA4092:XCF4092"/>
    <mergeCell ref="XCG4092:XDL4092"/>
    <mergeCell ref="XDM4092:XER4092"/>
    <mergeCell ref="WTQ4092:WUV4092"/>
    <mergeCell ref="WUW4092:WWB4092"/>
    <mergeCell ref="WWC4092:WXH4092"/>
    <mergeCell ref="WXI4092:WYN4092"/>
    <mergeCell ref="WYO4092:WZT4092"/>
    <mergeCell ref="WNM4092:WOR4092"/>
    <mergeCell ref="WOS4092:WPX4092"/>
    <mergeCell ref="WPY4092:WRD4092"/>
    <mergeCell ref="WRE4092:WSJ4092"/>
    <mergeCell ref="WSK4092:WTP4092"/>
    <mergeCell ref="WHI4092:WIN4092"/>
    <mergeCell ref="WIO4092:WJT4092"/>
    <mergeCell ref="WJU4092:WKZ4092"/>
    <mergeCell ref="WLA4092:WMF4092"/>
    <mergeCell ref="WMG4092:WNL4092"/>
    <mergeCell ref="WBE4092:WCJ4092"/>
    <mergeCell ref="WCK4092:WDP4092"/>
    <mergeCell ref="WDQ4092:WEV4092"/>
    <mergeCell ref="WEW4092:WGB4092"/>
    <mergeCell ref="WGC4092:WHH4092"/>
    <mergeCell ref="VVA4092:VWF4092"/>
    <mergeCell ref="VWG4092:VXL4092"/>
    <mergeCell ref="VXM4092:VYR4092"/>
    <mergeCell ref="VYS4092:VZX4092"/>
    <mergeCell ref="VZY4092:WBD4092"/>
    <mergeCell ref="VOW4092:VQB4092"/>
    <mergeCell ref="VQC4092:VRH4092"/>
    <mergeCell ref="VRI4092:VSN4092"/>
    <mergeCell ref="VSO4092:VTT4092"/>
    <mergeCell ref="VTU4092:VUZ4092"/>
    <mergeCell ref="VIS4092:VJX4092"/>
    <mergeCell ref="VJY4092:VLD4092"/>
    <mergeCell ref="VLE4092:VMJ4092"/>
    <mergeCell ref="VMK4092:VNP4092"/>
    <mergeCell ref="VNQ4092:VOV4092"/>
    <mergeCell ref="VCO4092:VDT4092"/>
    <mergeCell ref="VDU4092:VEZ4092"/>
    <mergeCell ref="VFA4092:VGF4092"/>
    <mergeCell ref="VGG4092:VHL4092"/>
    <mergeCell ref="VHM4092:VIR4092"/>
    <mergeCell ref="UWK4092:UXP4092"/>
    <mergeCell ref="UXQ4092:UYV4092"/>
    <mergeCell ref="UYW4092:VAB4092"/>
    <mergeCell ref="VAC4092:VBH4092"/>
    <mergeCell ref="VBI4092:VCN4092"/>
    <mergeCell ref="UQG4092:URL4092"/>
    <mergeCell ref="URM4092:USR4092"/>
    <mergeCell ref="USS4092:UTX4092"/>
    <mergeCell ref="UTY4092:UVD4092"/>
    <mergeCell ref="UVE4092:UWJ4092"/>
    <mergeCell ref="UKC4092:ULH4092"/>
    <mergeCell ref="ULI4092:UMN4092"/>
    <mergeCell ref="UMO4092:UNT4092"/>
    <mergeCell ref="UNU4092:UOZ4092"/>
    <mergeCell ref="UPA4092:UQF4092"/>
    <mergeCell ref="UDY4092:UFD4092"/>
    <mergeCell ref="UFE4092:UGJ4092"/>
    <mergeCell ref="UGK4092:UHP4092"/>
    <mergeCell ref="UHQ4092:UIV4092"/>
    <mergeCell ref="UIW4092:UKB4092"/>
    <mergeCell ref="TXU4092:TYZ4092"/>
    <mergeCell ref="TZA4092:UAF4092"/>
    <mergeCell ref="UAG4092:UBL4092"/>
    <mergeCell ref="UBM4092:UCR4092"/>
    <mergeCell ref="UCS4092:UDX4092"/>
    <mergeCell ref="TRQ4092:TSV4092"/>
    <mergeCell ref="TSW4092:TUB4092"/>
    <mergeCell ref="TUC4092:TVH4092"/>
    <mergeCell ref="TVI4092:TWN4092"/>
    <mergeCell ref="TWO4092:TXT4092"/>
    <mergeCell ref="TLM4092:TMR4092"/>
    <mergeCell ref="TMS4092:TNX4092"/>
    <mergeCell ref="TNY4092:TPD4092"/>
    <mergeCell ref="TPE4092:TQJ4092"/>
    <mergeCell ref="TQK4092:TRP4092"/>
    <mergeCell ref="TFI4092:TGN4092"/>
    <mergeCell ref="TGO4092:THT4092"/>
    <mergeCell ref="THU4092:TIZ4092"/>
    <mergeCell ref="TJA4092:TKF4092"/>
    <mergeCell ref="TKG4092:TLL4092"/>
    <mergeCell ref="SZE4092:TAJ4092"/>
    <mergeCell ref="TAK4092:TBP4092"/>
    <mergeCell ref="TBQ4092:TCV4092"/>
    <mergeCell ref="TCW4092:TEB4092"/>
    <mergeCell ref="TEC4092:TFH4092"/>
    <mergeCell ref="STA4092:SUF4092"/>
    <mergeCell ref="SUG4092:SVL4092"/>
    <mergeCell ref="SVM4092:SWR4092"/>
    <mergeCell ref="SWS4092:SXX4092"/>
    <mergeCell ref="SXY4092:SZD4092"/>
    <mergeCell ref="SMW4092:SOB4092"/>
    <mergeCell ref="SOC4092:SPH4092"/>
    <mergeCell ref="SPI4092:SQN4092"/>
    <mergeCell ref="SQO4092:SRT4092"/>
    <mergeCell ref="SRU4092:SSZ4092"/>
    <mergeCell ref="SGS4092:SHX4092"/>
    <mergeCell ref="SHY4092:SJD4092"/>
    <mergeCell ref="SJE4092:SKJ4092"/>
    <mergeCell ref="SKK4092:SLP4092"/>
    <mergeCell ref="SLQ4092:SMV4092"/>
    <mergeCell ref="SAO4092:SBT4092"/>
    <mergeCell ref="SBU4092:SCZ4092"/>
    <mergeCell ref="SDA4092:SEF4092"/>
    <mergeCell ref="SEG4092:SFL4092"/>
    <mergeCell ref="SFM4092:SGR4092"/>
    <mergeCell ref="RUK4092:RVP4092"/>
    <mergeCell ref="RVQ4092:RWV4092"/>
    <mergeCell ref="RWW4092:RYB4092"/>
    <mergeCell ref="RYC4092:RZH4092"/>
    <mergeCell ref="RZI4092:SAN4092"/>
    <mergeCell ref="ROG4092:RPL4092"/>
    <mergeCell ref="RPM4092:RQR4092"/>
    <mergeCell ref="RQS4092:RRX4092"/>
    <mergeCell ref="RRY4092:RTD4092"/>
    <mergeCell ref="RTE4092:RUJ4092"/>
    <mergeCell ref="RIC4092:RJH4092"/>
    <mergeCell ref="RJI4092:RKN4092"/>
    <mergeCell ref="RKO4092:RLT4092"/>
    <mergeCell ref="RLU4092:RMZ4092"/>
    <mergeCell ref="RNA4092:ROF4092"/>
    <mergeCell ref="RBY4092:RDD4092"/>
    <mergeCell ref="RDE4092:REJ4092"/>
    <mergeCell ref="REK4092:RFP4092"/>
    <mergeCell ref="RFQ4092:RGV4092"/>
    <mergeCell ref="RGW4092:RIB4092"/>
    <mergeCell ref="QVU4092:QWZ4092"/>
    <mergeCell ref="QXA4092:QYF4092"/>
    <mergeCell ref="QYG4092:QZL4092"/>
    <mergeCell ref="QZM4092:RAR4092"/>
    <mergeCell ref="RAS4092:RBX4092"/>
    <mergeCell ref="QPQ4092:QQV4092"/>
    <mergeCell ref="QQW4092:QSB4092"/>
    <mergeCell ref="QSC4092:QTH4092"/>
    <mergeCell ref="QTI4092:QUN4092"/>
    <mergeCell ref="QUO4092:QVT4092"/>
    <mergeCell ref="QJM4092:QKR4092"/>
    <mergeCell ref="QKS4092:QLX4092"/>
    <mergeCell ref="QLY4092:QND4092"/>
    <mergeCell ref="QNE4092:QOJ4092"/>
    <mergeCell ref="QOK4092:QPP4092"/>
    <mergeCell ref="QDI4092:QEN4092"/>
    <mergeCell ref="QEO4092:QFT4092"/>
    <mergeCell ref="QFU4092:QGZ4092"/>
    <mergeCell ref="QHA4092:QIF4092"/>
    <mergeCell ref="QIG4092:QJL4092"/>
    <mergeCell ref="PXE4092:PYJ4092"/>
    <mergeCell ref="PYK4092:PZP4092"/>
    <mergeCell ref="PZQ4092:QAV4092"/>
    <mergeCell ref="QAW4092:QCB4092"/>
    <mergeCell ref="QCC4092:QDH4092"/>
    <mergeCell ref="PRA4092:PSF4092"/>
    <mergeCell ref="PSG4092:PTL4092"/>
    <mergeCell ref="PTM4092:PUR4092"/>
    <mergeCell ref="PUS4092:PVX4092"/>
    <mergeCell ref="PVY4092:PXD4092"/>
    <mergeCell ref="PKW4092:PMB4092"/>
    <mergeCell ref="PMC4092:PNH4092"/>
    <mergeCell ref="PNI4092:PON4092"/>
    <mergeCell ref="POO4092:PPT4092"/>
    <mergeCell ref="PPU4092:PQZ4092"/>
    <mergeCell ref="PES4092:PFX4092"/>
    <mergeCell ref="PFY4092:PHD4092"/>
    <mergeCell ref="PHE4092:PIJ4092"/>
    <mergeCell ref="PIK4092:PJP4092"/>
    <mergeCell ref="PJQ4092:PKV4092"/>
    <mergeCell ref="OYO4092:OZT4092"/>
    <mergeCell ref="OZU4092:PAZ4092"/>
    <mergeCell ref="PBA4092:PCF4092"/>
    <mergeCell ref="PCG4092:PDL4092"/>
    <mergeCell ref="PDM4092:PER4092"/>
    <mergeCell ref="OSK4092:OTP4092"/>
    <mergeCell ref="OTQ4092:OUV4092"/>
    <mergeCell ref="OUW4092:OWB4092"/>
    <mergeCell ref="OWC4092:OXH4092"/>
    <mergeCell ref="OXI4092:OYN4092"/>
    <mergeCell ref="OMG4092:ONL4092"/>
    <mergeCell ref="ONM4092:OOR4092"/>
    <mergeCell ref="OOS4092:OPX4092"/>
    <mergeCell ref="OPY4092:ORD4092"/>
    <mergeCell ref="ORE4092:OSJ4092"/>
    <mergeCell ref="OGC4092:OHH4092"/>
    <mergeCell ref="OHI4092:OIN4092"/>
    <mergeCell ref="OIO4092:OJT4092"/>
    <mergeCell ref="OJU4092:OKZ4092"/>
    <mergeCell ref="OLA4092:OMF4092"/>
    <mergeCell ref="NZY4092:OBD4092"/>
    <mergeCell ref="OBE4092:OCJ4092"/>
    <mergeCell ref="OCK4092:ODP4092"/>
    <mergeCell ref="ODQ4092:OEV4092"/>
    <mergeCell ref="OEW4092:OGB4092"/>
    <mergeCell ref="NTU4092:NUZ4092"/>
    <mergeCell ref="NVA4092:NWF4092"/>
    <mergeCell ref="NWG4092:NXL4092"/>
    <mergeCell ref="NXM4092:NYR4092"/>
    <mergeCell ref="NYS4092:NZX4092"/>
    <mergeCell ref="NNQ4092:NOV4092"/>
    <mergeCell ref="NOW4092:NQB4092"/>
    <mergeCell ref="NQC4092:NRH4092"/>
    <mergeCell ref="NRI4092:NSN4092"/>
    <mergeCell ref="NSO4092:NTT4092"/>
    <mergeCell ref="NHM4092:NIR4092"/>
    <mergeCell ref="NIS4092:NJX4092"/>
    <mergeCell ref="NJY4092:NLD4092"/>
    <mergeCell ref="NLE4092:NMJ4092"/>
    <mergeCell ref="NMK4092:NNP4092"/>
    <mergeCell ref="NBI4092:NCN4092"/>
    <mergeCell ref="NCO4092:NDT4092"/>
    <mergeCell ref="NDU4092:NEZ4092"/>
    <mergeCell ref="NFA4092:NGF4092"/>
    <mergeCell ref="NGG4092:NHL4092"/>
    <mergeCell ref="MVE4092:MWJ4092"/>
    <mergeCell ref="MWK4092:MXP4092"/>
    <mergeCell ref="MXQ4092:MYV4092"/>
    <mergeCell ref="MYW4092:NAB4092"/>
    <mergeCell ref="NAC4092:NBH4092"/>
    <mergeCell ref="MPA4092:MQF4092"/>
    <mergeCell ref="MQG4092:MRL4092"/>
    <mergeCell ref="MRM4092:MSR4092"/>
    <mergeCell ref="MSS4092:MTX4092"/>
    <mergeCell ref="MTY4092:MVD4092"/>
    <mergeCell ref="MIW4092:MKB4092"/>
    <mergeCell ref="MKC4092:MLH4092"/>
    <mergeCell ref="MLI4092:MMN4092"/>
    <mergeCell ref="MMO4092:MNT4092"/>
    <mergeCell ref="MNU4092:MOZ4092"/>
    <mergeCell ref="MCS4092:MDX4092"/>
    <mergeCell ref="MDY4092:MFD4092"/>
    <mergeCell ref="MFE4092:MGJ4092"/>
    <mergeCell ref="MGK4092:MHP4092"/>
    <mergeCell ref="MHQ4092:MIV4092"/>
    <mergeCell ref="LWO4092:LXT4092"/>
    <mergeCell ref="LXU4092:LYZ4092"/>
    <mergeCell ref="LZA4092:MAF4092"/>
    <mergeCell ref="MAG4092:MBL4092"/>
    <mergeCell ref="MBM4092:MCR4092"/>
    <mergeCell ref="LQK4092:LRP4092"/>
    <mergeCell ref="LRQ4092:LSV4092"/>
    <mergeCell ref="LSW4092:LUB4092"/>
    <mergeCell ref="LUC4092:LVH4092"/>
    <mergeCell ref="LVI4092:LWN4092"/>
    <mergeCell ref="LKG4092:LLL4092"/>
    <mergeCell ref="LLM4092:LMR4092"/>
    <mergeCell ref="LMS4092:LNX4092"/>
    <mergeCell ref="LNY4092:LPD4092"/>
    <mergeCell ref="LPE4092:LQJ4092"/>
    <mergeCell ref="LEC4092:LFH4092"/>
    <mergeCell ref="LFI4092:LGN4092"/>
    <mergeCell ref="LGO4092:LHT4092"/>
    <mergeCell ref="LHU4092:LIZ4092"/>
    <mergeCell ref="LJA4092:LKF4092"/>
    <mergeCell ref="KXY4092:KZD4092"/>
    <mergeCell ref="KZE4092:LAJ4092"/>
    <mergeCell ref="LAK4092:LBP4092"/>
    <mergeCell ref="LBQ4092:LCV4092"/>
    <mergeCell ref="LCW4092:LEB4092"/>
    <mergeCell ref="KRU4092:KSZ4092"/>
    <mergeCell ref="KTA4092:KUF4092"/>
    <mergeCell ref="KUG4092:KVL4092"/>
    <mergeCell ref="KVM4092:KWR4092"/>
    <mergeCell ref="KWS4092:KXX4092"/>
    <mergeCell ref="KLQ4092:KMV4092"/>
    <mergeCell ref="KMW4092:KOB4092"/>
    <mergeCell ref="KOC4092:KPH4092"/>
    <mergeCell ref="KPI4092:KQN4092"/>
    <mergeCell ref="KQO4092:KRT4092"/>
    <mergeCell ref="KFM4092:KGR4092"/>
    <mergeCell ref="KGS4092:KHX4092"/>
    <mergeCell ref="KHY4092:KJD4092"/>
    <mergeCell ref="KJE4092:KKJ4092"/>
    <mergeCell ref="KKK4092:KLP4092"/>
    <mergeCell ref="JZI4092:KAN4092"/>
    <mergeCell ref="KAO4092:KBT4092"/>
    <mergeCell ref="KBU4092:KCZ4092"/>
    <mergeCell ref="KDA4092:KEF4092"/>
    <mergeCell ref="KEG4092:KFL4092"/>
    <mergeCell ref="JTE4092:JUJ4092"/>
    <mergeCell ref="JUK4092:JVP4092"/>
    <mergeCell ref="JVQ4092:JWV4092"/>
    <mergeCell ref="JWW4092:JYB4092"/>
    <mergeCell ref="JYC4092:JZH4092"/>
    <mergeCell ref="JNA4092:JOF4092"/>
    <mergeCell ref="JOG4092:JPL4092"/>
    <mergeCell ref="JPM4092:JQR4092"/>
    <mergeCell ref="JQS4092:JRX4092"/>
    <mergeCell ref="JRY4092:JTD4092"/>
    <mergeCell ref="JGW4092:JIB4092"/>
    <mergeCell ref="JIC4092:JJH4092"/>
    <mergeCell ref="JJI4092:JKN4092"/>
    <mergeCell ref="JKO4092:JLT4092"/>
    <mergeCell ref="JLU4092:JMZ4092"/>
    <mergeCell ref="JAS4092:JBX4092"/>
    <mergeCell ref="JBY4092:JDD4092"/>
    <mergeCell ref="JDE4092:JEJ4092"/>
    <mergeCell ref="JEK4092:JFP4092"/>
    <mergeCell ref="JFQ4092:JGV4092"/>
    <mergeCell ref="IUO4092:IVT4092"/>
    <mergeCell ref="IVU4092:IWZ4092"/>
    <mergeCell ref="IXA4092:IYF4092"/>
    <mergeCell ref="IYG4092:IZL4092"/>
    <mergeCell ref="IZM4092:JAR4092"/>
    <mergeCell ref="IOK4092:IPP4092"/>
    <mergeCell ref="IPQ4092:IQV4092"/>
    <mergeCell ref="IQW4092:ISB4092"/>
    <mergeCell ref="ISC4092:ITH4092"/>
    <mergeCell ref="ITI4092:IUN4092"/>
    <mergeCell ref="IIG4092:IJL4092"/>
    <mergeCell ref="IJM4092:IKR4092"/>
    <mergeCell ref="IKS4092:ILX4092"/>
    <mergeCell ref="ILY4092:IND4092"/>
    <mergeCell ref="INE4092:IOJ4092"/>
    <mergeCell ref="ICC4092:IDH4092"/>
    <mergeCell ref="IDI4092:IEN4092"/>
    <mergeCell ref="IEO4092:IFT4092"/>
    <mergeCell ref="IFU4092:IGZ4092"/>
    <mergeCell ref="IHA4092:IIF4092"/>
    <mergeCell ref="HVY4092:HXD4092"/>
    <mergeCell ref="HXE4092:HYJ4092"/>
    <mergeCell ref="HYK4092:HZP4092"/>
    <mergeCell ref="HZQ4092:IAV4092"/>
    <mergeCell ref="IAW4092:ICB4092"/>
    <mergeCell ref="HPU4092:HQZ4092"/>
    <mergeCell ref="HRA4092:HSF4092"/>
    <mergeCell ref="HSG4092:HTL4092"/>
    <mergeCell ref="HTM4092:HUR4092"/>
    <mergeCell ref="HUS4092:HVX4092"/>
    <mergeCell ref="HJQ4092:HKV4092"/>
    <mergeCell ref="HKW4092:HMB4092"/>
    <mergeCell ref="HMC4092:HNH4092"/>
    <mergeCell ref="HNI4092:HON4092"/>
    <mergeCell ref="HOO4092:HPT4092"/>
    <mergeCell ref="HDM4092:HER4092"/>
    <mergeCell ref="HES4092:HFX4092"/>
    <mergeCell ref="HFY4092:HHD4092"/>
    <mergeCell ref="HHE4092:HIJ4092"/>
    <mergeCell ref="HIK4092:HJP4092"/>
    <mergeCell ref="GXI4092:GYN4092"/>
    <mergeCell ref="GYO4092:GZT4092"/>
    <mergeCell ref="GZU4092:HAZ4092"/>
    <mergeCell ref="HBA4092:HCF4092"/>
    <mergeCell ref="HCG4092:HDL4092"/>
    <mergeCell ref="GRE4092:GSJ4092"/>
    <mergeCell ref="GSK4092:GTP4092"/>
    <mergeCell ref="GTQ4092:GUV4092"/>
    <mergeCell ref="GUW4092:GWB4092"/>
    <mergeCell ref="GWC4092:GXH4092"/>
    <mergeCell ref="GLA4092:GMF4092"/>
    <mergeCell ref="GMG4092:GNL4092"/>
    <mergeCell ref="GNM4092:GOR4092"/>
    <mergeCell ref="GOS4092:GPX4092"/>
    <mergeCell ref="GPY4092:GRD4092"/>
    <mergeCell ref="GEW4092:GGB4092"/>
    <mergeCell ref="GGC4092:GHH4092"/>
    <mergeCell ref="GHI4092:GIN4092"/>
    <mergeCell ref="GIO4092:GJT4092"/>
    <mergeCell ref="GJU4092:GKZ4092"/>
    <mergeCell ref="FYS4092:FZX4092"/>
    <mergeCell ref="FZY4092:GBD4092"/>
    <mergeCell ref="GBE4092:GCJ4092"/>
    <mergeCell ref="GCK4092:GDP4092"/>
    <mergeCell ref="GDQ4092:GEV4092"/>
    <mergeCell ref="FSO4092:FTT4092"/>
    <mergeCell ref="FTU4092:FUZ4092"/>
    <mergeCell ref="FVA4092:FWF4092"/>
    <mergeCell ref="FWG4092:FXL4092"/>
    <mergeCell ref="FXM4092:FYR4092"/>
    <mergeCell ref="FMK4092:FNP4092"/>
    <mergeCell ref="FNQ4092:FOV4092"/>
    <mergeCell ref="FOW4092:FQB4092"/>
    <mergeCell ref="FQC4092:FRH4092"/>
    <mergeCell ref="FRI4092:FSN4092"/>
    <mergeCell ref="FGG4092:FHL4092"/>
    <mergeCell ref="FHM4092:FIR4092"/>
    <mergeCell ref="FIS4092:FJX4092"/>
    <mergeCell ref="FJY4092:FLD4092"/>
    <mergeCell ref="FLE4092:FMJ4092"/>
    <mergeCell ref="FAC4092:FBH4092"/>
    <mergeCell ref="FBI4092:FCN4092"/>
    <mergeCell ref="FCO4092:FDT4092"/>
    <mergeCell ref="FDU4092:FEZ4092"/>
    <mergeCell ref="FFA4092:FGF4092"/>
    <mergeCell ref="ETY4092:EVD4092"/>
    <mergeCell ref="EVE4092:EWJ4092"/>
    <mergeCell ref="EWK4092:EXP4092"/>
    <mergeCell ref="EXQ4092:EYV4092"/>
    <mergeCell ref="EYW4092:FAB4092"/>
    <mergeCell ref="ENU4092:EOZ4092"/>
    <mergeCell ref="EPA4092:EQF4092"/>
    <mergeCell ref="EQG4092:ERL4092"/>
    <mergeCell ref="ERM4092:ESR4092"/>
    <mergeCell ref="ESS4092:ETX4092"/>
    <mergeCell ref="EHQ4092:EIV4092"/>
    <mergeCell ref="EIW4092:EKB4092"/>
    <mergeCell ref="EKC4092:ELH4092"/>
    <mergeCell ref="ELI4092:EMN4092"/>
    <mergeCell ref="EMO4092:ENT4092"/>
    <mergeCell ref="EBM4092:ECR4092"/>
    <mergeCell ref="ECS4092:EDX4092"/>
    <mergeCell ref="EDY4092:EFD4092"/>
    <mergeCell ref="EFE4092:EGJ4092"/>
    <mergeCell ref="EGK4092:EHP4092"/>
    <mergeCell ref="DVI4092:DWN4092"/>
    <mergeCell ref="DWO4092:DXT4092"/>
    <mergeCell ref="DXU4092:DYZ4092"/>
    <mergeCell ref="DZA4092:EAF4092"/>
    <mergeCell ref="EAG4092:EBL4092"/>
    <mergeCell ref="DPE4092:DQJ4092"/>
    <mergeCell ref="DQK4092:DRP4092"/>
    <mergeCell ref="DRQ4092:DSV4092"/>
    <mergeCell ref="DSW4092:DUB4092"/>
    <mergeCell ref="DUC4092:DVH4092"/>
    <mergeCell ref="DJA4092:DKF4092"/>
    <mergeCell ref="DKG4092:DLL4092"/>
    <mergeCell ref="DLM4092:DMR4092"/>
    <mergeCell ref="DMS4092:DNX4092"/>
    <mergeCell ref="DNY4092:DPD4092"/>
    <mergeCell ref="DCW4092:DEB4092"/>
    <mergeCell ref="DEC4092:DFH4092"/>
    <mergeCell ref="DFI4092:DGN4092"/>
    <mergeCell ref="DGO4092:DHT4092"/>
    <mergeCell ref="DHU4092:DIZ4092"/>
    <mergeCell ref="CWS4092:CXX4092"/>
    <mergeCell ref="CXY4092:CZD4092"/>
    <mergeCell ref="CZE4092:DAJ4092"/>
    <mergeCell ref="DAK4092:DBP4092"/>
    <mergeCell ref="DBQ4092:DCV4092"/>
    <mergeCell ref="CQO4092:CRT4092"/>
    <mergeCell ref="CRU4092:CSZ4092"/>
    <mergeCell ref="CTA4092:CUF4092"/>
    <mergeCell ref="CUG4092:CVL4092"/>
    <mergeCell ref="CVM4092:CWR4092"/>
    <mergeCell ref="CKK4092:CLP4092"/>
    <mergeCell ref="CLQ4092:CMV4092"/>
    <mergeCell ref="CMW4092:COB4092"/>
    <mergeCell ref="COC4092:CPH4092"/>
    <mergeCell ref="CPI4092:CQN4092"/>
    <mergeCell ref="CEG4092:CFL4092"/>
    <mergeCell ref="CFM4092:CGR4092"/>
    <mergeCell ref="CGS4092:CHX4092"/>
    <mergeCell ref="CHY4092:CJD4092"/>
    <mergeCell ref="CJE4092:CKJ4092"/>
    <mergeCell ref="BYC4092:BZH4092"/>
    <mergeCell ref="BZI4092:CAN4092"/>
    <mergeCell ref="CAO4092:CBT4092"/>
    <mergeCell ref="CBU4092:CCZ4092"/>
    <mergeCell ref="CDA4092:CEF4092"/>
    <mergeCell ref="BRY4092:BTD4092"/>
    <mergeCell ref="BTE4092:BUJ4092"/>
    <mergeCell ref="BUK4092:BVP4092"/>
    <mergeCell ref="BVQ4092:BWV4092"/>
    <mergeCell ref="BWW4092:BYB4092"/>
    <mergeCell ref="BLU4092:BMZ4092"/>
    <mergeCell ref="BNA4092:BOF4092"/>
    <mergeCell ref="BOG4092:BPL4092"/>
    <mergeCell ref="BPM4092:BQR4092"/>
    <mergeCell ref="BQS4092:BRX4092"/>
    <mergeCell ref="BFQ4092:BGV4092"/>
    <mergeCell ref="BGW4092:BIB4092"/>
    <mergeCell ref="BIC4092:BJH4092"/>
    <mergeCell ref="BJI4092:BKN4092"/>
    <mergeCell ref="BKO4092:BLT4092"/>
    <mergeCell ref="AZM4092:BAR4092"/>
    <mergeCell ref="BAS4092:BBX4092"/>
    <mergeCell ref="BBY4092:BDD4092"/>
    <mergeCell ref="BDE4092:BEJ4092"/>
    <mergeCell ref="BEK4092:BFP4092"/>
    <mergeCell ref="ATI4092:AUN4092"/>
    <mergeCell ref="AUO4092:AVT4092"/>
    <mergeCell ref="AVU4092:AWZ4092"/>
    <mergeCell ref="AXA4092:AYF4092"/>
    <mergeCell ref="AYG4092:AZL4092"/>
    <mergeCell ref="ANE4092:AOJ4092"/>
    <mergeCell ref="AOK4092:APP4092"/>
    <mergeCell ref="APQ4092:AQV4092"/>
    <mergeCell ref="AQW4092:ASB4092"/>
    <mergeCell ref="ASC4092:ATH4092"/>
    <mergeCell ref="AHA4092:AIF4092"/>
    <mergeCell ref="AIG4092:AJL4092"/>
    <mergeCell ref="AJM4092:AKR4092"/>
    <mergeCell ref="AKS4092:ALX4092"/>
    <mergeCell ref="ALY4092:AND4092"/>
    <mergeCell ref="AAW4092:ACB4092"/>
    <mergeCell ref="ACC4092:ADH4092"/>
    <mergeCell ref="ADI4092:AEN4092"/>
    <mergeCell ref="AEO4092:AFT4092"/>
    <mergeCell ref="AFU4092:AGZ4092"/>
    <mergeCell ref="US4092:VX4092"/>
    <mergeCell ref="VY4092:XD4092"/>
    <mergeCell ref="XE4092:YJ4092"/>
    <mergeCell ref="YK4092:ZP4092"/>
    <mergeCell ref="ZQ4092:AAV4092"/>
    <mergeCell ref="OO4092:PT4092"/>
    <mergeCell ref="PU4092:QZ4092"/>
    <mergeCell ref="RA4092:SF4092"/>
    <mergeCell ref="SG4092:TL4092"/>
    <mergeCell ref="TM4092:UR4092"/>
    <mergeCell ref="IK4092:JP4092"/>
    <mergeCell ref="JQ4092:KV4092"/>
    <mergeCell ref="KW4092:MB4092"/>
    <mergeCell ref="MC4092:NH4092"/>
    <mergeCell ref="NI4092:ON4092"/>
    <mergeCell ref="CG4092:DL4092"/>
    <mergeCell ref="DM4092:ER4092"/>
    <mergeCell ref="ES4092:FX4092"/>
    <mergeCell ref="FY4092:HD4092"/>
    <mergeCell ref="HE4092:IJ4092"/>
    <mergeCell ref="BA4092:CF4092"/>
    <mergeCell ref="XDV3424:XDV3425"/>
    <mergeCell ref="XDW3424:XEF3424"/>
    <mergeCell ref="WVR3424:WWA3424"/>
    <mergeCell ref="WWC3424:WWC3425"/>
    <mergeCell ref="WWE3424:WWJ3424"/>
    <mergeCell ref="WWK3424:WWK3425"/>
    <mergeCell ref="WWL3424:WWL3425"/>
    <mergeCell ref="WUW3424:WUW3425"/>
    <mergeCell ref="WUY3424:WVD3424"/>
    <mergeCell ref="WVE3424:WVE3425"/>
    <mergeCell ref="WVF3424:WVF3425"/>
    <mergeCell ref="WVG3424:WVP3424"/>
    <mergeCell ref="WTS3424:WTX3424"/>
    <mergeCell ref="WTY3424:WTY3425"/>
    <mergeCell ref="WTZ3424:WTZ3425"/>
    <mergeCell ref="WUA3424:WUJ3424"/>
    <mergeCell ref="WUL3424:WUU3424"/>
    <mergeCell ref="WSS3424:WSS3425"/>
    <mergeCell ref="WST3424:WST3425"/>
    <mergeCell ref="WSU3424:WTD3424"/>
    <mergeCell ref="WTF3424:WTO3424"/>
    <mergeCell ref="WTQ3424:WTQ3425"/>
    <mergeCell ref="WRN3424:WRN3425"/>
    <mergeCell ref="WRO3424:WRX3424"/>
    <mergeCell ref="WRZ3424:WSI3424"/>
    <mergeCell ref="WSK3424:WSK3425"/>
    <mergeCell ref="WSM3424:WSR3424"/>
    <mergeCell ref="WQI3424:WQR3424"/>
    <mergeCell ref="WQT3424:WRC3424"/>
    <mergeCell ref="WRE3424:WRE3425"/>
    <mergeCell ref="WRG3424:WRL3424"/>
    <mergeCell ref="WRM3424:WRM3425"/>
    <mergeCell ref="WPN3424:WPW3424"/>
    <mergeCell ref="WPY3424:WPY3425"/>
    <mergeCell ref="WQA3424:WQF3424"/>
    <mergeCell ref="WQG3424:WQG3425"/>
    <mergeCell ref="WQH3424:WQH3425"/>
    <mergeCell ref="WOS3424:WOS3425"/>
    <mergeCell ref="WOU3424:WOZ3424"/>
    <mergeCell ref="WPA3424:WPA3425"/>
    <mergeCell ref="WPB3424:WPB3425"/>
    <mergeCell ref="WPC3424:WPL3424"/>
    <mergeCell ref="WNO3424:WNT3424"/>
    <mergeCell ref="WNU3424:WNU3425"/>
    <mergeCell ref="WNV3424:WNV3425"/>
    <mergeCell ref="WNW3424:WOF3424"/>
    <mergeCell ref="WOH3424:WOQ3424"/>
    <mergeCell ref="WMO3424:WMO3425"/>
    <mergeCell ref="WMP3424:WMP3425"/>
    <mergeCell ref="WMQ3424:WMZ3424"/>
    <mergeCell ref="WNB3424:WNK3424"/>
    <mergeCell ref="WNM3424:WNM3425"/>
    <mergeCell ref="WLJ3424:WLJ3425"/>
    <mergeCell ref="XEH3424:XEQ3424"/>
    <mergeCell ref="XCQ3424:XCZ3424"/>
    <mergeCell ref="XDB3424:XDK3424"/>
    <mergeCell ref="XDM3424:XDM3425"/>
    <mergeCell ref="XDO3424:XDT3424"/>
    <mergeCell ref="XDU3424:XDU3425"/>
    <mergeCell ref="XBV3424:XCE3424"/>
    <mergeCell ref="XCG3424:XCG3425"/>
    <mergeCell ref="XCI3424:XCN3424"/>
    <mergeCell ref="XCO3424:XCO3425"/>
    <mergeCell ref="XCP3424:XCP3425"/>
    <mergeCell ref="XBA3424:XBA3425"/>
    <mergeCell ref="XBC3424:XBH3424"/>
    <mergeCell ref="XBI3424:XBI3425"/>
    <mergeCell ref="XBJ3424:XBJ3425"/>
    <mergeCell ref="XBK3424:XBT3424"/>
    <mergeCell ref="WZW3424:XAB3424"/>
    <mergeCell ref="XAC3424:XAC3425"/>
    <mergeCell ref="XAD3424:XAD3425"/>
    <mergeCell ref="XAE3424:XAN3424"/>
    <mergeCell ref="XAP3424:XAY3424"/>
    <mergeCell ref="WYW3424:WYW3425"/>
    <mergeCell ref="WYX3424:WYX3425"/>
    <mergeCell ref="WYY3424:WZH3424"/>
    <mergeCell ref="WZJ3424:WZS3424"/>
    <mergeCell ref="WZU3424:WZU3425"/>
    <mergeCell ref="WXR3424:WXR3425"/>
    <mergeCell ref="WXS3424:WYB3424"/>
    <mergeCell ref="WYD3424:WYM3424"/>
    <mergeCell ref="WYO3424:WYO3425"/>
    <mergeCell ref="WYQ3424:WYV3424"/>
    <mergeCell ref="WWM3424:WWV3424"/>
    <mergeCell ref="WWX3424:WXG3424"/>
    <mergeCell ref="WXI3424:WXI3425"/>
    <mergeCell ref="WXK3424:WXP3424"/>
    <mergeCell ref="WXQ3424:WXQ3425"/>
    <mergeCell ref="WLK3424:WLT3424"/>
    <mergeCell ref="WLV3424:WME3424"/>
    <mergeCell ref="WMG3424:WMG3425"/>
    <mergeCell ref="WMI3424:WMN3424"/>
    <mergeCell ref="WKE3424:WKN3424"/>
    <mergeCell ref="WKP3424:WKY3424"/>
    <mergeCell ref="WLA3424:WLA3425"/>
    <mergeCell ref="WLC3424:WLH3424"/>
    <mergeCell ref="WLI3424:WLI3425"/>
    <mergeCell ref="WJJ3424:WJS3424"/>
    <mergeCell ref="WJU3424:WJU3425"/>
    <mergeCell ref="WJW3424:WKB3424"/>
    <mergeCell ref="WKC3424:WKC3425"/>
    <mergeCell ref="WKD3424:WKD3425"/>
    <mergeCell ref="WIO3424:WIO3425"/>
    <mergeCell ref="WIQ3424:WIV3424"/>
    <mergeCell ref="WIW3424:WIW3425"/>
    <mergeCell ref="WIX3424:WIX3425"/>
    <mergeCell ref="WIY3424:WJH3424"/>
    <mergeCell ref="WHK3424:WHP3424"/>
    <mergeCell ref="WHQ3424:WHQ3425"/>
    <mergeCell ref="WHR3424:WHR3425"/>
    <mergeCell ref="WHS3424:WIB3424"/>
    <mergeCell ref="WID3424:WIM3424"/>
    <mergeCell ref="WGK3424:WGK3425"/>
    <mergeCell ref="WGL3424:WGL3425"/>
    <mergeCell ref="WGM3424:WGV3424"/>
    <mergeCell ref="WGX3424:WHG3424"/>
    <mergeCell ref="WHI3424:WHI3425"/>
    <mergeCell ref="WFF3424:WFF3425"/>
    <mergeCell ref="WFG3424:WFP3424"/>
    <mergeCell ref="WFR3424:WGA3424"/>
    <mergeCell ref="WGC3424:WGC3425"/>
    <mergeCell ref="WGE3424:WGJ3424"/>
    <mergeCell ref="WEA3424:WEJ3424"/>
    <mergeCell ref="WEL3424:WEU3424"/>
    <mergeCell ref="WEW3424:WEW3425"/>
    <mergeCell ref="WEY3424:WFD3424"/>
    <mergeCell ref="WFE3424:WFE3425"/>
    <mergeCell ref="WDF3424:WDO3424"/>
    <mergeCell ref="WDQ3424:WDQ3425"/>
    <mergeCell ref="WDS3424:WDX3424"/>
    <mergeCell ref="WDY3424:WDY3425"/>
    <mergeCell ref="WDZ3424:WDZ3425"/>
    <mergeCell ref="WCK3424:WCK3425"/>
    <mergeCell ref="WCM3424:WCR3424"/>
    <mergeCell ref="WCS3424:WCS3425"/>
    <mergeCell ref="WCT3424:WCT3425"/>
    <mergeCell ref="WCU3424:WDD3424"/>
    <mergeCell ref="WBG3424:WBL3424"/>
    <mergeCell ref="WBM3424:WBM3425"/>
    <mergeCell ref="WBN3424:WBN3425"/>
    <mergeCell ref="WBO3424:WBX3424"/>
    <mergeCell ref="WBZ3424:WCI3424"/>
    <mergeCell ref="WAG3424:WAG3425"/>
    <mergeCell ref="WAH3424:WAH3425"/>
    <mergeCell ref="WAI3424:WAR3424"/>
    <mergeCell ref="WAT3424:WBC3424"/>
    <mergeCell ref="WBE3424:WBE3425"/>
    <mergeCell ref="VZB3424:VZB3425"/>
    <mergeCell ref="VZC3424:VZL3424"/>
    <mergeCell ref="VZN3424:VZW3424"/>
    <mergeCell ref="VZY3424:VZY3425"/>
    <mergeCell ref="WAA3424:WAF3424"/>
    <mergeCell ref="VXW3424:VYF3424"/>
    <mergeCell ref="VYH3424:VYQ3424"/>
    <mergeCell ref="VYS3424:VYS3425"/>
    <mergeCell ref="VYU3424:VYZ3424"/>
    <mergeCell ref="VZA3424:VZA3425"/>
    <mergeCell ref="VXB3424:VXK3424"/>
    <mergeCell ref="VXM3424:VXM3425"/>
    <mergeCell ref="VXO3424:VXT3424"/>
    <mergeCell ref="VXU3424:VXU3425"/>
    <mergeCell ref="VXV3424:VXV3425"/>
    <mergeCell ref="VWG3424:VWG3425"/>
    <mergeCell ref="VWI3424:VWN3424"/>
    <mergeCell ref="VWO3424:VWO3425"/>
    <mergeCell ref="VWP3424:VWP3425"/>
    <mergeCell ref="VWQ3424:VWZ3424"/>
    <mergeCell ref="VVC3424:VVH3424"/>
    <mergeCell ref="VVI3424:VVI3425"/>
    <mergeCell ref="VVJ3424:VVJ3425"/>
    <mergeCell ref="VVK3424:VVT3424"/>
    <mergeCell ref="VVV3424:VWE3424"/>
    <mergeCell ref="VUC3424:VUC3425"/>
    <mergeCell ref="VUD3424:VUD3425"/>
    <mergeCell ref="VUE3424:VUN3424"/>
    <mergeCell ref="VUP3424:VUY3424"/>
    <mergeCell ref="VVA3424:VVA3425"/>
    <mergeCell ref="VSX3424:VSX3425"/>
    <mergeCell ref="VSY3424:VTH3424"/>
    <mergeCell ref="VTJ3424:VTS3424"/>
    <mergeCell ref="VTU3424:VTU3425"/>
    <mergeCell ref="VTW3424:VUB3424"/>
    <mergeCell ref="VRS3424:VSB3424"/>
    <mergeCell ref="VSD3424:VSM3424"/>
    <mergeCell ref="VSO3424:VSO3425"/>
    <mergeCell ref="VSQ3424:VSV3424"/>
    <mergeCell ref="VSW3424:VSW3425"/>
    <mergeCell ref="VQX3424:VRG3424"/>
    <mergeCell ref="VRI3424:VRI3425"/>
    <mergeCell ref="VRK3424:VRP3424"/>
    <mergeCell ref="VRQ3424:VRQ3425"/>
    <mergeCell ref="VRR3424:VRR3425"/>
    <mergeCell ref="VQC3424:VQC3425"/>
    <mergeCell ref="VQE3424:VQJ3424"/>
    <mergeCell ref="VQK3424:VQK3425"/>
    <mergeCell ref="VQL3424:VQL3425"/>
    <mergeCell ref="VQM3424:VQV3424"/>
    <mergeCell ref="VOY3424:VPD3424"/>
    <mergeCell ref="VPE3424:VPE3425"/>
    <mergeCell ref="VPF3424:VPF3425"/>
    <mergeCell ref="VPG3424:VPP3424"/>
    <mergeCell ref="VPR3424:VQA3424"/>
    <mergeCell ref="VNY3424:VNY3425"/>
    <mergeCell ref="VNZ3424:VNZ3425"/>
    <mergeCell ref="VOA3424:VOJ3424"/>
    <mergeCell ref="VOL3424:VOU3424"/>
    <mergeCell ref="VOW3424:VOW3425"/>
    <mergeCell ref="VMT3424:VMT3425"/>
    <mergeCell ref="VMU3424:VND3424"/>
    <mergeCell ref="VNF3424:VNO3424"/>
    <mergeCell ref="VNQ3424:VNQ3425"/>
    <mergeCell ref="VNS3424:VNX3424"/>
    <mergeCell ref="VLO3424:VLX3424"/>
    <mergeCell ref="VLZ3424:VMI3424"/>
    <mergeCell ref="VMK3424:VMK3425"/>
    <mergeCell ref="VMM3424:VMR3424"/>
    <mergeCell ref="VMS3424:VMS3425"/>
    <mergeCell ref="VKT3424:VLC3424"/>
    <mergeCell ref="VLE3424:VLE3425"/>
    <mergeCell ref="VLG3424:VLL3424"/>
    <mergeCell ref="VLM3424:VLM3425"/>
    <mergeCell ref="VLN3424:VLN3425"/>
    <mergeCell ref="VJY3424:VJY3425"/>
    <mergeCell ref="VKA3424:VKF3424"/>
    <mergeCell ref="VKG3424:VKG3425"/>
    <mergeCell ref="VKH3424:VKH3425"/>
    <mergeCell ref="VKI3424:VKR3424"/>
    <mergeCell ref="VIU3424:VIZ3424"/>
    <mergeCell ref="VJA3424:VJA3425"/>
    <mergeCell ref="VJB3424:VJB3425"/>
    <mergeCell ref="VJC3424:VJL3424"/>
    <mergeCell ref="VJN3424:VJW3424"/>
    <mergeCell ref="VHU3424:VHU3425"/>
    <mergeCell ref="VHV3424:VHV3425"/>
    <mergeCell ref="VHW3424:VIF3424"/>
    <mergeCell ref="VIH3424:VIQ3424"/>
    <mergeCell ref="VIS3424:VIS3425"/>
    <mergeCell ref="VGP3424:VGP3425"/>
    <mergeCell ref="VGQ3424:VGZ3424"/>
    <mergeCell ref="VHB3424:VHK3424"/>
    <mergeCell ref="VHM3424:VHM3425"/>
    <mergeCell ref="VHO3424:VHT3424"/>
    <mergeCell ref="VFK3424:VFT3424"/>
    <mergeCell ref="VFV3424:VGE3424"/>
    <mergeCell ref="VGG3424:VGG3425"/>
    <mergeCell ref="VGI3424:VGN3424"/>
    <mergeCell ref="VGO3424:VGO3425"/>
    <mergeCell ref="VEP3424:VEY3424"/>
    <mergeCell ref="VFA3424:VFA3425"/>
    <mergeCell ref="VFC3424:VFH3424"/>
    <mergeCell ref="VFI3424:VFI3425"/>
    <mergeCell ref="VFJ3424:VFJ3425"/>
    <mergeCell ref="VDU3424:VDU3425"/>
    <mergeCell ref="VDW3424:VEB3424"/>
    <mergeCell ref="VEC3424:VEC3425"/>
    <mergeCell ref="VED3424:VED3425"/>
    <mergeCell ref="VEE3424:VEN3424"/>
    <mergeCell ref="VCQ3424:VCV3424"/>
    <mergeCell ref="VCW3424:VCW3425"/>
    <mergeCell ref="VCX3424:VCX3425"/>
    <mergeCell ref="VCY3424:VDH3424"/>
    <mergeCell ref="VDJ3424:VDS3424"/>
    <mergeCell ref="VBQ3424:VBQ3425"/>
    <mergeCell ref="VBR3424:VBR3425"/>
    <mergeCell ref="VBS3424:VCB3424"/>
    <mergeCell ref="VCD3424:VCM3424"/>
    <mergeCell ref="VCO3424:VCO3425"/>
    <mergeCell ref="VAL3424:VAL3425"/>
    <mergeCell ref="VAM3424:VAV3424"/>
    <mergeCell ref="VAX3424:VBG3424"/>
    <mergeCell ref="VBI3424:VBI3425"/>
    <mergeCell ref="VBK3424:VBP3424"/>
    <mergeCell ref="UZG3424:UZP3424"/>
    <mergeCell ref="UZR3424:VAA3424"/>
    <mergeCell ref="VAC3424:VAC3425"/>
    <mergeCell ref="VAE3424:VAJ3424"/>
    <mergeCell ref="VAK3424:VAK3425"/>
    <mergeCell ref="UYL3424:UYU3424"/>
    <mergeCell ref="UYW3424:UYW3425"/>
    <mergeCell ref="UYY3424:UZD3424"/>
    <mergeCell ref="UZE3424:UZE3425"/>
    <mergeCell ref="UZF3424:UZF3425"/>
    <mergeCell ref="UXQ3424:UXQ3425"/>
    <mergeCell ref="UXS3424:UXX3424"/>
    <mergeCell ref="UXY3424:UXY3425"/>
    <mergeCell ref="UXZ3424:UXZ3425"/>
    <mergeCell ref="UYA3424:UYJ3424"/>
    <mergeCell ref="UWM3424:UWR3424"/>
    <mergeCell ref="UWS3424:UWS3425"/>
    <mergeCell ref="UWT3424:UWT3425"/>
    <mergeCell ref="UWU3424:UXD3424"/>
    <mergeCell ref="UXF3424:UXO3424"/>
    <mergeCell ref="UVM3424:UVM3425"/>
    <mergeCell ref="UVN3424:UVN3425"/>
    <mergeCell ref="UVO3424:UVX3424"/>
    <mergeCell ref="UVZ3424:UWI3424"/>
    <mergeCell ref="UWK3424:UWK3425"/>
    <mergeCell ref="UUH3424:UUH3425"/>
    <mergeCell ref="UUI3424:UUR3424"/>
    <mergeCell ref="UUT3424:UVC3424"/>
    <mergeCell ref="UVE3424:UVE3425"/>
    <mergeCell ref="UVG3424:UVL3424"/>
    <mergeCell ref="UTC3424:UTL3424"/>
    <mergeCell ref="UTN3424:UTW3424"/>
    <mergeCell ref="UTY3424:UTY3425"/>
    <mergeCell ref="UUA3424:UUF3424"/>
    <mergeCell ref="UUG3424:UUG3425"/>
    <mergeCell ref="USH3424:USQ3424"/>
    <mergeCell ref="USS3424:USS3425"/>
    <mergeCell ref="USU3424:USZ3424"/>
    <mergeCell ref="UTA3424:UTA3425"/>
    <mergeCell ref="UTB3424:UTB3425"/>
    <mergeCell ref="URM3424:URM3425"/>
    <mergeCell ref="URO3424:URT3424"/>
    <mergeCell ref="URU3424:URU3425"/>
    <mergeCell ref="URV3424:URV3425"/>
    <mergeCell ref="URW3424:USF3424"/>
    <mergeCell ref="UQI3424:UQN3424"/>
    <mergeCell ref="UQO3424:UQO3425"/>
    <mergeCell ref="UQP3424:UQP3425"/>
    <mergeCell ref="UQQ3424:UQZ3424"/>
    <mergeCell ref="URB3424:URK3424"/>
    <mergeCell ref="UPI3424:UPI3425"/>
    <mergeCell ref="UPJ3424:UPJ3425"/>
    <mergeCell ref="UPK3424:UPT3424"/>
    <mergeCell ref="UPV3424:UQE3424"/>
    <mergeCell ref="UQG3424:UQG3425"/>
    <mergeCell ref="UOD3424:UOD3425"/>
    <mergeCell ref="UOE3424:UON3424"/>
    <mergeCell ref="UOP3424:UOY3424"/>
    <mergeCell ref="UPA3424:UPA3425"/>
    <mergeCell ref="UPC3424:UPH3424"/>
    <mergeCell ref="UMY3424:UNH3424"/>
    <mergeCell ref="UNJ3424:UNS3424"/>
    <mergeCell ref="UNU3424:UNU3425"/>
    <mergeCell ref="UNW3424:UOB3424"/>
    <mergeCell ref="UOC3424:UOC3425"/>
    <mergeCell ref="UMD3424:UMM3424"/>
    <mergeCell ref="UMO3424:UMO3425"/>
    <mergeCell ref="UMQ3424:UMV3424"/>
    <mergeCell ref="UMW3424:UMW3425"/>
    <mergeCell ref="UMX3424:UMX3425"/>
    <mergeCell ref="ULI3424:ULI3425"/>
    <mergeCell ref="ULK3424:ULP3424"/>
    <mergeCell ref="ULQ3424:ULQ3425"/>
    <mergeCell ref="ULR3424:ULR3425"/>
    <mergeCell ref="ULS3424:UMB3424"/>
    <mergeCell ref="UKE3424:UKJ3424"/>
    <mergeCell ref="UKK3424:UKK3425"/>
    <mergeCell ref="UKL3424:UKL3425"/>
    <mergeCell ref="UKM3424:UKV3424"/>
    <mergeCell ref="UKX3424:ULG3424"/>
    <mergeCell ref="UJE3424:UJE3425"/>
    <mergeCell ref="UJF3424:UJF3425"/>
    <mergeCell ref="UJG3424:UJP3424"/>
    <mergeCell ref="UJR3424:UKA3424"/>
    <mergeCell ref="UKC3424:UKC3425"/>
    <mergeCell ref="UHZ3424:UHZ3425"/>
    <mergeCell ref="UIA3424:UIJ3424"/>
    <mergeCell ref="UIL3424:UIU3424"/>
    <mergeCell ref="UIW3424:UIW3425"/>
    <mergeCell ref="UIY3424:UJD3424"/>
    <mergeCell ref="UGU3424:UHD3424"/>
    <mergeCell ref="UHF3424:UHO3424"/>
    <mergeCell ref="UHQ3424:UHQ3425"/>
    <mergeCell ref="UHS3424:UHX3424"/>
    <mergeCell ref="UHY3424:UHY3425"/>
    <mergeCell ref="UFZ3424:UGI3424"/>
    <mergeCell ref="UGK3424:UGK3425"/>
    <mergeCell ref="UGM3424:UGR3424"/>
    <mergeCell ref="UGS3424:UGS3425"/>
    <mergeCell ref="UGT3424:UGT3425"/>
    <mergeCell ref="UFE3424:UFE3425"/>
    <mergeCell ref="UFG3424:UFL3424"/>
    <mergeCell ref="UFM3424:UFM3425"/>
    <mergeCell ref="UFN3424:UFN3425"/>
    <mergeCell ref="UFO3424:UFX3424"/>
    <mergeCell ref="UEA3424:UEF3424"/>
    <mergeCell ref="UEG3424:UEG3425"/>
    <mergeCell ref="UEH3424:UEH3425"/>
    <mergeCell ref="UEI3424:UER3424"/>
    <mergeCell ref="UET3424:UFC3424"/>
    <mergeCell ref="UDA3424:UDA3425"/>
    <mergeCell ref="UDB3424:UDB3425"/>
    <mergeCell ref="UDC3424:UDL3424"/>
    <mergeCell ref="UDN3424:UDW3424"/>
    <mergeCell ref="UDY3424:UDY3425"/>
    <mergeCell ref="UBV3424:UBV3425"/>
    <mergeCell ref="UBW3424:UCF3424"/>
    <mergeCell ref="UCH3424:UCQ3424"/>
    <mergeCell ref="UCS3424:UCS3425"/>
    <mergeCell ref="UCU3424:UCZ3424"/>
    <mergeCell ref="UAQ3424:UAZ3424"/>
    <mergeCell ref="UBB3424:UBK3424"/>
    <mergeCell ref="UBM3424:UBM3425"/>
    <mergeCell ref="UBO3424:UBT3424"/>
    <mergeCell ref="UBU3424:UBU3425"/>
    <mergeCell ref="TZV3424:UAE3424"/>
    <mergeCell ref="UAG3424:UAG3425"/>
    <mergeCell ref="UAI3424:UAN3424"/>
    <mergeCell ref="UAO3424:UAO3425"/>
    <mergeCell ref="UAP3424:UAP3425"/>
    <mergeCell ref="TZA3424:TZA3425"/>
    <mergeCell ref="TZC3424:TZH3424"/>
    <mergeCell ref="TZI3424:TZI3425"/>
    <mergeCell ref="TZJ3424:TZJ3425"/>
    <mergeCell ref="TZK3424:TZT3424"/>
    <mergeCell ref="TXW3424:TYB3424"/>
    <mergeCell ref="TYC3424:TYC3425"/>
    <mergeCell ref="TYD3424:TYD3425"/>
    <mergeCell ref="TYE3424:TYN3424"/>
    <mergeCell ref="TYP3424:TYY3424"/>
    <mergeCell ref="TWW3424:TWW3425"/>
    <mergeCell ref="TWX3424:TWX3425"/>
    <mergeCell ref="TWY3424:TXH3424"/>
    <mergeCell ref="TXJ3424:TXS3424"/>
    <mergeCell ref="TXU3424:TXU3425"/>
    <mergeCell ref="TVR3424:TVR3425"/>
    <mergeCell ref="TVS3424:TWB3424"/>
    <mergeCell ref="TWD3424:TWM3424"/>
    <mergeCell ref="TWO3424:TWO3425"/>
    <mergeCell ref="TWQ3424:TWV3424"/>
    <mergeCell ref="TUM3424:TUV3424"/>
    <mergeCell ref="TUX3424:TVG3424"/>
    <mergeCell ref="TVI3424:TVI3425"/>
    <mergeCell ref="TVK3424:TVP3424"/>
    <mergeCell ref="TVQ3424:TVQ3425"/>
    <mergeCell ref="TTR3424:TUA3424"/>
    <mergeCell ref="TUC3424:TUC3425"/>
    <mergeCell ref="TUE3424:TUJ3424"/>
    <mergeCell ref="TUK3424:TUK3425"/>
    <mergeCell ref="TUL3424:TUL3425"/>
    <mergeCell ref="TSW3424:TSW3425"/>
    <mergeCell ref="TSY3424:TTD3424"/>
    <mergeCell ref="TTE3424:TTE3425"/>
    <mergeCell ref="TTF3424:TTF3425"/>
    <mergeCell ref="TTG3424:TTP3424"/>
    <mergeCell ref="TRS3424:TRX3424"/>
    <mergeCell ref="TRY3424:TRY3425"/>
    <mergeCell ref="TRZ3424:TRZ3425"/>
    <mergeCell ref="TSA3424:TSJ3424"/>
    <mergeCell ref="TSL3424:TSU3424"/>
    <mergeCell ref="TQS3424:TQS3425"/>
    <mergeCell ref="TQT3424:TQT3425"/>
    <mergeCell ref="TQU3424:TRD3424"/>
    <mergeCell ref="TRF3424:TRO3424"/>
    <mergeCell ref="TRQ3424:TRQ3425"/>
    <mergeCell ref="TPN3424:TPN3425"/>
    <mergeCell ref="TPO3424:TPX3424"/>
    <mergeCell ref="TPZ3424:TQI3424"/>
    <mergeCell ref="TQK3424:TQK3425"/>
    <mergeCell ref="TQM3424:TQR3424"/>
    <mergeCell ref="TOI3424:TOR3424"/>
    <mergeCell ref="TOT3424:TPC3424"/>
    <mergeCell ref="TPE3424:TPE3425"/>
    <mergeCell ref="TPG3424:TPL3424"/>
    <mergeCell ref="TPM3424:TPM3425"/>
    <mergeCell ref="TNN3424:TNW3424"/>
    <mergeCell ref="TNY3424:TNY3425"/>
    <mergeCell ref="TOA3424:TOF3424"/>
    <mergeCell ref="TOG3424:TOG3425"/>
    <mergeCell ref="TOH3424:TOH3425"/>
    <mergeCell ref="TMS3424:TMS3425"/>
    <mergeCell ref="TMU3424:TMZ3424"/>
    <mergeCell ref="TNA3424:TNA3425"/>
    <mergeCell ref="TNB3424:TNB3425"/>
    <mergeCell ref="TNC3424:TNL3424"/>
    <mergeCell ref="TLO3424:TLT3424"/>
    <mergeCell ref="TLU3424:TLU3425"/>
    <mergeCell ref="TLV3424:TLV3425"/>
    <mergeCell ref="TLW3424:TMF3424"/>
    <mergeCell ref="TMH3424:TMQ3424"/>
    <mergeCell ref="TKO3424:TKO3425"/>
    <mergeCell ref="TKP3424:TKP3425"/>
    <mergeCell ref="TKQ3424:TKZ3424"/>
    <mergeCell ref="TLB3424:TLK3424"/>
    <mergeCell ref="TLM3424:TLM3425"/>
    <mergeCell ref="TJJ3424:TJJ3425"/>
    <mergeCell ref="TJK3424:TJT3424"/>
    <mergeCell ref="TJV3424:TKE3424"/>
    <mergeCell ref="TKG3424:TKG3425"/>
    <mergeCell ref="TKI3424:TKN3424"/>
    <mergeCell ref="TIE3424:TIN3424"/>
    <mergeCell ref="TIP3424:TIY3424"/>
    <mergeCell ref="TJA3424:TJA3425"/>
    <mergeCell ref="TJC3424:TJH3424"/>
    <mergeCell ref="TJI3424:TJI3425"/>
    <mergeCell ref="THJ3424:THS3424"/>
    <mergeCell ref="THU3424:THU3425"/>
    <mergeCell ref="THW3424:TIB3424"/>
    <mergeCell ref="TIC3424:TIC3425"/>
    <mergeCell ref="TID3424:TID3425"/>
    <mergeCell ref="TGO3424:TGO3425"/>
    <mergeCell ref="TGQ3424:TGV3424"/>
    <mergeCell ref="TGW3424:TGW3425"/>
    <mergeCell ref="TGX3424:TGX3425"/>
    <mergeCell ref="TGY3424:THH3424"/>
    <mergeCell ref="TFK3424:TFP3424"/>
    <mergeCell ref="TFQ3424:TFQ3425"/>
    <mergeCell ref="TFR3424:TFR3425"/>
    <mergeCell ref="TFS3424:TGB3424"/>
    <mergeCell ref="TGD3424:TGM3424"/>
    <mergeCell ref="TEK3424:TEK3425"/>
    <mergeCell ref="TEL3424:TEL3425"/>
    <mergeCell ref="TEM3424:TEV3424"/>
    <mergeCell ref="TEX3424:TFG3424"/>
    <mergeCell ref="TFI3424:TFI3425"/>
    <mergeCell ref="TDF3424:TDF3425"/>
    <mergeCell ref="TDG3424:TDP3424"/>
    <mergeCell ref="TDR3424:TEA3424"/>
    <mergeCell ref="TEC3424:TEC3425"/>
    <mergeCell ref="TEE3424:TEJ3424"/>
    <mergeCell ref="TCA3424:TCJ3424"/>
    <mergeCell ref="TCL3424:TCU3424"/>
    <mergeCell ref="TCW3424:TCW3425"/>
    <mergeCell ref="TCY3424:TDD3424"/>
    <mergeCell ref="TDE3424:TDE3425"/>
    <mergeCell ref="TBF3424:TBO3424"/>
    <mergeCell ref="TBQ3424:TBQ3425"/>
    <mergeCell ref="TBS3424:TBX3424"/>
    <mergeCell ref="TBY3424:TBY3425"/>
    <mergeCell ref="TBZ3424:TBZ3425"/>
    <mergeCell ref="TAK3424:TAK3425"/>
    <mergeCell ref="TAM3424:TAR3424"/>
    <mergeCell ref="TAS3424:TAS3425"/>
    <mergeCell ref="TAT3424:TAT3425"/>
    <mergeCell ref="TAU3424:TBD3424"/>
    <mergeCell ref="SZG3424:SZL3424"/>
    <mergeCell ref="SZM3424:SZM3425"/>
    <mergeCell ref="SZN3424:SZN3425"/>
    <mergeCell ref="SZO3424:SZX3424"/>
    <mergeCell ref="SZZ3424:TAI3424"/>
    <mergeCell ref="SYG3424:SYG3425"/>
    <mergeCell ref="SYH3424:SYH3425"/>
    <mergeCell ref="SYI3424:SYR3424"/>
    <mergeCell ref="SYT3424:SZC3424"/>
    <mergeCell ref="SZE3424:SZE3425"/>
    <mergeCell ref="SXB3424:SXB3425"/>
    <mergeCell ref="SXC3424:SXL3424"/>
    <mergeCell ref="SXN3424:SXW3424"/>
    <mergeCell ref="SXY3424:SXY3425"/>
    <mergeCell ref="SYA3424:SYF3424"/>
    <mergeCell ref="SVW3424:SWF3424"/>
    <mergeCell ref="SWH3424:SWQ3424"/>
    <mergeCell ref="SWS3424:SWS3425"/>
    <mergeCell ref="SWU3424:SWZ3424"/>
    <mergeCell ref="SXA3424:SXA3425"/>
    <mergeCell ref="SVB3424:SVK3424"/>
    <mergeCell ref="SVM3424:SVM3425"/>
    <mergeCell ref="SVO3424:SVT3424"/>
    <mergeCell ref="SVU3424:SVU3425"/>
    <mergeCell ref="SVV3424:SVV3425"/>
    <mergeCell ref="SUG3424:SUG3425"/>
    <mergeCell ref="SUI3424:SUN3424"/>
    <mergeCell ref="SUO3424:SUO3425"/>
    <mergeCell ref="SUP3424:SUP3425"/>
    <mergeCell ref="SUQ3424:SUZ3424"/>
    <mergeCell ref="STC3424:STH3424"/>
    <mergeCell ref="STI3424:STI3425"/>
    <mergeCell ref="STJ3424:STJ3425"/>
    <mergeCell ref="STK3424:STT3424"/>
    <mergeCell ref="STV3424:SUE3424"/>
    <mergeCell ref="SSC3424:SSC3425"/>
    <mergeCell ref="SSD3424:SSD3425"/>
    <mergeCell ref="SSE3424:SSN3424"/>
    <mergeCell ref="SSP3424:SSY3424"/>
    <mergeCell ref="STA3424:STA3425"/>
    <mergeCell ref="SQX3424:SQX3425"/>
    <mergeCell ref="SQY3424:SRH3424"/>
    <mergeCell ref="SRJ3424:SRS3424"/>
    <mergeCell ref="SRU3424:SRU3425"/>
    <mergeCell ref="SRW3424:SSB3424"/>
    <mergeCell ref="SPS3424:SQB3424"/>
    <mergeCell ref="SQD3424:SQM3424"/>
    <mergeCell ref="SQO3424:SQO3425"/>
    <mergeCell ref="SQQ3424:SQV3424"/>
    <mergeCell ref="SQW3424:SQW3425"/>
    <mergeCell ref="SOX3424:SPG3424"/>
    <mergeCell ref="SPI3424:SPI3425"/>
    <mergeCell ref="SPK3424:SPP3424"/>
    <mergeCell ref="SPQ3424:SPQ3425"/>
    <mergeCell ref="SPR3424:SPR3425"/>
    <mergeCell ref="SOC3424:SOC3425"/>
    <mergeCell ref="SOE3424:SOJ3424"/>
    <mergeCell ref="SOK3424:SOK3425"/>
    <mergeCell ref="SOL3424:SOL3425"/>
    <mergeCell ref="SOM3424:SOV3424"/>
    <mergeCell ref="SMY3424:SND3424"/>
    <mergeCell ref="SNE3424:SNE3425"/>
    <mergeCell ref="SNF3424:SNF3425"/>
    <mergeCell ref="SNG3424:SNP3424"/>
    <mergeCell ref="SNR3424:SOA3424"/>
    <mergeCell ref="SLY3424:SLY3425"/>
    <mergeCell ref="SLZ3424:SLZ3425"/>
    <mergeCell ref="SMA3424:SMJ3424"/>
    <mergeCell ref="SML3424:SMU3424"/>
    <mergeCell ref="SMW3424:SMW3425"/>
    <mergeCell ref="SKT3424:SKT3425"/>
    <mergeCell ref="SKU3424:SLD3424"/>
    <mergeCell ref="SLF3424:SLO3424"/>
    <mergeCell ref="SLQ3424:SLQ3425"/>
    <mergeCell ref="SLS3424:SLX3424"/>
    <mergeCell ref="SJO3424:SJX3424"/>
    <mergeCell ref="SJZ3424:SKI3424"/>
    <mergeCell ref="SKK3424:SKK3425"/>
    <mergeCell ref="SKM3424:SKR3424"/>
    <mergeCell ref="SKS3424:SKS3425"/>
    <mergeCell ref="SIT3424:SJC3424"/>
    <mergeCell ref="SJE3424:SJE3425"/>
    <mergeCell ref="SJG3424:SJL3424"/>
    <mergeCell ref="SJM3424:SJM3425"/>
    <mergeCell ref="SJN3424:SJN3425"/>
    <mergeCell ref="SHY3424:SHY3425"/>
    <mergeCell ref="SIA3424:SIF3424"/>
    <mergeCell ref="SIG3424:SIG3425"/>
    <mergeCell ref="SIH3424:SIH3425"/>
    <mergeCell ref="SII3424:SIR3424"/>
    <mergeCell ref="SGU3424:SGZ3424"/>
    <mergeCell ref="SHA3424:SHA3425"/>
    <mergeCell ref="SHB3424:SHB3425"/>
    <mergeCell ref="SHC3424:SHL3424"/>
    <mergeCell ref="SHN3424:SHW3424"/>
    <mergeCell ref="SFU3424:SFU3425"/>
    <mergeCell ref="SFV3424:SFV3425"/>
    <mergeCell ref="SFW3424:SGF3424"/>
    <mergeCell ref="SGH3424:SGQ3424"/>
    <mergeCell ref="SGS3424:SGS3425"/>
    <mergeCell ref="SEP3424:SEP3425"/>
    <mergeCell ref="SEQ3424:SEZ3424"/>
    <mergeCell ref="SFB3424:SFK3424"/>
    <mergeCell ref="SFM3424:SFM3425"/>
    <mergeCell ref="SFO3424:SFT3424"/>
    <mergeCell ref="SDK3424:SDT3424"/>
    <mergeCell ref="SDV3424:SEE3424"/>
    <mergeCell ref="SEG3424:SEG3425"/>
    <mergeCell ref="SEI3424:SEN3424"/>
    <mergeCell ref="SEO3424:SEO3425"/>
    <mergeCell ref="SCP3424:SCY3424"/>
    <mergeCell ref="SDA3424:SDA3425"/>
    <mergeCell ref="SDC3424:SDH3424"/>
    <mergeCell ref="SDI3424:SDI3425"/>
    <mergeCell ref="SDJ3424:SDJ3425"/>
    <mergeCell ref="SBU3424:SBU3425"/>
    <mergeCell ref="SBW3424:SCB3424"/>
    <mergeCell ref="SCC3424:SCC3425"/>
    <mergeCell ref="SCD3424:SCD3425"/>
    <mergeCell ref="SCE3424:SCN3424"/>
    <mergeCell ref="SAQ3424:SAV3424"/>
    <mergeCell ref="SAW3424:SAW3425"/>
    <mergeCell ref="SAX3424:SAX3425"/>
    <mergeCell ref="SAY3424:SBH3424"/>
    <mergeCell ref="SBJ3424:SBS3424"/>
    <mergeCell ref="RZQ3424:RZQ3425"/>
    <mergeCell ref="RZR3424:RZR3425"/>
    <mergeCell ref="RZS3424:SAB3424"/>
    <mergeCell ref="SAD3424:SAM3424"/>
    <mergeCell ref="SAO3424:SAO3425"/>
    <mergeCell ref="RYL3424:RYL3425"/>
    <mergeCell ref="RYM3424:RYV3424"/>
    <mergeCell ref="RYX3424:RZG3424"/>
    <mergeCell ref="RZI3424:RZI3425"/>
    <mergeCell ref="RZK3424:RZP3424"/>
    <mergeCell ref="RXG3424:RXP3424"/>
    <mergeCell ref="RXR3424:RYA3424"/>
    <mergeCell ref="RYC3424:RYC3425"/>
    <mergeCell ref="RYE3424:RYJ3424"/>
    <mergeCell ref="RYK3424:RYK3425"/>
    <mergeCell ref="RWL3424:RWU3424"/>
    <mergeCell ref="RWW3424:RWW3425"/>
    <mergeCell ref="RWY3424:RXD3424"/>
    <mergeCell ref="RXE3424:RXE3425"/>
    <mergeCell ref="RXF3424:RXF3425"/>
    <mergeCell ref="RVQ3424:RVQ3425"/>
    <mergeCell ref="RVS3424:RVX3424"/>
    <mergeCell ref="RVY3424:RVY3425"/>
    <mergeCell ref="RVZ3424:RVZ3425"/>
    <mergeCell ref="RWA3424:RWJ3424"/>
    <mergeCell ref="RUM3424:RUR3424"/>
    <mergeCell ref="RUS3424:RUS3425"/>
    <mergeCell ref="RUT3424:RUT3425"/>
    <mergeCell ref="RUU3424:RVD3424"/>
    <mergeCell ref="RVF3424:RVO3424"/>
    <mergeCell ref="RTM3424:RTM3425"/>
    <mergeCell ref="RTN3424:RTN3425"/>
    <mergeCell ref="RTO3424:RTX3424"/>
    <mergeCell ref="RTZ3424:RUI3424"/>
    <mergeCell ref="RUK3424:RUK3425"/>
    <mergeCell ref="RSH3424:RSH3425"/>
    <mergeCell ref="RSI3424:RSR3424"/>
    <mergeCell ref="RST3424:RTC3424"/>
    <mergeCell ref="RTE3424:RTE3425"/>
    <mergeCell ref="RTG3424:RTL3424"/>
    <mergeCell ref="RRC3424:RRL3424"/>
    <mergeCell ref="RRN3424:RRW3424"/>
    <mergeCell ref="RRY3424:RRY3425"/>
    <mergeCell ref="RSA3424:RSF3424"/>
    <mergeCell ref="RSG3424:RSG3425"/>
    <mergeCell ref="RQH3424:RQQ3424"/>
    <mergeCell ref="RQS3424:RQS3425"/>
    <mergeCell ref="RQU3424:RQZ3424"/>
    <mergeCell ref="RRA3424:RRA3425"/>
    <mergeCell ref="RRB3424:RRB3425"/>
    <mergeCell ref="RPM3424:RPM3425"/>
    <mergeCell ref="RPO3424:RPT3424"/>
    <mergeCell ref="RPU3424:RPU3425"/>
    <mergeCell ref="RPV3424:RPV3425"/>
    <mergeCell ref="RPW3424:RQF3424"/>
    <mergeCell ref="ROI3424:RON3424"/>
    <mergeCell ref="ROO3424:ROO3425"/>
    <mergeCell ref="ROP3424:ROP3425"/>
    <mergeCell ref="ROQ3424:ROZ3424"/>
    <mergeCell ref="RPB3424:RPK3424"/>
    <mergeCell ref="RNI3424:RNI3425"/>
    <mergeCell ref="RNJ3424:RNJ3425"/>
    <mergeCell ref="RNK3424:RNT3424"/>
    <mergeCell ref="RNV3424:ROE3424"/>
    <mergeCell ref="ROG3424:ROG3425"/>
    <mergeCell ref="RMD3424:RMD3425"/>
    <mergeCell ref="RME3424:RMN3424"/>
    <mergeCell ref="RMP3424:RMY3424"/>
    <mergeCell ref="RNA3424:RNA3425"/>
    <mergeCell ref="RNC3424:RNH3424"/>
    <mergeCell ref="RKY3424:RLH3424"/>
    <mergeCell ref="RLJ3424:RLS3424"/>
    <mergeCell ref="RLU3424:RLU3425"/>
    <mergeCell ref="RLW3424:RMB3424"/>
    <mergeCell ref="RMC3424:RMC3425"/>
    <mergeCell ref="RKD3424:RKM3424"/>
    <mergeCell ref="RKO3424:RKO3425"/>
    <mergeCell ref="RKQ3424:RKV3424"/>
    <mergeCell ref="RKW3424:RKW3425"/>
    <mergeCell ref="RKX3424:RKX3425"/>
    <mergeCell ref="RJI3424:RJI3425"/>
    <mergeCell ref="RJK3424:RJP3424"/>
    <mergeCell ref="RJQ3424:RJQ3425"/>
    <mergeCell ref="RJR3424:RJR3425"/>
    <mergeCell ref="RJS3424:RKB3424"/>
    <mergeCell ref="RIE3424:RIJ3424"/>
    <mergeCell ref="RIK3424:RIK3425"/>
    <mergeCell ref="RIL3424:RIL3425"/>
    <mergeCell ref="RIM3424:RIV3424"/>
    <mergeCell ref="RIX3424:RJG3424"/>
    <mergeCell ref="RHE3424:RHE3425"/>
    <mergeCell ref="RHF3424:RHF3425"/>
    <mergeCell ref="RHG3424:RHP3424"/>
    <mergeCell ref="RHR3424:RIA3424"/>
    <mergeCell ref="RIC3424:RIC3425"/>
    <mergeCell ref="RFZ3424:RFZ3425"/>
    <mergeCell ref="RGA3424:RGJ3424"/>
    <mergeCell ref="RGL3424:RGU3424"/>
    <mergeCell ref="RGW3424:RGW3425"/>
    <mergeCell ref="RGY3424:RHD3424"/>
    <mergeCell ref="REU3424:RFD3424"/>
    <mergeCell ref="RFF3424:RFO3424"/>
    <mergeCell ref="RFQ3424:RFQ3425"/>
    <mergeCell ref="RFS3424:RFX3424"/>
    <mergeCell ref="RFY3424:RFY3425"/>
    <mergeCell ref="RDZ3424:REI3424"/>
    <mergeCell ref="REK3424:REK3425"/>
    <mergeCell ref="REM3424:RER3424"/>
    <mergeCell ref="RES3424:RES3425"/>
    <mergeCell ref="RET3424:RET3425"/>
    <mergeCell ref="RDE3424:RDE3425"/>
    <mergeCell ref="RDG3424:RDL3424"/>
    <mergeCell ref="RDM3424:RDM3425"/>
    <mergeCell ref="RDN3424:RDN3425"/>
    <mergeCell ref="RDO3424:RDX3424"/>
    <mergeCell ref="RCA3424:RCF3424"/>
    <mergeCell ref="RCG3424:RCG3425"/>
    <mergeCell ref="RCH3424:RCH3425"/>
    <mergeCell ref="RCI3424:RCR3424"/>
    <mergeCell ref="RCT3424:RDC3424"/>
    <mergeCell ref="RBA3424:RBA3425"/>
    <mergeCell ref="RBB3424:RBB3425"/>
    <mergeCell ref="RBC3424:RBL3424"/>
    <mergeCell ref="RBN3424:RBW3424"/>
    <mergeCell ref="RBY3424:RBY3425"/>
    <mergeCell ref="QZV3424:QZV3425"/>
    <mergeCell ref="QZW3424:RAF3424"/>
    <mergeCell ref="RAH3424:RAQ3424"/>
    <mergeCell ref="RAS3424:RAS3425"/>
    <mergeCell ref="RAU3424:RAZ3424"/>
    <mergeCell ref="QYQ3424:QYZ3424"/>
    <mergeCell ref="QZB3424:QZK3424"/>
    <mergeCell ref="QZM3424:QZM3425"/>
    <mergeCell ref="QZO3424:QZT3424"/>
    <mergeCell ref="QZU3424:QZU3425"/>
    <mergeCell ref="QXV3424:QYE3424"/>
    <mergeCell ref="QYG3424:QYG3425"/>
    <mergeCell ref="QYI3424:QYN3424"/>
    <mergeCell ref="QYO3424:QYO3425"/>
    <mergeCell ref="QYP3424:QYP3425"/>
    <mergeCell ref="QXA3424:QXA3425"/>
    <mergeCell ref="QXC3424:QXH3424"/>
    <mergeCell ref="QXI3424:QXI3425"/>
    <mergeCell ref="QXJ3424:QXJ3425"/>
    <mergeCell ref="QXK3424:QXT3424"/>
    <mergeCell ref="QVW3424:QWB3424"/>
    <mergeCell ref="QWC3424:QWC3425"/>
    <mergeCell ref="QWD3424:QWD3425"/>
    <mergeCell ref="QWE3424:QWN3424"/>
    <mergeCell ref="QWP3424:QWY3424"/>
    <mergeCell ref="QUW3424:QUW3425"/>
    <mergeCell ref="QUX3424:QUX3425"/>
    <mergeCell ref="QUY3424:QVH3424"/>
    <mergeCell ref="QVJ3424:QVS3424"/>
    <mergeCell ref="QVU3424:QVU3425"/>
    <mergeCell ref="QTR3424:QTR3425"/>
    <mergeCell ref="QTS3424:QUB3424"/>
    <mergeCell ref="QUD3424:QUM3424"/>
    <mergeCell ref="QUO3424:QUO3425"/>
    <mergeCell ref="QUQ3424:QUV3424"/>
    <mergeCell ref="QSM3424:QSV3424"/>
    <mergeCell ref="QSX3424:QTG3424"/>
    <mergeCell ref="QTI3424:QTI3425"/>
    <mergeCell ref="QTK3424:QTP3424"/>
    <mergeCell ref="QTQ3424:QTQ3425"/>
    <mergeCell ref="QRR3424:QSA3424"/>
    <mergeCell ref="QSC3424:QSC3425"/>
    <mergeCell ref="QSE3424:QSJ3424"/>
    <mergeCell ref="QSK3424:QSK3425"/>
    <mergeCell ref="QSL3424:QSL3425"/>
    <mergeCell ref="QQW3424:QQW3425"/>
    <mergeCell ref="QQY3424:QRD3424"/>
    <mergeCell ref="QRE3424:QRE3425"/>
    <mergeCell ref="QRF3424:QRF3425"/>
    <mergeCell ref="QRG3424:QRP3424"/>
    <mergeCell ref="QPS3424:QPX3424"/>
    <mergeCell ref="QPY3424:QPY3425"/>
    <mergeCell ref="QPZ3424:QPZ3425"/>
    <mergeCell ref="QQA3424:QQJ3424"/>
    <mergeCell ref="QQL3424:QQU3424"/>
    <mergeCell ref="QOS3424:QOS3425"/>
    <mergeCell ref="QOT3424:QOT3425"/>
    <mergeCell ref="QOU3424:QPD3424"/>
    <mergeCell ref="QPF3424:QPO3424"/>
    <mergeCell ref="QPQ3424:QPQ3425"/>
    <mergeCell ref="QNN3424:QNN3425"/>
    <mergeCell ref="QNO3424:QNX3424"/>
    <mergeCell ref="QNZ3424:QOI3424"/>
    <mergeCell ref="QOK3424:QOK3425"/>
    <mergeCell ref="QOM3424:QOR3424"/>
    <mergeCell ref="QMI3424:QMR3424"/>
    <mergeCell ref="QMT3424:QNC3424"/>
    <mergeCell ref="QNE3424:QNE3425"/>
    <mergeCell ref="QNG3424:QNL3424"/>
    <mergeCell ref="QNM3424:QNM3425"/>
    <mergeCell ref="QLN3424:QLW3424"/>
    <mergeCell ref="QLY3424:QLY3425"/>
    <mergeCell ref="QMA3424:QMF3424"/>
    <mergeCell ref="QMG3424:QMG3425"/>
    <mergeCell ref="QMH3424:QMH3425"/>
    <mergeCell ref="QKS3424:QKS3425"/>
    <mergeCell ref="QKU3424:QKZ3424"/>
    <mergeCell ref="QLA3424:QLA3425"/>
    <mergeCell ref="QLB3424:QLB3425"/>
    <mergeCell ref="QLC3424:QLL3424"/>
    <mergeCell ref="QJO3424:QJT3424"/>
    <mergeCell ref="QJU3424:QJU3425"/>
    <mergeCell ref="QJV3424:QJV3425"/>
    <mergeCell ref="QJW3424:QKF3424"/>
    <mergeCell ref="QKH3424:QKQ3424"/>
    <mergeCell ref="QIO3424:QIO3425"/>
    <mergeCell ref="QIP3424:QIP3425"/>
    <mergeCell ref="QIQ3424:QIZ3424"/>
    <mergeCell ref="QJB3424:QJK3424"/>
    <mergeCell ref="QJM3424:QJM3425"/>
    <mergeCell ref="QHJ3424:QHJ3425"/>
    <mergeCell ref="QHK3424:QHT3424"/>
    <mergeCell ref="QHV3424:QIE3424"/>
    <mergeCell ref="QIG3424:QIG3425"/>
    <mergeCell ref="QII3424:QIN3424"/>
    <mergeCell ref="QGE3424:QGN3424"/>
    <mergeCell ref="QGP3424:QGY3424"/>
    <mergeCell ref="QHA3424:QHA3425"/>
    <mergeCell ref="QHC3424:QHH3424"/>
    <mergeCell ref="QHI3424:QHI3425"/>
    <mergeCell ref="QFJ3424:QFS3424"/>
    <mergeCell ref="QFU3424:QFU3425"/>
    <mergeCell ref="QFW3424:QGB3424"/>
    <mergeCell ref="QGC3424:QGC3425"/>
    <mergeCell ref="QGD3424:QGD3425"/>
    <mergeCell ref="QEO3424:QEO3425"/>
    <mergeCell ref="QEQ3424:QEV3424"/>
    <mergeCell ref="QEW3424:QEW3425"/>
    <mergeCell ref="QEX3424:QEX3425"/>
    <mergeCell ref="QEY3424:QFH3424"/>
    <mergeCell ref="QDK3424:QDP3424"/>
    <mergeCell ref="QDQ3424:QDQ3425"/>
    <mergeCell ref="QDR3424:QDR3425"/>
    <mergeCell ref="QDS3424:QEB3424"/>
    <mergeCell ref="QED3424:QEM3424"/>
    <mergeCell ref="QCK3424:QCK3425"/>
    <mergeCell ref="QCL3424:QCL3425"/>
    <mergeCell ref="QCM3424:QCV3424"/>
    <mergeCell ref="QCX3424:QDG3424"/>
    <mergeCell ref="QDI3424:QDI3425"/>
    <mergeCell ref="QBF3424:QBF3425"/>
    <mergeCell ref="QBG3424:QBP3424"/>
    <mergeCell ref="QBR3424:QCA3424"/>
    <mergeCell ref="QCC3424:QCC3425"/>
    <mergeCell ref="QCE3424:QCJ3424"/>
    <mergeCell ref="QAA3424:QAJ3424"/>
    <mergeCell ref="QAL3424:QAU3424"/>
    <mergeCell ref="QAW3424:QAW3425"/>
    <mergeCell ref="QAY3424:QBD3424"/>
    <mergeCell ref="QBE3424:QBE3425"/>
    <mergeCell ref="PZF3424:PZO3424"/>
    <mergeCell ref="PZQ3424:PZQ3425"/>
    <mergeCell ref="PZS3424:PZX3424"/>
    <mergeCell ref="PZY3424:PZY3425"/>
    <mergeCell ref="PZZ3424:PZZ3425"/>
    <mergeCell ref="PYK3424:PYK3425"/>
    <mergeCell ref="PYM3424:PYR3424"/>
    <mergeCell ref="PYS3424:PYS3425"/>
    <mergeCell ref="PYT3424:PYT3425"/>
    <mergeCell ref="PYU3424:PZD3424"/>
    <mergeCell ref="PXG3424:PXL3424"/>
    <mergeCell ref="PXM3424:PXM3425"/>
    <mergeCell ref="PXN3424:PXN3425"/>
    <mergeCell ref="PXO3424:PXX3424"/>
    <mergeCell ref="PXZ3424:PYI3424"/>
    <mergeCell ref="PWG3424:PWG3425"/>
    <mergeCell ref="PWH3424:PWH3425"/>
    <mergeCell ref="PWI3424:PWR3424"/>
    <mergeCell ref="PWT3424:PXC3424"/>
    <mergeCell ref="PXE3424:PXE3425"/>
    <mergeCell ref="PVB3424:PVB3425"/>
    <mergeCell ref="PVC3424:PVL3424"/>
    <mergeCell ref="PVN3424:PVW3424"/>
    <mergeCell ref="PVY3424:PVY3425"/>
    <mergeCell ref="PWA3424:PWF3424"/>
    <mergeCell ref="PTW3424:PUF3424"/>
    <mergeCell ref="PUH3424:PUQ3424"/>
    <mergeCell ref="PUS3424:PUS3425"/>
    <mergeCell ref="PUU3424:PUZ3424"/>
    <mergeCell ref="PVA3424:PVA3425"/>
    <mergeCell ref="PTB3424:PTK3424"/>
    <mergeCell ref="PTM3424:PTM3425"/>
    <mergeCell ref="PTO3424:PTT3424"/>
    <mergeCell ref="PTU3424:PTU3425"/>
    <mergeCell ref="PTV3424:PTV3425"/>
    <mergeCell ref="PSG3424:PSG3425"/>
    <mergeCell ref="PSI3424:PSN3424"/>
    <mergeCell ref="PSO3424:PSO3425"/>
    <mergeCell ref="PSP3424:PSP3425"/>
    <mergeCell ref="PSQ3424:PSZ3424"/>
    <mergeCell ref="PRC3424:PRH3424"/>
    <mergeCell ref="PRI3424:PRI3425"/>
    <mergeCell ref="PRJ3424:PRJ3425"/>
    <mergeCell ref="PRK3424:PRT3424"/>
    <mergeCell ref="PRV3424:PSE3424"/>
    <mergeCell ref="PQC3424:PQC3425"/>
    <mergeCell ref="PQD3424:PQD3425"/>
    <mergeCell ref="PQE3424:PQN3424"/>
    <mergeCell ref="PQP3424:PQY3424"/>
    <mergeCell ref="PRA3424:PRA3425"/>
    <mergeCell ref="POX3424:POX3425"/>
    <mergeCell ref="POY3424:PPH3424"/>
    <mergeCell ref="PPJ3424:PPS3424"/>
    <mergeCell ref="PPU3424:PPU3425"/>
    <mergeCell ref="PPW3424:PQB3424"/>
    <mergeCell ref="PNS3424:POB3424"/>
    <mergeCell ref="POD3424:POM3424"/>
    <mergeCell ref="POO3424:POO3425"/>
    <mergeCell ref="POQ3424:POV3424"/>
    <mergeCell ref="POW3424:POW3425"/>
    <mergeCell ref="PMX3424:PNG3424"/>
    <mergeCell ref="PNI3424:PNI3425"/>
    <mergeCell ref="PNK3424:PNP3424"/>
    <mergeCell ref="PNQ3424:PNQ3425"/>
    <mergeCell ref="PNR3424:PNR3425"/>
    <mergeCell ref="PMC3424:PMC3425"/>
    <mergeCell ref="PME3424:PMJ3424"/>
    <mergeCell ref="PMK3424:PMK3425"/>
    <mergeCell ref="PML3424:PML3425"/>
    <mergeCell ref="PMM3424:PMV3424"/>
    <mergeCell ref="PKY3424:PLD3424"/>
    <mergeCell ref="PLE3424:PLE3425"/>
    <mergeCell ref="PLF3424:PLF3425"/>
    <mergeCell ref="PLG3424:PLP3424"/>
    <mergeCell ref="PLR3424:PMA3424"/>
    <mergeCell ref="PJY3424:PJY3425"/>
    <mergeCell ref="PJZ3424:PJZ3425"/>
    <mergeCell ref="PKA3424:PKJ3424"/>
    <mergeCell ref="PKL3424:PKU3424"/>
    <mergeCell ref="PKW3424:PKW3425"/>
    <mergeCell ref="PIT3424:PIT3425"/>
    <mergeCell ref="PIU3424:PJD3424"/>
    <mergeCell ref="PJF3424:PJO3424"/>
    <mergeCell ref="PJQ3424:PJQ3425"/>
    <mergeCell ref="PJS3424:PJX3424"/>
    <mergeCell ref="PHO3424:PHX3424"/>
    <mergeCell ref="PHZ3424:PII3424"/>
    <mergeCell ref="PIK3424:PIK3425"/>
    <mergeCell ref="PIM3424:PIR3424"/>
    <mergeCell ref="PIS3424:PIS3425"/>
    <mergeCell ref="PGT3424:PHC3424"/>
    <mergeCell ref="PHE3424:PHE3425"/>
    <mergeCell ref="PHG3424:PHL3424"/>
    <mergeCell ref="PHM3424:PHM3425"/>
    <mergeCell ref="PHN3424:PHN3425"/>
    <mergeCell ref="PFY3424:PFY3425"/>
    <mergeCell ref="PGA3424:PGF3424"/>
    <mergeCell ref="PGG3424:PGG3425"/>
    <mergeCell ref="PGH3424:PGH3425"/>
    <mergeCell ref="PGI3424:PGR3424"/>
    <mergeCell ref="PEU3424:PEZ3424"/>
    <mergeCell ref="PFA3424:PFA3425"/>
    <mergeCell ref="PFB3424:PFB3425"/>
    <mergeCell ref="PFC3424:PFL3424"/>
    <mergeCell ref="PFN3424:PFW3424"/>
    <mergeCell ref="PDU3424:PDU3425"/>
    <mergeCell ref="PDV3424:PDV3425"/>
    <mergeCell ref="PDW3424:PEF3424"/>
    <mergeCell ref="PEH3424:PEQ3424"/>
    <mergeCell ref="PES3424:PES3425"/>
    <mergeCell ref="PCP3424:PCP3425"/>
    <mergeCell ref="PCQ3424:PCZ3424"/>
    <mergeCell ref="PDB3424:PDK3424"/>
    <mergeCell ref="PDM3424:PDM3425"/>
    <mergeCell ref="PDO3424:PDT3424"/>
    <mergeCell ref="PBK3424:PBT3424"/>
    <mergeCell ref="PBV3424:PCE3424"/>
    <mergeCell ref="PCG3424:PCG3425"/>
    <mergeCell ref="PCI3424:PCN3424"/>
    <mergeCell ref="PCO3424:PCO3425"/>
    <mergeCell ref="PAP3424:PAY3424"/>
    <mergeCell ref="PBA3424:PBA3425"/>
    <mergeCell ref="PBC3424:PBH3424"/>
    <mergeCell ref="PBI3424:PBI3425"/>
    <mergeCell ref="PBJ3424:PBJ3425"/>
    <mergeCell ref="OZU3424:OZU3425"/>
    <mergeCell ref="OZW3424:PAB3424"/>
    <mergeCell ref="PAC3424:PAC3425"/>
    <mergeCell ref="PAD3424:PAD3425"/>
    <mergeCell ref="PAE3424:PAN3424"/>
    <mergeCell ref="OYQ3424:OYV3424"/>
    <mergeCell ref="OYW3424:OYW3425"/>
    <mergeCell ref="OYX3424:OYX3425"/>
    <mergeCell ref="OYY3424:OZH3424"/>
    <mergeCell ref="OZJ3424:OZS3424"/>
    <mergeCell ref="OXQ3424:OXQ3425"/>
    <mergeCell ref="OXR3424:OXR3425"/>
    <mergeCell ref="OXS3424:OYB3424"/>
    <mergeCell ref="OYD3424:OYM3424"/>
    <mergeCell ref="OYO3424:OYO3425"/>
    <mergeCell ref="OWL3424:OWL3425"/>
    <mergeCell ref="OWM3424:OWV3424"/>
    <mergeCell ref="OWX3424:OXG3424"/>
    <mergeCell ref="OXI3424:OXI3425"/>
    <mergeCell ref="OXK3424:OXP3424"/>
    <mergeCell ref="OVG3424:OVP3424"/>
    <mergeCell ref="OVR3424:OWA3424"/>
    <mergeCell ref="OWC3424:OWC3425"/>
    <mergeCell ref="OWE3424:OWJ3424"/>
    <mergeCell ref="OWK3424:OWK3425"/>
    <mergeCell ref="OUL3424:OUU3424"/>
    <mergeCell ref="OUW3424:OUW3425"/>
    <mergeCell ref="OUY3424:OVD3424"/>
    <mergeCell ref="OVE3424:OVE3425"/>
    <mergeCell ref="OVF3424:OVF3425"/>
    <mergeCell ref="OTQ3424:OTQ3425"/>
    <mergeCell ref="OTS3424:OTX3424"/>
    <mergeCell ref="OTY3424:OTY3425"/>
    <mergeCell ref="OTZ3424:OTZ3425"/>
    <mergeCell ref="OUA3424:OUJ3424"/>
    <mergeCell ref="OSM3424:OSR3424"/>
    <mergeCell ref="OSS3424:OSS3425"/>
    <mergeCell ref="OST3424:OST3425"/>
    <mergeCell ref="OSU3424:OTD3424"/>
    <mergeCell ref="OTF3424:OTO3424"/>
    <mergeCell ref="ORM3424:ORM3425"/>
    <mergeCell ref="ORN3424:ORN3425"/>
    <mergeCell ref="ORO3424:ORX3424"/>
    <mergeCell ref="ORZ3424:OSI3424"/>
    <mergeCell ref="OSK3424:OSK3425"/>
    <mergeCell ref="OQH3424:OQH3425"/>
    <mergeCell ref="OQI3424:OQR3424"/>
    <mergeCell ref="OQT3424:ORC3424"/>
    <mergeCell ref="ORE3424:ORE3425"/>
    <mergeCell ref="ORG3424:ORL3424"/>
    <mergeCell ref="OPC3424:OPL3424"/>
    <mergeCell ref="OPN3424:OPW3424"/>
    <mergeCell ref="OPY3424:OPY3425"/>
    <mergeCell ref="OQA3424:OQF3424"/>
    <mergeCell ref="OQG3424:OQG3425"/>
    <mergeCell ref="OOH3424:OOQ3424"/>
    <mergeCell ref="OOS3424:OOS3425"/>
    <mergeCell ref="OOU3424:OOZ3424"/>
    <mergeCell ref="OPA3424:OPA3425"/>
    <mergeCell ref="OPB3424:OPB3425"/>
    <mergeCell ref="ONM3424:ONM3425"/>
    <mergeCell ref="ONO3424:ONT3424"/>
    <mergeCell ref="ONU3424:ONU3425"/>
    <mergeCell ref="ONV3424:ONV3425"/>
    <mergeCell ref="ONW3424:OOF3424"/>
    <mergeCell ref="OMI3424:OMN3424"/>
    <mergeCell ref="OMO3424:OMO3425"/>
    <mergeCell ref="OMP3424:OMP3425"/>
    <mergeCell ref="OMQ3424:OMZ3424"/>
    <mergeCell ref="ONB3424:ONK3424"/>
    <mergeCell ref="OLI3424:OLI3425"/>
    <mergeCell ref="OLJ3424:OLJ3425"/>
    <mergeCell ref="OLK3424:OLT3424"/>
    <mergeCell ref="OLV3424:OME3424"/>
    <mergeCell ref="OMG3424:OMG3425"/>
    <mergeCell ref="OKD3424:OKD3425"/>
    <mergeCell ref="OKE3424:OKN3424"/>
    <mergeCell ref="OKP3424:OKY3424"/>
    <mergeCell ref="OLA3424:OLA3425"/>
    <mergeCell ref="OLC3424:OLH3424"/>
    <mergeCell ref="OIY3424:OJH3424"/>
    <mergeCell ref="OJJ3424:OJS3424"/>
    <mergeCell ref="OJU3424:OJU3425"/>
    <mergeCell ref="OJW3424:OKB3424"/>
    <mergeCell ref="OKC3424:OKC3425"/>
    <mergeCell ref="OID3424:OIM3424"/>
    <mergeCell ref="OIO3424:OIO3425"/>
    <mergeCell ref="OIQ3424:OIV3424"/>
    <mergeCell ref="OIW3424:OIW3425"/>
    <mergeCell ref="OIX3424:OIX3425"/>
    <mergeCell ref="OHI3424:OHI3425"/>
    <mergeCell ref="OHK3424:OHP3424"/>
    <mergeCell ref="OHQ3424:OHQ3425"/>
    <mergeCell ref="OHR3424:OHR3425"/>
    <mergeCell ref="OHS3424:OIB3424"/>
    <mergeCell ref="OGE3424:OGJ3424"/>
    <mergeCell ref="OGK3424:OGK3425"/>
    <mergeCell ref="OGL3424:OGL3425"/>
    <mergeCell ref="OGM3424:OGV3424"/>
    <mergeCell ref="OGX3424:OHG3424"/>
    <mergeCell ref="OFE3424:OFE3425"/>
    <mergeCell ref="OFF3424:OFF3425"/>
    <mergeCell ref="OFG3424:OFP3424"/>
    <mergeCell ref="OFR3424:OGA3424"/>
    <mergeCell ref="OGC3424:OGC3425"/>
    <mergeCell ref="ODZ3424:ODZ3425"/>
    <mergeCell ref="OEA3424:OEJ3424"/>
    <mergeCell ref="OEL3424:OEU3424"/>
    <mergeCell ref="OEW3424:OEW3425"/>
    <mergeCell ref="OEY3424:OFD3424"/>
    <mergeCell ref="OCU3424:ODD3424"/>
    <mergeCell ref="ODF3424:ODO3424"/>
    <mergeCell ref="ODQ3424:ODQ3425"/>
    <mergeCell ref="ODS3424:ODX3424"/>
    <mergeCell ref="ODY3424:ODY3425"/>
    <mergeCell ref="OBZ3424:OCI3424"/>
    <mergeCell ref="OCK3424:OCK3425"/>
    <mergeCell ref="OCM3424:OCR3424"/>
    <mergeCell ref="OCS3424:OCS3425"/>
    <mergeCell ref="OCT3424:OCT3425"/>
    <mergeCell ref="OBE3424:OBE3425"/>
    <mergeCell ref="OBG3424:OBL3424"/>
    <mergeCell ref="OBM3424:OBM3425"/>
    <mergeCell ref="OBN3424:OBN3425"/>
    <mergeCell ref="OBO3424:OBX3424"/>
    <mergeCell ref="OAA3424:OAF3424"/>
    <mergeCell ref="OAG3424:OAG3425"/>
    <mergeCell ref="OAH3424:OAH3425"/>
    <mergeCell ref="OAI3424:OAR3424"/>
    <mergeCell ref="OAT3424:OBC3424"/>
    <mergeCell ref="NZA3424:NZA3425"/>
    <mergeCell ref="NZB3424:NZB3425"/>
    <mergeCell ref="NZC3424:NZL3424"/>
    <mergeCell ref="NZN3424:NZW3424"/>
    <mergeCell ref="NZY3424:NZY3425"/>
    <mergeCell ref="NXV3424:NXV3425"/>
    <mergeCell ref="NXW3424:NYF3424"/>
    <mergeCell ref="NYH3424:NYQ3424"/>
    <mergeCell ref="NYS3424:NYS3425"/>
    <mergeCell ref="NYU3424:NYZ3424"/>
    <mergeCell ref="NWQ3424:NWZ3424"/>
    <mergeCell ref="NXB3424:NXK3424"/>
    <mergeCell ref="NXM3424:NXM3425"/>
    <mergeCell ref="NXO3424:NXT3424"/>
    <mergeCell ref="NXU3424:NXU3425"/>
    <mergeCell ref="NVV3424:NWE3424"/>
    <mergeCell ref="NWG3424:NWG3425"/>
    <mergeCell ref="NWI3424:NWN3424"/>
    <mergeCell ref="NWO3424:NWO3425"/>
    <mergeCell ref="NWP3424:NWP3425"/>
    <mergeCell ref="NVA3424:NVA3425"/>
    <mergeCell ref="NVC3424:NVH3424"/>
    <mergeCell ref="NVI3424:NVI3425"/>
    <mergeCell ref="NVJ3424:NVJ3425"/>
    <mergeCell ref="NVK3424:NVT3424"/>
    <mergeCell ref="NTW3424:NUB3424"/>
    <mergeCell ref="NUC3424:NUC3425"/>
    <mergeCell ref="NUD3424:NUD3425"/>
    <mergeCell ref="NUE3424:NUN3424"/>
    <mergeCell ref="NUP3424:NUY3424"/>
    <mergeCell ref="NSW3424:NSW3425"/>
    <mergeCell ref="NSX3424:NSX3425"/>
    <mergeCell ref="NSY3424:NTH3424"/>
    <mergeCell ref="NTJ3424:NTS3424"/>
    <mergeCell ref="NTU3424:NTU3425"/>
    <mergeCell ref="NRR3424:NRR3425"/>
    <mergeCell ref="NRS3424:NSB3424"/>
    <mergeCell ref="NSD3424:NSM3424"/>
    <mergeCell ref="NSO3424:NSO3425"/>
    <mergeCell ref="NSQ3424:NSV3424"/>
    <mergeCell ref="NQM3424:NQV3424"/>
    <mergeCell ref="NQX3424:NRG3424"/>
    <mergeCell ref="NRI3424:NRI3425"/>
    <mergeCell ref="NRK3424:NRP3424"/>
    <mergeCell ref="NRQ3424:NRQ3425"/>
    <mergeCell ref="NPR3424:NQA3424"/>
    <mergeCell ref="NQC3424:NQC3425"/>
    <mergeCell ref="NQE3424:NQJ3424"/>
    <mergeCell ref="NQK3424:NQK3425"/>
    <mergeCell ref="NQL3424:NQL3425"/>
    <mergeCell ref="NOW3424:NOW3425"/>
    <mergeCell ref="NOY3424:NPD3424"/>
    <mergeCell ref="NPE3424:NPE3425"/>
    <mergeCell ref="NPF3424:NPF3425"/>
    <mergeCell ref="NPG3424:NPP3424"/>
    <mergeCell ref="NNS3424:NNX3424"/>
    <mergeCell ref="NNY3424:NNY3425"/>
    <mergeCell ref="NNZ3424:NNZ3425"/>
    <mergeCell ref="NOA3424:NOJ3424"/>
    <mergeCell ref="NOL3424:NOU3424"/>
    <mergeCell ref="NMS3424:NMS3425"/>
    <mergeCell ref="NMT3424:NMT3425"/>
    <mergeCell ref="NMU3424:NND3424"/>
    <mergeCell ref="NNF3424:NNO3424"/>
    <mergeCell ref="NNQ3424:NNQ3425"/>
    <mergeCell ref="NLN3424:NLN3425"/>
    <mergeCell ref="NLO3424:NLX3424"/>
    <mergeCell ref="NLZ3424:NMI3424"/>
    <mergeCell ref="NMK3424:NMK3425"/>
    <mergeCell ref="NMM3424:NMR3424"/>
    <mergeCell ref="NKI3424:NKR3424"/>
    <mergeCell ref="NKT3424:NLC3424"/>
    <mergeCell ref="NLE3424:NLE3425"/>
    <mergeCell ref="NLG3424:NLL3424"/>
    <mergeCell ref="NLM3424:NLM3425"/>
    <mergeCell ref="NJN3424:NJW3424"/>
    <mergeCell ref="NJY3424:NJY3425"/>
    <mergeCell ref="NKA3424:NKF3424"/>
    <mergeCell ref="NKG3424:NKG3425"/>
    <mergeCell ref="NKH3424:NKH3425"/>
    <mergeCell ref="NIS3424:NIS3425"/>
    <mergeCell ref="NIU3424:NIZ3424"/>
    <mergeCell ref="NJA3424:NJA3425"/>
    <mergeCell ref="NJB3424:NJB3425"/>
    <mergeCell ref="NJC3424:NJL3424"/>
    <mergeCell ref="NHO3424:NHT3424"/>
    <mergeCell ref="NHU3424:NHU3425"/>
    <mergeCell ref="NHV3424:NHV3425"/>
    <mergeCell ref="NHW3424:NIF3424"/>
    <mergeCell ref="NIH3424:NIQ3424"/>
    <mergeCell ref="NGO3424:NGO3425"/>
    <mergeCell ref="NGP3424:NGP3425"/>
    <mergeCell ref="NGQ3424:NGZ3424"/>
    <mergeCell ref="NHB3424:NHK3424"/>
    <mergeCell ref="NHM3424:NHM3425"/>
    <mergeCell ref="NFJ3424:NFJ3425"/>
    <mergeCell ref="NFK3424:NFT3424"/>
    <mergeCell ref="NFV3424:NGE3424"/>
    <mergeCell ref="NGG3424:NGG3425"/>
    <mergeCell ref="NGI3424:NGN3424"/>
    <mergeCell ref="NEE3424:NEN3424"/>
    <mergeCell ref="NEP3424:NEY3424"/>
    <mergeCell ref="NFA3424:NFA3425"/>
    <mergeCell ref="NFC3424:NFH3424"/>
    <mergeCell ref="NFI3424:NFI3425"/>
    <mergeCell ref="NDJ3424:NDS3424"/>
    <mergeCell ref="NDU3424:NDU3425"/>
    <mergeCell ref="NDW3424:NEB3424"/>
    <mergeCell ref="NEC3424:NEC3425"/>
    <mergeCell ref="NED3424:NED3425"/>
    <mergeCell ref="NCO3424:NCO3425"/>
    <mergeCell ref="NCQ3424:NCV3424"/>
    <mergeCell ref="NCW3424:NCW3425"/>
    <mergeCell ref="NCX3424:NCX3425"/>
    <mergeCell ref="NCY3424:NDH3424"/>
    <mergeCell ref="NBK3424:NBP3424"/>
    <mergeCell ref="NBQ3424:NBQ3425"/>
    <mergeCell ref="NBR3424:NBR3425"/>
    <mergeCell ref="NBS3424:NCB3424"/>
    <mergeCell ref="NCD3424:NCM3424"/>
    <mergeCell ref="NAK3424:NAK3425"/>
    <mergeCell ref="NAL3424:NAL3425"/>
    <mergeCell ref="NAM3424:NAV3424"/>
    <mergeCell ref="NAX3424:NBG3424"/>
    <mergeCell ref="NBI3424:NBI3425"/>
    <mergeCell ref="MZF3424:MZF3425"/>
    <mergeCell ref="MZG3424:MZP3424"/>
    <mergeCell ref="MZR3424:NAA3424"/>
    <mergeCell ref="NAC3424:NAC3425"/>
    <mergeCell ref="NAE3424:NAJ3424"/>
    <mergeCell ref="MYA3424:MYJ3424"/>
    <mergeCell ref="MYL3424:MYU3424"/>
    <mergeCell ref="MYW3424:MYW3425"/>
    <mergeCell ref="MYY3424:MZD3424"/>
    <mergeCell ref="MZE3424:MZE3425"/>
    <mergeCell ref="MXF3424:MXO3424"/>
    <mergeCell ref="MXQ3424:MXQ3425"/>
    <mergeCell ref="MXS3424:MXX3424"/>
    <mergeCell ref="MXY3424:MXY3425"/>
    <mergeCell ref="MXZ3424:MXZ3425"/>
    <mergeCell ref="MWK3424:MWK3425"/>
    <mergeCell ref="MWM3424:MWR3424"/>
    <mergeCell ref="MWS3424:MWS3425"/>
    <mergeCell ref="MWT3424:MWT3425"/>
    <mergeCell ref="MWU3424:MXD3424"/>
    <mergeCell ref="MVG3424:MVL3424"/>
    <mergeCell ref="MVM3424:MVM3425"/>
    <mergeCell ref="MVN3424:MVN3425"/>
    <mergeCell ref="MVO3424:MVX3424"/>
    <mergeCell ref="MVZ3424:MWI3424"/>
    <mergeCell ref="MUG3424:MUG3425"/>
    <mergeCell ref="MUH3424:MUH3425"/>
    <mergeCell ref="MUI3424:MUR3424"/>
    <mergeCell ref="MUT3424:MVC3424"/>
    <mergeCell ref="MVE3424:MVE3425"/>
    <mergeCell ref="MTB3424:MTB3425"/>
    <mergeCell ref="MTC3424:MTL3424"/>
    <mergeCell ref="MTN3424:MTW3424"/>
    <mergeCell ref="MTY3424:MTY3425"/>
    <mergeCell ref="MUA3424:MUF3424"/>
    <mergeCell ref="MRW3424:MSF3424"/>
    <mergeCell ref="MSH3424:MSQ3424"/>
    <mergeCell ref="MSS3424:MSS3425"/>
    <mergeCell ref="MSU3424:MSZ3424"/>
    <mergeCell ref="MTA3424:MTA3425"/>
    <mergeCell ref="MRB3424:MRK3424"/>
    <mergeCell ref="MRM3424:MRM3425"/>
    <mergeCell ref="MRO3424:MRT3424"/>
    <mergeCell ref="MRU3424:MRU3425"/>
    <mergeCell ref="MRV3424:MRV3425"/>
    <mergeCell ref="MQG3424:MQG3425"/>
    <mergeCell ref="MQI3424:MQN3424"/>
    <mergeCell ref="MQO3424:MQO3425"/>
    <mergeCell ref="MQP3424:MQP3425"/>
    <mergeCell ref="MQQ3424:MQZ3424"/>
    <mergeCell ref="MPC3424:MPH3424"/>
    <mergeCell ref="MPI3424:MPI3425"/>
    <mergeCell ref="MPJ3424:MPJ3425"/>
    <mergeCell ref="MPK3424:MPT3424"/>
    <mergeCell ref="MPV3424:MQE3424"/>
    <mergeCell ref="MOC3424:MOC3425"/>
    <mergeCell ref="MOD3424:MOD3425"/>
    <mergeCell ref="MOE3424:MON3424"/>
    <mergeCell ref="MOP3424:MOY3424"/>
    <mergeCell ref="MPA3424:MPA3425"/>
    <mergeCell ref="MMX3424:MMX3425"/>
    <mergeCell ref="MMY3424:MNH3424"/>
    <mergeCell ref="MNJ3424:MNS3424"/>
    <mergeCell ref="MNU3424:MNU3425"/>
    <mergeCell ref="MNW3424:MOB3424"/>
    <mergeCell ref="MLS3424:MMB3424"/>
    <mergeCell ref="MMD3424:MMM3424"/>
    <mergeCell ref="MMO3424:MMO3425"/>
    <mergeCell ref="MMQ3424:MMV3424"/>
    <mergeCell ref="MMW3424:MMW3425"/>
    <mergeCell ref="MKX3424:MLG3424"/>
    <mergeCell ref="MLI3424:MLI3425"/>
    <mergeCell ref="MLK3424:MLP3424"/>
    <mergeCell ref="MLQ3424:MLQ3425"/>
    <mergeCell ref="MLR3424:MLR3425"/>
    <mergeCell ref="MKC3424:MKC3425"/>
    <mergeCell ref="MKE3424:MKJ3424"/>
    <mergeCell ref="MKK3424:MKK3425"/>
    <mergeCell ref="MKL3424:MKL3425"/>
    <mergeCell ref="MKM3424:MKV3424"/>
    <mergeCell ref="MIY3424:MJD3424"/>
    <mergeCell ref="MJE3424:MJE3425"/>
    <mergeCell ref="MJF3424:MJF3425"/>
    <mergeCell ref="MJG3424:MJP3424"/>
    <mergeCell ref="MJR3424:MKA3424"/>
    <mergeCell ref="MHY3424:MHY3425"/>
    <mergeCell ref="MHZ3424:MHZ3425"/>
    <mergeCell ref="MIA3424:MIJ3424"/>
    <mergeCell ref="MIL3424:MIU3424"/>
    <mergeCell ref="MIW3424:MIW3425"/>
    <mergeCell ref="MGT3424:MGT3425"/>
    <mergeCell ref="MGU3424:MHD3424"/>
    <mergeCell ref="MHF3424:MHO3424"/>
    <mergeCell ref="MHQ3424:MHQ3425"/>
    <mergeCell ref="MHS3424:MHX3424"/>
    <mergeCell ref="MFO3424:MFX3424"/>
    <mergeCell ref="MFZ3424:MGI3424"/>
    <mergeCell ref="MGK3424:MGK3425"/>
    <mergeCell ref="MGM3424:MGR3424"/>
    <mergeCell ref="MGS3424:MGS3425"/>
    <mergeCell ref="MET3424:MFC3424"/>
    <mergeCell ref="MFE3424:MFE3425"/>
    <mergeCell ref="MFG3424:MFL3424"/>
    <mergeCell ref="MFM3424:MFM3425"/>
    <mergeCell ref="MFN3424:MFN3425"/>
    <mergeCell ref="MDY3424:MDY3425"/>
    <mergeCell ref="MEA3424:MEF3424"/>
    <mergeCell ref="MEG3424:MEG3425"/>
    <mergeCell ref="MEH3424:MEH3425"/>
    <mergeCell ref="MEI3424:MER3424"/>
    <mergeCell ref="MCU3424:MCZ3424"/>
    <mergeCell ref="MDA3424:MDA3425"/>
    <mergeCell ref="MDB3424:MDB3425"/>
    <mergeCell ref="MDC3424:MDL3424"/>
    <mergeCell ref="MDN3424:MDW3424"/>
    <mergeCell ref="MBU3424:MBU3425"/>
    <mergeCell ref="MBV3424:MBV3425"/>
    <mergeCell ref="MBW3424:MCF3424"/>
    <mergeCell ref="MCH3424:MCQ3424"/>
    <mergeCell ref="MCS3424:MCS3425"/>
    <mergeCell ref="MAP3424:MAP3425"/>
    <mergeCell ref="MAQ3424:MAZ3424"/>
    <mergeCell ref="MBB3424:MBK3424"/>
    <mergeCell ref="MBM3424:MBM3425"/>
    <mergeCell ref="MBO3424:MBT3424"/>
    <mergeCell ref="LZK3424:LZT3424"/>
    <mergeCell ref="LZV3424:MAE3424"/>
    <mergeCell ref="MAG3424:MAG3425"/>
    <mergeCell ref="MAI3424:MAN3424"/>
    <mergeCell ref="MAO3424:MAO3425"/>
    <mergeCell ref="LYP3424:LYY3424"/>
    <mergeCell ref="LZA3424:LZA3425"/>
    <mergeCell ref="LZC3424:LZH3424"/>
    <mergeCell ref="LZI3424:LZI3425"/>
    <mergeCell ref="LZJ3424:LZJ3425"/>
    <mergeCell ref="LXU3424:LXU3425"/>
    <mergeCell ref="LXW3424:LYB3424"/>
    <mergeCell ref="LYC3424:LYC3425"/>
    <mergeCell ref="LYD3424:LYD3425"/>
    <mergeCell ref="LYE3424:LYN3424"/>
    <mergeCell ref="LWQ3424:LWV3424"/>
    <mergeCell ref="LWW3424:LWW3425"/>
    <mergeCell ref="LWX3424:LWX3425"/>
    <mergeCell ref="LWY3424:LXH3424"/>
    <mergeCell ref="LXJ3424:LXS3424"/>
    <mergeCell ref="LVQ3424:LVQ3425"/>
    <mergeCell ref="LVR3424:LVR3425"/>
    <mergeCell ref="LVS3424:LWB3424"/>
    <mergeCell ref="LWD3424:LWM3424"/>
    <mergeCell ref="LWO3424:LWO3425"/>
    <mergeCell ref="LUL3424:LUL3425"/>
    <mergeCell ref="LUM3424:LUV3424"/>
    <mergeCell ref="LUX3424:LVG3424"/>
    <mergeCell ref="LVI3424:LVI3425"/>
    <mergeCell ref="LVK3424:LVP3424"/>
    <mergeCell ref="LTG3424:LTP3424"/>
    <mergeCell ref="LTR3424:LUA3424"/>
    <mergeCell ref="LUC3424:LUC3425"/>
    <mergeCell ref="LUE3424:LUJ3424"/>
    <mergeCell ref="LUK3424:LUK3425"/>
    <mergeCell ref="LSL3424:LSU3424"/>
    <mergeCell ref="LSW3424:LSW3425"/>
    <mergeCell ref="LSY3424:LTD3424"/>
    <mergeCell ref="LTE3424:LTE3425"/>
    <mergeCell ref="LTF3424:LTF3425"/>
    <mergeCell ref="LRQ3424:LRQ3425"/>
    <mergeCell ref="LRS3424:LRX3424"/>
    <mergeCell ref="LRY3424:LRY3425"/>
    <mergeCell ref="LRZ3424:LRZ3425"/>
    <mergeCell ref="LSA3424:LSJ3424"/>
    <mergeCell ref="LQM3424:LQR3424"/>
    <mergeCell ref="LQS3424:LQS3425"/>
    <mergeCell ref="LQT3424:LQT3425"/>
    <mergeCell ref="LQU3424:LRD3424"/>
    <mergeCell ref="LRF3424:LRO3424"/>
    <mergeCell ref="LPM3424:LPM3425"/>
    <mergeCell ref="LPN3424:LPN3425"/>
    <mergeCell ref="LPO3424:LPX3424"/>
    <mergeCell ref="LPZ3424:LQI3424"/>
    <mergeCell ref="LQK3424:LQK3425"/>
    <mergeCell ref="LOH3424:LOH3425"/>
    <mergeCell ref="LOI3424:LOR3424"/>
    <mergeCell ref="LOT3424:LPC3424"/>
    <mergeCell ref="LPE3424:LPE3425"/>
    <mergeCell ref="LPG3424:LPL3424"/>
    <mergeCell ref="LNC3424:LNL3424"/>
    <mergeCell ref="LNN3424:LNW3424"/>
    <mergeCell ref="LNY3424:LNY3425"/>
    <mergeCell ref="LOA3424:LOF3424"/>
    <mergeCell ref="LOG3424:LOG3425"/>
    <mergeCell ref="LMH3424:LMQ3424"/>
    <mergeCell ref="LMS3424:LMS3425"/>
    <mergeCell ref="LMU3424:LMZ3424"/>
    <mergeCell ref="LNA3424:LNA3425"/>
    <mergeCell ref="LNB3424:LNB3425"/>
    <mergeCell ref="LLM3424:LLM3425"/>
    <mergeCell ref="LLO3424:LLT3424"/>
    <mergeCell ref="LLU3424:LLU3425"/>
    <mergeCell ref="LLV3424:LLV3425"/>
    <mergeCell ref="LLW3424:LMF3424"/>
    <mergeCell ref="LKI3424:LKN3424"/>
    <mergeCell ref="LKO3424:LKO3425"/>
    <mergeCell ref="LKP3424:LKP3425"/>
    <mergeCell ref="LKQ3424:LKZ3424"/>
    <mergeCell ref="LLB3424:LLK3424"/>
    <mergeCell ref="LJI3424:LJI3425"/>
    <mergeCell ref="LJJ3424:LJJ3425"/>
    <mergeCell ref="LJK3424:LJT3424"/>
    <mergeCell ref="LJV3424:LKE3424"/>
    <mergeCell ref="LKG3424:LKG3425"/>
    <mergeCell ref="LID3424:LID3425"/>
    <mergeCell ref="LIE3424:LIN3424"/>
    <mergeCell ref="LIP3424:LIY3424"/>
    <mergeCell ref="LJA3424:LJA3425"/>
    <mergeCell ref="LJC3424:LJH3424"/>
    <mergeCell ref="LGY3424:LHH3424"/>
    <mergeCell ref="LHJ3424:LHS3424"/>
    <mergeCell ref="LHU3424:LHU3425"/>
    <mergeCell ref="LHW3424:LIB3424"/>
    <mergeCell ref="LIC3424:LIC3425"/>
    <mergeCell ref="LGD3424:LGM3424"/>
    <mergeCell ref="LGO3424:LGO3425"/>
    <mergeCell ref="LGQ3424:LGV3424"/>
    <mergeCell ref="LGW3424:LGW3425"/>
    <mergeCell ref="LGX3424:LGX3425"/>
    <mergeCell ref="LFI3424:LFI3425"/>
    <mergeCell ref="LFK3424:LFP3424"/>
    <mergeCell ref="LFQ3424:LFQ3425"/>
    <mergeCell ref="LFR3424:LFR3425"/>
    <mergeCell ref="LFS3424:LGB3424"/>
    <mergeCell ref="LEE3424:LEJ3424"/>
    <mergeCell ref="LEK3424:LEK3425"/>
    <mergeCell ref="LEL3424:LEL3425"/>
    <mergeCell ref="LEM3424:LEV3424"/>
    <mergeCell ref="LEX3424:LFG3424"/>
    <mergeCell ref="LDE3424:LDE3425"/>
    <mergeCell ref="LDF3424:LDF3425"/>
    <mergeCell ref="LDG3424:LDP3424"/>
    <mergeCell ref="LDR3424:LEA3424"/>
    <mergeCell ref="LEC3424:LEC3425"/>
    <mergeCell ref="LBZ3424:LBZ3425"/>
    <mergeCell ref="LCA3424:LCJ3424"/>
    <mergeCell ref="LCL3424:LCU3424"/>
    <mergeCell ref="LCW3424:LCW3425"/>
    <mergeCell ref="LCY3424:LDD3424"/>
    <mergeCell ref="LAU3424:LBD3424"/>
    <mergeCell ref="LBF3424:LBO3424"/>
    <mergeCell ref="LBQ3424:LBQ3425"/>
    <mergeCell ref="LBS3424:LBX3424"/>
    <mergeCell ref="LBY3424:LBY3425"/>
    <mergeCell ref="KZZ3424:LAI3424"/>
    <mergeCell ref="LAK3424:LAK3425"/>
    <mergeCell ref="LAM3424:LAR3424"/>
    <mergeCell ref="LAS3424:LAS3425"/>
    <mergeCell ref="LAT3424:LAT3425"/>
    <mergeCell ref="KZE3424:KZE3425"/>
    <mergeCell ref="KZG3424:KZL3424"/>
    <mergeCell ref="KZM3424:KZM3425"/>
    <mergeCell ref="KZN3424:KZN3425"/>
    <mergeCell ref="KZO3424:KZX3424"/>
    <mergeCell ref="KYA3424:KYF3424"/>
    <mergeCell ref="KYG3424:KYG3425"/>
    <mergeCell ref="KYH3424:KYH3425"/>
    <mergeCell ref="KYI3424:KYR3424"/>
    <mergeCell ref="KYT3424:KZC3424"/>
    <mergeCell ref="KXA3424:KXA3425"/>
    <mergeCell ref="KXB3424:KXB3425"/>
    <mergeCell ref="KXC3424:KXL3424"/>
    <mergeCell ref="KXN3424:KXW3424"/>
    <mergeCell ref="KXY3424:KXY3425"/>
    <mergeCell ref="KVV3424:KVV3425"/>
    <mergeCell ref="KVW3424:KWF3424"/>
    <mergeCell ref="KWH3424:KWQ3424"/>
    <mergeCell ref="KWS3424:KWS3425"/>
    <mergeCell ref="KWU3424:KWZ3424"/>
    <mergeCell ref="KUQ3424:KUZ3424"/>
    <mergeCell ref="KVB3424:KVK3424"/>
    <mergeCell ref="KVM3424:KVM3425"/>
    <mergeCell ref="KVO3424:KVT3424"/>
    <mergeCell ref="KVU3424:KVU3425"/>
    <mergeCell ref="KTV3424:KUE3424"/>
    <mergeCell ref="KUG3424:KUG3425"/>
    <mergeCell ref="KUI3424:KUN3424"/>
    <mergeCell ref="KUO3424:KUO3425"/>
    <mergeCell ref="KUP3424:KUP3425"/>
    <mergeCell ref="KTA3424:KTA3425"/>
    <mergeCell ref="KTC3424:KTH3424"/>
    <mergeCell ref="KTI3424:KTI3425"/>
    <mergeCell ref="KTJ3424:KTJ3425"/>
    <mergeCell ref="KTK3424:KTT3424"/>
    <mergeCell ref="KRW3424:KSB3424"/>
    <mergeCell ref="KSC3424:KSC3425"/>
    <mergeCell ref="KSD3424:KSD3425"/>
    <mergeCell ref="KSE3424:KSN3424"/>
    <mergeCell ref="KSP3424:KSY3424"/>
    <mergeCell ref="KQW3424:KQW3425"/>
    <mergeCell ref="KQX3424:KQX3425"/>
    <mergeCell ref="KQY3424:KRH3424"/>
    <mergeCell ref="KRJ3424:KRS3424"/>
    <mergeCell ref="KRU3424:KRU3425"/>
    <mergeCell ref="KPR3424:KPR3425"/>
    <mergeCell ref="KPS3424:KQB3424"/>
    <mergeCell ref="KQD3424:KQM3424"/>
    <mergeCell ref="KQO3424:KQO3425"/>
    <mergeCell ref="KQQ3424:KQV3424"/>
    <mergeCell ref="KOM3424:KOV3424"/>
    <mergeCell ref="KOX3424:KPG3424"/>
    <mergeCell ref="KPI3424:KPI3425"/>
    <mergeCell ref="KPK3424:KPP3424"/>
    <mergeCell ref="KPQ3424:KPQ3425"/>
    <mergeCell ref="KNR3424:KOA3424"/>
    <mergeCell ref="KOC3424:KOC3425"/>
    <mergeCell ref="KOE3424:KOJ3424"/>
    <mergeCell ref="KOK3424:KOK3425"/>
    <mergeCell ref="KOL3424:KOL3425"/>
    <mergeCell ref="KMW3424:KMW3425"/>
    <mergeCell ref="KMY3424:KND3424"/>
    <mergeCell ref="KNE3424:KNE3425"/>
    <mergeCell ref="KNF3424:KNF3425"/>
    <mergeCell ref="KNG3424:KNP3424"/>
    <mergeCell ref="KLS3424:KLX3424"/>
    <mergeCell ref="KLY3424:KLY3425"/>
    <mergeCell ref="KLZ3424:KLZ3425"/>
    <mergeCell ref="KMA3424:KMJ3424"/>
    <mergeCell ref="KML3424:KMU3424"/>
    <mergeCell ref="KKS3424:KKS3425"/>
    <mergeCell ref="KKT3424:KKT3425"/>
    <mergeCell ref="KKU3424:KLD3424"/>
    <mergeCell ref="KLF3424:KLO3424"/>
    <mergeCell ref="KLQ3424:KLQ3425"/>
    <mergeCell ref="KJN3424:KJN3425"/>
    <mergeCell ref="KJO3424:KJX3424"/>
    <mergeCell ref="KJZ3424:KKI3424"/>
    <mergeCell ref="KKK3424:KKK3425"/>
    <mergeCell ref="KKM3424:KKR3424"/>
    <mergeCell ref="KII3424:KIR3424"/>
    <mergeCell ref="KIT3424:KJC3424"/>
    <mergeCell ref="KJE3424:KJE3425"/>
    <mergeCell ref="KJG3424:KJL3424"/>
    <mergeCell ref="KJM3424:KJM3425"/>
    <mergeCell ref="KHN3424:KHW3424"/>
    <mergeCell ref="KHY3424:KHY3425"/>
    <mergeCell ref="KIA3424:KIF3424"/>
    <mergeCell ref="KIG3424:KIG3425"/>
    <mergeCell ref="KIH3424:KIH3425"/>
    <mergeCell ref="KGS3424:KGS3425"/>
    <mergeCell ref="KGU3424:KGZ3424"/>
    <mergeCell ref="KHA3424:KHA3425"/>
    <mergeCell ref="KHB3424:KHB3425"/>
    <mergeCell ref="KHC3424:KHL3424"/>
    <mergeCell ref="KFO3424:KFT3424"/>
    <mergeCell ref="KFU3424:KFU3425"/>
    <mergeCell ref="KFV3424:KFV3425"/>
    <mergeCell ref="KFW3424:KGF3424"/>
    <mergeCell ref="KGH3424:KGQ3424"/>
    <mergeCell ref="KEO3424:KEO3425"/>
    <mergeCell ref="KEP3424:KEP3425"/>
    <mergeCell ref="KEQ3424:KEZ3424"/>
    <mergeCell ref="KFB3424:KFK3424"/>
    <mergeCell ref="KFM3424:KFM3425"/>
    <mergeCell ref="KDJ3424:KDJ3425"/>
    <mergeCell ref="KDK3424:KDT3424"/>
    <mergeCell ref="KDV3424:KEE3424"/>
    <mergeCell ref="KEG3424:KEG3425"/>
    <mergeCell ref="KEI3424:KEN3424"/>
    <mergeCell ref="KCE3424:KCN3424"/>
    <mergeCell ref="KCP3424:KCY3424"/>
    <mergeCell ref="KDA3424:KDA3425"/>
    <mergeCell ref="KDC3424:KDH3424"/>
    <mergeCell ref="KDI3424:KDI3425"/>
    <mergeCell ref="KBJ3424:KBS3424"/>
    <mergeCell ref="KBU3424:KBU3425"/>
    <mergeCell ref="KBW3424:KCB3424"/>
    <mergeCell ref="KCC3424:KCC3425"/>
    <mergeCell ref="KCD3424:KCD3425"/>
    <mergeCell ref="KAO3424:KAO3425"/>
    <mergeCell ref="KAQ3424:KAV3424"/>
    <mergeCell ref="KAW3424:KAW3425"/>
    <mergeCell ref="KAX3424:KAX3425"/>
    <mergeCell ref="KAY3424:KBH3424"/>
    <mergeCell ref="JZK3424:JZP3424"/>
    <mergeCell ref="JZQ3424:JZQ3425"/>
    <mergeCell ref="JZR3424:JZR3425"/>
    <mergeCell ref="JZS3424:KAB3424"/>
    <mergeCell ref="KAD3424:KAM3424"/>
    <mergeCell ref="JYK3424:JYK3425"/>
    <mergeCell ref="JYL3424:JYL3425"/>
    <mergeCell ref="JYM3424:JYV3424"/>
    <mergeCell ref="JYX3424:JZG3424"/>
    <mergeCell ref="JZI3424:JZI3425"/>
    <mergeCell ref="JXF3424:JXF3425"/>
    <mergeCell ref="JXG3424:JXP3424"/>
    <mergeCell ref="JXR3424:JYA3424"/>
    <mergeCell ref="JYC3424:JYC3425"/>
    <mergeCell ref="JYE3424:JYJ3424"/>
    <mergeCell ref="JWA3424:JWJ3424"/>
    <mergeCell ref="JWL3424:JWU3424"/>
    <mergeCell ref="JWW3424:JWW3425"/>
    <mergeCell ref="JWY3424:JXD3424"/>
    <mergeCell ref="JXE3424:JXE3425"/>
    <mergeCell ref="JVF3424:JVO3424"/>
    <mergeCell ref="JVQ3424:JVQ3425"/>
    <mergeCell ref="JVS3424:JVX3424"/>
    <mergeCell ref="JVY3424:JVY3425"/>
    <mergeCell ref="JVZ3424:JVZ3425"/>
    <mergeCell ref="JUK3424:JUK3425"/>
    <mergeCell ref="JUM3424:JUR3424"/>
    <mergeCell ref="JUS3424:JUS3425"/>
    <mergeCell ref="JUT3424:JUT3425"/>
    <mergeCell ref="JUU3424:JVD3424"/>
    <mergeCell ref="JTG3424:JTL3424"/>
    <mergeCell ref="JTM3424:JTM3425"/>
    <mergeCell ref="JTN3424:JTN3425"/>
    <mergeCell ref="JTO3424:JTX3424"/>
    <mergeCell ref="JTZ3424:JUI3424"/>
    <mergeCell ref="JSG3424:JSG3425"/>
    <mergeCell ref="JSH3424:JSH3425"/>
    <mergeCell ref="JSI3424:JSR3424"/>
    <mergeCell ref="JST3424:JTC3424"/>
    <mergeCell ref="JTE3424:JTE3425"/>
    <mergeCell ref="JRB3424:JRB3425"/>
    <mergeCell ref="JRC3424:JRL3424"/>
    <mergeCell ref="JRN3424:JRW3424"/>
    <mergeCell ref="JRY3424:JRY3425"/>
    <mergeCell ref="JSA3424:JSF3424"/>
    <mergeCell ref="JPW3424:JQF3424"/>
    <mergeCell ref="JQH3424:JQQ3424"/>
    <mergeCell ref="JQS3424:JQS3425"/>
    <mergeCell ref="JQU3424:JQZ3424"/>
    <mergeCell ref="JRA3424:JRA3425"/>
    <mergeCell ref="JPB3424:JPK3424"/>
    <mergeCell ref="JPM3424:JPM3425"/>
    <mergeCell ref="JPO3424:JPT3424"/>
    <mergeCell ref="JPU3424:JPU3425"/>
    <mergeCell ref="JPV3424:JPV3425"/>
    <mergeCell ref="JOG3424:JOG3425"/>
    <mergeCell ref="JOI3424:JON3424"/>
    <mergeCell ref="JOO3424:JOO3425"/>
    <mergeCell ref="JOP3424:JOP3425"/>
    <mergeCell ref="JOQ3424:JOZ3424"/>
    <mergeCell ref="JNC3424:JNH3424"/>
    <mergeCell ref="JNI3424:JNI3425"/>
    <mergeCell ref="JNJ3424:JNJ3425"/>
    <mergeCell ref="JNK3424:JNT3424"/>
    <mergeCell ref="JNV3424:JOE3424"/>
    <mergeCell ref="JMC3424:JMC3425"/>
    <mergeCell ref="JMD3424:JMD3425"/>
    <mergeCell ref="JME3424:JMN3424"/>
    <mergeCell ref="JMP3424:JMY3424"/>
    <mergeCell ref="JNA3424:JNA3425"/>
    <mergeCell ref="JKX3424:JKX3425"/>
    <mergeCell ref="JKY3424:JLH3424"/>
    <mergeCell ref="JLJ3424:JLS3424"/>
    <mergeCell ref="JLU3424:JLU3425"/>
    <mergeCell ref="JLW3424:JMB3424"/>
    <mergeCell ref="JJS3424:JKB3424"/>
    <mergeCell ref="JKD3424:JKM3424"/>
    <mergeCell ref="JKO3424:JKO3425"/>
    <mergeCell ref="JKQ3424:JKV3424"/>
    <mergeCell ref="JKW3424:JKW3425"/>
    <mergeCell ref="JIX3424:JJG3424"/>
    <mergeCell ref="JJI3424:JJI3425"/>
    <mergeCell ref="JJK3424:JJP3424"/>
    <mergeCell ref="JJQ3424:JJQ3425"/>
    <mergeCell ref="JJR3424:JJR3425"/>
    <mergeCell ref="JIC3424:JIC3425"/>
    <mergeCell ref="JIE3424:JIJ3424"/>
    <mergeCell ref="JIK3424:JIK3425"/>
    <mergeCell ref="JIL3424:JIL3425"/>
    <mergeCell ref="JIM3424:JIV3424"/>
    <mergeCell ref="JGY3424:JHD3424"/>
    <mergeCell ref="JHE3424:JHE3425"/>
    <mergeCell ref="JHF3424:JHF3425"/>
    <mergeCell ref="JHG3424:JHP3424"/>
    <mergeCell ref="JHR3424:JIA3424"/>
    <mergeCell ref="JFY3424:JFY3425"/>
    <mergeCell ref="JFZ3424:JFZ3425"/>
    <mergeCell ref="JGA3424:JGJ3424"/>
    <mergeCell ref="JGL3424:JGU3424"/>
    <mergeCell ref="JGW3424:JGW3425"/>
    <mergeCell ref="JET3424:JET3425"/>
    <mergeCell ref="JEU3424:JFD3424"/>
    <mergeCell ref="JFF3424:JFO3424"/>
    <mergeCell ref="JFQ3424:JFQ3425"/>
    <mergeCell ref="JFS3424:JFX3424"/>
    <mergeCell ref="JDO3424:JDX3424"/>
    <mergeCell ref="JDZ3424:JEI3424"/>
    <mergeCell ref="JEK3424:JEK3425"/>
    <mergeCell ref="JEM3424:JER3424"/>
    <mergeCell ref="JES3424:JES3425"/>
    <mergeCell ref="JCT3424:JDC3424"/>
    <mergeCell ref="JDE3424:JDE3425"/>
    <mergeCell ref="JDG3424:JDL3424"/>
    <mergeCell ref="JDM3424:JDM3425"/>
    <mergeCell ref="JDN3424:JDN3425"/>
    <mergeCell ref="JBY3424:JBY3425"/>
    <mergeCell ref="JCA3424:JCF3424"/>
    <mergeCell ref="JCG3424:JCG3425"/>
    <mergeCell ref="JCH3424:JCH3425"/>
    <mergeCell ref="JCI3424:JCR3424"/>
    <mergeCell ref="JAU3424:JAZ3424"/>
    <mergeCell ref="JBA3424:JBA3425"/>
    <mergeCell ref="JBB3424:JBB3425"/>
    <mergeCell ref="JBC3424:JBL3424"/>
    <mergeCell ref="JBN3424:JBW3424"/>
    <mergeCell ref="IZU3424:IZU3425"/>
    <mergeCell ref="IZV3424:IZV3425"/>
    <mergeCell ref="IZW3424:JAF3424"/>
    <mergeCell ref="JAH3424:JAQ3424"/>
    <mergeCell ref="JAS3424:JAS3425"/>
    <mergeCell ref="IYP3424:IYP3425"/>
    <mergeCell ref="IYQ3424:IYZ3424"/>
    <mergeCell ref="IZB3424:IZK3424"/>
    <mergeCell ref="IZM3424:IZM3425"/>
    <mergeCell ref="IZO3424:IZT3424"/>
    <mergeCell ref="IXK3424:IXT3424"/>
    <mergeCell ref="IXV3424:IYE3424"/>
    <mergeCell ref="IYG3424:IYG3425"/>
    <mergeCell ref="IYI3424:IYN3424"/>
    <mergeCell ref="IYO3424:IYO3425"/>
    <mergeCell ref="IWP3424:IWY3424"/>
    <mergeCell ref="IXA3424:IXA3425"/>
    <mergeCell ref="IXC3424:IXH3424"/>
    <mergeCell ref="IXI3424:IXI3425"/>
    <mergeCell ref="IXJ3424:IXJ3425"/>
    <mergeCell ref="IVU3424:IVU3425"/>
    <mergeCell ref="IVW3424:IWB3424"/>
    <mergeCell ref="IWC3424:IWC3425"/>
    <mergeCell ref="IWD3424:IWD3425"/>
    <mergeCell ref="IWE3424:IWN3424"/>
    <mergeCell ref="IUQ3424:IUV3424"/>
    <mergeCell ref="IUW3424:IUW3425"/>
    <mergeCell ref="IUX3424:IUX3425"/>
    <mergeCell ref="IUY3424:IVH3424"/>
    <mergeCell ref="IVJ3424:IVS3424"/>
    <mergeCell ref="ITQ3424:ITQ3425"/>
    <mergeCell ref="ITR3424:ITR3425"/>
    <mergeCell ref="ITS3424:IUB3424"/>
    <mergeCell ref="IUD3424:IUM3424"/>
    <mergeCell ref="IUO3424:IUO3425"/>
    <mergeCell ref="ISL3424:ISL3425"/>
    <mergeCell ref="ISM3424:ISV3424"/>
    <mergeCell ref="ISX3424:ITG3424"/>
    <mergeCell ref="ITI3424:ITI3425"/>
    <mergeCell ref="ITK3424:ITP3424"/>
    <mergeCell ref="IRG3424:IRP3424"/>
    <mergeCell ref="IRR3424:ISA3424"/>
    <mergeCell ref="ISC3424:ISC3425"/>
    <mergeCell ref="ISE3424:ISJ3424"/>
    <mergeCell ref="ISK3424:ISK3425"/>
    <mergeCell ref="IQL3424:IQU3424"/>
    <mergeCell ref="IQW3424:IQW3425"/>
    <mergeCell ref="IQY3424:IRD3424"/>
    <mergeCell ref="IRE3424:IRE3425"/>
    <mergeCell ref="IRF3424:IRF3425"/>
    <mergeCell ref="IPQ3424:IPQ3425"/>
    <mergeCell ref="IPS3424:IPX3424"/>
    <mergeCell ref="IPY3424:IPY3425"/>
    <mergeCell ref="IPZ3424:IPZ3425"/>
    <mergeCell ref="IQA3424:IQJ3424"/>
    <mergeCell ref="IOM3424:IOR3424"/>
    <mergeCell ref="IOS3424:IOS3425"/>
    <mergeCell ref="IOT3424:IOT3425"/>
    <mergeCell ref="IOU3424:IPD3424"/>
    <mergeCell ref="IPF3424:IPO3424"/>
    <mergeCell ref="INM3424:INM3425"/>
    <mergeCell ref="INN3424:INN3425"/>
    <mergeCell ref="INO3424:INX3424"/>
    <mergeCell ref="INZ3424:IOI3424"/>
    <mergeCell ref="IOK3424:IOK3425"/>
    <mergeCell ref="IMH3424:IMH3425"/>
    <mergeCell ref="IMI3424:IMR3424"/>
    <mergeCell ref="IMT3424:INC3424"/>
    <mergeCell ref="INE3424:INE3425"/>
    <mergeCell ref="ING3424:INL3424"/>
    <mergeCell ref="ILC3424:ILL3424"/>
    <mergeCell ref="ILN3424:ILW3424"/>
    <mergeCell ref="ILY3424:ILY3425"/>
    <mergeCell ref="IMA3424:IMF3424"/>
    <mergeCell ref="IMG3424:IMG3425"/>
    <mergeCell ref="IKH3424:IKQ3424"/>
    <mergeCell ref="IKS3424:IKS3425"/>
    <mergeCell ref="IKU3424:IKZ3424"/>
    <mergeCell ref="ILA3424:ILA3425"/>
    <mergeCell ref="ILB3424:ILB3425"/>
    <mergeCell ref="IJM3424:IJM3425"/>
    <mergeCell ref="IJO3424:IJT3424"/>
    <mergeCell ref="IJU3424:IJU3425"/>
    <mergeCell ref="IJV3424:IJV3425"/>
    <mergeCell ref="IJW3424:IKF3424"/>
    <mergeCell ref="III3424:IIN3424"/>
    <mergeCell ref="IIO3424:IIO3425"/>
    <mergeCell ref="IIP3424:IIP3425"/>
    <mergeCell ref="IIQ3424:IIZ3424"/>
    <mergeCell ref="IJB3424:IJK3424"/>
    <mergeCell ref="IHI3424:IHI3425"/>
    <mergeCell ref="IHJ3424:IHJ3425"/>
    <mergeCell ref="IHK3424:IHT3424"/>
    <mergeCell ref="IHV3424:IIE3424"/>
    <mergeCell ref="IIG3424:IIG3425"/>
    <mergeCell ref="IGD3424:IGD3425"/>
    <mergeCell ref="IGE3424:IGN3424"/>
    <mergeCell ref="IGP3424:IGY3424"/>
    <mergeCell ref="IHA3424:IHA3425"/>
    <mergeCell ref="IHC3424:IHH3424"/>
    <mergeCell ref="IEY3424:IFH3424"/>
    <mergeCell ref="IFJ3424:IFS3424"/>
    <mergeCell ref="IFU3424:IFU3425"/>
    <mergeCell ref="IFW3424:IGB3424"/>
    <mergeCell ref="IGC3424:IGC3425"/>
    <mergeCell ref="IED3424:IEM3424"/>
    <mergeCell ref="IEO3424:IEO3425"/>
    <mergeCell ref="IEQ3424:IEV3424"/>
    <mergeCell ref="IEW3424:IEW3425"/>
    <mergeCell ref="IEX3424:IEX3425"/>
    <mergeCell ref="IDI3424:IDI3425"/>
    <mergeCell ref="IDK3424:IDP3424"/>
    <mergeCell ref="IDQ3424:IDQ3425"/>
    <mergeCell ref="IDR3424:IDR3425"/>
    <mergeCell ref="IDS3424:IEB3424"/>
    <mergeCell ref="ICE3424:ICJ3424"/>
    <mergeCell ref="ICK3424:ICK3425"/>
    <mergeCell ref="ICL3424:ICL3425"/>
    <mergeCell ref="ICM3424:ICV3424"/>
    <mergeCell ref="ICX3424:IDG3424"/>
    <mergeCell ref="IBE3424:IBE3425"/>
    <mergeCell ref="IBF3424:IBF3425"/>
    <mergeCell ref="IBG3424:IBP3424"/>
    <mergeCell ref="IBR3424:ICA3424"/>
    <mergeCell ref="ICC3424:ICC3425"/>
    <mergeCell ref="HZZ3424:HZZ3425"/>
    <mergeCell ref="IAA3424:IAJ3424"/>
    <mergeCell ref="IAL3424:IAU3424"/>
    <mergeCell ref="IAW3424:IAW3425"/>
    <mergeCell ref="IAY3424:IBD3424"/>
    <mergeCell ref="HYU3424:HZD3424"/>
    <mergeCell ref="HZF3424:HZO3424"/>
    <mergeCell ref="HZQ3424:HZQ3425"/>
    <mergeCell ref="HZS3424:HZX3424"/>
    <mergeCell ref="HZY3424:HZY3425"/>
    <mergeCell ref="HXZ3424:HYI3424"/>
    <mergeCell ref="HYK3424:HYK3425"/>
    <mergeCell ref="HYM3424:HYR3424"/>
    <mergeCell ref="HYS3424:HYS3425"/>
    <mergeCell ref="HYT3424:HYT3425"/>
    <mergeCell ref="HXE3424:HXE3425"/>
    <mergeCell ref="HXG3424:HXL3424"/>
    <mergeCell ref="HXM3424:HXM3425"/>
    <mergeCell ref="HXN3424:HXN3425"/>
    <mergeCell ref="HXO3424:HXX3424"/>
    <mergeCell ref="HWA3424:HWF3424"/>
    <mergeCell ref="HWG3424:HWG3425"/>
    <mergeCell ref="HWH3424:HWH3425"/>
    <mergeCell ref="HWI3424:HWR3424"/>
    <mergeCell ref="HWT3424:HXC3424"/>
    <mergeCell ref="HVA3424:HVA3425"/>
    <mergeCell ref="HVB3424:HVB3425"/>
    <mergeCell ref="HVC3424:HVL3424"/>
    <mergeCell ref="HVN3424:HVW3424"/>
    <mergeCell ref="HVY3424:HVY3425"/>
    <mergeCell ref="HTV3424:HTV3425"/>
    <mergeCell ref="HTW3424:HUF3424"/>
    <mergeCell ref="HUH3424:HUQ3424"/>
    <mergeCell ref="HUS3424:HUS3425"/>
    <mergeCell ref="HUU3424:HUZ3424"/>
    <mergeCell ref="HSQ3424:HSZ3424"/>
    <mergeCell ref="HTB3424:HTK3424"/>
    <mergeCell ref="HTM3424:HTM3425"/>
    <mergeCell ref="HTO3424:HTT3424"/>
    <mergeCell ref="HTU3424:HTU3425"/>
    <mergeCell ref="HRV3424:HSE3424"/>
    <mergeCell ref="HSG3424:HSG3425"/>
    <mergeCell ref="HSI3424:HSN3424"/>
    <mergeCell ref="HSO3424:HSO3425"/>
    <mergeCell ref="HSP3424:HSP3425"/>
    <mergeCell ref="HRA3424:HRA3425"/>
    <mergeCell ref="HRC3424:HRH3424"/>
    <mergeCell ref="HRI3424:HRI3425"/>
    <mergeCell ref="HRJ3424:HRJ3425"/>
    <mergeCell ref="HRK3424:HRT3424"/>
    <mergeCell ref="HPW3424:HQB3424"/>
    <mergeCell ref="HQC3424:HQC3425"/>
    <mergeCell ref="HQD3424:HQD3425"/>
    <mergeCell ref="HQE3424:HQN3424"/>
    <mergeCell ref="HQP3424:HQY3424"/>
    <mergeCell ref="HOW3424:HOW3425"/>
    <mergeCell ref="HOX3424:HOX3425"/>
    <mergeCell ref="HOY3424:HPH3424"/>
    <mergeCell ref="HPJ3424:HPS3424"/>
    <mergeCell ref="HPU3424:HPU3425"/>
    <mergeCell ref="HNR3424:HNR3425"/>
    <mergeCell ref="HNS3424:HOB3424"/>
    <mergeCell ref="HOD3424:HOM3424"/>
    <mergeCell ref="HOO3424:HOO3425"/>
    <mergeCell ref="HOQ3424:HOV3424"/>
    <mergeCell ref="HMM3424:HMV3424"/>
    <mergeCell ref="HMX3424:HNG3424"/>
    <mergeCell ref="HNI3424:HNI3425"/>
    <mergeCell ref="HNK3424:HNP3424"/>
    <mergeCell ref="HNQ3424:HNQ3425"/>
    <mergeCell ref="HLR3424:HMA3424"/>
    <mergeCell ref="HMC3424:HMC3425"/>
    <mergeCell ref="HME3424:HMJ3424"/>
    <mergeCell ref="HMK3424:HMK3425"/>
    <mergeCell ref="HML3424:HML3425"/>
    <mergeCell ref="HKW3424:HKW3425"/>
    <mergeCell ref="HKY3424:HLD3424"/>
    <mergeCell ref="HLE3424:HLE3425"/>
    <mergeCell ref="HLF3424:HLF3425"/>
    <mergeCell ref="HLG3424:HLP3424"/>
    <mergeCell ref="HJS3424:HJX3424"/>
    <mergeCell ref="HJY3424:HJY3425"/>
    <mergeCell ref="HJZ3424:HJZ3425"/>
    <mergeCell ref="HKA3424:HKJ3424"/>
    <mergeCell ref="HKL3424:HKU3424"/>
    <mergeCell ref="HIS3424:HIS3425"/>
    <mergeCell ref="HIT3424:HIT3425"/>
    <mergeCell ref="HIU3424:HJD3424"/>
    <mergeCell ref="HJF3424:HJO3424"/>
    <mergeCell ref="HJQ3424:HJQ3425"/>
    <mergeCell ref="HHN3424:HHN3425"/>
    <mergeCell ref="HHO3424:HHX3424"/>
    <mergeCell ref="HHZ3424:HII3424"/>
    <mergeCell ref="HIK3424:HIK3425"/>
    <mergeCell ref="HIM3424:HIR3424"/>
    <mergeCell ref="HGI3424:HGR3424"/>
    <mergeCell ref="HGT3424:HHC3424"/>
    <mergeCell ref="HHE3424:HHE3425"/>
    <mergeCell ref="HHG3424:HHL3424"/>
    <mergeCell ref="HHM3424:HHM3425"/>
    <mergeCell ref="HFN3424:HFW3424"/>
    <mergeCell ref="HFY3424:HFY3425"/>
    <mergeCell ref="HGA3424:HGF3424"/>
    <mergeCell ref="HGG3424:HGG3425"/>
    <mergeCell ref="HGH3424:HGH3425"/>
    <mergeCell ref="HES3424:HES3425"/>
    <mergeCell ref="HEU3424:HEZ3424"/>
    <mergeCell ref="HFA3424:HFA3425"/>
    <mergeCell ref="HFB3424:HFB3425"/>
    <mergeCell ref="HFC3424:HFL3424"/>
    <mergeCell ref="HDO3424:HDT3424"/>
    <mergeCell ref="HDU3424:HDU3425"/>
    <mergeCell ref="HDV3424:HDV3425"/>
    <mergeCell ref="HDW3424:HEF3424"/>
    <mergeCell ref="HEH3424:HEQ3424"/>
    <mergeCell ref="HCO3424:HCO3425"/>
    <mergeCell ref="HCP3424:HCP3425"/>
    <mergeCell ref="HCQ3424:HCZ3424"/>
    <mergeCell ref="HDB3424:HDK3424"/>
    <mergeCell ref="HDM3424:HDM3425"/>
    <mergeCell ref="HBJ3424:HBJ3425"/>
    <mergeCell ref="HBK3424:HBT3424"/>
    <mergeCell ref="HBV3424:HCE3424"/>
    <mergeCell ref="HCG3424:HCG3425"/>
    <mergeCell ref="HCI3424:HCN3424"/>
    <mergeCell ref="HAE3424:HAN3424"/>
    <mergeCell ref="HAP3424:HAY3424"/>
    <mergeCell ref="HBA3424:HBA3425"/>
    <mergeCell ref="HBC3424:HBH3424"/>
    <mergeCell ref="HBI3424:HBI3425"/>
    <mergeCell ref="GZJ3424:GZS3424"/>
    <mergeCell ref="GZU3424:GZU3425"/>
    <mergeCell ref="GZW3424:HAB3424"/>
    <mergeCell ref="HAC3424:HAC3425"/>
    <mergeCell ref="HAD3424:HAD3425"/>
    <mergeCell ref="GYO3424:GYO3425"/>
    <mergeCell ref="GYQ3424:GYV3424"/>
    <mergeCell ref="GYW3424:GYW3425"/>
    <mergeCell ref="GYX3424:GYX3425"/>
    <mergeCell ref="GYY3424:GZH3424"/>
    <mergeCell ref="GXK3424:GXP3424"/>
    <mergeCell ref="GXQ3424:GXQ3425"/>
    <mergeCell ref="GXR3424:GXR3425"/>
    <mergeCell ref="GXS3424:GYB3424"/>
    <mergeCell ref="GYD3424:GYM3424"/>
    <mergeCell ref="GWK3424:GWK3425"/>
    <mergeCell ref="GWL3424:GWL3425"/>
    <mergeCell ref="GWM3424:GWV3424"/>
    <mergeCell ref="GWX3424:GXG3424"/>
    <mergeCell ref="GXI3424:GXI3425"/>
    <mergeCell ref="GVF3424:GVF3425"/>
    <mergeCell ref="GVG3424:GVP3424"/>
    <mergeCell ref="GVR3424:GWA3424"/>
    <mergeCell ref="GWC3424:GWC3425"/>
    <mergeCell ref="GWE3424:GWJ3424"/>
    <mergeCell ref="GUA3424:GUJ3424"/>
    <mergeCell ref="GUL3424:GUU3424"/>
    <mergeCell ref="GUW3424:GUW3425"/>
    <mergeCell ref="GUY3424:GVD3424"/>
    <mergeCell ref="GVE3424:GVE3425"/>
    <mergeCell ref="GTF3424:GTO3424"/>
    <mergeCell ref="GTQ3424:GTQ3425"/>
    <mergeCell ref="GTS3424:GTX3424"/>
    <mergeCell ref="GTY3424:GTY3425"/>
    <mergeCell ref="GTZ3424:GTZ3425"/>
    <mergeCell ref="GSK3424:GSK3425"/>
    <mergeCell ref="GSM3424:GSR3424"/>
    <mergeCell ref="GSS3424:GSS3425"/>
    <mergeCell ref="GST3424:GST3425"/>
    <mergeCell ref="GSU3424:GTD3424"/>
    <mergeCell ref="GRG3424:GRL3424"/>
    <mergeCell ref="GRM3424:GRM3425"/>
    <mergeCell ref="GRN3424:GRN3425"/>
    <mergeCell ref="GRO3424:GRX3424"/>
    <mergeCell ref="GRZ3424:GSI3424"/>
    <mergeCell ref="GQG3424:GQG3425"/>
    <mergeCell ref="GQH3424:GQH3425"/>
    <mergeCell ref="GQI3424:GQR3424"/>
    <mergeCell ref="GQT3424:GRC3424"/>
    <mergeCell ref="GRE3424:GRE3425"/>
    <mergeCell ref="GPB3424:GPB3425"/>
    <mergeCell ref="GPC3424:GPL3424"/>
    <mergeCell ref="GPN3424:GPW3424"/>
    <mergeCell ref="GPY3424:GPY3425"/>
    <mergeCell ref="GQA3424:GQF3424"/>
    <mergeCell ref="GNW3424:GOF3424"/>
    <mergeCell ref="GOH3424:GOQ3424"/>
    <mergeCell ref="GOS3424:GOS3425"/>
    <mergeCell ref="GOU3424:GOZ3424"/>
    <mergeCell ref="GPA3424:GPA3425"/>
    <mergeCell ref="GNB3424:GNK3424"/>
    <mergeCell ref="GNM3424:GNM3425"/>
    <mergeCell ref="GNO3424:GNT3424"/>
    <mergeCell ref="GNU3424:GNU3425"/>
    <mergeCell ref="GNV3424:GNV3425"/>
    <mergeCell ref="GMG3424:GMG3425"/>
    <mergeCell ref="GMI3424:GMN3424"/>
    <mergeCell ref="GMO3424:GMO3425"/>
    <mergeCell ref="GMP3424:GMP3425"/>
    <mergeCell ref="GMQ3424:GMZ3424"/>
    <mergeCell ref="GLC3424:GLH3424"/>
    <mergeCell ref="GLI3424:GLI3425"/>
    <mergeCell ref="GLJ3424:GLJ3425"/>
    <mergeCell ref="GLK3424:GLT3424"/>
    <mergeCell ref="GLV3424:GME3424"/>
    <mergeCell ref="GKC3424:GKC3425"/>
    <mergeCell ref="GKD3424:GKD3425"/>
    <mergeCell ref="GKE3424:GKN3424"/>
    <mergeCell ref="GKP3424:GKY3424"/>
    <mergeCell ref="GLA3424:GLA3425"/>
    <mergeCell ref="GIX3424:GIX3425"/>
    <mergeCell ref="GIY3424:GJH3424"/>
    <mergeCell ref="GJJ3424:GJS3424"/>
    <mergeCell ref="GJU3424:GJU3425"/>
    <mergeCell ref="GJW3424:GKB3424"/>
    <mergeCell ref="GHS3424:GIB3424"/>
    <mergeCell ref="GID3424:GIM3424"/>
    <mergeCell ref="GIO3424:GIO3425"/>
    <mergeCell ref="GIQ3424:GIV3424"/>
    <mergeCell ref="GIW3424:GIW3425"/>
    <mergeCell ref="GGX3424:GHG3424"/>
    <mergeCell ref="GHI3424:GHI3425"/>
    <mergeCell ref="GHK3424:GHP3424"/>
    <mergeCell ref="GHQ3424:GHQ3425"/>
    <mergeCell ref="GHR3424:GHR3425"/>
    <mergeCell ref="GGC3424:GGC3425"/>
    <mergeCell ref="GGE3424:GGJ3424"/>
    <mergeCell ref="GGK3424:GGK3425"/>
    <mergeCell ref="GGL3424:GGL3425"/>
    <mergeCell ref="GGM3424:GGV3424"/>
    <mergeCell ref="GEY3424:GFD3424"/>
    <mergeCell ref="GFE3424:GFE3425"/>
    <mergeCell ref="GFF3424:GFF3425"/>
    <mergeCell ref="GFG3424:GFP3424"/>
    <mergeCell ref="GFR3424:GGA3424"/>
    <mergeCell ref="GDY3424:GDY3425"/>
    <mergeCell ref="GDZ3424:GDZ3425"/>
    <mergeCell ref="GEA3424:GEJ3424"/>
    <mergeCell ref="GEL3424:GEU3424"/>
    <mergeCell ref="GEW3424:GEW3425"/>
    <mergeCell ref="GCT3424:GCT3425"/>
    <mergeCell ref="GCU3424:GDD3424"/>
    <mergeCell ref="GDF3424:GDO3424"/>
    <mergeCell ref="GDQ3424:GDQ3425"/>
    <mergeCell ref="GDS3424:GDX3424"/>
    <mergeCell ref="GBO3424:GBX3424"/>
    <mergeCell ref="GBZ3424:GCI3424"/>
    <mergeCell ref="GCK3424:GCK3425"/>
    <mergeCell ref="GCM3424:GCR3424"/>
    <mergeCell ref="GCS3424:GCS3425"/>
    <mergeCell ref="GAT3424:GBC3424"/>
    <mergeCell ref="GBE3424:GBE3425"/>
    <mergeCell ref="GBG3424:GBL3424"/>
    <mergeCell ref="GBM3424:GBM3425"/>
    <mergeCell ref="GBN3424:GBN3425"/>
    <mergeCell ref="FZY3424:FZY3425"/>
    <mergeCell ref="GAA3424:GAF3424"/>
    <mergeCell ref="GAG3424:GAG3425"/>
    <mergeCell ref="GAH3424:GAH3425"/>
    <mergeCell ref="GAI3424:GAR3424"/>
    <mergeCell ref="FYU3424:FYZ3424"/>
    <mergeCell ref="FZA3424:FZA3425"/>
    <mergeCell ref="FZB3424:FZB3425"/>
    <mergeCell ref="FZC3424:FZL3424"/>
    <mergeCell ref="FZN3424:FZW3424"/>
    <mergeCell ref="FXU3424:FXU3425"/>
    <mergeCell ref="FXV3424:FXV3425"/>
    <mergeCell ref="FXW3424:FYF3424"/>
    <mergeCell ref="FYH3424:FYQ3424"/>
    <mergeCell ref="FYS3424:FYS3425"/>
    <mergeCell ref="FWP3424:FWP3425"/>
    <mergeCell ref="FWQ3424:FWZ3424"/>
    <mergeCell ref="FXB3424:FXK3424"/>
    <mergeCell ref="FXM3424:FXM3425"/>
    <mergeCell ref="FXO3424:FXT3424"/>
    <mergeCell ref="FVK3424:FVT3424"/>
    <mergeCell ref="FVV3424:FWE3424"/>
    <mergeCell ref="FWG3424:FWG3425"/>
    <mergeCell ref="FWI3424:FWN3424"/>
    <mergeCell ref="FWO3424:FWO3425"/>
    <mergeCell ref="FUP3424:FUY3424"/>
    <mergeCell ref="FVA3424:FVA3425"/>
    <mergeCell ref="FVC3424:FVH3424"/>
    <mergeCell ref="FVI3424:FVI3425"/>
    <mergeCell ref="FVJ3424:FVJ3425"/>
    <mergeCell ref="FTU3424:FTU3425"/>
    <mergeCell ref="FTW3424:FUB3424"/>
    <mergeCell ref="FUC3424:FUC3425"/>
    <mergeCell ref="FUD3424:FUD3425"/>
    <mergeCell ref="FUE3424:FUN3424"/>
    <mergeCell ref="FSQ3424:FSV3424"/>
    <mergeCell ref="FSW3424:FSW3425"/>
    <mergeCell ref="FSX3424:FSX3425"/>
    <mergeCell ref="FSY3424:FTH3424"/>
    <mergeCell ref="FTJ3424:FTS3424"/>
    <mergeCell ref="FRQ3424:FRQ3425"/>
    <mergeCell ref="FRR3424:FRR3425"/>
    <mergeCell ref="FRS3424:FSB3424"/>
    <mergeCell ref="FSD3424:FSM3424"/>
    <mergeCell ref="FSO3424:FSO3425"/>
    <mergeCell ref="FQL3424:FQL3425"/>
    <mergeCell ref="FQM3424:FQV3424"/>
    <mergeCell ref="FQX3424:FRG3424"/>
    <mergeCell ref="FRI3424:FRI3425"/>
    <mergeCell ref="FRK3424:FRP3424"/>
    <mergeCell ref="FPG3424:FPP3424"/>
    <mergeCell ref="FPR3424:FQA3424"/>
    <mergeCell ref="FQC3424:FQC3425"/>
    <mergeCell ref="FQE3424:FQJ3424"/>
    <mergeCell ref="FQK3424:FQK3425"/>
    <mergeCell ref="FOL3424:FOU3424"/>
    <mergeCell ref="FOW3424:FOW3425"/>
    <mergeCell ref="FOY3424:FPD3424"/>
    <mergeCell ref="FPE3424:FPE3425"/>
    <mergeCell ref="FPF3424:FPF3425"/>
    <mergeCell ref="FNQ3424:FNQ3425"/>
    <mergeCell ref="FNS3424:FNX3424"/>
    <mergeCell ref="FNY3424:FNY3425"/>
    <mergeCell ref="FNZ3424:FNZ3425"/>
    <mergeCell ref="FOA3424:FOJ3424"/>
    <mergeCell ref="FMM3424:FMR3424"/>
    <mergeCell ref="FMS3424:FMS3425"/>
    <mergeCell ref="FMT3424:FMT3425"/>
    <mergeCell ref="FMU3424:FND3424"/>
    <mergeCell ref="FNF3424:FNO3424"/>
    <mergeCell ref="FLM3424:FLM3425"/>
    <mergeCell ref="FLN3424:FLN3425"/>
    <mergeCell ref="FLO3424:FLX3424"/>
    <mergeCell ref="FLZ3424:FMI3424"/>
    <mergeCell ref="FMK3424:FMK3425"/>
    <mergeCell ref="FKH3424:FKH3425"/>
    <mergeCell ref="FKI3424:FKR3424"/>
    <mergeCell ref="FKT3424:FLC3424"/>
    <mergeCell ref="FLE3424:FLE3425"/>
    <mergeCell ref="FLG3424:FLL3424"/>
    <mergeCell ref="FJC3424:FJL3424"/>
    <mergeCell ref="FJN3424:FJW3424"/>
    <mergeCell ref="FJY3424:FJY3425"/>
    <mergeCell ref="FKA3424:FKF3424"/>
    <mergeCell ref="FKG3424:FKG3425"/>
    <mergeCell ref="FIH3424:FIQ3424"/>
    <mergeCell ref="FIS3424:FIS3425"/>
    <mergeCell ref="FIU3424:FIZ3424"/>
    <mergeCell ref="FJA3424:FJA3425"/>
    <mergeCell ref="FJB3424:FJB3425"/>
    <mergeCell ref="FHM3424:FHM3425"/>
    <mergeCell ref="FHO3424:FHT3424"/>
    <mergeCell ref="FHU3424:FHU3425"/>
    <mergeCell ref="FHV3424:FHV3425"/>
    <mergeCell ref="FHW3424:FIF3424"/>
    <mergeCell ref="FGI3424:FGN3424"/>
    <mergeCell ref="FGO3424:FGO3425"/>
    <mergeCell ref="FGP3424:FGP3425"/>
    <mergeCell ref="FGQ3424:FGZ3424"/>
    <mergeCell ref="FHB3424:FHK3424"/>
    <mergeCell ref="FFI3424:FFI3425"/>
    <mergeCell ref="FFJ3424:FFJ3425"/>
    <mergeCell ref="FFK3424:FFT3424"/>
    <mergeCell ref="FFV3424:FGE3424"/>
    <mergeCell ref="FGG3424:FGG3425"/>
    <mergeCell ref="FED3424:FED3425"/>
    <mergeCell ref="FEE3424:FEN3424"/>
    <mergeCell ref="FEP3424:FEY3424"/>
    <mergeCell ref="FFA3424:FFA3425"/>
    <mergeCell ref="FFC3424:FFH3424"/>
    <mergeCell ref="FCY3424:FDH3424"/>
    <mergeCell ref="FDJ3424:FDS3424"/>
    <mergeCell ref="FDU3424:FDU3425"/>
    <mergeCell ref="FDW3424:FEB3424"/>
    <mergeCell ref="FEC3424:FEC3425"/>
    <mergeCell ref="FCD3424:FCM3424"/>
    <mergeCell ref="FCO3424:FCO3425"/>
    <mergeCell ref="FCQ3424:FCV3424"/>
    <mergeCell ref="FCW3424:FCW3425"/>
    <mergeCell ref="FCX3424:FCX3425"/>
    <mergeCell ref="FBI3424:FBI3425"/>
    <mergeCell ref="FBK3424:FBP3424"/>
    <mergeCell ref="FBQ3424:FBQ3425"/>
    <mergeCell ref="FBR3424:FBR3425"/>
    <mergeCell ref="FBS3424:FCB3424"/>
    <mergeCell ref="FAE3424:FAJ3424"/>
    <mergeCell ref="FAK3424:FAK3425"/>
    <mergeCell ref="FAL3424:FAL3425"/>
    <mergeCell ref="FAM3424:FAV3424"/>
    <mergeCell ref="FAX3424:FBG3424"/>
    <mergeCell ref="EZE3424:EZE3425"/>
    <mergeCell ref="EZF3424:EZF3425"/>
    <mergeCell ref="EZG3424:EZP3424"/>
    <mergeCell ref="EZR3424:FAA3424"/>
    <mergeCell ref="FAC3424:FAC3425"/>
    <mergeCell ref="EXZ3424:EXZ3425"/>
    <mergeCell ref="EYA3424:EYJ3424"/>
    <mergeCell ref="EYL3424:EYU3424"/>
    <mergeCell ref="EYW3424:EYW3425"/>
    <mergeCell ref="EYY3424:EZD3424"/>
    <mergeCell ref="EWU3424:EXD3424"/>
    <mergeCell ref="EXF3424:EXO3424"/>
    <mergeCell ref="EXQ3424:EXQ3425"/>
    <mergeCell ref="EXS3424:EXX3424"/>
    <mergeCell ref="EXY3424:EXY3425"/>
    <mergeCell ref="EVZ3424:EWI3424"/>
    <mergeCell ref="EWK3424:EWK3425"/>
    <mergeCell ref="EWM3424:EWR3424"/>
    <mergeCell ref="EWS3424:EWS3425"/>
    <mergeCell ref="EWT3424:EWT3425"/>
    <mergeCell ref="EVE3424:EVE3425"/>
    <mergeCell ref="EVG3424:EVL3424"/>
    <mergeCell ref="EVM3424:EVM3425"/>
    <mergeCell ref="EVN3424:EVN3425"/>
    <mergeCell ref="EVO3424:EVX3424"/>
    <mergeCell ref="EUA3424:EUF3424"/>
    <mergeCell ref="EUG3424:EUG3425"/>
    <mergeCell ref="EUH3424:EUH3425"/>
    <mergeCell ref="EUI3424:EUR3424"/>
    <mergeCell ref="EUT3424:EVC3424"/>
    <mergeCell ref="ETA3424:ETA3425"/>
    <mergeCell ref="ETB3424:ETB3425"/>
    <mergeCell ref="ETC3424:ETL3424"/>
    <mergeCell ref="ETN3424:ETW3424"/>
    <mergeCell ref="ETY3424:ETY3425"/>
    <mergeCell ref="ERV3424:ERV3425"/>
    <mergeCell ref="ERW3424:ESF3424"/>
    <mergeCell ref="ESH3424:ESQ3424"/>
    <mergeCell ref="ESS3424:ESS3425"/>
    <mergeCell ref="ESU3424:ESZ3424"/>
    <mergeCell ref="EQQ3424:EQZ3424"/>
    <mergeCell ref="ERB3424:ERK3424"/>
    <mergeCell ref="ERM3424:ERM3425"/>
    <mergeCell ref="ERO3424:ERT3424"/>
    <mergeCell ref="ERU3424:ERU3425"/>
    <mergeCell ref="EPV3424:EQE3424"/>
    <mergeCell ref="EQG3424:EQG3425"/>
    <mergeCell ref="EQI3424:EQN3424"/>
    <mergeCell ref="EQO3424:EQO3425"/>
    <mergeCell ref="EQP3424:EQP3425"/>
    <mergeCell ref="EPA3424:EPA3425"/>
    <mergeCell ref="EPC3424:EPH3424"/>
    <mergeCell ref="EPI3424:EPI3425"/>
    <mergeCell ref="EPJ3424:EPJ3425"/>
    <mergeCell ref="EPK3424:EPT3424"/>
    <mergeCell ref="ENW3424:EOB3424"/>
    <mergeCell ref="EOC3424:EOC3425"/>
    <mergeCell ref="EOD3424:EOD3425"/>
    <mergeCell ref="EOE3424:EON3424"/>
    <mergeCell ref="EOP3424:EOY3424"/>
    <mergeCell ref="EMW3424:EMW3425"/>
    <mergeCell ref="EMX3424:EMX3425"/>
    <mergeCell ref="EMY3424:ENH3424"/>
    <mergeCell ref="ENJ3424:ENS3424"/>
    <mergeCell ref="ENU3424:ENU3425"/>
    <mergeCell ref="ELR3424:ELR3425"/>
    <mergeCell ref="ELS3424:EMB3424"/>
    <mergeCell ref="EMD3424:EMM3424"/>
    <mergeCell ref="EMO3424:EMO3425"/>
    <mergeCell ref="EMQ3424:EMV3424"/>
    <mergeCell ref="EKM3424:EKV3424"/>
    <mergeCell ref="EKX3424:ELG3424"/>
    <mergeCell ref="ELI3424:ELI3425"/>
    <mergeCell ref="ELK3424:ELP3424"/>
    <mergeCell ref="ELQ3424:ELQ3425"/>
    <mergeCell ref="EJR3424:EKA3424"/>
    <mergeCell ref="EKC3424:EKC3425"/>
    <mergeCell ref="EKE3424:EKJ3424"/>
    <mergeCell ref="EKK3424:EKK3425"/>
    <mergeCell ref="EKL3424:EKL3425"/>
    <mergeCell ref="EIW3424:EIW3425"/>
    <mergeCell ref="EIY3424:EJD3424"/>
    <mergeCell ref="EJE3424:EJE3425"/>
    <mergeCell ref="EJF3424:EJF3425"/>
    <mergeCell ref="EJG3424:EJP3424"/>
    <mergeCell ref="EHS3424:EHX3424"/>
    <mergeCell ref="EHY3424:EHY3425"/>
    <mergeCell ref="EHZ3424:EHZ3425"/>
    <mergeCell ref="EIA3424:EIJ3424"/>
    <mergeCell ref="EIL3424:EIU3424"/>
    <mergeCell ref="EGS3424:EGS3425"/>
    <mergeCell ref="EGT3424:EGT3425"/>
    <mergeCell ref="EGU3424:EHD3424"/>
    <mergeCell ref="EHF3424:EHO3424"/>
    <mergeCell ref="EHQ3424:EHQ3425"/>
    <mergeCell ref="EFN3424:EFN3425"/>
    <mergeCell ref="EFO3424:EFX3424"/>
    <mergeCell ref="EFZ3424:EGI3424"/>
    <mergeCell ref="EGK3424:EGK3425"/>
    <mergeCell ref="EGM3424:EGR3424"/>
    <mergeCell ref="EEI3424:EER3424"/>
    <mergeCell ref="EET3424:EFC3424"/>
    <mergeCell ref="EFE3424:EFE3425"/>
    <mergeCell ref="EFG3424:EFL3424"/>
    <mergeCell ref="EFM3424:EFM3425"/>
    <mergeCell ref="EDN3424:EDW3424"/>
    <mergeCell ref="EDY3424:EDY3425"/>
    <mergeCell ref="EEA3424:EEF3424"/>
    <mergeCell ref="EEG3424:EEG3425"/>
    <mergeCell ref="EEH3424:EEH3425"/>
    <mergeCell ref="ECS3424:ECS3425"/>
    <mergeCell ref="ECU3424:ECZ3424"/>
    <mergeCell ref="EDA3424:EDA3425"/>
    <mergeCell ref="EDB3424:EDB3425"/>
    <mergeCell ref="EDC3424:EDL3424"/>
    <mergeCell ref="EBO3424:EBT3424"/>
    <mergeCell ref="EBU3424:EBU3425"/>
    <mergeCell ref="EBV3424:EBV3425"/>
    <mergeCell ref="EBW3424:ECF3424"/>
    <mergeCell ref="ECH3424:ECQ3424"/>
    <mergeCell ref="EAO3424:EAO3425"/>
    <mergeCell ref="EAP3424:EAP3425"/>
    <mergeCell ref="EAQ3424:EAZ3424"/>
    <mergeCell ref="EBB3424:EBK3424"/>
    <mergeCell ref="EBM3424:EBM3425"/>
    <mergeCell ref="DZJ3424:DZJ3425"/>
    <mergeCell ref="DZK3424:DZT3424"/>
    <mergeCell ref="DZV3424:EAE3424"/>
    <mergeCell ref="EAG3424:EAG3425"/>
    <mergeCell ref="EAI3424:EAN3424"/>
    <mergeCell ref="DYE3424:DYN3424"/>
    <mergeCell ref="DYP3424:DYY3424"/>
    <mergeCell ref="DZA3424:DZA3425"/>
    <mergeCell ref="DZC3424:DZH3424"/>
    <mergeCell ref="DZI3424:DZI3425"/>
    <mergeCell ref="DXJ3424:DXS3424"/>
    <mergeCell ref="DXU3424:DXU3425"/>
    <mergeCell ref="DXW3424:DYB3424"/>
    <mergeCell ref="DYC3424:DYC3425"/>
    <mergeCell ref="DYD3424:DYD3425"/>
    <mergeCell ref="DWO3424:DWO3425"/>
    <mergeCell ref="DWQ3424:DWV3424"/>
    <mergeCell ref="DWW3424:DWW3425"/>
    <mergeCell ref="DWX3424:DWX3425"/>
    <mergeCell ref="DWY3424:DXH3424"/>
    <mergeCell ref="DVK3424:DVP3424"/>
    <mergeCell ref="DVQ3424:DVQ3425"/>
    <mergeCell ref="DVR3424:DVR3425"/>
    <mergeCell ref="DVS3424:DWB3424"/>
    <mergeCell ref="DWD3424:DWM3424"/>
    <mergeCell ref="DUK3424:DUK3425"/>
    <mergeCell ref="DUL3424:DUL3425"/>
    <mergeCell ref="DUM3424:DUV3424"/>
    <mergeCell ref="DUX3424:DVG3424"/>
    <mergeCell ref="DVI3424:DVI3425"/>
    <mergeCell ref="DTF3424:DTF3425"/>
    <mergeCell ref="DTG3424:DTP3424"/>
    <mergeCell ref="DTR3424:DUA3424"/>
    <mergeCell ref="DUC3424:DUC3425"/>
    <mergeCell ref="DUE3424:DUJ3424"/>
    <mergeCell ref="DSA3424:DSJ3424"/>
    <mergeCell ref="DSL3424:DSU3424"/>
    <mergeCell ref="DSW3424:DSW3425"/>
    <mergeCell ref="DSY3424:DTD3424"/>
    <mergeCell ref="DTE3424:DTE3425"/>
    <mergeCell ref="DRF3424:DRO3424"/>
    <mergeCell ref="DRQ3424:DRQ3425"/>
    <mergeCell ref="DRS3424:DRX3424"/>
    <mergeCell ref="DRY3424:DRY3425"/>
    <mergeCell ref="DRZ3424:DRZ3425"/>
    <mergeCell ref="DQK3424:DQK3425"/>
    <mergeCell ref="DQM3424:DQR3424"/>
    <mergeCell ref="DQS3424:DQS3425"/>
    <mergeCell ref="DQT3424:DQT3425"/>
    <mergeCell ref="DQU3424:DRD3424"/>
    <mergeCell ref="DPG3424:DPL3424"/>
    <mergeCell ref="DPM3424:DPM3425"/>
    <mergeCell ref="DPN3424:DPN3425"/>
    <mergeCell ref="DPO3424:DPX3424"/>
    <mergeCell ref="DPZ3424:DQI3424"/>
    <mergeCell ref="DOG3424:DOG3425"/>
    <mergeCell ref="DOH3424:DOH3425"/>
    <mergeCell ref="DOI3424:DOR3424"/>
    <mergeCell ref="DOT3424:DPC3424"/>
    <mergeCell ref="DPE3424:DPE3425"/>
    <mergeCell ref="DNB3424:DNB3425"/>
    <mergeCell ref="DNC3424:DNL3424"/>
    <mergeCell ref="DNN3424:DNW3424"/>
    <mergeCell ref="DNY3424:DNY3425"/>
    <mergeCell ref="DOA3424:DOF3424"/>
    <mergeCell ref="DLW3424:DMF3424"/>
    <mergeCell ref="DMH3424:DMQ3424"/>
    <mergeCell ref="DMS3424:DMS3425"/>
    <mergeCell ref="DMU3424:DMZ3424"/>
    <mergeCell ref="DNA3424:DNA3425"/>
    <mergeCell ref="DLB3424:DLK3424"/>
    <mergeCell ref="DLM3424:DLM3425"/>
    <mergeCell ref="DLO3424:DLT3424"/>
    <mergeCell ref="DLU3424:DLU3425"/>
    <mergeCell ref="DLV3424:DLV3425"/>
    <mergeCell ref="DKG3424:DKG3425"/>
    <mergeCell ref="DKI3424:DKN3424"/>
    <mergeCell ref="DKO3424:DKO3425"/>
    <mergeCell ref="DKP3424:DKP3425"/>
    <mergeCell ref="DKQ3424:DKZ3424"/>
    <mergeCell ref="DJC3424:DJH3424"/>
    <mergeCell ref="DJI3424:DJI3425"/>
    <mergeCell ref="DJJ3424:DJJ3425"/>
    <mergeCell ref="DJK3424:DJT3424"/>
    <mergeCell ref="DJV3424:DKE3424"/>
    <mergeCell ref="DIC3424:DIC3425"/>
    <mergeCell ref="DID3424:DID3425"/>
    <mergeCell ref="DIE3424:DIN3424"/>
    <mergeCell ref="DIP3424:DIY3424"/>
    <mergeCell ref="DJA3424:DJA3425"/>
    <mergeCell ref="DGX3424:DGX3425"/>
    <mergeCell ref="DGY3424:DHH3424"/>
    <mergeCell ref="DHJ3424:DHS3424"/>
    <mergeCell ref="DHU3424:DHU3425"/>
    <mergeCell ref="DHW3424:DIB3424"/>
    <mergeCell ref="DFS3424:DGB3424"/>
    <mergeCell ref="DGD3424:DGM3424"/>
    <mergeCell ref="DGO3424:DGO3425"/>
    <mergeCell ref="DGQ3424:DGV3424"/>
    <mergeCell ref="DGW3424:DGW3425"/>
    <mergeCell ref="DEX3424:DFG3424"/>
    <mergeCell ref="DFI3424:DFI3425"/>
    <mergeCell ref="DFK3424:DFP3424"/>
    <mergeCell ref="DFQ3424:DFQ3425"/>
    <mergeCell ref="DFR3424:DFR3425"/>
    <mergeCell ref="DEC3424:DEC3425"/>
    <mergeCell ref="DEE3424:DEJ3424"/>
    <mergeCell ref="DEK3424:DEK3425"/>
    <mergeCell ref="DEL3424:DEL3425"/>
    <mergeCell ref="DEM3424:DEV3424"/>
    <mergeCell ref="DCY3424:DDD3424"/>
    <mergeCell ref="DDE3424:DDE3425"/>
    <mergeCell ref="DDF3424:DDF3425"/>
    <mergeCell ref="DDG3424:DDP3424"/>
    <mergeCell ref="DDR3424:DEA3424"/>
    <mergeCell ref="DBY3424:DBY3425"/>
    <mergeCell ref="DBZ3424:DBZ3425"/>
    <mergeCell ref="DCA3424:DCJ3424"/>
    <mergeCell ref="DCL3424:DCU3424"/>
    <mergeCell ref="DCW3424:DCW3425"/>
    <mergeCell ref="DAT3424:DAT3425"/>
    <mergeCell ref="DAU3424:DBD3424"/>
    <mergeCell ref="DBF3424:DBO3424"/>
    <mergeCell ref="DBQ3424:DBQ3425"/>
    <mergeCell ref="DBS3424:DBX3424"/>
    <mergeCell ref="CZO3424:CZX3424"/>
    <mergeCell ref="CZZ3424:DAI3424"/>
    <mergeCell ref="DAK3424:DAK3425"/>
    <mergeCell ref="DAM3424:DAR3424"/>
    <mergeCell ref="DAS3424:DAS3425"/>
    <mergeCell ref="CYT3424:CZC3424"/>
    <mergeCell ref="CZE3424:CZE3425"/>
    <mergeCell ref="CZG3424:CZL3424"/>
    <mergeCell ref="CZM3424:CZM3425"/>
    <mergeCell ref="CZN3424:CZN3425"/>
    <mergeCell ref="CXY3424:CXY3425"/>
    <mergeCell ref="CYA3424:CYF3424"/>
    <mergeCell ref="CYG3424:CYG3425"/>
    <mergeCell ref="CYH3424:CYH3425"/>
    <mergeCell ref="CYI3424:CYR3424"/>
    <mergeCell ref="CWU3424:CWZ3424"/>
    <mergeCell ref="CXA3424:CXA3425"/>
    <mergeCell ref="CXB3424:CXB3425"/>
    <mergeCell ref="CXC3424:CXL3424"/>
    <mergeCell ref="CXN3424:CXW3424"/>
    <mergeCell ref="CVU3424:CVU3425"/>
    <mergeCell ref="CVV3424:CVV3425"/>
    <mergeCell ref="CVW3424:CWF3424"/>
    <mergeCell ref="CWH3424:CWQ3424"/>
    <mergeCell ref="CWS3424:CWS3425"/>
    <mergeCell ref="CUP3424:CUP3425"/>
    <mergeCell ref="CUQ3424:CUZ3424"/>
    <mergeCell ref="CVB3424:CVK3424"/>
    <mergeCell ref="CVM3424:CVM3425"/>
    <mergeCell ref="CVO3424:CVT3424"/>
    <mergeCell ref="CTK3424:CTT3424"/>
    <mergeCell ref="CTV3424:CUE3424"/>
    <mergeCell ref="CUG3424:CUG3425"/>
    <mergeCell ref="CUI3424:CUN3424"/>
    <mergeCell ref="CUO3424:CUO3425"/>
    <mergeCell ref="CSP3424:CSY3424"/>
    <mergeCell ref="CTA3424:CTA3425"/>
    <mergeCell ref="CTC3424:CTH3424"/>
    <mergeCell ref="CTI3424:CTI3425"/>
    <mergeCell ref="CTJ3424:CTJ3425"/>
    <mergeCell ref="CRU3424:CRU3425"/>
    <mergeCell ref="CRW3424:CSB3424"/>
    <mergeCell ref="CSC3424:CSC3425"/>
    <mergeCell ref="CSD3424:CSD3425"/>
    <mergeCell ref="CSE3424:CSN3424"/>
    <mergeCell ref="CQQ3424:CQV3424"/>
    <mergeCell ref="CQW3424:CQW3425"/>
    <mergeCell ref="CQX3424:CQX3425"/>
    <mergeCell ref="CQY3424:CRH3424"/>
    <mergeCell ref="CRJ3424:CRS3424"/>
    <mergeCell ref="CPQ3424:CPQ3425"/>
    <mergeCell ref="CPR3424:CPR3425"/>
    <mergeCell ref="CPS3424:CQB3424"/>
    <mergeCell ref="CQD3424:CQM3424"/>
    <mergeCell ref="CQO3424:CQO3425"/>
    <mergeCell ref="COL3424:COL3425"/>
    <mergeCell ref="COM3424:COV3424"/>
    <mergeCell ref="COX3424:CPG3424"/>
    <mergeCell ref="CPI3424:CPI3425"/>
    <mergeCell ref="CPK3424:CPP3424"/>
    <mergeCell ref="CNG3424:CNP3424"/>
    <mergeCell ref="CNR3424:COA3424"/>
    <mergeCell ref="COC3424:COC3425"/>
    <mergeCell ref="COE3424:COJ3424"/>
    <mergeCell ref="COK3424:COK3425"/>
    <mergeCell ref="CML3424:CMU3424"/>
    <mergeCell ref="CMW3424:CMW3425"/>
    <mergeCell ref="CMY3424:CND3424"/>
    <mergeCell ref="CNE3424:CNE3425"/>
    <mergeCell ref="CNF3424:CNF3425"/>
    <mergeCell ref="CLQ3424:CLQ3425"/>
    <mergeCell ref="CLS3424:CLX3424"/>
    <mergeCell ref="CLY3424:CLY3425"/>
    <mergeCell ref="CLZ3424:CLZ3425"/>
    <mergeCell ref="CMA3424:CMJ3424"/>
    <mergeCell ref="CKM3424:CKR3424"/>
    <mergeCell ref="CKS3424:CKS3425"/>
    <mergeCell ref="CKT3424:CKT3425"/>
    <mergeCell ref="CKU3424:CLD3424"/>
    <mergeCell ref="CLF3424:CLO3424"/>
    <mergeCell ref="CJM3424:CJM3425"/>
    <mergeCell ref="CJN3424:CJN3425"/>
    <mergeCell ref="CJO3424:CJX3424"/>
    <mergeCell ref="CJZ3424:CKI3424"/>
    <mergeCell ref="CKK3424:CKK3425"/>
    <mergeCell ref="CIH3424:CIH3425"/>
    <mergeCell ref="CII3424:CIR3424"/>
    <mergeCell ref="CIT3424:CJC3424"/>
    <mergeCell ref="CJE3424:CJE3425"/>
    <mergeCell ref="CJG3424:CJL3424"/>
    <mergeCell ref="CHC3424:CHL3424"/>
    <mergeCell ref="CHN3424:CHW3424"/>
    <mergeCell ref="CHY3424:CHY3425"/>
    <mergeCell ref="CIA3424:CIF3424"/>
    <mergeCell ref="CIG3424:CIG3425"/>
    <mergeCell ref="CGH3424:CGQ3424"/>
    <mergeCell ref="CGS3424:CGS3425"/>
    <mergeCell ref="CGU3424:CGZ3424"/>
    <mergeCell ref="CHA3424:CHA3425"/>
    <mergeCell ref="CHB3424:CHB3425"/>
    <mergeCell ref="CFM3424:CFM3425"/>
    <mergeCell ref="CFO3424:CFT3424"/>
    <mergeCell ref="CFU3424:CFU3425"/>
    <mergeCell ref="CFV3424:CFV3425"/>
    <mergeCell ref="CFW3424:CGF3424"/>
    <mergeCell ref="CEI3424:CEN3424"/>
    <mergeCell ref="CEO3424:CEO3425"/>
    <mergeCell ref="CEP3424:CEP3425"/>
    <mergeCell ref="CEQ3424:CEZ3424"/>
    <mergeCell ref="CFB3424:CFK3424"/>
    <mergeCell ref="CDI3424:CDI3425"/>
    <mergeCell ref="CDJ3424:CDJ3425"/>
    <mergeCell ref="CDK3424:CDT3424"/>
    <mergeCell ref="CDV3424:CEE3424"/>
    <mergeCell ref="CEG3424:CEG3425"/>
    <mergeCell ref="CCD3424:CCD3425"/>
    <mergeCell ref="CCE3424:CCN3424"/>
    <mergeCell ref="CCP3424:CCY3424"/>
    <mergeCell ref="CDA3424:CDA3425"/>
    <mergeCell ref="CDC3424:CDH3424"/>
    <mergeCell ref="CAY3424:CBH3424"/>
    <mergeCell ref="CBJ3424:CBS3424"/>
    <mergeCell ref="CBU3424:CBU3425"/>
    <mergeCell ref="CBW3424:CCB3424"/>
    <mergeCell ref="CCC3424:CCC3425"/>
    <mergeCell ref="CAD3424:CAM3424"/>
    <mergeCell ref="CAO3424:CAO3425"/>
    <mergeCell ref="CAQ3424:CAV3424"/>
    <mergeCell ref="CAW3424:CAW3425"/>
    <mergeCell ref="CAX3424:CAX3425"/>
    <mergeCell ref="BZI3424:BZI3425"/>
    <mergeCell ref="BZK3424:BZP3424"/>
    <mergeCell ref="BZQ3424:BZQ3425"/>
    <mergeCell ref="BZR3424:BZR3425"/>
    <mergeCell ref="BZS3424:CAB3424"/>
    <mergeCell ref="BYE3424:BYJ3424"/>
    <mergeCell ref="BYK3424:BYK3425"/>
    <mergeCell ref="BYL3424:BYL3425"/>
    <mergeCell ref="BYM3424:BYV3424"/>
    <mergeCell ref="BYX3424:BZG3424"/>
    <mergeCell ref="BXE3424:BXE3425"/>
    <mergeCell ref="BXF3424:BXF3425"/>
    <mergeCell ref="BXG3424:BXP3424"/>
    <mergeCell ref="BXR3424:BYA3424"/>
    <mergeCell ref="BYC3424:BYC3425"/>
    <mergeCell ref="BVZ3424:BVZ3425"/>
    <mergeCell ref="BWA3424:BWJ3424"/>
    <mergeCell ref="BWL3424:BWU3424"/>
    <mergeCell ref="BWW3424:BWW3425"/>
    <mergeCell ref="BWY3424:BXD3424"/>
    <mergeCell ref="BUU3424:BVD3424"/>
    <mergeCell ref="BVF3424:BVO3424"/>
    <mergeCell ref="BVQ3424:BVQ3425"/>
    <mergeCell ref="BVS3424:BVX3424"/>
    <mergeCell ref="BVY3424:BVY3425"/>
    <mergeCell ref="BTZ3424:BUI3424"/>
    <mergeCell ref="BUK3424:BUK3425"/>
    <mergeCell ref="BUM3424:BUR3424"/>
    <mergeCell ref="BUS3424:BUS3425"/>
    <mergeCell ref="BUT3424:BUT3425"/>
    <mergeCell ref="BTE3424:BTE3425"/>
    <mergeCell ref="BTG3424:BTL3424"/>
    <mergeCell ref="BTM3424:BTM3425"/>
    <mergeCell ref="BTN3424:BTN3425"/>
    <mergeCell ref="BTO3424:BTX3424"/>
    <mergeCell ref="BSA3424:BSF3424"/>
    <mergeCell ref="BSG3424:BSG3425"/>
    <mergeCell ref="BSH3424:BSH3425"/>
    <mergeCell ref="BSI3424:BSR3424"/>
    <mergeCell ref="BST3424:BTC3424"/>
    <mergeCell ref="BRA3424:BRA3425"/>
    <mergeCell ref="BRB3424:BRB3425"/>
    <mergeCell ref="BRC3424:BRL3424"/>
    <mergeCell ref="BRN3424:BRW3424"/>
    <mergeCell ref="BRY3424:BRY3425"/>
    <mergeCell ref="BPV3424:BPV3425"/>
    <mergeCell ref="BPW3424:BQF3424"/>
    <mergeCell ref="BQH3424:BQQ3424"/>
    <mergeCell ref="BQS3424:BQS3425"/>
    <mergeCell ref="BQU3424:BQZ3424"/>
    <mergeCell ref="BOQ3424:BOZ3424"/>
    <mergeCell ref="BPB3424:BPK3424"/>
    <mergeCell ref="BPM3424:BPM3425"/>
    <mergeCell ref="BPO3424:BPT3424"/>
    <mergeCell ref="BPU3424:BPU3425"/>
    <mergeCell ref="BNV3424:BOE3424"/>
    <mergeCell ref="BOG3424:BOG3425"/>
    <mergeCell ref="BOI3424:BON3424"/>
    <mergeCell ref="BOO3424:BOO3425"/>
    <mergeCell ref="BOP3424:BOP3425"/>
    <mergeCell ref="BNA3424:BNA3425"/>
    <mergeCell ref="BNC3424:BNH3424"/>
    <mergeCell ref="BNI3424:BNI3425"/>
    <mergeCell ref="BNJ3424:BNJ3425"/>
    <mergeCell ref="BNK3424:BNT3424"/>
    <mergeCell ref="BLW3424:BMB3424"/>
    <mergeCell ref="BMC3424:BMC3425"/>
    <mergeCell ref="BMD3424:BMD3425"/>
    <mergeCell ref="BME3424:BMN3424"/>
    <mergeCell ref="BMP3424:BMY3424"/>
    <mergeCell ref="BKW3424:BKW3425"/>
    <mergeCell ref="BKX3424:BKX3425"/>
    <mergeCell ref="BKY3424:BLH3424"/>
    <mergeCell ref="BLJ3424:BLS3424"/>
    <mergeCell ref="BLU3424:BLU3425"/>
    <mergeCell ref="BJR3424:BJR3425"/>
    <mergeCell ref="BJS3424:BKB3424"/>
    <mergeCell ref="BKD3424:BKM3424"/>
    <mergeCell ref="BKO3424:BKO3425"/>
    <mergeCell ref="BKQ3424:BKV3424"/>
    <mergeCell ref="BIM3424:BIV3424"/>
    <mergeCell ref="BIX3424:BJG3424"/>
    <mergeCell ref="BJI3424:BJI3425"/>
    <mergeCell ref="BJK3424:BJP3424"/>
    <mergeCell ref="BJQ3424:BJQ3425"/>
    <mergeCell ref="BHR3424:BIA3424"/>
    <mergeCell ref="BIC3424:BIC3425"/>
    <mergeCell ref="BIE3424:BIJ3424"/>
    <mergeCell ref="BIK3424:BIK3425"/>
    <mergeCell ref="BIL3424:BIL3425"/>
    <mergeCell ref="BGW3424:BGW3425"/>
    <mergeCell ref="BGY3424:BHD3424"/>
    <mergeCell ref="BHE3424:BHE3425"/>
    <mergeCell ref="BHF3424:BHF3425"/>
    <mergeCell ref="BHG3424:BHP3424"/>
    <mergeCell ref="BFS3424:BFX3424"/>
    <mergeCell ref="BFY3424:BFY3425"/>
    <mergeCell ref="BFZ3424:BFZ3425"/>
    <mergeCell ref="BGA3424:BGJ3424"/>
    <mergeCell ref="BGL3424:BGU3424"/>
    <mergeCell ref="BES3424:BES3425"/>
    <mergeCell ref="BET3424:BET3425"/>
    <mergeCell ref="BEU3424:BFD3424"/>
    <mergeCell ref="BFF3424:BFO3424"/>
    <mergeCell ref="BFQ3424:BFQ3425"/>
    <mergeCell ref="BDN3424:BDN3425"/>
    <mergeCell ref="BDO3424:BDX3424"/>
    <mergeCell ref="BDZ3424:BEI3424"/>
    <mergeCell ref="BEK3424:BEK3425"/>
    <mergeCell ref="BEM3424:BER3424"/>
    <mergeCell ref="BCI3424:BCR3424"/>
    <mergeCell ref="BCT3424:BDC3424"/>
    <mergeCell ref="BDE3424:BDE3425"/>
    <mergeCell ref="BDG3424:BDL3424"/>
    <mergeCell ref="BDM3424:BDM3425"/>
    <mergeCell ref="BBN3424:BBW3424"/>
    <mergeCell ref="BBY3424:BBY3425"/>
    <mergeCell ref="BCA3424:BCF3424"/>
    <mergeCell ref="BCG3424:BCG3425"/>
    <mergeCell ref="BCH3424:BCH3425"/>
    <mergeCell ref="BAS3424:BAS3425"/>
    <mergeCell ref="BAU3424:BAZ3424"/>
    <mergeCell ref="BBA3424:BBA3425"/>
    <mergeCell ref="BBB3424:BBB3425"/>
    <mergeCell ref="BBC3424:BBL3424"/>
    <mergeCell ref="AZO3424:AZT3424"/>
    <mergeCell ref="AZU3424:AZU3425"/>
    <mergeCell ref="AZV3424:AZV3425"/>
    <mergeCell ref="AZW3424:BAF3424"/>
    <mergeCell ref="BAH3424:BAQ3424"/>
    <mergeCell ref="AYO3424:AYO3425"/>
    <mergeCell ref="AYP3424:AYP3425"/>
    <mergeCell ref="AYQ3424:AYZ3424"/>
    <mergeCell ref="AZB3424:AZK3424"/>
    <mergeCell ref="AZM3424:AZM3425"/>
    <mergeCell ref="AXJ3424:AXJ3425"/>
    <mergeCell ref="AXK3424:AXT3424"/>
    <mergeCell ref="AXV3424:AYE3424"/>
    <mergeCell ref="AYG3424:AYG3425"/>
    <mergeCell ref="AYI3424:AYN3424"/>
    <mergeCell ref="AWE3424:AWN3424"/>
    <mergeCell ref="AWP3424:AWY3424"/>
    <mergeCell ref="AXA3424:AXA3425"/>
    <mergeCell ref="AXC3424:AXH3424"/>
    <mergeCell ref="AXI3424:AXI3425"/>
    <mergeCell ref="AVJ3424:AVS3424"/>
    <mergeCell ref="AVU3424:AVU3425"/>
    <mergeCell ref="AVW3424:AWB3424"/>
    <mergeCell ref="AWC3424:AWC3425"/>
    <mergeCell ref="AWD3424:AWD3425"/>
    <mergeCell ref="AUO3424:AUO3425"/>
    <mergeCell ref="AUQ3424:AUV3424"/>
    <mergeCell ref="AUW3424:AUW3425"/>
    <mergeCell ref="AUX3424:AUX3425"/>
    <mergeCell ref="AUY3424:AVH3424"/>
    <mergeCell ref="ATK3424:ATP3424"/>
    <mergeCell ref="ATQ3424:ATQ3425"/>
    <mergeCell ref="ATR3424:ATR3425"/>
    <mergeCell ref="ATS3424:AUB3424"/>
    <mergeCell ref="AUD3424:AUM3424"/>
    <mergeCell ref="ASK3424:ASK3425"/>
    <mergeCell ref="ASL3424:ASL3425"/>
    <mergeCell ref="ASM3424:ASV3424"/>
    <mergeCell ref="ASX3424:ATG3424"/>
    <mergeCell ref="ATI3424:ATI3425"/>
    <mergeCell ref="ARF3424:ARF3425"/>
    <mergeCell ref="ARG3424:ARP3424"/>
    <mergeCell ref="ARR3424:ASA3424"/>
    <mergeCell ref="ASC3424:ASC3425"/>
    <mergeCell ref="ASE3424:ASJ3424"/>
    <mergeCell ref="AQA3424:AQJ3424"/>
    <mergeCell ref="AQL3424:AQU3424"/>
    <mergeCell ref="AQW3424:AQW3425"/>
    <mergeCell ref="AQY3424:ARD3424"/>
    <mergeCell ref="ARE3424:ARE3425"/>
    <mergeCell ref="APF3424:APO3424"/>
    <mergeCell ref="APQ3424:APQ3425"/>
    <mergeCell ref="APS3424:APX3424"/>
    <mergeCell ref="APY3424:APY3425"/>
    <mergeCell ref="APZ3424:APZ3425"/>
    <mergeCell ref="AOK3424:AOK3425"/>
    <mergeCell ref="AOM3424:AOR3424"/>
    <mergeCell ref="AOS3424:AOS3425"/>
    <mergeCell ref="AOT3424:AOT3425"/>
    <mergeCell ref="AOU3424:APD3424"/>
    <mergeCell ref="ANG3424:ANL3424"/>
    <mergeCell ref="ANM3424:ANM3425"/>
    <mergeCell ref="ANN3424:ANN3425"/>
    <mergeCell ref="ANO3424:ANX3424"/>
    <mergeCell ref="ANZ3424:AOI3424"/>
    <mergeCell ref="AMG3424:AMG3425"/>
    <mergeCell ref="AMH3424:AMH3425"/>
    <mergeCell ref="AMI3424:AMR3424"/>
    <mergeCell ref="AMT3424:ANC3424"/>
    <mergeCell ref="ANE3424:ANE3425"/>
    <mergeCell ref="ALB3424:ALB3425"/>
    <mergeCell ref="ALC3424:ALL3424"/>
    <mergeCell ref="ALN3424:ALW3424"/>
    <mergeCell ref="ALY3424:ALY3425"/>
    <mergeCell ref="AMA3424:AMF3424"/>
    <mergeCell ref="AJW3424:AKF3424"/>
    <mergeCell ref="AKH3424:AKQ3424"/>
    <mergeCell ref="AKS3424:AKS3425"/>
    <mergeCell ref="AKU3424:AKZ3424"/>
    <mergeCell ref="ALA3424:ALA3425"/>
    <mergeCell ref="AJB3424:AJK3424"/>
    <mergeCell ref="AJM3424:AJM3425"/>
    <mergeCell ref="AJO3424:AJT3424"/>
    <mergeCell ref="AJU3424:AJU3425"/>
    <mergeCell ref="AJV3424:AJV3425"/>
    <mergeCell ref="AIG3424:AIG3425"/>
    <mergeCell ref="AII3424:AIN3424"/>
    <mergeCell ref="AIO3424:AIO3425"/>
    <mergeCell ref="AIP3424:AIP3425"/>
    <mergeCell ref="AIQ3424:AIZ3424"/>
    <mergeCell ref="AHC3424:AHH3424"/>
    <mergeCell ref="AHI3424:AHI3425"/>
    <mergeCell ref="AHJ3424:AHJ3425"/>
    <mergeCell ref="AHK3424:AHT3424"/>
    <mergeCell ref="AHV3424:AIE3424"/>
    <mergeCell ref="AGC3424:AGC3425"/>
    <mergeCell ref="AGD3424:AGD3425"/>
    <mergeCell ref="AGE3424:AGN3424"/>
    <mergeCell ref="AGP3424:AGY3424"/>
    <mergeCell ref="AHA3424:AHA3425"/>
    <mergeCell ref="AEX3424:AEX3425"/>
    <mergeCell ref="AEY3424:AFH3424"/>
    <mergeCell ref="AFJ3424:AFS3424"/>
    <mergeCell ref="AFU3424:AFU3425"/>
    <mergeCell ref="AFW3424:AGB3424"/>
    <mergeCell ref="ADS3424:AEB3424"/>
    <mergeCell ref="AED3424:AEM3424"/>
    <mergeCell ref="AEO3424:AEO3425"/>
    <mergeCell ref="AEQ3424:AEV3424"/>
    <mergeCell ref="AEW3424:AEW3425"/>
    <mergeCell ref="ACX3424:ADG3424"/>
    <mergeCell ref="ADI3424:ADI3425"/>
    <mergeCell ref="ADK3424:ADP3424"/>
    <mergeCell ref="ADQ3424:ADQ3425"/>
    <mergeCell ref="ADR3424:ADR3425"/>
    <mergeCell ref="ACC3424:ACC3425"/>
    <mergeCell ref="ACE3424:ACJ3424"/>
    <mergeCell ref="ACK3424:ACK3425"/>
    <mergeCell ref="ACL3424:ACL3425"/>
    <mergeCell ref="ACM3424:ACV3424"/>
    <mergeCell ref="AAY3424:ABD3424"/>
    <mergeCell ref="ABE3424:ABE3425"/>
    <mergeCell ref="ABF3424:ABF3425"/>
    <mergeCell ref="ABG3424:ABP3424"/>
    <mergeCell ref="ABR3424:ACA3424"/>
    <mergeCell ref="ZY3424:ZY3425"/>
    <mergeCell ref="ZZ3424:ZZ3425"/>
    <mergeCell ref="AAA3424:AAJ3424"/>
    <mergeCell ref="AAL3424:AAU3424"/>
    <mergeCell ref="AAW3424:AAW3425"/>
    <mergeCell ref="JS3424:JX3424"/>
    <mergeCell ref="JY3424:JY3425"/>
    <mergeCell ref="JZ3424:JZ3425"/>
    <mergeCell ref="YT3424:YT3425"/>
    <mergeCell ref="YU3424:ZD3424"/>
    <mergeCell ref="ZF3424:ZO3424"/>
    <mergeCell ref="ZQ3424:ZQ3425"/>
    <mergeCell ref="ZS3424:ZX3424"/>
    <mergeCell ref="XO3424:XX3424"/>
    <mergeCell ref="XZ3424:YI3424"/>
    <mergeCell ref="YK3424:YK3425"/>
    <mergeCell ref="YM3424:YR3424"/>
    <mergeCell ref="YS3424:YS3425"/>
    <mergeCell ref="WT3424:XC3424"/>
    <mergeCell ref="XE3424:XE3425"/>
    <mergeCell ref="XG3424:XL3424"/>
    <mergeCell ref="XM3424:XM3425"/>
    <mergeCell ref="XN3424:XN3425"/>
    <mergeCell ref="VY3424:VY3425"/>
    <mergeCell ref="WA3424:WF3424"/>
    <mergeCell ref="WG3424:WG3425"/>
    <mergeCell ref="WH3424:WH3425"/>
    <mergeCell ref="WI3424:WR3424"/>
    <mergeCell ref="UU3424:UZ3424"/>
    <mergeCell ref="VA3424:VA3425"/>
    <mergeCell ref="VB3424:VB3425"/>
    <mergeCell ref="VC3424:VL3424"/>
    <mergeCell ref="VN3424:VW3424"/>
    <mergeCell ref="TU3424:TU3425"/>
    <mergeCell ref="TV3424:TV3425"/>
    <mergeCell ref="TW3424:UF3424"/>
    <mergeCell ref="UH3424:UQ3424"/>
    <mergeCell ref="US3424:US3425"/>
    <mergeCell ref="SP3424:SP3425"/>
    <mergeCell ref="SQ3424:SZ3424"/>
    <mergeCell ref="TB3424:TK3424"/>
    <mergeCell ref="TM3424:TM3425"/>
    <mergeCell ref="TO3424:TT3424"/>
    <mergeCell ref="XCG3422:XDL3422"/>
    <mergeCell ref="XDM3422:XER3422"/>
    <mergeCell ref="AC3424:AC3425"/>
    <mergeCell ref="AD3424:AD3425"/>
    <mergeCell ref="AE3424:AN3424"/>
    <mergeCell ref="AP3424:AY3424"/>
    <mergeCell ref="BA3424:BA3425"/>
    <mergeCell ref="BC3424:BH3424"/>
    <mergeCell ref="WWC3422:WXH3422"/>
    <mergeCell ref="WXI3422:WYN3422"/>
    <mergeCell ref="WYO3422:WZT3422"/>
    <mergeCell ref="WZU3422:XAZ3422"/>
    <mergeCell ref="XBA3422:XCF3422"/>
    <mergeCell ref="WPY3422:WRD3422"/>
    <mergeCell ref="WRE3422:WSJ3422"/>
    <mergeCell ref="WSK3422:WTP3422"/>
    <mergeCell ref="WTQ3422:WUV3422"/>
    <mergeCell ref="WUW3422:WWB3422"/>
    <mergeCell ref="WJU3422:WKZ3422"/>
    <mergeCell ref="WLA3422:WMF3422"/>
    <mergeCell ref="WMG3422:WNL3422"/>
    <mergeCell ref="WNM3422:WOR3422"/>
    <mergeCell ref="WOS3422:WPX3422"/>
    <mergeCell ref="WDQ3422:WEV3422"/>
    <mergeCell ref="WEW3422:WGB3422"/>
    <mergeCell ref="WGC3422:WHH3422"/>
    <mergeCell ref="WHI3422:WIN3422"/>
    <mergeCell ref="WIO3422:WJT3422"/>
    <mergeCell ref="VXM3422:VYR3422"/>
    <mergeCell ref="VYS3422:VZX3422"/>
    <mergeCell ref="VZY3422:WBD3422"/>
    <mergeCell ref="WBE3422:WCJ3422"/>
    <mergeCell ref="WCK3422:WDP3422"/>
    <mergeCell ref="VRI3422:VSN3422"/>
    <mergeCell ref="VSO3422:VTT3422"/>
    <mergeCell ref="VTU3422:VUZ3422"/>
    <mergeCell ref="VVA3422:VWF3422"/>
    <mergeCell ref="VWG3422:VXL3422"/>
    <mergeCell ref="VLE3422:VMJ3422"/>
    <mergeCell ref="VMK3422:VNP3422"/>
    <mergeCell ref="VNQ3422:VOV3422"/>
    <mergeCell ref="VOW3422:VQB3422"/>
    <mergeCell ref="VQC3422:VRH3422"/>
    <mergeCell ref="VFA3422:VGF3422"/>
    <mergeCell ref="VGG3422:VHL3422"/>
    <mergeCell ref="VHM3422:VIR3422"/>
    <mergeCell ref="VIS3422:VJX3422"/>
    <mergeCell ref="VJY3422:VLD3422"/>
    <mergeCell ref="UYW3422:VAB3422"/>
    <mergeCell ref="VAC3422:VBH3422"/>
    <mergeCell ref="VBI3422:VCN3422"/>
    <mergeCell ref="VCO3422:VDT3422"/>
    <mergeCell ref="IM3424:IR3424"/>
    <mergeCell ref="IS3424:IS3425"/>
    <mergeCell ref="IT3424:IT3425"/>
    <mergeCell ref="IU3424:JD3424"/>
    <mergeCell ref="JF3424:JO3424"/>
    <mergeCell ref="VDU3422:VEZ3422"/>
    <mergeCell ref="USS3422:UTX3422"/>
    <mergeCell ref="UTY3422:UVD3422"/>
    <mergeCell ref="UVE3422:UWJ3422"/>
    <mergeCell ref="UWK3422:UXP3422"/>
    <mergeCell ref="UXQ3422:UYV3422"/>
    <mergeCell ref="RK3424:RT3424"/>
    <mergeCell ref="UMO3422:UNT3422"/>
    <mergeCell ref="UNU3422:UOZ3422"/>
    <mergeCell ref="UPA3422:UQF3422"/>
    <mergeCell ref="UQG3422:URL3422"/>
    <mergeCell ref="URM3422:USR3422"/>
    <mergeCell ref="UGK3422:UHP3422"/>
    <mergeCell ref="UHQ3422:UIV3422"/>
    <mergeCell ref="UIW3422:UKB3422"/>
    <mergeCell ref="UKC3422:ULH3422"/>
    <mergeCell ref="ULI3422:UMN3422"/>
    <mergeCell ref="UAG3422:UBL3422"/>
    <mergeCell ref="UBM3422:UCR3422"/>
    <mergeCell ref="UCS3422:UDX3422"/>
    <mergeCell ref="UDY3422:UFD3422"/>
    <mergeCell ref="UFE3422:UGJ3422"/>
    <mergeCell ref="TUC3422:TVH3422"/>
    <mergeCell ref="TVI3422:TWN3422"/>
    <mergeCell ref="TWO3422:TXT3422"/>
    <mergeCell ref="TXU3422:TYZ3422"/>
    <mergeCell ref="TZA3422:UAF3422"/>
    <mergeCell ref="TNY3422:TPD3422"/>
    <mergeCell ref="TPE3422:TQJ3422"/>
    <mergeCell ref="TQK3422:TRP3422"/>
    <mergeCell ref="TRQ3422:TSV3422"/>
    <mergeCell ref="TSW3422:TUB3422"/>
    <mergeCell ref="THU3422:TIZ3422"/>
    <mergeCell ref="TJA3422:TKF3422"/>
    <mergeCell ref="TKG3422:TLL3422"/>
    <mergeCell ref="TLM3422:TMR3422"/>
    <mergeCell ref="TMS3422:TNX3422"/>
    <mergeCell ref="TBQ3422:TCV3422"/>
    <mergeCell ref="TCW3422:TEB3422"/>
    <mergeCell ref="TEC3422:TFH3422"/>
    <mergeCell ref="TFI3422:TGN3422"/>
    <mergeCell ref="TGO3422:THT3422"/>
    <mergeCell ref="SVM3422:SWR3422"/>
    <mergeCell ref="SWS3422:SXX3422"/>
    <mergeCell ref="SXY3422:SZD3422"/>
    <mergeCell ref="SZE3422:TAJ3422"/>
    <mergeCell ref="TAK3422:TBP3422"/>
    <mergeCell ref="SPI3422:SQN3422"/>
    <mergeCell ref="SQO3422:SRT3422"/>
    <mergeCell ref="SRU3422:SSZ3422"/>
    <mergeCell ref="STA3422:SUF3422"/>
    <mergeCell ref="SUG3422:SVL3422"/>
    <mergeCell ref="SJE3422:SKJ3422"/>
    <mergeCell ref="SKK3422:SLP3422"/>
    <mergeCell ref="SLQ3422:SMV3422"/>
    <mergeCell ref="SMW3422:SOB3422"/>
    <mergeCell ref="SOC3422:SPH3422"/>
    <mergeCell ref="SDA3422:SEF3422"/>
    <mergeCell ref="SEG3422:SFL3422"/>
    <mergeCell ref="SFM3422:SGR3422"/>
    <mergeCell ref="SGS3422:SHX3422"/>
    <mergeCell ref="SHY3422:SJD3422"/>
    <mergeCell ref="RWW3422:RYB3422"/>
    <mergeCell ref="RYC3422:RZH3422"/>
    <mergeCell ref="RZI3422:SAN3422"/>
    <mergeCell ref="SAO3422:SBT3422"/>
    <mergeCell ref="SBU3422:SCZ3422"/>
    <mergeCell ref="RQS3422:RRX3422"/>
    <mergeCell ref="RRY3422:RTD3422"/>
    <mergeCell ref="RTE3422:RUJ3422"/>
    <mergeCell ref="RUK3422:RVP3422"/>
    <mergeCell ref="RVQ3422:RWV3422"/>
    <mergeCell ref="RKO3422:RLT3422"/>
    <mergeCell ref="RLU3422:RMZ3422"/>
    <mergeCell ref="RNA3422:ROF3422"/>
    <mergeCell ref="ROG3422:RPL3422"/>
    <mergeCell ref="RPM3422:RQR3422"/>
    <mergeCell ref="REK3422:RFP3422"/>
    <mergeCell ref="RFQ3422:RGV3422"/>
    <mergeCell ref="RGW3422:RIB3422"/>
    <mergeCell ref="RIC3422:RJH3422"/>
    <mergeCell ref="RJI3422:RKN3422"/>
    <mergeCell ref="QYG3422:QZL3422"/>
    <mergeCell ref="QZM3422:RAR3422"/>
    <mergeCell ref="RAS3422:RBX3422"/>
    <mergeCell ref="RBY3422:RDD3422"/>
    <mergeCell ref="RDE3422:REJ3422"/>
    <mergeCell ref="QSC3422:QTH3422"/>
    <mergeCell ref="QTI3422:QUN3422"/>
    <mergeCell ref="QUO3422:QVT3422"/>
    <mergeCell ref="QVU3422:QWZ3422"/>
    <mergeCell ref="QXA3422:QYF3422"/>
    <mergeCell ref="QLY3422:QND3422"/>
    <mergeCell ref="QNE3422:QOJ3422"/>
    <mergeCell ref="QOK3422:QPP3422"/>
    <mergeCell ref="QPQ3422:QQV3422"/>
    <mergeCell ref="QQW3422:QSB3422"/>
    <mergeCell ref="QFU3422:QGZ3422"/>
    <mergeCell ref="QHA3422:QIF3422"/>
    <mergeCell ref="QIG3422:QJL3422"/>
    <mergeCell ref="QJM3422:QKR3422"/>
    <mergeCell ref="QKS3422:QLX3422"/>
    <mergeCell ref="PZQ3422:QAV3422"/>
    <mergeCell ref="QAW3422:QCB3422"/>
    <mergeCell ref="QCC3422:QDH3422"/>
    <mergeCell ref="QDI3422:QEN3422"/>
    <mergeCell ref="QEO3422:QFT3422"/>
    <mergeCell ref="PTM3422:PUR3422"/>
    <mergeCell ref="PUS3422:PVX3422"/>
    <mergeCell ref="PVY3422:PXD3422"/>
    <mergeCell ref="PXE3422:PYJ3422"/>
    <mergeCell ref="PYK3422:PZP3422"/>
    <mergeCell ref="PNI3422:PON3422"/>
    <mergeCell ref="POO3422:PPT3422"/>
    <mergeCell ref="PPU3422:PQZ3422"/>
    <mergeCell ref="PRA3422:PSF3422"/>
    <mergeCell ref="PSG3422:PTL3422"/>
    <mergeCell ref="PHE3422:PIJ3422"/>
    <mergeCell ref="PIK3422:PJP3422"/>
    <mergeCell ref="PJQ3422:PKV3422"/>
    <mergeCell ref="PKW3422:PMB3422"/>
    <mergeCell ref="PMC3422:PNH3422"/>
    <mergeCell ref="PBA3422:PCF3422"/>
    <mergeCell ref="PCG3422:PDL3422"/>
    <mergeCell ref="PDM3422:PER3422"/>
    <mergeCell ref="PES3422:PFX3422"/>
    <mergeCell ref="PFY3422:PHD3422"/>
    <mergeCell ref="OUW3422:OWB3422"/>
    <mergeCell ref="OWC3422:OXH3422"/>
    <mergeCell ref="OXI3422:OYN3422"/>
    <mergeCell ref="OYO3422:OZT3422"/>
    <mergeCell ref="OZU3422:PAZ3422"/>
    <mergeCell ref="OOS3422:OPX3422"/>
    <mergeCell ref="OPY3422:ORD3422"/>
    <mergeCell ref="ORE3422:OSJ3422"/>
    <mergeCell ref="OSK3422:OTP3422"/>
    <mergeCell ref="OTQ3422:OUV3422"/>
    <mergeCell ref="OIO3422:OJT3422"/>
    <mergeCell ref="OJU3422:OKZ3422"/>
    <mergeCell ref="OLA3422:OMF3422"/>
    <mergeCell ref="OMG3422:ONL3422"/>
    <mergeCell ref="ONM3422:OOR3422"/>
    <mergeCell ref="OCK3422:ODP3422"/>
    <mergeCell ref="ODQ3422:OEV3422"/>
    <mergeCell ref="OEW3422:OGB3422"/>
    <mergeCell ref="OGC3422:OHH3422"/>
    <mergeCell ref="OHI3422:OIN3422"/>
    <mergeCell ref="NWG3422:NXL3422"/>
    <mergeCell ref="NXM3422:NYR3422"/>
    <mergeCell ref="NYS3422:NZX3422"/>
    <mergeCell ref="NZY3422:OBD3422"/>
    <mergeCell ref="OBE3422:OCJ3422"/>
    <mergeCell ref="NQC3422:NRH3422"/>
    <mergeCell ref="NRI3422:NSN3422"/>
    <mergeCell ref="NSO3422:NTT3422"/>
    <mergeCell ref="NTU3422:NUZ3422"/>
    <mergeCell ref="NVA3422:NWF3422"/>
    <mergeCell ref="NJY3422:NLD3422"/>
    <mergeCell ref="NLE3422:NMJ3422"/>
    <mergeCell ref="NMK3422:NNP3422"/>
    <mergeCell ref="NNQ3422:NOV3422"/>
    <mergeCell ref="NOW3422:NQB3422"/>
    <mergeCell ref="NDU3422:NEZ3422"/>
    <mergeCell ref="NFA3422:NGF3422"/>
    <mergeCell ref="NGG3422:NHL3422"/>
    <mergeCell ref="NHM3422:NIR3422"/>
    <mergeCell ref="NIS3422:NJX3422"/>
    <mergeCell ref="MXQ3422:MYV3422"/>
    <mergeCell ref="MYW3422:NAB3422"/>
    <mergeCell ref="NAC3422:NBH3422"/>
    <mergeCell ref="NBI3422:NCN3422"/>
    <mergeCell ref="NCO3422:NDT3422"/>
    <mergeCell ref="MRM3422:MSR3422"/>
    <mergeCell ref="MSS3422:MTX3422"/>
    <mergeCell ref="MTY3422:MVD3422"/>
    <mergeCell ref="MVE3422:MWJ3422"/>
    <mergeCell ref="MWK3422:MXP3422"/>
    <mergeCell ref="MLI3422:MMN3422"/>
    <mergeCell ref="MMO3422:MNT3422"/>
    <mergeCell ref="MNU3422:MOZ3422"/>
    <mergeCell ref="MPA3422:MQF3422"/>
    <mergeCell ref="MQG3422:MRL3422"/>
    <mergeCell ref="MFE3422:MGJ3422"/>
    <mergeCell ref="MGK3422:MHP3422"/>
    <mergeCell ref="MHQ3422:MIV3422"/>
    <mergeCell ref="MIW3422:MKB3422"/>
    <mergeCell ref="MKC3422:MLH3422"/>
    <mergeCell ref="LZA3422:MAF3422"/>
    <mergeCell ref="MAG3422:MBL3422"/>
    <mergeCell ref="MBM3422:MCR3422"/>
    <mergeCell ref="MCS3422:MDX3422"/>
    <mergeCell ref="MDY3422:MFD3422"/>
    <mergeCell ref="LSW3422:LUB3422"/>
    <mergeCell ref="LUC3422:LVH3422"/>
    <mergeCell ref="LVI3422:LWN3422"/>
    <mergeCell ref="LWO3422:LXT3422"/>
    <mergeCell ref="LXU3422:LYZ3422"/>
    <mergeCell ref="LMS3422:LNX3422"/>
    <mergeCell ref="LNY3422:LPD3422"/>
    <mergeCell ref="LPE3422:LQJ3422"/>
    <mergeCell ref="LQK3422:LRP3422"/>
    <mergeCell ref="LRQ3422:LSV3422"/>
    <mergeCell ref="LGO3422:LHT3422"/>
    <mergeCell ref="LHU3422:LIZ3422"/>
    <mergeCell ref="LJA3422:LKF3422"/>
    <mergeCell ref="LKG3422:LLL3422"/>
    <mergeCell ref="LLM3422:LMR3422"/>
    <mergeCell ref="LAK3422:LBP3422"/>
    <mergeCell ref="LBQ3422:LCV3422"/>
    <mergeCell ref="LCW3422:LEB3422"/>
    <mergeCell ref="LEC3422:LFH3422"/>
    <mergeCell ref="LFI3422:LGN3422"/>
    <mergeCell ref="KUG3422:KVL3422"/>
    <mergeCell ref="KVM3422:KWR3422"/>
    <mergeCell ref="KWS3422:KXX3422"/>
    <mergeCell ref="KXY3422:KZD3422"/>
    <mergeCell ref="KZE3422:LAJ3422"/>
    <mergeCell ref="KOC3422:KPH3422"/>
    <mergeCell ref="KPI3422:KQN3422"/>
    <mergeCell ref="KQO3422:KRT3422"/>
    <mergeCell ref="KRU3422:KSZ3422"/>
    <mergeCell ref="KTA3422:KUF3422"/>
    <mergeCell ref="KHY3422:KJD3422"/>
    <mergeCell ref="KJE3422:KKJ3422"/>
    <mergeCell ref="KKK3422:KLP3422"/>
    <mergeCell ref="KLQ3422:KMV3422"/>
    <mergeCell ref="KMW3422:KOB3422"/>
    <mergeCell ref="KBU3422:KCZ3422"/>
    <mergeCell ref="KDA3422:KEF3422"/>
    <mergeCell ref="KEG3422:KFL3422"/>
    <mergeCell ref="KFM3422:KGR3422"/>
    <mergeCell ref="KGS3422:KHX3422"/>
    <mergeCell ref="JVQ3422:JWV3422"/>
    <mergeCell ref="JWW3422:JYB3422"/>
    <mergeCell ref="JYC3422:JZH3422"/>
    <mergeCell ref="JZI3422:KAN3422"/>
    <mergeCell ref="KAO3422:KBT3422"/>
    <mergeCell ref="JPM3422:JQR3422"/>
    <mergeCell ref="JQS3422:JRX3422"/>
    <mergeCell ref="JRY3422:JTD3422"/>
    <mergeCell ref="JTE3422:JUJ3422"/>
    <mergeCell ref="JUK3422:JVP3422"/>
    <mergeCell ref="JJI3422:JKN3422"/>
    <mergeCell ref="JKO3422:JLT3422"/>
    <mergeCell ref="JLU3422:JMZ3422"/>
    <mergeCell ref="JNA3422:JOF3422"/>
    <mergeCell ref="JOG3422:JPL3422"/>
    <mergeCell ref="JDE3422:JEJ3422"/>
    <mergeCell ref="JEK3422:JFP3422"/>
    <mergeCell ref="JFQ3422:JGV3422"/>
    <mergeCell ref="JGW3422:JIB3422"/>
    <mergeCell ref="JIC3422:JJH3422"/>
    <mergeCell ref="IXA3422:IYF3422"/>
    <mergeCell ref="IYG3422:IZL3422"/>
    <mergeCell ref="IZM3422:JAR3422"/>
    <mergeCell ref="JAS3422:JBX3422"/>
    <mergeCell ref="JBY3422:JDD3422"/>
    <mergeCell ref="IQW3422:ISB3422"/>
    <mergeCell ref="ISC3422:ITH3422"/>
    <mergeCell ref="ITI3422:IUN3422"/>
    <mergeCell ref="IUO3422:IVT3422"/>
    <mergeCell ref="IVU3422:IWZ3422"/>
    <mergeCell ref="IKS3422:ILX3422"/>
    <mergeCell ref="ILY3422:IND3422"/>
    <mergeCell ref="INE3422:IOJ3422"/>
    <mergeCell ref="IOK3422:IPP3422"/>
    <mergeCell ref="IPQ3422:IQV3422"/>
    <mergeCell ref="IEO3422:IFT3422"/>
    <mergeCell ref="IFU3422:IGZ3422"/>
    <mergeCell ref="IHA3422:IIF3422"/>
    <mergeCell ref="IIG3422:IJL3422"/>
    <mergeCell ref="IJM3422:IKR3422"/>
    <mergeCell ref="HYK3422:HZP3422"/>
    <mergeCell ref="HZQ3422:IAV3422"/>
    <mergeCell ref="IAW3422:ICB3422"/>
    <mergeCell ref="ICC3422:IDH3422"/>
    <mergeCell ref="IDI3422:IEN3422"/>
    <mergeCell ref="HSG3422:HTL3422"/>
    <mergeCell ref="HTM3422:HUR3422"/>
    <mergeCell ref="HUS3422:HVX3422"/>
    <mergeCell ref="HVY3422:HXD3422"/>
    <mergeCell ref="HXE3422:HYJ3422"/>
    <mergeCell ref="HMC3422:HNH3422"/>
    <mergeCell ref="HNI3422:HON3422"/>
    <mergeCell ref="HOO3422:HPT3422"/>
    <mergeCell ref="HPU3422:HQZ3422"/>
    <mergeCell ref="HRA3422:HSF3422"/>
    <mergeCell ref="HFY3422:HHD3422"/>
    <mergeCell ref="HHE3422:HIJ3422"/>
    <mergeCell ref="HIK3422:HJP3422"/>
    <mergeCell ref="HJQ3422:HKV3422"/>
    <mergeCell ref="HKW3422:HMB3422"/>
    <mergeCell ref="GZU3422:HAZ3422"/>
    <mergeCell ref="HBA3422:HCF3422"/>
    <mergeCell ref="HCG3422:HDL3422"/>
    <mergeCell ref="HDM3422:HER3422"/>
    <mergeCell ref="HES3422:HFX3422"/>
    <mergeCell ref="GTQ3422:GUV3422"/>
    <mergeCell ref="GUW3422:GWB3422"/>
    <mergeCell ref="GWC3422:GXH3422"/>
    <mergeCell ref="GXI3422:GYN3422"/>
    <mergeCell ref="GYO3422:GZT3422"/>
    <mergeCell ref="GNM3422:GOR3422"/>
    <mergeCell ref="GOS3422:GPX3422"/>
    <mergeCell ref="GPY3422:GRD3422"/>
    <mergeCell ref="GRE3422:GSJ3422"/>
    <mergeCell ref="GSK3422:GTP3422"/>
    <mergeCell ref="GHI3422:GIN3422"/>
    <mergeCell ref="GIO3422:GJT3422"/>
    <mergeCell ref="GJU3422:GKZ3422"/>
    <mergeCell ref="GLA3422:GMF3422"/>
    <mergeCell ref="GMG3422:GNL3422"/>
    <mergeCell ref="GBE3422:GCJ3422"/>
    <mergeCell ref="GCK3422:GDP3422"/>
    <mergeCell ref="GDQ3422:GEV3422"/>
    <mergeCell ref="GEW3422:GGB3422"/>
    <mergeCell ref="GGC3422:GHH3422"/>
    <mergeCell ref="FVA3422:FWF3422"/>
    <mergeCell ref="FWG3422:FXL3422"/>
    <mergeCell ref="FXM3422:FYR3422"/>
    <mergeCell ref="FYS3422:FZX3422"/>
    <mergeCell ref="FZY3422:GBD3422"/>
    <mergeCell ref="FOW3422:FQB3422"/>
    <mergeCell ref="FQC3422:FRH3422"/>
    <mergeCell ref="FRI3422:FSN3422"/>
    <mergeCell ref="FSO3422:FTT3422"/>
    <mergeCell ref="FTU3422:FUZ3422"/>
    <mergeCell ref="FIS3422:FJX3422"/>
    <mergeCell ref="FJY3422:FLD3422"/>
    <mergeCell ref="FLE3422:FMJ3422"/>
    <mergeCell ref="FMK3422:FNP3422"/>
    <mergeCell ref="FNQ3422:FOV3422"/>
    <mergeCell ref="FCO3422:FDT3422"/>
    <mergeCell ref="FDU3422:FEZ3422"/>
    <mergeCell ref="FFA3422:FGF3422"/>
    <mergeCell ref="FGG3422:FHL3422"/>
    <mergeCell ref="FHM3422:FIR3422"/>
    <mergeCell ref="EWK3422:EXP3422"/>
    <mergeCell ref="EXQ3422:EYV3422"/>
    <mergeCell ref="EYW3422:FAB3422"/>
    <mergeCell ref="FAC3422:FBH3422"/>
    <mergeCell ref="FBI3422:FCN3422"/>
    <mergeCell ref="EQG3422:ERL3422"/>
    <mergeCell ref="ERM3422:ESR3422"/>
    <mergeCell ref="ESS3422:ETX3422"/>
    <mergeCell ref="ETY3422:EVD3422"/>
    <mergeCell ref="EVE3422:EWJ3422"/>
    <mergeCell ref="EKC3422:ELH3422"/>
    <mergeCell ref="ELI3422:EMN3422"/>
    <mergeCell ref="EMO3422:ENT3422"/>
    <mergeCell ref="ENU3422:EOZ3422"/>
    <mergeCell ref="EPA3422:EQF3422"/>
    <mergeCell ref="EDY3422:EFD3422"/>
    <mergeCell ref="EFE3422:EGJ3422"/>
    <mergeCell ref="EGK3422:EHP3422"/>
    <mergeCell ref="EHQ3422:EIV3422"/>
    <mergeCell ref="EIW3422:EKB3422"/>
    <mergeCell ref="AQW3422:ASB3422"/>
    <mergeCell ref="ASC3422:ATH3422"/>
    <mergeCell ref="ATI3422:AUN3422"/>
    <mergeCell ref="AUO3422:AVT3422"/>
    <mergeCell ref="DXU3422:DYZ3422"/>
    <mergeCell ref="DZA3422:EAF3422"/>
    <mergeCell ref="EAG3422:EBL3422"/>
    <mergeCell ref="EBM3422:ECR3422"/>
    <mergeCell ref="ECS3422:EDX3422"/>
    <mergeCell ref="DRQ3422:DSV3422"/>
    <mergeCell ref="DSW3422:DUB3422"/>
    <mergeCell ref="DUC3422:DVH3422"/>
    <mergeCell ref="DVI3422:DWN3422"/>
    <mergeCell ref="DWO3422:DXT3422"/>
    <mergeCell ref="DLM3422:DMR3422"/>
    <mergeCell ref="DMS3422:DNX3422"/>
    <mergeCell ref="DNY3422:DPD3422"/>
    <mergeCell ref="DPE3422:DQJ3422"/>
    <mergeCell ref="DQK3422:DRP3422"/>
    <mergeCell ref="DFI3422:DGN3422"/>
    <mergeCell ref="DGO3422:DHT3422"/>
    <mergeCell ref="DHU3422:DIZ3422"/>
    <mergeCell ref="DJA3422:DKF3422"/>
    <mergeCell ref="DKG3422:DLL3422"/>
    <mergeCell ref="CZE3422:DAJ3422"/>
    <mergeCell ref="DAK3422:DBP3422"/>
    <mergeCell ref="DBQ3422:DCV3422"/>
    <mergeCell ref="DCW3422:DEB3422"/>
    <mergeCell ref="DEC3422:DFH3422"/>
    <mergeCell ref="CTA3422:CUF3422"/>
    <mergeCell ref="CUG3422:CVL3422"/>
    <mergeCell ref="CVM3422:CWR3422"/>
    <mergeCell ref="CWS3422:CXX3422"/>
    <mergeCell ref="CXY3422:CZD3422"/>
    <mergeCell ref="COC3422:CPH3422"/>
    <mergeCell ref="CPI3422:CQN3422"/>
    <mergeCell ref="CQO3422:CRT3422"/>
    <mergeCell ref="CRU3422:CSZ3422"/>
    <mergeCell ref="ANE3422:AOJ3422"/>
    <mergeCell ref="AOK3422:APP3422"/>
    <mergeCell ref="ADI3422:AEN3422"/>
    <mergeCell ref="AEO3422:AFT3422"/>
    <mergeCell ref="AFU3422:AGZ3422"/>
    <mergeCell ref="AHA3422:AIF3422"/>
    <mergeCell ref="AIG3422:AJL3422"/>
    <mergeCell ref="XE3422:YJ3422"/>
    <mergeCell ref="YK3422:ZP3422"/>
    <mergeCell ref="ZQ3422:AAV3422"/>
    <mergeCell ref="AAW3422:ACB3422"/>
    <mergeCell ref="ACC3422:ADH3422"/>
    <mergeCell ref="RA3422:SF3422"/>
    <mergeCell ref="SG3422:TL3422"/>
    <mergeCell ref="TM3422:UR3422"/>
    <mergeCell ref="US3422:VX3422"/>
    <mergeCell ref="VY3422:XD3422"/>
    <mergeCell ref="KW3422:MB3422"/>
    <mergeCell ref="MC3422:NH3422"/>
    <mergeCell ref="NI3422:ON3422"/>
    <mergeCell ref="OO3422:PT3422"/>
    <mergeCell ref="PU3422:QZ3422"/>
    <mergeCell ref="CMW3422:COB3422"/>
    <mergeCell ref="IK3422:JP3422"/>
    <mergeCell ref="JQ3422:KV3422"/>
    <mergeCell ref="BA3422:CF3422"/>
    <mergeCell ref="CG3422:DL3422"/>
    <mergeCell ref="DM3422:ER3422"/>
    <mergeCell ref="AVU3422:AWZ3422"/>
    <mergeCell ref="AXA3422:AYF3422"/>
    <mergeCell ref="AYG3422:AZL3422"/>
    <mergeCell ref="CGS3422:CHX3422"/>
    <mergeCell ref="CHY3422:CJD3422"/>
    <mergeCell ref="CJE3422:CKJ3422"/>
    <mergeCell ref="CKK3422:CLP3422"/>
    <mergeCell ref="CLQ3422:CMV3422"/>
    <mergeCell ref="CAO3422:CBT3422"/>
    <mergeCell ref="CBU3422:CCZ3422"/>
    <mergeCell ref="CDA3422:CEF3422"/>
    <mergeCell ref="CEG3422:CFL3422"/>
    <mergeCell ref="CFM3422:CGR3422"/>
    <mergeCell ref="BUK3422:BVP3422"/>
    <mergeCell ref="BVQ3422:BWV3422"/>
    <mergeCell ref="BWW3422:BYB3422"/>
    <mergeCell ref="BYC3422:BZH3422"/>
    <mergeCell ref="BZI3422:CAN3422"/>
    <mergeCell ref="BOG3422:BPL3422"/>
    <mergeCell ref="BPM3422:BQR3422"/>
    <mergeCell ref="BQS3422:BRX3422"/>
    <mergeCell ref="BRY3422:BTD3422"/>
    <mergeCell ref="BTE3422:BUJ3422"/>
    <mergeCell ref="BIC3422:BJH3422"/>
    <mergeCell ref="BJI3422:BKN3422"/>
    <mergeCell ref="BKO3422:BLT3422"/>
    <mergeCell ref="BLU3422:BMZ3422"/>
    <mergeCell ref="BNA3422:BOF3422"/>
    <mergeCell ref="BBY3422:BDD3422"/>
    <mergeCell ref="BDE3422:BEJ3422"/>
    <mergeCell ref="BEK3422:BFP3422"/>
    <mergeCell ref="BFQ3422:BGV3422"/>
    <mergeCell ref="BGW3422:BIB3422"/>
    <mergeCell ref="AZM3422:BAR3422"/>
    <mergeCell ref="BAS3422:BBX3422"/>
    <mergeCell ref="APQ3422:AQV3422"/>
    <mergeCell ref="AJM3422:AKR3422"/>
    <mergeCell ref="AKS3422:ALX3422"/>
    <mergeCell ref="ALY3422:AND3422"/>
    <mergeCell ref="KA3424:KJ3424"/>
    <mergeCell ref="RV3424:SE3424"/>
    <mergeCell ref="SG3424:SG3425"/>
    <mergeCell ref="SI3424:SN3424"/>
    <mergeCell ref="SO3424:SO3425"/>
    <mergeCell ref="QP3424:QY3424"/>
    <mergeCell ref="RA3424:RA3425"/>
    <mergeCell ref="RC3424:RH3424"/>
    <mergeCell ref="RI3424:RI3425"/>
    <mergeCell ref="RJ3424:RJ3425"/>
    <mergeCell ref="IK3424:IK3425"/>
    <mergeCell ref="GH3424:GH3425"/>
    <mergeCell ref="GI3424:GR3424"/>
    <mergeCell ref="GT3424:HC3424"/>
    <mergeCell ref="HE3424:HE3425"/>
    <mergeCell ref="HG3424:HL3424"/>
    <mergeCell ref="FC3424:FL3424"/>
    <mergeCell ref="FN3424:FW3424"/>
    <mergeCell ref="FY3424:FY3425"/>
    <mergeCell ref="GA3424:GF3424"/>
    <mergeCell ref="GG3424:GG3425"/>
    <mergeCell ref="DO3424:DT3424"/>
    <mergeCell ref="DU3424:DU3425"/>
    <mergeCell ref="DV3424:DV3425"/>
    <mergeCell ref="DW3424:EF3424"/>
    <mergeCell ref="CI3424:CN3424"/>
    <mergeCell ref="CO3424:CO3425"/>
    <mergeCell ref="CP3424:CP3425"/>
    <mergeCell ref="CQ3424:CZ3424"/>
    <mergeCell ref="DB3424:DK3424"/>
    <mergeCell ref="PU3424:PU3425"/>
    <mergeCell ref="PW3424:QB3424"/>
    <mergeCell ref="QC3424:QC3425"/>
    <mergeCell ref="QD3424:QD3425"/>
    <mergeCell ref="QE3424:QN3424"/>
    <mergeCell ref="OQ3424:OV3424"/>
    <mergeCell ref="OW3424:OW3425"/>
    <mergeCell ref="OX3424:OX3425"/>
    <mergeCell ref="OY3424:PH3424"/>
    <mergeCell ref="PJ3424:PS3424"/>
    <mergeCell ref="NQ3424:NQ3425"/>
    <mergeCell ref="NR3424:NR3425"/>
    <mergeCell ref="NS3424:OB3424"/>
    <mergeCell ref="OD3424:OM3424"/>
    <mergeCell ref="OO3424:OO3425"/>
    <mergeCell ref="ML3424:ML3425"/>
    <mergeCell ref="MM3424:MV3424"/>
    <mergeCell ref="MX3424:NG3424"/>
    <mergeCell ref="NI3424:NI3425"/>
    <mergeCell ref="NK3424:NP3424"/>
    <mergeCell ref="LG3424:LP3424"/>
    <mergeCell ref="LR3424:MA3424"/>
    <mergeCell ref="MC3424:MC3425"/>
    <mergeCell ref="ME3424:MJ3424"/>
    <mergeCell ref="MK3424:MK3425"/>
    <mergeCell ref="KL3424:KU3424"/>
    <mergeCell ref="KW3424:KW3425"/>
    <mergeCell ref="KY3424:LD3424"/>
    <mergeCell ref="LE3424:LE3425"/>
    <mergeCell ref="LF3424:LF3425"/>
    <mergeCell ref="JQ3424:JQ3425"/>
    <mergeCell ref="J3:J4"/>
    <mergeCell ref="K3:K4"/>
    <mergeCell ref="BI3424:BI3425"/>
    <mergeCell ref="BJ3424:BJ3425"/>
    <mergeCell ref="BK3424:BT3424"/>
    <mergeCell ref="BV3424:CE3424"/>
    <mergeCell ref="CG3424:CG3425"/>
    <mergeCell ref="HM3424:HM3425"/>
    <mergeCell ref="HN3424:HN3425"/>
    <mergeCell ref="HO3424:HX3424"/>
    <mergeCell ref="HZ3424:II3424"/>
    <mergeCell ref="V1:W1"/>
    <mergeCell ref="A3:A4"/>
    <mergeCell ref="V2:W2"/>
    <mergeCell ref="ES3422:FX3422"/>
    <mergeCell ref="FY3422:HD3422"/>
    <mergeCell ref="HE3422:IJ3422"/>
    <mergeCell ref="EH3424:EQ3424"/>
    <mergeCell ref="ES3424:ES3425"/>
    <mergeCell ref="EU3424:EZ3424"/>
    <mergeCell ref="FA3424:FA3425"/>
    <mergeCell ref="FB3424:FB3425"/>
    <mergeCell ref="DM3424:DM3425"/>
    <mergeCell ref="Z2103:AA2103"/>
    <mergeCell ref="V1060:W1060"/>
    <mergeCell ref="V1061:W1061"/>
    <mergeCell ref="Z1061:AA1061"/>
    <mergeCell ref="A1062:A1063"/>
    <mergeCell ref="K1062:K1063"/>
    <mergeCell ref="Z1072:AA1072"/>
    <mergeCell ref="A1610:A1611"/>
    <mergeCell ref="K1610:K1611"/>
    <mergeCell ref="V267:W267"/>
    <mergeCell ref="V268:W268"/>
    <mergeCell ref="Z268:AA268"/>
    <mergeCell ref="A269:A270"/>
    <mergeCell ref="K269:K270"/>
    <mergeCell ref="Z279:AA279"/>
    <mergeCell ref="A3421:A3422"/>
    <mergeCell ref="V532:W532"/>
    <mergeCell ref="V533:W533"/>
    <mergeCell ref="Z1635:AA1635"/>
    <mergeCell ref="Z808:AA808"/>
    <mergeCell ref="V3139:W3139"/>
    <mergeCell ref="V3140:W3140"/>
    <mergeCell ref="Z3140:AA3140"/>
    <mergeCell ref="V3151:W3151"/>
    <mergeCell ref="Z3151:AA3151"/>
    <mergeCell ref="V2088:W2088"/>
    <mergeCell ref="Z2088:AA2088"/>
    <mergeCell ref="A2089:A2090"/>
    <mergeCell ref="K2089:K2090"/>
    <mergeCell ref="Z2099:AA2099"/>
    <mergeCell ref="Z2114:AA2114"/>
    <mergeCell ref="J1062:J1063"/>
    <mergeCell ref="J1610:J1611"/>
    <mergeCell ref="J1849:J1850"/>
    <mergeCell ref="J2089:J2090"/>
    <mergeCell ref="J2328:J2329"/>
    <mergeCell ref="J2567:J2568"/>
    <mergeCell ref="J3107:J3108"/>
    <mergeCell ref="V36:W36"/>
    <mergeCell ref="V37:W37"/>
    <mergeCell ref="Z37:AA37"/>
  </mergeCells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AD1308"/>
  <sheetViews>
    <sheetView zoomScaleNormal="100" workbookViewId="0">
      <selection activeCell="AA10" sqref="AA10"/>
    </sheetView>
  </sheetViews>
  <sheetFormatPr defaultRowHeight="15"/>
  <cols>
    <col min="10" max="12" width="0" hidden="1" customWidth="1"/>
    <col min="24" max="24" width="9.140625" style="11"/>
  </cols>
  <sheetData>
    <row r="1" spans="1:30">
      <c r="A1" t="s">
        <v>232</v>
      </c>
    </row>
    <row r="2" spans="1:30">
      <c r="A2" t="s">
        <v>233</v>
      </c>
    </row>
    <row r="3" spans="1:30">
      <c r="A3" t="s">
        <v>234</v>
      </c>
    </row>
    <row r="4" spans="1:30">
      <c r="A4" t="s">
        <v>235</v>
      </c>
      <c r="AA4" s="924" t="s">
        <v>431</v>
      </c>
      <c r="AB4" s="924"/>
    </row>
    <row r="5" spans="1:30">
      <c r="A5" t="s">
        <v>236</v>
      </c>
      <c r="AA5" s="242" t="s">
        <v>471</v>
      </c>
      <c r="AB5" s="242" t="s">
        <v>472</v>
      </c>
    </row>
    <row r="6" spans="1:30">
      <c r="A6" t="s">
        <v>237</v>
      </c>
      <c r="AA6" s="447">
        <v>50</v>
      </c>
      <c r="AB6" s="447">
        <v>100</v>
      </c>
    </row>
    <row r="7" spans="1:30">
      <c r="A7" t="s">
        <v>238</v>
      </c>
      <c r="Y7" s="892" t="s">
        <v>473</v>
      </c>
      <c r="Z7" s="892"/>
      <c r="AA7" s="892"/>
      <c r="AB7" s="892"/>
      <c r="AC7" s="892"/>
      <c r="AD7" s="892"/>
    </row>
    <row r="9" spans="1:30">
      <c r="A9" t="s">
        <v>239</v>
      </c>
    </row>
    <row r="10" spans="1:30">
      <c r="A10" t="s">
        <v>230</v>
      </c>
      <c r="B10">
        <v>-1</v>
      </c>
      <c r="C10">
        <v>0</v>
      </c>
      <c r="D10">
        <v>0.5</v>
      </c>
      <c r="E10">
        <v>1</v>
      </c>
      <c r="F10">
        <v>1.5</v>
      </c>
      <c r="G10">
        <v>2</v>
      </c>
      <c r="H10">
        <v>3</v>
      </c>
      <c r="I10">
        <v>4</v>
      </c>
      <c r="M10" t="s">
        <v>35</v>
      </c>
      <c r="N10" t="s">
        <v>230</v>
      </c>
      <c r="O10">
        <v>-4</v>
      </c>
      <c r="P10">
        <v>-3</v>
      </c>
      <c r="Q10">
        <v>-2</v>
      </c>
      <c r="R10">
        <v>-1</v>
      </c>
      <c r="S10">
        <v>0</v>
      </c>
      <c r="T10">
        <v>1</v>
      </c>
      <c r="U10">
        <v>2</v>
      </c>
      <c r="V10">
        <v>3</v>
      </c>
      <c r="W10">
        <v>4</v>
      </c>
      <c r="X10" s="11" t="s">
        <v>231</v>
      </c>
      <c r="AA10" s="1">
        <f>heeling</f>
        <v>0</v>
      </c>
      <c r="AB10" s="274">
        <v>1250</v>
      </c>
      <c r="AC10" s="186">
        <f>IF((AB10+AB13)&lt;0,AB10,AB10+AB13)</f>
        <v>1250</v>
      </c>
      <c r="AD10" s="42">
        <f>IF(AD12=AD11,AD11,Interp1(AC11:AC12,AD11:AD12,AC10))</f>
        <v>6.9989999999999997</v>
      </c>
    </row>
    <row r="11" spans="1:30">
      <c r="A11">
        <v>0</v>
      </c>
      <c r="B11">
        <v>0.21</v>
      </c>
      <c r="C11">
        <v>0.21199999999999999</v>
      </c>
      <c r="D11">
        <v>0.21299999999999999</v>
      </c>
      <c r="E11">
        <v>0.21299999999999999</v>
      </c>
      <c r="F11">
        <v>0.214</v>
      </c>
      <c r="G11">
        <v>0.215</v>
      </c>
      <c r="H11">
        <v>0.216</v>
      </c>
      <c r="I11">
        <v>0.218</v>
      </c>
      <c r="N11">
        <v>0</v>
      </c>
      <c r="O11">
        <v>28.266999999999999</v>
      </c>
      <c r="P11">
        <v>18.992000000000001</v>
      </c>
      <c r="Q11">
        <v>10.792999999999999</v>
      </c>
      <c r="R11">
        <v>5.1580000000000004</v>
      </c>
      <c r="S11">
        <v>0</v>
      </c>
      <c r="T11">
        <v>0</v>
      </c>
      <c r="U11">
        <v>0</v>
      </c>
      <c r="V11">
        <v>0</v>
      </c>
      <c r="W11">
        <v>0.89300000000000002</v>
      </c>
      <c r="AA11" s="1">
        <f>FLOOR(AB10,incOil2)</f>
        <v>1200</v>
      </c>
      <c r="AB11" s="1">
        <f>Interp2(Oil1Heel1,Oil1Heel2,Oil1Heel3,AA11,AA10)</f>
        <v>0</v>
      </c>
      <c r="AC11" s="1">
        <f>FLOOR(AC10,incOil1)</f>
        <v>1250</v>
      </c>
      <c r="AD11" s="42">
        <f>IF(AB16=AB15,AB15,Interp1(AA15:AA16,AB15:AB16,AA14))</f>
        <v>6.9989999999999997</v>
      </c>
    </row>
    <row r="12" spans="1:30">
      <c r="A12">
        <v>50</v>
      </c>
      <c r="B12">
        <v>0.48199999999999998</v>
      </c>
      <c r="C12">
        <v>0.48299999999999998</v>
      </c>
      <c r="D12">
        <v>0.48399999999999999</v>
      </c>
      <c r="E12">
        <v>0.48499999999999999</v>
      </c>
      <c r="F12">
        <v>0.48499999999999999</v>
      </c>
      <c r="G12">
        <v>0.48599999999999999</v>
      </c>
      <c r="H12">
        <v>0.48799999999999999</v>
      </c>
      <c r="I12">
        <v>0.48899999999999999</v>
      </c>
      <c r="N12">
        <v>100</v>
      </c>
      <c r="O12">
        <v>20.664000000000001</v>
      </c>
      <c r="P12">
        <v>15.487</v>
      </c>
      <c r="Q12">
        <v>10.319000000000001</v>
      </c>
      <c r="R12">
        <v>5.157</v>
      </c>
      <c r="S12">
        <v>0</v>
      </c>
      <c r="T12">
        <v>-5.1589999999999998</v>
      </c>
      <c r="U12">
        <v>-10.32</v>
      </c>
      <c r="V12">
        <v>-15.487</v>
      </c>
      <c r="W12">
        <v>-20.657</v>
      </c>
      <c r="AA12" s="1">
        <f>IF(AA11=OilSound1,AA11,CEILING(AB10,incOil2))</f>
        <v>1300</v>
      </c>
      <c r="AB12" s="1">
        <f>Interp2(Oil1Heel1,Oil1Heel2,Oil1Heel3,AA12,AA10)</f>
        <v>0</v>
      </c>
      <c r="AC12" s="1">
        <f>CEILING(AC10,incOil1)</f>
        <v>1250</v>
      </c>
      <c r="AD12" s="42">
        <f>IF(AC16=AC15,AC15,Interp1(AA15:AA16,AC15:AC16,AA14))</f>
        <v>6.9989999999999997</v>
      </c>
    </row>
    <row r="13" spans="1:30">
      <c r="A13">
        <v>100</v>
      </c>
      <c r="B13">
        <v>0.753</v>
      </c>
      <c r="C13">
        <v>0.755</v>
      </c>
      <c r="D13">
        <v>0.75600000000000001</v>
      </c>
      <c r="E13">
        <v>0.75600000000000001</v>
      </c>
      <c r="F13">
        <v>0.75700000000000001</v>
      </c>
      <c r="G13">
        <v>0.75800000000000001</v>
      </c>
      <c r="H13">
        <v>0.75900000000000001</v>
      </c>
      <c r="I13">
        <v>0.76100000000000001</v>
      </c>
      <c r="N13">
        <v>200</v>
      </c>
      <c r="O13">
        <v>20.664000000000001</v>
      </c>
      <c r="P13">
        <v>15.487</v>
      </c>
      <c r="Q13">
        <v>10.319000000000001</v>
      </c>
      <c r="R13">
        <v>5.1580000000000004</v>
      </c>
      <c r="S13">
        <v>0</v>
      </c>
      <c r="T13">
        <v>-5.1589999999999998</v>
      </c>
      <c r="U13">
        <v>-10.319000000000001</v>
      </c>
      <c r="V13">
        <v>-15.487</v>
      </c>
      <c r="W13">
        <v>-20.664000000000001</v>
      </c>
      <c r="AA13" s="1"/>
      <c r="AB13" s="1">
        <f>IF(AB12=AB11,AB11,Interp1(AA11:AA12,AB11:AB12,AB10))</f>
        <v>0</v>
      </c>
      <c r="AC13" s="1"/>
      <c r="AD13" s="42"/>
    </row>
    <row r="14" spans="1:30">
      <c r="A14">
        <v>150</v>
      </c>
      <c r="B14">
        <v>1.0249999999999999</v>
      </c>
      <c r="C14">
        <v>1.026</v>
      </c>
      <c r="D14">
        <v>1.0269999999999999</v>
      </c>
      <c r="E14">
        <v>1.028</v>
      </c>
      <c r="F14">
        <v>1.028</v>
      </c>
      <c r="G14">
        <v>1.0289999999999999</v>
      </c>
      <c r="H14">
        <v>1.0309999999999999</v>
      </c>
      <c r="I14">
        <v>1.032</v>
      </c>
      <c r="N14">
        <v>300</v>
      </c>
      <c r="O14">
        <v>20.664000000000001</v>
      </c>
      <c r="P14">
        <v>15.486000000000001</v>
      </c>
      <c r="Q14">
        <v>10.319000000000001</v>
      </c>
      <c r="R14">
        <v>5.1589999999999998</v>
      </c>
      <c r="S14">
        <v>0</v>
      </c>
      <c r="T14">
        <v>-5.1580000000000004</v>
      </c>
      <c r="U14">
        <v>-10.32</v>
      </c>
      <c r="V14">
        <v>-15.487</v>
      </c>
      <c r="W14">
        <v>-20.664000000000001</v>
      </c>
      <c r="AA14" s="1">
        <f>trimDraft</f>
        <v>0.149999999999999</v>
      </c>
      <c r="AB14" s="1"/>
      <c r="AC14" s="1"/>
      <c r="AD14" s="1"/>
    </row>
    <row r="15" spans="1:30">
      <c r="A15">
        <v>200</v>
      </c>
      <c r="B15">
        <v>1.296</v>
      </c>
      <c r="C15">
        <v>1.298</v>
      </c>
      <c r="D15">
        <v>1.2989999999999999</v>
      </c>
      <c r="E15">
        <v>1.2989999999999999</v>
      </c>
      <c r="F15">
        <v>1.3</v>
      </c>
      <c r="G15">
        <v>1.3009999999999999</v>
      </c>
      <c r="H15">
        <v>1.302</v>
      </c>
      <c r="I15">
        <v>1.304</v>
      </c>
      <c r="N15">
        <v>400</v>
      </c>
      <c r="O15">
        <v>20.664000000000001</v>
      </c>
      <c r="P15">
        <v>15.487</v>
      </c>
      <c r="Q15">
        <v>10.319000000000001</v>
      </c>
      <c r="R15">
        <v>5.1589999999999998</v>
      </c>
      <c r="S15">
        <v>0</v>
      </c>
      <c r="T15">
        <v>-5.1580000000000004</v>
      </c>
      <c r="U15">
        <v>-10.32</v>
      </c>
      <c r="V15">
        <v>-15.486000000000001</v>
      </c>
      <c r="W15">
        <v>-20.664000000000001</v>
      </c>
      <c r="AA15" s="1">
        <f>INDEX(Oil1Trim2,0,MATCH(AA14,Oil1Trim2,1))</f>
        <v>0</v>
      </c>
      <c r="AB15" s="1">
        <f>Interp2(Oil1Trim1,Oil1Trim2,Oil1Trim3,AC11,AA15)</f>
        <v>6.9989999999999997</v>
      </c>
      <c r="AC15" s="1">
        <f>Interp2(Oil1Trim1,Oil1Trim2,Oil1Trim3,AC12,AA15)</f>
        <v>6.9989999999999997</v>
      </c>
      <c r="AD15" s="1"/>
    </row>
    <row r="16" spans="1:30">
      <c r="A16">
        <v>250</v>
      </c>
      <c r="B16">
        <v>1.5680000000000001</v>
      </c>
      <c r="C16">
        <v>1.569</v>
      </c>
      <c r="D16">
        <v>1.57</v>
      </c>
      <c r="E16">
        <v>1.571</v>
      </c>
      <c r="F16">
        <v>1.571</v>
      </c>
      <c r="G16">
        <v>1.5720000000000001</v>
      </c>
      <c r="H16">
        <v>1.5740000000000001</v>
      </c>
      <c r="I16">
        <v>1.575</v>
      </c>
      <c r="N16">
        <v>500</v>
      </c>
      <c r="O16">
        <v>20.664000000000001</v>
      </c>
      <c r="P16">
        <v>15.487</v>
      </c>
      <c r="Q16">
        <v>10.319000000000001</v>
      </c>
      <c r="R16">
        <v>5.1589999999999998</v>
      </c>
      <c r="S16">
        <v>0</v>
      </c>
      <c r="T16">
        <v>-5.1580000000000004</v>
      </c>
      <c r="U16">
        <v>-10.32</v>
      </c>
      <c r="V16">
        <v>-15.487</v>
      </c>
      <c r="W16">
        <v>-20.664000000000001</v>
      </c>
      <c r="AA16" s="1">
        <f>IF(AA15=AA14,AA14,INDEX(Oil1Trim2,0,MATCH(AA14,Oil1Trim2,1)+1))</f>
        <v>0.5</v>
      </c>
      <c r="AB16" s="1">
        <f>Interp2(Oil1Trim1,Oil1Trim2,Oil1Trim3,AC11,AA16)</f>
        <v>7</v>
      </c>
      <c r="AC16" s="1">
        <f>Interp2(Oil1Trim1,Oil1Trim2,Oil1Trim3,AC12,AA16)</f>
        <v>7</v>
      </c>
      <c r="AD16" s="1"/>
    </row>
    <row r="17" spans="1:27">
      <c r="A17">
        <v>300</v>
      </c>
      <c r="B17">
        <v>1.839</v>
      </c>
      <c r="C17">
        <v>1.841</v>
      </c>
      <c r="D17">
        <v>1.8420000000000001</v>
      </c>
      <c r="E17">
        <v>1.8420000000000001</v>
      </c>
      <c r="F17">
        <v>1.843</v>
      </c>
      <c r="G17">
        <v>1.8440000000000001</v>
      </c>
      <c r="H17">
        <v>1.845</v>
      </c>
      <c r="I17">
        <v>1.847</v>
      </c>
      <c r="N17">
        <v>600</v>
      </c>
      <c r="O17">
        <v>20.664000000000001</v>
      </c>
      <c r="P17">
        <v>15.486000000000001</v>
      </c>
      <c r="Q17">
        <v>10.319000000000001</v>
      </c>
      <c r="R17">
        <v>5.1589999999999998</v>
      </c>
      <c r="S17">
        <v>0</v>
      </c>
      <c r="T17">
        <v>-5.1580000000000004</v>
      </c>
      <c r="U17">
        <v>-10.32</v>
      </c>
      <c r="V17">
        <v>-15.487</v>
      </c>
      <c r="W17">
        <v>-20.664000000000001</v>
      </c>
    </row>
    <row r="18" spans="1:27">
      <c r="A18">
        <v>350</v>
      </c>
      <c r="B18">
        <v>2.1110000000000002</v>
      </c>
      <c r="C18">
        <v>2.1120000000000001</v>
      </c>
      <c r="D18">
        <v>2.113</v>
      </c>
      <c r="E18">
        <v>2.1139999999999999</v>
      </c>
      <c r="F18">
        <v>2.1139999999999999</v>
      </c>
      <c r="G18">
        <v>2.1150000000000002</v>
      </c>
      <c r="H18">
        <v>2.117</v>
      </c>
      <c r="I18">
        <v>2.1179999999999999</v>
      </c>
      <c r="N18">
        <v>700</v>
      </c>
      <c r="O18">
        <v>20.664000000000001</v>
      </c>
      <c r="P18">
        <v>15.487</v>
      </c>
      <c r="Q18">
        <v>10.319000000000001</v>
      </c>
      <c r="R18">
        <v>5.1589999999999998</v>
      </c>
      <c r="S18">
        <v>0</v>
      </c>
      <c r="T18">
        <v>-5.1580000000000004</v>
      </c>
      <c r="U18">
        <v>-10.319000000000001</v>
      </c>
      <c r="V18">
        <v>-15.486000000000001</v>
      </c>
      <c r="W18">
        <v>-20.663</v>
      </c>
      <c r="AA18">
        <f>COUNT(A11:W102)</f>
        <v>1298</v>
      </c>
    </row>
    <row r="19" spans="1:27">
      <c r="A19">
        <v>400</v>
      </c>
      <c r="B19">
        <v>2.3820000000000001</v>
      </c>
      <c r="C19">
        <v>2.3839999999999999</v>
      </c>
      <c r="D19">
        <v>2.3849999999999998</v>
      </c>
      <c r="E19">
        <v>2.3849999999999998</v>
      </c>
      <c r="F19">
        <v>2.3860000000000001</v>
      </c>
      <c r="G19">
        <v>2.387</v>
      </c>
      <c r="H19">
        <v>2.3879999999999999</v>
      </c>
      <c r="I19">
        <v>2.39</v>
      </c>
      <c r="N19">
        <v>800</v>
      </c>
      <c r="O19">
        <v>20.664000000000001</v>
      </c>
      <c r="P19">
        <v>15.487</v>
      </c>
      <c r="Q19">
        <v>10.319000000000001</v>
      </c>
      <c r="R19">
        <v>5.1589999999999998</v>
      </c>
      <c r="S19">
        <v>0</v>
      </c>
      <c r="T19">
        <v>-5.1580000000000004</v>
      </c>
      <c r="U19">
        <v>-10.32</v>
      </c>
      <c r="V19">
        <v>-15.486000000000001</v>
      </c>
      <c r="W19">
        <v>-20.664000000000001</v>
      </c>
      <c r="AA19">
        <f>COUNTA(A11:W102)</f>
        <v>1298</v>
      </c>
    </row>
    <row r="20" spans="1:27">
      <c r="A20">
        <v>450</v>
      </c>
      <c r="B20">
        <v>2.6539999999999999</v>
      </c>
      <c r="C20">
        <v>2.6549999999999998</v>
      </c>
      <c r="D20">
        <v>2.6560000000000001</v>
      </c>
      <c r="E20">
        <v>2.657</v>
      </c>
      <c r="F20">
        <v>2.657</v>
      </c>
      <c r="G20">
        <v>2.6579999999999999</v>
      </c>
      <c r="H20">
        <v>2.66</v>
      </c>
      <c r="I20">
        <v>2.661</v>
      </c>
      <c r="N20">
        <v>900</v>
      </c>
      <c r="O20">
        <v>20.664000000000001</v>
      </c>
      <c r="P20">
        <v>15.486000000000001</v>
      </c>
      <c r="Q20">
        <v>10.319000000000001</v>
      </c>
      <c r="R20">
        <v>5.1589999999999998</v>
      </c>
      <c r="S20">
        <v>0</v>
      </c>
      <c r="T20">
        <v>-5.1580000000000004</v>
      </c>
      <c r="U20">
        <v>-10.318</v>
      </c>
      <c r="V20">
        <v>-15.486000000000001</v>
      </c>
      <c r="W20">
        <v>-20.661999999999999</v>
      </c>
    </row>
    <row r="21" spans="1:27">
      <c r="A21">
        <v>500</v>
      </c>
      <c r="B21">
        <v>2.9249999999999998</v>
      </c>
      <c r="C21">
        <v>2.927</v>
      </c>
      <c r="D21">
        <v>2.9279999999999999</v>
      </c>
      <c r="E21">
        <v>2.9279999999999999</v>
      </c>
      <c r="F21">
        <v>2.9289999999999998</v>
      </c>
      <c r="G21">
        <v>2.93</v>
      </c>
      <c r="H21">
        <v>2.931</v>
      </c>
      <c r="I21">
        <v>2.9329999999999998</v>
      </c>
      <c r="N21">
        <v>1000</v>
      </c>
      <c r="O21">
        <v>20.664999999999999</v>
      </c>
      <c r="P21">
        <v>15.487</v>
      </c>
      <c r="Q21">
        <v>10.319000000000001</v>
      </c>
      <c r="R21">
        <v>5.1589999999999998</v>
      </c>
      <c r="S21">
        <v>0</v>
      </c>
      <c r="T21">
        <v>-5.1580000000000004</v>
      </c>
      <c r="U21">
        <v>-10.318</v>
      </c>
      <c r="V21">
        <v>-15.486000000000001</v>
      </c>
      <c r="W21">
        <v>-20.664000000000001</v>
      </c>
    </row>
    <row r="22" spans="1:27">
      <c r="A22">
        <v>550</v>
      </c>
      <c r="B22">
        <v>3.1970000000000001</v>
      </c>
      <c r="C22">
        <v>3.198</v>
      </c>
      <c r="D22">
        <v>3.1989999999999998</v>
      </c>
      <c r="E22">
        <v>3.2</v>
      </c>
      <c r="F22">
        <v>3.2010000000000001</v>
      </c>
      <c r="G22">
        <v>3.2010000000000001</v>
      </c>
      <c r="H22">
        <v>3.2029999999999998</v>
      </c>
      <c r="I22">
        <v>3.2040000000000002</v>
      </c>
      <c r="N22">
        <v>1100</v>
      </c>
      <c r="O22">
        <v>20.664000000000001</v>
      </c>
      <c r="P22">
        <v>15.487</v>
      </c>
      <c r="Q22">
        <v>10.319000000000001</v>
      </c>
      <c r="R22">
        <v>5.1589999999999998</v>
      </c>
      <c r="S22">
        <v>0</v>
      </c>
      <c r="T22">
        <v>-5.157</v>
      </c>
      <c r="U22">
        <v>-10.317</v>
      </c>
      <c r="V22">
        <v>-15.486000000000001</v>
      </c>
      <c r="W22">
        <v>-20.663</v>
      </c>
    </row>
    <row r="23" spans="1:27">
      <c r="A23">
        <v>600</v>
      </c>
      <c r="B23">
        <v>3.468</v>
      </c>
      <c r="C23">
        <v>3.47</v>
      </c>
      <c r="D23">
        <v>3.4710000000000001</v>
      </c>
      <c r="E23">
        <v>3.4710000000000001</v>
      </c>
      <c r="F23">
        <v>3.472</v>
      </c>
      <c r="G23">
        <v>3.4729999999999999</v>
      </c>
      <c r="H23">
        <v>3.4740000000000002</v>
      </c>
      <c r="I23">
        <v>3.476</v>
      </c>
      <c r="N23">
        <v>1200</v>
      </c>
      <c r="O23">
        <v>20.663</v>
      </c>
      <c r="P23">
        <v>15.488</v>
      </c>
      <c r="Q23">
        <v>10.32</v>
      </c>
      <c r="R23">
        <v>5.1580000000000004</v>
      </c>
      <c r="S23">
        <v>0</v>
      </c>
      <c r="T23">
        <v>-5.1580000000000004</v>
      </c>
      <c r="U23">
        <v>-10.319000000000001</v>
      </c>
      <c r="V23">
        <v>-15.486000000000001</v>
      </c>
      <c r="W23">
        <v>-20.664000000000001</v>
      </c>
    </row>
    <row r="24" spans="1:27">
      <c r="A24">
        <v>650</v>
      </c>
      <c r="B24">
        <v>3.74</v>
      </c>
      <c r="C24">
        <v>3.7410000000000001</v>
      </c>
      <c r="D24">
        <v>3.742</v>
      </c>
      <c r="E24">
        <v>3.7429999999999999</v>
      </c>
      <c r="F24">
        <v>3.7440000000000002</v>
      </c>
      <c r="G24">
        <v>3.7440000000000002</v>
      </c>
      <c r="H24">
        <v>3.746</v>
      </c>
      <c r="I24">
        <v>3.7469999999999999</v>
      </c>
      <c r="N24">
        <v>1300</v>
      </c>
      <c r="O24">
        <v>20.664999999999999</v>
      </c>
      <c r="P24">
        <v>15.487</v>
      </c>
      <c r="Q24">
        <v>10.32</v>
      </c>
      <c r="R24">
        <v>5.1559999999999997</v>
      </c>
      <c r="S24">
        <v>0</v>
      </c>
      <c r="T24">
        <v>-5.157</v>
      </c>
      <c r="U24">
        <v>-10.319000000000001</v>
      </c>
      <c r="V24">
        <v>-15.486000000000001</v>
      </c>
      <c r="W24">
        <v>-20.664000000000001</v>
      </c>
    </row>
    <row r="25" spans="1:27">
      <c r="A25">
        <v>700</v>
      </c>
      <c r="B25">
        <v>4.0110000000000001</v>
      </c>
      <c r="C25">
        <v>4.0129999999999999</v>
      </c>
      <c r="D25">
        <v>4.0140000000000002</v>
      </c>
      <c r="E25">
        <v>4.0140000000000002</v>
      </c>
      <c r="F25">
        <v>4.0149999999999997</v>
      </c>
      <c r="G25">
        <v>4.016</v>
      </c>
      <c r="H25">
        <v>4.0170000000000003</v>
      </c>
      <c r="I25">
        <v>4.0190000000000001</v>
      </c>
      <c r="N25">
        <v>1400</v>
      </c>
      <c r="O25">
        <v>20.664000000000001</v>
      </c>
      <c r="P25">
        <v>15.487</v>
      </c>
      <c r="Q25">
        <v>10.32</v>
      </c>
      <c r="R25">
        <v>5.1559999999999997</v>
      </c>
      <c r="S25">
        <v>0</v>
      </c>
      <c r="T25">
        <v>-5.157</v>
      </c>
      <c r="U25">
        <v>-10.319000000000001</v>
      </c>
      <c r="V25">
        <v>-15.486000000000001</v>
      </c>
      <c r="W25">
        <v>-20.663</v>
      </c>
    </row>
    <row r="26" spans="1:27">
      <c r="A26">
        <v>750</v>
      </c>
      <c r="B26">
        <v>4.2830000000000004</v>
      </c>
      <c r="C26">
        <v>4.2839999999999998</v>
      </c>
      <c r="D26">
        <v>4.2850000000000001</v>
      </c>
      <c r="E26">
        <v>4.2859999999999996</v>
      </c>
      <c r="F26">
        <v>4.2869999999999999</v>
      </c>
      <c r="G26">
        <v>4.2869999999999999</v>
      </c>
      <c r="H26">
        <v>4.2889999999999997</v>
      </c>
      <c r="I26">
        <v>4.29</v>
      </c>
      <c r="N26">
        <v>1500</v>
      </c>
      <c r="O26">
        <v>20.663</v>
      </c>
      <c r="P26">
        <v>15.486000000000001</v>
      </c>
      <c r="Q26">
        <v>10.319000000000001</v>
      </c>
      <c r="R26">
        <v>5.1559999999999997</v>
      </c>
      <c r="S26">
        <v>0</v>
      </c>
      <c r="T26">
        <v>-5.1580000000000004</v>
      </c>
      <c r="U26">
        <v>-10.319000000000001</v>
      </c>
      <c r="V26">
        <v>-15.486000000000001</v>
      </c>
      <c r="W26">
        <v>-20.664000000000001</v>
      </c>
    </row>
    <row r="27" spans="1:27">
      <c r="A27">
        <v>800</v>
      </c>
      <c r="B27">
        <v>4.5540000000000003</v>
      </c>
      <c r="C27">
        <v>4.556</v>
      </c>
      <c r="D27">
        <v>4.5570000000000004</v>
      </c>
      <c r="E27">
        <v>4.5570000000000004</v>
      </c>
      <c r="F27">
        <v>4.5579999999999998</v>
      </c>
      <c r="G27">
        <v>4.5590000000000002</v>
      </c>
      <c r="H27">
        <v>4.5599999999999996</v>
      </c>
      <c r="I27">
        <v>4.5620000000000003</v>
      </c>
      <c r="N27">
        <v>1600</v>
      </c>
      <c r="O27">
        <v>20.663</v>
      </c>
      <c r="P27">
        <v>15.486000000000001</v>
      </c>
      <c r="Q27">
        <v>10.319000000000001</v>
      </c>
      <c r="R27">
        <v>5.1559999999999997</v>
      </c>
      <c r="S27">
        <v>0</v>
      </c>
      <c r="T27">
        <v>-5.157</v>
      </c>
      <c r="U27">
        <v>-10.319000000000001</v>
      </c>
      <c r="V27">
        <v>-15.486000000000001</v>
      </c>
      <c r="W27">
        <v>-20.664999999999999</v>
      </c>
    </row>
    <row r="28" spans="1:27">
      <c r="A28">
        <v>850</v>
      </c>
      <c r="B28">
        <v>4.8259999999999996</v>
      </c>
      <c r="C28">
        <v>4.827</v>
      </c>
      <c r="D28">
        <v>4.8280000000000003</v>
      </c>
      <c r="E28">
        <v>4.8289999999999997</v>
      </c>
      <c r="F28">
        <v>4.83</v>
      </c>
      <c r="G28">
        <v>4.83</v>
      </c>
      <c r="H28">
        <v>4.8319999999999999</v>
      </c>
      <c r="I28">
        <v>4.8330000000000002</v>
      </c>
      <c r="N28">
        <v>1700</v>
      </c>
      <c r="O28">
        <v>20.663</v>
      </c>
      <c r="P28">
        <v>15.486000000000001</v>
      </c>
      <c r="Q28">
        <v>10.319000000000001</v>
      </c>
      <c r="R28">
        <v>5.1559999999999997</v>
      </c>
      <c r="S28">
        <v>0</v>
      </c>
      <c r="T28">
        <v>-5.157</v>
      </c>
      <c r="U28">
        <v>-10.319000000000001</v>
      </c>
      <c r="V28">
        <v>-15.488</v>
      </c>
      <c r="W28">
        <v>-20.664000000000001</v>
      </c>
    </row>
    <row r="29" spans="1:27">
      <c r="A29">
        <v>900</v>
      </c>
      <c r="B29">
        <v>5.0970000000000004</v>
      </c>
      <c r="C29">
        <v>5.0990000000000002</v>
      </c>
      <c r="D29">
        <v>5.0999999999999996</v>
      </c>
      <c r="E29">
        <v>5.0999999999999996</v>
      </c>
      <c r="F29">
        <v>5.101</v>
      </c>
      <c r="G29">
        <v>5.1020000000000003</v>
      </c>
      <c r="H29">
        <v>5.1029999999999998</v>
      </c>
      <c r="I29">
        <v>5.1050000000000004</v>
      </c>
      <c r="N29">
        <v>1800</v>
      </c>
      <c r="O29">
        <v>20.664000000000001</v>
      </c>
      <c r="P29">
        <v>15.486000000000001</v>
      </c>
      <c r="Q29">
        <v>10.32</v>
      </c>
      <c r="R29">
        <v>5.1559999999999997</v>
      </c>
      <c r="S29">
        <v>0</v>
      </c>
      <c r="T29">
        <v>-5.157</v>
      </c>
      <c r="U29">
        <v>-10.319000000000001</v>
      </c>
      <c r="V29">
        <v>-15.488</v>
      </c>
      <c r="W29">
        <v>-20.663</v>
      </c>
    </row>
    <row r="30" spans="1:27">
      <c r="A30">
        <v>950</v>
      </c>
      <c r="B30">
        <v>5.3689999999999998</v>
      </c>
      <c r="C30">
        <v>5.37</v>
      </c>
      <c r="D30">
        <v>5.3710000000000004</v>
      </c>
      <c r="E30">
        <v>5.3719999999999999</v>
      </c>
      <c r="F30">
        <v>5.3730000000000002</v>
      </c>
      <c r="G30">
        <v>5.3730000000000002</v>
      </c>
      <c r="H30">
        <v>5.375</v>
      </c>
      <c r="I30">
        <v>5.3760000000000003</v>
      </c>
      <c r="N30">
        <v>1900</v>
      </c>
      <c r="O30">
        <v>20.664000000000001</v>
      </c>
      <c r="P30">
        <v>15.488</v>
      </c>
      <c r="Q30">
        <v>10.32</v>
      </c>
      <c r="R30">
        <v>5.1580000000000004</v>
      </c>
      <c r="S30">
        <v>0</v>
      </c>
      <c r="T30">
        <v>-5.1559999999999997</v>
      </c>
      <c r="U30">
        <v>-10.319000000000001</v>
      </c>
      <c r="V30">
        <v>-15.486000000000001</v>
      </c>
      <c r="W30">
        <v>-20.664000000000001</v>
      </c>
    </row>
    <row r="31" spans="1:27">
      <c r="A31">
        <v>1000</v>
      </c>
      <c r="B31">
        <v>5.64</v>
      </c>
      <c r="C31">
        <v>5.6420000000000003</v>
      </c>
      <c r="D31">
        <v>5.6429999999999998</v>
      </c>
      <c r="E31">
        <v>5.6429999999999998</v>
      </c>
      <c r="F31">
        <v>5.6440000000000001</v>
      </c>
      <c r="G31">
        <v>5.6449999999999996</v>
      </c>
      <c r="H31">
        <v>5.6459999999999999</v>
      </c>
      <c r="I31">
        <v>5.6479999999999997</v>
      </c>
      <c r="N31">
        <v>2000</v>
      </c>
      <c r="O31">
        <v>20.664000000000001</v>
      </c>
      <c r="P31">
        <v>15.488</v>
      </c>
      <c r="Q31">
        <v>10.319000000000001</v>
      </c>
      <c r="R31">
        <v>5.1580000000000004</v>
      </c>
      <c r="S31">
        <v>0</v>
      </c>
      <c r="T31">
        <v>-5.1559999999999997</v>
      </c>
      <c r="U31">
        <v>-10.32</v>
      </c>
      <c r="V31">
        <v>-15.486000000000001</v>
      </c>
      <c r="W31">
        <v>-20.664000000000001</v>
      </c>
    </row>
    <row r="32" spans="1:27">
      <c r="A32">
        <v>1050</v>
      </c>
      <c r="B32">
        <v>5.9119999999999999</v>
      </c>
      <c r="C32">
        <v>5.9130000000000003</v>
      </c>
      <c r="D32">
        <v>5.9139999999999997</v>
      </c>
      <c r="E32">
        <v>5.915</v>
      </c>
      <c r="F32">
        <v>5.9160000000000004</v>
      </c>
      <c r="G32">
        <v>5.9160000000000004</v>
      </c>
      <c r="H32">
        <v>5.9180000000000001</v>
      </c>
      <c r="I32">
        <v>5.9189999999999996</v>
      </c>
      <c r="N32">
        <v>2100</v>
      </c>
      <c r="O32">
        <v>20.663</v>
      </c>
      <c r="P32">
        <v>15.486000000000001</v>
      </c>
      <c r="Q32">
        <v>10.319000000000001</v>
      </c>
      <c r="R32">
        <v>5.157</v>
      </c>
      <c r="S32">
        <v>0</v>
      </c>
      <c r="T32">
        <v>-5.1559999999999997</v>
      </c>
      <c r="U32">
        <v>-10.32</v>
      </c>
      <c r="V32">
        <v>-15.486000000000001</v>
      </c>
      <c r="W32">
        <v>-20.664000000000001</v>
      </c>
    </row>
    <row r="33" spans="1:23">
      <c r="A33">
        <v>1100</v>
      </c>
      <c r="B33">
        <v>6.1829999999999998</v>
      </c>
      <c r="C33">
        <v>6.1849999999999996</v>
      </c>
      <c r="D33">
        <v>6.1859999999999999</v>
      </c>
      <c r="E33">
        <v>6.1859999999999999</v>
      </c>
      <c r="F33">
        <v>6.1870000000000003</v>
      </c>
      <c r="G33">
        <v>6.1879999999999997</v>
      </c>
      <c r="H33">
        <v>6.1890000000000001</v>
      </c>
      <c r="I33">
        <v>6.1909999999999998</v>
      </c>
      <c r="N33">
        <v>2200</v>
      </c>
      <c r="O33">
        <v>20.664000000000001</v>
      </c>
      <c r="P33">
        <v>15.486000000000001</v>
      </c>
      <c r="Q33">
        <v>10.319000000000001</v>
      </c>
      <c r="R33">
        <v>5.1580000000000004</v>
      </c>
      <c r="S33">
        <v>0</v>
      </c>
      <c r="T33">
        <v>-5.1550000000000002</v>
      </c>
      <c r="U33">
        <v>-10.319000000000001</v>
      </c>
      <c r="V33">
        <v>-15.484999999999999</v>
      </c>
      <c r="W33">
        <v>-20.663</v>
      </c>
    </row>
    <row r="34" spans="1:23">
      <c r="A34">
        <v>1150</v>
      </c>
      <c r="B34">
        <v>6.4550000000000001</v>
      </c>
      <c r="C34">
        <v>6.4560000000000004</v>
      </c>
      <c r="D34">
        <v>6.4569999999999999</v>
      </c>
      <c r="E34">
        <v>6.4580000000000002</v>
      </c>
      <c r="F34">
        <v>6.4589999999999996</v>
      </c>
      <c r="G34">
        <v>6.4589999999999996</v>
      </c>
      <c r="H34">
        <v>6.4610000000000003</v>
      </c>
      <c r="I34">
        <v>6.4619999999999997</v>
      </c>
      <c r="N34">
        <v>2300</v>
      </c>
      <c r="O34">
        <v>20.664000000000001</v>
      </c>
      <c r="P34">
        <v>15.486000000000001</v>
      </c>
      <c r="Q34">
        <v>10.319000000000001</v>
      </c>
      <c r="R34">
        <v>5.157</v>
      </c>
      <c r="S34">
        <v>0</v>
      </c>
      <c r="T34">
        <v>-5.1559999999999997</v>
      </c>
      <c r="U34">
        <v>-10.32</v>
      </c>
      <c r="V34">
        <v>-15.488</v>
      </c>
      <c r="W34">
        <v>-20.666</v>
      </c>
    </row>
    <row r="35" spans="1:23">
      <c r="A35">
        <v>1200</v>
      </c>
      <c r="B35">
        <v>6.726</v>
      </c>
      <c r="C35">
        <v>6.7279999999999998</v>
      </c>
      <c r="D35">
        <v>6.7290000000000001</v>
      </c>
      <c r="E35">
        <v>6.7290000000000001</v>
      </c>
      <c r="F35">
        <v>6.73</v>
      </c>
      <c r="G35">
        <v>6.7309999999999999</v>
      </c>
      <c r="H35">
        <v>6.7320000000000002</v>
      </c>
      <c r="I35">
        <v>6.734</v>
      </c>
      <c r="N35">
        <v>2400</v>
      </c>
      <c r="O35">
        <v>20.663</v>
      </c>
      <c r="P35">
        <v>15.486000000000001</v>
      </c>
      <c r="Q35">
        <v>10.319000000000001</v>
      </c>
      <c r="R35">
        <v>5.157</v>
      </c>
      <c r="S35">
        <v>0</v>
      </c>
      <c r="T35">
        <v>-5.1559999999999997</v>
      </c>
      <c r="U35">
        <v>-10.319000000000001</v>
      </c>
      <c r="V35">
        <v>-15.488</v>
      </c>
      <c r="W35">
        <v>-20.664000000000001</v>
      </c>
    </row>
    <row r="36" spans="1:23">
      <c r="A36">
        <v>1250</v>
      </c>
      <c r="B36">
        <v>6.9980000000000002</v>
      </c>
      <c r="C36">
        <v>6.9989999999999997</v>
      </c>
      <c r="D36">
        <v>7</v>
      </c>
      <c r="E36">
        <v>7.0010000000000003</v>
      </c>
      <c r="F36">
        <v>7.0019999999999998</v>
      </c>
      <c r="G36">
        <v>7.0019999999999998</v>
      </c>
      <c r="H36">
        <v>7.0039999999999996</v>
      </c>
      <c r="I36">
        <v>7.0049999999999999</v>
      </c>
      <c r="N36">
        <v>2500</v>
      </c>
      <c r="O36">
        <v>20.663</v>
      </c>
      <c r="P36">
        <v>15.486000000000001</v>
      </c>
      <c r="Q36">
        <v>10.319000000000001</v>
      </c>
      <c r="R36">
        <v>5.157</v>
      </c>
      <c r="S36">
        <v>0</v>
      </c>
      <c r="T36">
        <v>-5.1559999999999997</v>
      </c>
      <c r="U36">
        <v>-10.319000000000001</v>
      </c>
      <c r="V36">
        <v>-15.488</v>
      </c>
      <c r="W36">
        <v>-20.664000000000001</v>
      </c>
    </row>
    <row r="37" spans="1:23">
      <c r="A37">
        <v>1300</v>
      </c>
      <c r="B37">
        <v>7.2690000000000001</v>
      </c>
      <c r="C37">
        <v>7.2709999999999999</v>
      </c>
      <c r="D37">
        <v>7.2720000000000002</v>
      </c>
      <c r="E37">
        <v>7.2720000000000002</v>
      </c>
      <c r="F37">
        <v>7.2729999999999997</v>
      </c>
      <c r="G37">
        <v>7.274</v>
      </c>
      <c r="H37">
        <v>7.2750000000000004</v>
      </c>
      <c r="I37">
        <v>7.2770000000000001</v>
      </c>
      <c r="N37">
        <v>2600</v>
      </c>
      <c r="O37">
        <v>20.663</v>
      </c>
      <c r="P37">
        <v>15.488</v>
      </c>
      <c r="Q37">
        <v>10.319000000000001</v>
      </c>
      <c r="R37">
        <v>5.1580000000000004</v>
      </c>
      <c r="S37">
        <v>0</v>
      </c>
      <c r="T37">
        <v>-5.1559999999999997</v>
      </c>
      <c r="U37">
        <v>-10.319000000000001</v>
      </c>
      <c r="V37">
        <v>-15.486000000000001</v>
      </c>
      <c r="W37">
        <v>-20.664000000000001</v>
      </c>
    </row>
    <row r="38" spans="1:23">
      <c r="A38">
        <v>1350</v>
      </c>
      <c r="B38">
        <v>7.5410000000000004</v>
      </c>
      <c r="C38">
        <v>7.5419999999999998</v>
      </c>
      <c r="D38">
        <v>7.5430000000000001</v>
      </c>
      <c r="E38">
        <v>7.5439999999999996</v>
      </c>
      <c r="F38">
        <v>7.5449999999999999</v>
      </c>
      <c r="G38">
        <v>7.5449999999999999</v>
      </c>
      <c r="H38">
        <v>7.5469999999999997</v>
      </c>
      <c r="I38">
        <v>7.548</v>
      </c>
      <c r="N38">
        <v>2700</v>
      </c>
      <c r="O38">
        <v>20.664000000000001</v>
      </c>
      <c r="P38">
        <v>15.488</v>
      </c>
      <c r="Q38">
        <v>10.32</v>
      </c>
      <c r="R38">
        <v>5.1580000000000004</v>
      </c>
      <c r="S38">
        <v>0</v>
      </c>
      <c r="T38">
        <v>-5.157</v>
      </c>
      <c r="U38">
        <v>-10.317</v>
      </c>
      <c r="V38">
        <v>-15.486000000000001</v>
      </c>
      <c r="W38">
        <v>-20.663</v>
      </c>
    </row>
    <row r="39" spans="1:23">
      <c r="A39">
        <v>1400</v>
      </c>
      <c r="B39">
        <v>7.8120000000000003</v>
      </c>
      <c r="C39">
        <v>7.8140000000000001</v>
      </c>
      <c r="D39">
        <v>7.8150000000000004</v>
      </c>
      <c r="E39">
        <v>7.8150000000000004</v>
      </c>
      <c r="F39">
        <v>7.8159999999999998</v>
      </c>
      <c r="G39">
        <v>7.8170000000000002</v>
      </c>
      <c r="H39">
        <v>7.8179999999999996</v>
      </c>
      <c r="I39">
        <v>7.82</v>
      </c>
      <c r="N39">
        <v>2800</v>
      </c>
      <c r="O39">
        <v>20.664000000000001</v>
      </c>
      <c r="P39">
        <v>15.486000000000001</v>
      </c>
      <c r="Q39">
        <v>10.32</v>
      </c>
      <c r="R39">
        <v>5.1580000000000004</v>
      </c>
      <c r="S39">
        <v>0</v>
      </c>
      <c r="T39">
        <v>-5.157</v>
      </c>
      <c r="U39">
        <v>-10.319000000000001</v>
      </c>
      <c r="V39">
        <v>-15.486000000000001</v>
      </c>
      <c r="W39">
        <v>-20.663</v>
      </c>
    </row>
    <row r="40" spans="1:23">
      <c r="A40">
        <v>1450</v>
      </c>
      <c r="B40">
        <v>8.0839999999999996</v>
      </c>
      <c r="C40">
        <v>8.0850000000000009</v>
      </c>
      <c r="D40">
        <v>8.0860000000000003</v>
      </c>
      <c r="E40">
        <v>8.0869999999999997</v>
      </c>
      <c r="F40">
        <v>8.0879999999999992</v>
      </c>
      <c r="G40">
        <v>8.0879999999999992</v>
      </c>
      <c r="H40">
        <v>8.09</v>
      </c>
      <c r="I40">
        <v>8.0909999999999993</v>
      </c>
      <c r="N40">
        <v>2900</v>
      </c>
      <c r="O40">
        <v>20.663</v>
      </c>
      <c r="P40">
        <v>15.486000000000001</v>
      </c>
      <c r="Q40">
        <v>10.319000000000001</v>
      </c>
      <c r="R40">
        <v>5.1580000000000004</v>
      </c>
      <c r="S40">
        <v>0</v>
      </c>
      <c r="T40">
        <v>-5.157</v>
      </c>
      <c r="U40">
        <v>-10.319000000000001</v>
      </c>
      <c r="V40">
        <v>-15.486000000000001</v>
      </c>
      <c r="W40">
        <v>-20.663</v>
      </c>
    </row>
    <row r="41" spans="1:23">
      <c r="A41">
        <v>1500</v>
      </c>
      <c r="B41">
        <v>8.3550000000000004</v>
      </c>
      <c r="C41">
        <v>8.3569999999999993</v>
      </c>
      <c r="D41">
        <v>8.3580000000000005</v>
      </c>
      <c r="E41">
        <v>8.3580000000000005</v>
      </c>
      <c r="F41">
        <v>8.359</v>
      </c>
      <c r="G41">
        <v>8.36</v>
      </c>
      <c r="H41">
        <v>8.3610000000000007</v>
      </c>
      <c r="I41">
        <v>8.3629999999999995</v>
      </c>
      <c r="N41">
        <v>3000</v>
      </c>
      <c r="O41">
        <v>20.666</v>
      </c>
      <c r="P41">
        <v>15.486000000000001</v>
      </c>
      <c r="Q41">
        <v>10.32</v>
      </c>
      <c r="R41">
        <v>5.157</v>
      </c>
      <c r="S41">
        <v>0</v>
      </c>
      <c r="T41">
        <v>-5.157</v>
      </c>
      <c r="U41">
        <v>-10.319000000000001</v>
      </c>
      <c r="V41">
        <v>-15.488</v>
      </c>
      <c r="W41">
        <v>-20.664000000000001</v>
      </c>
    </row>
    <row r="42" spans="1:23">
      <c r="A42">
        <v>1550</v>
      </c>
      <c r="B42">
        <v>8.6270000000000007</v>
      </c>
      <c r="C42">
        <v>8.6280000000000001</v>
      </c>
      <c r="D42">
        <v>8.6289999999999996</v>
      </c>
      <c r="E42">
        <v>8.6300000000000008</v>
      </c>
      <c r="F42">
        <v>8.6310000000000002</v>
      </c>
      <c r="G42">
        <v>8.6310000000000002</v>
      </c>
      <c r="H42">
        <v>8.6329999999999991</v>
      </c>
      <c r="I42">
        <v>8.6340000000000003</v>
      </c>
      <c r="N42">
        <v>3100</v>
      </c>
      <c r="O42">
        <v>20.664000000000001</v>
      </c>
      <c r="P42">
        <v>15.486000000000001</v>
      </c>
      <c r="Q42">
        <v>10.319000000000001</v>
      </c>
      <c r="R42">
        <v>5.1580000000000004</v>
      </c>
      <c r="S42">
        <v>0</v>
      </c>
      <c r="T42">
        <v>-5.157</v>
      </c>
      <c r="U42">
        <v>-10.32</v>
      </c>
      <c r="V42">
        <v>-15.488</v>
      </c>
      <c r="W42">
        <v>-20.663</v>
      </c>
    </row>
    <row r="43" spans="1:23">
      <c r="A43">
        <v>1600</v>
      </c>
      <c r="B43">
        <v>8.8979999999999997</v>
      </c>
      <c r="C43">
        <v>8.9</v>
      </c>
      <c r="D43">
        <v>8.9009999999999998</v>
      </c>
      <c r="E43">
        <v>8.9009999999999998</v>
      </c>
      <c r="F43">
        <v>8.9019999999999992</v>
      </c>
      <c r="G43">
        <v>8.9030000000000005</v>
      </c>
      <c r="H43">
        <v>8.9039999999999999</v>
      </c>
      <c r="I43">
        <v>8.9060000000000006</v>
      </c>
      <c r="N43">
        <v>3200</v>
      </c>
      <c r="O43">
        <v>20.664000000000001</v>
      </c>
      <c r="P43">
        <v>15.486000000000001</v>
      </c>
      <c r="Q43">
        <v>10.319000000000001</v>
      </c>
      <c r="R43">
        <v>5.1580000000000004</v>
      </c>
      <c r="S43">
        <v>0</v>
      </c>
      <c r="T43">
        <v>-5.157</v>
      </c>
      <c r="U43">
        <v>-10.32</v>
      </c>
      <c r="V43">
        <v>-15.487</v>
      </c>
      <c r="W43">
        <v>-20.664000000000001</v>
      </c>
    </row>
    <row r="44" spans="1:23">
      <c r="A44">
        <v>1650</v>
      </c>
      <c r="B44">
        <v>9.17</v>
      </c>
      <c r="C44">
        <v>9.1709999999999994</v>
      </c>
      <c r="D44">
        <v>9.1720000000000006</v>
      </c>
      <c r="E44">
        <v>9.173</v>
      </c>
      <c r="F44">
        <v>9.1739999999999995</v>
      </c>
      <c r="G44">
        <v>9.1739999999999995</v>
      </c>
      <c r="H44">
        <v>9.1760000000000002</v>
      </c>
      <c r="I44">
        <v>9.1769999999999996</v>
      </c>
      <c r="N44">
        <v>3300</v>
      </c>
      <c r="O44">
        <v>20.663</v>
      </c>
      <c r="P44">
        <v>15.488</v>
      </c>
      <c r="Q44">
        <v>10.32</v>
      </c>
      <c r="R44">
        <v>5.1580000000000004</v>
      </c>
      <c r="S44">
        <v>0</v>
      </c>
      <c r="T44">
        <v>-5.1580000000000004</v>
      </c>
      <c r="U44">
        <v>-10.319000000000001</v>
      </c>
      <c r="V44">
        <v>-15.486000000000001</v>
      </c>
      <c r="W44">
        <v>-20.663</v>
      </c>
    </row>
    <row r="45" spans="1:23">
      <c r="A45">
        <v>1700</v>
      </c>
      <c r="B45">
        <v>9.4410000000000007</v>
      </c>
      <c r="C45">
        <v>9.4429999999999996</v>
      </c>
      <c r="D45">
        <v>9.4440000000000008</v>
      </c>
      <c r="E45">
        <v>9.4440000000000008</v>
      </c>
      <c r="F45">
        <v>9.4450000000000003</v>
      </c>
      <c r="G45">
        <v>9.4459999999999997</v>
      </c>
      <c r="H45">
        <v>9.4469999999999992</v>
      </c>
      <c r="I45">
        <v>9.4489999999999998</v>
      </c>
      <c r="N45">
        <v>3400</v>
      </c>
      <c r="O45">
        <v>20.663</v>
      </c>
      <c r="P45">
        <v>15.488</v>
      </c>
      <c r="Q45">
        <v>10.319000000000001</v>
      </c>
      <c r="R45">
        <v>5.1580000000000004</v>
      </c>
      <c r="S45">
        <v>0</v>
      </c>
      <c r="T45">
        <v>-5.157</v>
      </c>
      <c r="U45">
        <v>-10.319000000000001</v>
      </c>
      <c r="V45">
        <v>-15.486000000000001</v>
      </c>
      <c r="W45">
        <v>-20.663</v>
      </c>
    </row>
    <row r="46" spans="1:23">
      <c r="A46">
        <v>1750</v>
      </c>
      <c r="B46">
        <v>9.7129999999999992</v>
      </c>
      <c r="C46">
        <v>9.7140000000000004</v>
      </c>
      <c r="D46">
        <v>9.7149999999999999</v>
      </c>
      <c r="E46">
        <v>9.7159999999999993</v>
      </c>
      <c r="F46">
        <v>9.7170000000000005</v>
      </c>
      <c r="G46">
        <v>9.7170000000000005</v>
      </c>
      <c r="H46">
        <v>9.7189999999999994</v>
      </c>
      <c r="I46">
        <v>9.7200000000000006</v>
      </c>
      <c r="N46">
        <v>3500</v>
      </c>
      <c r="O46">
        <v>20.663</v>
      </c>
      <c r="P46">
        <v>15.486000000000001</v>
      </c>
      <c r="Q46">
        <v>10.319000000000001</v>
      </c>
      <c r="R46">
        <v>5.157</v>
      </c>
      <c r="S46">
        <v>0</v>
      </c>
      <c r="T46">
        <v>-5.1580000000000004</v>
      </c>
      <c r="U46">
        <v>-10.319000000000001</v>
      </c>
      <c r="V46">
        <v>-15.486000000000001</v>
      </c>
      <c r="W46">
        <v>-20.663</v>
      </c>
    </row>
    <row r="47" spans="1:23">
      <c r="A47">
        <v>1800</v>
      </c>
      <c r="B47">
        <v>9.984</v>
      </c>
      <c r="C47">
        <v>9.9860000000000007</v>
      </c>
      <c r="D47">
        <v>9.9870000000000001</v>
      </c>
      <c r="E47">
        <v>9.9870000000000001</v>
      </c>
      <c r="F47">
        <v>9.9879999999999995</v>
      </c>
      <c r="G47">
        <v>9.9890000000000008</v>
      </c>
      <c r="H47">
        <v>9.99</v>
      </c>
      <c r="I47">
        <v>9.9920000000000009</v>
      </c>
      <c r="N47">
        <v>3600</v>
      </c>
      <c r="O47">
        <v>20.664000000000001</v>
      </c>
      <c r="P47">
        <v>15.486000000000001</v>
      </c>
      <c r="Q47">
        <v>10.319000000000001</v>
      </c>
      <c r="R47">
        <v>5.1580000000000004</v>
      </c>
      <c r="S47">
        <v>0</v>
      </c>
      <c r="T47">
        <v>-5.157</v>
      </c>
      <c r="U47">
        <v>-10.319000000000001</v>
      </c>
      <c r="V47">
        <v>-15.486000000000001</v>
      </c>
      <c r="W47">
        <v>-20.663</v>
      </c>
    </row>
    <row r="48" spans="1:23">
      <c r="A48">
        <v>1850</v>
      </c>
      <c r="B48">
        <v>10.256</v>
      </c>
      <c r="C48">
        <v>10.257</v>
      </c>
      <c r="D48">
        <v>10.257999999999999</v>
      </c>
      <c r="E48">
        <v>10.259</v>
      </c>
      <c r="F48">
        <v>10.26</v>
      </c>
      <c r="G48">
        <v>10.26</v>
      </c>
      <c r="H48">
        <v>10.262</v>
      </c>
      <c r="I48">
        <v>10.263</v>
      </c>
      <c r="N48">
        <v>3700</v>
      </c>
      <c r="O48">
        <v>20.663</v>
      </c>
      <c r="P48">
        <v>15.486000000000001</v>
      </c>
      <c r="Q48">
        <v>10.319000000000001</v>
      </c>
      <c r="R48">
        <v>5.1580000000000004</v>
      </c>
      <c r="S48">
        <v>0</v>
      </c>
      <c r="T48">
        <v>-5.157</v>
      </c>
      <c r="U48">
        <v>-10.319000000000001</v>
      </c>
      <c r="V48">
        <v>-15.487</v>
      </c>
      <c r="W48">
        <v>-20.664000000000001</v>
      </c>
    </row>
    <row r="49" spans="1:23">
      <c r="A49">
        <v>1900</v>
      </c>
      <c r="B49">
        <v>10.526999999999999</v>
      </c>
      <c r="C49">
        <v>10.529</v>
      </c>
      <c r="D49">
        <v>10.53</v>
      </c>
      <c r="E49">
        <v>10.53</v>
      </c>
      <c r="F49">
        <v>10.531000000000001</v>
      </c>
      <c r="G49">
        <v>10.532</v>
      </c>
      <c r="H49">
        <v>10.532999999999999</v>
      </c>
      <c r="I49">
        <v>10.535</v>
      </c>
      <c r="N49">
        <v>3800</v>
      </c>
      <c r="O49">
        <v>20.663</v>
      </c>
      <c r="P49">
        <v>15.486000000000001</v>
      </c>
      <c r="Q49">
        <v>10.32</v>
      </c>
      <c r="R49">
        <v>5.157</v>
      </c>
      <c r="S49">
        <v>0</v>
      </c>
      <c r="T49">
        <v>-5.1580000000000004</v>
      </c>
      <c r="U49">
        <v>-10.319000000000001</v>
      </c>
      <c r="V49">
        <v>-15.488</v>
      </c>
      <c r="W49">
        <v>-20.664000000000001</v>
      </c>
    </row>
    <row r="50" spans="1:23">
      <c r="A50">
        <v>1950</v>
      </c>
      <c r="B50">
        <v>10.798999999999999</v>
      </c>
      <c r="C50">
        <v>10.8</v>
      </c>
      <c r="D50">
        <v>10.801</v>
      </c>
      <c r="E50">
        <v>10.802</v>
      </c>
      <c r="F50">
        <v>10.803000000000001</v>
      </c>
      <c r="G50">
        <v>10.803000000000001</v>
      </c>
      <c r="H50">
        <v>10.805</v>
      </c>
      <c r="I50">
        <v>10.805999999999999</v>
      </c>
      <c r="N50">
        <v>3900</v>
      </c>
      <c r="O50">
        <v>20.663</v>
      </c>
      <c r="P50">
        <v>15.488</v>
      </c>
      <c r="Q50">
        <v>10.32</v>
      </c>
      <c r="R50">
        <v>5.157</v>
      </c>
      <c r="S50">
        <v>0</v>
      </c>
      <c r="T50">
        <v>-5.157</v>
      </c>
      <c r="U50">
        <v>-10.319000000000001</v>
      </c>
      <c r="V50">
        <v>-15.486000000000001</v>
      </c>
      <c r="W50">
        <v>-20.663</v>
      </c>
    </row>
    <row r="51" spans="1:23">
      <c r="A51">
        <v>2000</v>
      </c>
      <c r="B51">
        <v>11.07</v>
      </c>
      <c r="C51">
        <v>11.071999999999999</v>
      </c>
      <c r="D51">
        <v>11.073</v>
      </c>
      <c r="E51">
        <v>11.073</v>
      </c>
      <c r="F51">
        <v>11.074</v>
      </c>
      <c r="G51">
        <v>11.074999999999999</v>
      </c>
      <c r="H51">
        <v>11.076000000000001</v>
      </c>
      <c r="I51">
        <v>11.077999999999999</v>
      </c>
      <c r="N51">
        <v>4000</v>
      </c>
      <c r="O51">
        <v>20.663</v>
      </c>
      <c r="P51">
        <v>15.488</v>
      </c>
      <c r="Q51">
        <v>10.319000000000001</v>
      </c>
      <c r="R51">
        <v>5.1580000000000004</v>
      </c>
      <c r="S51">
        <v>0</v>
      </c>
      <c r="T51">
        <v>-5.1580000000000004</v>
      </c>
      <c r="U51">
        <v>-10.319000000000001</v>
      </c>
      <c r="V51">
        <v>-15.486000000000001</v>
      </c>
      <c r="W51">
        <v>-20.664000000000001</v>
      </c>
    </row>
    <row r="52" spans="1:23">
      <c r="A52">
        <v>2050</v>
      </c>
      <c r="B52">
        <v>11.342000000000001</v>
      </c>
      <c r="C52">
        <v>11.343</v>
      </c>
      <c r="D52">
        <v>11.343999999999999</v>
      </c>
      <c r="E52">
        <v>11.345000000000001</v>
      </c>
      <c r="F52">
        <v>11.346</v>
      </c>
      <c r="G52">
        <v>11.346</v>
      </c>
      <c r="H52">
        <v>11.348000000000001</v>
      </c>
      <c r="I52">
        <v>11.349</v>
      </c>
      <c r="N52">
        <v>4100</v>
      </c>
      <c r="O52">
        <v>20.664000000000001</v>
      </c>
      <c r="P52">
        <v>15.489000000000001</v>
      </c>
      <c r="Q52">
        <v>10.32</v>
      </c>
      <c r="R52">
        <v>5.1580000000000004</v>
      </c>
      <c r="S52">
        <v>0</v>
      </c>
      <c r="T52">
        <v>-5.157</v>
      </c>
      <c r="U52">
        <v>-10.319000000000001</v>
      </c>
      <c r="V52">
        <v>-15.484999999999999</v>
      </c>
      <c r="W52">
        <v>-20.664000000000001</v>
      </c>
    </row>
    <row r="53" spans="1:23">
      <c r="A53">
        <v>2100</v>
      </c>
      <c r="B53">
        <v>11.613</v>
      </c>
      <c r="C53">
        <v>11.615</v>
      </c>
      <c r="D53">
        <v>11.616</v>
      </c>
      <c r="E53">
        <v>11.616</v>
      </c>
      <c r="F53">
        <v>11.617000000000001</v>
      </c>
      <c r="G53">
        <v>11.618</v>
      </c>
      <c r="H53">
        <v>11.619</v>
      </c>
      <c r="I53">
        <v>11.621</v>
      </c>
      <c r="N53">
        <v>4200</v>
      </c>
      <c r="O53">
        <v>20.664000000000001</v>
      </c>
      <c r="P53">
        <v>15.486000000000001</v>
      </c>
      <c r="Q53">
        <v>10.319000000000001</v>
      </c>
      <c r="R53">
        <v>5.157</v>
      </c>
      <c r="S53">
        <v>0</v>
      </c>
      <c r="T53">
        <v>-5.157</v>
      </c>
      <c r="U53">
        <v>-10.319000000000001</v>
      </c>
      <c r="V53">
        <v>-15.486000000000001</v>
      </c>
      <c r="W53">
        <v>-20.664000000000001</v>
      </c>
    </row>
    <row r="54" spans="1:23">
      <c r="A54">
        <v>2150</v>
      </c>
      <c r="B54">
        <v>11.885</v>
      </c>
      <c r="C54">
        <v>11.885999999999999</v>
      </c>
      <c r="D54">
        <v>11.887</v>
      </c>
      <c r="E54">
        <v>11.888</v>
      </c>
      <c r="F54">
        <v>11.888999999999999</v>
      </c>
      <c r="G54">
        <v>11.888999999999999</v>
      </c>
      <c r="H54">
        <v>11.891</v>
      </c>
      <c r="I54">
        <v>11.891999999999999</v>
      </c>
      <c r="N54">
        <v>4300</v>
      </c>
      <c r="O54">
        <v>20.664999999999999</v>
      </c>
      <c r="P54">
        <v>15.487</v>
      </c>
      <c r="Q54">
        <v>10.32</v>
      </c>
      <c r="R54">
        <v>5.1580000000000004</v>
      </c>
      <c r="S54">
        <v>0</v>
      </c>
      <c r="T54">
        <v>-5.157</v>
      </c>
      <c r="U54">
        <v>-10.317</v>
      </c>
      <c r="V54">
        <v>-15.484999999999999</v>
      </c>
      <c r="W54">
        <v>-20.663</v>
      </c>
    </row>
    <row r="55" spans="1:23">
      <c r="A55">
        <v>2200</v>
      </c>
      <c r="B55">
        <v>12.156000000000001</v>
      </c>
      <c r="C55">
        <v>12.157999999999999</v>
      </c>
      <c r="D55">
        <v>12.159000000000001</v>
      </c>
      <c r="E55">
        <v>12.159000000000001</v>
      </c>
      <c r="F55">
        <v>12.16</v>
      </c>
      <c r="G55">
        <v>12.161</v>
      </c>
      <c r="H55">
        <v>12.162000000000001</v>
      </c>
      <c r="I55">
        <v>12.164</v>
      </c>
      <c r="N55">
        <v>4400</v>
      </c>
      <c r="O55">
        <v>12.166</v>
      </c>
      <c r="P55">
        <v>16.373000000000001</v>
      </c>
      <c r="Q55">
        <v>16.327000000000002</v>
      </c>
      <c r="R55">
        <v>8.4559999999999995</v>
      </c>
      <c r="S55">
        <v>0</v>
      </c>
      <c r="T55">
        <v>-5.157</v>
      </c>
      <c r="U55">
        <v>-10.32</v>
      </c>
      <c r="V55">
        <v>-15.996</v>
      </c>
      <c r="W55">
        <v>-23.739000000000001</v>
      </c>
    </row>
    <row r="56" spans="1:23">
      <c r="A56">
        <v>2250</v>
      </c>
      <c r="B56">
        <v>12.428000000000001</v>
      </c>
      <c r="C56">
        <v>12.429</v>
      </c>
      <c r="D56">
        <v>12.43</v>
      </c>
      <c r="E56">
        <v>12.430999999999999</v>
      </c>
      <c r="F56">
        <v>12.432</v>
      </c>
      <c r="G56">
        <v>12.432</v>
      </c>
      <c r="H56">
        <v>12.433999999999999</v>
      </c>
      <c r="I56">
        <v>12.435</v>
      </c>
      <c r="N56">
        <v>4500</v>
      </c>
      <c r="O56">
        <v>-12.465</v>
      </c>
      <c r="P56">
        <v>-5.7460000000000004</v>
      </c>
      <c r="Q56">
        <v>-0.77700000000000002</v>
      </c>
      <c r="R56">
        <v>0</v>
      </c>
      <c r="S56">
        <v>0</v>
      </c>
      <c r="T56">
        <v>0</v>
      </c>
      <c r="U56">
        <v>-6.694</v>
      </c>
      <c r="V56">
        <v>-20.135000000000002</v>
      </c>
      <c r="W56">
        <v>-35.340000000000003</v>
      </c>
    </row>
    <row r="57" spans="1:23">
      <c r="A57">
        <v>2300</v>
      </c>
      <c r="B57">
        <v>12.699</v>
      </c>
      <c r="C57">
        <v>12.701000000000001</v>
      </c>
      <c r="D57">
        <v>12.702</v>
      </c>
      <c r="E57">
        <v>12.702</v>
      </c>
      <c r="F57">
        <v>12.702999999999999</v>
      </c>
      <c r="G57">
        <v>12.704000000000001</v>
      </c>
      <c r="H57">
        <v>12.705</v>
      </c>
      <c r="I57">
        <v>12.707000000000001</v>
      </c>
      <c r="N57">
        <v>5016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>
      <c r="A58">
        <v>2350</v>
      </c>
      <c r="B58">
        <v>12.971</v>
      </c>
      <c r="C58">
        <v>12.972</v>
      </c>
      <c r="D58">
        <v>12.973000000000001</v>
      </c>
      <c r="E58">
        <v>12.974</v>
      </c>
      <c r="F58">
        <v>12.975</v>
      </c>
      <c r="G58">
        <v>12.975</v>
      </c>
      <c r="H58">
        <v>12.977</v>
      </c>
      <c r="I58">
        <v>12.978</v>
      </c>
    </row>
    <row r="59" spans="1:23">
      <c r="A59">
        <v>2400</v>
      </c>
      <c r="B59">
        <v>13.242000000000001</v>
      </c>
      <c r="C59">
        <v>13.244</v>
      </c>
      <c r="D59">
        <v>13.244999999999999</v>
      </c>
      <c r="E59">
        <v>13.244999999999999</v>
      </c>
      <c r="F59">
        <v>13.246</v>
      </c>
      <c r="G59">
        <v>13.247</v>
      </c>
      <c r="H59">
        <v>13.247999999999999</v>
      </c>
      <c r="I59">
        <v>13.25</v>
      </c>
    </row>
    <row r="60" spans="1:23">
      <c r="A60">
        <v>2450</v>
      </c>
      <c r="B60">
        <v>13.513999999999999</v>
      </c>
      <c r="C60">
        <v>13.515000000000001</v>
      </c>
      <c r="D60">
        <v>13.516</v>
      </c>
      <c r="E60">
        <v>13.516999999999999</v>
      </c>
      <c r="F60">
        <v>13.518000000000001</v>
      </c>
      <c r="G60">
        <v>13.518000000000001</v>
      </c>
      <c r="H60">
        <v>13.52</v>
      </c>
      <c r="I60">
        <v>13.521000000000001</v>
      </c>
    </row>
    <row r="61" spans="1:23">
      <c r="A61">
        <v>2500</v>
      </c>
      <c r="B61">
        <v>13.785</v>
      </c>
      <c r="C61">
        <v>13.787000000000001</v>
      </c>
      <c r="D61">
        <v>13.788</v>
      </c>
      <c r="E61">
        <v>13.788</v>
      </c>
      <c r="F61">
        <v>13.789</v>
      </c>
      <c r="G61">
        <v>13.79</v>
      </c>
      <c r="H61">
        <v>13.791</v>
      </c>
      <c r="I61">
        <v>13.792999999999999</v>
      </c>
    </row>
    <row r="62" spans="1:23">
      <c r="A62">
        <v>2550</v>
      </c>
      <c r="B62">
        <v>14.057</v>
      </c>
      <c r="C62">
        <v>14.058</v>
      </c>
      <c r="D62">
        <v>14.058999999999999</v>
      </c>
      <c r="E62">
        <v>14.06</v>
      </c>
      <c r="F62">
        <v>14.061</v>
      </c>
      <c r="G62">
        <v>14.061</v>
      </c>
      <c r="H62">
        <v>14.063000000000001</v>
      </c>
      <c r="I62">
        <v>14.064</v>
      </c>
    </row>
    <row r="63" spans="1:23">
      <c r="A63">
        <v>2600</v>
      </c>
      <c r="B63">
        <v>14.327999999999999</v>
      </c>
      <c r="C63">
        <v>14.33</v>
      </c>
      <c r="D63">
        <v>14.331</v>
      </c>
      <c r="E63">
        <v>14.331</v>
      </c>
      <c r="F63">
        <v>14.332000000000001</v>
      </c>
      <c r="G63">
        <v>14.333</v>
      </c>
      <c r="H63">
        <v>14.334</v>
      </c>
      <c r="I63">
        <v>14.336</v>
      </c>
    </row>
    <row r="64" spans="1:23">
      <c r="A64">
        <v>2650</v>
      </c>
      <c r="B64">
        <v>14.6</v>
      </c>
      <c r="C64">
        <v>14.601000000000001</v>
      </c>
      <c r="D64">
        <v>14.602</v>
      </c>
      <c r="E64">
        <v>14.603</v>
      </c>
      <c r="F64">
        <v>14.603999999999999</v>
      </c>
      <c r="G64">
        <v>14.603999999999999</v>
      </c>
      <c r="H64">
        <v>14.606</v>
      </c>
      <c r="I64">
        <v>14.606999999999999</v>
      </c>
    </row>
    <row r="65" spans="1:9">
      <c r="A65">
        <v>2700</v>
      </c>
      <c r="B65">
        <v>14.871</v>
      </c>
      <c r="C65">
        <v>14.872999999999999</v>
      </c>
      <c r="D65">
        <v>14.874000000000001</v>
      </c>
      <c r="E65">
        <v>14.874000000000001</v>
      </c>
      <c r="F65">
        <v>14.875</v>
      </c>
      <c r="G65">
        <v>14.875999999999999</v>
      </c>
      <c r="H65">
        <v>14.877000000000001</v>
      </c>
      <c r="I65">
        <v>14.879</v>
      </c>
    </row>
    <row r="66" spans="1:9">
      <c r="A66">
        <v>2750</v>
      </c>
      <c r="B66">
        <v>15.143000000000001</v>
      </c>
      <c r="C66">
        <v>15.144</v>
      </c>
      <c r="D66">
        <v>15.145</v>
      </c>
      <c r="E66">
        <v>15.146000000000001</v>
      </c>
      <c r="F66">
        <v>15.147</v>
      </c>
      <c r="G66">
        <v>15.147</v>
      </c>
      <c r="H66">
        <v>15.148999999999999</v>
      </c>
      <c r="I66">
        <v>15.15</v>
      </c>
    </row>
    <row r="67" spans="1:9">
      <c r="A67">
        <v>2800</v>
      </c>
      <c r="B67">
        <v>15.414</v>
      </c>
      <c r="C67">
        <v>15.416</v>
      </c>
      <c r="D67">
        <v>15.417</v>
      </c>
      <c r="E67">
        <v>15.417</v>
      </c>
      <c r="F67">
        <v>15.417999999999999</v>
      </c>
      <c r="G67">
        <v>15.419</v>
      </c>
      <c r="H67">
        <v>15.42</v>
      </c>
      <c r="I67">
        <v>15.422000000000001</v>
      </c>
    </row>
    <row r="68" spans="1:9">
      <c r="A68">
        <v>2850</v>
      </c>
      <c r="B68">
        <v>15.686</v>
      </c>
      <c r="C68">
        <v>15.686999999999999</v>
      </c>
      <c r="D68">
        <v>15.688000000000001</v>
      </c>
      <c r="E68">
        <v>15.689</v>
      </c>
      <c r="F68">
        <v>15.69</v>
      </c>
      <c r="G68">
        <v>15.69</v>
      </c>
      <c r="H68">
        <v>15.692</v>
      </c>
      <c r="I68">
        <v>15.693</v>
      </c>
    </row>
    <row r="69" spans="1:9">
      <c r="A69">
        <v>2900</v>
      </c>
      <c r="B69">
        <v>15.957000000000001</v>
      </c>
      <c r="C69">
        <v>15.959</v>
      </c>
      <c r="D69">
        <v>15.96</v>
      </c>
      <c r="E69">
        <v>15.96</v>
      </c>
      <c r="F69">
        <v>15.961</v>
      </c>
      <c r="G69">
        <v>15.962</v>
      </c>
      <c r="H69">
        <v>15.962999999999999</v>
      </c>
      <c r="I69">
        <v>15.965</v>
      </c>
    </row>
    <row r="70" spans="1:9">
      <c r="A70">
        <v>2950</v>
      </c>
      <c r="B70">
        <v>16.228999999999999</v>
      </c>
      <c r="C70">
        <v>16.23</v>
      </c>
      <c r="D70">
        <v>16.231000000000002</v>
      </c>
      <c r="E70">
        <v>16.231999999999999</v>
      </c>
      <c r="F70">
        <v>16.233000000000001</v>
      </c>
      <c r="G70">
        <v>16.233000000000001</v>
      </c>
      <c r="H70">
        <v>16.234999999999999</v>
      </c>
      <c r="I70">
        <v>16.236000000000001</v>
      </c>
    </row>
    <row r="71" spans="1:9">
      <c r="A71">
        <v>3000</v>
      </c>
      <c r="B71">
        <v>16.5</v>
      </c>
      <c r="C71">
        <v>16.501999999999999</v>
      </c>
      <c r="D71">
        <v>16.503</v>
      </c>
      <c r="E71">
        <v>16.503</v>
      </c>
      <c r="F71">
        <v>16.504000000000001</v>
      </c>
      <c r="G71">
        <v>16.504999999999999</v>
      </c>
      <c r="H71">
        <v>16.506</v>
      </c>
      <c r="I71">
        <v>16.507999999999999</v>
      </c>
    </row>
    <row r="72" spans="1:9">
      <c r="A72">
        <v>3050</v>
      </c>
      <c r="B72">
        <v>16.771999999999998</v>
      </c>
      <c r="C72">
        <v>16.773</v>
      </c>
      <c r="D72">
        <v>16.774000000000001</v>
      </c>
      <c r="E72">
        <v>16.774999999999999</v>
      </c>
      <c r="F72">
        <v>16.776</v>
      </c>
      <c r="G72">
        <v>16.776</v>
      </c>
      <c r="H72">
        <v>16.777999999999999</v>
      </c>
      <c r="I72">
        <v>16.779</v>
      </c>
    </row>
    <row r="73" spans="1:9">
      <c r="A73">
        <v>3100</v>
      </c>
      <c r="B73">
        <v>17.042999999999999</v>
      </c>
      <c r="C73">
        <v>17.045000000000002</v>
      </c>
      <c r="D73">
        <v>17.045999999999999</v>
      </c>
      <c r="E73">
        <v>17.045999999999999</v>
      </c>
      <c r="F73">
        <v>17.047000000000001</v>
      </c>
      <c r="G73">
        <v>17.047999999999998</v>
      </c>
      <c r="H73">
        <v>17.048999999999999</v>
      </c>
      <c r="I73">
        <v>17.050999999999998</v>
      </c>
    </row>
    <row r="74" spans="1:9">
      <c r="A74">
        <v>3150</v>
      </c>
      <c r="B74">
        <v>17.315000000000001</v>
      </c>
      <c r="C74">
        <v>17.315999999999999</v>
      </c>
      <c r="D74">
        <v>17.317</v>
      </c>
      <c r="E74">
        <v>17.318000000000001</v>
      </c>
      <c r="F74">
        <v>17.318999999999999</v>
      </c>
      <c r="G74">
        <v>17.318999999999999</v>
      </c>
      <c r="H74">
        <v>17.321000000000002</v>
      </c>
      <c r="I74">
        <v>17.321999999999999</v>
      </c>
    </row>
    <row r="75" spans="1:9">
      <c r="A75">
        <v>3200</v>
      </c>
      <c r="B75">
        <v>17.585999999999999</v>
      </c>
      <c r="C75">
        <v>17.588000000000001</v>
      </c>
      <c r="D75">
        <v>17.588999999999999</v>
      </c>
      <c r="E75">
        <v>17.588999999999999</v>
      </c>
      <c r="F75">
        <v>17.59</v>
      </c>
      <c r="G75">
        <v>17.591000000000001</v>
      </c>
      <c r="H75">
        <v>17.591999999999999</v>
      </c>
      <c r="I75">
        <v>17.594000000000001</v>
      </c>
    </row>
    <row r="76" spans="1:9">
      <c r="A76">
        <v>3250</v>
      </c>
      <c r="B76">
        <v>17.858000000000001</v>
      </c>
      <c r="C76">
        <v>17.859000000000002</v>
      </c>
      <c r="D76">
        <v>17.86</v>
      </c>
      <c r="E76">
        <v>17.861000000000001</v>
      </c>
      <c r="F76">
        <v>17.861999999999998</v>
      </c>
      <c r="G76">
        <v>17.861999999999998</v>
      </c>
      <c r="H76">
        <v>17.864000000000001</v>
      </c>
      <c r="I76">
        <v>17.864999999999998</v>
      </c>
    </row>
    <row r="77" spans="1:9">
      <c r="A77">
        <v>3300</v>
      </c>
      <c r="B77">
        <v>18.129000000000001</v>
      </c>
      <c r="C77">
        <v>18.131</v>
      </c>
      <c r="D77">
        <v>18.132000000000001</v>
      </c>
      <c r="E77">
        <v>18.132000000000001</v>
      </c>
      <c r="F77">
        <v>18.132999999999999</v>
      </c>
      <c r="G77">
        <v>18.134</v>
      </c>
      <c r="H77">
        <v>18.135000000000002</v>
      </c>
      <c r="I77">
        <v>18.137</v>
      </c>
    </row>
    <row r="78" spans="1:9">
      <c r="A78">
        <v>3350</v>
      </c>
      <c r="B78">
        <v>18.401</v>
      </c>
      <c r="C78">
        <v>18.402000000000001</v>
      </c>
      <c r="D78">
        <v>18.402999999999999</v>
      </c>
      <c r="E78">
        <v>18.404</v>
      </c>
      <c r="F78">
        <v>18.405000000000001</v>
      </c>
      <c r="G78">
        <v>18.405000000000001</v>
      </c>
      <c r="H78">
        <v>18.407</v>
      </c>
      <c r="I78">
        <v>18.408000000000001</v>
      </c>
    </row>
    <row r="79" spans="1:9">
      <c r="A79">
        <v>3400</v>
      </c>
      <c r="B79">
        <v>18.672000000000001</v>
      </c>
      <c r="C79">
        <v>18.673999999999999</v>
      </c>
      <c r="D79">
        <v>18.675000000000001</v>
      </c>
      <c r="E79">
        <v>18.675000000000001</v>
      </c>
      <c r="F79">
        <v>18.675999999999998</v>
      </c>
      <c r="G79">
        <v>18.677</v>
      </c>
      <c r="H79">
        <v>18.678000000000001</v>
      </c>
      <c r="I79">
        <v>18.68</v>
      </c>
    </row>
    <row r="80" spans="1:9">
      <c r="A80">
        <v>3450</v>
      </c>
      <c r="B80">
        <v>18.943999999999999</v>
      </c>
      <c r="C80">
        <v>18.945</v>
      </c>
      <c r="D80">
        <v>18.946000000000002</v>
      </c>
      <c r="E80">
        <v>18.946999999999999</v>
      </c>
      <c r="F80">
        <v>18.948</v>
      </c>
      <c r="G80">
        <v>18.948</v>
      </c>
      <c r="H80">
        <v>18.95</v>
      </c>
      <c r="I80">
        <v>18.951000000000001</v>
      </c>
    </row>
    <row r="81" spans="1:9">
      <c r="A81">
        <v>3500</v>
      </c>
      <c r="B81">
        <v>19.215</v>
      </c>
      <c r="C81">
        <v>19.216999999999999</v>
      </c>
      <c r="D81">
        <v>19.218</v>
      </c>
      <c r="E81">
        <v>19.218</v>
      </c>
      <c r="F81">
        <v>19.219000000000001</v>
      </c>
      <c r="G81">
        <v>19.22</v>
      </c>
      <c r="H81">
        <v>19.221</v>
      </c>
      <c r="I81">
        <v>19.222999999999999</v>
      </c>
    </row>
    <row r="82" spans="1:9">
      <c r="A82">
        <v>3550</v>
      </c>
      <c r="B82">
        <v>19.486999999999998</v>
      </c>
      <c r="C82">
        <v>19.488</v>
      </c>
      <c r="D82">
        <v>19.489000000000001</v>
      </c>
      <c r="E82">
        <v>19.489999999999998</v>
      </c>
      <c r="F82">
        <v>19.491</v>
      </c>
      <c r="G82">
        <v>19.491</v>
      </c>
      <c r="H82">
        <v>19.492999999999999</v>
      </c>
      <c r="I82">
        <v>19.494</v>
      </c>
    </row>
    <row r="83" spans="1:9">
      <c r="A83">
        <v>3600</v>
      </c>
      <c r="B83">
        <v>19.757999999999999</v>
      </c>
      <c r="C83">
        <v>19.760000000000002</v>
      </c>
      <c r="D83">
        <v>19.760999999999999</v>
      </c>
      <c r="E83">
        <v>19.760999999999999</v>
      </c>
      <c r="F83">
        <v>19.762</v>
      </c>
      <c r="G83">
        <v>19.763000000000002</v>
      </c>
      <c r="H83">
        <v>19.763999999999999</v>
      </c>
      <c r="I83">
        <v>19.765999999999998</v>
      </c>
    </row>
    <row r="84" spans="1:9">
      <c r="A84">
        <v>3650</v>
      </c>
      <c r="B84">
        <v>20.03</v>
      </c>
      <c r="C84">
        <v>20.030999999999999</v>
      </c>
      <c r="D84">
        <v>20.032</v>
      </c>
      <c r="E84">
        <v>20.033000000000001</v>
      </c>
      <c r="F84">
        <v>20.033999999999999</v>
      </c>
      <c r="G84">
        <v>20.033999999999999</v>
      </c>
      <c r="H84">
        <v>20.036000000000001</v>
      </c>
      <c r="I84">
        <v>20.036999999999999</v>
      </c>
    </row>
    <row r="85" spans="1:9">
      <c r="A85">
        <v>3700</v>
      </c>
      <c r="B85">
        <v>20.300999999999998</v>
      </c>
      <c r="C85">
        <v>20.303000000000001</v>
      </c>
      <c r="D85">
        <v>20.303999999999998</v>
      </c>
      <c r="E85">
        <v>20.303999999999998</v>
      </c>
      <c r="F85">
        <v>20.305</v>
      </c>
      <c r="G85">
        <v>20.306000000000001</v>
      </c>
      <c r="H85">
        <v>20.306999999999999</v>
      </c>
      <c r="I85">
        <v>20.309000000000001</v>
      </c>
    </row>
    <row r="86" spans="1:9">
      <c r="A86">
        <v>3750</v>
      </c>
      <c r="B86">
        <v>20.573</v>
      </c>
      <c r="C86">
        <v>20.574000000000002</v>
      </c>
      <c r="D86">
        <v>20.574999999999999</v>
      </c>
      <c r="E86">
        <v>20.576000000000001</v>
      </c>
      <c r="F86">
        <v>20.577000000000002</v>
      </c>
      <c r="G86">
        <v>20.577000000000002</v>
      </c>
      <c r="H86">
        <v>20.579000000000001</v>
      </c>
      <c r="I86">
        <v>20.58</v>
      </c>
    </row>
    <row r="87" spans="1:9">
      <c r="A87">
        <v>3800</v>
      </c>
      <c r="B87">
        <v>20.844000000000001</v>
      </c>
      <c r="C87">
        <v>20.846</v>
      </c>
      <c r="D87">
        <v>20.847000000000001</v>
      </c>
      <c r="E87">
        <v>20.847000000000001</v>
      </c>
      <c r="F87">
        <v>20.847999999999999</v>
      </c>
      <c r="G87">
        <v>20.849</v>
      </c>
      <c r="H87">
        <v>20.85</v>
      </c>
      <c r="I87">
        <v>20.852</v>
      </c>
    </row>
    <row r="88" spans="1:9">
      <c r="A88">
        <v>3850</v>
      </c>
      <c r="B88">
        <v>21.116</v>
      </c>
      <c r="C88">
        <v>21.117000000000001</v>
      </c>
      <c r="D88">
        <v>21.117999999999999</v>
      </c>
      <c r="E88">
        <v>21.119</v>
      </c>
      <c r="F88">
        <v>21.12</v>
      </c>
      <c r="G88">
        <v>21.12</v>
      </c>
      <c r="H88">
        <v>21.122</v>
      </c>
      <c r="I88">
        <v>21.123000000000001</v>
      </c>
    </row>
    <row r="89" spans="1:9">
      <c r="A89">
        <v>3900</v>
      </c>
      <c r="B89">
        <v>21.388000000000002</v>
      </c>
      <c r="C89">
        <v>21.388999999999999</v>
      </c>
      <c r="D89">
        <v>21.39</v>
      </c>
      <c r="E89">
        <v>21.39</v>
      </c>
      <c r="F89">
        <v>21.390999999999998</v>
      </c>
      <c r="G89">
        <v>21.391999999999999</v>
      </c>
      <c r="H89">
        <v>21.393000000000001</v>
      </c>
      <c r="I89">
        <v>21.395</v>
      </c>
    </row>
    <row r="90" spans="1:9">
      <c r="A90">
        <v>3950</v>
      </c>
      <c r="B90">
        <v>21.658999999999999</v>
      </c>
      <c r="C90">
        <v>21.66</v>
      </c>
      <c r="D90">
        <v>21.661000000000001</v>
      </c>
      <c r="E90">
        <v>21.661999999999999</v>
      </c>
      <c r="F90">
        <v>21.663</v>
      </c>
      <c r="G90">
        <v>21.663</v>
      </c>
      <c r="H90">
        <v>21.664999999999999</v>
      </c>
      <c r="I90">
        <v>21.666</v>
      </c>
    </row>
    <row r="91" spans="1:9">
      <c r="A91">
        <v>4000</v>
      </c>
      <c r="B91">
        <v>21.93</v>
      </c>
      <c r="C91">
        <v>21.931999999999999</v>
      </c>
      <c r="D91">
        <v>21.933</v>
      </c>
      <c r="E91">
        <v>21.933</v>
      </c>
      <c r="F91">
        <v>21.934000000000001</v>
      </c>
      <c r="G91">
        <v>21.934999999999999</v>
      </c>
      <c r="H91">
        <v>21.936</v>
      </c>
      <c r="I91">
        <v>21.937999999999999</v>
      </c>
    </row>
    <row r="92" spans="1:9">
      <c r="A92">
        <v>4050</v>
      </c>
      <c r="B92">
        <v>22.202000000000002</v>
      </c>
      <c r="C92">
        <v>22.202999999999999</v>
      </c>
      <c r="D92">
        <v>22.204000000000001</v>
      </c>
      <c r="E92">
        <v>22.204999999999998</v>
      </c>
      <c r="F92">
        <v>22.206</v>
      </c>
      <c r="G92">
        <v>22.206</v>
      </c>
      <c r="H92">
        <v>22.207999999999998</v>
      </c>
      <c r="I92">
        <v>22.209</v>
      </c>
    </row>
    <row r="93" spans="1:9">
      <c r="A93">
        <v>4100</v>
      </c>
      <c r="B93">
        <v>22.474</v>
      </c>
      <c r="C93">
        <v>22.475000000000001</v>
      </c>
      <c r="D93">
        <v>22.475999999999999</v>
      </c>
      <c r="E93">
        <v>22.475999999999999</v>
      </c>
      <c r="F93">
        <v>22.477</v>
      </c>
      <c r="G93">
        <v>22.478000000000002</v>
      </c>
      <c r="H93">
        <v>22.478999999999999</v>
      </c>
      <c r="I93">
        <v>22.481000000000002</v>
      </c>
    </row>
    <row r="94" spans="1:9">
      <c r="A94">
        <v>4150</v>
      </c>
      <c r="B94">
        <v>22.745000000000001</v>
      </c>
      <c r="C94">
        <v>22.745999999999999</v>
      </c>
      <c r="D94">
        <v>22.747</v>
      </c>
      <c r="E94">
        <v>22.748000000000001</v>
      </c>
      <c r="F94">
        <v>22.748999999999999</v>
      </c>
      <c r="G94">
        <v>22.748999999999999</v>
      </c>
      <c r="H94">
        <v>22.751000000000001</v>
      </c>
      <c r="I94">
        <v>22.751999999999999</v>
      </c>
    </row>
    <row r="95" spans="1:9">
      <c r="A95">
        <v>4200</v>
      </c>
      <c r="B95">
        <v>23.015999999999998</v>
      </c>
      <c r="C95">
        <v>23.018000000000001</v>
      </c>
      <c r="D95">
        <v>23.018999999999998</v>
      </c>
      <c r="E95">
        <v>23.018999999999998</v>
      </c>
      <c r="F95">
        <v>23.02</v>
      </c>
      <c r="G95">
        <v>23.021000000000001</v>
      </c>
      <c r="H95">
        <v>23.021999999999998</v>
      </c>
      <c r="I95">
        <v>23.024000000000001</v>
      </c>
    </row>
    <row r="96" spans="1:9">
      <c r="A96">
        <v>4250</v>
      </c>
      <c r="B96">
        <v>23.288</v>
      </c>
      <c r="C96">
        <v>23.289000000000001</v>
      </c>
      <c r="D96">
        <v>23.29</v>
      </c>
      <c r="E96">
        <v>23.291</v>
      </c>
      <c r="F96">
        <v>23.292000000000002</v>
      </c>
      <c r="G96">
        <v>23.292000000000002</v>
      </c>
      <c r="H96">
        <v>23.294</v>
      </c>
      <c r="I96">
        <v>23.295000000000002</v>
      </c>
    </row>
    <row r="97" spans="1:9">
      <c r="A97">
        <v>4300</v>
      </c>
      <c r="B97">
        <v>23.56</v>
      </c>
      <c r="C97">
        <v>23.561</v>
      </c>
      <c r="D97">
        <v>23.562000000000001</v>
      </c>
      <c r="E97">
        <v>23.562000000000001</v>
      </c>
      <c r="F97">
        <v>23.562999999999999</v>
      </c>
      <c r="G97">
        <v>23.564</v>
      </c>
      <c r="H97">
        <v>23.565000000000001</v>
      </c>
      <c r="I97">
        <v>23.567</v>
      </c>
    </row>
    <row r="98" spans="1:9">
      <c r="A98">
        <v>4350</v>
      </c>
      <c r="B98">
        <v>23.831</v>
      </c>
      <c r="C98">
        <v>23.832000000000001</v>
      </c>
      <c r="D98">
        <v>23.832999999999998</v>
      </c>
      <c r="E98">
        <v>23.834</v>
      </c>
      <c r="F98">
        <v>23.835000000000001</v>
      </c>
      <c r="G98">
        <v>23.835000000000001</v>
      </c>
      <c r="H98">
        <v>23.837</v>
      </c>
      <c r="I98">
        <v>23.838000000000001</v>
      </c>
    </row>
    <row r="99" spans="1:9">
      <c r="A99">
        <v>4400</v>
      </c>
      <c r="B99">
        <v>24.103000000000002</v>
      </c>
      <c r="C99">
        <v>24.103999999999999</v>
      </c>
      <c r="D99">
        <v>24.105</v>
      </c>
      <c r="E99">
        <v>24.105</v>
      </c>
      <c r="F99">
        <v>24.106000000000002</v>
      </c>
      <c r="G99">
        <v>24.106999999999999</v>
      </c>
      <c r="H99">
        <v>24.108000000000001</v>
      </c>
      <c r="I99">
        <v>24.11</v>
      </c>
    </row>
    <row r="100" spans="1:9">
      <c r="A100">
        <v>4450</v>
      </c>
      <c r="B100">
        <v>24.373999999999999</v>
      </c>
      <c r="C100">
        <v>24.375</v>
      </c>
      <c r="D100">
        <v>24.376000000000001</v>
      </c>
      <c r="E100">
        <v>24.376999999999999</v>
      </c>
      <c r="F100">
        <v>24.378</v>
      </c>
      <c r="G100">
        <v>24.378</v>
      </c>
      <c r="H100">
        <v>24.378</v>
      </c>
      <c r="I100">
        <v>24.38</v>
      </c>
    </row>
    <row r="101" spans="1:9">
      <c r="A101">
        <v>4500</v>
      </c>
      <c r="B101">
        <v>24.434999999999999</v>
      </c>
      <c r="C101">
        <v>24.434999999999999</v>
      </c>
      <c r="D101">
        <v>24.434999999999999</v>
      </c>
      <c r="E101">
        <v>24.434999999999999</v>
      </c>
      <c r="F101">
        <v>24.434999999999999</v>
      </c>
      <c r="G101">
        <v>24.434999999999999</v>
      </c>
      <c r="H101">
        <v>24.434999999999999</v>
      </c>
      <c r="I101">
        <v>24.434999999999999</v>
      </c>
    </row>
    <row r="102" spans="1:9">
      <c r="A102">
        <v>5016</v>
      </c>
      <c r="B102">
        <v>24.434999999999999</v>
      </c>
      <c r="C102">
        <v>24.434999999999999</v>
      </c>
      <c r="D102">
        <v>24.434999999999999</v>
      </c>
      <c r="E102">
        <v>24.434999999999999</v>
      </c>
      <c r="F102">
        <v>24.434999999999999</v>
      </c>
      <c r="G102">
        <v>24.434999999999999</v>
      </c>
      <c r="H102">
        <v>24.434999999999999</v>
      </c>
      <c r="I102">
        <v>24.434999999999999</v>
      </c>
    </row>
    <row r="104" spans="1:9" hidden="1"/>
    <row r="105" spans="1:9" hidden="1"/>
    <row r="106" spans="1:9" hidden="1"/>
    <row r="107" spans="1:9" hidden="1"/>
    <row r="108" spans="1:9" hidden="1"/>
    <row r="109" spans="1:9" hidden="1"/>
    <row r="110" spans="1:9" hidden="1"/>
    <row r="111" spans="1:9" hidden="1"/>
    <row r="112" spans="1:9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spans="1:1" hidden="1"/>
    <row r="226" spans="1:1" hidden="1"/>
    <row r="227" spans="1:1" hidden="1"/>
    <row r="228" spans="1:1" hidden="1"/>
    <row r="229" spans="1:1" hidden="1"/>
    <row r="230" spans="1:1" hidden="1"/>
    <row r="231" spans="1:1" hidden="1"/>
    <row r="232" spans="1:1" hidden="1"/>
    <row r="233" spans="1:1" hidden="1"/>
    <row r="234" spans="1:1">
      <c r="A234" t="s">
        <v>240</v>
      </c>
    </row>
    <row r="235" spans="1:1">
      <c r="A235" t="s">
        <v>234</v>
      </c>
    </row>
    <row r="236" spans="1:1">
      <c r="A236" t="s">
        <v>235</v>
      </c>
    </row>
    <row r="237" spans="1:1">
      <c r="A237" t="s">
        <v>236</v>
      </c>
    </row>
    <row r="238" spans="1:1">
      <c r="A238" t="s">
        <v>237</v>
      </c>
    </row>
    <row r="239" spans="1:1">
      <c r="A239" t="s">
        <v>241</v>
      </c>
    </row>
    <row r="241" spans="1:30">
      <c r="A241" t="s">
        <v>242</v>
      </c>
    </row>
    <row r="242" spans="1:30">
      <c r="A242" t="s">
        <v>230</v>
      </c>
      <c r="B242">
        <v>-1</v>
      </c>
      <c r="C242">
        <v>0</v>
      </c>
      <c r="D242">
        <v>0.5</v>
      </c>
      <c r="E242">
        <v>1</v>
      </c>
      <c r="F242">
        <v>1.5</v>
      </c>
      <c r="G242">
        <v>2</v>
      </c>
      <c r="H242">
        <v>3</v>
      </c>
      <c r="I242">
        <v>4</v>
      </c>
      <c r="M242" t="s">
        <v>35</v>
      </c>
      <c r="N242" t="s">
        <v>230</v>
      </c>
      <c r="O242">
        <v>-4</v>
      </c>
      <c r="P242">
        <v>-3</v>
      </c>
      <c r="Q242">
        <v>-2</v>
      </c>
      <c r="R242">
        <v>-1</v>
      </c>
      <c r="S242">
        <v>0</v>
      </c>
      <c r="T242">
        <v>1</v>
      </c>
      <c r="U242">
        <v>2</v>
      </c>
      <c r="V242">
        <v>3</v>
      </c>
      <c r="W242">
        <v>4</v>
      </c>
      <c r="X242" s="11" t="s">
        <v>231</v>
      </c>
      <c r="AA242" s="1">
        <f>heeling</f>
        <v>0</v>
      </c>
      <c r="AB242" s="274">
        <v>1250</v>
      </c>
      <c r="AC242" s="186">
        <f>IF((AB242+AB245)&lt;0,AB242,AB242+AB245)</f>
        <v>1250</v>
      </c>
      <c r="AD242" s="42">
        <f>IF(AD244=AD243,AD243,Interp1(AC243:AC244,AD243:AD244,AC242))</f>
        <v>2.262</v>
      </c>
    </row>
    <row r="243" spans="1:30">
      <c r="A243">
        <v>0</v>
      </c>
      <c r="B243">
        <v>6.3E-2</v>
      </c>
      <c r="C243">
        <v>6.3E-2</v>
      </c>
      <c r="D243">
        <v>6.3E-2</v>
      </c>
      <c r="E243">
        <v>6.3E-2</v>
      </c>
      <c r="F243">
        <v>6.4000000000000001E-2</v>
      </c>
      <c r="G243">
        <v>6.4000000000000001E-2</v>
      </c>
      <c r="H243">
        <v>6.4000000000000001E-2</v>
      </c>
      <c r="I243">
        <v>6.4000000000000001E-2</v>
      </c>
      <c r="N243">
        <v>0</v>
      </c>
      <c r="O243">
        <v>35.521999999999998</v>
      </c>
      <c r="P243">
        <v>26.623000000000001</v>
      </c>
      <c r="Q243">
        <v>17.739999999999998</v>
      </c>
      <c r="R243">
        <v>8.8670000000000009</v>
      </c>
      <c r="S243">
        <v>0</v>
      </c>
      <c r="T243">
        <v>0</v>
      </c>
      <c r="U243">
        <v>0</v>
      </c>
      <c r="V243">
        <v>0</v>
      </c>
      <c r="W243">
        <v>0</v>
      </c>
      <c r="AA243" s="1">
        <f>FLOOR(AB242,incOil2)</f>
        <v>1200</v>
      </c>
      <c r="AB243" s="1">
        <f>Interp2(Oil2Heel1,Oil2Heel2,Oil2Heel3,AA243,AA242)</f>
        <v>0</v>
      </c>
      <c r="AC243" s="1">
        <f>FLOOR(AC242,incOil1)</f>
        <v>1250</v>
      </c>
      <c r="AD243" s="42">
        <f>IF(AB248=AB247,AB247,Interp1(AA247:AA248,AB247:AB248,AA246))</f>
        <v>2.262</v>
      </c>
    </row>
    <row r="244" spans="1:30">
      <c r="A244">
        <v>50</v>
      </c>
      <c r="B244">
        <v>0.151</v>
      </c>
      <c r="C244">
        <v>0.151</v>
      </c>
      <c r="D244">
        <v>0.151</v>
      </c>
      <c r="E244">
        <v>0.151</v>
      </c>
      <c r="F244">
        <v>0.151</v>
      </c>
      <c r="G244">
        <v>0.152</v>
      </c>
      <c r="H244">
        <v>0.152</v>
      </c>
      <c r="I244">
        <v>0.152</v>
      </c>
      <c r="N244">
        <v>100</v>
      </c>
      <c r="O244">
        <v>35.521999999999998</v>
      </c>
      <c r="P244">
        <v>26.623000000000001</v>
      </c>
      <c r="Q244">
        <v>17.739999999999998</v>
      </c>
      <c r="R244">
        <v>8.8670000000000009</v>
      </c>
      <c r="S244">
        <v>0</v>
      </c>
      <c r="T244">
        <v>-8.8670000000000009</v>
      </c>
      <c r="U244">
        <v>-17.739999999999998</v>
      </c>
      <c r="V244">
        <v>-26.623999999999999</v>
      </c>
      <c r="W244">
        <v>-35.521999999999998</v>
      </c>
      <c r="AA244" s="1">
        <f>IF(AA243=OilSound2,AA243,CEILING(AB242,incOil2))</f>
        <v>1300</v>
      </c>
      <c r="AB244" s="1">
        <f>Interp2(Oil2Heel1,Oil2Heel2,Oil2Heel3,AA244,AA242)</f>
        <v>0</v>
      </c>
      <c r="AC244" s="1">
        <f>CEILING(AC242,incOil1)</f>
        <v>1250</v>
      </c>
      <c r="AD244" s="42">
        <f>IF(AC248=AC247,AC247,Interp1(AA247:AA248,AC247:AC248,AA246))</f>
        <v>2.262</v>
      </c>
    </row>
    <row r="245" spans="1:30">
      <c r="A245">
        <v>100</v>
      </c>
      <c r="B245">
        <v>0.23899999999999999</v>
      </c>
      <c r="C245">
        <v>0.23899999999999999</v>
      </c>
      <c r="D245">
        <v>0.23899999999999999</v>
      </c>
      <c r="E245">
        <v>0.23899999999999999</v>
      </c>
      <c r="F245">
        <v>0.23899999999999999</v>
      </c>
      <c r="G245">
        <v>0.23899999999999999</v>
      </c>
      <c r="H245">
        <v>0.24</v>
      </c>
      <c r="I245">
        <v>0.24</v>
      </c>
      <c r="N245">
        <v>200</v>
      </c>
      <c r="O245">
        <v>35.523000000000003</v>
      </c>
      <c r="P245">
        <v>26.623000000000001</v>
      </c>
      <c r="Q245">
        <v>17.739000000000001</v>
      </c>
      <c r="R245">
        <v>8.8670000000000009</v>
      </c>
      <c r="S245">
        <v>0</v>
      </c>
      <c r="T245">
        <v>-8.8670000000000009</v>
      </c>
      <c r="U245">
        <v>-17.739999999999998</v>
      </c>
      <c r="V245">
        <v>-26.623999999999999</v>
      </c>
      <c r="W245">
        <v>-35.521999999999998</v>
      </c>
      <c r="AA245" s="1"/>
      <c r="AB245" s="1">
        <f>IF(AB244=AB243,AB243,Interp1(AA243:AA244,AB243:AB244,AB242))</f>
        <v>0</v>
      </c>
      <c r="AC245" s="1"/>
      <c r="AD245" s="42"/>
    </row>
    <row r="246" spans="1:30">
      <c r="A246">
        <v>150</v>
      </c>
      <c r="B246">
        <v>0.32700000000000001</v>
      </c>
      <c r="C246">
        <v>0.32700000000000001</v>
      </c>
      <c r="D246">
        <v>0.32700000000000001</v>
      </c>
      <c r="E246">
        <v>0.32700000000000001</v>
      </c>
      <c r="F246">
        <v>0.32700000000000001</v>
      </c>
      <c r="G246">
        <v>0.32700000000000001</v>
      </c>
      <c r="H246">
        <v>0.32800000000000001</v>
      </c>
      <c r="I246">
        <v>0.32800000000000001</v>
      </c>
      <c r="N246">
        <v>300</v>
      </c>
      <c r="O246">
        <v>35.523000000000003</v>
      </c>
      <c r="P246">
        <v>26.623999999999999</v>
      </c>
      <c r="Q246">
        <v>17.739999999999998</v>
      </c>
      <c r="R246">
        <v>8.8670000000000009</v>
      </c>
      <c r="S246">
        <v>0</v>
      </c>
      <c r="T246">
        <v>-8.8670000000000009</v>
      </c>
      <c r="U246">
        <v>-17.739999999999998</v>
      </c>
      <c r="V246">
        <v>-26.623000000000001</v>
      </c>
      <c r="W246">
        <v>-35.521999999999998</v>
      </c>
      <c r="AA246" s="1">
        <f>trimDraft</f>
        <v>0.149999999999999</v>
      </c>
      <c r="AB246" s="1"/>
      <c r="AC246" s="1"/>
      <c r="AD246" s="1"/>
    </row>
    <row r="247" spans="1:30">
      <c r="A247">
        <v>200</v>
      </c>
      <c r="B247">
        <v>0.41499999999999998</v>
      </c>
      <c r="C247">
        <v>0.41499999999999998</v>
      </c>
      <c r="D247">
        <v>0.41499999999999998</v>
      </c>
      <c r="E247">
        <v>0.41499999999999998</v>
      </c>
      <c r="F247">
        <v>0.41499999999999998</v>
      </c>
      <c r="G247">
        <v>0.41499999999999998</v>
      </c>
      <c r="H247">
        <v>0.41499999999999998</v>
      </c>
      <c r="I247">
        <v>0.41599999999999998</v>
      </c>
      <c r="N247">
        <v>400</v>
      </c>
      <c r="O247">
        <v>35.521999999999998</v>
      </c>
      <c r="P247">
        <v>26.623000000000001</v>
      </c>
      <c r="Q247">
        <v>17.739000000000001</v>
      </c>
      <c r="R247">
        <v>8.8670000000000009</v>
      </c>
      <c r="S247">
        <v>0</v>
      </c>
      <c r="T247">
        <v>-8.8670000000000009</v>
      </c>
      <c r="U247">
        <v>-17.739999999999998</v>
      </c>
      <c r="V247">
        <v>-26.623000000000001</v>
      </c>
      <c r="W247">
        <v>-35.521999999999998</v>
      </c>
      <c r="AA247" s="1">
        <f>INDEX(Oil2Trim2,0,MATCH(AA246,Oil2Trim2,1))</f>
        <v>0</v>
      </c>
      <c r="AB247" s="1">
        <f>Interp2(Oil2Trim1,Oil2Trim2,Oil2Trim3,AC243,AA247)</f>
        <v>2.262</v>
      </c>
      <c r="AC247" s="1">
        <f>Interp2(Oil2Trim1,Oil2Trim2,Oil2Trim3,AC244,AA247)</f>
        <v>2.262</v>
      </c>
      <c r="AD247" s="1"/>
    </row>
    <row r="248" spans="1:30">
      <c r="A248">
        <v>250</v>
      </c>
      <c r="B248">
        <v>0.503</v>
      </c>
      <c r="C248">
        <v>0.503</v>
      </c>
      <c r="D248">
        <v>0.503</v>
      </c>
      <c r="E248">
        <v>0.503</v>
      </c>
      <c r="F248">
        <v>0.503</v>
      </c>
      <c r="G248">
        <v>0.503</v>
      </c>
      <c r="H248">
        <v>0.503</v>
      </c>
      <c r="I248">
        <v>0.504</v>
      </c>
      <c r="N248">
        <v>500</v>
      </c>
      <c r="O248">
        <v>35.521999999999998</v>
      </c>
      <c r="P248">
        <v>26.623000000000001</v>
      </c>
      <c r="Q248">
        <v>17.739999999999998</v>
      </c>
      <c r="R248">
        <v>8.8670000000000009</v>
      </c>
      <c r="S248">
        <v>0</v>
      </c>
      <c r="T248">
        <v>-8.8670000000000009</v>
      </c>
      <c r="U248">
        <v>-17.739999999999998</v>
      </c>
      <c r="V248">
        <v>-26.623999999999999</v>
      </c>
      <c r="W248">
        <v>-35.523000000000003</v>
      </c>
      <c r="AA248" s="1">
        <f>IF(AA247=AA246,AA246,INDEX(Oil2Trim2,0,MATCH(AA246,Oil2Trim2,1)+1))</f>
        <v>0.5</v>
      </c>
      <c r="AB248" s="1">
        <f>Interp2(Oil2Trim1,Oil2Trim2,Oil2Trim3,AC243,AA248)</f>
        <v>2.262</v>
      </c>
      <c r="AC248" s="1">
        <f>Interp2(Oil2Trim1,Oil2Trim2,Oil2Trim3,AC244,AA248)</f>
        <v>2.262</v>
      </c>
      <c r="AD248" s="1"/>
    </row>
    <row r="249" spans="1:30">
      <c r="A249">
        <v>300</v>
      </c>
      <c r="B249">
        <v>0.59099999999999997</v>
      </c>
      <c r="C249">
        <v>0.59099999999999997</v>
      </c>
      <c r="D249">
        <v>0.59099999999999997</v>
      </c>
      <c r="E249">
        <v>0.59099999999999997</v>
      </c>
      <c r="F249">
        <v>0.59099999999999997</v>
      </c>
      <c r="G249">
        <v>0.59099999999999997</v>
      </c>
      <c r="H249">
        <v>0.59099999999999997</v>
      </c>
      <c r="I249">
        <v>0.59199999999999997</v>
      </c>
      <c r="N249">
        <v>600</v>
      </c>
      <c r="O249">
        <v>35.521999999999998</v>
      </c>
      <c r="P249">
        <v>26.623999999999999</v>
      </c>
      <c r="Q249">
        <v>17.739999999999998</v>
      </c>
      <c r="R249">
        <v>8.8670000000000009</v>
      </c>
      <c r="S249">
        <v>0</v>
      </c>
      <c r="T249">
        <v>-8.8670000000000009</v>
      </c>
      <c r="U249">
        <v>-17.741</v>
      </c>
      <c r="V249">
        <v>-26.623000000000001</v>
      </c>
      <c r="W249">
        <v>-35.523000000000003</v>
      </c>
    </row>
    <row r="250" spans="1:30">
      <c r="A250">
        <v>350</v>
      </c>
      <c r="B250">
        <v>0.67900000000000005</v>
      </c>
      <c r="C250">
        <v>0.67900000000000005</v>
      </c>
      <c r="D250">
        <v>0.67900000000000005</v>
      </c>
      <c r="E250">
        <v>0.67900000000000005</v>
      </c>
      <c r="F250">
        <v>0.67900000000000005</v>
      </c>
      <c r="G250">
        <v>0.67900000000000005</v>
      </c>
      <c r="H250">
        <v>0.67900000000000005</v>
      </c>
      <c r="I250">
        <v>0.67900000000000005</v>
      </c>
      <c r="N250">
        <v>700</v>
      </c>
      <c r="O250">
        <v>35.521999999999998</v>
      </c>
      <c r="P250">
        <v>26.623000000000001</v>
      </c>
      <c r="Q250">
        <v>17.739999999999998</v>
      </c>
      <c r="R250">
        <v>8.8670000000000009</v>
      </c>
      <c r="S250">
        <v>0</v>
      </c>
      <c r="T250">
        <v>-8.8670000000000009</v>
      </c>
      <c r="U250">
        <v>-17.741</v>
      </c>
      <c r="V250">
        <v>-26.623000000000001</v>
      </c>
      <c r="W250">
        <v>-35.523000000000003</v>
      </c>
      <c r="AA250">
        <f>COUNT(A243:W334)</f>
        <v>1298</v>
      </c>
    </row>
    <row r="251" spans="1:30">
      <c r="A251">
        <v>400</v>
      </c>
      <c r="B251">
        <v>0.76700000000000002</v>
      </c>
      <c r="C251">
        <v>0.76700000000000002</v>
      </c>
      <c r="D251">
        <v>0.76700000000000002</v>
      </c>
      <c r="E251">
        <v>0.76700000000000002</v>
      </c>
      <c r="F251">
        <v>0.76700000000000002</v>
      </c>
      <c r="G251">
        <v>0.76700000000000002</v>
      </c>
      <c r="H251">
        <v>0.76700000000000002</v>
      </c>
      <c r="I251">
        <v>0.76700000000000002</v>
      </c>
      <c r="N251">
        <v>800</v>
      </c>
      <c r="O251">
        <v>35.521999999999998</v>
      </c>
      <c r="P251">
        <v>26.623000000000001</v>
      </c>
      <c r="Q251">
        <v>17.739999999999998</v>
      </c>
      <c r="R251">
        <v>8.8670000000000009</v>
      </c>
      <c r="S251">
        <v>0</v>
      </c>
      <c r="T251">
        <v>-8.8670000000000009</v>
      </c>
      <c r="U251">
        <v>-17.739000000000001</v>
      </c>
      <c r="V251">
        <v>-26.623000000000001</v>
      </c>
      <c r="W251">
        <v>-35.523000000000003</v>
      </c>
      <c r="AA251">
        <f>COUNTA(A243:W334)</f>
        <v>1298</v>
      </c>
    </row>
    <row r="252" spans="1:30">
      <c r="A252">
        <v>450</v>
      </c>
      <c r="B252">
        <v>0.85499999999999998</v>
      </c>
      <c r="C252">
        <v>0.85499999999999998</v>
      </c>
      <c r="D252">
        <v>0.85499999999999998</v>
      </c>
      <c r="E252">
        <v>0.85499999999999998</v>
      </c>
      <c r="F252">
        <v>0.85499999999999998</v>
      </c>
      <c r="G252">
        <v>0.85499999999999998</v>
      </c>
      <c r="H252">
        <v>0.85499999999999998</v>
      </c>
      <c r="I252">
        <v>0.85499999999999998</v>
      </c>
      <c r="N252">
        <v>900</v>
      </c>
      <c r="O252">
        <v>35.523000000000003</v>
      </c>
      <c r="P252">
        <v>26.623999999999999</v>
      </c>
      <c r="Q252">
        <v>17.739999999999998</v>
      </c>
      <c r="R252">
        <v>8.8670000000000009</v>
      </c>
      <c r="S252">
        <v>0</v>
      </c>
      <c r="T252">
        <v>-8.8670000000000009</v>
      </c>
      <c r="U252">
        <v>-17.738</v>
      </c>
      <c r="V252">
        <v>-26.622</v>
      </c>
      <c r="W252">
        <v>-35.521999999999998</v>
      </c>
    </row>
    <row r="253" spans="1:30">
      <c r="A253">
        <v>500</v>
      </c>
      <c r="B253">
        <v>0.94199999999999995</v>
      </c>
      <c r="C253">
        <v>0.94299999999999995</v>
      </c>
      <c r="D253">
        <v>0.94299999999999995</v>
      </c>
      <c r="E253">
        <v>0.94299999999999995</v>
      </c>
      <c r="F253">
        <v>0.94299999999999995</v>
      </c>
      <c r="G253">
        <v>0.94299999999999995</v>
      </c>
      <c r="H253">
        <v>0.94299999999999995</v>
      </c>
      <c r="I253">
        <v>0.94299999999999995</v>
      </c>
      <c r="N253">
        <v>1000</v>
      </c>
      <c r="O253">
        <v>35.521999999999998</v>
      </c>
      <c r="P253">
        <v>26.623999999999999</v>
      </c>
      <c r="Q253">
        <v>17.739000000000001</v>
      </c>
      <c r="R253">
        <v>8.8670000000000009</v>
      </c>
      <c r="S253">
        <v>0</v>
      </c>
      <c r="T253">
        <v>-8.8689999999999998</v>
      </c>
      <c r="U253">
        <v>-17.739999999999998</v>
      </c>
      <c r="V253">
        <v>-26.623000000000001</v>
      </c>
      <c r="W253">
        <v>-35.523000000000003</v>
      </c>
    </row>
    <row r="254" spans="1:30">
      <c r="A254">
        <v>550</v>
      </c>
      <c r="B254">
        <v>1.03</v>
      </c>
      <c r="C254">
        <v>1.0309999999999999</v>
      </c>
      <c r="D254">
        <v>1.0309999999999999</v>
      </c>
      <c r="E254">
        <v>1.0309999999999999</v>
      </c>
      <c r="F254">
        <v>1.0309999999999999</v>
      </c>
      <c r="G254">
        <v>1.0309999999999999</v>
      </c>
      <c r="H254">
        <v>1.0309999999999999</v>
      </c>
      <c r="I254">
        <v>1.0309999999999999</v>
      </c>
      <c r="N254">
        <v>1100</v>
      </c>
      <c r="O254">
        <v>35.521999999999998</v>
      </c>
      <c r="P254">
        <v>26.623000000000001</v>
      </c>
      <c r="Q254">
        <v>17.739000000000001</v>
      </c>
      <c r="R254">
        <v>8.8670000000000009</v>
      </c>
      <c r="S254">
        <v>0</v>
      </c>
      <c r="T254">
        <v>-8.8689999999999998</v>
      </c>
      <c r="U254">
        <v>-17.742000000000001</v>
      </c>
      <c r="V254">
        <v>-26.623000000000001</v>
      </c>
      <c r="W254">
        <v>-35.523000000000003</v>
      </c>
    </row>
    <row r="255" spans="1:30">
      <c r="A255">
        <v>600</v>
      </c>
      <c r="B255">
        <v>1.1180000000000001</v>
      </c>
      <c r="C255">
        <v>1.1180000000000001</v>
      </c>
      <c r="D255">
        <v>1.119</v>
      </c>
      <c r="E255">
        <v>1.119</v>
      </c>
      <c r="F255">
        <v>1.119</v>
      </c>
      <c r="G255">
        <v>1.119</v>
      </c>
      <c r="H255">
        <v>1.119</v>
      </c>
      <c r="I255">
        <v>1.119</v>
      </c>
      <c r="N255">
        <v>1200</v>
      </c>
      <c r="O255">
        <v>35.521999999999998</v>
      </c>
      <c r="P255">
        <v>26.623999999999999</v>
      </c>
      <c r="Q255">
        <v>17.739999999999998</v>
      </c>
      <c r="R255">
        <v>8.8680000000000003</v>
      </c>
      <c r="S255">
        <v>0</v>
      </c>
      <c r="T255">
        <v>-8.8670000000000009</v>
      </c>
      <c r="U255">
        <v>-17.739999999999998</v>
      </c>
      <c r="V255">
        <v>-26.623000000000001</v>
      </c>
      <c r="W255">
        <v>-35.523000000000003</v>
      </c>
    </row>
    <row r="256" spans="1:30">
      <c r="A256">
        <v>650</v>
      </c>
      <c r="B256">
        <v>1.206</v>
      </c>
      <c r="C256">
        <v>1.206</v>
      </c>
      <c r="D256">
        <v>1.206</v>
      </c>
      <c r="E256">
        <v>1.2070000000000001</v>
      </c>
      <c r="F256">
        <v>1.2070000000000001</v>
      </c>
      <c r="G256">
        <v>1.2070000000000001</v>
      </c>
      <c r="H256">
        <v>1.2070000000000001</v>
      </c>
      <c r="I256">
        <v>1.2070000000000001</v>
      </c>
      <c r="N256">
        <v>1300</v>
      </c>
      <c r="O256">
        <v>35.521999999999998</v>
      </c>
      <c r="P256">
        <v>26.623999999999999</v>
      </c>
      <c r="Q256">
        <v>17.741</v>
      </c>
      <c r="R256">
        <v>8.8670000000000009</v>
      </c>
      <c r="S256">
        <v>0</v>
      </c>
      <c r="T256">
        <v>-8.8670000000000009</v>
      </c>
      <c r="U256">
        <v>-17.739999999999998</v>
      </c>
      <c r="V256">
        <v>-26.623000000000001</v>
      </c>
      <c r="W256">
        <v>-35.524999999999999</v>
      </c>
    </row>
    <row r="257" spans="1:23">
      <c r="A257">
        <v>700</v>
      </c>
      <c r="B257">
        <v>1.294</v>
      </c>
      <c r="C257">
        <v>1.294</v>
      </c>
      <c r="D257">
        <v>1.294</v>
      </c>
      <c r="E257">
        <v>1.294</v>
      </c>
      <c r="F257">
        <v>1.2949999999999999</v>
      </c>
      <c r="G257">
        <v>1.2949999999999999</v>
      </c>
      <c r="H257">
        <v>1.2949999999999999</v>
      </c>
      <c r="I257">
        <v>1.2949999999999999</v>
      </c>
      <c r="N257">
        <v>1400</v>
      </c>
      <c r="O257">
        <v>35.523000000000003</v>
      </c>
      <c r="P257">
        <v>26.623000000000001</v>
      </c>
      <c r="Q257">
        <v>17.739000000000001</v>
      </c>
      <c r="R257">
        <v>8.8670000000000009</v>
      </c>
      <c r="S257">
        <v>0</v>
      </c>
      <c r="T257">
        <v>-8.8670000000000009</v>
      </c>
      <c r="U257">
        <v>-17.739999999999998</v>
      </c>
      <c r="V257">
        <v>-26.623000000000001</v>
      </c>
      <c r="W257">
        <v>-35.524000000000001</v>
      </c>
    </row>
    <row r="258" spans="1:23">
      <c r="A258">
        <v>750</v>
      </c>
      <c r="B258">
        <v>1.3819999999999999</v>
      </c>
      <c r="C258">
        <v>1.3819999999999999</v>
      </c>
      <c r="D258">
        <v>1.3819999999999999</v>
      </c>
      <c r="E258">
        <v>1.3819999999999999</v>
      </c>
      <c r="F258">
        <v>1.383</v>
      </c>
      <c r="G258">
        <v>1.383</v>
      </c>
      <c r="H258">
        <v>1.383</v>
      </c>
      <c r="I258">
        <v>1.383</v>
      </c>
      <c r="N258">
        <v>1500</v>
      </c>
      <c r="O258">
        <v>35.521999999999998</v>
      </c>
      <c r="P258">
        <v>26.623000000000001</v>
      </c>
      <c r="Q258">
        <v>17.739999999999998</v>
      </c>
      <c r="R258">
        <v>8.8670000000000009</v>
      </c>
      <c r="S258">
        <v>0</v>
      </c>
      <c r="T258">
        <v>-8.8670000000000009</v>
      </c>
      <c r="U258">
        <v>-17.739000000000001</v>
      </c>
      <c r="V258">
        <v>-26.623000000000001</v>
      </c>
      <c r="W258">
        <v>-35.523000000000003</v>
      </c>
    </row>
    <row r="259" spans="1:23">
      <c r="A259">
        <v>800</v>
      </c>
      <c r="B259">
        <v>1.47</v>
      </c>
      <c r="C259">
        <v>1.47</v>
      </c>
      <c r="D259">
        <v>1.47</v>
      </c>
      <c r="E259">
        <v>1.47</v>
      </c>
      <c r="F259">
        <v>1.47</v>
      </c>
      <c r="G259">
        <v>1.4710000000000001</v>
      </c>
      <c r="H259">
        <v>1.4710000000000001</v>
      </c>
      <c r="I259">
        <v>1.4710000000000001</v>
      </c>
      <c r="N259">
        <v>1600</v>
      </c>
      <c r="O259">
        <v>35.523000000000003</v>
      </c>
      <c r="P259">
        <v>26.623000000000001</v>
      </c>
      <c r="Q259">
        <v>17.739999999999998</v>
      </c>
      <c r="R259">
        <v>8.8670000000000009</v>
      </c>
      <c r="S259">
        <v>0</v>
      </c>
      <c r="T259">
        <v>-8.8670000000000009</v>
      </c>
      <c r="U259">
        <v>-17.739999999999998</v>
      </c>
      <c r="V259">
        <v>-26.623000000000001</v>
      </c>
      <c r="W259">
        <v>-35.523000000000003</v>
      </c>
    </row>
    <row r="260" spans="1:23">
      <c r="A260">
        <v>850</v>
      </c>
      <c r="B260">
        <v>1.5580000000000001</v>
      </c>
      <c r="C260">
        <v>1.5580000000000001</v>
      </c>
      <c r="D260">
        <v>1.5580000000000001</v>
      </c>
      <c r="E260">
        <v>1.5580000000000001</v>
      </c>
      <c r="F260">
        <v>1.5580000000000001</v>
      </c>
      <c r="G260">
        <v>1.5580000000000001</v>
      </c>
      <c r="H260">
        <v>1.5589999999999999</v>
      </c>
      <c r="I260">
        <v>1.5589999999999999</v>
      </c>
      <c r="N260">
        <v>1700</v>
      </c>
      <c r="O260">
        <v>35.523000000000003</v>
      </c>
      <c r="P260">
        <v>26.623000000000001</v>
      </c>
      <c r="Q260">
        <v>17.739000000000001</v>
      </c>
      <c r="R260">
        <v>8.8670000000000009</v>
      </c>
      <c r="S260">
        <v>0</v>
      </c>
      <c r="T260">
        <v>-8.8670000000000009</v>
      </c>
      <c r="U260">
        <v>-17.739999999999998</v>
      </c>
      <c r="V260">
        <v>-26.625</v>
      </c>
      <c r="W260">
        <v>-35.524000000000001</v>
      </c>
    </row>
    <row r="261" spans="1:23">
      <c r="A261">
        <v>900</v>
      </c>
      <c r="B261">
        <v>1.6459999999999999</v>
      </c>
      <c r="C261">
        <v>1.6459999999999999</v>
      </c>
      <c r="D261">
        <v>1.6459999999999999</v>
      </c>
      <c r="E261">
        <v>1.6459999999999999</v>
      </c>
      <c r="F261">
        <v>1.6459999999999999</v>
      </c>
      <c r="G261">
        <v>1.6459999999999999</v>
      </c>
      <c r="H261">
        <v>1.647</v>
      </c>
      <c r="I261">
        <v>1.647</v>
      </c>
      <c r="N261">
        <v>1800</v>
      </c>
      <c r="O261">
        <v>35.523000000000003</v>
      </c>
      <c r="P261">
        <v>26.625</v>
      </c>
      <c r="Q261">
        <v>17.739000000000001</v>
      </c>
      <c r="R261">
        <v>8.8670000000000009</v>
      </c>
      <c r="S261">
        <v>0</v>
      </c>
      <c r="T261">
        <v>-8.8670000000000009</v>
      </c>
      <c r="U261">
        <v>-17.739999999999998</v>
      </c>
      <c r="V261">
        <v>-26.623000000000001</v>
      </c>
      <c r="W261">
        <v>-35.523000000000003</v>
      </c>
    </row>
    <row r="262" spans="1:23">
      <c r="A262">
        <v>950</v>
      </c>
      <c r="B262">
        <v>1.734</v>
      </c>
      <c r="C262">
        <v>1.734</v>
      </c>
      <c r="D262">
        <v>1.734</v>
      </c>
      <c r="E262">
        <v>1.734</v>
      </c>
      <c r="F262">
        <v>1.734</v>
      </c>
      <c r="G262">
        <v>1.734</v>
      </c>
      <c r="H262">
        <v>1.734</v>
      </c>
      <c r="I262">
        <v>1.7350000000000001</v>
      </c>
      <c r="N262">
        <v>1900</v>
      </c>
      <c r="O262">
        <v>35.524000000000001</v>
      </c>
      <c r="P262">
        <v>26.623000000000001</v>
      </c>
      <c r="Q262">
        <v>17.739999999999998</v>
      </c>
      <c r="R262">
        <v>8.8670000000000009</v>
      </c>
      <c r="S262">
        <v>0</v>
      </c>
      <c r="T262">
        <v>-8.8670000000000009</v>
      </c>
      <c r="U262">
        <v>-17.739000000000001</v>
      </c>
      <c r="V262">
        <v>-26.623000000000001</v>
      </c>
      <c r="W262">
        <v>-35.523000000000003</v>
      </c>
    </row>
    <row r="263" spans="1:23">
      <c r="A263">
        <v>1000</v>
      </c>
      <c r="B263">
        <v>1.8220000000000001</v>
      </c>
      <c r="C263">
        <v>1.8220000000000001</v>
      </c>
      <c r="D263">
        <v>1.8220000000000001</v>
      </c>
      <c r="E263">
        <v>1.8220000000000001</v>
      </c>
      <c r="F263">
        <v>1.8220000000000001</v>
      </c>
      <c r="G263">
        <v>1.8220000000000001</v>
      </c>
      <c r="H263">
        <v>1.8220000000000001</v>
      </c>
      <c r="I263">
        <v>1.823</v>
      </c>
      <c r="N263">
        <v>2000</v>
      </c>
      <c r="O263">
        <v>35.521999999999998</v>
      </c>
      <c r="P263">
        <v>26.622</v>
      </c>
      <c r="Q263">
        <v>17.739000000000001</v>
      </c>
      <c r="R263">
        <v>8.8670000000000009</v>
      </c>
      <c r="S263">
        <v>0</v>
      </c>
      <c r="T263">
        <v>-8.8670000000000009</v>
      </c>
      <c r="U263">
        <v>-17.739999999999998</v>
      </c>
      <c r="V263">
        <v>-26.623000000000001</v>
      </c>
      <c r="W263">
        <v>-35.526000000000003</v>
      </c>
    </row>
    <row r="264" spans="1:23">
      <c r="A264">
        <v>1050</v>
      </c>
      <c r="B264">
        <v>1.91</v>
      </c>
      <c r="C264">
        <v>1.91</v>
      </c>
      <c r="D264">
        <v>1.91</v>
      </c>
      <c r="E264">
        <v>1.91</v>
      </c>
      <c r="F264">
        <v>1.91</v>
      </c>
      <c r="G264">
        <v>1.91</v>
      </c>
      <c r="H264">
        <v>1.91</v>
      </c>
      <c r="I264">
        <v>1.91</v>
      </c>
      <c r="N264">
        <v>2100</v>
      </c>
      <c r="O264">
        <v>35.524000000000001</v>
      </c>
      <c r="P264">
        <v>26.623000000000001</v>
      </c>
      <c r="Q264">
        <v>17.739999999999998</v>
      </c>
      <c r="R264">
        <v>8.8680000000000003</v>
      </c>
      <c r="S264">
        <v>0</v>
      </c>
      <c r="T264">
        <v>-8.8670000000000009</v>
      </c>
      <c r="U264">
        <v>-17.739000000000001</v>
      </c>
      <c r="V264">
        <v>-26.622</v>
      </c>
      <c r="W264">
        <v>-35.521999999999998</v>
      </c>
    </row>
    <row r="265" spans="1:23">
      <c r="A265">
        <v>1100</v>
      </c>
      <c r="B265">
        <v>1.998</v>
      </c>
      <c r="C265">
        <v>1.998</v>
      </c>
      <c r="D265">
        <v>1.998</v>
      </c>
      <c r="E265">
        <v>1.998</v>
      </c>
      <c r="F265">
        <v>1.998</v>
      </c>
      <c r="G265">
        <v>1.998</v>
      </c>
      <c r="H265">
        <v>1.998</v>
      </c>
      <c r="I265">
        <v>1.998</v>
      </c>
      <c r="N265">
        <v>2200</v>
      </c>
      <c r="O265">
        <v>35.523000000000003</v>
      </c>
      <c r="P265">
        <v>26.623000000000001</v>
      </c>
      <c r="Q265">
        <v>17.739999999999998</v>
      </c>
      <c r="R265">
        <v>8.8670000000000009</v>
      </c>
      <c r="S265">
        <v>0</v>
      </c>
      <c r="T265">
        <v>-8.8680000000000003</v>
      </c>
      <c r="U265">
        <v>-17.739999999999998</v>
      </c>
      <c r="V265">
        <v>-26.623000000000001</v>
      </c>
      <c r="W265">
        <v>-35.524000000000001</v>
      </c>
    </row>
    <row r="266" spans="1:23">
      <c r="A266">
        <v>1150</v>
      </c>
      <c r="B266">
        <v>2.0859999999999999</v>
      </c>
      <c r="C266">
        <v>2.0859999999999999</v>
      </c>
      <c r="D266">
        <v>2.0859999999999999</v>
      </c>
      <c r="E266">
        <v>2.0859999999999999</v>
      </c>
      <c r="F266">
        <v>2.0859999999999999</v>
      </c>
      <c r="G266">
        <v>2.0859999999999999</v>
      </c>
      <c r="H266">
        <v>2.0859999999999999</v>
      </c>
      <c r="I266">
        <v>2.0859999999999999</v>
      </c>
      <c r="N266">
        <v>2300</v>
      </c>
      <c r="O266">
        <v>35.523000000000003</v>
      </c>
      <c r="P266">
        <v>26.623000000000001</v>
      </c>
      <c r="Q266">
        <v>17.739999999999998</v>
      </c>
      <c r="R266">
        <v>8.8670000000000009</v>
      </c>
      <c r="S266">
        <v>0</v>
      </c>
      <c r="T266">
        <v>-8.8670000000000009</v>
      </c>
      <c r="U266">
        <v>-17.739000000000001</v>
      </c>
      <c r="V266">
        <v>-26.625</v>
      </c>
      <c r="W266">
        <v>-35.523000000000003</v>
      </c>
    </row>
    <row r="267" spans="1:23">
      <c r="A267">
        <v>1200</v>
      </c>
      <c r="B267">
        <v>2.173</v>
      </c>
      <c r="C267">
        <v>2.1739999999999999</v>
      </c>
      <c r="D267">
        <v>2.1739999999999999</v>
      </c>
      <c r="E267">
        <v>2.1739999999999999</v>
      </c>
      <c r="F267">
        <v>2.1739999999999999</v>
      </c>
      <c r="G267">
        <v>2.1739999999999999</v>
      </c>
      <c r="H267">
        <v>2.1739999999999999</v>
      </c>
      <c r="I267">
        <v>2.1739999999999999</v>
      </c>
      <c r="N267">
        <v>2400</v>
      </c>
      <c r="O267">
        <v>35.523000000000003</v>
      </c>
      <c r="P267">
        <v>26.623000000000001</v>
      </c>
      <c r="Q267">
        <v>17.739999999999998</v>
      </c>
      <c r="R267">
        <v>8.8670000000000009</v>
      </c>
      <c r="S267">
        <v>0</v>
      </c>
      <c r="T267">
        <v>-8.8670000000000009</v>
      </c>
      <c r="U267">
        <v>-17.739999999999998</v>
      </c>
      <c r="V267">
        <v>-26.625</v>
      </c>
      <c r="W267">
        <v>-35.523000000000003</v>
      </c>
    </row>
    <row r="268" spans="1:23">
      <c r="A268">
        <v>1250</v>
      </c>
      <c r="B268">
        <v>2.2610000000000001</v>
      </c>
      <c r="C268">
        <v>2.262</v>
      </c>
      <c r="D268">
        <v>2.262</v>
      </c>
      <c r="E268">
        <v>2.262</v>
      </c>
      <c r="F268">
        <v>2.262</v>
      </c>
      <c r="G268">
        <v>2.262</v>
      </c>
      <c r="H268">
        <v>2.262</v>
      </c>
      <c r="I268">
        <v>2.262</v>
      </c>
      <c r="N268">
        <v>2500</v>
      </c>
      <c r="O268">
        <v>35.523000000000003</v>
      </c>
      <c r="P268">
        <v>26.625</v>
      </c>
      <c r="Q268">
        <v>17.739000000000001</v>
      </c>
      <c r="R268">
        <v>8.8670000000000009</v>
      </c>
      <c r="S268">
        <v>0</v>
      </c>
      <c r="T268">
        <v>-8.8670000000000009</v>
      </c>
      <c r="U268">
        <v>-17.739999999999998</v>
      </c>
      <c r="V268">
        <v>-26.623000000000001</v>
      </c>
      <c r="W268">
        <v>-35.523000000000003</v>
      </c>
    </row>
    <row r="269" spans="1:23">
      <c r="A269">
        <v>1300</v>
      </c>
      <c r="B269">
        <v>2.3490000000000002</v>
      </c>
      <c r="C269">
        <v>2.35</v>
      </c>
      <c r="D269">
        <v>2.35</v>
      </c>
      <c r="E269">
        <v>2.35</v>
      </c>
      <c r="F269">
        <v>2.35</v>
      </c>
      <c r="G269">
        <v>2.35</v>
      </c>
      <c r="H269">
        <v>2.35</v>
      </c>
      <c r="I269">
        <v>2.35</v>
      </c>
      <c r="N269">
        <v>2600</v>
      </c>
      <c r="O269">
        <v>35.523000000000003</v>
      </c>
      <c r="P269">
        <v>26.623000000000001</v>
      </c>
      <c r="Q269">
        <v>17.739999999999998</v>
      </c>
      <c r="R269">
        <v>8.8670000000000009</v>
      </c>
      <c r="S269">
        <v>0</v>
      </c>
      <c r="T269">
        <v>-8.8670000000000009</v>
      </c>
      <c r="U269">
        <v>-17.741</v>
      </c>
      <c r="V269">
        <v>-26.623000000000001</v>
      </c>
      <c r="W269">
        <v>-35.523000000000003</v>
      </c>
    </row>
    <row r="270" spans="1:23">
      <c r="A270">
        <v>1350</v>
      </c>
      <c r="B270">
        <v>2.4369999999999998</v>
      </c>
      <c r="C270">
        <v>2.4369999999999998</v>
      </c>
      <c r="D270">
        <v>2.4380000000000002</v>
      </c>
      <c r="E270">
        <v>2.4380000000000002</v>
      </c>
      <c r="F270">
        <v>2.4380000000000002</v>
      </c>
      <c r="G270">
        <v>2.4380000000000002</v>
      </c>
      <c r="H270">
        <v>2.4380000000000002</v>
      </c>
      <c r="I270">
        <v>2.4380000000000002</v>
      </c>
      <c r="N270">
        <v>2700</v>
      </c>
      <c r="O270">
        <v>35.523000000000003</v>
      </c>
      <c r="P270">
        <v>26.623000000000001</v>
      </c>
      <c r="Q270">
        <v>17.739999999999998</v>
      </c>
      <c r="R270">
        <v>8.8670000000000009</v>
      </c>
      <c r="S270">
        <v>0</v>
      </c>
      <c r="T270">
        <v>-8.8680000000000003</v>
      </c>
      <c r="U270">
        <v>-17.742000000000001</v>
      </c>
      <c r="V270">
        <v>-26.623000000000001</v>
      </c>
      <c r="W270">
        <v>-35.526000000000003</v>
      </c>
    </row>
    <row r="271" spans="1:23">
      <c r="A271">
        <v>1400</v>
      </c>
      <c r="B271">
        <v>2.5249999999999999</v>
      </c>
      <c r="C271">
        <v>2.5249999999999999</v>
      </c>
      <c r="D271">
        <v>2.5249999999999999</v>
      </c>
      <c r="E271">
        <v>2.5259999999999998</v>
      </c>
      <c r="F271">
        <v>2.5259999999999998</v>
      </c>
      <c r="G271">
        <v>2.5259999999999998</v>
      </c>
      <c r="H271">
        <v>2.5259999999999998</v>
      </c>
      <c r="I271">
        <v>2.5259999999999998</v>
      </c>
      <c r="N271">
        <v>2800</v>
      </c>
      <c r="O271">
        <v>35.523000000000003</v>
      </c>
      <c r="P271">
        <v>26.623000000000001</v>
      </c>
      <c r="Q271">
        <v>17.742000000000001</v>
      </c>
      <c r="R271">
        <v>8.8670000000000009</v>
      </c>
      <c r="S271">
        <v>0</v>
      </c>
      <c r="T271">
        <v>-8.8670000000000009</v>
      </c>
      <c r="U271">
        <v>-17.739000000000001</v>
      </c>
      <c r="V271">
        <v>-26.622</v>
      </c>
      <c r="W271">
        <v>-35.523000000000003</v>
      </c>
    </row>
    <row r="272" spans="1:23">
      <c r="A272">
        <v>1450</v>
      </c>
      <c r="B272">
        <v>2.613</v>
      </c>
      <c r="C272">
        <v>2.613</v>
      </c>
      <c r="D272">
        <v>2.613</v>
      </c>
      <c r="E272">
        <v>2.613</v>
      </c>
      <c r="F272">
        <v>2.6139999999999999</v>
      </c>
      <c r="G272">
        <v>2.6139999999999999</v>
      </c>
      <c r="H272">
        <v>2.6139999999999999</v>
      </c>
      <c r="I272">
        <v>2.6139999999999999</v>
      </c>
      <c r="N272">
        <v>2900</v>
      </c>
      <c r="O272">
        <v>35.523000000000003</v>
      </c>
      <c r="P272">
        <v>26.623000000000001</v>
      </c>
      <c r="Q272">
        <v>17.739999999999998</v>
      </c>
      <c r="R272">
        <v>8.8670000000000009</v>
      </c>
      <c r="S272">
        <v>0</v>
      </c>
      <c r="T272">
        <v>-8.8670000000000009</v>
      </c>
      <c r="U272">
        <v>-17.739000000000001</v>
      </c>
      <c r="V272">
        <v>-26.623000000000001</v>
      </c>
      <c r="W272">
        <v>-35.523000000000003</v>
      </c>
    </row>
    <row r="273" spans="1:23">
      <c r="A273">
        <v>1500</v>
      </c>
      <c r="B273">
        <v>2.7010000000000001</v>
      </c>
      <c r="C273">
        <v>2.7010000000000001</v>
      </c>
      <c r="D273">
        <v>2.7010000000000001</v>
      </c>
      <c r="E273">
        <v>2.7010000000000001</v>
      </c>
      <c r="F273">
        <v>2.7010000000000001</v>
      </c>
      <c r="G273">
        <v>2.702</v>
      </c>
      <c r="H273">
        <v>2.702</v>
      </c>
      <c r="I273">
        <v>2.702</v>
      </c>
      <c r="N273">
        <v>3000</v>
      </c>
      <c r="O273">
        <v>35.523000000000003</v>
      </c>
      <c r="P273">
        <v>26.623000000000001</v>
      </c>
      <c r="Q273">
        <v>17.739999999999998</v>
      </c>
      <c r="R273">
        <v>8.8670000000000009</v>
      </c>
      <c r="S273">
        <v>0</v>
      </c>
      <c r="T273">
        <v>-8.8680000000000003</v>
      </c>
      <c r="U273">
        <v>-17.739999999999998</v>
      </c>
      <c r="V273">
        <v>-26.625</v>
      </c>
      <c r="W273">
        <v>-35.523000000000003</v>
      </c>
    </row>
    <row r="274" spans="1:23">
      <c r="A274">
        <v>1550</v>
      </c>
      <c r="B274">
        <v>2.7890000000000001</v>
      </c>
      <c r="C274">
        <v>2.7890000000000001</v>
      </c>
      <c r="D274">
        <v>2.7890000000000001</v>
      </c>
      <c r="E274">
        <v>2.7890000000000001</v>
      </c>
      <c r="F274">
        <v>2.7890000000000001</v>
      </c>
      <c r="G274">
        <v>2.7890000000000001</v>
      </c>
      <c r="H274">
        <v>2.79</v>
      </c>
      <c r="I274">
        <v>2.79</v>
      </c>
      <c r="N274">
        <v>3100</v>
      </c>
      <c r="O274">
        <v>35.524000000000001</v>
      </c>
      <c r="P274">
        <v>26.623000000000001</v>
      </c>
      <c r="Q274">
        <v>17.739999999999998</v>
      </c>
      <c r="R274">
        <v>8.8670000000000009</v>
      </c>
      <c r="S274">
        <v>0</v>
      </c>
      <c r="T274">
        <v>-8.8670000000000009</v>
      </c>
      <c r="U274">
        <v>-17.739000000000001</v>
      </c>
      <c r="V274">
        <v>-26.625</v>
      </c>
      <c r="W274">
        <v>-35.523000000000003</v>
      </c>
    </row>
    <row r="275" spans="1:23">
      <c r="A275">
        <v>1600</v>
      </c>
      <c r="B275">
        <v>2.8769999999999998</v>
      </c>
      <c r="C275">
        <v>2.8769999999999998</v>
      </c>
      <c r="D275">
        <v>2.8769999999999998</v>
      </c>
      <c r="E275">
        <v>2.8769999999999998</v>
      </c>
      <c r="F275">
        <v>2.8769999999999998</v>
      </c>
      <c r="G275">
        <v>2.8769999999999998</v>
      </c>
      <c r="H275">
        <v>2.8780000000000001</v>
      </c>
      <c r="I275">
        <v>2.8780000000000001</v>
      </c>
      <c r="N275">
        <v>3200</v>
      </c>
      <c r="O275">
        <v>35.523000000000003</v>
      </c>
      <c r="P275">
        <v>26.625</v>
      </c>
      <c r="Q275">
        <v>17.739999999999998</v>
      </c>
      <c r="R275">
        <v>8.8670000000000009</v>
      </c>
      <c r="S275">
        <v>0</v>
      </c>
      <c r="T275">
        <v>-8.8670000000000009</v>
      </c>
      <c r="U275">
        <v>-17.739000000000001</v>
      </c>
      <c r="V275">
        <v>-26.623000000000001</v>
      </c>
      <c r="W275">
        <v>-35.524000000000001</v>
      </c>
    </row>
    <row r="276" spans="1:23">
      <c r="A276">
        <v>1650</v>
      </c>
      <c r="B276">
        <v>2.9649999999999999</v>
      </c>
      <c r="C276">
        <v>2.9649999999999999</v>
      </c>
      <c r="D276">
        <v>2.9649999999999999</v>
      </c>
      <c r="E276">
        <v>2.9649999999999999</v>
      </c>
      <c r="F276">
        <v>2.9649999999999999</v>
      </c>
      <c r="G276">
        <v>2.9649999999999999</v>
      </c>
      <c r="H276">
        <v>2.9649999999999999</v>
      </c>
      <c r="I276">
        <v>2.9660000000000002</v>
      </c>
      <c r="N276">
        <v>3300</v>
      </c>
      <c r="O276">
        <v>35.523000000000003</v>
      </c>
      <c r="P276">
        <v>26.623000000000001</v>
      </c>
      <c r="Q276">
        <v>17.739999999999998</v>
      </c>
      <c r="R276">
        <v>8.8670000000000009</v>
      </c>
      <c r="S276">
        <v>0</v>
      </c>
      <c r="T276">
        <v>-8.8670000000000009</v>
      </c>
      <c r="U276">
        <v>-17.739000000000001</v>
      </c>
      <c r="V276">
        <v>-26.622</v>
      </c>
      <c r="W276">
        <v>-35.523000000000003</v>
      </c>
    </row>
    <row r="277" spans="1:23">
      <c r="A277">
        <v>1700</v>
      </c>
      <c r="B277">
        <v>3.0529999999999999</v>
      </c>
      <c r="C277">
        <v>3.0529999999999999</v>
      </c>
      <c r="D277">
        <v>3.0529999999999999</v>
      </c>
      <c r="E277">
        <v>3.0529999999999999</v>
      </c>
      <c r="F277">
        <v>3.0529999999999999</v>
      </c>
      <c r="G277">
        <v>3.0529999999999999</v>
      </c>
      <c r="H277">
        <v>3.0529999999999999</v>
      </c>
      <c r="I277">
        <v>3.0539999999999998</v>
      </c>
      <c r="N277">
        <v>3400</v>
      </c>
      <c r="O277">
        <v>35.523000000000003</v>
      </c>
      <c r="P277">
        <v>26.623000000000001</v>
      </c>
      <c r="Q277">
        <v>17.739999999999998</v>
      </c>
      <c r="R277">
        <v>8.8670000000000009</v>
      </c>
      <c r="S277">
        <v>0</v>
      </c>
      <c r="T277">
        <v>-8.8670000000000009</v>
      </c>
      <c r="U277">
        <v>-17.739999999999998</v>
      </c>
      <c r="V277">
        <v>-26.623000000000001</v>
      </c>
      <c r="W277">
        <v>-35.524999999999999</v>
      </c>
    </row>
    <row r="278" spans="1:23">
      <c r="A278">
        <v>1750</v>
      </c>
      <c r="B278">
        <v>3.141</v>
      </c>
      <c r="C278">
        <v>3.141</v>
      </c>
      <c r="D278">
        <v>3.141</v>
      </c>
      <c r="E278">
        <v>3.141</v>
      </c>
      <c r="F278">
        <v>3.141</v>
      </c>
      <c r="G278">
        <v>3.141</v>
      </c>
      <c r="H278">
        <v>3.141</v>
      </c>
      <c r="I278">
        <v>3.1419999999999999</v>
      </c>
      <c r="N278">
        <v>3500</v>
      </c>
      <c r="O278">
        <v>35.523000000000003</v>
      </c>
      <c r="P278">
        <v>26.623000000000001</v>
      </c>
      <c r="Q278">
        <v>17.739000000000001</v>
      </c>
      <c r="R278">
        <v>8.8670000000000009</v>
      </c>
      <c r="S278">
        <v>0</v>
      </c>
      <c r="T278">
        <v>-8.8680000000000003</v>
      </c>
      <c r="U278">
        <v>-17.739999999999998</v>
      </c>
      <c r="V278">
        <v>-26.623000000000001</v>
      </c>
      <c r="W278">
        <v>-35.523000000000003</v>
      </c>
    </row>
    <row r="279" spans="1:23">
      <c r="A279">
        <v>1800</v>
      </c>
      <c r="B279">
        <v>3.2290000000000001</v>
      </c>
      <c r="C279">
        <v>3.2290000000000001</v>
      </c>
      <c r="D279">
        <v>3.2290000000000001</v>
      </c>
      <c r="E279">
        <v>3.2290000000000001</v>
      </c>
      <c r="F279">
        <v>3.2290000000000001</v>
      </c>
      <c r="G279">
        <v>3.2290000000000001</v>
      </c>
      <c r="H279">
        <v>3.2290000000000001</v>
      </c>
      <c r="I279">
        <v>3.2290000000000001</v>
      </c>
      <c r="N279">
        <v>3600</v>
      </c>
      <c r="O279">
        <v>35.524000000000001</v>
      </c>
      <c r="P279">
        <v>26.623000000000001</v>
      </c>
      <c r="Q279">
        <v>17.739999999999998</v>
      </c>
      <c r="R279">
        <v>8.8670000000000009</v>
      </c>
      <c r="S279">
        <v>0</v>
      </c>
      <c r="T279">
        <v>-8.8670000000000009</v>
      </c>
      <c r="U279">
        <v>-17.739999999999998</v>
      </c>
      <c r="V279">
        <v>-26.623000000000001</v>
      </c>
      <c r="W279">
        <v>-35.523000000000003</v>
      </c>
    </row>
    <row r="280" spans="1:23">
      <c r="A280">
        <v>1850</v>
      </c>
      <c r="B280">
        <v>3.3170000000000002</v>
      </c>
      <c r="C280">
        <v>3.3170000000000002</v>
      </c>
      <c r="D280">
        <v>3.3170000000000002</v>
      </c>
      <c r="E280">
        <v>3.3170000000000002</v>
      </c>
      <c r="F280">
        <v>3.3170000000000002</v>
      </c>
      <c r="G280">
        <v>3.3170000000000002</v>
      </c>
      <c r="H280">
        <v>3.3170000000000002</v>
      </c>
      <c r="I280">
        <v>3.3170000000000002</v>
      </c>
      <c r="N280">
        <v>3700</v>
      </c>
      <c r="O280">
        <v>35.521999999999998</v>
      </c>
      <c r="P280">
        <v>26.623000000000001</v>
      </c>
      <c r="Q280">
        <v>17.739000000000001</v>
      </c>
      <c r="R280">
        <v>8.8670000000000009</v>
      </c>
      <c r="S280">
        <v>0</v>
      </c>
      <c r="T280">
        <v>-8.8680000000000003</v>
      </c>
      <c r="U280">
        <v>-17.739000000000001</v>
      </c>
      <c r="V280">
        <v>-26.625</v>
      </c>
      <c r="W280">
        <v>-35.523000000000003</v>
      </c>
    </row>
    <row r="281" spans="1:23">
      <c r="A281">
        <v>1900</v>
      </c>
      <c r="B281">
        <v>3.4049999999999998</v>
      </c>
      <c r="C281">
        <v>3.4049999999999998</v>
      </c>
      <c r="D281">
        <v>3.4049999999999998</v>
      </c>
      <c r="E281">
        <v>3.4049999999999998</v>
      </c>
      <c r="F281">
        <v>3.4049999999999998</v>
      </c>
      <c r="G281">
        <v>3.4049999999999998</v>
      </c>
      <c r="H281">
        <v>3.4049999999999998</v>
      </c>
      <c r="I281">
        <v>3.4049999999999998</v>
      </c>
      <c r="N281">
        <v>3800</v>
      </c>
      <c r="O281">
        <v>35.524000000000001</v>
      </c>
      <c r="P281">
        <v>26.626000000000001</v>
      </c>
      <c r="Q281">
        <v>17.739999999999998</v>
      </c>
      <c r="R281">
        <v>8.8670000000000009</v>
      </c>
      <c r="S281">
        <v>0</v>
      </c>
      <c r="T281">
        <v>-8.8659999999999997</v>
      </c>
      <c r="U281">
        <v>-17.739000000000001</v>
      </c>
      <c r="V281">
        <v>-26.622</v>
      </c>
      <c r="W281">
        <v>-35.521999999999998</v>
      </c>
    </row>
    <row r="282" spans="1:23">
      <c r="A282">
        <v>1950</v>
      </c>
      <c r="B282">
        <v>3.492</v>
      </c>
      <c r="C282">
        <v>3.4929999999999999</v>
      </c>
      <c r="D282">
        <v>3.4929999999999999</v>
      </c>
      <c r="E282">
        <v>3.4929999999999999</v>
      </c>
      <c r="F282">
        <v>3.4929999999999999</v>
      </c>
      <c r="G282">
        <v>3.4929999999999999</v>
      </c>
      <c r="H282">
        <v>3.4929999999999999</v>
      </c>
      <c r="I282">
        <v>3.4929999999999999</v>
      </c>
      <c r="N282">
        <v>3900</v>
      </c>
      <c r="O282">
        <v>35.523000000000003</v>
      </c>
      <c r="P282">
        <v>26.623999999999999</v>
      </c>
      <c r="Q282">
        <v>17.739999999999998</v>
      </c>
      <c r="R282">
        <v>8.8670000000000009</v>
      </c>
      <c r="S282">
        <v>0</v>
      </c>
      <c r="T282">
        <v>-8.8670000000000009</v>
      </c>
      <c r="U282">
        <v>-17.739999999999998</v>
      </c>
      <c r="V282">
        <v>-26.623000000000001</v>
      </c>
      <c r="W282">
        <v>-35.524000000000001</v>
      </c>
    </row>
    <row r="283" spans="1:23">
      <c r="A283">
        <v>2000</v>
      </c>
      <c r="B283">
        <v>3.58</v>
      </c>
      <c r="C283">
        <v>3.581</v>
      </c>
      <c r="D283">
        <v>3.581</v>
      </c>
      <c r="E283">
        <v>3.581</v>
      </c>
      <c r="F283">
        <v>3.581</v>
      </c>
      <c r="G283">
        <v>3.581</v>
      </c>
      <c r="H283">
        <v>3.581</v>
      </c>
      <c r="I283">
        <v>3.581</v>
      </c>
      <c r="N283">
        <v>4000</v>
      </c>
      <c r="O283">
        <v>35.524000000000001</v>
      </c>
      <c r="P283">
        <v>26.623999999999999</v>
      </c>
      <c r="Q283">
        <v>17.739999999999998</v>
      </c>
      <c r="R283">
        <v>8.8680000000000003</v>
      </c>
      <c r="S283">
        <v>0</v>
      </c>
      <c r="T283">
        <v>-8.8670000000000009</v>
      </c>
      <c r="U283">
        <v>-17.739000000000001</v>
      </c>
      <c r="V283">
        <v>-26.623000000000001</v>
      </c>
      <c r="W283">
        <v>-35.523000000000003</v>
      </c>
    </row>
    <row r="284" spans="1:23">
      <c r="A284">
        <v>2050</v>
      </c>
      <c r="B284">
        <v>3.6680000000000001</v>
      </c>
      <c r="C284">
        <v>3.6680000000000001</v>
      </c>
      <c r="D284">
        <v>3.669</v>
      </c>
      <c r="E284">
        <v>3.669</v>
      </c>
      <c r="F284">
        <v>3.669</v>
      </c>
      <c r="G284">
        <v>3.669</v>
      </c>
      <c r="H284">
        <v>3.669</v>
      </c>
      <c r="I284">
        <v>3.669</v>
      </c>
      <c r="N284">
        <v>4100</v>
      </c>
      <c r="O284">
        <v>35.524999999999999</v>
      </c>
      <c r="P284">
        <v>26.623000000000001</v>
      </c>
      <c r="Q284">
        <v>17.739000000000001</v>
      </c>
      <c r="R284">
        <v>8.8670000000000009</v>
      </c>
      <c r="S284">
        <v>0</v>
      </c>
      <c r="T284">
        <v>-8.8670000000000009</v>
      </c>
      <c r="U284">
        <v>-17.739000000000001</v>
      </c>
      <c r="V284">
        <v>-26.623000000000001</v>
      </c>
      <c r="W284">
        <v>-35.524000000000001</v>
      </c>
    </row>
    <row r="285" spans="1:23">
      <c r="A285">
        <v>2100</v>
      </c>
      <c r="B285">
        <v>3.7559999999999998</v>
      </c>
      <c r="C285">
        <v>3.7559999999999998</v>
      </c>
      <c r="D285">
        <v>3.7559999999999998</v>
      </c>
      <c r="E285">
        <v>3.7570000000000001</v>
      </c>
      <c r="F285">
        <v>3.7570000000000001</v>
      </c>
      <c r="G285">
        <v>3.7570000000000001</v>
      </c>
      <c r="H285">
        <v>3.7570000000000001</v>
      </c>
      <c r="I285">
        <v>3.7570000000000001</v>
      </c>
      <c r="N285">
        <v>4200</v>
      </c>
      <c r="O285">
        <v>35.523000000000003</v>
      </c>
      <c r="P285">
        <v>26.623999999999999</v>
      </c>
      <c r="Q285">
        <v>17.739999999999998</v>
      </c>
      <c r="R285">
        <v>8.8670000000000009</v>
      </c>
      <c r="S285">
        <v>0</v>
      </c>
      <c r="T285">
        <v>-8.8670000000000009</v>
      </c>
      <c r="U285">
        <v>-17.741</v>
      </c>
      <c r="V285">
        <v>-26.623000000000001</v>
      </c>
      <c r="W285">
        <v>-35.523000000000003</v>
      </c>
    </row>
    <row r="286" spans="1:23">
      <c r="A286">
        <v>2150</v>
      </c>
      <c r="B286">
        <v>3.8439999999999999</v>
      </c>
      <c r="C286">
        <v>3.8439999999999999</v>
      </c>
      <c r="D286">
        <v>3.8439999999999999</v>
      </c>
      <c r="E286">
        <v>3.8439999999999999</v>
      </c>
      <c r="F286">
        <v>3.8450000000000002</v>
      </c>
      <c r="G286">
        <v>3.8450000000000002</v>
      </c>
      <c r="H286">
        <v>3.8450000000000002</v>
      </c>
      <c r="I286">
        <v>3.8450000000000002</v>
      </c>
      <c r="N286">
        <v>4300</v>
      </c>
      <c r="O286">
        <v>35.523000000000003</v>
      </c>
      <c r="P286">
        <v>26.623000000000001</v>
      </c>
      <c r="Q286">
        <v>17.739999999999998</v>
      </c>
      <c r="R286">
        <v>8.8670000000000009</v>
      </c>
      <c r="S286">
        <v>0</v>
      </c>
      <c r="T286">
        <v>-8.8670000000000009</v>
      </c>
      <c r="U286">
        <v>-17.742000000000001</v>
      </c>
      <c r="V286">
        <v>-26.623000000000001</v>
      </c>
      <c r="W286">
        <v>-35.523000000000003</v>
      </c>
    </row>
    <row r="287" spans="1:23">
      <c r="A287">
        <v>2200</v>
      </c>
      <c r="B287">
        <v>3.9319999999999999</v>
      </c>
      <c r="C287">
        <v>3.9319999999999999</v>
      </c>
      <c r="D287">
        <v>3.9319999999999999</v>
      </c>
      <c r="E287">
        <v>3.9319999999999999</v>
      </c>
      <c r="F287">
        <v>3.9329999999999998</v>
      </c>
      <c r="G287">
        <v>3.9329999999999998</v>
      </c>
      <c r="H287">
        <v>3.9329999999999998</v>
      </c>
      <c r="I287">
        <v>3.9329999999999998</v>
      </c>
      <c r="N287">
        <v>4400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1:23">
      <c r="A288">
        <v>2250</v>
      </c>
      <c r="B288">
        <v>4.0199999999999996</v>
      </c>
      <c r="C288">
        <v>4.0199999999999996</v>
      </c>
      <c r="D288">
        <v>4.0199999999999996</v>
      </c>
      <c r="E288">
        <v>4.0199999999999996</v>
      </c>
      <c r="F288">
        <v>4.0199999999999996</v>
      </c>
      <c r="G288">
        <v>4.0209999999999999</v>
      </c>
      <c r="H288">
        <v>4.0209999999999999</v>
      </c>
      <c r="I288">
        <v>4.0209999999999999</v>
      </c>
      <c r="N288">
        <v>4500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</row>
    <row r="289" spans="1:23">
      <c r="A289">
        <v>2300</v>
      </c>
      <c r="B289">
        <v>4.1079999999999997</v>
      </c>
      <c r="C289">
        <v>4.1079999999999997</v>
      </c>
      <c r="D289">
        <v>4.1079999999999997</v>
      </c>
      <c r="E289">
        <v>4.1079999999999997</v>
      </c>
      <c r="F289">
        <v>4.1079999999999997</v>
      </c>
      <c r="G289">
        <v>4.1079999999999997</v>
      </c>
      <c r="H289">
        <v>4.109</v>
      </c>
      <c r="I289">
        <v>4.109</v>
      </c>
      <c r="N289">
        <v>5044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</row>
    <row r="290" spans="1:23">
      <c r="A290">
        <v>2350</v>
      </c>
      <c r="B290">
        <v>4.1959999999999997</v>
      </c>
      <c r="C290">
        <v>4.1959999999999997</v>
      </c>
      <c r="D290">
        <v>4.1959999999999997</v>
      </c>
      <c r="E290">
        <v>4.1959999999999997</v>
      </c>
      <c r="F290">
        <v>4.1959999999999997</v>
      </c>
      <c r="G290">
        <v>4.1959999999999997</v>
      </c>
      <c r="H290">
        <v>4.1970000000000001</v>
      </c>
      <c r="I290">
        <v>4.1970000000000001</v>
      </c>
    </row>
    <row r="291" spans="1:23">
      <c r="A291">
        <v>2400</v>
      </c>
      <c r="B291">
        <v>4.2839999999999998</v>
      </c>
      <c r="C291">
        <v>4.2839999999999998</v>
      </c>
      <c r="D291">
        <v>4.2839999999999998</v>
      </c>
      <c r="E291">
        <v>4.2839999999999998</v>
      </c>
      <c r="F291">
        <v>4.2839999999999998</v>
      </c>
      <c r="G291">
        <v>4.2839999999999998</v>
      </c>
      <c r="H291">
        <v>4.2839999999999998</v>
      </c>
      <c r="I291">
        <v>4.2850000000000001</v>
      </c>
    </row>
    <row r="292" spans="1:23">
      <c r="A292">
        <v>2450</v>
      </c>
      <c r="B292">
        <v>4.3719999999999999</v>
      </c>
      <c r="C292">
        <v>4.3719999999999999</v>
      </c>
      <c r="D292">
        <v>4.3719999999999999</v>
      </c>
      <c r="E292">
        <v>4.3719999999999999</v>
      </c>
      <c r="F292">
        <v>4.3719999999999999</v>
      </c>
      <c r="G292">
        <v>4.3719999999999999</v>
      </c>
      <c r="H292">
        <v>4.3719999999999999</v>
      </c>
      <c r="I292">
        <v>4.3730000000000002</v>
      </c>
    </row>
    <row r="293" spans="1:23">
      <c r="A293">
        <v>2500</v>
      </c>
      <c r="B293">
        <v>4.46</v>
      </c>
      <c r="C293">
        <v>4.46</v>
      </c>
      <c r="D293">
        <v>4.46</v>
      </c>
      <c r="E293">
        <v>4.46</v>
      </c>
      <c r="F293">
        <v>4.46</v>
      </c>
      <c r="G293">
        <v>4.46</v>
      </c>
      <c r="H293">
        <v>4.46</v>
      </c>
      <c r="I293">
        <v>4.46</v>
      </c>
    </row>
    <row r="294" spans="1:23">
      <c r="A294">
        <v>2550</v>
      </c>
      <c r="B294">
        <v>4.548</v>
      </c>
      <c r="C294">
        <v>4.548</v>
      </c>
      <c r="D294">
        <v>4.548</v>
      </c>
      <c r="E294">
        <v>4.548</v>
      </c>
      <c r="F294">
        <v>4.548</v>
      </c>
      <c r="G294">
        <v>4.548</v>
      </c>
      <c r="H294">
        <v>4.548</v>
      </c>
      <c r="I294">
        <v>4.548</v>
      </c>
    </row>
    <row r="295" spans="1:23">
      <c r="A295">
        <v>2600</v>
      </c>
      <c r="B295">
        <v>4.6360000000000001</v>
      </c>
      <c r="C295">
        <v>4.6360000000000001</v>
      </c>
      <c r="D295">
        <v>4.6360000000000001</v>
      </c>
      <c r="E295">
        <v>4.6360000000000001</v>
      </c>
      <c r="F295">
        <v>4.6360000000000001</v>
      </c>
      <c r="G295">
        <v>4.6360000000000001</v>
      </c>
      <c r="H295">
        <v>4.6360000000000001</v>
      </c>
      <c r="I295">
        <v>4.6360000000000001</v>
      </c>
    </row>
    <row r="296" spans="1:23">
      <c r="A296">
        <v>2650</v>
      </c>
      <c r="B296">
        <v>4.7229999999999999</v>
      </c>
      <c r="C296">
        <v>4.7240000000000002</v>
      </c>
      <c r="D296">
        <v>4.7240000000000002</v>
      </c>
      <c r="E296">
        <v>4.7240000000000002</v>
      </c>
      <c r="F296">
        <v>4.7240000000000002</v>
      </c>
      <c r="G296">
        <v>4.7240000000000002</v>
      </c>
      <c r="H296">
        <v>4.7240000000000002</v>
      </c>
      <c r="I296">
        <v>4.7240000000000002</v>
      </c>
    </row>
    <row r="297" spans="1:23">
      <c r="A297">
        <v>2700</v>
      </c>
      <c r="B297">
        <v>4.8109999999999999</v>
      </c>
      <c r="C297">
        <v>4.8120000000000003</v>
      </c>
      <c r="D297">
        <v>4.8120000000000003</v>
      </c>
      <c r="E297">
        <v>4.8120000000000003</v>
      </c>
      <c r="F297">
        <v>4.8120000000000003</v>
      </c>
      <c r="G297">
        <v>4.8120000000000003</v>
      </c>
      <c r="H297">
        <v>4.8120000000000003</v>
      </c>
      <c r="I297">
        <v>4.8120000000000003</v>
      </c>
    </row>
    <row r="298" spans="1:23">
      <c r="A298">
        <v>2750</v>
      </c>
      <c r="B298">
        <v>4.899</v>
      </c>
      <c r="C298">
        <v>4.9000000000000004</v>
      </c>
      <c r="D298">
        <v>4.9000000000000004</v>
      </c>
      <c r="E298">
        <v>4.9000000000000004</v>
      </c>
      <c r="F298">
        <v>4.9000000000000004</v>
      </c>
      <c r="G298">
        <v>4.9000000000000004</v>
      </c>
      <c r="H298">
        <v>4.9000000000000004</v>
      </c>
      <c r="I298">
        <v>4.9000000000000004</v>
      </c>
    </row>
    <row r="299" spans="1:23">
      <c r="A299">
        <v>2800</v>
      </c>
      <c r="B299">
        <v>4.9870000000000001</v>
      </c>
      <c r="C299">
        <v>4.9870000000000001</v>
      </c>
      <c r="D299">
        <v>4.9880000000000004</v>
      </c>
      <c r="E299">
        <v>4.9880000000000004</v>
      </c>
      <c r="F299">
        <v>4.9880000000000004</v>
      </c>
      <c r="G299">
        <v>4.9880000000000004</v>
      </c>
      <c r="H299">
        <v>4.9880000000000004</v>
      </c>
      <c r="I299">
        <v>4.9880000000000004</v>
      </c>
    </row>
    <row r="300" spans="1:23">
      <c r="A300">
        <v>2850</v>
      </c>
      <c r="B300">
        <v>5.0750000000000002</v>
      </c>
      <c r="C300">
        <v>5.0750000000000002</v>
      </c>
      <c r="D300">
        <v>5.0750000000000002</v>
      </c>
      <c r="E300">
        <v>5.0759999999999996</v>
      </c>
      <c r="F300">
        <v>5.0759999999999996</v>
      </c>
      <c r="G300">
        <v>5.0759999999999996</v>
      </c>
      <c r="H300">
        <v>5.0759999999999996</v>
      </c>
      <c r="I300">
        <v>5.0759999999999996</v>
      </c>
    </row>
    <row r="301" spans="1:23">
      <c r="A301">
        <v>2900</v>
      </c>
      <c r="B301">
        <v>5.1630000000000003</v>
      </c>
      <c r="C301">
        <v>5.1630000000000003</v>
      </c>
      <c r="D301">
        <v>5.1630000000000003</v>
      </c>
      <c r="E301">
        <v>5.1630000000000003</v>
      </c>
      <c r="F301">
        <v>5.1639999999999997</v>
      </c>
      <c r="G301">
        <v>5.1639999999999997</v>
      </c>
      <c r="H301">
        <v>5.1639999999999997</v>
      </c>
      <c r="I301">
        <v>5.1639999999999997</v>
      </c>
    </row>
    <row r="302" spans="1:23">
      <c r="A302">
        <v>2950</v>
      </c>
      <c r="B302">
        <v>5.2510000000000003</v>
      </c>
      <c r="C302">
        <v>5.2510000000000003</v>
      </c>
      <c r="D302">
        <v>5.2510000000000003</v>
      </c>
      <c r="E302">
        <v>5.2510000000000003</v>
      </c>
      <c r="F302">
        <v>5.2510000000000003</v>
      </c>
      <c r="G302">
        <v>5.2519999999999998</v>
      </c>
      <c r="H302">
        <v>5.2519999999999998</v>
      </c>
      <c r="I302">
        <v>5.2519999999999998</v>
      </c>
    </row>
    <row r="303" spans="1:23">
      <c r="A303">
        <v>3000</v>
      </c>
      <c r="B303">
        <v>5.3390000000000004</v>
      </c>
      <c r="C303">
        <v>5.3390000000000004</v>
      </c>
      <c r="D303">
        <v>5.3390000000000004</v>
      </c>
      <c r="E303">
        <v>5.3390000000000004</v>
      </c>
      <c r="F303">
        <v>5.3390000000000004</v>
      </c>
      <c r="G303">
        <v>5.3390000000000004</v>
      </c>
      <c r="H303">
        <v>5.34</v>
      </c>
      <c r="I303">
        <v>5.34</v>
      </c>
    </row>
    <row r="304" spans="1:23">
      <c r="A304">
        <v>3050</v>
      </c>
      <c r="B304">
        <v>5.4269999999999996</v>
      </c>
      <c r="C304">
        <v>5.4269999999999996</v>
      </c>
      <c r="D304">
        <v>5.4269999999999996</v>
      </c>
      <c r="E304">
        <v>5.4269999999999996</v>
      </c>
      <c r="F304">
        <v>5.4269999999999996</v>
      </c>
      <c r="G304">
        <v>5.4269999999999996</v>
      </c>
      <c r="H304">
        <v>5.4279999999999999</v>
      </c>
      <c r="I304">
        <v>5.4279999999999999</v>
      </c>
    </row>
    <row r="305" spans="1:9">
      <c r="A305">
        <v>3100</v>
      </c>
      <c r="B305">
        <v>5.5149999999999997</v>
      </c>
      <c r="C305">
        <v>5.5149999999999997</v>
      </c>
      <c r="D305">
        <v>5.5149999999999997</v>
      </c>
      <c r="E305">
        <v>5.5149999999999997</v>
      </c>
      <c r="F305">
        <v>5.5149999999999997</v>
      </c>
      <c r="G305">
        <v>5.5149999999999997</v>
      </c>
      <c r="H305">
        <v>5.5149999999999997</v>
      </c>
      <c r="I305">
        <v>5.516</v>
      </c>
    </row>
    <row r="306" spans="1:9">
      <c r="A306">
        <v>3150</v>
      </c>
      <c r="B306">
        <v>5.6029999999999998</v>
      </c>
      <c r="C306">
        <v>5.6029999999999998</v>
      </c>
      <c r="D306">
        <v>5.6029999999999998</v>
      </c>
      <c r="E306">
        <v>5.6029999999999998</v>
      </c>
      <c r="F306">
        <v>5.6029999999999998</v>
      </c>
      <c r="G306">
        <v>5.6029999999999998</v>
      </c>
      <c r="H306">
        <v>5.6029999999999998</v>
      </c>
      <c r="I306">
        <v>5.6040000000000001</v>
      </c>
    </row>
    <row r="307" spans="1:9">
      <c r="A307">
        <v>3200</v>
      </c>
      <c r="B307">
        <v>5.6909999999999998</v>
      </c>
      <c r="C307">
        <v>5.6909999999999998</v>
      </c>
      <c r="D307">
        <v>5.6909999999999998</v>
      </c>
      <c r="E307">
        <v>5.6909999999999998</v>
      </c>
      <c r="F307">
        <v>5.6909999999999998</v>
      </c>
      <c r="G307">
        <v>5.6909999999999998</v>
      </c>
      <c r="H307">
        <v>5.6909999999999998</v>
      </c>
      <c r="I307">
        <v>5.6920000000000002</v>
      </c>
    </row>
    <row r="308" spans="1:9">
      <c r="A308">
        <v>3250</v>
      </c>
      <c r="B308">
        <v>5.7789999999999999</v>
      </c>
      <c r="C308">
        <v>5.7789999999999999</v>
      </c>
      <c r="D308">
        <v>5.7789999999999999</v>
      </c>
      <c r="E308">
        <v>5.7789999999999999</v>
      </c>
      <c r="F308">
        <v>5.7789999999999999</v>
      </c>
      <c r="G308">
        <v>5.7789999999999999</v>
      </c>
      <c r="H308">
        <v>5.7789999999999999</v>
      </c>
      <c r="I308">
        <v>5.7789999999999999</v>
      </c>
    </row>
    <row r="309" spans="1:9">
      <c r="A309">
        <v>3300</v>
      </c>
      <c r="B309">
        <v>5.867</v>
      </c>
      <c r="C309">
        <v>5.867</v>
      </c>
      <c r="D309">
        <v>5.867</v>
      </c>
      <c r="E309">
        <v>5.867</v>
      </c>
      <c r="F309">
        <v>5.867</v>
      </c>
      <c r="G309">
        <v>5.867</v>
      </c>
      <c r="H309">
        <v>5.867</v>
      </c>
      <c r="I309">
        <v>5.867</v>
      </c>
    </row>
    <row r="310" spans="1:9">
      <c r="A310">
        <v>3350</v>
      </c>
      <c r="B310">
        <v>5.9550000000000001</v>
      </c>
      <c r="C310">
        <v>5.9550000000000001</v>
      </c>
      <c r="D310">
        <v>5.9550000000000001</v>
      </c>
      <c r="E310">
        <v>5.9550000000000001</v>
      </c>
      <c r="F310">
        <v>5.9550000000000001</v>
      </c>
      <c r="G310">
        <v>5.9550000000000001</v>
      </c>
      <c r="H310">
        <v>5.9550000000000001</v>
      </c>
      <c r="I310">
        <v>5.9550000000000001</v>
      </c>
    </row>
    <row r="311" spans="1:9">
      <c r="A311">
        <v>3400</v>
      </c>
      <c r="B311">
        <v>6.0419999999999998</v>
      </c>
      <c r="C311">
        <v>6.0430000000000001</v>
      </c>
      <c r="D311">
        <v>6.0430000000000001</v>
      </c>
      <c r="E311">
        <v>6.0430000000000001</v>
      </c>
      <c r="F311">
        <v>6.0430000000000001</v>
      </c>
      <c r="G311">
        <v>6.0430000000000001</v>
      </c>
      <c r="H311">
        <v>6.0430000000000001</v>
      </c>
      <c r="I311">
        <v>6.0430000000000001</v>
      </c>
    </row>
    <row r="312" spans="1:9">
      <c r="A312">
        <v>3450</v>
      </c>
      <c r="B312">
        <v>6.13</v>
      </c>
      <c r="C312">
        <v>6.1310000000000002</v>
      </c>
      <c r="D312">
        <v>6.1310000000000002</v>
      </c>
      <c r="E312">
        <v>6.1310000000000002</v>
      </c>
      <c r="F312">
        <v>6.1310000000000002</v>
      </c>
      <c r="G312">
        <v>6.1310000000000002</v>
      </c>
      <c r="H312">
        <v>6.1310000000000002</v>
      </c>
      <c r="I312">
        <v>6.1310000000000002</v>
      </c>
    </row>
    <row r="313" spans="1:9">
      <c r="A313">
        <v>3500</v>
      </c>
      <c r="B313">
        <v>6.218</v>
      </c>
      <c r="C313">
        <v>6.218</v>
      </c>
      <c r="D313">
        <v>6.2190000000000003</v>
      </c>
      <c r="E313">
        <v>6.2190000000000003</v>
      </c>
      <c r="F313">
        <v>6.2190000000000003</v>
      </c>
      <c r="G313">
        <v>6.2190000000000003</v>
      </c>
      <c r="H313">
        <v>6.2190000000000003</v>
      </c>
      <c r="I313">
        <v>6.2190000000000003</v>
      </c>
    </row>
    <row r="314" spans="1:9">
      <c r="A314">
        <v>3550</v>
      </c>
      <c r="B314">
        <v>6.306</v>
      </c>
      <c r="C314">
        <v>6.306</v>
      </c>
      <c r="D314">
        <v>6.306</v>
      </c>
      <c r="E314">
        <v>6.3070000000000004</v>
      </c>
      <c r="F314">
        <v>6.3070000000000004</v>
      </c>
      <c r="G314">
        <v>6.3070000000000004</v>
      </c>
      <c r="H314">
        <v>6.3070000000000004</v>
      </c>
      <c r="I314">
        <v>6.3070000000000004</v>
      </c>
    </row>
    <row r="315" spans="1:9">
      <c r="A315">
        <v>3600</v>
      </c>
      <c r="B315">
        <v>6.3940000000000001</v>
      </c>
      <c r="C315">
        <v>6.3940000000000001</v>
      </c>
      <c r="D315">
        <v>6.3940000000000001</v>
      </c>
      <c r="E315">
        <v>6.3940000000000001</v>
      </c>
      <c r="F315">
        <v>6.3949999999999996</v>
      </c>
      <c r="G315">
        <v>6.3949999999999996</v>
      </c>
      <c r="H315">
        <v>6.3949999999999996</v>
      </c>
      <c r="I315">
        <v>6.3949999999999996</v>
      </c>
    </row>
    <row r="316" spans="1:9">
      <c r="A316">
        <v>3650</v>
      </c>
      <c r="B316">
        <v>6.4820000000000002</v>
      </c>
      <c r="C316">
        <v>6.4820000000000002</v>
      </c>
      <c r="D316">
        <v>6.4820000000000002</v>
      </c>
      <c r="E316">
        <v>6.4820000000000002</v>
      </c>
      <c r="F316">
        <v>6.4820000000000002</v>
      </c>
      <c r="G316">
        <v>6.4829999999999997</v>
      </c>
      <c r="H316">
        <v>6.4829999999999997</v>
      </c>
      <c r="I316">
        <v>6.4829999999999997</v>
      </c>
    </row>
    <row r="317" spans="1:9">
      <c r="A317">
        <v>3700</v>
      </c>
      <c r="B317">
        <v>6.57</v>
      </c>
      <c r="C317">
        <v>6.57</v>
      </c>
      <c r="D317">
        <v>6.57</v>
      </c>
      <c r="E317">
        <v>6.57</v>
      </c>
      <c r="F317">
        <v>6.57</v>
      </c>
      <c r="G317">
        <v>6.57</v>
      </c>
      <c r="H317">
        <v>6.5709999999999997</v>
      </c>
      <c r="I317">
        <v>6.5709999999999997</v>
      </c>
    </row>
    <row r="318" spans="1:9">
      <c r="A318">
        <v>3750</v>
      </c>
      <c r="B318">
        <v>6.6580000000000004</v>
      </c>
      <c r="C318">
        <v>6.6580000000000004</v>
      </c>
      <c r="D318">
        <v>6.6580000000000004</v>
      </c>
      <c r="E318">
        <v>6.6580000000000004</v>
      </c>
      <c r="F318">
        <v>6.6580000000000004</v>
      </c>
      <c r="G318">
        <v>6.6580000000000004</v>
      </c>
      <c r="H318">
        <v>6.6589999999999998</v>
      </c>
      <c r="I318">
        <v>6.6589999999999998</v>
      </c>
    </row>
    <row r="319" spans="1:9">
      <c r="A319">
        <v>3800</v>
      </c>
      <c r="B319">
        <v>6.7460000000000004</v>
      </c>
      <c r="C319">
        <v>6.7460000000000004</v>
      </c>
      <c r="D319">
        <v>6.7460000000000004</v>
      </c>
      <c r="E319">
        <v>6.7460000000000004</v>
      </c>
      <c r="F319">
        <v>6.7460000000000004</v>
      </c>
      <c r="G319">
        <v>6.7460000000000004</v>
      </c>
      <c r="H319">
        <v>6.7469999999999999</v>
      </c>
      <c r="I319">
        <v>6.7469999999999999</v>
      </c>
    </row>
    <row r="320" spans="1:9">
      <c r="A320">
        <v>3850</v>
      </c>
      <c r="B320">
        <v>6.8339999999999996</v>
      </c>
      <c r="C320">
        <v>6.8339999999999996</v>
      </c>
      <c r="D320">
        <v>6.8339999999999996</v>
      </c>
      <c r="E320">
        <v>6.8339999999999996</v>
      </c>
      <c r="F320">
        <v>6.8339999999999996</v>
      </c>
      <c r="G320">
        <v>6.8339999999999996</v>
      </c>
      <c r="H320">
        <v>6.8339999999999996</v>
      </c>
      <c r="I320">
        <v>6.835</v>
      </c>
    </row>
    <row r="321" spans="1:9">
      <c r="A321">
        <v>3900</v>
      </c>
      <c r="B321">
        <v>6.9219999999999997</v>
      </c>
      <c r="C321">
        <v>6.9219999999999997</v>
      </c>
      <c r="D321">
        <v>6.9219999999999997</v>
      </c>
      <c r="E321">
        <v>6.9219999999999997</v>
      </c>
      <c r="F321">
        <v>6.9219999999999997</v>
      </c>
      <c r="G321">
        <v>6.9219999999999997</v>
      </c>
      <c r="H321">
        <v>6.9219999999999997</v>
      </c>
      <c r="I321">
        <v>6.923</v>
      </c>
    </row>
    <row r="322" spans="1:9">
      <c r="A322">
        <v>3950</v>
      </c>
      <c r="B322">
        <v>7.01</v>
      </c>
      <c r="C322">
        <v>7.01</v>
      </c>
      <c r="D322">
        <v>7.01</v>
      </c>
      <c r="E322">
        <v>7.01</v>
      </c>
      <c r="F322">
        <v>7.01</v>
      </c>
      <c r="G322">
        <v>7.01</v>
      </c>
      <c r="H322">
        <v>7.01</v>
      </c>
      <c r="I322">
        <v>7.01</v>
      </c>
    </row>
    <row r="323" spans="1:9">
      <c r="A323">
        <v>4000</v>
      </c>
      <c r="B323">
        <v>7.0979999999999999</v>
      </c>
      <c r="C323">
        <v>7.0979999999999999</v>
      </c>
      <c r="D323">
        <v>7.0979999999999999</v>
      </c>
      <c r="E323">
        <v>7.0979999999999999</v>
      </c>
      <c r="F323">
        <v>7.0979999999999999</v>
      </c>
      <c r="G323">
        <v>7.0979999999999999</v>
      </c>
      <c r="H323">
        <v>7.0979999999999999</v>
      </c>
      <c r="I323">
        <v>7.0979999999999999</v>
      </c>
    </row>
    <row r="324" spans="1:9">
      <c r="A324">
        <v>4050</v>
      </c>
      <c r="B324">
        <v>7.1859999999999999</v>
      </c>
      <c r="C324">
        <v>7.1859999999999999</v>
      </c>
      <c r="D324">
        <v>7.1859999999999999</v>
      </c>
      <c r="E324">
        <v>7.1859999999999999</v>
      </c>
      <c r="F324">
        <v>7.1859999999999999</v>
      </c>
      <c r="G324">
        <v>7.1859999999999999</v>
      </c>
      <c r="H324">
        <v>7.1859999999999999</v>
      </c>
      <c r="I324">
        <v>7.1859999999999999</v>
      </c>
    </row>
    <row r="325" spans="1:9">
      <c r="A325">
        <v>4100</v>
      </c>
      <c r="B325">
        <v>7.2729999999999997</v>
      </c>
      <c r="C325">
        <v>7.274</v>
      </c>
      <c r="D325">
        <v>7.274</v>
      </c>
      <c r="E325">
        <v>7.274</v>
      </c>
      <c r="F325">
        <v>7.274</v>
      </c>
      <c r="G325">
        <v>7.274</v>
      </c>
      <c r="H325">
        <v>7.274</v>
      </c>
      <c r="I325">
        <v>7.274</v>
      </c>
    </row>
    <row r="326" spans="1:9">
      <c r="A326">
        <v>4150</v>
      </c>
      <c r="B326">
        <v>7.3609999999999998</v>
      </c>
      <c r="C326">
        <v>7.3620000000000001</v>
      </c>
      <c r="D326">
        <v>7.3620000000000001</v>
      </c>
      <c r="E326">
        <v>7.3620000000000001</v>
      </c>
      <c r="F326">
        <v>7.3620000000000001</v>
      </c>
      <c r="G326">
        <v>7.3620000000000001</v>
      </c>
      <c r="H326">
        <v>7.3620000000000001</v>
      </c>
      <c r="I326">
        <v>7.3620000000000001</v>
      </c>
    </row>
    <row r="327" spans="1:9">
      <c r="A327">
        <v>4200</v>
      </c>
      <c r="B327">
        <v>7.4489999999999998</v>
      </c>
      <c r="C327">
        <v>7.4489999999999998</v>
      </c>
      <c r="D327">
        <v>7.45</v>
      </c>
      <c r="E327">
        <v>7.45</v>
      </c>
      <c r="F327">
        <v>7.45</v>
      </c>
      <c r="G327">
        <v>7.45</v>
      </c>
      <c r="H327">
        <v>7.45</v>
      </c>
      <c r="I327">
        <v>7.45</v>
      </c>
    </row>
    <row r="328" spans="1:9">
      <c r="A328">
        <v>4250</v>
      </c>
      <c r="B328">
        <v>7.5369999999999999</v>
      </c>
      <c r="C328">
        <v>7.5369999999999999</v>
      </c>
      <c r="D328">
        <v>7.5380000000000003</v>
      </c>
      <c r="E328">
        <v>7.5380000000000003</v>
      </c>
      <c r="F328">
        <v>7.5380000000000003</v>
      </c>
      <c r="G328">
        <v>7.5380000000000003</v>
      </c>
      <c r="H328">
        <v>7.5380000000000003</v>
      </c>
      <c r="I328">
        <v>7.5380000000000003</v>
      </c>
    </row>
    <row r="329" spans="1:9">
      <c r="A329">
        <v>4300</v>
      </c>
      <c r="B329">
        <v>7.625</v>
      </c>
      <c r="C329">
        <v>7.625</v>
      </c>
      <c r="D329">
        <v>7.625</v>
      </c>
      <c r="E329">
        <v>7.6260000000000003</v>
      </c>
      <c r="F329">
        <v>7.6260000000000003</v>
      </c>
      <c r="G329">
        <v>7.6260000000000003</v>
      </c>
      <c r="H329">
        <v>7.6260000000000003</v>
      </c>
      <c r="I329">
        <v>7.6260000000000003</v>
      </c>
    </row>
    <row r="330" spans="1:9">
      <c r="A330">
        <v>4350</v>
      </c>
      <c r="B330">
        <v>7.7130000000000001</v>
      </c>
      <c r="C330">
        <v>7.7130000000000001</v>
      </c>
      <c r="D330">
        <v>7.7130000000000001</v>
      </c>
      <c r="E330">
        <v>7.7130000000000001</v>
      </c>
      <c r="F330">
        <v>7.7140000000000004</v>
      </c>
      <c r="G330">
        <v>7.7140000000000004</v>
      </c>
      <c r="H330">
        <v>7.7140000000000004</v>
      </c>
      <c r="I330">
        <v>7.7140000000000004</v>
      </c>
    </row>
    <row r="331" spans="1:9">
      <c r="A331">
        <v>4400</v>
      </c>
      <c r="B331">
        <v>7.8010000000000002</v>
      </c>
      <c r="C331">
        <v>7.8010000000000002</v>
      </c>
      <c r="D331">
        <v>7.8010000000000002</v>
      </c>
      <c r="E331">
        <v>7.8010000000000002</v>
      </c>
      <c r="F331">
        <v>7.8010000000000002</v>
      </c>
      <c r="G331">
        <v>7.8019999999999996</v>
      </c>
      <c r="H331">
        <v>7.8019999999999996</v>
      </c>
      <c r="I331">
        <v>7.8019999999999996</v>
      </c>
    </row>
    <row r="332" spans="1:9">
      <c r="A332">
        <v>4450</v>
      </c>
      <c r="B332">
        <v>7.8890000000000002</v>
      </c>
      <c r="C332">
        <v>7.8890000000000002</v>
      </c>
      <c r="D332">
        <v>7.8890000000000002</v>
      </c>
      <c r="E332">
        <v>7.8890000000000002</v>
      </c>
      <c r="F332">
        <v>7.8890000000000002</v>
      </c>
      <c r="G332">
        <v>7.8890000000000002</v>
      </c>
      <c r="H332">
        <v>7.89</v>
      </c>
      <c r="I332">
        <v>7.89</v>
      </c>
    </row>
    <row r="333" spans="1:9">
      <c r="A333">
        <v>4500</v>
      </c>
      <c r="B333">
        <v>7.9139999999999997</v>
      </c>
      <c r="C333">
        <v>7.9139999999999997</v>
      </c>
      <c r="D333">
        <v>7.9139999999999997</v>
      </c>
      <c r="E333">
        <v>7.9139999999999997</v>
      </c>
      <c r="F333">
        <v>7.9139999999999997</v>
      </c>
      <c r="G333">
        <v>7.9139999999999997</v>
      </c>
      <c r="H333">
        <v>7.9139999999999997</v>
      </c>
      <c r="I333">
        <v>7.9139999999999997</v>
      </c>
    </row>
    <row r="334" spans="1:9">
      <c r="A334">
        <v>5044</v>
      </c>
      <c r="B334">
        <v>7.9139999999999997</v>
      </c>
      <c r="C334">
        <v>7.9139999999999997</v>
      </c>
      <c r="D334">
        <v>7.9139999999999997</v>
      </c>
      <c r="E334">
        <v>7.9139999999999997</v>
      </c>
      <c r="F334">
        <v>7.9139999999999997</v>
      </c>
      <c r="G334">
        <v>7.9139999999999997</v>
      </c>
      <c r="H334">
        <v>7.9139999999999997</v>
      </c>
      <c r="I334">
        <v>7.9139999999999997</v>
      </c>
    </row>
    <row r="335" spans="1:9" hidden="1"/>
    <row r="336" spans="1:9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spans="1:1" hidden="1"/>
    <row r="450" spans="1:1" hidden="1"/>
    <row r="451" spans="1:1" hidden="1"/>
    <row r="452" spans="1:1" hidden="1"/>
    <row r="453" spans="1:1" hidden="1"/>
    <row r="454" spans="1:1" hidden="1"/>
    <row r="455" spans="1:1" hidden="1"/>
    <row r="456" spans="1:1" hidden="1"/>
    <row r="457" spans="1:1" hidden="1"/>
    <row r="458" spans="1:1" hidden="1"/>
    <row r="459" spans="1:1" hidden="1"/>
    <row r="460" spans="1:1" hidden="1"/>
    <row r="461" spans="1:1" hidden="1"/>
    <row r="462" spans="1:1" hidden="1"/>
    <row r="464" spans="1:1">
      <c r="A464" t="s">
        <v>243</v>
      </c>
    </row>
    <row r="465" spans="1:30">
      <c r="A465" t="s">
        <v>234</v>
      </c>
    </row>
    <row r="466" spans="1:30">
      <c r="A466" t="s">
        <v>235</v>
      </c>
    </row>
    <row r="467" spans="1:30">
      <c r="A467" t="s">
        <v>236</v>
      </c>
    </row>
    <row r="468" spans="1:30">
      <c r="A468" t="s">
        <v>237</v>
      </c>
    </row>
    <row r="469" spans="1:30">
      <c r="A469" t="s">
        <v>244</v>
      </c>
    </row>
    <row r="471" spans="1:30">
      <c r="A471" t="s">
        <v>245</v>
      </c>
    </row>
    <row r="472" spans="1:30">
      <c r="A472" t="s">
        <v>230</v>
      </c>
      <c r="B472">
        <v>-1</v>
      </c>
      <c r="C472">
        <v>0</v>
      </c>
      <c r="D472">
        <v>0.5</v>
      </c>
      <c r="E472">
        <v>1</v>
      </c>
      <c r="F472">
        <v>1.5</v>
      </c>
      <c r="G472">
        <v>2</v>
      </c>
      <c r="H472">
        <v>3</v>
      </c>
      <c r="I472">
        <v>4</v>
      </c>
      <c r="M472" t="s">
        <v>35</v>
      </c>
      <c r="N472" t="s">
        <v>230</v>
      </c>
      <c r="O472">
        <v>-4</v>
      </c>
      <c r="P472">
        <v>-3</v>
      </c>
      <c r="Q472">
        <v>-2</v>
      </c>
      <c r="R472">
        <v>-1</v>
      </c>
      <c r="S472">
        <v>0</v>
      </c>
      <c r="T472">
        <v>1</v>
      </c>
      <c r="U472">
        <v>2</v>
      </c>
      <c r="V472">
        <v>3</v>
      </c>
      <c r="W472">
        <v>4</v>
      </c>
      <c r="X472" s="11" t="s">
        <v>231</v>
      </c>
      <c r="AA472" s="1">
        <v>1</v>
      </c>
      <c r="AB472" s="274">
        <v>1250</v>
      </c>
      <c r="AC472" s="186">
        <f>IF((AB472+AB475)&lt;0,AB472,AB472+AB475)</f>
        <v>1247.3800000000001</v>
      </c>
      <c r="AD472" s="42">
        <f>IF(AD474=AD473,AD473,Interp1(AC473:AC474,AD473:AD474,AC472))</f>
        <v>7.2789999999999999</v>
      </c>
    </row>
    <row r="473" spans="1:30">
      <c r="A473">
        <v>0</v>
      </c>
      <c r="B473">
        <v>0.29599999999999999</v>
      </c>
      <c r="C473">
        <v>0.26400000000000001</v>
      </c>
      <c r="D473">
        <v>0.249</v>
      </c>
      <c r="E473">
        <v>0.23300000000000001</v>
      </c>
      <c r="F473">
        <v>0.217</v>
      </c>
      <c r="G473">
        <v>0.20100000000000001</v>
      </c>
      <c r="H473">
        <v>0.16900000000000001</v>
      </c>
      <c r="I473">
        <v>0.13800000000000001</v>
      </c>
      <c r="N473">
        <v>0</v>
      </c>
      <c r="O473">
        <v>10.579000000000001</v>
      </c>
      <c r="P473">
        <v>7.8609999999999998</v>
      </c>
      <c r="Q473">
        <v>5.2380000000000004</v>
      </c>
      <c r="R473">
        <v>2.6179999999999999</v>
      </c>
      <c r="S473">
        <v>0</v>
      </c>
      <c r="T473">
        <v>0</v>
      </c>
      <c r="U473">
        <v>0</v>
      </c>
      <c r="V473">
        <v>0</v>
      </c>
      <c r="W473">
        <v>0</v>
      </c>
      <c r="AA473" s="1">
        <f>FLOOR(AB472,incOil2)</f>
        <v>1200</v>
      </c>
      <c r="AB473" s="1">
        <f>Interp2(Oil3Heel1,Oil3Heel2,Oil3Heel3,AA473,AA472)</f>
        <v>-2.617</v>
      </c>
      <c r="AC473" s="1">
        <f>FLOOR(AC472,incOil1)</f>
        <v>1200</v>
      </c>
      <c r="AD473" s="42">
        <f>IF(AB478=AB477,AB477,Interp1(AA477:AA478,AB477:AB478,AA476))</f>
        <v>7.0129999999999999</v>
      </c>
    </row>
    <row r="474" spans="1:30">
      <c r="A474">
        <v>50</v>
      </c>
      <c r="B474">
        <v>0.57799999999999996</v>
      </c>
      <c r="C474">
        <v>0.54600000000000004</v>
      </c>
      <c r="D474">
        <v>0.53</v>
      </c>
      <c r="E474">
        <v>0.51400000000000001</v>
      </c>
      <c r="F474">
        <v>0.498</v>
      </c>
      <c r="G474">
        <v>0.48199999999999998</v>
      </c>
      <c r="H474">
        <v>0.45100000000000001</v>
      </c>
      <c r="I474">
        <v>0.41899999999999998</v>
      </c>
      <c r="N474">
        <v>100</v>
      </c>
      <c r="O474">
        <v>10.489000000000001</v>
      </c>
      <c r="P474">
        <v>7.8609999999999998</v>
      </c>
      <c r="Q474">
        <v>5.2380000000000004</v>
      </c>
      <c r="R474">
        <v>2.6179999999999999</v>
      </c>
      <c r="S474">
        <v>0</v>
      </c>
      <c r="T474">
        <v>-2.6179999999999999</v>
      </c>
      <c r="U474">
        <v>-5.2370000000000001</v>
      </c>
      <c r="V474">
        <v>-7.8620000000000001</v>
      </c>
      <c r="W474">
        <v>-10.489000000000001</v>
      </c>
      <c r="AA474" s="1">
        <f>IF(AA473=OilSound3,AA473,CEILING(AB472,incOil2))</f>
        <v>1300</v>
      </c>
      <c r="AB474" s="1">
        <f>Interp2(Oil3Heel1,Oil3Heel2,Oil3Heel3,AA474,AA472)</f>
        <v>-2.6190000000000002</v>
      </c>
      <c r="AC474" s="1">
        <f>CEILING(AC472,incOil1)</f>
        <v>1250</v>
      </c>
      <c r="AD474" s="42">
        <f>IF(AC478=AC477,AC477,Interp1(AA477:AA478,AC477:AC478,AA476))</f>
        <v>7.2939999999999996</v>
      </c>
    </row>
    <row r="475" spans="1:30">
      <c r="A475">
        <v>100</v>
      </c>
      <c r="B475">
        <v>0.85899999999999999</v>
      </c>
      <c r="C475">
        <v>0.82699999999999996</v>
      </c>
      <c r="D475">
        <v>0.81100000000000005</v>
      </c>
      <c r="E475">
        <v>0.79600000000000004</v>
      </c>
      <c r="F475">
        <v>0.78</v>
      </c>
      <c r="G475">
        <v>0.76400000000000001</v>
      </c>
      <c r="H475">
        <v>0.73199999999999998</v>
      </c>
      <c r="I475">
        <v>0.7</v>
      </c>
      <c r="N475">
        <v>200</v>
      </c>
      <c r="O475">
        <v>10.489000000000001</v>
      </c>
      <c r="P475">
        <v>7.8620000000000001</v>
      </c>
      <c r="Q475">
        <v>5.2380000000000004</v>
      </c>
      <c r="R475">
        <v>2.6179999999999999</v>
      </c>
      <c r="S475">
        <v>0</v>
      </c>
      <c r="T475">
        <v>-2.6179999999999999</v>
      </c>
      <c r="U475">
        <v>-5.2370000000000001</v>
      </c>
      <c r="V475">
        <v>-7.8609999999999998</v>
      </c>
      <c r="W475">
        <v>-10.489000000000001</v>
      </c>
      <c r="AA475" s="1"/>
      <c r="AB475" s="1">
        <f>IF(AB474=AB473,AB473,Interp1(AA473:AA474,AB473:AB474,AB472))</f>
        <v>-2.6179999999999999</v>
      </c>
      <c r="AC475" s="1"/>
      <c r="AD475" s="42"/>
    </row>
    <row r="476" spans="1:30">
      <c r="A476">
        <v>150</v>
      </c>
      <c r="B476">
        <v>1.1399999999999999</v>
      </c>
      <c r="C476">
        <v>1.109</v>
      </c>
      <c r="D476">
        <v>1.093</v>
      </c>
      <c r="E476">
        <v>1.077</v>
      </c>
      <c r="F476">
        <v>1.0609999999999999</v>
      </c>
      <c r="G476">
        <v>1.0449999999999999</v>
      </c>
      <c r="H476">
        <v>1.014</v>
      </c>
      <c r="I476">
        <v>0.98199999999999998</v>
      </c>
      <c r="N476">
        <v>300</v>
      </c>
      <c r="O476">
        <v>10.489000000000001</v>
      </c>
      <c r="P476">
        <v>7.8609999999999998</v>
      </c>
      <c r="Q476">
        <v>5.2380000000000004</v>
      </c>
      <c r="R476">
        <v>2.6179999999999999</v>
      </c>
      <c r="S476">
        <v>0</v>
      </c>
      <c r="T476">
        <v>-2.6179999999999999</v>
      </c>
      <c r="U476">
        <v>-5.2370000000000001</v>
      </c>
      <c r="V476">
        <v>-7.8609999999999998</v>
      </c>
      <c r="W476">
        <v>-10.489000000000001</v>
      </c>
      <c r="AA476" s="1">
        <f>trimDraft</f>
        <v>0.149999999999999</v>
      </c>
      <c r="AB476" s="1"/>
      <c r="AC476" s="1"/>
      <c r="AD476" s="1"/>
    </row>
    <row r="477" spans="1:30">
      <c r="A477">
        <v>200</v>
      </c>
      <c r="B477">
        <v>1.4219999999999999</v>
      </c>
      <c r="C477">
        <v>1.39</v>
      </c>
      <c r="D477">
        <v>1.3740000000000001</v>
      </c>
      <c r="E477">
        <v>1.3580000000000001</v>
      </c>
      <c r="F477">
        <v>1.3420000000000001</v>
      </c>
      <c r="G477">
        <v>1.327</v>
      </c>
      <c r="H477">
        <v>1.2949999999999999</v>
      </c>
      <c r="I477">
        <v>1.2629999999999999</v>
      </c>
      <c r="N477">
        <v>400</v>
      </c>
      <c r="O477">
        <v>10.49</v>
      </c>
      <c r="P477">
        <v>7.8609999999999998</v>
      </c>
      <c r="Q477">
        <v>5.2370000000000001</v>
      </c>
      <c r="R477">
        <v>2.6179999999999999</v>
      </c>
      <c r="S477">
        <v>0</v>
      </c>
      <c r="T477">
        <v>-2.6179999999999999</v>
      </c>
      <c r="U477">
        <v>-5.2380000000000004</v>
      </c>
      <c r="V477">
        <v>-7.8609999999999998</v>
      </c>
      <c r="W477">
        <v>-10.489000000000001</v>
      </c>
      <c r="AA477" s="1">
        <f>INDEX(Oil3Trim2,0,MATCH(AA476,Oil3Trim2,1))</f>
        <v>0</v>
      </c>
      <c r="AB477" s="1">
        <f>Interp2(Oil3Trim1,Oil3Trim2,Oil3Trim3,AC473,AA477)</f>
        <v>7.0179999999999998</v>
      </c>
      <c r="AC477" s="1">
        <f>Interp2(Oil3Trim1,Oil3Trim2,Oil3Trim3,AC474,AA477)</f>
        <v>7.2990000000000004</v>
      </c>
      <c r="AD477" s="1"/>
    </row>
    <row r="478" spans="1:30">
      <c r="A478">
        <v>250</v>
      </c>
      <c r="B478">
        <v>1.7030000000000001</v>
      </c>
      <c r="C478">
        <v>1.671</v>
      </c>
      <c r="D478">
        <v>1.6559999999999999</v>
      </c>
      <c r="E478">
        <v>1.64</v>
      </c>
      <c r="F478">
        <v>1.6240000000000001</v>
      </c>
      <c r="G478">
        <v>1.6080000000000001</v>
      </c>
      <c r="H478">
        <v>1.5760000000000001</v>
      </c>
      <c r="I478">
        <v>1.5449999999999999</v>
      </c>
      <c r="N478">
        <v>500</v>
      </c>
      <c r="O478">
        <v>10.489000000000001</v>
      </c>
      <c r="P478">
        <v>7.8620000000000001</v>
      </c>
      <c r="Q478">
        <v>5.2370000000000001</v>
      </c>
      <c r="R478">
        <v>2.6179999999999999</v>
      </c>
      <c r="S478">
        <v>0</v>
      </c>
      <c r="T478">
        <v>-2.6179999999999999</v>
      </c>
      <c r="U478">
        <v>-5.2380000000000004</v>
      </c>
      <c r="V478">
        <v>-7.8609999999999998</v>
      </c>
      <c r="W478">
        <v>-10.49</v>
      </c>
      <c r="AA478" s="1">
        <f>IF(AA477=AA476,AA476,INDEX(Oil3Trim2,0,MATCH(AA476,Oil3Trim2,1)+1))</f>
        <v>0.5</v>
      </c>
      <c r="AB478" s="1">
        <f>Interp2(Oil3Trim1,Oil3Trim2,Oil3Trim3,AC473,AA478)</f>
        <v>7.0019999999999998</v>
      </c>
      <c r="AC478" s="1">
        <f>Interp2(Oil3Trim1,Oil3Trim2,Oil3Trim3,AC474,AA478)</f>
        <v>7.2830000000000004</v>
      </c>
      <c r="AD478" s="1"/>
    </row>
    <row r="479" spans="1:30">
      <c r="A479">
        <v>300</v>
      </c>
      <c r="B479">
        <v>1.984</v>
      </c>
      <c r="C479">
        <v>1.9530000000000001</v>
      </c>
      <c r="D479">
        <v>1.9370000000000001</v>
      </c>
      <c r="E479">
        <v>1.921</v>
      </c>
      <c r="F479">
        <v>1.905</v>
      </c>
      <c r="G479">
        <v>1.889</v>
      </c>
      <c r="H479">
        <v>1.8580000000000001</v>
      </c>
      <c r="I479">
        <v>1.8260000000000001</v>
      </c>
      <c r="N479">
        <v>600</v>
      </c>
      <c r="O479">
        <v>10.489000000000001</v>
      </c>
      <c r="P479">
        <v>7.8609999999999998</v>
      </c>
      <c r="Q479">
        <v>5.2370000000000001</v>
      </c>
      <c r="R479">
        <v>2.617</v>
      </c>
      <c r="S479">
        <v>0</v>
      </c>
      <c r="T479">
        <v>-2.6179999999999999</v>
      </c>
      <c r="U479">
        <v>-5.2380000000000004</v>
      </c>
      <c r="V479">
        <v>-7.8609999999999998</v>
      </c>
      <c r="W479">
        <v>-10.489000000000001</v>
      </c>
    </row>
    <row r="480" spans="1:30">
      <c r="A480">
        <v>350</v>
      </c>
      <c r="B480">
        <v>2.266</v>
      </c>
      <c r="C480">
        <v>2.234</v>
      </c>
      <c r="D480">
        <v>2.218</v>
      </c>
      <c r="E480">
        <v>2.202</v>
      </c>
      <c r="F480">
        <v>2.1869999999999998</v>
      </c>
      <c r="G480">
        <v>2.1709999999999998</v>
      </c>
      <c r="H480">
        <v>2.1389999999999998</v>
      </c>
      <c r="I480">
        <v>2.1070000000000002</v>
      </c>
      <c r="N480">
        <v>700</v>
      </c>
      <c r="O480">
        <v>10.488</v>
      </c>
      <c r="P480">
        <v>7.8620000000000001</v>
      </c>
      <c r="Q480">
        <v>5.2370000000000001</v>
      </c>
      <c r="R480">
        <v>2.617</v>
      </c>
      <c r="S480">
        <v>0</v>
      </c>
      <c r="T480">
        <v>-2.6179999999999999</v>
      </c>
      <c r="U480">
        <v>-5.2380000000000004</v>
      </c>
      <c r="V480">
        <v>-7.8609999999999998</v>
      </c>
      <c r="W480">
        <v>-10.49</v>
      </c>
      <c r="AA480">
        <f>COUNT(A473:W564)</f>
        <v>1308</v>
      </c>
    </row>
    <row r="481" spans="1:27">
      <c r="A481">
        <v>400</v>
      </c>
      <c r="B481">
        <v>2.5470000000000002</v>
      </c>
      <c r="C481">
        <v>2.516</v>
      </c>
      <c r="D481">
        <v>2.5</v>
      </c>
      <c r="E481">
        <v>2.484</v>
      </c>
      <c r="F481">
        <v>2.468</v>
      </c>
      <c r="G481">
        <v>2.452</v>
      </c>
      <c r="H481">
        <v>2.42</v>
      </c>
      <c r="I481">
        <v>2.3889999999999998</v>
      </c>
      <c r="N481">
        <v>800</v>
      </c>
      <c r="O481">
        <v>10.49</v>
      </c>
      <c r="P481">
        <v>7.86</v>
      </c>
      <c r="Q481">
        <v>5.2380000000000004</v>
      </c>
      <c r="R481">
        <v>2.617</v>
      </c>
      <c r="S481">
        <v>0</v>
      </c>
      <c r="T481">
        <v>-2.6179999999999999</v>
      </c>
      <c r="U481">
        <v>-5.2370000000000001</v>
      </c>
      <c r="V481">
        <v>-7.8620000000000001</v>
      </c>
      <c r="W481">
        <v>-10.489000000000001</v>
      </c>
      <c r="AA481">
        <f>COUNTA(A473:W564)</f>
        <v>1308</v>
      </c>
    </row>
    <row r="482" spans="1:27">
      <c r="A482">
        <v>450</v>
      </c>
      <c r="B482">
        <v>2.8290000000000002</v>
      </c>
      <c r="C482">
        <v>2.7970000000000002</v>
      </c>
      <c r="D482">
        <v>2.7810000000000001</v>
      </c>
      <c r="E482">
        <v>2.7650000000000001</v>
      </c>
      <c r="F482">
        <v>2.7490000000000001</v>
      </c>
      <c r="G482">
        <v>2.734</v>
      </c>
      <c r="H482">
        <v>2.702</v>
      </c>
      <c r="I482">
        <v>2.67</v>
      </c>
      <c r="N482">
        <v>900</v>
      </c>
      <c r="O482">
        <v>10.489000000000001</v>
      </c>
      <c r="P482">
        <v>7.8609999999999998</v>
      </c>
      <c r="Q482">
        <v>5.2370000000000001</v>
      </c>
      <c r="R482">
        <v>2.617</v>
      </c>
      <c r="S482">
        <v>0</v>
      </c>
      <c r="T482">
        <v>-2.6179999999999999</v>
      </c>
      <c r="U482">
        <v>-5.2370000000000001</v>
      </c>
      <c r="V482">
        <v>-7.8609999999999998</v>
      </c>
      <c r="W482">
        <v>-10.489000000000001</v>
      </c>
    </row>
    <row r="483" spans="1:27">
      <c r="A483">
        <v>500</v>
      </c>
      <c r="B483">
        <v>3.11</v>
      </c>
      <c r="C483">
        <v>3.0779999999999998</v>
      </c>
      <c r="D483">
        <v>3.0619999999999998</v>
      </c>
      <c r="E483">
        <v>3.0470000000000002</v>
      </c>
      <c r="F483">
        <v>3.0310000000000001</v>
      </c>
      <c r="G483">
        <v>3.0150000000000001</v>
      </c>
      <c r="H483">
        <v>2.9830000000000001</v>
      </c>
      <c r="I483">
        <v>2.952</v>
      </c>
      <c r="N483">
        <v>1000</v>
      </c>
      <c r="O483">
        <v>10.488</v>
      </c>
      <c r="P483">
        <v>7.8620000000000001</v>
      </c>
      <c r="Q483">
        <v>5.2380000000000004</v>
      </c>
      <c r="R483">
        <v>2.617</v>
      </c>
      <c r="S483">
        <v>0</v>
      </c>
      <c r="T483">
        <v>-2.6179999999999999</v>
      </c>
      <c r="U483">
        <v>-5.2370000000000001</v>
      </c>
      <c r="V483">
        <v>-7.8609999999999998</v>
      </c>
      <c r="W483">
        <v>-10.489000000000001</v>
      </c>
    </row>
    <row r="484" spans="1:27">
      <c r="A484">
        <v>550</v>
      </c>
      <c r="B484">
        <v>3.391</v>
      </c>
      <c r="C484">
        <v>3.36</v>
      </c>
      <c r="D484">
        <v>3.3439999999999999</v>
      </c>
      <c r="E484">
        <v>3.3279999999999998</v>
      </c>
      <c r="F484">
        <v>3.3119999999999998</v>
      </c>
      <c r="G484">
        <v>3.2959999999999998</v>
      </c>
      <c r="H484">
        <v>3.2650000000000001</v>
      </c>
      <c r="I484">
        <v>3.2330000000000001</v>
      </c>
      <c r="N484">
        <v>1100</v>
      </c>
      <c r="O484">
        <v>10.489000000000001</v>
      </c>
      <c r="P484">
        <v>7.8609999999999998</v>
      </c>
      <c r="Q484">
        <v>5.2370000000000001</v>
      </c>
      <c r="R484">
        <v>2.6179999999999999</v>
      </c>
      <c r="S484">
        <v>0</v>
      </c>
      <c r="T484">
        <v>-2.6179999999999999</v>
      </c>
      <c r="U484">
        <v>-5.2370000000000001</v>
      </c>
      <c r="V484">
        <v>-7.8609999999999998</v>
      </c>
      <c r="W484">
        <v>-10.489000000000001</v>
      </c>
    </row>
    <row r="485" spans="1:27">
      <c r="A485">
        <v>600</v>
      </c>
      <c r="B485">
        <v>3.673</v>
      </c>
      <c r="C485">
        <v>3.641</v>
      </c>
      <c r="D485">
        <v>3.625</v>
      </c>
      <c r="E485">
        <v>3.609</v>
      </c>
      <c r="F485">
        <v>3.5939999999999999</v>
      </c>
      <c r="G485">
        <v>3.5779999999999998</v>
      </c>
      <c r="H485">
        <v>3.5459999999999998</v>
      </c>
      <c r="I485">
        <v>3.5139999999999998</v>
      </c>
      <c r="N485">
        <v>1200</v>
      </c>
      <c r="O485">
        <v>10.49</v>
      </c>
      <c r="P485">
        <v>7.8620000000000001</v>
      </c>
      <c r="Q485">
        <v>5.2380000000000004</v>
      </c>
      <c r="R485">
        <v>2.6190000000000002</v>
      </c>
      <c r="S485">
        <v>0</v>
      </c>
      <c r="T485">
        <v>-2.617</v>
      </c>
      <c r="U485">
        <v>-5.2380000000000004</v>
      </c>
      <c r="V485">
        <v>-7.8609999999999998</v>
      </c>
      <c r="W485">
        <v>-10.49</v>
      </c>
    </row>
    <row r="486" spans="1:27">
      <c r="A486">
        <v>650</v>
      </c>
      <c r="B486">
        <v>3.9540000000000002</v>
      </c>
      <c r="C486">
        <v>3.9220000000000002</v>
      </c>
      <c r="D486">
        <v>3.907</v>
      </c>
      <c r="E486">
        <v>3.891</v>
      </c>
      <c r="F486">
        <v>3.875</v>
      </c>
      <c r="G486">
        <v>3.859</v>
      </c>
      <c r="H486">
        <v>3.827</v>
      </c>
      <c r="I486">
        <v>3.7959999999999998</v>
      </c>
      <c r="N486">
        <v>1300</v>
      </c>
      <c r="O486">
        <v>10.488</v>
      </c>
      <c r="P486">
        <v>7.8620000000000001</v>
      </c>
      <c r="Q486">
        <v>5.2380000000000004</v>
      </c>
      <c r="R486">
        <v>2.6190000000000002</v>
      </c>
      <c r="S486">
        <v>0</v>
      </c>
      <c r="T486">
        <v>-2.6190000000000002</v>
      </c>
      <c r="U486">
        <v>-5.2389999999999999</v>
      </c>
      <c r="V486">
        <v>-7.8609999999999998</v>
      </c>
      <c r="W486">
        <v>-10.49</v>
      </c>
    </row>
    <row r="487" spans="1:27">
      <c r="A487">
        <v>700</v>
      </c>
      <c r="B487">
        <v>4.2359999999999998</v>
      </c>
      <c r="C487">
        <v>4.2039999999999997</v>
      </c>
      <c r="D487">
        <v>4.1879999999999997</v>
      </c>
      <c r="E487">
        <v>4.1719999999999997</v>
      </c>
      <c r="F487">
        <v>4.1559999999999997</v>
      </c>
      <c r="G487">
        <v>4.1399999999999997</v>
      </c>
      <c r="H487">
        <v>4.109</v>
      </c>
      <c r="I487">
        <v>4.077</v>
      </c>
      <c r="N487">
        <v>1400</v>
      </c>
      <c r="O487">
        <v>10.49</v>
      </c>
      <c r="P487">
        <v>7.86</v>
      </c>
      <c r="Q487">
        <v>5.2380000000000004</v>
      </c>
      <c r="R487">
        <v>2.6190000000000002</v>
      </c>
      <c r="S487">
        <v>0</v>
      </c>
      <c r="T487">
        <v>-2.6190000000000002</v>
      </c>
      <c r="U487">
        <v>-5.2389999999999999</v>
      </c>
      <c r="V487">
        <v>-7.8609999999999998</v>
      </c>
      <c r="W487">
        <v>-10.489000000000001</v>
      </c>
    </row>
    <row r="488" spans="1:27">
      <c r="A488">
        <v>750</v>
      </c>
      <c r="B488">
        <v>4.5170000000000003</v>
      </c>
      <c r="C488">
        <v>4.4850000000000003</v>
      </c>
      <c r="D488">
        <v>4.4690000000000003</v>
      </c>
      <c r="E488">
        <v>4.4539999999999997</v>
      </c>
      <c r="F488">
        <v>4.4379999999999997</v>
      </c>
      <c r="G488">
        <v>4.4219999999999997</v>
      </c>
      <c r="H488">
        <v>4.3899999999999997</v>
      </c>
      <c r="I488">
        <v>4.3579999999999997</v>
      </c>
      <c r="N488">
        <v>1500</v>
      </c>
      <c r="O488">
        <v>10.49</v>
      </c>
      <c r="P488">
        <v>7.86</v>
      </c>
      <c r="Q488">
        <v>5.2380000000000004</v>
      </c>
      <c r="R488">
        <v>2.6190000000000002</v>
      </c>
      <c r="S488">
        <v>0</v>
      </c>
      <c r="T488">
        <v>-2.6190000000000002</v>
      </c>
      <c r="U488">
        <v>-5.2380000000000004</v>
      </c>
      <c r="V488">
        <v>-7.8620000000000001</v>
      </c>
      <c r="W488">
        <v>-10.489000000000001</v>
      </c>
    </row>
    <row r="489" spans="1:27">
      <c r="A489">
        <v>800</v>
      </c>
      <c r="B489">
        <v>4.798</v>
      </c>
      <c r="C489">
        <v>4.7670000000000003</v>
      </c>
      <c r="D489">
        <v>4.7510000000000003</v>
      </c>
      <c r="E489">
        <v>4.7350000000000003</v>
      </c>
      <c r="F489">
        <v>4.7190000000000003</v>
      </c>
      <c r="G489">
        <v>4.7030000000000003</v>
      </c>
      <c r="H489">
        <v>4.6719999999999997</v>
      </c>
      <c r="I489">
        <v>4.6399999999999997</v>
      </c>
      <c r="N489">
        <v>1600</v>
      </c>
      <c r="O489">
        <v>10.488</v>
      </c>
      <c r="P489">
        <v>7.86</v>
      </c>
      <c r="Q489">
        <v>5.2380000000000004</v>
      </c>
      <c r="R489">
        <v>2.6190000000000002</v>
      </c>
      <c r="S489">
        <v>0</v>
      </c>
      <c r="T489">
        <v>-2.6190000000000002</v>
      </c>
      <c r="U489">
        <v>-5.24</v>
      </c>
      <c r="V489">
        <v>-7.8620000000000001</v>
      </c>
      <c r="W489">
        <v>-10.49</v>
      </c>
    </row>
    <row r="490" spans="1:27">
      <c r="A490">
        <v>850</v>
      </c>
      <c r="B490">
        <v>5.08</v>
      </c>
      <c r="C490">
        <v>5.048</v>
      </c>
      <c r="D490">
        <v>5.032</v>
      </c>
      <c r="E490">
        <v>5.016</v>
      </c>
      <c r="F490">
        <v>5</v>
      </c>
      <c r="G490">
        <v>4.9850000000000003</v>
      </c>
      <c r="H490">
        <v>4.9530000000000003</v>
      </c>
      <c r="I490">
        <v>4.9210000000000003</v>
      </c>
      <c r="N490">
        <v>1700</v>
      </c>
      <c r="O490">
        <v>10.489000000000001</v>
      </c>
      <c r="P490">
        <v>7.8620000000000001</v>
      </c>
      <c r="Q490">
        <v>5.2380000000000004</v>
      </c>
      <c r="R490">
        <v>2.6190000000000002</v>
      </c>
      <c r="S490">
        <v>0</v>
      </c>
      <c r="T490">
        <v>-2.6190000000000002</v>
      </c>
      <c r="U490">
        <v>-5.24</v>
      </c>
      <c r="V490">
        <v>-7.86</v>
      </c>
      <c r="W490">
        <v>-10.488</v>
      </c>
    </row>
    <row r="491" spans="1:27">
      <c r="A491">
        <v>900</v>
      </c>
      <c r="B491">
        <v>5.3609999999999998</v>
      </c>
      <c r="C491">
        <v>5.3289999999999997</v>
      </c>
      <c r="D491">
        <v>5.3140000000000001</v>
      </c>
      <c r="E491">
        <v>5.298</v>
      </c>
      <c r="F491">
        <v>5.282</v>
      </c>
      <c r="G491">
        <v>5.266</v>
      </c>
      <c r="H491">
        <v>5.234</v>
      </c>
      <c r="I491">
        <v>5.2030000000000003</v>
      </c>
      <c r="N491">
        <v>1800</v>
      </c>
      <c r="O491">
        <v>10.49</v>
      </c>
      <c r="P491">
        <v>7.8620000000000001</v>
      </c>
      <c r="Q491">
        <v>5.2380000000000004</v>
      </c>
      <c r="R491">
        <v>2.6190000000000002</v>
      </c>
      <c r="S491">
        <v>0</v>
      </c>
      <c r="T491">
        <v>-2.6190000000000002</v>
      </c>
      <c r="U491">
        <v>-5.24</v>
      </c>
      <c r="V491">
        <v>-7.86</v>
      </c>
      <c r="W491">
        <v>-10.49</v>
      </c>
    </row>
    <row r="492" spans="1:27">
      <c r="A492">
        <v>950</v>
      </c>
      <c r="B492">
        <v>5.6420000000000003</v>
      </c>
      <c r="C492">
        <v>5.6109999999999998</v>
      </c>
      <c r="D492">
        <v>5.5949999999999998</v>
      </c>
      <c r="E492">
        <v>5.5789999999999997</v>
      </c>
      <c r="F492">
        <v>5.5629999999999997</v>
      </c>
      <c r="G492">
        <v>5.5469999999999997</v>
      </c>
      <c r="H492">
        <v>5.516</v>
      </c>
      <c r="I492">
        <v>5.484</v>
      </c>
      <c r="N492">
        <v>1900</v>
      </c>
      <c r="O492">
        <v>10.49</v>
      </c>
      <c r="P492">
        <v>7.8620000000000001</v>
      </c>
      <c r="Q492">
        <v>5.2380000000000004</v>
      </c>
      <c r="R492">
        <v>2.6190000000000002</v>
      </c>
      <c r="S492">
        <v>0</v>
      </c>
      <c r="T492">
        <v>-2.6190000000000002</v>
      </c>
      <c r="U492">
        <v>-5.24</v>
      </c>
      <c r="V492">
        <v>-7.86</v>
      </c>
      <c r="W492">
        <v>-10.489000000000001</v>
      </c>
    </row>
    <row r="493" spans="1:27">
      <c r="A493">
        <v>1000</v>
      </c>
      <c r="B493">
        <v>5.9240000000000004</v>
      </c>
      <c r="C493">
        <v>5.8920000000000003</v>
      </c>
      <c r="D493">
        <v>5.8760000000000003</v>
      </c>
      <c r="E493">
        <v>5.86</v>
      </c>
      <c r="F493">
        <v>5.8449999999999998</v>
      </c>
      <c r="G493">
        <v>5.8289999999999997</v>
      </c>
      <c r="H493">
        <v>5.7969999999999997</v>
      </c>
      <c r="I493">
        <v>5.7649999999999997</v>
      </c>
      <c r="N493">
        <v>2000</v>
      </c>
      <c r="O493">
        <v>10.488</v>
      </c>
      <c r="P493">
        <v>7.8609999999999998</v>
      </c>
      <c r="Q493">
        <v>5.24</v>
      </c>
      <c r="R493">
        <v>2.6190000000000002</v>
      </c>
      <c r="S493">
        <v>0</v>
      </c>
      <c r="T493">
        <v>-2.6190000000000002</v>
      </c>
      <c r="U493">
        <v>-5.2380000000000004</v>
      </c>
      <c r="V493">
        <v>-7.8620000000000001</v>
      </c>
      <c r="W493">
        <v>-10.49</v>
      </c>
    </row>
    <row r="494" spans="1:27">
      <c r="A494">
        <v>1050</v>
      </c>
      <c r="B494">
        <v>6.2050000000000001</v>
      </c>
      <c r="C494">
        <v>6.1740000000000004</v>
      </c>
      <c r="D494">
        <v>6.1580000000000004</v>
      </c>
      <c r="E494">
        <v>6.1420000000000003</v>
      </c>
      <c r="F494">
        <v>6.1260000000000003</v>
      </c>
      <c r="G494">
        <v>6.11</v>
      </c>
      <c r="H494">
        <v>6.0780000000000003</v>
      </c>
      <c r="I494">
        <v>6.0469999999999997</v>
      </c>
      <c r="N494">
        <v>2100</v>
      </c>
      <c r="O494">
        <v>10.489000000000001</v>
      </c>
      <c r="P494">
        <v>7.86</v>
      </c>
      <c r="Q494">
        <v>5.24</v>
      </c>
      <c r="R494">
        <v>2.6190000000000002</v>
      </c>
      <c r="S494">
        <v>0</v>
      </c>
      <c r="T494">
        <v>-2.6190000000000002</v>
      </c>
      <c r="U494">
        <v>-5.2380000000000004</v>
      </c>
      <c r="V494">
        <v>-7.8620000000000001</v>
      </c>
      <c r="W494">
        <v>-10.488</v>
      </c>
    </row>
    <row r="495" spans="1:27">
      <c r="A495">
        <v>1100</v>
      </c>
      <c r="B495">
        <v>6.4870000000000001</v>
      </c>
      <c r="C495">
        <v>6.4550000000000001</v>
      </c>
      <c r="D495">
        <v>6.4390000000000001</v>
      </c>
      <c r="E495">
        <v>6.423</v>
      </c>
      <c r="F495">
        <v>6.407</v>
      </c>
      <c r="G495">
        <v>6.3920000000000003</v>
      </c>
      <c r="H495">
        <v>6.36</v>
      </c>
      <c r="I495">
        <v>6.3280000000000003</v>
      </c>
      <c r="N495">
        <v>2200</v>
      </c>
      <c r="O495">
        <v>10.489000000000001</v>
      </c>
      <c r="P495">
        <v>7.86</v>
      </c>
      <c r="Q495">
        <v>5.24</v>
      </c>
      <c r="R495">
        <v>2.6190000000000002</v>
      </c>
      <c r="S495">
        <v>0</v>
      </c>
      <c r="T495">
        <v>-2.6190000000000002</v>
      </c>
      <c r="U495">
        <v>-5.2380000000000004</v>
      </c>
      <c r="V495">
        <v>-7.8620000000000001</v>
      </c>
      <c r="W495">
        <v>-10.49</v>
      </c>
    </row>
    <row r="496" spans="1:27">
      <c r="A496">
        <v>1150</v>
      </c>
      <c r="B496">
        <v>6.7679999999999998</v>
      </c>
      <c r="C496">
        <v>6.7359999999999998</v>
      </c>
      <c r="D496">
        <v>6.72</v>
      </c>
      <c r="E496">
        <v>6.7050000000000001</v>
      </c>
      <c r="F496">
        <v>6.6890000000000001</v>
      </c>
      <c r="G496">
        <v>6.673</v>
      </c>
      <c r="H496">
        <v>6.641</v>
      </c>
      <c r="I496">
        <v>6.61</v>
      </c>
      <c r="N496">
        <v>2300</v>
      </c>
      <c r="O496">
        <v>10.487</v>
      </c>
      <c r="P496">
        <v>7.859</v>
      </c>
      <c r="Q496">
        <v>5.24</v>
      </c>
      <c r="R496">
        <v>2.6190000000000002</v>
      </c>
      <c r="S496">
        <v>0</v>
      </c>
      <c r="T496">
        <v>-2.6190000000000002</v>
      </c>
      <c r="U496">
        <v>-5.2389999999999999</v>
      </c>
      <c r="V496">
        <v>-7.8620000000000001</v>
      </c>
      <c r="W496">
        <v>-10.49</v>
      </c>
    </row>
    <row r="497" spans="1:23">
      <c r="A497">
        <v>1200</v>
      </c>
      <c r="B497">
        <v>7.0490000000000004</v>
      </c>
      <c r="C497">
        <v>7.0179999999999998</v>
      </c>
      <c r="D497">
        <v>7.0019999999999998</v>
      </c>
      <c r="E497">
        <v>6.9859999999999998</v>
      </c>
      <c r="F497">
        <v>6.97</v>
      </c>
      <c r="G497">
        <v>6.9539999999999997</v>
      </c>
      <c r="H497">
        <v>6.923</v>
      </c>
      <c r="I497">
        <v>6.891</v>
      </c>
      <c r="N497">
        <v>2400</v>
      </c>
      <c r="O497">
        <v>10.49</v>
      </c>
      <c r="P497">
        <v>7.8620000000000001</v>
      </c>
      <c r="Q497">
        <v>5.2380000000000004</v>
      </c>
      <c r="R497">
        <v>2.6190000000000002</v>
      </c>
      <c r="S497">
        <v>0</v>
      </c>
      <c r="T497">
        <v>-2.6190000000000002</v>
      </c>
      <c r="U497">
        <v>-5.2380000000000004</v>
      </c>
      <c r="V497">
        <v>-7.86</v>
      </c>
      <c r="W497">
        <v>-10.488</v>
      </c>
    </row>
    <row r="498" spans="1:23">
      <c r="A498">
        <v>1250</v>
      </c>
      <c r="B498">
        <v>7.3310000000000004</v>
      </c>
      <c r="C498">
        <v>7.2990000000000004</v>
      </c>
      <c r="D498">
        <v>7.2830000000000004</v>
      </c>
      <c r="E498">
        <v>7.2670000000000003</v>
      </c>
      <c r="F498">
        <v>7.2519999999999998</v>
      </c>
      <c r="G498">
        <v>7.2359999999999998</v>
      </c>
      <c r="H498">
        <v>7.2039999999999997</v>
      </c>
      <c r="I498">
        <v>7.1719999999999997</v>
      </c>
      <c r="N498">
        <v>2500</v>
      </c>
      <c r="O498">
        <v>10.49</v>
      </c>
      <c r="P498">
        <v>7.8620000000000001</v>
      </c>
      <c r="Q498">
        <v>5.2389999999999999</v>
      </c>
      <c r="R498">
        <v>2.6190000000000002</v>
      </c>
      <c r="S498">
        <v>0</v>
      </c>
      <c r="T498">
        <v>-2.6190000000000002</v>
      </c>
      <c r="U498">
        <v>-5.2389999999999999</v>
      </c>
      <c r="V498">
        <v>-7.86</v>
      </c>
      <c r="W498">
        <v>-10.489000000000001</v>
      </c>
    </row>
    <row r="499" spans="1:23">
      <c r="A499">
        <v>1300</v>
      </c>
      <c r="B499">
        <v>7.6120000000000001</v>
      </c>
      <c r="C499">
        <v>7.58</v>
      </c>
      <c r="D499">
        <v>7.5650000000000004</v>
      </c>
      <c r="E499">
        <v>7.5490000000000004</v>
      </c>
      <c r="F499">
        <v>7.5330000000000004</v>
      </c>
      <c r="G499">
        <v>7.5170000000000003</v>
      </c>
      <c r="H499">
        <v>7.4850000000000003</v>
      </c>
      <c r="I499">
        <v>7.4539999999999997</v>
      </c>
      <c r="N499">
        <v>2600</v>
      </c>
      <c r="O499">
        <v>10.489000000000001</v>
      </c>
      <c r="P499">
        <v>7.8620000000000001</v>
      </c>
      <c r="Q499">
        <v>5.2380000000000004</v>
      </c>
      <c r="R499">
        <v>2.6190000000000002</v>
      </c>
      <c r="S499">
        <v>0</v>
      </c>
      <c r="T499">
        <v>-2.6190000000000002</v>
      </c>
      <c r="U499">
        <v>-5.2380000000000004</v>
      </c>
      <c r="V499">
        <v>-7.86</v>
      </c>
      <c r="W499">
        <v>-10.49</v>
      </c>
    </row>
    <row r="500" spans="1:23">
      <c r="A500">
        <v>1350</v>
      </c>
      <c r="B500">
        <v>7.8940000000000001</v>
      </c>
      <c r="C500">
        <v>7.8620000000000001</v>
      </c>
      <c r="D500">
        <v>7.8460000000000001</v>
      </c>
      <c r="E500">
        <v>7.83</v>
      </c>
      <c r="F500">
        <v>7.8140000000000001</v>
      </c>
      <c r="G500">
        <v>7.798</v>
      </c>
      <c r="H500">
        <v>7.7670000000000003</v>
      </c>
      <c r="I500">
        <v>7.7350000000000003</v>
      </c>
      <c r="N500">
        <v>2700</v>
      </c>
      <c r="O500">
        <v>10.488</v>
      </c>
      <c r="P500">
        <v>7.8620000000000001</v>
      </c>
      <c r="Q500">
        <v>5.2389999999999999</v>
      </c>
      <c r="R500">
        <v>2.6190000000000002</v>
      </c>
      <c r="S500">
        <v>0</v>
      </c>
      <c r="T500">
        <v>-2.6190000000000002</v>
      </c>
      <c r="U500">
        <v>-5.2380000000000004</v>
      </c>
      <c r="V500">
        <v>-7.8620000000000001</v>
      </c>
      <c r="W500">
        <v>-10.49</v>
      </c>
    </row>
    <row r="501" spans="1:23">
      <c r="A501">
        <v>1400</v>
      </c>
      <c r="B501">
        <v>8.1750000000000007</v>
      </c>
      <c r="C501">
        <v>8.1430000000000007</v>
      </c>
      <c r="D501">
        <v>8.1270000000000007</v>
      </c>
      <c r="E501">
        <v>8.1120000000000001</v>
      </c>
      <c r="F501">
        <v>8.0960000000000001</v>
      </c>
      <c r="G501">
        <v>8.08</v>
      </c>
      <c r="H501">
        <v>8.048</v>
      </c>
      <c r="I501">
        <v>8.016</v>
      </c>
      <c r="N501">
        <v>2800</v>
      </c>
      <c r="O501">
        <v>10.489000000000001</v>
      </c>
      <c r="P501">
        <v>7.86</v>
      </c>
      <c r="Q501">
        <v>5.2380000000000004</v>
      </c>
      <c r="R501">
        <v>2.6190000000000002</v>
      </c>
      <c r="S501">
        <v>0</v>
      </c>
      <c r="T501">
        <v>-2.6190000000000002</v>
      </c>
      <c r="U501">
        <v>-5.2380000000000004</v>
      </c>
      <c r="V501">
        <v>-7.8620000000000001</v>
      </c>
      <c r="W501">
        <v>-10.488</v>
      </c>
    </row>
    <row r="502" spans="1:23">
      <c r="A502">
        <v>1450</v>
      </c>
      <c r="B502">
        <v>8.4559999999999995</v>
      </c>
      <c r="C502">
        <v>8.4250000000000007</v>
      </c>
      <c r="D502">
        <v>8.4090000000000007</v>
      </c>
      <c r="E502">
        <v>8.3930000000000007</v>
      </c>
      <c r="F502">
        <v>8.3770000000000007</v>
      </c>
      <c r="G502">
        <v>8.3610000000000007</v>
      </c>
      <c r="H502">
        <v>8.3290000000000006</v>
      </c>
      <c r="I502">
        <v>8.298</v>
      </c>
      <c r="N502">
        <v>2900</v>
      </c>
      <c r="O502">
        <v>10.49</v>
      </c>
      <c r="P502">
        <v>7.8609999999999998</v>
      </c>
      <c r="Q502">
        <v>5.2389999999999999</v>
      </c>
      <c r="R502">
        <v>2.6190000000000002</v>
      </c>
      <c r="S502">
        <v>0</v>
      </c>
      <c r="T502">
        <v>-2.6190000000000002</v>
      </c>
      <c r="U502">
        <v>-5.2380000000000004</v>
      </c>
      <c r="V502">
        <v>-7.8609999999999998</v>
      </c>
      <c r="W502">
        <v>-10.49</v>
      </c>
    </row>
    <row r="503" spans="1:23">
      <c r="A503">
        <v>1500</v>
      </c>
      <c r="B503">
        <v>8.7379999999999995</v>
      </c>
      <c r="C503">
        <v>8.7059999999999995</v>
      </c>
      <c r="D503">
        <v>8.69</v>
      </c>
      <c r="E503">
        <v>8.6739999999999995</v>
      </c>
      <c r="F503">
        <v>8.6579999999999995</v>
      </c>
      <c r="G503">
        <v>8.6430000000000007</v>
      </c>
      <c r="H503">
        <v>8.6110000000000007</v>
      </c>
      <c r="I503">
        <v>8.5790000000000006</v>
      </c>
      <c r="N503">
        <v>3000</v>
      </c>
      <c r="O503">
        <v>10.488</v>
      </c>
      <c r="P503">
        <v>7.86</v>
      </c>
      <c r="Q503">
        <v>5.2389999999999999</v>
      </c>
      <c r="R503">
        <v>2.6190000000000002</v>
      </c>
      <c r="S503">
        <v>0</v>
      </c>
      <c r="T503">
        <v>-2.6190000000000002</v>
      </c>
      <c r="U503">
        <v>-5.2389999999999999</v>
      </c>
      <c r="V503">
        <v>-7.8620000000000001</v>
      </c>
      <c r="W503">
        <v>-10.49</v>
      </c>
    </row>
    <row r="504" spans="1:23">
      <c r="A504">
        <v>1550</v>
      </c>
      <c r="B504">
        <v>9.0190000000000001</v>
      </c>
      <c r="C504">
        <v>8.9870000000000001</v>
      </c>
      <c r="D504">
        <v>8.9719999999999995</v>
      </c>
      <c r="E504">
        <v>8.9559999999999995</v>
      </c>
      <c r="F504">
        <v>8.94</v>
      </c>
      <c r="G504">
        <v>8.9239999999999995</v>
      </c>
      <c r="H504">
        <v>8.8919999999999995</v>
      </c>
      <c r="I504">
        <v>8.8610000000000007</v>
      </c>
      <c r="N504">
        <v>3100</v>
      </c>
      <c r="O504">
        <v>10.489000000000001</v>
      </c>
      <c r="P504">
        <v>7.8620000000000001</v>
      </c>
      <c r="Q504">
        <v>5.2380000000000004</v>
      </c>
      <c r="R504">
        <v>2.6190000000000002</v>
      </c>
      <c r="S504">
        <v>0</v>
      </c>
      <c r="T504">
        <v>-2.6190000000000002</v>
      </c>
      <c r="U504">
        <v>-5.2380000000000004</v>
      </c>
      <c r="V504">
        <v>-7.86</v>
      </c>
      <c r="W504">
        <v>-10.487</v>
      </c>
    </row>
    <row r="505" spans="1:23">
      <c r="A505">
        <v>1600</v>
      </c>
      <c r="B505">
        <v>9.3000000000000007</v>
      </c>
      <c r="C505">
        <v>9.2690000000000001</v>
      </c>
      <c r="D505">
        <v>9.2530000000000001</v>
      </c>
      <c r="E505">
        <v>9.2370000000000001</v>
      </c>
      <c r="F505">
        <v>9.2210000000000001</v>
      </c>
      <c r="G505">
        <v>9.2050000000000001</v>
      </c>
      <c r="H505">
        <v>9.1739999999999995</v>
      </c>
      <c r="I505">
        <v>9.1419999999999995</v>
      </c>
      <c r="N505">
        <v>3200</v>
      </c>
      <c r="O505">
        <v>10.489000000000001</v>
      </c>
      <c r="P505">
        <v>7.8620000000000001</v>
      </c>
      <c r="Q505">
        <v>5.2389999999999999</v>
      </c>
      <c r="R505">
        <v>2.6179999999999999</v>
      </c>
      <c r="S505">
        <v>0</v>
      </c>
      <c r="T505">
        <v>-2.6190000000000002</v>
      </c>
      <c r="U505">
        <v>-5.24</v>
      </c>
      <c r="V505">
        <v>-7.86</v>
      </c>
      <c r="W505">
        <v>-10.49</v>
      </c>
    </row>
    <row r="506" spans="1:23">
      <c r="A506">
        <v>1650</v>
      </c>
      <c r="B506">
        <v>9.5820000000000007</v>
      </c>
      <c r="C506">
        <v>9.5500000000000007</v>
      </c>
      <c r="D506">
        <v>9.5340000000000007</v>
      </c>
      <c r="E506">
        <v>9.5180000000000007</v>
      </c>
      <c r="F506">
        <v>9.5030000000000001</v>
      </c>
      <c r="G506">
        <v>9.4870000000000001</v>
      </c>
      <c r="H506">
        <v>9.4550000000000001</v>
      </c>
      <c r="I506">
        <v>9.423</v>
      </c>
      <c r="N506">
        <v>3300</v>
      </c>
      <c r="O506">
        <v>10.49</v>
      </c>
      <c r="P506">
        <v>7.8620000000000001</v>
      </c>
      <c r="Q506">
        <v>5.2380000000000004</v>
      </c>
      <c r="R506">
        <v>2.6190000000000002</v>
      </c>
      <c r="S506">
        <v>0</v>
      </c>
      <c r="T506">
        <v>-2.6190000000000002</v>
      </c>
      <c r="U506">
        <v>-5.24</v>
      </c>
      <c r="V506">
        <v>-7.86</v>
      </c>
      <c r="W506">
        <v>-10.489000000000001</v>
      </c>
    </row>
    <row r="507" spans="1:23">
      <c r="A507">
        <v>1700</v>
      </c>
      <c r="B507">
        <v>9.8629999999999995</v>
      </c>
      <c r="C507">
        <v>9.8309999999999995</v>
      </c>
      <c r="D507">
        <v>9.8160000000000007</v>
      </c>
      <c r="E507">
        <v>9.8000000000000007</v>
      </c>
      <c r="F507">
        <v>9.7840000000000007</v>
      </c>
      <c r="G507">
        <v>9.7680000000000007</v>
      </c>
      <c r="H507">
        <v>9.7360000000000007</v>
      </c>
      <c r="I507">
        <v>9.7050000000000001</v>
      </c>
      <c r="N507">
        <v>3400</v>
      </c>
      <c r="O507">
        <v>10.488</v>
      </c>
      <c r="P507">
        <v>7.8620000000000001</v>
      </c>
      <c r="Q507">
        <v>5.2380000000000004</v>
      </c>
      <c r="R507">
        <v>2.6190000000000002</v>
      </c>
      <c r="S507">
        <v>0</v>
      </c>
      <c r="T507">
        <v>-2.6190000000000002</v>
      </c>
      <c r="U507">
        <v>-5.24</v>
      </c>
      <c r="V507">
        <v>-7.8620000000000001</v>
      </c>
      <c r="W507">
        <v>-10.49</v>
      </c>
    </row>
    <row r="508" spans="1:23">
      <c r="A508">
        <v>1750</v>
      </c>
      <c r="B508">
        <v>10.145</v>
      </c>
      <c r="C508">
        <v>10.113</v>
      </c>
      <c r="D508">
        <v>10.097</v>
      </c>
      <c r="E508">
        <v>10.081</v>
      </c>
      <c r="F508">
        <v>10.065</v>
      </c>
      <c r="G508">
        <v>10.048999999999999</v>
      </c>
      <c r="H508">
        <v>10.018000000000001</v>
      </c>
      <c r="I508">
        <v>9.9860000000000007</v>
      </c>
      <c r="N508">
        <v>3500</v>
      </c>
      <c r="O508">
        <v>10.49</v>
      </c>
      <c r="P508">
        <v>7.86</v>
      </c>
      <c r="Q508">
        <v>5.2389999999999999</v>
      </c>
      <c r="R508">
        <v>2.6190000000000002</v>
      </c>
      <c r="S508">
        <v>0</v>
      </c>
      <c r="T508">
        <v>-2.6179999999999999</v>
      </c>
      <c r="U508">
        <v>-5.24</v>
      </c>
      <c r="V508">
        <v>-7.8620000000000001</v>
      </c>
      <c r="W508">
        <v>-10.488</v>
      </c>
    </row>
    <row r="509" spans="1:23">
      <c r="A509">
        <v>1800</v>
      </c>
      <c r="B509">
        <v>10.426</v>
      </c>
      <c r="C509">
        <v>10.394</v>
      </c>
      <c r="D509">
        <v>10.378</v>
      </c>
      <c r="E509">
        <v>10.363</v>
      </c>
      <c r="F509">
        <v>10.347</v>
      </c>
      <c r="G509">
        <v>10.331</v>
      </c>
      <c r="H509">
        <v>10.298999999999999</v>
      </c>
      <c r="I509">
        <v>10.266999999999999</v>
      </c>
      <c r="N509">
        <v>3600</v>
      </c>
      <c r="O509">
        <v>10.489000000000001</v>
      </c>
      <c r="P509">
        <v>7.86</v>
      </c>
      <c r="Q509">
        <v>5.24</v>
      </c>
      <c r="R509">
        <v>2.6190000000000002</v>
      </c>
      <c r="S509">
        <v>0</v>
      </c>
      <c r="T509">
        <v>-2.6190000000000002</v>
      </c>
      <c r="U509">
        <v>-5.2380000000000004</v>
      </c>
      <c r="V509">
        <v>-7.8620000000000001</v>
      </c>
      <c r="W509">
        <v>-10.49</v>
      </c>
    </row>
    <row r="510" spans="1:23">
      <c r="A510">
        <v>1850</v>
      </c>
      <c r="B510">
        <v>10.707000000000001</v>
      </c>
      <c r="C510">
        <v>10.676</v>
      </c>
      <c r="D510">
        <v>10.66</v>
      </c>
      <c r="E510">
        <v>10.644</v>
      </c>
      <c r="F510">
        <v>10.628</v>
      </c>
      <c r="G510">
        <v>10.612</v>
      </c>
      <c r="H510">
        <v>10.581</v>
      </c>
      <c r="I510">
        <v>10.548999999999999</v>
      </c>
      <c r="N510">
        <v>3700</v>
      </c>
      <c r="O510">
        <v>10.488</v>
      </c>
      <c r="P510">
        <v>7.86</v>
      </c>
      <c r="Q510">
        <v>5.24</v>
      </c>
      <c r="R510">
        <v>2.6190000000000002</v>
      </c>
      <c r="S510">
        <v>0</v>
      </c>
      <c r="T510">
        <v>-2.6190000000000002</v>
      </c>
      <c r="U510">
        <v>-5.2380000000000004</v>
      </c>
      <c r="V510">
        <v>-7.8620000000000001</v>
      </c>
      <c r="W510">
        <v>-10.49</v>
      </c>
    </row>
    <row r="511" spans="1:23">
      <c r="A511">
        <v>1900</v>
      </c>
      <c r="B511">
        <v>32761</v>
      </c>
      <c r="C511">
        <v>10.957000000000001</v>
      </c>
      <c r="D511">
        <v>10.941000000000001</v>
      </c>
      <c r="E511">
        <v>10.925000000000001</v>
      </c>
      <c r="F511">
        <v>10.909000000000001</v>
      </c>
      <c r="G511">
        <v>10.894</v>
      </c>
      <c r="H511">
        <v>10.862</v>
      </c>
      <c r="I511">
        <v>10.83</v>
      </c>
      <c r="N511">
        <v>3800</v>
      </c>
      <c r="O511">
        <v>10.489000000000001</v>
      </c>
      <c r="P511">
        <v>7.8609999999999998</v>
      </c>
      <c r="Q511">
        <v>5.24</v>
      </c>
      <c r="R511">
        <v>2.6190000000000002</v>
      </c>
      <c r="S511">
        <v>0</v>
      </c>
      <c r="T511">
        <v>-2.6190000000000002</v>
      </c>
      <c r="U511">
        <v>-5.2389999999999999</v>
      </c>
      <c r="V511">
        <v>-7.86</v>
      </c>
      <c r="W511">
        <v>-10.488</v>
      </c>
    </row>
    <row r="512" spans="1:23">
      <c r="A512">
        <v>1950</v>
      </c>
      <c r="B512">
        <v>11.27</v>
      </c>
      <c r="C512">
        <v>11.238</v>
      </c>
      <c r="D512">
        <v>11.223000000000001</v>
      </c>
      <c r="E512">
        <v>11.207000000000001</v>
      </c>
      <c r="F512">
        <v>11.191000000000001</v>
      </c>
      <c r="G512">
        <v>11.175000000000001</v>
      </c>
      <c r="H512">
        <v>11.143000000000001</v>
      </c>
      <c r="I512">
        <v>11.112</v>
      </c>
      <c r="N512">
        <v>3900</v>
      </c>
      <c r="O512">
        <v>10.49</v>
      </c>
      <c r="P512">
        <v>7.8630000000000004</v>
      </c>
      <c r="Q512">
        <v>5.2409999999999997</v>
      </c>
      <c r="R512">
        <v>2.6190000000000002</v>
      </c>
      <c r="S512">
        <v>0</v>
      </c>
      <c r="T512">
        <v>-2.6190000000000002</v>
      </c>
      <c r="U512">
        <v>-5.2380000000000004</v>
      </c>
      <c r="V512">
        <v>-7.86</v>
      </c>
      <c r="W512">
        <v>-10.49</v>
      </c>
    </row>
    <row r="513" spans="1:23">
      <c r="A513">
        <v>2000</v>
      </c>
      <c r="B513">
        <v>11.551</v>
      </c>
      <c r="C513">
        <v>11.52</v>
      </c>
      <c r="D513">
        <v>11.504</v>
      </c>
      <c r="E513">
        <v>11.488</v>
      </c>
      <c r="F513">
        <v>11.472</v>
      </c>
      <c r="G513">
        <v>11.456</v>
      </c>
      <c r="H513">
        <v>11.425000000000001</v>
      </c>
      <c r="I513">
        <v>11.393000000000001</v>
      </c>
      <c r="N513">
        <v>4000</v>
      </c>
      <c r="O513">
        <v>10.487</v>
      </c>
      <c r="P513">
        <v>7.8620000000000001</v>
      </c>
      <c r="Q513">
        <v>5.2380000000000004</v>
      </c>
      <c r="R513">
        <v>2.6190000000000002</v>
      </c>
      <c r="S513">
        <v>0</v>
      </c>
      <c r="T513">
        <v>-2.6179999999999999</v>
      </c>
      <c r="U513">
        <v>-5.2380000000000004</v>
      </c>
      <c r="V513">
        <v>-7.8620000000000001</v>
      </c>
      <c r="W513">
        <v>-10.49</v>
      </c>
    </row>
    <row r="514" spans="1:23">
      <c r="A514">
        <v>2050</v>
      </c>
      <c r="B514">
        <v>11.833</v>
      </c>
      <c r="C514">
        <v>11.801</v>
      </c>
      <c r="D514">
        <v>11.785</v>
      </c>
      <c r="E514">
        <v>11.769</v>
      </c>
      <c r="F514">
        <v>11.754</v>
      </c>
      <c r="G514">
        <v>11.738</v>
      </c>
      <c r="H514">
        <v>11.706</v>
      </c>
      <c r="I514">
        <v>11.673999999999999</v>
      </c>
      <c r="N514">
        <v>4100</v>
      </c>
      <c r="O514">
        <v>10.488</v>
      </c>
      <c r="P514">
        <v>7.8630000000000004</v>
      </c>
      <c r="Q514">
        <v>5.2389999999999999</v>
      </c>
      <c r="R514">
        <v>2.6190000000000002</v>
      </c>
      <c r="S514">
        <v>0</v>
      </c>
      <c r="T514">
        <v>-2.6179999999999999</v>
      </c>
      <c r="U514">
        <v>-5.2380000000000004</v>
      </c>
      <c r="V514">
        <v>-7.8620000000000001</v>
      </c>
      <c r="W514">
        <v>-10.489000000000001</v>
      </c>
    </row>
    <row r="515" spans="1:23">
      <c r="A515">
        <v>2100</v>
      </c>
      <c r="B515">
        <v>12.114000000000001</v>
      </c>
      <c r="C515">
        <v>12.083</v>
      </c>
      <c r="D515">
        <v>12.067</v>
      </c>
      <c r="E515">
        <v>12.051</v>
      </c>
      <c r="F515">
        <v>12.035</v>
      </c>
      <c r="G515">
        <v>12.019</v>
      </c>
      <c r="H515">
        <v>11.987</v>
      </c>
      <c r="I515">
        <v>11.956</v>
      </c>
      <c r="N515">
        <v>4200</v>
      </c>
      <c r="O515">
        <v>10.49</v>
      </c>
      <c r="P515">
        <v>7.8609999999999998</v>
      </c>
      <c r="Q515">
        <v>5.2389999999999999</v>
      </c>
      <c r="R515">
        <v>2.6190000000000002</v>
      </c>
      <c r="S515">
        <v>0</v>
      </c>
      <c r="T515">
        <v>-2.6190000000000002</v>
      </c>
      <c r="U515">
        <v>-5.2380000000000004</v>
      </c>
      <c r="V515">
        <v>-7.8620000000000001</v>
      </c>
      <c r="W515">
        <v>-10.487</v>
      </c>
    </row>
    <row r="516" spans="1:23">
      <c r="A516">
        <v>2150</v>
      </c>
      <c r="B516">
        <v>12.396000000000001</v>
      </c>
      <c r="C516">
        <v>12.364000000000001</v>
      </c>
      <c r="D516">
        <v>12.348000000000001</v>
      </c>
      <c r="E516">
        <v>12.332000000000001</v>
      </c>
      <c r="F516">
        <v>12.316000000000001</v>
      </c>
      <c r="G516">
        <v>12.301</v>
      </c>
      <c r="H516">
        <v>12.269</v>
      </c>
      <c r="I516">
        <v>12.237</v>
      </c>
      <c r="N516">
        <v>4300</v>
      </c>
      <c r="O516">
        <v>10.489000000000001</v>
      </c>
      <c r="P516">
        <v>7.86</v>
      </c>
      <c r="Q516">
        <v>5.2389999999999999</v>
      </c>
      <c r="R516">
        <v>2.6190000000000002</v>
      </c>
      <c r="S516">
        <v>0</v>
      </c>
      <c r="T516">
        <v>-2.6190000000000002</v>
      </c>
      <c r="U516">
        <v>-5.2389999999999999</v>
      </c>
      <c r="V516">
        <v>-7.8609999999999998</v>
      </c>
      <c r="W516">
        <v>-10.49</v>
      </c>
    </row>
    <row r="517" spans="1:23">
      <c r="A517">
        <v>2200</v>
      </c>
      <c r="B517">
        <v>12.677</v>
      </c>
      <c r="C517">
        <v>12.645</v>
      </c>
      <c r="D517">
        <v>12.629</v>
      </c>
      <c r="E517">
        <v>12.614000000000001</v>
      </c>
      <c r="F517">
        <v>12.598000000000001</v>
      </c>
      <c r="G517">
        <v>12.582000000000001</v>
      </c>
      <c r="H517">
        <v>12.55</v>
      </c>
      <c r="I517">
        <v>12.519</v>
      </c>
      <c r="N517">
        <v>4400</v>
      </c>
      <c r="O517">
        <v>16.84</v>
      </c>
      <c r="P517">
        <v>14.81</v>
      </c>
      <c r="Q517">
        <v>9.8840000000000003</v>
      </c>
      <c r="R517">
        <v>4.9429999999999996</v>
      </c>
      <c r="S517">
        <v>0</v>
      </c>
      <c r="T517">
        <v>-2.6190000000000002</v>
      </c>
      <c r="U517">
        <v>-5.2380000000000004</v>
      </c>
      <c r="V517">
        <v>-7.86</v>
      </c>
      <c r="W517">
        <v>-10.489000000000001</v>
      </c>
    </row>
    <row r="518" spans="1:23">
      <c r="A518">
        <v>2250</v>
      </c>
      <c r="B518">
        <v>12.958</v>
      </c>
      <c r="C518">
        <v>12.927</v>
      </c>
      <c r="D518">
        <v>12.911</v>
      </c>
      <c r="E518">
        <v>12.895</v>
      </c>
      <c r="F518">
        <v>12.879</v>
      </c>
      <c r="G518">
        <v>12.863</v>
      </c>
      <c r="H518">
        <v>12.832000000000001</v>
      </c>
      <c r="I518">
        <v>12.8</v>
      </c>
      <c r="N518">
        <v>4500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-0.57099999999999995</v>
      </c>
      <c r="W518">
        <v>-5.016</v>
      </c>
    </row>
    <row r="519" spans="1:23">
      <c r="A519">
        <v>2300</v>
      </c>
      <c r="B519">
        <v>13.24</v>
      </c>
      <c r="C519">
        <v>13.208</v>
      </c>
      <c r="D519">
        <v>13.192</v>
      </c>
      <c r="E519">
        <v>13.176</v>
      </c>
      <c r="F519">
        <v>13.161</v>
      </c>
      <c r="G519">
        <v>13.145</v>
      </c>
      <c r="H519">
        <v>13.113</v>
      </c>
      <c r="I519">
        <v>13.081</v>
      </c>
      <c r="N519">
        <v>4600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</row>
    <row r="520" spans="1:23">
      <c r="A520">
        <v>2350</v>
      </c>
      <c r="B520">
        <v>13.521000000000001</v>
      </c>
      <c r="C520">
        <v>13.489000000000001</v>
      </c>
      <c r="D520">
        <v>13.474</v>
      </c>
      <c r="E520">
        <v>13.458</v>
      </c>
      <c r="F520">
        <v>13.442</v>
      </c>
      <c r="G520">
        <v>13.426</v>
      </c>
      <c r="H520">
        <v>13.394</v>
      </c>
      <c r="I520">
        <v>13.363</v>
      </c>
      <c r="N520">
        <v>5023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</row>
    <row r="521" spans="1:23">
      <c r="A521">
        <v>2400</v>
      </c>
      <c r="B521">
        <v>13.803000000000001</v>
      </c>
      <c r="C521">
        <v>13.771000000000001</v>
      </c>
      <c r="D521">
        <v>13.755000000000001</v>
      </c>
      <c r="E521">
        <v>13.739000000000001</v>
      </c>
      <c r="F521">
        <v>13.723000000000001</v>
      </c>
      <c r="G521">
        <v>13.707000000000001</v>
      </c>
      <c r="H521">
        <v>13.676</v>
      </c>
      <c r="I521">
        <v>13.644</v>
      </c>
    </row>
    <row r="522" spans="1:23">
      <c r="A522">
        <v>2450</v>
      </c>
      <c r="B522">
        <v>14.084</v>
      </c>
      <c r="C522">
        <v>14.052</v>
      </c>
      <c r="D522">
        <v>14.036</v>
      </c>
      <c r="E522">
        <v>14.021000000000001</v>
      </c>
      <c r="F522">
        <v>14.005000000000001</v>
      </c>
      <c r="G522">
        <v>13.989000000000001</v>
      </c>
      <c r="H522">
        <v>13.957000000000001</v>
      </c>
      <c r="I522">
        <v>13.925000000000001</v>
      </c>
    </row>
    <row r="523" spans="1:23">
      <c r="A523">
        <v>2500</v>
      </c>
      <c r="B523">
        <v>14.365</v>
      </c>
      <c r="C523">
        <v>14.334</v>
      </c>
      <c r="D523">
        <v>14.318</v>
      </c>
      <c r="E523">
        <v>14.302</v>
      </c>
      <c r="F523">
        <v>14.286</v>
      </c>
      <c r="G523">
        <v>14.27</v>
      </c>
      <c r="H523">
        <v>14.239000000000001</v>
      </c>
      <c r="I523">
        <v>14.207000000000001</v>
      </c>
    </row>
    <row r="524" spans="1:23">
      <c r="A524">
        <v>2550</v>
      </c>
      <c r="B524">
        <v>14.647</v>
      </c>
      <c r="C524">
        <v>14.615</v>
      </c>
      <c r="D524">
        <v>14.599</v>
      </c>
      <c r="E524">
        <v>14.583</v>
      </c>
      <c r="F524">
        <v>14.567</v>
      </c>
      <c r="G524">
        <v>14.552</v>
      </c>
      <c r="H524">
        <v>14.52</v>
      </c>
      <c r="I524">
        <v>14.488</v>
      </c>
    </row>
    <row r="525" spans="1:23">
      <c r="A525">
        <v>2600</v>
      </c>
      <c r="B525">
        <v>14.928000000000001</v>
      </c>
      <c r="C525">
        <v>14.896000000000001</v>
      </c>
      <c r="D525">
        <v>14.881</v>
      </c>
      <c r="E525">
        <v>14.865</v>
      </c>
      <c r="F525">
        <v>14.849</v>
      </c>
      <c r="G525">
        <v>14.833</v>
      </c>
      <c r="H525">
        <v>14.801</v>
      </c>
      <c r="I525">
        <v>14.77</v>
      </c>
    </row>
    <row r="526" spans="1:23">
      <c r="A526">
        <v>2650</v>
      </c>
      <c r="B526">
        <v>15.209</v>
      </c>
      <c r="C526">
        <v>15.178000000000001</v>
      </c>
      <c r="D526">
        <v>15.162000000000001</v>
      </c>
      <c r="E526">
        <v>15.146000000000001</v>
      </c>
      <c r="F526">
        <v>15.13</v>
      </c>
      <c r="G526">
        <v>15.114000000000001</v>
      </c>
      <c r="H526">
        <v>15.083</v>
      </c>
      <c r="I526">
        <v>15.051</v>
      </c>
    </row>
    <row r="527" spans="1:23">
      <c r="A527">
        <v>2700</v>
      </c>
      <c r="B527">
        <v>15.491</v>
      </c>
      <c r="C527">
        <v>15.459</v>
      </c>
      <c r="D527">
        <v>15.443</v>
      </c>
      <c r="E527">
        <v>15.427</v>
      </c>
      <c r="F527">
        <v>15.412000000000001</v>
      </c>
      <c r="G527">
        <v>15.396000000000001</v>
      </c>
      <c r="H527">
        <v>15.364000000000001</v>
      </c>
      <c r="I527">
        <v>15.332000000000001</v>
      </c>
    </row>
    <row r="528" spans="1:23">
      <c r="A528">
        <v>2750</v>
      </c>
      <c r="B528">
        <v>15.772</v>
      </c>
      <c r="C528">
        <v>15.741</v>
      </c>
      <c r="D528">
        <v>15.725</v>
      </c>
      <c r="E528">
        <v>15.709</v>
      </c>
      <c r="F528">
        <v>15.693</v>
      </c>
      <c r="G528">
        <v>15.677</v>
      </c>
      <c r="H528">
        <v>15.645</v>
      </c>
      <c r="I528">
        <v>15.614000000000001</v>
      </c>
    </row>
    <row r="529" spans="1:9">
      <c r="A529">
        <v>2800</v>
      </c>
      <c r="B529">
        <v>16.053999999999998</v>
      </c>
      <c r="C529">
        <v>16.021999999999998</v>
      </c>
      <c r="D529">
        <v>16.006</v>
      </c>
      <c r="E529">
        <v>15.99</v>
      </c>
      <c r="F529">
        <v>15.974</v>
      </c>
      <c r="G529">
        <v>15.959</v>
      </c>
      <c r="H529">
        <v>15.927</v>
      </c>
      <c r="I529">
        <v>15.895</v>
      </c>
    </row>
    <row r="530" spans="1:9">
      <c r="A530">
        <v>2850</v>
      </c>
      <c r="B530">
        <v>16.335000000000001</v>
      </c>
      <c r="C530">
        <v>16.303000000000001</v>
      </c>
      <c r="D530">
        <v>16.286999999999999</v>
      </c>
      <c r="E530">
        <v>16.271999999999998</v>
      </c>
      <c r="F530">
        <v>16.256</v>
      </c>
      <c r="G530">
        <v>16.239999999999998</v>
      </c>
      <c r="H530">
        <v>16.207999999999998</v>
      </c>
      <c r="I530">
        <v>16.175999999999998</v>
      </c>
    </row>
    <row r="531" spans="1:9">
      <c r="A531">
        <v>2900</v>
      </c>
      <c r="B531">
        <v>16.616</v>
      </c>
      <c r="C531">
        <v>16.585000000000001</v>
      </c>
      <c r="D531">
        <v>16.568999999999999</v>
      </c>
      <c r="E531">
        <v>16.553000000000001</v>
      </c>
      <c r="F531">
        <v>16.536999999999999</v>
      </c>
      <c r="G531">
        <v>16.521000000000001</v>
      </c>
      <c r="H531">
        <v>16.489999999999998</v>
      </c>
      <c r="I531">
        <v>16.457999999999998</v>
      </c>
    </row>
    <row r="532" spans="1:9">
      <c r="A532">
        <v>2950</v>
      </c>
      <c r="B532">
        <v>16.898</v>
      </c>
      <c r="C532">
        <v>16.866</v>
      </c>
      <c r="D532">
        <v>16.850000000000001</v>
      </c>
      <c r="E532">
        <v>16.834</v>
      </c>
      <c r="F532">
        <v>16.818999999999999</v>
      </c>
      <c r="G532">
        <v>16.803000000000001</v>
      </c>
      <c r="H532">
        <v>16.771000000000001</v>
      </c>
      <c r="I532">
        <v>16.739000000000001</v>
      </c>
    </row>
    <row r="533" spans="1:9">
      <c r="A533">
        <v>3000</v>
      </c>
      <c r="B533">
        <v>17.178999999999998</v>
      </c>
      <c r="C533">
        <v>17.146999999999998</v>
      </c>
      <c r="D533">
        <v>17.132000000000001</v>
      </c>
      <c r="E533">
        <v>17.116</v>
      </c>
      <c r="F533">
        <v>17.100000000000001</v>
      </c>
      <c r="G533">
        <v>17.084</v>
      </c>
      <c r="H533">
        <v>17.052</v>
      </c>
      <c r="I533">
        <v>17.021000000000001</v>
      </c>
    </row>
    <row r="534" spans="1:9">
      <c r="A534">
        <v>3050</v>
      </c>
      <c r="B534">
        <v>17.460999999999999</v>
      </c>
      <c r="C534">
        <v>17.428999999999998</v>
      </c>
      <c r="D534">
        <v>17.413</v>
      </c>
      <c r="E534">
        <v>17.396999999999998</v>
      </c>
      <c r="F534">
        <v>17.381</v>
      </c>
      <c r="G534">
        <v>17.364999999999998</v>
      </c>
      <c r="H534">
        <v>17.334</v>
      </c>
      <c r="I534">
        <v>17.302</v>
      </c>
    </row>
    <row r="535" spans="1:9">
      <c r="A535">
        <v>3100</v>
      </c>
      <c r="B535">
        <v>17.742000000000001</v>
      </c>
      <c r="C535">
        <v>17.71</v>
      </c>
      <c r="D535">
        <v>17.693999999999999</v>
      </c>
      <c r="E535">
        <v>17.678000000000001</v>
      </c>
      <c r="F535">
        <v>17.663</v>
      </c>
      <c r="G535">
        <v>17.646999999999998</v>
      </c>
      <c r="H535">
        <v>17.614999999999998</v>
      </c>
      <c r="I535">
        <v>17.582999999999998</v>
      </c>
    </row>
    <row r="536" spans="1:9">
      <c r="A536">
        <v>3150</v>
      </c>
      <c r="B536">
        <v>18.023</v>
      </c>
      <c r="C536">
        <v>17.992000000000001</v>
      </c>
      <c r="D536">
        <v>17.975999999999999</v>
      </c>
      <c r="E536">
        <v>17.96</v>
      </c>
      <c r="F536">
        <v>17.943999999999999</v>
      </c>
      <c r="G536">
        <v>17.928000000000001</v>
      </c>
      <c r="H536">
        <v>17.896999999999998</v>
      </c>
      <c r="I536">
        <v>17.864999999999998</v>
      </c>
    </row>
    <row r="537" spans="1:9">
      <c r="A537">
        <v>3200</v>
      </c>
      <c r="B537">
        <v>18.305</v>
      </c>
      <c r="C537">
        <v>18.273</v>
      </c>
      <c r="D537">
        <v>18.257000000000001</v>
      </c>
      <c r="E537">
        <v>18.241</v>
      </c>
      <c r="F537">
        <v>18.225000000000001</v>
      </c>
      <c r="G537">
        <v>18.21</v>
      </c>
      <c r="H537">
        <v>18.178000000000001</v>
      </c>
      <c r="I537">
        <v>18.146000000000001</v>
      </c>
    </row>
    <row r="538" spans="1:9">
      <c r="A538">
        <v>3250</v>
      </c>
      <c r="B538">
        <v>18.585999999999999</v>
      </c>
      <c r="C538">
        <v>18.553999999999998</v>
      </c>
      <c r="D538">
        <v>18.538</v>
      </c>
      <c r="E538">
        <v>18.523</v>
      </c>
      <c r="F538">
        <v>18.507000000000001</v>
      </c>
      <c r="G538">
        <v>18.491</v>
      </c>
      <c r="H538">
        <v>18.459</v>
      </c>
      <c r="I538">
        <v>18.428000000000001</v>
      </c>
    </row>
    <row r="539" spans="1:9">
      <c r="A539">
        <v>3300</v>
      </c>
      <c r="B539">
        <v>18.867000000000001</v>
      </c>
      <c r="C539">
        <v>18.835999999999999</v>
      </c>
      <c r="D539">
        <v>18.82</v>
      </c>
      <c r="E539">
        <v>18.803999999999998</v>
      </c>
      <c r="F539">
        <v>18.788</v>
      </c>
      <c r="G539">
        <v>18.771999999999998</v>
      </c>
      <c r="H539">
        <v>18.741</v>
      </c>
      <c r="I539">
        <v>18.709</v>
      </c>
    </row>
    <row r="540" spans="1:9">
      <c r="A540">
        <v>3350</v>
      </c>
      <c r="B540">
        <v>19.149000000000001</v>
      </c>
      <c r="C540">
        <v>19.117000000000001</v>
      </c>
      <c r="D540">
        <v>19.100999999999999</v>
      </c>
      <c r="E540">
        <v>19.085000000000001</v>
      </c>
      <c r="F540">
        <v>19.07</v>
      </c>
      <c r="G540">
        <v>19.053999999999998</v>
      </c>
      <c r="H540">
        <v>19.021999999999998</v>
      </c>
      <c r="I540">
        <v>18.989999999999998</v>
      </c>
    </row>
    <row r="541" spans="1:9">
      <c r="A541">
        <v>3400</v>
      </c>
      <c r="B541">
        <v>19.43</v>
      </c>
      <c r="C541">
        <v>19.398</v>
      </c>
      <c r="D541">
        <v>19.382999999999999</v>
      </c>
      <c r="E541">
        <v>19.367000000000001</v>
      </c>
      <c r="F541">
        <v>19.350999999999999</v>
      </c>
      <c r="G541">
        <v>19.335000000000001</v>
      </c>
      <c r="H541">
        <v>19.303000000000001</v>
      </c>
      <c r="I541">
        <v>19.271999999999998</v>
      </c>
    </row>
    <row r="542" spans="1:9">
      <c r="A542">
        <v>3450</v>
      </c>
      <c r="B542">
        <v>19.712</v>
      </c>
      <c r="C542">
        <v>19.68</v>
      </c>
      <c r="D542">
        <v>19.664000000000001</v>
      </c>
      <c r="E542">
        <v>19.648</v>
      </c>
      <c r="F542">
        <v>19.632000000000001</v>
      </c>
      <c r="G542">
        <v>19.616</v>
      </c>
      <c r="H542">
        <v>19.585000000000001</v>
      </c>
      <c r="I542">
        <v>19.553000000000001</v>
      </c>
    </row>
    <row r="543" spans="1:9">
      <c r="A543">
        <v>3500</v>
      </c>
      <c r="B543">
        <v>19.992999999999999</v>
      </c>
      <c r="C543">
        <v>19.960999999999999</v>
      </c>
      <c r="D543">
        <v>19.945</v>
      </c>
      <c r="E543">
        <v>19.93</v>
      </c>
      <c r="F543">
        <v>19.914000000000001</v>
      </c>
      <c r="G543">
        <v>19.898</v>
      </c>
      <c r="H543">
        <v>19.866</v>
      </c>
      <c r="I543">
        <v>19.834</v>
      </c>
    </row>
    <row r="544" spans="1:9">
      <c r="A544">
        <v>3550</v>
      </c>
      <c r="B544">
        <v>20.274000000000001</v>
      </c>
      <c r="C544">
        <v>20.242999999999999</v>
      </c>
      <c r="D544">
        <v>20.227</v>
      </c>
      <c r="E544">
        <v>20.210999999999999</v>
      </c>
      <c r="F544">
        <v>20.195</v>
      </c>
      <c r="G544">
        <v>20.178999999999998</v>
      </c>
      <c r="H544">
        <v>20.148</v>
      </c>
      <c r="I544">
        <v>20.116</v>
      </c>
    </row>
    <row r="545" spans="1:9">
      <c r="A545">
        <v>3600</v>
      </c>
      <c r="B545">
        <v>20.556000000000001</v>
      </c>
      <c r="C545">
        <v>20.524000000000001</v>
      </c>
      <c r="D545">
        <v>20.507999999999999</v>
      </c>
      <c r="E545">
        <v>20.492000000000001</v>
      </c>
      <c r="F545">
        <v>20.475999999999999</v>
      </c>
      <c r="G545">
        <v>20.460999999999999</v>
      </c>
      <c r="H545">
        <v>20.428999999999998</v>
      </c>
      <c r="I545">
        <v>20.396999999999998</v>
      </c>
    </row>
    <row r="546" spans="1:9">
      <c r="A546">
        <v>3650</v>
      </c>
      <c r="B546">
        <v>20.837</v>
      </c>
      <c r="C546">
        <v>20.805</v>
      </c>
      <c r="D546">
        <v>20.79</v>
      </c>
      <c r="E546">
        <v>20.774000000000001</v>
      </c>
      <c r="F546">
        <v>20.757999999999999</v>
      </c>
      <c r="G546">
        <v>20.742000000000001</v>
      </c>
      <c r="H546">
        <v>20.71</v>
      </c>
      <c r="I546">
        <v>20.678999999999998</v>
      </c>
    </row>
    <row r="547" spans="1:9">
      <c r="A547">
        <v>3700</v>
      </c>
      <c r="B547">
        <v>21.117999999999999</v>
      </c>
      <c r="C547">
        <v>21.087</v>
      </c>
      <c r="D547">
        <v>21.071000000000002</v>
      </c>
      <c r="E547">
        <v>21.055</v>
      </c>
      <c r="F547">
        <v>21.039000000000001</v>
      </c>
      <c r="G547">
        <v>21.023</v>
      </c>
      <c r="H547">
        <v>20.992000000000001</v>
      </c>
      <c r="I547">
        <v>20.96</v>
      </c>
    </row>
    <row r="548" spans="1:9">
      <c r="A548">
        <v>3750</v>
      </c>
      <c r="B548">
        <v>21.4</v>
      </c>
      <c r="C548">
        <v>21.367999999999999</v>
      </c>
      <c r="D548">
        <v>21.352</v>
      </c>
      <c r="E548">
        <v>21.335999999999999</v>
      </c>
      <c r="F548">
        <v>21.321000000000002</v>
      </c>
      <c r="G548">
        <v>21.305</v>
      </c>
      <c r="H548">
        <v>21.273</v>
      </c>
      <c r="I548">
        <v>21.241</v>
      </c>
    </row>
    <row r="549" spans="1:9">
      <c r="A549">
        <v>3800</v>
      </c>
      <c r="B549">
        <v>21.681000000000001</v>
      </c>
      <c r="C549">
        <v>21.65</v>
      </c>
      <c r="D549">
        <v>21.634</v>
      </c>
      <c r="E549">
        <v>21.617999999999999</v>
      </c>
      <c r="F549">
        <v>21.602</v>
      </c>
      <c r="G549">
        <v>21.585999999999999</v>
      </c>
      <c r="H549">
        <v>21.553999999999998</v>
      </c>
      <c r="I549">
        <v>21.523</v>
      </c>
    </row>
    <row r="550" spans="1:9">
      <c r="A550">
        <v>3850</v>
      </c>
      <c r="B550">
        <v>21.963000000000001</v>
      </c>
      <c r="C550">
        <v>21.931000000000001</v>
      </c>
      <c r="D550">
        <v>21.914999999999999</v>
      </c>
      <c r="E550">
        <v>21.899000000000001</v>
      </c>
      <c r="F550">
        <v>21.882999999999999</v>
      </c>
      <c r="G550">
        <v>21.867999999999999</v>
      </c>
      <c r="H550">
        <v>21.835999999999999</v>
      </c>
      <c r="I550">
        <v>21.803999999999998</v>
      </c>
    </row>
    <row r="551" spans="1:9">
      <c r="A551">
        <v>3900</v>
      </c>
      <c r="B551">
        <v>22.244</v>
      </c>
      <c r="C551">
        <v>22.212</v>
      </c>
      <c r="D551">
        <v>22.196000000000002</v>
      </c>
      <c r="E551">
        <v>22.181000000000001</v>
      </c>
      <c r="F551">
        <v>22.164999999999999</v>
      </c>
      <c r="G551">
        <v>22.149000000000001</v>
      </c>
      <c r="H551">
        <v>22.117000000000001</v>
      </c>
      <c r="I551">
        <v>22.085999999999999</v>
      </c>
    </row>
    <row r="552" spans="1:9">
      <c r="A552">
        <v>3950</v>
      </c>
      <c r="B552">
        <v>22.524999999999999</v>
      </c>
      <c r="C552">
        <v>22.494</v>
      </c>
      <c r="D552">
        <v>22.478000000000002</v>
      </c>
      <c r="E552">
        <v>22.462</v>
      </c>
      <c r="F552">
        <v>22.446000000000002</v>
      </c>
      <c r="G552">
        <v>22.43</v>
      </c>
      <c r="H552">
        <v>22.399000000000001</v>
      </c>
      <c r="I552">
        <v>22.367000000000001</v>
      </c>
    </row>
    <row r="553" spans="1:9">
      <c r="A553">
        <v>4000</v>
      </c>
      <c r="B553">
        <v>22.806999999999999</v>
      </c>
      <c r="C553">
        <v>22.774999999999999</v>
      </c>
      <c r="D553">
        <v>22.759</v>
      </c>
      <c r="E553">
        <v>22.742999999999999</v>
      </c>
      <c r="F553">
        <v>22.728000000000002</v>
      </c>
      <c r="G553">
        <v>22.712</v>
      </c>
      <c r="H553">
        <v>22.68</v>
      </c>
      <c r="I553">
        <v>22.648</v>
      </c>
    </row>
    <row r="554" spans="1:9">
      <c r="A554">
        <v>4050</v>
      </c>
      <c r="B554">
        <v>23.088000000000001</v>
      </c>
      <c r="C554">
        <v>23.056000000000001</v>
      </c>
      <c r="D554">
        <v>23.041</v>
      </c>
      <c r="E554">
        <v>23.024999999999999</v>
      </c>
      <c r="F554">
        <v>23.009</v>
      </c>
      <c r="G554">
        <v>22.992999999999999</v>
      </c>
      <c r="H554">
        <v>22.960999999999999</v>
      </c>
      <c r="I554">
        <v>22.93</v>
      </c>
    </row>
    <row r="555" spans="1:9">
      <c r="A555">
        <v>4100</v>
      </c>
      <c r="B555">
        <v>23.37</v>
      </c>
      <c r="C555">
        <v>23.338000000000001</v>
      </c>
      <c r="D555">
        <v>23.321999999999999</v>
      </c>
      <c r="E555">
        <v>23.306000000000001</v>
      </c>
      <c r="F555">
        <v>23.29</v>
      </c>
      <c r="G555">
        <v>23.274000000000001</v>
      </c>
      <c r="H555">
        <v>23.242999999999999</v>
      </c>
      <c r="I555">
        <v>23.210999999999999</v>
      </c>
    </row>
    <row r="556" spans="1:9">
      <c r="A556">
        <v>4150</v>
      </c>
      <c r="B556">
        <v>23.651</v>
      </c>
      <c r="C556">
        <v>23.619</v>
      </c>
      <c r="D556">
        <v>23.603000000000002</v>
      </c>
      <c r="E556">
        <v>23.588000000000001</v>
      </c>
      <c r="F556">
        <v>23.571999999999999</v>
      </c>
      <c r="G556">
        <v>23.556000000000001</v>
      </c>
      <c r="H556">
        <v>23.524000000000001</v>
      </c>
      <c r="I556">
        <v>23.492000000000001</v>
      </c>
    </row>
    <row r="557" spans="1:9">
      <c r="A557">
        <v>4200</v>
      </c>
      <c r="B557">
        <v>23.931999999999999</v>
      </c>
      <c r="C557">
        <v>23.901</v>
      </c>
      <c r="D557">
        <v>23.885000000000002</v>
      </c>
      <c r="E557">
        <v>23.869</v>
      </c>
      <c r="F557">
        <v>23.853000000000002</v>
      </c>
      <c r="G557">
        <v>23.837</v>
      </c>
      <c r="H557">
        <v>23.806000000000001</v>
      </c>
      <c r="I557">
        <v>23.774000000000001</v>
      </c>
    </row>
    <row r="558" spans="1:9">
      <c r="A558">
        <v>4250</v>
      </c>
      <c r="B558">
        <v>24.213999999999999</v>
      </c>
      <c r="C558">
        <v>24.181999999999999</v>
      </c>
      <c r="D558">
        <v>24.166</v>
      </c>
      <c r="E558">
        <v>24.15</v>
      </c>
      <c r="F558">
        <v>24.134</v>
      </c>
      <c r="G558">
        <v>24.119</v>
      </c>
      <c r="H558">
        <v>24.087</v>
      </c>
      <c r="I558">
        <v>24.055</v>
      </c>
    </row>
    <row r="559" spans="1:9">
      <c r="A559">
        <v>4300</v>
      </c>
      <c r="B559">
        <v>24.495000000000001</v>
      </c>
      <c r="C559">
        <v>24.463000000000001</v>
      </c>
      <c r="D559">
        <v>24.448</v>
      </c>
      <c r="E559">
        <v>24.431999999999999</v>
      </c>
      <c r="F559">
        <v>24.416</v>
      </c>
      <c r="G559">
        <v>24.4</v>
      </c>
      <c r="H559">
        <v>24.367999999999999</v>
      </c>
      <c r="I559">
        <v>24.337</v>
      </c>
    </row>
    <row r="560" spans="1:9">
      <c r="A560">
        <v>4350</v>
      </c>
      <c r="B560">
        <v>24.776</v>
      </c>
      <c r="C560">
        <v>24.745000000000001</v>
      </c>
      <c r="D560">
        <v>24.728999999999999</v>
      </c>
      <c r="E560">
        <v>24.713000000000001</v>
      </c>
      <c r="F560">
        <v>24.696999999999999</v>
      </c>
      <c r="G560">
        <v>24.681000000000001</v>
      </c>
      <c r="H560">
        <v>24.65</v>
      </c>
      <c r="I560">
        <v>24.617999999999999</v>
      </c>
    </row>
    <row r="561" spans="1:9">
      <c r="A561">
        <v>4400</v>
      </c>
      <c r="B561">
        <v>25.058</v>
      </c>
      <c r="C561">
        <v>25.026</v>
      </c>
      <c r="D561">
        <v>25.01</v>
      </c>
      <c r="E561">
        <v>24.994</v>
      </c>
      <c r="F561">
        <v>24.978999999999999</v>
      </c>
      <c r="G561">
        <v>24.963000000000001</v>
      </c>
      <c r="H561">
        <v>24.931000000000001</v>
      </c>
      <c r="I561">
        <v>24.899000000000001</v>
      </c>
    </row>
    <row r="562" spans="1:9">
      <c r="A562">
        <v>4450</v>
      </c>
      <c r="B562">
        <v>25.32</v>
      </c>
      <c r="C562">
        <v>25.308</v>
      </c>
      <c r="D562">
        <v>25.292000000000002</v>
      </c>
      <c r="E562">
        <v>25.276</v>
      </c>
      <c r="F562">
        <v>25.263000000000002</v>
      </c>
      <c r="G562">
        <v>25.244</v>
      </c>
      <c r="H562">
        <v>25.212</v>
      </c>
      <c r="I562">
        <v>25.18</v>
      </c>
    </row>
    <row r="563" spans="1:9">
      <c r="A563">
        <v>4500</v>
      </c>
      <c r="B563">
        <v>25.324000000000002</v>
      </c>
      <c r="C563">
        <v>25.324000000000002</v>
      </c>
      <c r="D563">
        <v>25.324000000000002</v>
      </c>
      <c r="E563">
        <v>25.324000000000002</v>
      </c>
      <c r="F563">
        <v>25.324000000000002</v>
      </c>
      <c r="G563">
        <v>25.324000000000002</v>
      </c>
      <c r="H563">
        <v>25.324000000000002</v>
      </c>
      <c r="I563">
        <v>25.324000000000002</v>
      </c>
    </row>
    <row r="564" spans="1:9">
      <c r="A564">
        <v>4550</v>
      </c>
      <c r="B564">
        <v>25.324000000000002</v>
      </c>
      <c r="C564">
        <v>25.324000000000002</v>
      </c>
      <c r="D564">
        <v>25.324000000000002</v>
      </c>
      <c r="E564">
        <v>25.324000000000002</v>
      </c>
      <c r="F564">
        <v>25.324000000000002</v>
      </c>
      <c r="G564">
        <v>25.324000000000002</v>
      </c>
      <c r="H564">
        <v>25.324000000000002</v>
      </c>
      <c r="I564">
        <v>25.324000000000002</v>
      </c>
    </row>
    <row r="565" spans="1:9">
      <c r="A565">
        <v>5023</v>
      </c>
      <c r="B565">
        <v>25.324000000000002</v>
      </c>
      <c r="C565">
        <v>25.324000000000002</v>
      </c>
      <c r="D565">
        <v>25.324000000000002</v>
      </c>
      <c r="E565">
        <v>25.324000000000002</v>
      </c>
      <c r="F565">
        <v>25.324000000000002</v>
      </c>
      <c r="G565">
        <v>25.324000000000002</v>
      </c>
      <c r="H565">
        <v>25.324000000000002</v>
      </c>
      <c r="I565">
        <v>25.324000000000002</v>
      </c>
    </row>
    <row r="566" spans="1:9" hidden="1"/>
    <row r="567" spans="1:9" hidden="1"/>
    <row r="568" spans="1:9" hidden="1"/>
    <row r="569" spans="1:9" hidden="1"/>
    <row r="570" spans="1:9" hidden="1"/>
    <row r="571" spans="1:9" hidden="1"/>
    <row r="572" spans="1:9" hidden="1"/>
    <row r="573" spans="1:9" hidden="1"/>
    <row r="574" spans="1:9" hidden="1"/>
    <row r="575" spans="1:9" hidden="1"/>
    <row r="576" spans="1:9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spans="1:30" hidden="1"/>
    <row r="690" spans="1:30" hidden="1"/>
    <row r="691" spans="1:30" hidden="1"/>
    <row r="692" spans="1:30" hidden="1"/>
    <row r="694" spans="1:30">
      <c r="A694" t="s">
        <v>246</v>
      </c>
    </row>
    <row r="695" spans="1:30">
      <c r="A695" t="s">
        <v>234</v>
      </c>
    </row>
    <row r="696" spans="1:30">
      <c r="A696" t="s">
        <v>235</v>
      </c>
    </row>
    <row r="697" spans="1:30">
      <c r="A697" t="s">
        <v>236</v>
      </c>
    </row>
    <row r="698" spans="1:30">
      <c r="A698" t="s">
        <v>237</v>
      </c>
    </row>
    <row r="699" spans="1:30">
      <c r="A699" t="s">
        <v>247</v>
      </c>
    </row>
    <row r="701" spans="1:30">
      <c r="A701" t="s">
        <v>248</v>
      </c>
    </row>
    <row r="702" spans="1:30">
      <c r="A702" t="s">
        <v>230</v>
      </c>
      <c r="B702">
        <v>-1</v>
      </c>
      <c r="C702">
        <v>0</v>
      </c>
      <c r="D702">
        <v>0.5</v>
      </c>
      <c r="E702">
        <v>1</v>
      </c>
      <c r="F702">
        <v>1.5</v>
      </c>
      <c r="G702">
        <v>2</v>
      </c>
      <c r="H702">
        <v>3</v>
      </c>
      <c r="I702">
        <v>4</v>
      </c>
      <c r="M702" t="s">
        <v>35</v>
      </c>
      <c r="N702" t="s">
        <v>230</v>
      </c>
      <c r="P702">
        <v>-3</v>
      </c>
      <c r="Q702">
        <v>-2</v>
      </c>
      <c r="R702">
        <v>-1</v>
      </c>
      <c r="S702">
        <v>0</v>
      </c>
      <c r="T702">
        <v>1</v>
      </c>
      <c r="U702">
        <v>2</v>
      </c>
      <c r="V702">
        <v>3</v>
      </c>
      <c r="X702" s="11" t="s">
        <v>231</v>
      </c>
      <c r="AA702" s="1">
        <v>1</v>
      </c>
      <c r="AB702" s="274">
        <v>1250</v>
      </c>
      <c r="AC702" s="186">
        <f>IF((AB702+AB705)&lt;0,AB702,AB702+AB705)</f>
        <v>1263.99</v>
      </c>
      <c r="AD702" s="42">
        <f>IF(AD704=AD703,AD703,Interp1(AC703:AC704,AD703:AD704,AC702))</f>
        <v>9.2590000000000003</v>
      </c>
    </row>
    <row r="703" spans="1:30">
      <c r="A703" s="444">
        <v>0</v>
      </c>
      <c r="B703" s="448">
        <v>0.42</v>
      </c>
      <c r="C703" s="448">
        <v>0.37</v>
      </c>
      <c r="D703" s="448">
        <v>0.35</v>
      </c>
      <c r="E703" s="448">
        <v>0.32</v>
      </c>
      <c r="F703" s="448">
        <v>0.3</v>
      </c>
      <c r="G703" s="448">
        <v>0.28000000000000003</v>
      </c>
      <c r="H703" s="448">
        <v>0.23</v>
      </c>
      <c r="I703" s="448">
        <v>0.18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3.492</v>
      </c>
      <c r="U703">
        <v>6.9850000000000003</v>
      </c>
      <c r="V703">
        <v>10.481</v>
      </c>
      <c r="W703">
        <v>13.984999999999999</v>
      </c>
      <c r="X703" s="11">
        <f t="shared" ref="X703:X734" si="0">C703/hcyl*100</f>
        <v>1.17</v>
      </c>
      <c r="AA703" s="1">
        <f>FLOOR(AB702,incOil2)</f>
        <v>1200</v>
      </c>
      <c r="AB703" s="1">
        <f>Interp2(Oil4Heel1,Oil4Heel2,Oil4Heel3,AA703,AA702)</f>
        <v>13.984</v>
      </c>
      <c r="AC703" s="1">
        <f>FLOOR(AC702,incOil1)</f>
        <v>1250</v>
      </c>
      <c r="AD703" s="42">
        <f>IF(AB708=AB707,AB707,Interp1(AA707:AA708,AB707:AB708,AA706))</f>
        <v>9.1609999999999996</v>
      </c>
    </row>
    <row r="704" spans="1:30">
      <c r="A704" s="444">
        <v>50</v>
      </c>
      <c r="B704" s="448">
        <v>0.77</v>
      </c>
      <c r="C704" s="448">
        <v>0.13</v>
      </c>
      <c r="D704" s="448">
        <v>0.7</v>
      </c>
      <c r="E704" s="448">
        <v>0.68</v>
      </c>
      <c r="F704" s="448">
        <v>0.65</v>
      </c>
      <c r="G704" s="448">
        <v>0.63</v>
      </c>
      <c r="H704" s="448">
        <v>0.57999999999999996</v>
      </c>
      <c r="I704" s="448">
        <v>0.53</v>
      </c>
      <c r="N704">
        <v>100</v>
      </c>
      <c r="O704">
        <v>-13.984999999999999</v>
      </c>
      <c r="P704">
        <v>-10.481</v>
      </c>
      <c r="Q704">
        <v>-6.984</v>
      </c>
      <c r="R704">
        <v>-3.4910000000000001</v>
      </c>
      <c r="S704">
        <v>0</v>
      </c>
      <c r="T704">
        <v>3.4910000000000001</v>
      </c>
      <c r="U704">
        <v>6.984</v>
      </c>
      <c r="V704">
        <v>10.481</v>
      </c>
      <c r="W704">
        <v>13.986000000000001</v>
      </c>
      <c r="X704" s="11">
        <f t="shared" si="0"/>
        <v>0.41</v>
      </c>
      <c r="AA704" s="1">
        <f>IF(AA703=OilSound4,AA703,CEILING(AB702,incOil2))</f>
        <v>1300</v>
      </c>
      <c r="AB704" s="1">
        <f>Interp2(Oil4Heel1,Oil4Heel2,Oil4Heel3,AA704,AA702)</f>
        <v>13.987</v>
      </c>
      <c r="AC704" s="1">
        <f>CEILING(AC702,incOil1)</f>
        <v>1300</v>
      </c>
      <c r="AD704" s="42">
        <f>IF(AC708=AC707,AC707,Interp1(AA707:AA708,AC707:AC708,AA706))</f>
        <v>9.5109999999999992</v>
      </c>
    </row>
    <row r="705" spans="1:30">
      <c r="A705" s="444">
        <v>100</v>
      </c>
      <c r="B705" s="448">
        <v>1.1299999999999999</v>
      </c>
      <c r="C705" s="448">
        <v>1.08</v>
      </c>
      <c r="D705" s="448">
        <v>1.05</v>
      </c>
      <c r="E705" s="448">
        <v>1.03</v>
      </c>
      <c r="F705" s="448">
        <v>1</v>
      </c>
      <c r="G705" s="448">
        <v>0.98</v>
      </c>
      <c r="H705" s="448">
        <v>0.93</v>
      </c>
      <c r="I705" s="448">
        <v>0.88</v>
      </c>
      <c r="N705">
        <v>200</v>
      </c>
      <c r="O705">
        <v>-13.986000000000001</v>
      </c>
      <c r="P705">
        <v>-10.481</v>
      </c>
      <c r="Q705">
        <v>-6.984</v>
      </c>
      <c r="R705">
        <v>-3.4910000000000001</v>
      </c>
      <c r="S705">
        <v>0</v>
      </c>
      <c r="T705">
        <v>3.4910000000000001</v>
      </c>
      <c r="U705">
        <v>6.984</v>
      </c>
      <c r="V705">
        <v>10.481</v>
      </c>
      <c r="W705">
        <v>13.986000000000001</v>
      </c>
      <c r="X705" s="11">
        <f t="shared" si="0"/>
        <v>3.41</v>
      </c>
      <c r="AA705" s="1"/>
      <c r="AB705" s="1">
        <f>IF(AB704=AB703,AB703,Interp1(AA703:AA704,AB703:AB704,AB702))</f>
        <v>13.9855</v>
      </c>
      <c r="AC705" s="1"/>
      <c r="AD705" s="42"/>
    </row>
    <row r="706" spans="1:30">
      <c r="A706" s="444">
        <v>150</v>
      </c>
      <c r="B706" s="448">
        <v>1.48</v>
      </c>
      <c r="C706" s="448">
        <v>1.43</v>
      </c>
      <c r="D706" s="448">
        <v>1.4</v>
      </c>
      <c r="E706" s="448">
        <v>1.38</v>
      </c>
      <c r="F706" s="448">
        <v>1.36</v>
      </c>
      <c r="G706" s="448">
        <v>1.33</v>
      </c>
      <c r="H706" s="448">
        <v>1.28</v>
      </c>
      <c r="I706" s="448">
        <v>1.24</v>
      </c>
      <c r="N706">
        <v>300</v>
      </c>
      <c r="O706">
        <v>-13.984999999999999</v>
      </c>
      <c r="P706">
        <v>-10.481999999999999</v>
      </c>
      <c r="Q706">
        <v>-6.984</v>
      </c>
      <c r="R706">
        <v>-3.4910000000000001</v>
      </c>
      <c r="S706">
        <v>0</v>
      </c>
      <c r="T706">
        <v>3.4910000000000001</v>
      </c>
      <c r="U706">
        <v>6.984</v>
      </c>
      <c r="V706">
        <v>10.481</v>
      </c>
      <c r="W706">
        <v>13.984999999999999</v>
      </c>
      <c r="X706" s="11">
        <f t="shared" si="0"/>
        <v>4.5199999999999996</v>
      </c>
      <c r="AA706" s="1">
        <f>trimDraft</f>
        <v>0.149999999999999</v>
      </c>
      <c r="AB706" s="1"/>
      <c r="AC706" s="1"/>
      <c r="AD706" s="1"/>
    </row>
    <row r="707" spans="1:30">
      <c r="A707" s="444">
        <v>200</v>
      </c>
      <c r="B707" s="448">
        <v>1.83</v>
      </c>
      <c r="C707" s="448">
        <v>1.78</v>
      </c>
      <c r="D707" s="448">
        <v>1.76</v>
      </c>
      <c r="E707" s="448">
        <v>1.73</v>
      </c>
      <c r="F707" s="448">
        <v>1.71</v>
      </c>
      <c r="G707" s="448">
        <v>1.68</v>
      </c>
      <c r="H707" s="448">
        <v>1.64</v>
      </c>
      <c r="I707" s="448">
        <v>1.59</v>
      </c>
      <c r="N707">
        <v>400</v>
      </c>
      <c r="O707">
        <v>-13.984999999999999</v>
      </c>
      <c r="P707">
        <v>-10.481</v>
      </c>
      <c r="Q707">
        <v>-6.9850000000000003</v>
      </c>
      <c r="R707">
        <v>-3.4910000000000001</v>
      </c>
      <c r="S707">
        <v>0</v>
      </c>
      <c r="T707">
        <v>3.4910000000000001</v>
      </c>
      <c r="U707">
        <v>6.984</v>
      </c>
      <c r="V707">
        <v>10.481999999999999</v>
      </c>
      <c r="W707">
        <v>13.984999999999999</v>
      </c>
      <c r="X707" s="11">
        <f t="shared" si="0"/>
        <v>5.62</v>
      </c>
      <c r="AA707" s="1">
        <f>INDEX(Oil4Trim2,0,MATCH(AA706,Oil4Trim2,1))</f>
        <v>0</v>
      </c>
      <c r="AB707" s="1">
        <f>Interp2(Oil4Trim1,Oil4Trim2,Oil4Trim3,AC703,AA707)</f>
        <v>9.17</v>
      </c>
      <c r="AC707" s="1">
        <f>Interp2(Oil4Trim1,Oil4Trim2,Oil4Trim3,AC704,AA707)</f>
        <v>9.52</v>
      </c>
      <c r="AD707" s="1"/>
    </row>
    <row r="708" spans="1:30">
      <c r="A708" s="444">
        <v>250</v>
      </c>
      <c r="B708" s="448">
        <v>2.1800000000000002</v>
      </c>
      <c r="C708" s="448">
        <v>2.13</v>
      </c>
      <c r="D708" s="448">
        <v>2.11</v>
      </c>
      <c r="E708" s="448">
        <v>2.08</v>
      </c>
      <c r="F708" s="448">
        <v>2.06</v>
      </c>
      <c r="G708" s="448">
        <v>2.04</v>
      </c>
      <c r="H708" s="448">
        <v>1.99</v>
      </c>
      <c r="I708" s="448">
        <v>1.94</v>
      </c>
      <c r="N708">
        <v>500</v>
      </c>
      <c r="O708">
        <v>-13.984999999999999</v>
      </c>
      <c r="P708">
        <v>-10.481</v>
      </c>
      <c r="Q708">
        <v>-6.9850000000000003</v>
      </c>
      <c r="R708">
        <v>-3.492</v>
      </c>
      <c r="S708">
        <v>0</v>
      </c>
      <c r="T708">
        <v>3.4910000000000001</v>
      </c>
      <c r="U708">
        <v>6.984</v>
      </c>
      <c r="V708">
        <v>10.481</v>
      </c>
      <c r="W708">
        <v>13.986000000000001</v>
      </c>
      <c r="X708" s="11">
        <f t="shared" si="0"/>
        <v>6.73</v>
      </c>
      <c r="AA708" s="1">
        <f>IF(AA707=AA706,AA706,INDEX(Oil4Trim2,0,MATCH(AA706,Oil4Trim2,1)+1))</f>
        <v>0.5</v>
      </c>
      <c r="AB708" s="1">
        <f>Interp2(Oil4Trim1,Oil4Trim2,Oil4Trim3,AC703,AA708)</f>
        <v>9.14</v>
      </c>
      <c r="AC708" s="1">
        <f>Interp2(Oil4Trim1,Oil4Trim2,Oil4Trim3,AC704,AA708)</f>
        <v>9.49</v>
      </c>
      <c r="AD708" s="1"/>
    </row>
    <row r="709" spans="1:30">
      <c r="A709" s="444">
        <v>300</v>
      </c>
      <c r="B709" s="448">
        <v>2.5299999999999998</v>
      </c>
      <c r="C709" s="448">
        <v>2.48</v>
      </c>
      <c r="D709" s="448">
        <v>2.46</v>
      </c>
      <c r="E709" s="448">
        <v>2.44</v>
      </c>
      <c r="F709" s="448">
        <v>2.41</v>
      </c>
      <c r="G709" s="448">
        <v>2.39</v>
      </c>
      <c r="H709" s="448">
        <v>2.34</v>
      </c>
      <c r="I709" s="448">
        <v>2.29</v>
      </c>
      <c r="N709">
        <v>600</v>
      </c>
      <c r="O709">
        <v>-13.984999999999999</v>
      </c>
      <c r="P709">
        <v>-10.481</v>
      </c>
      <c r="Q709">
        <v>-6.9850000000000003</v>
      </c>
      <c r="R709">
        <v>-3.492</v>
      </c>
      <c r="S709">
        <v>0</v>
      </c>
      <c r="T709">
        <v>3.4910000000000001</v>
      </c>
      <c r="U709">
        <v>6.984</v>
      </c>
      <c r="V709">
        <v>10.481</v>
      </c>
      <c r="W709">
        <v>13.986000000000001</v>
      </c>
      <c r="X709" s="11">
        <f t="shared" si="0"/>
        <v>7.83</v>
      </c>
    </row>
    <row r="710" spans="1:30">
      <c r="A710" s="444">
        <v>350</v>
      </c>
      <c r="B710" s="448">
        <v>2.88</v>
      </c>
      <c r="C710" s="448">
        <v>2.84</v>
      </c>
      <c r="D710" s="448">
        <v>2.81</v>
      </c>
      <c r="E710" s="448">
        <v>2.79</v>
      </c>
      <c r="F710" s="448">
        <v>2.76</v>
      </c>
      <c r="G710" s="448">
        <v>2.74</v>
      </c>
      <c r="H710" s="448">
        <v>2.69</v>
      </c>
      <c r="I710" s="448">
        <v>2.64</v>
      </c>
      <c r="N710">
        <v>700</v>
      </c>
      <c r="O710">
        <v>-13.986000000000001</v>
      </c>
      <c r="P710">
        <v>-10.48</v>
      </c>
      <c r="Q710">
        <v>-6.984</v>
      </c>
      <c r="R710">
        <v>-3.492</v>
      </c>
      <c r="S710">
        <v>0</v>
      </c>
      <c r="T710">
        <v>3.4910000000000001</v>
      </c>
      <c r="U710">
        <v>6.9850000000000003</v>
      </c>
      <c r="V710">
        <v>10.481999999999999</v>
      </c>
      <c r="W710">
        <v>13.984999999999999</v>
      </c>
      <c r="X710" s="11">
        <f t="shared" si="0"/>
        <v>8.9700000000000006</v>
      </c>
      <c r="AA710">
        <f>COUNT(A703:W795)</f>
        <v>1317</v>
      </c>
    </row>
    <row r="711" spans="1:30">
      <c r="A711" s="444">
        <v>400</v>
      </c>
      <c r="B711" s="448">
        <v>3.24</v>
      </c>
      <c r="C711" s="448">
        <v>3.19</v>
      </c>
      <c r="D711" s="448">
        <v>3.16</v>
      </c>
      <c r="E711" s="448">
        <v>3.14</v>
      </c>
      <c r="F711" s="448">
        <v>3.11</v>
      </c>
      <c r="G711" s="448">
        <v>3.09</v>
      </c>
      <c r="H711" s="448">
        <v>3.04</v>
      </c>
      <c r="I711" s="448">
        <v>2.99</v>
      </c>
      <c r="N711">
        <v>800</v>
      </c>
      <c r="O711">
        <v>-13.986000000000001</v>
      </c>
      <c r="P711">
        <v>-10.481</v>
      </c>
      <c r="Q711">
        <v>-6.984</v>
      </c>
      <c r="R711">
        <v>-3.492</v>
      </c>
      <c r="S711">
        <v>0</v>
      </c>
      <c r="T711">
        <v>3.4910000000000001</v>
      </c>
      <c r="U711">
        <v>6.9850000000000003</v>
      </c>
      <c r="V711">
        <v>10.481</v>
      </c>
      <c r="W711">
        <v>13.986000000000001</v>
      </c>
      <c r="X711" s="11">
        <f t="shared" si="0"/>
        <v>10.08</v>
      </c>
      <c r="AA711">
        <f>COUNTA(A703:W795)</f>
        <v>1317</v>
      </c>
    </row>
    <row r="712" spans="1:30">
      <c r="A712" s="444">
        <v>450</v>
      </c>
      <c r="B712" s="448">
        <v>3.59</v>
      </c>
      <c r="C712" s="448">
        <v>3.54</v>
      </c>
      <c r="D712" s="448">
        <v>3.51</v>
      </c>
      <c r="E712" s="448">
        <v>3.49</v>
      </c>
      <c r="F712" s="448">
        <v>3.47</v>
      </c>
      <c r="G712" s="448">
        <v>3.44</v>
      </c>
      <c r="H712" s="448">
        <v>3.39</v>
      </c>
      <c r="I712" s="448">
        <v>3.35</v>
      </c>
      <c r="N712">
        <v>900</v>
      </c>
      <c r="O712">
        <v>-13.984999999999999</v>
      </c>
      <c r="P712">
        <v>-10.483000000000001</v>
      </c>
      <c r="Q712">
        <v>-6.984</v>
      </c>
      <c r="R712">
        <v>-3.492</v>
      </c>
      <c r="S712">
        <v>0</v>
      </c>
      <c r="T712">
        <v>3.4910000000000001</v>
      </c>
      <c r="U712">
        <v>6.984</v>
      </c>
      <c r="V712">
        <v>10.481</v>
      </c>
      <c r="W712">
        <v>13.984999999999999</v>
      </c>
      <c r="X712" s="11">
        <f t="shared" si="0"/>
        <v>11.18</v>
      </c>
    </row>
    <row r="713" spans="1:30">
      <c r="A713" s="444">
        <v>500</v>
      </c>
      <c r="B713" s="448">
        <v>3.94</v>
      </c>
      <c r="C713" s="448">
        <v>3.89</v>
      </c>
      <c r="D713" s="448">
        <v>3.87</v>
      </c>
      <c r="E713" s="448">
        <v>3.84</v>
      </c>
      <c r="F713" s="448">
        <v>3.82</v>
      </c>
      <c r="G713" s="448">
        <v>3.79</v>
      </c>
      <c r="H713" s="448">
        <v>3.75</v>
      </c>
      <c r="I713" s="448">
        <v>3.7</v>
      </c>
      <c r="N713">
        <v>1000</v>
      </c>
      <c r="O713">
        <v>-13.983000000000001</v>
      </c>
      <c r="P713">
        <v>-10.483000000000001</v>
      </c>
      <c r="Q713">
        <v>-6.984</v>
      </c>
      <c r="R713">
        <v>-3.492</v>
      </c>
      <c r="S713">
        <v>0</v>
      </c>
      <c r="T713">
        <v>3.4910000000000001</v>
      </c>
      <c r="U713">
        <v>6.984</v>
      </c>
      <c r="V713">
        <v>10.481</v>
      </c>
      <c r="W713">
        <v>13.984999999999999</v>
      </c>
      <c r="X713" s="11">
        <f t="shared" si="0"/>
        <v>12.29</v>
      </c>
    </row>
    <row r="714" spans="1:30">
      <c r="A714" s="444">
        <v>550</v>
      </c>
      <c r="B714" s="448">
        <v>4.29</v>
      </c>
      <c r="C714" s="448">
        <v>4.24</v>
      </c>
      <c r="D714" s="448">
        <v>4.22</v>
      </c>
      <c r="E714" s="448">
        <v>4.1900000000000004</v>
      </c>
      <c r="F714" s="448">
        <v>4.17</v>
      </c>
      <c r="G714" s="448">
        <v>4.1500000000000004</v>
      </c>
      <c r="H714" s="448">
        <v>4.0999999999999996</v>
      </c>
      <c r="I714" s="448">
        <v>4.05</v>
      </c>
      <c r="N714">
        <v>1100</v>
      </c>
      <c r="O714">
        <v>-13.984999999999999</v>
      </c>
      <c r="P714">
        <v>-10.481</v>
      </c>
      <c r="Q714">
        <v>-6.984</v>
      </c>
      <c r="R714">
        <v>-3.492</v>
      </c>
      <c r="S714">
        <v>0</v>
      </c>
      <c r="T714">
        <v>3.4910000000000001</v>
      </c>
      <c r="U714">
        <v>6.984</v>
      </c>
      <c r="V714">
        <v>10.481</v>
      </c>
      <c r="W714">
        <v>13.984999999999999</v>
      </c>
      <c r="X714" s="11">
        <f t="shared" si="0"/>
        <v>13.39</v>
      </c>
    </row>
    <row r="715" spans="1:30">
      <c r="A715" s="444">
        <v>600</v>
      </c>
      <c r="B715" s="448">
        <v>4.6399999999999997</v>
      </c>
      <c r="C715" s="448">
        <v>4.59</v>
      </c>
      <c r="D715" s="448">
        <v>4.57</v>
      </c>
      <c r="E715" s="448">
        <v>4.55</v>
      </c>
      <c r="F715" s="448">
        <v>4.5199999999999996</v>
      </c>
      <c r="G715" s="448">
        <v>4.5</v>
      </c>
      <c r="H715" s="448">
        <v>4.45</v>
      </c>
      <c r="I715" s="448">
        <v>4.4000000000000004</v>
      </c>
      <c r="N715">
        <v>1200</v>
      </c>
      <c r="O715">
        <v>-13.984999999999999</v>
      </c>
      <c r="P715">
        <v>-10.483000000000001</v>
      </c>
      <c r="Q715">
        <v>-6.984</v>
      </c>
      <c r="R715">
        <v>-3.492</v>
      </c>
      <c r="S715">
        <v>0</v>
      </c>
      <c r="T715">
        <v>3.4910000000000001</v>
      </c>
      <c r="U715">
        <v>6.984</v>
      </c>
      <c r="V715">
        <v>10.48</v>
      </c>
      <c r="W715">
        <v>13.984</v>
      </c>
      <c r="X715" s="11">
        <f t="shared" si="0"/>
        <v>14.5</v>
      </c>
    </row>
    <row r="716" spans="1:30">
      <c r="A716" s="444">
        <v>650</v>
      </c>
      <c r="B716" s="448">
        <v>4.99</v>
      </c>
      <c r="C716" s="448">
        <v>4.95</v>
      </c>
      <c r="D716" s="448">
        <v>4.92</v>
      </c>
      <c r="E716" s="448">
        <v>4.9000000000000004</v>
      </c>
      <c r="F716" s="448">
        <v>4.87</v>
      </c>
      <c r="G716" s="448">
        <v>4.8499999999999996</v>
      </c>
      <c r="H716" s="448">
        <v>4.8</v>
      </c>
      <c r="I716" s="448">
        <v>4.75</v>
      </c>
      <c r="N716">
        <v>1300</v>
      </c>
      <c r="O716">
        <v>-13.983000000000001</v>
      </c>
      <c r="P716">
        <v>-10.481</v>
      </c>
      <c r="Q716">
        <v>-6.984</v>
      </c>
      <c r="R716">
        <v>-3.492</v>
      </c>
      <c r="S716">
        <v>0</v>
      </c>
      <c r="T716">
        <v>3.49</v>
      </c>
      <c r="U716">
        <v>6.984</v>
      </c>
      <c r="V716">
        <v>10.481999999999999</v>
      </c>
      <c r="W716">
        <v>13.987</v>
      </c>
      <c r="X716" s="11">
        <f t="shared" si="0"/>
        <v>15.63</v>
      </c>
    </row>
    <row r="717" spans="1:30">
      <c r="A717" s="444">
        <v>700</v>
      </c>
      <c r="B717" s="448">
        <v>5.35</v>
      </c>
      <c r="C717" s="448">
        <v>5.3</v>
      </c>
      <c r="D717" s="448">
        <v>5.27</v>
      </c>
      <c r="E717" s="448">
        <v>5.25</v>
      </c>
      <c r="F717" s="448">
        <v>5.22</v>
      </c>
      <c r="G717" s="448">
        <v>5.2</v>
      </c>
      <c r="H717" s="448">
        <v>5.15</v>
      </c>
      <c r="I717" s="448">
        <v>5.0999999999999996</v>
      </c>
      <c r="N717">
        <v>1400</v>
      </c>
      <c r="O717">
        <v>-13.986000000000001</v>
      </c>
      <c r="P717">
        <v>-10.481</v>
      </c>
      <c r="Q717">
        <v>-6.984</v>
      </c>
      <c r="R717">
        <v>-3.492</v>
      </c>
      <c r="S717">
        <v>0</v>
      </c>
      <c r="T717">
        <v>3.49</v>
      </c>
      <c r="U717">
        <v>6.9820000000000002</v>
      </c>
      <c r="V717">
        <v>10.481999999999999</v>
      </c>
      <c r="W717">
        <v>13.984999999999999</v>
      </c>
      <c r="X717" s="11">
        <f t="shared" si="0"/>
        <v>16.739999999999998</v>
      </c>
    </row>
    <row r="718" spans="1:30">
      <c r="A718" s="444">
        <v>750</v>
      </c>
      <c r="B718" s="448">
        <v>5.7</v>
      </c>
      <c r="C718" s="448">
        <v>5.65</v>
      </c>
      <c r="D718" s="448">
        <v>5.63</v>
      </c>
      <c r="E718" s="448">
        <v>5.6</v>
      </c>
      <c r="F718" s="448">
        <v>5.58</v>
      </c>
      <c r="G718" s="448">
        <v>5.55</v>
      </c>
      <c r="H718" s="448">
        <v>5.5</v>
      </c>
      <c r="I718" s="448">
        <v>5.46</v>
      </c>
      <c r="N718">
        <v>1500</v>
      </c>
      <c r="O718">
        <v>-13.986000000000001</v>
      </c>
      <c r="P718">
        <v>-10.483000000000001</v>
      </c>
      <c r="Q718">
        <v>-6.984</v>
      </c>
      <c r="R718">
        <v>-3.492</v>
      </c>
      <c r="S718">
        <v>0</v>
      </c>
      <c r="T718">
        <v>3.49</v>
      </c>
      <c r="U718">
        <v>6.9820000000000002</v>
      </c>
      <c r="V718">
        <v>10.481</v>
      </c>
      <c r="W718">
        <v>13.986000000000001</v>
      </c>
      <c r="X718" s="11">
        <f t="shared" si="0"/>
        <v>17.850000000000001</v>
      </c>
    </row>
    <row r="719" spans="1:30">
      <c r="A719" s="444">
        <v>800</v>
      </c>
      <c r="B719" s="448">
        <v>6.05</v>
      </c>
      <c r="C719" s="448">
        <v>6</v>
      </c>
      <c r="D719" s="448">
        <v>5.98</v>
      </c>
      <c r="E719" s="448">
        <v>5.95</v>
      </c>
      <c r="F719" s="448">
        <v>5.93</v>
      </c>
      <c r="G719" s="448">
        <v>5.9</v>
      </c>
      <c r="H719" s="448">
        <v>5.86</v>
      </c>
      <c r="I719" s="448">
        <v>5.81</v>
      </c>
      <c r="N719">
        <v>1600</v>
      </c>
      <c r="O719">
        <v>-13.983000000000001</v>
      </c>
      <c r="P719">
        <v>-10.483000000000001</v>
      </c>
      <c r="Q719">
        <v>-6.984</v>
      </c>
      <c r="R719">
        <v>-3.492</v>
      </c>
      <c r="S719">
        <v>0</v>
      </c>
      <c r="T719">
        <v>3.49</v>
      </c>
      <c r="U719">
        <v>6.9820000000000002</v>
      </c>
      <c r="V719">
        <v>10.483000000000001</v>
      </c>
      <c r="W719">
        <v>13.986000000000001</v>
      </c>
      <c r="X719" s="11">
        <f t="shared" si="0"/>
        <v>18.95</v>
      </c>
    </row>
    <row r="720" spans="1:30">
      <c r="A720" s="444">
        <v>850</v>
      </c>
      <c r="B720" s="448">
        <v>6.4</v>
      </c>
      <c r="C720" s="448">
        <v>6.35</v>
      </c>
      <c r="D720" s="448">
        <v>6.33</v>
      </c>
      <c r="E720" s="448">
        <v>6.3</v>
      </c>
      <c r="F720" s="448">
        <v>6.28</v>
      </c>
      <c r="G720" s="448">
        <v>6.26</v>
      </c>
      <c r="H720" s="448">
        <v>6.21</v>
      </c>
      <c r="I720" s="448">
        <v>6.16</v>
      </c>
      <c r="N720">
        <v>1700</v>
      </c>
      <c r="O720">
        <v>-13.983000000000001</v>
      </c>
      <c r="P720">
        <v>-10.483000000000001</v>
      </c>
      <c r="Q720">
        <v>-6.984</v>
      </c>
      <c r="R720">
        <v>-3.492</v>
      </c>
      <c r="S720">
        <v>0</v>
      </c>
      <c r="T720">
        <v>3.49</v>
      </c>
      <c r="U720">
        <v>6.9820000000000002</v>
      </c>
      <c r="V720">
        <v>10.481</v>
      </c>
      <c r="W720">
        <v>13.986000000000001</v>
      </c>
      <c r="X720" s="11">
        <f t="shared" si="0"/>
        <v>20.059999999999999</v>
      </c>
    </row>
    <row r="721" spans="1:24">
      <c r="A721" s="444">
        <v>900</v>
      </c>
      <c r="B721" s="448">
        <v>6.75</v>
      </c>
      <c r="C721" s="448">
        <v>6.7</v>
      </c>
      <c r="D721" s="448">
        <v>6.68</v>
      </c>
      <c r="E721" s="448">
        <v>6.66</v>
      </c>
      <c r="F721" s="448">
        <v>6.63</v>
      </c>
      <c r="G721" s="448">
        <v>6.61</v>
      </c>
      <c r="H721" s="448">
        <v>6.56</v>
      </c>
      <c r="I721" s="448">
        <v>6.51</v>
      </c>
      <c r="N721">
        <v>1800</v>
      </c>
      <c r="O721">
        <v>-13.984999999999999</v>
      </c>
      <c r="P721">
        <v>-10.483000000000001</v>
      </c>
      <c r="Q721">
        <v>-6.984</v>
      </c>
      <c r="R721">
        <v>-3.492</v>
      </c>
      <c r="S721">
        <v>0</v>
      </c>
      <c r="T721">
        <v>3.49</v>
      </c>
      <c r="U721">
        <v>6.9820000000000002</v>
      </c>
      <c r="V721">
        <v>10.481</v>
      </c>
      <c r="W721">
        <v>13.983000000000001</v>
      </c>
      <c r="X721" s="11">
        <f t="shared" si="0"/>
        <v>21.16</v>
      </c>
    </row>
    <row r="722" spans="1:24">
      <c r="A722" s="444">
        <v>950</v>
      </c>
      <c r="B722" s="448">
        <v>7.1</v>
      </c>
      <c r="C722" s="448">
        <v>7.06</v>
      </c>
      <c r="D722" s="448">
        <v>7.03</v>
      </c>
      <c r="E722" s="448">
        <v>7.01</v>
      </c>
      <c r="F722" s="448">
        <v>6.98</v>
      </c>
      <c r="G722" s="448">
        <v>6.96</v>
      </c>
      <c r="H722" s="448">
        <v>6.91</v>
      </c>
      <c r="I722" s="448">
        <v>6.86</v>
      </c>
      <c r="N722">
        <v>1900</v>
      </c>
      <c r="O722">
        <v>-13.984999999999999</v>
      </c>
      <c r="P722">
        <v>-10.481</v>
      </c>
      <c r="Q722">
        <v>-6.9820000000000002</v>
      </c>
      <c r="R722">
        <v>-3.492</v>
      </c>
      <c r="S722">
        <v>0</v>
      </c>
      <c r="T722">
        <v>3.49</v>
      </c>
      <c r="U722">
        <v>6.984</v>
      </c>
      <c r="V722">
        <v>10.483000000000001</v>
      </c>
      <c r="W722">
        <v>13.984</v>
      </c>
      <c r="X722" s="11">
        <f t="shared" si="0"/>
        <v>22.3</v>
      </c>
    </row>
    <row r="723" spans="1:24">
      <c r="A723" s="444">
        <v>1000</v>
      </c>
      <c r="B723" s="448">
        <v>7.46</v>
      </c>
      <c r="C723" s="448">
        <v>7.41</v>
      </c>
      <c r="D723" s="448">
        <v>7.38</v>
      </c>
      <c r="E723" s="448">
        <v>7.36</v>
      </c>
      <c r="F723" s="448">
        <v>7.34</v>
      </c>
      <c r="G723" s="448">
        <v>7.31</v>
      </c>
      <c r="H723" s="448">
        <v>7.26</v>
      </c>
      <c r="I723" s="448">
        <v>7.21</v>
      </c>
      <c r="N723">
        <v>2000</v>
      </c>
      <c r="O723">
        <v>-13.983000000000001</v>
      </c>
      <c r="P723">
        <v>-10.481</v>
      </c>
      <c r="Q723">
        <v>-6.9820000000000002</v>
      </c>
      <c r="R723">
        <v>-3.492</v>
      </c>
      <c r="S723">
        <v>0</v>
      </c>
      <c r="T723">
        <v>3.49</v>
      </c>
      <c r="U723">
        <v>6.984</v>
      </c>
      <c r="V723">
        <v>10.483000000000001</v>
      </c>
      <c r="W723">
        <v>13.986000000000001</v>
      </c>
      <c r="X723" s="11">
        <f t="shared" si="0"/>
        <v>23.4</v>
      </c>
    </row>
    <row r="724" spans="1:24">
      <c r="A724" s="444">
        <v>1050</v>
      </c>
      <c r="B724" s="448">
        <v>7.81</v>
      </c>
      <c r="C724" s="448">
        <v>7.76</v>
      </c>
      <c r="D724" s="448">
        <v>7.74</v>
      </c>
      <c r="E724" s="448">
        <v>7.71</v>
      </c>
      <c r="F724" s="448">
        <v>7.69</v>
      </c>
      <c r="G724" s="448">
        <v>7.66</v>
      </c>
      <c r="H724" s="448">
        <v>7.61</v>
      </c>
      <c r="I724" s="448">
        <v>7.57</v>
      </c>
      <c r="N724">
        <v>2100</v>
      </c>
      <c r="O724">
        <v>-13.984999999999999</v>
      </c>
      <c r="P724">
        <v>-10.481</v>
      </c>
      <c r="Q724">
        <v>-6.9820000000000002</v>
      </c>
      <c r="R724">
        <v>-3.492</v>
      </c>
      <c r="S724">
        <v>0</v>
      </c>
      <c r="T724">
        <v>3.49</v>
      </c>
      <c r="U724">
        <v>6.984</v>
      </c>
      <c r="V724">
        <v>10.483000000000001</v>
      </c>
      <c r="W724">
        <v>13.984999999999999</v>
      </c>
      <c r="X724" s="11">
        <f t="shared" si="0"/>
        <v>24.51</v>
      </c>
    </row>
    <row r="725" spans="1:24">
      <c r="A725" s="444">
        <v>1100</v>
      </c>
      <c r="B725" s="448">
        <v>8.16</v>
      </c>
      <c r="C725" s="448">
        <v>8.11</v>
      </c>
      <c r="D725" s="448">
        <v>8.09</v>
      </c>
      <c r="E725" s="448">
        <v>8.06</v>
      </c>
      <c r="F725" s="448">
        <v>8.0399999999999991</v>
      </c>
      <c r="G725" s="448">
        <v>8.01</v>
      </c>
      <c r="H725" s="448">
        <v>7.97</v>
      </c>
      <c r="I725" s="448">
        <v>7.92</v>
      </c>
      <c r="N725">
        <v>2200</v>
      </c>
      <c r="O725">
        <v>-13.984999999999999</v>
      </c>
      <c r="P725">
        <v>-10.483000000000001</v>
      </c>
      <c r="Q725">
        <v>-6.9820000000000002</v>
      </c>
      <c r="R725">
        <v>-3.492</v>
      </c>
      <c r="S725">
        <v>0</v>
      </c>
      <c r="T725">
        <v>3.49</v>
      </c>
      <c r="U725">
        <v>6.984</v>
      </c>
      <c r="V725">
        <v>10.483000000000001</v>
      </c>
      <c r="W725">
        <v>13.984</v>
      </c>
      <c r="X725" s="11">
        <f t="shared" si="0"/>
        <v>25.62</v>
      </c>
    </row>
    <row r="726" spans="1:24">
      <c r="A726" s="444">
        <v>1150</v>
      </c>
      <c r="B726" s="448">
        <v>8.51</v>
      </c>
      <c r="C726" s="448">
        <v>8.4600000000000009</v>
      </c>
      <c r="D726" s="448">
        <v>8.44</v>
      </c>
      <c r="E726" s="448">
        <v>8.41</v>
      </c>
      <c r="F726" s="448">
        <v>8.39</v>
      </c>
      <c r="G726" s="448">
        <v>8.3699999999999992</v>
      </c>
      <c r="H726" s="448">
        <v>8.32</v>
      </c>
      <c r="I726" s="448">
        <v>8.27</v>
      </c>
      <c r="N726">
        <v>2300</v>
      </c>
      <c r="O726">
        <v>-13.983000000000001</v>
      </c>
      <c r="P726">
        <v>-10.483000000000001</v>
      </c>
      <c r="Q726">
        <v>-6.9820000000000002</v>
      </c>
      <c r="R726">
        <v>-3.492</v>
      </c>
      <c r="S726">
        <v>0</v>
      </c>
      <c r="T726">
        <v>3.49</v>
      </c>
      <c r="U726">
        <v>6.984</v>
      </c>
      <c r="V726">
        <v>10.481</v>
      </c>
      <c r="W726">
        <v>13.984999999999999</v>
      </c>
      <c r="X726" s="11">
        <f t="shared" si="0"/>
        <v>26.72</v>
      </c>
    </row>
    <row r="727" spans="1:24">
      <c r="A727" s="444">
        <v>1200</v>
      </c>
      <c r="B727" s="448">
        <v>8.86</v>
      </c>
      <c r="C727" s="448">
        <v>8.81</v>
      </c>
      <c r="D727" s="448">
        <v>8.7899999999999991</v>
      </c>
      <c r="E727" s="448">
        <v>8.77</v>
      </c>
      <c r="F727" s="448">
        <v>8.74</v>
      </c>
      <c r="G727" s="448">
        <v>8.7200000000000006</v>
      </c>
      <c r="H727" s="448">
        <v>8.67</v>
      </c>
      <c r="I727" s="448">
        <v>8.6199999999999992</v>
      </c>
      <c r="N727">
        <v>2400</v>
      </c>
      <c r="O727">
        <v>-13.983000000000001</v>
      </c>
      <c r="P727">
        <v>-10.483000000000001</v>
      </c>
      <c r="Q727">
        <v>-6.984</v>
      </c>
      <c r="R727">
        <v>-3.492</v>
      </c>
      <c r="S727">
        <v>0</v>
      </c>
      <c r="T727">
        <v>3.49</v>
      </c>
      <c r="U727">
        <v>6.984</v>
      </c>
      <c r="V727">
        <v>10.481</v>
      </c>
      <c r="W727">
        <v>13.986000000000001</v>
      </c>
      <c r="X727" s="11">
        <f t="shared" si="0"/>
        <v>27.83</v>
      </c>
    </row>
    <row r="728" spans="1:24">
      <c r="A728" s="444">
        <v>1250</v>
      </c>
      <c r="B728" s="448">
        <v>9.2100000000000009</v>
      </c>
      <c r="C728" s="448">
        <v>9.17</v>
      </c>
      <c r="D728" s="448">
        <v>9.14</v>
      </c>
      <c r="E728" s="448">
        <v>9.1199999999999992</v>
      </c>
      <c r="F728" s="448">
        <v>9.09</v>
      </c>
      <c r="G728" s="448">
        <v>9.07</v>
      </c>
      <c r="H728" s="448">
        <v>9.02</v>
      </c>
      <c r="I728" s="448">
        <v>8.9700000000000006</v>
      </c>
      <c r="N728">
        <v>2500</v>
      </c>
      <c r="O728">
        <v>-13.984999999999999</v>
      </c>
      <c r="P728">
        <v>-10.483000000000001</v>
      </c>
      <c r="Q728">
        <v>-6.984</v>
      </c>
      <c r="R728">
        <v>-3.492</v>
      </c>
      <c r="S728">
        <v>0</v>
      </c>
      <c r="T728">
        <v>3.49</v>
      </c>
      <c r="U728">
        <v>6.984</v>
      </c>
      <c r="V728">
        <v>10.481</v>
      </c>
      <c r="W728">
        <v>13.983000000000001</v>
      </c>
      <c r="X728" s="11">
        <f t="shared" si="0"/>
        <v>28.96</v>
      </c>
    </row>
    <row r="729" spans="1:24">
      <c r="A729" s="444">
        <v>1300</v>
      </c>
      <c r="B729" s="448">
        <v>9.57</v>
      </c>
      <c r="C729" s="448">
        <v>9.52</v>
      </c>
      <c r="D729" s="448">
        <v>9.49</v>
      </c>
      <c r="E729" s="448">
        <v>9.4700000000000006</v>
      </c>
      <c r="F729" s="448">
        <v>9.4499999999999993</v>
      </c>
      <c r="G729" s="448">
        <v>9.42</v>
      </c>
      <c r="H729" s="448">
        <v>9.3699999999999992</v>
      </c>
      <c r="I729" s="448">
        <v>9.32</v>
      </c>
      <c r="N729">
        <v>2600</v>
      </c>
      <c r="O729">
        <v>-13.986000000000001</v>
      </c>
      <c r="P729">
        <v>-10.481</v>
      </c>
      <c r="Q729">
        <v>-6.984</v>
      </c>
      <c r="R729">
        <v>-3.492</v>
      </c>
      <c r="S729">
        <v>0</v>
      </c>
      <c r="T729">
        <v>3.49</v>
      </c>
      <c r="U729">
        <v>6.984</v>
      </c>
      <c r="V729">
        <v>10.483000000000001</v>
      </c>
      <c r="W729">
        <v>13.983000000000001</v>
      </c>
      <c r="X729" s="11">
        <f t="shared" si="0"/>
        <v>30.07</v>
      </c>
    </row>
    <row r="730" spans="1:24">
      <c r="A730" s="444">
        <v>1350</v>
      </c>
      <c r="B730" s="448">
        <v>9.92</v>
      </c>
      <c r="C730" s="448">
        <v>9.8699999999999992</v>
      </c>
      <c r="D730" s="448">
        <v>9.85</v>
      </c>
      <c r="E730" s="448">
        <v>9.82</v>
      </c>
      <c r="F730" s="448">
        <v>9.8000000000000007</v>
      </c>
      <c r="G730" s="448">
        <v>9.77</v>
      </c>
      <c r="H730" s="448">
        <v>9.7200000000000006</v>
      </c>
      <c r="I730" s="448">
        <v>9.68</v>
      </c>
      <c r="N730">
        <v>2700</v>
      </c>
      <c r="O730">
        <v>-13.983000000000001</v>
      </c>
      <c r="P730">
        <v>-10.481</v>
      </c>
      <c r="Q730">
        <v>-6.984</v>
      </c>
      <c r="R730">
        <v>-3.49</v>
      </c>
      <c r="S730">
        <v>0</v>
      </c>
      <c r="T730">
        <v>3.492</v>
      </c>
      <c r="U730">
        <v>6.984</v>
      </c>
      <c r="V730">
        <v>10.483000000000001</v>
      </c>
      <c r="W730">
        <v>13.984999999999999</v>
      </c>
      <c r="X730" s="11">
        <f t="shared" si="0"/>
        <v>31.17</v>
      </c>
    </row>
    <row r="731" spans="1:24">
      <c r="A731" s="444">
        <v>1400</v>
      </c>
      <c r="B731" s="448">
        <v>10.27</v>
      </c>
      <c r="C731" s="448">
        <v>10.220000000000001</v>
      </c>
      <c r="D731" s="448">
        <v>10.199999999999999</v>
      </c>
      <c r="E731" s="448">
        <v>10.17</v>
      </c>
      <c r="F731" s="448">
        <v>10.15</v>
      </c>
      <c r="G731" s="448">
        <v>10.130000000000001</v>
      </c>
      <c r="H731" s="448">
        <v>10.08</v>
      </c>
      <c r="I731" s="448">
        <v>10.029999999999999</v>
      </c>
      <c r="N731">
        <v>2800</v>
      </c>
      <c r="O731">
        <v>-13.984999999999999</v>
      </c>
      <c r="P731">
        <v>-10.481</v>
      </c>
      <c r="Q731">
        <v>-6.984</v>
      </c>
      <c r="R731">
        <v>-3.49</v>
      </c>
      <c r="S731">
        <v>0</v>
      </c>
      <c r="T731">
        <v>3.492</v>
      </c>
      <c r="U731">
        <v>6.984</v>
      </c>
      <c r="V731">
        <v>10.483000000000001</v>
      </c>
      <c r="W731">
        <v>13.986000000000001</v>
      </c>
      <c r="X731" s="11">
        <f t="shared" si="0"/>
        <v>32.28</v>
      </c>
    </row>
    <row r="732" spans="1:24">
      <c r="A732" s="444">
        <v>1450</v>
      </c>
      <c r="B732" s="448">
        <v>10.62</v>
      </c>
      <c r="C732" s="448">
        <v>10.57</v>
      </c>
      <c r="D732" s="448">
        <v>10.55</v>
      </c>
      <c r="E732" s="448">
        <v>10.53</v>
      </c>
      <c r="F732" s="448">
        <v>10.5</v>
      </c>
      <c r="G732" s="448">
        <v>10.48</v>
      </c>
      <c r="H732" s="448">
        <v>10.43</v>
      </c>
      <c r="I732" s="448">
        <v>10.38</v>
      </c>
      <c r="N732">
        <v>2900</v>
      </c>
      <c r="O732">
        <v>-13.986000000000001</v>
      </c>
      <c r="P732">
        <v>-10.483000000000001</v>
      </c>
      <c r="Q732">
        <v>-6.984</v>
      </c>
      <c r="R732">
        <v>-3.49</v>
      </c>
      <c r="S732">
        <v>0</v>
      </c>
      <c r="T732">
        <v>3.492</v>
      </c>
      <c r="U732">
        <v>6.9820000000000002</v>
      </c>
      <c r="V732">
        <v>10.483000000000001</v>
      </c>
      <c r="W732">
        <v>13.984</v>
      </c>
      <c r="X732" s="11">
        <f t="shared" si="0"/>
        <v>33.39</v>
      </c>
    </row>
    <row r="733" spans="1:24">
      <c r="A733" s="444">
        <v>1500</v>
      </c>
      <c r="B733" s="448">
        <v>10.97</v>
      </c>
      <c r="C733" s="448">
        <v>10.93</v>
      </c>
      <c r="D733" s="448">
        <v>10.9</v>
      </c>
      <c r="E733" s="448">
        <v>10.88</v>
      </c>
      <c r="F733" s="448">
        <v>10.85</v>
      </c>
      <c r="G733" s="448">
        <v>10.83</v>
      </c>
      <c r="H733" s="448">
        <v>10.78</v>
      </c>
      <c r="I733" s="448">
        <v>10.73</v>
      </c>
      <c r="N733">
        <v>3000</v>
      </c>
      <c r="O733">
        <v>-13.983000000000001</v>
      </c>
      <c r="P733">
        <v>-10.483000000000001</v>
      </c>
      <c r="Q733">
        <v>-6.984</v>
      </c>
      <c r="R733">
        <v>-3.49</v>
      </c>
      <c r="S733">
        <v>0</v>
      </c>
      <c r="T733">
        <v>3.4929999999999999</v>
      </c>
      <c r="U733">
        <v>6.9820000000000002</v>
      </c>
      <c r="V733">
        <v>10.481</v>
      </c>
      <c r="W733">
        <v>13.986000000000001</v>
      </c>
      <c r="X733" s="11">
        <f t="shared" si="0"/>
        <v>34.520000000000003</v>
      </c>
    </row>
    <row r="734" spans="1:24">
      <c r="A734" s="444">
        <v>1550</v>
      </c>
      <c r="B734" s="448">
        <v>11.33</v>
      </c>
      <c r="C734" s="448">
        <v>11.28</v>
      </c>
      <c r="D734" s="448">
        <v>11.25</v>
      </c>
      <c r="E734" s="448">
        <v>11.23</v>
      </c>
      <c r="F734" s="448">
        <v>11.2</v>
      </c>
      <c r="G734" s="448">
        <v>11.18</v>
      </c>
      <c r="H734" s="448">
        <v>11.13</v>
      </c>
      <c r="I734" s="448">
        <v>11.08</v>
      </c>
      <c r="N734">
        <v>3100</v>
      </c>
      <c r="O734">
        <v>-13.984999999999999</v>
      </c>
      <c r="P734">
        <v>-10.483000000000001</v>
      </c>
      <c r="Q734">
        <v>-6.984</v>
      </c>
      <c r="R734">
        <v>-3.4889999999999999</v>
      </c>
      <c r="S734">
        <v>0</v>
      </c>
      <c r="T734">
        <v>3.4929999999999999</v>
      </c>
      <c r="U734">
        <v>6.9820000000000002</v>
      </c>
      <c r="V734">
        <v>10.481999999999999</v>
      </c>
      <c r="W734">
        <v>13.986000000000001</v>
      </c>
      <c r="X734" s="11">
        <f t="shared" si="0"/>
        <v>35.630000000000003</v>
      </c>
    </row>
    <row r="735" spans="1:24">
      <c r="A735" s="444">
        <v>1600</v>
      </c>
      <c r="B735" s="448">
        <v>11.68</v>
      </c>
      <c r="C735" s="448">
        <v>11.63</v>
      </c>
      <c r="D735" s="448">
        <v>11.6</v>
      </c>
      <c r="E735" s="448">
        <v>11.58</v>
      </c>
      <c r="F735" s="448">
        <v>11.56</v>
      </c>
      <c r="G735" s="448">
        <v>11.53</v>
      </c>
      <c r="H735" s="448">
        <v>11.48</v>
      </c>
      <c r="I735" s="448">
        <v>11.44</v>
      </c>
      <c r="N735">
        <v>3200</v>
      </c>
      <c r="O735">
        <v>-13.986000000000001</v>
      </c>
      <c r="P735">
        <v>-10.483000000000001</v>
      </c>
      <c r="Q735">
        <v>-6.984</v>
      </c>
      <c r="R735">
        <v>-3.49</v>
      </c>
      <c r="S735">
        <v>0</v>
      </c>
      <c r="T735">
        <v>3.492</v>
      </c>
      <c r="U735">
        <v>6.9820000000000002</v>
      </c>
      <c r="V735">
        <v>10.481</v>
      </c>
      <c r="W735">
        <v>13.983000000000001</v>
      </c>
      <c r="X735" s="11">
        <f t="shared" ref="X735:X766" si="1">C735/hcyl*100</f>
        <v>36.729999999999997</v>
      </c>
    </row>
    <row r="736" spans="1:24">
      <c r="A736" s="444">
        <v>1650</v>
      </c>
      <c r="B736" s="448">
        <v>12.03</v>
      </c>
      <c r="C736" s="448">
        <v>11.98</v>
      </c>
      <c r="D736" s="448">
        <v>11.96</v>
      </c>
      <c r="E736" s="448">
        <v>11.93</v>
      </c>
      <c r="F736" s="448">
        <v>11.91</v>
      </c>
      <c r="G736" s="448">
        <v>11.88</v>
      </c>
      <c r="H736" s="448">
        <v>11.84</v>
      </c>
      <c r="I736" s="448">
        <v>11.79</v>
      </c>
      <c r="N736">
        <v>3300</v>
      </c>
      <c r="O736">
        <v>-13.984999999999999</v>
      </c>
      <c r="P736">
        <v>-10.481999999999999</v>
      </c>
      <c r="Q736">
        <v>-6.984</v>
      </c>
      <c r="R736">
        <v>-3.4910000000000001</v>
      </c>
      <c r="S736">
        <v>0</v>
      </c>
      <c r="T736">
        <v>3.492</v>
      </c>
      <c r="U736">
        <v>6.9820000000000002</v>
      </c>
      <c r="V736">
        <v>10.483000000000001</v>
      </c>
      <c r="W736">
        <v>13.983000000000001</v>
      </c>
      <c r="X736" s="11">
        <f t="shared" si="1"/>
        <v>37.840000000000003</v>
      </c>
    </row>
    <row r="737" spans="1:24">
      <c r="A737" s="444">
        <v>1700</v>
      </c>
      <c r="B737" s="448">
        <v>12.38</v>
      </c>
      <c r="C737" s="448">
        <v>12.33</v>
      </c>
      <c r="D737" s="448">
        <v>12.31</v>
      </c>
      <c r="E737" s="448">
        <v>12.28</v>
      </c>
      <c r="F737" s="448">
        <v>12.26</v>
      </c>
      <c r="G737" s="448">
        <v>12.24</v>
      </c>
      <c r="H737" s="448">
        <v>12.19</v>
      </c>
      <c r="I737" s="448">
        <v>12.14</v>
      </c>
      <c r="N737">
        <v>3400</v>
      </c>
      <c r="O737">
        <v>-13.984</v>
      </c>
      <c r="P737">
        <v>-10.481999999999999</v>
      </c>
      <c r="Q737">
        <v>-6.984</v>
      </c>
      <c r="R737">
        <v>-3.49</v>
      </c>
      <c r="S737">
        <v>0</v>
      </c>
      <c r="T737">
        <v>3.492</v>
      </c>
      <c r="U737">
        <v>6.9820000000000002</v>
      </c>
      <c r="V737">
        <v>10.483000000000001</v>
      </c>
      <c r="W737">
        <v>13.984999999999999</v>
      </c>
      <c r="X737" s="11">
        <f t="shared" si="1"/>
        <v>38.950000000000003</v>
      </c>
    </row>
    <row r="738" spans="1:24">
      <c r="A738" s="444">
        <v>1750</v>
      </c>
      <c r="B738" s="448">
        <v>12.73</v>
      </c>
      <c r="C738" s="448">
        <v>12.68</v>
      </c>
      <c r="D738" s="448">
        <v>12.66</v>
      </c>
      <c r="E738" s="448">
        <v>12.64</v>
      </c>
      <c r="F738" s="448">
        <v>12.61</v>
      </c>
      <c r="G738" s="448">
        <v>12.587</v>
      </c>
      <c r="H738" s="448">
        <v>12.54</v>
      </c>
      <c r="I738" s="448">
        <v>12.49</v>
      </c>
      <c r="N738">
        <v>3500</v>
      </c>
      <c r="O738">
        <v>-13.984999999999999</v>
      </c>
      <c r="P738">
        <v>-10.481</v>
      </c>
      <c r="Q738">
        <v>-6.9820000000000002</v>
      </c>
      <c r="R738">
        <v>-3.49</v>
      </c>
      <c r="S738">
        <v>0</v>
      </c>
      <c r="T738">
        <v>3.492</v>
      </c>
      <c r="U738">
        <v>6.984</v>
      </c>
      <c r="V738">
        <v>10.483000000000001</v>
      </c>
      <c r="W738">
        <v>13.984999999999999</v>
      </c>
      <c r="X738" s="11">
        <f t="shared" si="1"/>
        <v>40.049999999999997</v>
      </c>
    </row>
    <row r="739" spans="1:24">
      <c r="A739" s="444">
        <v>1800</v>
      </c>
      <c r="B739" s="448">
        <v>13.08</v>
      </c>
      <c r="C739" s="448">
        <v>13.04</v>
      </c>
      <c r="D739" s="448">
        <v>13.01</v>
      </c>
      <c r="E739" s="448">
        <v>12.99</v>
      </c>
      <c r="F739" s="448">
        <v>12.96</v>
      </c>
      <c r="G739" s="448">
        <v>12.94</v>
      </c>
      <c r="H739" s="448">
        <v>12.89</v>
      </c>
      <c r="I739" s="448">
        <v>12.84</v>
      </c>
      <c r="N739">
        <v>3600</v>
      </c>
      <c r="O739">
        <v>-13.986000000000001</v>
      </c>
      <c r="P739">
        <v>-10.483000000000001</v>
      </c>
      <c r="Q739">
        <v>-6.9820000000000002</v>
      </c>
      <c r="R739">
        <v>-3.4910000000000001</v>
      </c>
      <c r="S739">
        <v>0</v>
      </c>
      <c r="T739">
        <v>3.492</v>
      </c>
      <c r="U739">
        <v>6.984</v>
      </c>
      <c r="V739">
        <v>10.483000000000001</v>
      </c>
      <c r="W739">
        <v>13.983000000000001</v>
      </c>
      <c r="X739" s="11">
        <f t="shared" si="1"/>
        <v>41.19</v>
      </c>
    </row>
    <row r="740" spans="1:24">
      <c r="A740" s="444">
        <v>1850</v>
      </c>
      <c r="B740" s="448">
        <v>13.44</v>
      </c>
      <c r="C740" s="448">
        <v>13.39</v>
      </c>
      <c r="D740" s="448">
        <v>13.36</v>
      </c>
      <c r="E740" s="448">
        <v>13.34</v>
      </c>
      <c r="F740" s="448">
        <v>13.31</v>
      </c>
      <c r="G740" s="448">
        <v>13.29</v>
      </c>
      <c r="H740" s="448">
        <v>13.24</v>
      </c>
      <c r="I740" s="448">
        <v>13.19</v>
      </c>
      <c r="N740">
        <v>3700</v>
      </c>
      <c r="O740">
        <v>-13.983000000000001</v>
      </c>
      <c r="P740">
        <v>-10.483000000000001</v>
      </c>
      <c r="Q740">
        <v>-6.9829999999999997</v>
      </c>
      <c r="R740">
        <v>-3.49</v>
      </c>
      <c r="S740">
        <v>0</v>
      </c>
      <c r="T740">
        <v>3.492</v>
      </c>
      <c r="U740">
        <v>6.984</v>
      </c>
      <c r="V740">
        <v>10.481</v>
      </c>
      <c r="W740">
        <v>13.984999999999999</v>
      </c>
      <c r="X740" s="11">
        <f t="shared" si="1"/>
        <v>42.29</v>
      </c>
    </row>
    <row r="741" spans="1:24">
      <c r="A741" s="444">
        <v>1900</v>
      </c>
      <c r="B741" s="448">
        <v>13.79</v>
      </c>
      <c r="C741" s="448">
        <v>13.74</v>
      </c>
      <c r="D741" s="448">
        <v>13.71</v>
      </c>
      <c r="E741" s="448">
        <v>13.69</v>
      </c>
      <c r="F741" s="448">
        <v>13.67</v>
      </c>
      <c r="G741" s="448">
        <v>13.64</v>
      </c>
      <c r="H741" s="448">
        <v>13.59</v>
      </c>
      <c r="I741" s="448">
        <v>13.55</v>
      </c>
      <c r="N741">
        <v>3800</v>
      </c>
      <c r="O741">
        <v>-13.984999999999999</v>
      </c>
      <c r="P741">
        <v>-10.483000000000001</v>
      </c>
      <c r="Q741">
        <v>-6.9820000000000002</v>
      </c>
      <c r="R741">
        <v>-3.49</v>
      </c>
      <c r="S741">
        <v>0</v>
      </c>
      <c r="T741">
        <v>3.4929999999999999</v>
      </c>
      <c r="U741">
        <v>6.984</v>
      </c>
      <c r="V741">
        <v>10.481</v>
      </c>
      <c r="W741">
        <v>13.986000000000001</v>
      </c>
      <c r="X741" s="11">
        <f t="shared" si="1"/>
        <v>43.4</v>
      </c>
    </row>
    <row r="742" spans="1:24">
      <c r="A742" s="444">
        <v>1950</v>
      </c>
      <c r="B742" s="448">
        <v>14.14</v>
      </c>
      <c r="C742" s="448">
        <v>14.09</v>
      </c>
      <c r="D742" s="448">
        <v>14.07</v>
      </c>
      <c r="E742" s="448">
        <v>14.04</v>
      </c>
      <c r="F742" s="448">
        <v>14.02</v>
      </c>
      <c r="G742" s="448">
        <v>13.99</v>
      </c>
      <c r="H742" s="448">
        <v>13.95</v>
      </c>
      <c r="I742" s="448">
        <v>13.9</v>
      </c>
      <c r="N742">
        <v>3900</v>
      </c>
      <c r="O742">
        <v>-13.984999999999999</v>
      </c>
      <c r="P742">
        <v>-10.483000000000001</v>
      </c>
      <c r="Q742">
        <v>-6.9820000000000002</v>
      </c>
      <c r="R742">
        <v>-3.49</v>
      </c>
      <c r="S742">
        <v>0</v>
      </c>
      <c r="T742">
        <v>3.492</v>
      </c>
      <c r="U742">
        <v>6.984</v>
      </c>
      <c r="V742">
        <v>10.481</v>
      </c>
      <c r="W742">
        <v>13.983000000000001</v>
      </c>
      <c r="X742" s="11">
        <f t="shared" si="1"/>
        <v>44.5</v>
      </c>
    </row>
    <row r="743" spans="1:24">
      <c r="A743" s="444">
        <v>2000</v>
      </c>
      <c r="B743" s="448">
        <v>14.49</v>
      </c>
      <c r="C743" s="448">
        <v>14.44</v>
      </c>
      <c r="D743" s="448">
        <v>14.42</v>
      </c>
      <c r="E743" s="448">
        <v>14.39</v>
      </c>
      <c r="F743" s="448">
        <v>14.37</v>
      </c>
      <c r="G743" s="448">
        <v>14.35</v>
      </c>
      <c r="H743" s="448">
        <v>14.3</v>
      </c>
      <c r="I743" s="448">
        <v>14.25</v>
      </c>
      <c r="N743">
        <v>4000</v>
      </c>
      <c r="O743">
        <v>-13.983000000000001</v>
      </c>
      <c r="P743">
        <v>-10.481</v>
      </c>
      <c r="Q743">
        <v>-6.984</v>
      </c>
      <c r="R743">
        <v>-3.49</v>
      </c>
      <c r="S743">
        <v>0</v>
      </c>
      <c r="T743">
        <v>3.492</v>
      </c>
      <c r="U743">
        <v>6.984</v>
      </c>
      <c r="V743">
        <v>10.483000000000001</v>
      </c>
      <c r="W743">
        <v>13.984999999999999</v>
      </c>
      <c r="X743" s="11">
        <f t="shared" si="1"/>
        <v>45.61</v>
      </c>
    </row>
    <row r="744" spans="1:24">
      <c r="A744" s="444">
        <v>2050</v>
      </c>
      <c r="B744" s="448">
        <v>14.84</v>
      </c>
      <c r="C744" s="448">
        <v>14.79</v>
      </c>
      <c r="D744" s="448">
        <v>14.77</v>
      </c>
      <c r="E744" s="448">
        <v>14.75</v>
      </c>
      <c r="F744" s="448">
        <v>14.72</v>
      </c>
      <c r="G744" s="448">
        <v>14.7</v>
      </c>
      <c r="H744" s="448">
        <v>14.65</v>
      </c>
      <c r="I744" s="448">
        <v>14.6</v>
      </c>
      <c r="N744">
        <v>4100</v>
      </c>
      <c r="O744">
        <v>-13.984</v>
      </c>
      <c r="P744">
        <v>-10.481</v>
      </c>
      <c r="Q744">
        <v>-6.984</v>
      </c>
      <c r="R744">
        <v>-3.49</v>
      </c>
      <c r="S744">
        <v>0</v>
      </c>
      <c r="T744">
        <v>3.492</v>
      </c>
      <c r="U744">
        <v>6.984</v>
      </c>
      <c r="V744">
        <v>10.483000000000001</v>
      </c>
      <c r="W744">
        <v>13.984999999999999</v>
      </c>
      <c r="X744" s="11">
        <f t="shared" si="1"/>
        <v>46.72</v>
      </c>
    </row>
    <row r="745" spans="1:24">
      <c r="A745" s="444">
        <v>2100</v>
      </c>
      <c r="B745" s="448">
        <v>15.19</v>
      </c>
      <c r="C745" s="448">
        <v>15.15</v>
      </c>
      <c r="D745" s="448">
        <v>15.12</v>
      </c>
      <c r="E745" s="448">
        <v>15.1</v>
      </c>
      <c r="F745" s="448">
        <v>15.07</v>
      </c>
      <c r="G745" s="448">
        <v>15.05</v>
      </c>
      <c r="H745" s="448">
        <v>15</v>
      </c>
      <c r="I745" s="448">
        <v>14.95</v>
      </c>
      <c r="N745">
        <v>4200</v>
      </c>
      <c r="O745">
        <v>-13.984999999999999</v>
      </c>
      <c r="P745">
        <v>-10.481</v>
      </c>
      <c r="Q745">
        <v>-6.984</v>
      </c>
      <c r="R745">
        <v>-3.4910000000000001</v>
      </c>
      <c r="S745">
        <v>0</v>
      </c>
      <c r="T745">
        <v>3.492</v>
      </c>
      <c r="U745">
        <v>6.984</v>
      </c>
      <c r="V745">
        <v>10.483000000000001</v>
      </c>
      <c r="W745">
        <v>13.986000000000001</v>
      </c>
      <c r="X745" s="11">
        <f t="shared" si="1"/>
        <v>47.85</v>
      </c>
    </row>
    <row r="746" spans="1:24">
      <c r="A746" s="444">
        <v>2150</v>
      </c>
      <c r="B746" s="448">
        <v>15.55</v>
      </c>
      <c r="C746" s="448">
        <v>15.5</v>
      </c>
      <c r="D746" s="448">
        <v>15.47</v>
      </c>
      <c r="E746" s="448">
        <v>15.45</v>
      </c>
      <c r="F746" s="448">
        <v>15.43</v>
      </c>
      <c r="G746" s="448">
        <v>15.4</v>
      </c>
      <c r="H746" s="448">
        <v>15.35</v>
      </c>
      <c r="I746" s="448">
        <v>15.3</v>
      </c>
      <c r="N746">
        <v>4300</v>
      </c>
      <c r="O746">
        <v>-13.986000000000001</v>
      </c>
      <c r="P746">
        <v>-10.483000000000001</v>
      </c>
      <c r="Q746">
        <v>-6.984</v>
      </c>
      <c r="R746">
        <v>-3.49</v>
      </c>
      <c r="S746">
        <v>0</v>
      </c>
      <c r="T746">
        <v>3.492</v>
      </c>
      <c r="U746">
        <v>6.984</v>
      </c>
      <c r="V746">
        <v>10.483000000000001</v>
      </c>
      <c r="W746">
        <v>13.983000000000001</v>
      </c>
      <c r="X746" s="11">
        <f t="shared" si="1"/>
        <v>48.96</v>
      </c>
    </row>
    <row r="747" spans="1:24">
      <c r="A747" s="444">
        <v>2200</v>
      </c>
      <c r="B747" s="448">
        <v>15.9</v>
      </c>
      <c r="C747" s="448">
        <v>15.85</v>
      </c>
      <c r="D747" s="448">
        <v>15.83</v>
      </c>
      <c r="E747" s="448">
        <v>15.8</v>
      </c>
      <c r="F747" s="448">
        <v>15.78</v>
      </c>
      <c r="G747" s="448">
        <v>15.75</v>
      </c>
      <c r="H747" s="448">
        <v>15.7</v>
      </c>
      <c r="I747" s="448">
        <v>15.66</v>
      </c>
      <c r="N747">
        <v>4400</v>
      </c>
      <c r="O747">
        <v>-13.99</v>
      </c>
      <c r="P747">
        <v>-10.483000000000001</v>
      </c>
      <c r="Q747">
        <v>-6.984</v>
      </c>
      <c r="R747">
        <v>-3.49</v>
      </c>
      <c r="S747">
        <v>0</v>
      </c>
      <c r="T747">
        <v>7.43</v>
      </c>
      <c r="U747">
        <v>14.859</v>
      </c>
      <c r="V747">
        <v>21.131</v>
      </c>
      <c r="W747">
        <v>22.457999999999998</v>
      </c>
      <c r="X747" s="11">
        <f t="shared" si="1"/>
        <v>50.06</v>
      </c>
    </row>
    <row r="748" spans="1:24">
      <c r="A748" s="444">
        <v>2250</v>
      </c>
      <c r="B748" s="448">
        <v>16.25</v>
      </c>
      <c r="C748" s="448">
        <v>16.2</v>
      </c>
      <c r="D748" s="448">
        <v>16.18</v>
      </c>
      <c r="E748" s="448">
        <v>16.149999999999999</v>
      </c>
      <c r="F748" s="448">
        <v>16.13</v>
      </c>
      <c r="G748" s="448">
        <v>16.100000000000001</v>
      </c>
      <c r="H748" s="448">
        <v>16.059999999999999</v>
      </c>
      <c r="I748" s="448">
        <v>16.010000000000002</v>
      </c>
      <c r="N748">
        <v>4500</v>
      </c>
      <c r="O748">
        <v>-4.6070000000000002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 s="11">
        <f t="shared" si="1"/>
        <v>51.17</v>
      </c>
    </row>
    <row r="749" spans="1:24">
      <c r="A749" s="444">
        <v>2300</v>
      </c>
      <c r="B749" s="448">
        <v>16.600000000000001</v>
      </c>
      <c r="C749" s="448">
        <v>16.55</v>
      </c>
      <c r="D749" s="448">
        <v>16.53</v>
      </c>
      <c r="E749" s="448">
        <v>16.5</v>
      </c>
      <c r="F749" s="448">
        <v>16.48</v>
      </c>
      <c r="G749" s="448">
        <v>16.46</v>
      </c>
      <c r="H749" s="448">
        <v>16.41</v>
      </c>
      <c r="I749" s="448">
        <v>16.36</v>
      </c>
      <c r="N749">
        <v>4600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 s="11">
        <f t="shared" si="1"/>
        <v>52.27</v>
      </c>
    </row>
    <row r="750" spans="1:24">
      <c r="A750" s="444">
        <v>2350</v>
      </c>
      <c r="B750" s="448">
        <v>16.95</v>
      </c>
      <c r="C750" s="448">
        <v>16.899999999999999</v>
      </c>
      <c r="D750" s="448">
        <v>16.88</v>
      </c>
      <c r="E750" s="448">
        <v>16.86</v>
      </c>
      <c r="F750" s="448">
        <v>16.829999999999998</v>
      </c>
      <c r="G750" s="448">
        <v>16.809999999999999</v>
      </c>
      <c r="H750" s="448">
        <v>16.760000000000002</v>
      </c>
      <c r="I750" s="448">
        <v>16.71</v>
      </c>
      <c r="N750">
        <v>5002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 s="11">
        <f t="shared" si="1"/>
        <v>53.38</v>
      </c>
    </row>
    <row r="751" spans="1:24">
      <c r="A751" s="444">
        <v>2400</v>
      </c>
      <c r="B751" s="448">
        <v>17.3</v>
      </c>
      <c r="C751" s="448">
        <v>17.260000000000002</v>
      </c>
      <c r="D751" s="448">
        <v>17.23</v>
      </c>
      <c r="E751" s="448">
        <v>17.21</v>
      </c>
      <c r="F751" s="448">
        <v>17.18</v>
      </c>
      <c r="G751" s="448">
        <v>17.16</v>
      </c>
      <c r="H751" s="448">
        <v>17.11</v>
      </c>
      <c r="I751" s="448">
        <v>17.059999999999999</v>
      </c>
      <c r="X751" s="11">
        <f t="shared" si="1"/>
        <v>54.52</v>
      </c>
    </row>
    <row r="752" spans="1:24">
      <c r="A752" s="444">
        <v>2450</v>
      </c>
      <c r="B752" s="448">
        <v>17.66</v>
      </c>
      <c r="C752" s="448">
        <v>17.61</v>
      </c>
      <c r="D752" s="448">
        <v>17.579999999999998</v>
      </c>
      <c r="E752" s="448">
        <v>17.559999999999999</v>
      </c>
      <c r="F752" s="448">
        <v>17.54</v>
      </c>
      <c r="G752" s="448">
        <v>17.510000000000002</v>
      </c>
      <c r="H752" s="448">
        <v>17.46</v>
      </c>
      <c r="I752" s="448">
        <v>17.41</v>
      </c>
      <c r="X752" s="11">
        <f t="shared" si="1"/>
        <v>55.62</v>
      </c>
    </row>
    <row r="753" spans="1:24">
      <c r="A753" s="444">
        <v>2500</v>
      </c>
      <c r="B753" s="448">
        <v>18.010000000000002</v>
      </c>
      <c r="C753" s="448">
        <v>17.96</v>
      </c>
      <c r="D753" s="448">
        <v>17.940000000000001</v>
      </c>
      <c r="E753" s="448">
        <v>17.91</v>
      </c>
      <c r="F753" s="448">
        <v>17.89</v>
      </c>
      <c r="G753" s="448">
        <v>17.86</v>
      </c>
      <c r="H753" s="448">
        <v>17.809999999999999</v>
      </c>
      <c r="I753" s="448">
        <v>17.77</v>
      </c>
      <c r="X753" s="11">
        <f t="shared" si="1"/>
        <v>56.73</v>
      </c>
    </row>
    <row r="754" spans="1:24">
      <c r="A754" s="444">
        <v>2550</v>
      </c>
      <c r="B754" s="448">
        <v>18.36</v>
      </c>
      <c r="C754" s="448">
        <v>18.309999999999999</v>
      </c>
      <c r="D754" s="448">
        <v>18.29</v>
      </c>
      <c r="E754" s="448">
        <v>18.260000000000002</v>
      </c>
      <c r="F754" s="448">
        <v>18.239999999999998</v>
      </c>
      <c r="G754" s="448">
        <v>18.21</v>
      </c>
      <c r="H754" s="448">
        <v>18.170000000000002</v>
      </c>
      <c r="I754" s="448">
        <v>18.12</v>
      </c>
      <c r="X754" s="11">
        <f t="shared" si="1"/>
        <v>57.83</v>
      </c>
    </row>
    <row r="755" spans="1:24">
      <c r="A755" s="444">
        <v>2600</v>
      </c>
      <c r="B755" s="448">
        <v>18.71</v>
      </c>
      <c r="C755" s="448">
        <v>18.66</v>
      </c>
      <c r="D755" s="448">
        <v>18.64</v>
      </c>
      <c r="E755" s="448">
        <v>18.61</v>
      </c>
      <c r="F755" s="448">
        <v>18.59</v>
      </c>
      <c r="G755" s="448">
        <v>18.57</v>
      </c>
      <c r="H755" s="448">
        <v>18.52</v>
      </c>
      <c r="I755" s="448">
        <v>18.47</v>
      </c>
      <c r="X755" s="11">
        <f t="shared" si="1"/>
        <v>58.94</v>
      </c>
    </row>
    <row r="756" spans="1:24">
      <c r="A756" s="444">
        <v>2650</v>
      </c>
      <c r="B756" s="448">
        <v>19.059999999999999</v>
      </c>
      <c r="C756" s="448">
        <v>19.010000000000002</v>
      </c>
      <c r="D756" s="448">
        <v>18.989999999999998</v>
      </c>
      <c r="E756" s="448">
        <v>18.97</v>
      </c>
      <c r="F756" s="448">
        <v>18.940000000000001</v>
      </c>
      <c r="G756" s="448">
        <v>18.920000000000002</v>
      </c>
      <c r="H756" s="448">
        <v>18.87</v>
      </c>
      <c r="I756" s="448">
        <v>18.82</v>
      </c>
      <c r="X756" s="11">
        <f t="shared" si="1"/>
        <v>60.04</v>
      </c>
    </row>
    <row r="757" spans="1:24">
      <c r="A757" s="444">
        <v>2700</v>
      </c>
      <c r="B757" s="448">
        <v>19.420000000000002</v>
      </c>
      <c r="C757" s="448">
        <v>19.37</v>
      </c>
      <c r="D757" s="448">
        <v>19.34</v>
      </c>
      <c r="E757" s="448">
        <v>19.32</v>
      </c>
      <c r="F757" s="448">
        <v>19.29</v>
      </c>
      <c r="G757" s="448">
        <v>19.27</v>
      </c>
      <c r="H757" s="448">
        <v>19.22</v>
      </c>
      <c r="I757" s="448">
        <v>19.170000000000002</v>
      </c>
      <c r="X757" s="11">
        <f t="shared" si="1"/>
        <v>61.18</v>
      </c>
    </row>
    <row r="758" spans="1:24">
      <c r="A758" s="444">
        <v>2750</v>
      </c>
      <c r="B758" s="448">
        <v>19.77</v>
      </c>
      <c r="C758" s="448">
        <v>19.72</v>
      </c>
      <c r="D758" s="448">
        <v>19.690000000000001</v>
      </c>
      <c r="E758" s="448">
        <v>19.670000000000002</v>
      </c>
      <c r="F758" s="448">
        <v>19.649999999999999</v>
      </c>
      <c r="G758" s="448">
        <v>19.62</v>
      </c>
      <c r="H758" s="448">
        <v>19.57</v>
      </c>
      <c r="I758" s="448">
        <v>19.52</v>
      </c>
      <c r="X758" s="11">
        <f t="shared" si="1"/>
        <v>62.29</v>
      </c>
    </row>
    <row r="759" spans="1:24">
      <c r="A759" s="444">
        <v>2800</v>
      </c>
      <c r="B759" s="448">
        <v>20.12</v>
      </c>
      <c r="C759" s="448">
        <v>20.07</v>
      </c>
      <c r="D759" s="448">
        <v>20.05</v>
      </c>
      <c r="E759" s="448">
        <v>20.02</v>
      </c>
      <c r="F759" s="448">
        <v>20</v>
      </c>
      <c r="G759" s="448">
        <v>19.97</v>
      </c>
      <c r="H759" s="448">
        <v>19.93</v>
      </c>
      <c r="I759" s="448">
        <v>19.88</v>
      </c>
      <c r="X759" s="11">
        <f t="shared" si="1"/>
        <v>63.39</v>
      </c>
    </row>
    <row r="760" spans="1:24">
      <c r="A760" s="444">
        <v>2850</v>
      </c>
      <c r="B760" s="448">
        <v>20.47</v>
      </c>
      <c r="C760" s="448">
        <v>20.420000000000002</v>
      </c>
      <c r="D760" s="448">
        <v>20.399999999999999</v>
      </c>
      <c r="E760" s="448">
        <v>20.37</v>
      </c>
      <c r="F760" s="448">
        <v>20.350000000000001</v>
      </c>
      <c r="G760" s="448">
        <v>20.329999999999998</v>
      </c>
      <c r="H760" s="448">
        <v>20.28</v>
      </c>
      <c r="I760" s="448">
        <v>20.23</v>
      </c>
      <c r="X760" s="11">
        <f t="shared" si="1"/>
        <v>64.5</v>
      </c>
    </row>
    <row r="761" spans="1:24">
      <c r="A761" s="444">
        <v>2900</v>
      </c>
      <c r="B761" s="448">
        <v>20.82</v>
      </c>
      <c r="C761" s="448">
        <v>20.77</v>
      </c>
      <c r="D761" s="448">
        <v>20.75</v>
      </c>
      <c r="E761" s="448">
        <v>20.73</v>
      </c>
      <c r="F761" s="448">
        <v>20.7</v>
      </c>
      <c r="G761" s="448">
        <v>20.68</v>
      </c>
      <c r="H761" s="448">
        <v>20.63</v>
      </c>
      <c r="I761" s="448">
        <v>20.58</v>
      </c>
      <c r="X761" s="11">
        <f t="shared" si="1"/>
        <v>65.599999999999994</v>
      </c>
    </row>
    <row r="762" spans="1:24">
      <c r="A762" s="444">
        <v>2950</v>
      </c>
      <c r="B762" s="448">
        <v>21.17</v>
      </c>
      <c r="C762" s="448">
        <v>21.13</v>
      </c>
      <c r="D762" s="449">
        <v>21.1</v>
      </c>
      <c r="E762" s="448">
        <v>21.08</v>
      </c>
      <c r="F762" s="448">
        <v>21.05</v>
      </c>
      <c r="G762" s="448">
        <v>21.03</v>
      </c>
      <c r="H762" s="448">
        <v>20.98</v>
      </c>
      <c r="I762" s="448">
        <v>20.93</v>
      </c>
      <c r="X762" s="11">
        <f t="shared" si="1"/>
        <v>66.739999999999995</v>
      </c>
    </row>
    <row r="763" spans="1:24">
      <c r="A763" s="444">
        <v>3000</v>
      </c>
      <c r="B763" s="448">
        <v>21.53</v>
      </c>
      <c r="C763" s="448">
        <v>21.48</v>
      </c>
      <c r="D763" s="448">
        <v>21.452000000000002</v>
      </c>
      <c r="E763" s="448">
        <v>21.43</v>
      </c>
      <c r="F763" s="448">
        <v>21.4</v>
      </c>
      <c r="G763" s="448">
        <v>21.38</v>
      </c>
      <c r="H763" s="448">
        <v>21.33</v>
      </c>
      <c r="I763" s="448">
        <v>21.28</v>
      </c>
      <c r="X763" s="11">
        <f t="shared" si="1"/>
        <v>67.849999999999994</v>
      </c>
    </row>
    <row r="764" spans="1:24">
      <c r="A764" s="444">
        <v>3050</v>
      </c>
      <c r="B764" s="448">
        <v>21.88</v>
      </c>
      <c r="C764" s="448">
        <v>21.83</v>
      </c>
      <c r="D764" s="448">
        <v>21.8</v>
      </c>
      <c r="E764" s="448">
        <v>21.78</v>
      </c>
      <c r="F764" s="448">
        <v>21.76</v>
      </c>
      <c r="G764" s="448">
        <v>21.73</v>
      </c>
      <c r="H764" s="448">
        <v>21.68</v>
      </c>
      <c r="I764" s="448">
        <v>21.64</v>
      </c>
      <c r="X764" s="11">
        <f t="shared" si="1"/>
        <v>68.95</v>
      </c>
    </row>
    <row r="765" spans="1:24">
      <c r="A765" s="444">
        <v>3100</v>
      </c>
      <c r="B765" s="448">
        <v>22.23</v>
      </c>
      <c r="C765" s="448">
        <v>22.18</v>
      </c>
      <c r="D765" s="448">
        <v>22.16</v>
      </c>
      <c r="E765" s="448">
        <v>22.13</v>
      </c>
      <c r="F765" s="448">
        <v>22.11</v>
      </c>
      <c r="G765" s="448">
        <v>22.08</v>
      </c>
      <c r="H765" s="448">
        <v>22.04</v>
      </c>
      <c r="I765" s="448">
        <v>21.99</v>
      </c>
      <c r="X765" s="11">
        <f t="shared" si="1"/>
        <v>70.06</v>
      </c>
    </row>
    <row r="766" spans="1:24">
      <c r="A766" s="444">
        <v>3150</v>
      </c>
      <c r="B766" s="448">
        <v>22.58</v>
      </c>
      <c r="C766" s="448">
        <v>22.53</v>
      </c>
      <c r="D766" s="448">
        <v>22.51</v>
      </c>
      <c r="E766" s="448">
        <v>22.48</v>
      </c>
      <c r="F766" s="448">
        <v>22.46</v>
      </c>
      <c r="G766" s="448">
        <v>22.44</v>
      </c>
      <c r="H766" s="448">
        <v>22.39</v>
      </c>
      <c r="I766" s="448">
        <v>22.34</v>
      </c>
      <c r="X766" s="11">
        <f t="shared" si="1"/>
        <v>71.16</v>
      </c>
    </row>
    <row r="767" spans="1:24">
      <c r="A767" s="444">
        <v>3200</v>
      </c>
      <c r="B767" s="448">
        <v>22.93</v>
      </c>
      <c r="C767" s="448">
        <v>22.88</v>
      </c>
      <c r="D767" s="448">
        <v>22.86</v>
      </c>
      <c r="E767" s="448">
        <v>22.84</v>
      </c>
      <c r="F767" s="448">
        <v>22.81</v>
      </c>
      <c r="G767" s="448">
        <v>22.79</v>
      </c>
      <c r="H767" s="448">
        <v>22.74</v>
      </c>
      <c r="I767" s="448">
        <v>22.69</v>
      </c>
      <c r="X767" s="11">
        <f t="shared" ref="X767:X795" si="2">C767/hcyl*100</f>
        <v>72.27</v>
      </c>
    </row>
    <row r="768" spans="1:24">
      <c r="A768" s="444">
        <v>3250</v>
      </c>
      <c r="B768" s="448">
        <v>23.28</v>
      </c>
      <c r="C768" s="448">
        <v>23.24</v>
      </c>
      <c r="D768" s="448">
        <v>23.21</v>
      </c>
      <c r="E768" s="448">
        <v>23.19</v>
      </c>
      <c r="F768" s="448">
        <v>23.16</v>
      </c>
      <c r="G768" s="448">
        <v>23.14</v>
      </c>
      <c r="H768" s="448">
        <v>23.09</v>
      </c>
      <c r="I768" s="448">
        <v>23.04</v>
      </c>
      <c r="X768" s="11">
        <f t="shared" si="2"/>
        <v>73.400000000000006</v>
      </c>
    </row>
    <row r="769" spans="1:24">
      <c r="A769" s="444">
        <v>3300</v>
      </c>
      <c r="B769" s="448">
        <v>23.64</v>
      </c>
      <c r="C769" s="448">
        <v>23.59</v>
      </c>
      <c r="D769" s="448">
        <v>23.56</v>
      </c>
      <c r="E769" s="448">
        <v>23.54</v>
      </c>
      <c r="F769" s="448">
        <v>23.51</v>
      </c>
      <c r="G769" s="448">
        <v>23.49</v>
      </c>
      <c r="H769" s="448">
        <v>23.44</v>
      </c>
      <c r="I769" s="448">
        <v>23.39</v>
      </c>
      <c r="X769" s="11">
        <f t="shared" si="2"/>
        <v>74.510000000000005</v>
      </c>
    </row>
    <row r="770" spans="1:24">
      <c r="A770" s="444">
        <v>3350</v>
      </c>
      <c r="B770" s="448">
        <v>23.99</v>
      </c>
      <c r="C770" s="448">
        <v>23.94</v>
      </c>
      <c r="D770" s="448">
        <v>23.91</v>
      </c>
      <c r="E770" s="448">
        <v>23.89</v>
      </c>
      <c r="F770" s="448">
        <v>23.87</v>
      </c>
      <c r="G770" s="448">
        <v>23.84</v>
      </c>
      <c r="H770" s="448">
        <v>23.79</v>
      </c>
      <c r="I770" s="448">
        <v>23.75</v>
      </c>
      <c r="X770" s="11">
        <f t="shared" si="2"/>
        <v>75.62</v>
      </c>
    </row>
    <row r="771" spans="1:24">
      <c r="A771" s="444">
        <v>3400</v>
      </c>
      <c r="B771" s="448">
        <v>24.34</v>
      </c>
      <c r="C771" s="448">
        <v>24.29</v>
      </c>
      <c r="D771" s="448">
        <v>24.27</v>
      </c>
      <c r="E771" s="448">
        <v>24.24</v>
      </c>
      <c r="F771" s="448">
        <v>24.22</v>
      </c>
      <c r="G771" s="448">
        <v>24.19</v>
      </c>
      <c r="H771" s="448">
        <v>24.15</v>
      </c>
      <c r="I771" s="448">
        <v>24.1</v>
      </c>
      <c r="X771" s="11">
        <f t="shared" si="2"/>
        <v>76.72</v>
      </c>
    </row>
    <row r="772" spans="1:24">
      <c r="A772" s="444">
        <v>3450</v>
      </c>
      <c r="B772" s="448">
        <v>24.69</v>
      </c>
      <c r="C772" s="448">
        <v>24.64</v>
      </c>
      <c r="D772" s="448">
        <v>24.62</v>
      </c>
      <c r="E772" s="448">
        <v>24.59</v>
      </c>
      <c r="F772" s="448">
        <v>24.57</v>
      </c>
      <c r="G772" s="448">
        <v>24.55</v>
      </c>
      <c r="H772" s="448">
        <v>24.5</v>
      </c>
      <c r="I772" s="448">
        <v>24.45</v>
      </c>
      <c r="X772" s="11">
        <f t="shared" si="2"/>
        <v>77.83</v>
      </c>
    </row>
    <row r="773" spans="1:24">
      <c r="A773" s="444">
        <v>3500</v>
      </c>
      <c r="B773" s="448">
        <v>25.04</v>
      </c>
      <c r="C773" s="448">
        <v>24.99</v>
      </c>
      <c r="D773" s="448">
        <v>24.97</v>
      </c>
      <c r="E773" s="448">
        <v>24.95</v>
      </c>
      <c r="F773" s="448">
        <v>24.92</v>
      </c>
      <c r="G773" s="448">
        <v>24.9</v>
      </c>
      <c r="H773" s="448">
        <v>24.85</v>
      </c>
      <c r="I773" s="448">
        <v>24.8</v>
      </c>
      <c r="X773" s="11">
        <f t="shared" si="2"/>
        <v>78.930000000000007</v>
      </c>
    </row>
    <row r="774" spans="1:24">
      <c r="A774" s="444">
        <v>3550</v>
      </c>
      <c r="B774" s="448">
        <v>25.39</v>
      </c>
      <c r="C774" s="448">
        <v>25.35</v>
      </c>
      <c r="D774" s="448">
        <v>25.32</v>
      </c>
      <c r="E774" s="448">
        <v>25.3</v>
      </c>
      <c r="F774" s="448">
        <v>25.27</v>
      </c>
      <c r="G774" s="448">
        <v>25.25</v>
      </c>
      <c r="H774" s="448">
        <v>25.2</v>
      </c>
      <c r="I774" s="448">
        <v>25.15</v>
      </c>
      <c r="X774" s="11">
        <f t="shared" si="2"/>
        <v>80.069999999999993</v>
      </c>
    </row>
    <row r="775" spans="1:24">
      <c r="A775" s="444">
        <v>3600</v>
      </c>
      <c r="B775" s="448">
        <v>25.75</v>
      </c>
      <c r="C775" s="448">
        <v>25.7</v>
      </c>
      <c r="D775" s="448">
        <v>25.67</v>
      </c>
      <c r="E775" s="448">
        <v>25.65</v>
      </c>
      <c r="F775" s="448">
        <v>25.63</v>
      </c>
      <c r="G775" s="448">
        <v>25.6</v>
      </c>
      <c r="H775" s="448">
        <v>25.55</v>
      </c>
      <c r="I775" s="448">
        <v>25.5</v>
      </c>
      <c r="X775" s="11">
        <f t="shared" si="2"/>
        <v>81.17</v>
      </c>
    </row>
    <row r="776" spans="1:24">
      <c r="A776" s="444">
        <v>3650</v>
      </c>
      <c r="B776" s="448">
        <v>26.1</v>
      </c>
      <c r="C776" s="448">
        <v>26.05</v>
      </c>
      <c r="D776" s="448">
        <v>26.03</v>
      </c>
      <c r="E776" s="448">
        <v>26</v>
      </c>
      <c r="F776" s="448">
        <v>25.98</v>
      </c>
      <c r="G776" s="448">
        <v>25.95</v>
      </c>
      <c r="H776" s="448">
        <v>25.9</v>
      </c>
      <c r="I776" s="448">
        <v>25.86</v>
      </c>
      <c r="X776" s="11">
        <f t="shared" si="2"/>
        <v>82.28</v>
      </c>
    </row>
    <row r="777" spans="1:24">
      <c r="A777" s="444">
        <v>3700</v>
      </c>
      <c r="B777" s="448">
        <v>26.45</v>
      </c>
      <c r="C777" s="448">
        <v>26.4</v>
      </c>
      <c r="D777" s="448">
        <v>26.38</v>
      </c>
      <c r="E777" s="448">
        <v>26.35</v>
      </c>
      <c r="F777" s="448">
        <v>26.33</v>
      </c>
      <c r="G777" s="448">
        <v>26.3</v>
      </c>
      <c r="H777" s="448">
        <v>26.26</v>
      </c>
      <c r="I777" s="448">
        <v>26.21</v>
      </c>
      <c r="X777" s="11">
        <f t="shared" si="2"/>
        <v>83.39</v>
      </c>
    </row>
    <row r="778" spans="1:24">
      <c r="A778" s="444">
        <v>3750</v>
      </c>
      <c r="B778" s="448">
        <v>26.8</v>
      </c>
      <c r="C778" s="448">
        <v>26.75</v>
      </c>
      <c r="D778" s="448">
        <v>26.73</v>
      </c>
      <c r="E778" s="448">
        <v>26.7</v>
      </c>
      <c r="F778" s="448">
        <v>26.68</v>
      </c>
      <c r="G778" s="448">
        <v>26.66</v>
      </c>
      <c r="H778" s="448">
        <v>26.61</v>
      </c>
      <c r="I778" s="448">
        <v>26.56</v>
      </c>
      <c r="X778" s="11">
        <f t="shared" si="2"/>
        <v>84.49</v>
      </c>
    </row>
    <row r="779" spans="1:24">
      <c r="A779" s="444">
        <v>3800</v>
      </c>
      <c r="B779" s="448">
        <v>27.15</v>
      </c>
      <c r="C779" s="448">
        <v>27.1</v>
      </c>
      <c r="D779" s="448">
        <v>27.08</v>
      </c>
      <c r="E779" s="448">
        <v>27.06</v>
      </c>
      <c r="F779" s="448">
        <v>27.03</v>
      </c>
      <c r="G779" s="448">
        <v>27.01</v>
      </c>
      <c r="H779" s="448">
        <v>26.96</v>
      </c>
      <c r="I779" s="448">
        <v>26.91</v>
      </c>
      <c r="X779" s="11">
        <f t="shared" si="2"/>
        <v>85.6</v>
      </c>
    </row>
    <row r="780" spans="1:24">
      <c r="A780" s="444">
        <v>3850</v>
      </c>
      <c r="B780" s="448">
        <v>27.5</v>
      </c>
      <c r="C780" s="448">
        <v>27.46</v>
      </c>
      <c r="D780" s="448">
        <v>27.43</v>
      </c>
      <c r="E780" s="448">
        <v>27.41</v>
      </c>
      <c r="F780" s="448">
        <v>27.38</v>
      </c>
      <c r="G780" s="448">
        <v>27.36</v>
      </c>
      <c r="H780" s="448">
        <v>27.31</v>
      </c>
      <c r="I780" s="448">
        <v>27.26</v>
      </c>
      <c r="X780" s="11">
        <f t="shared" si="2"/>
        <v>86.73</v>
      </c>
    </row>
    <row r="781" spans="1:24">
      <c r="A781" s="444">
        <v>3900</v>
      </c>
      <c r="B781" s="448">
        <v>27.86</v>
      </c>
      <c r="C781" s="448">
        <v>27.81</v>
      </c>
      <c r="D781" s="448">
        <v>27.78</v>
      </c>
      <c r="E781" s="448">
        <v>27.76</v>
      </c>
      <c r="F781" s="448">
        <v>27.74</v>
      </c>
      <c r="G781" s="448">
        <v>27.71</v>
      </c>
      <c r="H781" s="448">
        <v>27.66</v>
      </c>
      <c r="I781" s="448">
        <v>27.61</v>
      </c>
      <c r="X781" s="11">
        <f t="shared" si="2"/>
        <v>87.84</v>
      </c>
    </row>
    <row r="782" spans="1:24">
      <c r="A782" s="444">
        <v>3950</v>
      </c>
      <c r="B782" s="448">
        <v>28.21</v>
      </c>
      <c r="C782" s="448">
        <v>28.16</v>
      </c>
      <c r="D782" s="448">
        <v>28.14</v>
      </c>
      <c r="E782" s="448">
        <v>28.11</v>
      </c>
      <c r="F782" s="448">
        <v>28.09</v>
      </c>
      <c r="G782" s="448">
        <v>28.06</v>
      </c>
      <c r="H782" s="448">
        <v>28.01</v>
      </c>
      <c r="I782" s="448">
        <v>27.97</v>
      </c>
      <c r="X782" s="11">
        <f t="shared" si="2"/>
        <v>88.95</v>
      </c>
    </row>
    <row r="783" spans="1:24">
      <c r="A783" s="444">
        <v>4000</v>
      </c>
      <c r="B783" s="448">
        <v>28.56</v>
      </c>
      <c r="C783" s="448">
        <v>28.51</v>
      </c>
      <c r="D783" s="448">
        <v>28.49</v>
      </c>
      <c r="E783" s="448">
        <v>28.46</v>
      </c>
      <c r="F783" s="448">
        <v>28.44</v>
      </c>
      <c r="G783" s="448">
        <v>28.41</v>
      </c>
      <c r="H783" s="448">
        <v>28.37</v>
      </c>
      <c r="I783" s="448">
        <v>28.32</v>
      </c>
      <c r="X783" s="11">
        <f t="shared" si="2"/>
        <v>90.05</v>
      </c>
    </row>
    <row r="784" spans="1:24">
      <c r="A784" s="444">
        <v>4050</v>
      </c>
      <c r="B784" s="448">
        <v>28.91</v>
      </c>
      <c r="C784" s="448">
        <v>28.86</v>
      </c>
      <c r="D784" s="448">
        <v>28.84</v>
      </c>
      <c r="E784" s="448">
        <v>28.81</v>
      </c>
      <c r="F784" s="448">
        <v>28.79</v>
      </c>
      <c r="G784" s="448">
        <v>28.77</v>
      </c>
      <c r="H784" s="448">
        <v>28.72</v>
      </c>
      <c r="I784" s="448">
        <v>28.67</v>
      </c>
      <c r="X784" s="11">
        <f t="shared" si="2"/>
        <v>91.16</v>
      </c>
    </row>
    <row r="785" spans="1:24">
      <c r="A785" s="444">
        <v>4100</v>
      </c>
      <c r="B785" s="448">
        <v>29.26</v>
      </c>
      <c r="C785" s="448">
        <v>29.22</v>
      </c>
      <c r="D785" s="448">
        <v>29.19</v>
      </c>
      <c r="E785" s="448">
        <v>29.17</v>
      </c>
      <c r="F785" s="448">
        <v>29.14</v>
      </c>
      <c r="G785" s="448">
        <v>29.12</v>
      </c>
      <c r="H785" s="448">
        <v>29.07</v>
      </c>
      <c r="I785" s="448">
        <v>29.02</v>
      </c>
      <c r="X785" s="11">
        <f t="shared" si="2"/>
        <v>92.29</v>
      </c>
    </row>
    <row r="786" spans="1:24">
      <c r="A786" s="444">
        <v>4150</v>
      </c>
      <c r="B786" s="448">
        <v>29.62</v>
      </c>
      <c r="C786" s="448">
        <v>29.57</v>
      </c>
      <c r="D786" s="448">
        <v>29.54</v>
      </c>
      <c r="E786" s="448">
        <v>29.52</v>
      </c>
      <c r="F786" s="448">
        <v>29.49</v>
      </c>
      <c r="G786" s="448">
        <v>29.47</v>
      </c>
      <c r="H786" s="448">
        <v>29.42</v>
      </c>
      <c r="I786" s="448">
        <v>29.37</v>
      </c>
      <c r="X786" s="11">
        <f t="shared" si="2"/>
        <v>93.4</v>
      </c>
    </row>
    <row r="787" spans="1:24">
      <c r="A787" s="444">
        <v>4200</v>
      </c>
      <c r="B787" s="448">
        <v>29.97</v>
      </c>
      <c r="C787" s="448">
        <v>29.92</v>
      </c>
      <c r="D787" s="448">
        <v>29.89</v>
      </c>
      <c r="E787" s="448">
        <v>29.87</v>
      </c>
      <c r="F787" s="448">
        <v>29.85</v>
      </c>
      <c r="G787" s="448">
        <v>29.82</v>
      </c>
      <c r="H787" s="448">
        <v>29.77</v>
      </c>
      <c r="I787" s="448">
        <v>29.73</v>
      </c>
      <c r="X787" s="11">
        <f t="shared" si="2"/>
        <v>94.5</v>
      </c>
    </row>
    <row r="788" spans="1:24">
      <c r="A788" s="444">
        <v>4250</v>
      </c>
      <c r="B788" s="448">
        <v>30.32</v>
      </c>
      <c r="C788" s="448">
        <v>30.27</v>
      </c>
      <c r="D788" s="448">
        <v>30.25</v>
      </c>
      <c r="E788" s="448">
        <v>30.22</v>
      </c>
      <c r="F788" s="448">
        <v>30.2</v>
      </c>
      <c r="G788" s="448">
        <v>30.17</v>
      </c>
      <c r="H788" s="448">
        <v>30.13</v>
      </c>
      <c r="I788" s="448">
        <v>30.08</v>
      </c>
      <c r="X788" s="11">
        <f t="shared" si="2"/>
        <v>95.61</v>
      </c>
    </row>
    <row r="789" spans="1:24">
      <c r="A789" s="444">
        <v>4300</v>
      </c>
      <c r="B789" s="448">
        <v>30.67</v>
      </c>
      <c r="C789" s="448">
        <v>30.62</v>
      </c>
      <c r="D789" s="448">
        <v>30.6</v>
      </c>
      <c r="E789" s="448">
        <v>30.57</v>
      </c>
      <c r="F789" s="448">
        <v>30.55</v>
      </c>
      <c r="G789" s="448">
        <v>30.53</v>
      </c>
      <c r="H789" s="448">
        <v>30.48</v>
      </c>
      <c r="I789" s="448">
        <v>30.43</v>
      </c>
      <c r="X789" s="11">
        <f t="shared" si="2"/>
        <v>96.72</v>
      </c>
    </row>
    <row r="790" spans="1:24">
      <c r="A790" s="444">
        <v>4350</v>
      </c>
      <c r="B790" s="448">
        <v>31.02</v>
      </c>
      <c r="C790" s="448">
        <v>30.97</v>
      </c>
      <c r="D790" s="448">
        <v>30.95</v>
      </c>
      <c r="E790" s="448">
        <v>30.93</v>
      </c>
      <c r="F790" s="448">
        <v>30.901</v>
      </c>
      <c r="G790" s="448">
        <v>30.88</v>
      </c>
      <c r="H790" s="448">
        <v>30.83</v>
      </c>
      <c r="I790" s="448">
        <v>30.78</v>
      </c>
      <c r="X790" s="11">
        <f t="shared" si="2"/>
        <v>97.82</v>
      </c>
    </row>
    <row r="791" spans="1:24">
      <c r="A791" s="444">
        <v>4400</v>
      </c>
      <c r="B791" s="448">
        <v>31.37</v>
      </c>
      <c r="C791" s="449">
        <v>31.33</v>
      </c>
      <c r="D791" s="448">
        <v>31.3</v>
      </c>
      <c r="E791" s="448">
        <v>31.28</v>
      </c>
      <c r="F791" s="448">
        <v>31.25</v>
      </c>
      <c r="G791" s="448">
        <v>31.23</v>
      </c>
      <c r="H791" s="448">
        <v>31.18</v>
      </c>
      <c r="I791" s="448">
        <v>31.13</v>
      </c>
      <c r="X791" s="11">
        <f t="shared" si="2"/>
        <v>98.96</v>
      </c>
    </row>
    <row r="792" spans="1:24">
      <c r="A792" s="444">
        <v>4450</v>
      </c>
      <c r="B792" s="448">
        <v>31.66</v>
      </c>
      <c r="C792" s="448">
        <v>31.66</v>
      </c>
      <c r="D792" s="448">
        <v>31.65</v>
      </c>
      <c r="E792" s="448">
        <v>31.62</v>
      </c>
      <c r="F792" s="448">
        <v>31.6</v>
      </c>
      <c r="G792" s="448">
        <v>31.58</v>
      </c>
      <c r="H792" s="448">
        <v>31.53</v>
      </c>
      <c r="I792" s="448">
        <v>31.48</v>
      </c>
      <c r="X792" s="11">
        <f t="shared" si="2"/>
        <v>100</v>
      </c>
    </row>
    <row r="793" spans="1:24">
      <c r="A793" s="444">
        <v>4500</v>
      </c>
      <c r="B793" s="448">
        <v>31.66</v>
      </c>
      <c r="C793" s="448">
        <v>31.66</v>
      </c>
      <c r="D793" s="448">
        <v>31.66</v>
      </c>
      <c r="E793" s="448">
        <v>31.66</v>
      </c>
      <c r="F793" s="448">
        <v>31.66</v>
      </c>
      <c r="G793" s="448">
        <v>31.66</v>
      </c>
      <c r="H793" s="448">
        <v>31.66</v>
      </c>
      <c r="I793" s="448">
        <v>31.65</v>
      </c>
      <c r="X793" s="11">
        <f t="shared" si="2"/>
        <v>100</v>
      </c>
    </row>
    <row r="794" spans="1:24">
      <c r="A794" s="444">
        <v>4550</v>
      </c>
      <c r="B794" s="448">
        <v>31.66</v>
      </c>
      <c r="C794" s="448">
        <v>31.66</v>
      </c>
      <c r="D794" s="448">
        <v>31.66</v>
      </c>
      <c r="E794" s="448">
        <v>31.66</v>
      </c>
      <c r="F794" s="448">
        <v>31.66</v>
      </c>
      <c r="G794" s="448">
        <v>31.66</v>
      </c>
      <c r="H794" s="448">
        <v>31.66</v>
      </c>
      <c r="I794" s="448">
        <v>31.66</v>
      </c>
      <c r="X794" s="11">
        <f t="shared" si="2"/>
        <v>100</v>
      </c>
    </row>
    <row r="795" spans="1:24">
      <c r="A795" s="444">
        <v>5002</v>
      </c>
      <c r="B795" s="448">
        <v>31.66</v>
      </c>
      <c r="C795" s="448">
        <v>31.66</v>
      </c>
      <c r="D795" s="448">
        <v>31.66</v>
      </c>
      <c r="E795" s="448">
        <v>31.66</v>
      </c>
      <c r="F795" s="448">
        <v>31.66</v>
      </c>
      <c r="G795" s="448">
        <v>31.66</v>
      </c>
      <c r="H795" s="448">
        <v>31.66</v>
      </c>
      <c r="I795" s="448">
        <v>31.66</v>
      </c>
      <c r="X795" s="11">
        <f t="shared" si="2"/>
        <v>100</v>
      </c>
    </row>
    <row r="797" spans="1:24" hidden="1"/>
    <row r="798" spans="1:24" hidden="1"/>
    <row r="799" spans="1:24" hidden="1"/>
    <row r="800" spans="1:24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spans="1:30" hidden="1"/>
    <row r="914" spans="1:30" hidden="1"/>
    <row r="915" spans="1:30" hidden="1"/>
    <row r="916" spans="1:30" hidden="1"/>
    <row r="917" spans="1:30" hidden="1"/>
    <row r="918" spans="1:30" hidden="1"/>
    <row r="919" spans="1:30" hidden="1"/>
    <row r="920" spans="1:30" hidden="1"/>
    <row r="921" spans="1:30" hidden="1"/>
    <row r="922" spans="1:30" hidden="1"/>
    <row r="923" spans="1:30" hidden="1"/>
    <row r="925" spans="1:30">
      <c r="A925" t="s">
        <v>249</v>
      </c>
    </row>
    <row r="926" spans="1:30">
      <c r="A926" t="s">
        <v>250</v>
      </c>
    </row>
    <row r="927" spans="1:30">
      <c r="A927" t="s">
        <v>230</v>
      </c>
      <c r="B927">
        <v>-1</v>
      </c>
      <c r="C927">
        <v>0</v>
      </c>
      <c r="D927">
        <v>0.5</v>
      </c>
      <c r="E927">
        <v>1</v>
      </c>
      <c r="F927">
        <v>1.5</v>
      </c>
      <c r="G927">
        <v>2</v>
      </c>
      <c r="H927">
        <v>3</v>
      </c>
      <c r="I927">
        <v>4</v>
      </c>
      <c r="M927" t="s">
        <v>35</v>
      </c>
      <c r="N927" t="s">
        <v>230</v>
      </c>
      <c r="O927">
        <v>-4</v>
      </c>
      <c r="P927">
        <v>-3</v>
      </c>
      <c r="Q927">
        <v>-2</v>
      </c>
      <c r="R927">
        <v>-1</v>
      </c>
      <c r="S927">
        <v>0</v>
      </c>
      <c r="T927">
        <v>1</v>
      </c>
      <c r="U927">
        <v>2</v>
      </c>
      <c r="V927">
        <v>3</v>
      </c>
      <c r="W927">
        <v>4</v>
      </c>
      <c r="X927" s="11" t="s">
        <v>231</v>
      </c>
      <c r="AA927" s="1">
        <f>heelDraft1</f>
        <v>0</v>
      </c>
      <c r="AB927" s="274">
        <v>1250</v>
      </c>
      <c r="AC927" s="186">
        <f>IF((AB927+AB930)&lt;0,AB927,AB927+AB930)</f>
        <v>1250</v>
      </c>
      <c r="AD927" s="42">
        <f>IF(AD929=AD928,AD928,Interp1(AC928:AC929,AD928:AD929,AC927))</f>
        <v>31.184000000000001</v>
      </c>
    </row>
    <row r="928" spans="1:30">
      <c r="A928">
        <v>0</v>
      </c>
      <c r="B928">
        <v>3.3000000000000002E-2</v>
      </c>
      <c r="C928">
        <v>3.1E-2</v>
      </c>
      <c r="D928">
        <v>0.03</v>
      </c>
      <c r="E928">
        <v>2.9000000000000001E-2</v>
      </c>
      <c r="F928">
        <v>2.8000000000000001E-2</v>
      </c>
      <c r="G928">
        <v>2.7E-2</v>
      </c>
      <c r="H928">
        <v>2.4E-2</v>
      </c>
      <c r="I928">
        <v>2.1999999999999999E-2</v>
      </c>
      <c r="N928">
        <v>0</v>
      </c>
      <c r="O928">
        <v>106.94499999999999</v>
      </c>
      <c r="P928">
        <v>59.56</v>
      </c>
      <c r="Q928">
        <v>14.923999999999999</v>
      </c>
      <c r="R928">
        <v>7.2480000000000002</v>
      </c>
      <c r="S928">
        <v>0</v>
      </c>
      <c r="T928">
        <v>0</v>
      </c>
      <c r="U928">
        <v>0</v>
      </c>
      <c r="V928">
        <v>0</v>
      </c>
      <c r="W928">
        <v>0</v>
      </c>
      <c r="AA928" s="1">
        <f>FLOOR(AB927,incOil2)</f>
        <v>1200</v>
      </c>
      <c r="AB928" s="1">
        <f>Interp2(Oil5Heel1,Oil5Heel2,Oil5Heel3,AA928,AA927)</f>
        <v>0</v>
      </c>
      <c r="AC928" s="1">
        <f>FLOOR(AC927,incOil1)</f>
        <v>1250</v>
      </c>
      <c r="AD928" s="42">
        <f>IF(AB933=AB932,AB932,Interp1(AA932:AA933,AB932:AB933,AA931))</f>
        <v>31.184000000000001</v>
      </c>
    </row>
    <row r="929" spans="1:30">
      <c r="A929">
        <v>50</v>
      </c>
      <c r="B929">
        <v>0.19400000000000001</v>
      </c>
      <c r="C929">
        <v>0.13500000000000001</v>
      </c>
      <c r="D929">
        <v>0.13400000000000001</v>
      </c>
      <c r="E929">
        <v>0.13300000000000001</v>
      </c>
      <c r="F929">
        <v>0.13100000000000001</v>
      </c>
      <c r="G929">
        <v>0.13</v>
      </c>
      <c r="H929">
        <v>0.128</v>
      </c>
      <c r="I929">
        <v>0.126</v>
      </c>
      <c r="N929">
        <v>100</v>
      </c>
      <c r="O929">
        <v>85.66</v>
      </c>
      <c r="P929">
        <v>64.2</v>
      </c>
      <c r="Q929">
        <v>42.777999999999999</v>
      </c>
      <c r="R929">
        <v>21.382000000000001</v>
      </c>
      <c r="S929">
        <v>0</v>
      </c>
      <c r="T929">
        <v>-59.904000000000003</v>
      </c>
      <c r="U929">
        <v>-72.337000000000003</v>
      </c>
      <c r="V929">
        <v>-80.786000000000001</v>
      </c>
      <c r="W929">
        <v>-85.533000000000001</v>
      </c>
      <c r="AA929" s="1">
        <f>IF(AA928=OilSound5,AA928,CEILING(AB927,incOil2))</f>
        <v>1300</v>
      </c>
      <c r="AB929" s="1">
        <f>Interp2(Oil5Heel1,Oil5Heel2,Oil5Heel3,AA929,AA927)</f>
        <v>0</v>
      </c>
      <c r="AC929" s="1">
        <f>CEILING(AC927,incOil1)</f>
        <v>1250</v>
      </c>
      <c r="AD929" s="42">
        <f>IF(AC933=AC932,AC932,Interp1(AA932:AA933,AC932:AC933,AA931))</f>
        <v>31.184000000000001</v>
      </c>
    </row>
    <row r="930" spans="1:30">
      <c r="A930">
        <v>100</v>
      </c>
      <c r="B930">
        <v>1.345</v>
      </c>
      <c r="C930">
        <v>0.64300000000000002</v>
      </c>
      <c r="D930">
        <v>0.34499999999999997</v>
      </c>
      <c r="E930">
        <v>0.27900000000000003</v>
      </c>
      <c r="F930">
        <v>0.25700000000000001</v>
      </c>
      <c r="G930">
        <v>0.246</v>
      </c>
      <c r="H930">
        <v>0.23599999999999999</v>
      </c>
      <c r="I930">
        <v>0.23100000000000001</v>
      </c>
      <c r="N930">
        <v>200</v>
      </c>
      <c r="O930">
        <v>85.66</v>
      </c>
      <c r="P930">
        <v>64.198999999999998</v>
      </c>
      <c r="Q930">
        <v>42.777999999999999</v>
      </c>
      <c r="R930">
        <v>21.382000000000001</v>
      </c>
      <c r="S930">
        <v>0</v>
      </c>
      <c r="T930">
        <v>-21.382000000000001</v>
      </c>
      <c r="U930">
        <v>-42.777999999999999</v>
      </c>
      <c r="V930">
        <v>-63.01</v>
      </c>
      <c r="W930">
        <v>-75.543999999999997</v>
      </c>
      <c r="AA930" s="1"/>
      <c r="AB930" s="1">
        <f>IF(AB929=AB928,AB928,Interp1(AA928:AA929,AB928:AB929,AB927))</f>
        <v>0</v>
      </c>
      <c r="AC930" s="1"/>
      <c r="AD930" s="42"/>
    </row>
    <row r="931" spans="1:30">
      <c r="A931">
        <v>150</v>
      </c>
      <c r="B931">
        <v>2.798</v>
      </c>
      <c r="C931">
        <v>2.0960000000000001</v>
      </c>
      <c r="D931">
        <v>1.7450000000000001</v>
      </c>
      <c r="E931">
        <v>1.3939999999999999</v>
      </c>
      <c r="F931">
        <v>1.0569999999999999</v>
      </c>
      <c r="G931">
        <v>0.85099999999999998</v>
      </c>
      <c r="H931">
        <v>0.64500000000000002</v>
      </c>
      <c r="I931">
        <v>0.54200000000000004</v>
      </c>
      <c r="N931">
        <v>300</v>
      </c>
      <c r="O931">
        <v>85.66</v>
      </c>
      <c r="P931">
        <v>64.198999999999998</v>
      </c>
      <c r="Q931">
        <v>42.777999999999999</v>
      </c>
      <c r="R931">
        <v>21.382000000000001</v>
      </c>
      <c r="S931">
        <v>0</v>
      </c>
      <c r="T931">
        <v>-21.382000000000001</v>
      </c>
      <c r="U931">
        <v>-42.777999999999999</v>
      </c>
      <c r="V931">
        <v>-64.2</v>
      </c>
      <c r="W931">
        <v>-85.66</v>
      </c>
      <c r="AA931" s="1">
        <f>trimDraft</f>
        <v>0.149999999999999</v>
      </c>
      <c r="AB931" s="1"/>
      <c r="AC931" s="1"/>
      <c r="AD931" s="1"/>
    </row>
    <row r="932" spans="1:30">
      <c r="A932">
        <v>200</v>
      </c>
      <c r="B932">
        <v>4.25</v>
      </c>
      <c r="C932">
        <v>3.548</v>
      </c>
      <c r="D932">
        <v>3.1970000000000001</v>
      </c>
      <c r="E932">
        <v>2.8460000000000001</v>
      </c>
      <c r="F932">
        <v>2.4950000000000001</v>
      </c>
      <c r="G932">
        <v>2.1440000000000001</v>
      </c>
      <c r="H932">
        <v>1.542</v>
      </c>
      <c r="I932">
        <v>1.22</v>
      </c>
      <c r="N932">
        <v>400</v>
      </c>
      <c r="O932">
        <v>85.66</v>
      </c>
      <c r="P932">
        <v>64.2</v>
      </c>
      <c r="Q932">
        <v>42.777999999999999</v>
      </c>
      <c r="R932">
        <v>21.382000000000001</v>
      </c>
      <c r="S932">
        <v>0</v>
      </c>
      <c r="T932">
        <v>-21.382000000000001</v>
      </c>
      <c r="U932">
        <v>-42.777999999999999</v>
      </c>
      <c r="V932">
        <v>-64.2</v>
      </c>
      <c r="W932">
        <v>-85.66</v>
      </c>
      <c r="AA932" s="1">
        <f>INDEX(Oil5Trim2,0,MATCH(AA931,Oil5Trim2,1))</f>
        <v>0</v>
      </c>
      <c r="AB932" s="1">
        <f>Interp2(Oil5Trim1,Oil5Trim2,Oil5Trim3,AC928,AA932)</f>
        <v>31.184000000000001</v>
      </c>
      <c r="AC932" s="1">
        <f>Interp2(Oil5Trim1,Oil5Trim2,Oil5Trim3,AC929,AA932)</f>
        <v>31.184000000000001</v>
      </c>
      <c r="AD932" s="1"/>
    </row>
    <row r="933" spans="1:30">
      <c r="A933">
        <v>250</v>
      </c>
      <c r="B933">
        <v>5.702</v>
      </c>
      <c r="C933">
        <v>5</v>
      </c>
      <c r="D933">
        <v>4.649</v>
      </c>
      <c r="E933">
        <v>4.298</v>
      </c>
      <c r="F933">
        <v>3.9470000000000001</v>
      </c>
      <c r="G933">
        <v>3.5960000000000001</v>
      </c>
      <c r="H933">
        <v>2.8940000000000001</v>
      </c>
      <c r="I933">
        <v>2.262</v>
      </c>
      <c r="N933">
        <v>500</v>
      </c>
      <c r="O933">
        <v>85.66</v>
      </c>
      <c r="P933">
        <v>64.198999999999998</v>
      </c>
      <c r="Q933">
        <v>42.777999999999999</v>
      </c>
      <c r="R933">
        <v>21.382000000000001</v>
      </c>
      <c r="S933">
        <v>0</v>
      </c>
      <c r="T933">
        <v>-21.382000000000001</v>
      </c>
      <c r="U933">
        <v>-42.777999999999999</v>
      </c>
      <c r="V933">
        <v>-64.2</v>
      </c>
      <c r="W933">
        <v>-85.66</v>
      </c>
      <c r="AA933" s="1">
        <f>IF(AA932=AA931,AA931,INDEX(Oil5Trim2,0,MATCH(AA931,Oil5Trim2,1)+1))</f>
        <v>0.5</v>
      </c>
      <c r="AB933" s="1">
        <f>Interp2(Oil5Trim1,Oil5Trim2,Oil5Trim3,AC928,AA933)</f>
        <v>31.183</v>
      </c>
      <c r="AC933" s="1">
        <f>Interp2(Oil5Trim1,Oil5Trim2,Oil5Trim3,AC929,AA933)</f>
        <v>31.183</v>
      </c>
      <c r="AD933" s="1"/>
    </row>
    <row r="934" spans="1:30">
      <c r="A934">
        <v>300</v>
      </c>
      <c r="B934">
        <v>7.1550000000000002</v>
      </c>
      <c r="C934">
        <v>6.4530000000000003</v>
      </c>
      <c r="D934">
        <v>6.1020000000000003</v>
      </c>
      <c r="E934">
        <v>5.7510000000000003</v>
      </c>
      <c r="F934">
        <v>5.4</v>
      </c>
      <c r="G934">
        <v>5.0490000000000004</v>
      </c>
      <c r="H934">
        <v>4.3470000000000004</v>
      </c>
      <c r="I934">
        <v>3.645</v>
      </c>
      <c r="N934">
        <v>600</v>
      </c>
      <c r="O934">
        <v>85.66</v>
      </c>
      <c r="P934">
        <v>64.2</v>
      </c>
      <c r="Q934">
        <v>42.777999999999999</v>
      </c>
      <c r="R934">
        <v>21.382000000000001</v>
      </c>
      <c r="S934">
        <v>0</v>
      </c>
      <c r="T934">
        <v>-21.382999999999999</v>
      </c>
      <c r="U934">
        <v>-42.777999999999999</v>
      </c>
      <c r="V934">
        <v>-64.2</v>
      </c>
      <c r="W934">
        <v>-85.66</v>
      </c>
    </row>
    <row r="935" spans="1:30">
      <c r="A935">
        <v>350</v>
      </c>
      <c r="B935">
        <v>8.6069999999999993</v>
      </c>
      <c r="C935">
        <v>7.9050000000000002</v>
      </c>
      <c r="D935">
        <v>7.5540000000000003</v>
      </c>
      <c r="E935">
        <v>7.2030000000000003</v>
      </c>
      <c r="F935">
        <v>6.8520000000000003</v>
      </c>
      <c r="G935">
        <v>6.5010000000000003</v>
      </c>
      <c r="H935">
        <v>5.7990000000000004</v>
      </c>
      <c r="I935">
        <v>5.0970000000000004</v>
      </c>
      <c r="N935">
        <v>700</v>
      </c>
      <c r="O935">
        <v>85.66</v>
      </c>
      <c r="P935">
        <v>64.2</v>
      </c>
      <c r="Q935">
        <v>42.777999999999999</v>
      </c>
      <c r="R935">
        <v>21.382999999999999</v>
      </c>
      <c r="S935">
        <v>0</v>
      </c>
      <c r="T935">
        <v>-21.382999999999999</v>
      </c>
      <c r="U935">
        <v>-42.777999999999999</v>
      </c>
      <c r="V935">
        <v>-64.2</v>
      </c>
      <c r="W935">
        <v>-85.66</v>
      </c>
      <c r="AA935">
        <f>COUNT(A928:W970)</f>
        <v>617</v>
      </c>
    </row>
    <row r="936" spans="1:30">
      <c r="A936">
        <v>400</v>
      </c>
      <c r="B936">
        <v>10.058999999999999</v>
      </c>
      <c r="C936">
        <v>9.3569999999999993</v>
      </c>
      <c r="D936">
        <v>9.0060000000000002</v>
      </c>
      <c r="E936">
        <v>8.6549999999999994</v>
      </c>
      <c r="F936">
        <v>8.3040000000000003</v>
      </c>
      <c r="G936">
        <v>7.9530000000000003</v>
      </c>
      <c r="H936">
        <v>7.2510000000000003</v>
      </c>
      <c r="I936">
        <v>6.5490000000000004</v>
      </c>
      <c r="N936">
        <v>800</v>
      </c>
      <c r="O936">
        <v>85.555000000000007</v>
      </c>
      <c r="P936">
        <v>64.198999999999998</v>
      </c>
      <c r="Q936">
        <v>42.777999999999999</v>
      </c>
      <c r="R936">
        <v>21.382999999999999</v>
      </c>
      <c r="S936">
        <v>0</v>
      </c>
      <c r="T936">
        <v>-21.382999999999999</v>
      </c>
      <c r="U936">
        <v>-42.777999999999999</v>
      </c>
      <c r="V936">
        <v>-64.2</v>
      </c>
      <c r="W936">
        <v>-85.66</v>
      </c>
      <c r="AA936">
        <f>COUNTA(A928:W970)</f>
        <v>617</v>
      </c>
    </row>
    <row r="937" spans="1:30">
      <c r="A937">
        <v>450</v>
      </c>
      <c r="B937">
        <v>11.512</v>
      </c>
      <c r="C937">
        <v>10.81</v>
      </c>
      <c r="D937">
        <v>10.459</v>
      </c>
      <c r="E937">
        <v>10.108000000000001</v>
      </c>
      <c r="F937">
        <v>9.7569999999999997</v>
      </c>
      <c r="G937">
        <v>9.4060000000000006</v>
      </c>
      <c r="H937">
        <v>8.7040000000000006</v>
      </c>
      <c r="I937">
        <v>8.0020000000000007</v>
      </c>
      <c r="N937">
        <v>900</v>
      </c>
      <c r="O937">
        <v>85.27</v>
      </c>
      <c r="P937">
        <v>63.966999999999999</v>
      </c>
      <c r="Q937">
        <v>42.704000000000001</v>
      </c>
      <c r="R937">
        <v>21.446000000000002</v>
      </c>
      <c r="S937">
        <v>0</v>
      </c>
      <c r="T937">
        <v>-21.382000000000001</v>
      </c>
      <c r="U937">
        <v>-42.777999999999999</v>
      </c>
      <c r="V937">
        <v>-64.2</v>
      </c>
      <c r="W937">
        <v>-85.66</v>
      </c>
    </row>
    <row r="938" spans="1:30">
      <c r="A938">
        <v>500</v>
      </c>
      <c r="B938">
        <v>12.964</v>
      </c>
      <c r="C938">
        <v>12.262</v>
      </c>
      <c r="D938">
        <v>11.911</v>
      </c>
      <c r="E938">
        <v>11.56</v>
      </c>
      <c r="F938">
        <v>11.209</v>
      </c>
      <c r="G938">
        <v>10.858000000000001</v>
      </c>
      <c r="H938">
        <v>10.156000000000001</v>
      </c>
      <c r="I938">
        <v>9.4540000000000006</v>
      </c>
      <c r="N938">
        <v>1000</v>
      </c>
      <c r="O938">
        <v>82.495999999999995</v>
      </c>
      <c r="P938">
        <v>63.88</v>
      </c>
      <c r="Q938">
        <v>42.564999999999998</v>
      </c>
      <c r="R938">
        <v>21.276</v>
      </c>
      <c r="S938">
        <v>0</v>
      </c>
      <c r="T938">
        <v>-21.224</v>
      </c>
      <c r="U938">
        <v>-42.607999999999997</v>
      </c>
      <c r="V938">
        <v>-64.093999999999994</v>
      </c>
      <c r="W938">
        <v>-85.617999999999995</v>
      </c>
    </row>
    <row r="939" spans="1:30">
      <c r="A939">
        <v>550</v>
      </c>
      <c r="B939">
        <v>14.416</v>
      </c>
      <c r="C939">
        <v>13.714</v>
      </c>
      <c r="D939">
        <v>13.363</v>
      </c>
      <c r="E939">
        <v>13.012</v>
      </c>
      <c r="F939">
        <v>12.661</v>
      </c>
      <c r="G939">
        <v>12.31</v>
      </c>
      <c r="H939">
        <v>11.608000000000001</v>
      </c>
      <c r="I939">
        <v>10.906000000000001</v>
      </c>
      <c r="N939">
        <v>1100</v>
      </c>
      <c r="O939">
        <v>83.85</v>
      </c>
      <c r="P939">
        <v>77.3</v>
      </c>
      <c r="Q939">
        <v>67.290000000000006</v>
      </c>
      <c r="R939">
        <v>43.465000000000003</v>
      </c>
      <c r="S939">
        <v>0</v>
      </c>
      <c r="T939">
        <v>-21.276</v>
      </c>
      <c r="U939">
        <v>-42.564999999999998</v>
      </c>
      <c r="V939">
        <v>-63.88</v>
      </c>
      <c r="W939">
        <v>-85.287999999999997</v>
      </c>
    </row>
    <row r="940" spans="1:30">
      <c r="A940">
        <v>600</v>
      </c>
      <c r="B940">
        <v>15.869</v>
      </c>
      <c r="C940">
        <v>15.167</v>
      </c>
      <c r="D940">
        <v>14.816000000000001</v>
      </c>
      <c r="E940">
        <v>14.465</v>
      </c>
      <c r="F940">
        <v>14.114000000000001</v>
      </c>
      <c r="G940">
        <v>13.763</v>
      </c>
      <c r="H940">
        <v>13.061</v>
      </c>
      <c r="I940">
        <v>12.359</v>
      </c>
      <c r="N940">
        <v>1200</v>
      </c>
      <c r="O940">
        <v>85.661000000000001</v>
      </c>
      <c r="P940">
        <v>64.197999999999993</v>
      </c>
      <c r="Q940">
        <v>42.777999999999999</v>
      </c>
      <c r="R940">
        <v>21.382000000000001</v>
      </c>
      <c r="S940">
        <v>0</v>
      </c>
      <c r="T940">
        <v>-3.137</v>
      </c>
      <c r="U940">
        <v>-17.998999999999999</v>
      </c>
      <c r="V940">
        <v>-51.25</v>
      </c>
      <c r="W940">
        <v>-89.759</v>
      </c>
    </row>
    <row r="941" spans="1:30">
      <c r="A941">
        <v>650</v>
      </c>
      <c r="B941">
        <v>17.321000000000002</v>
      </c>
      <c r="C941">
        <v>16.619</v>
      </c>
      <c r="D941">
        <v>16.268000000000001</v>
      </c>
      <c r="E941">
        <v>15.917</v>
      </c>
      <c r="F941">
        <v>15.566000000000001</v>
      </c>
      <c r="G941">
        <v>15.215</v>
      </c>
      <c r="H941">
        <v>14.513</v>
      </c>
      <c r="I941">
        <v>13.811</v>
      </c>
      <c r="N941">
        <v>1300</v>
      </c>
      <c r="O941">
        <v>85.661000000000001</v>
      </c>
      <c r="P941">
        <v>64.197999999999993</v>
      </c>
      <c r="Q941">
        <v>42.777999999999999</v>
      </c>
      <c r="R941">
        <v>21.382000000000001</v>
      </c>
      <c r="S941">
        <v>0</v>
      </c>
      <c r="T941">
        <v>-21.382000000000001</v>
      </c>
      <c r="U941">
        <v>-42.777999999999999</v>
      </c>
      <c r="V941">
        <v>-64.200999999999993</v>
      </c>
      <c r="W941">
        <v>-100.657</v>
      </c>
    </row>
    <row r="942" spans="1:30">
      <c r="A942">
        <v>700</v>
      </c>
      <c r="B942">
        <v>18.774000000000001</v>
      </c>
      <c r="C942">
        <v>18.071999999999999</v>
      </c>
      <c r="D942">
        <v>17.72</v>
      </c>
      <c r="E942">
        <v>17.369</v>
      </c>
      <c r="F942">
        <v>17.018000000000001</v>
      </c>
      <c r="G942">
        <v>16.667000000000002</v>
      </c>
      <c r="H942">
        <v>15.965</v>
      </c>
      <c r="I942">
        <v>15.263</v>
      </c>
      <c r="N942">
        <v>1400</v>
      </c>
      <c r="O942">
        <v>85.662999999999997</v>
      </c>
      <c r="P942">
        <v>64.198999999999998</v>
      </c>
      <c r="Q942">
        <v>42.777999999999999</v>
      </c>
      <c r="R942">
        <v>21.382999999999999</v>
      </c>
      <c r="S942">
        <v>0</v>
      </c>
      <c r="T942">
        <v>-21.382000000000001</v>
      </c>
      <c r="U942">
        <v>-42.777999999999999</v>
      </c>
      <c r="V942">
        <v>-64.200999999999993</v>
      </c>
      <c r="W942">
        <v>-85.659000000000006</v>
      </c>
    </row>
    <row r="943" spans="1:30">
      <c r="A943">
        <v>750</v>
      </c>
      <c r="B943">
        <v>20.225999999999999</v>
      </c>
      <c r="C943">
        <v>19.524000000000001</v>
      </c>
      <c r="D943">
        <v>19.172999999999998</v>
      </c>
      <c r="E943">
        <v>18.821999999999999</v>
      </c>
      <c r="F943">
        <v>18.471</v>
      </c>
      <c r="G943">
        <v>18.12</v>
      </c>
      <c r="H943">
        <v>17.417999999999999</v>
      </c>
      <c r="I943">
        <v>16.716000000000001</v>
      </c>
      <c r="N943">
        <v>1500</v>
      </c>
      <c r="O943">
        <v>85.662000000000006</v>
      </c>
      <c r="P943">
        <v>64.198999999999998</v>
      </c>
      <c r="Q943">
        <v>42.779000000000003</v>
      </c>
      <c r="R943">
        <v>21.382000000000001</v>
      </c>
      <c r="S943">
        <v>0</v>
      </c>
      <c r="T943">
        <v>-21.382999999999999</v>
      </c>
      <c r="U943">
        <v>-42.777999999999999</v>
      </c>
      <c r="V943">
        <v>-64.200999999999993</v>
      </c>
      <c r="W943">
        <v>-85.659000000000006</v>
      </c>
    </row>
    <row r="944" spans="1:30">
      <c r="A944">
        <v>800</v>
      </c>
      <c r="B944">
        <v>21.678000000000001</v>
      </c>
      <c r="C944">
        <v>20.975999999999999</v>
      </c>
      <c r="D944">
        <v>20.625</v>
      </c>
      <c r="E944">
        <v>20.274000000000001</v>
      </c>
      <c r="F944">
        <v>19.922999999999998</v>
      </c>
      <c r="G944">
        <v>19.571999999999999</v>
      </c>
      <c r="H944">
        <v>18.87</v>
      </c>
      <c r="I944">
        <v>18.167999999999999</v>
      </c>
      <c r="N944">
        <v>1600</v>
      </c>
      <c r="O944">
        <v>85.661000000000001</v>
      </c>
      <c r="P944">
        <v>64.197999999999993</v>
      </c>
      <c r="Q944">
        <v>42.779000000000003</v>
      </c>
      <c r="R944">
        <v>21.384</v>
      </c>
      <c r="S944">
        <v>0</v>
      </c>
      <c r="T944">
        <v>-21.381</v>
      </c>
      <c r="U944">
        <v>-42.777999999999999</v>
      </c>
      <c r="V944">
        <v>-64.198999999999998</v>
      </c>
      <c r="W944">
        <v>-85.659000000000006</v>
      </c>
    </row>
    <row r="945" spans="1:23">
      <c r="A945">
        <v>850</v>
      </c>
      <c r="B945">
        <v>23.131</v>
      </c>
      <c r="C945">
        <v>22.428999999999998</v>
      </c>
      <c r="D945">
        <v>22.077999999999999</v>
      </c>
      <c r="E945">
        <v>21.727</v>
      </c>
      <c r="F945">
        <v>21.376000000000001</v>
      </c>
      <c r="G945">
        <v>21.024999999999999</v>
      </c>
      <c r="H945">
        <v>20.321999999999999</v>
      </c>
      <c r="I945">
        <v>19.62</v>
      </c>
      <c r="N945">
        <v>1700</v>
      </c>
      <c r="O945">
        <v>71.075000000000003</v>
      </c>
      <c r="P945">
        <v>61.201000000000001</v>
      </c>
      <c r="Q945">
        <v>42.777000000000001</v>
      </c>
      <c r="R945">
        <v>21.382000000000001</v>
      </c>
      <c r="S945">
        <v>0</v>
      </c>
      <c r="T945">
        <v>-21.382000000000001</v>
      </c>
      <c r="U945">
        <v>-42.777000000000001</v>
      </c>
      <c r="V945">
        <v>-64.2</v>
      </c>
      <c r="W945">
        <v>-85.659000000000006</v>
      </c>
    </row>
    <row r="946" spans="1:23">
      <c r="A946">
        <v>900</v>
      </c>
      <c r="B946">
        <v>24.582999999999998</v>
      </c>
      <c r="C946">
        <v>23.881</v>
      </c>
      <c r="D946">
        <v>23.53</v>
      </c>
      <c r="E946">
        <v>23.178999999999998</v>
      </c>
      <c r="F946">
        <v>22.827999999999999</v>
      </c>
      <c r="G946">
        <v>22.477</v>
      </c>
      <c r="H946">
        <v>21.774999999999999</v>
      </c>
      <c r="I946">
        <v>21.073</v>
      </c>
      <c r="N946">
        <v>1800</v>
      </c>
      <c r="O946">
        <v>91.858000000000004</v>
      </c>
      <c r="P946">
        <v>92.072999999999993</v>
      </c>
      <c r="Q946">
        <v>91.93</v>
      </c>
      <c r="R946">
        <v>89.956999999999994</v>
      </c>
      <c r="S946">
        <v>0</v>
      </c>
      <c r="T946">
        <v>-21.382000000000001</v>
      </c>
      <c r="U946">
        <v>-42.777999999999999</v>
      </c>
      <c r="V946">
        <v>-64.201999999999998</v>
      </c>
      <c r="W946">
        <v>-85.674000000000007</v>
      </c>
    </row>
    <row r="947" spans="1:23">
      <c r="A947">
        <v>950</v>
      </c>
      <c r="B947">
        <v>26.033999999999999</v>
      </c>
      <c r="C947">
        <v>25.332999999999998</v>
      </c>
      <c r="D947">
        <v>24.981999999999999</v>
      </c>
      <c r="E947">
        <v>24.631</v>
      </c>
      <c r="F947">
        <v>24.28</v>
      </c>
      <c r="G947">
        <v>23.928999999999998</v>
      </c>
      <c r="H947">
        <v>23.227</v>
      </c>
      <c r="I947">
        <v>22.524999999999999</v>
      </c>
      <c r="N947">
        <v>1900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-100.43</v>
      </c>
      <c r="W947">
        <v>-103.815</v>
      </c>
    </row>
    <row r="948" spans="1:23">
      <c r="A948">
        <v>1000</v>
      </c>
      <c r="B948">
        <v>27.478999999999999</v>
      </c>
      <c r="C948">
        <v>26.777000000000001</v>
      </c>
      <c r="D948">
        <v>26.425999999999998</v>
      </c>
      <c r="E948">
        <v>26.076000000000001</v>
      </c>
      <c r="F948">
        <v>25.725000000000001</v>
      </c>
      <c r="G948">
        <v>25.373999999999999</v>
      </c>
      <c r="H948">
        <v>24.672999999999998</v>
      </c>
      <c r="I948">
        <v>23.971</v>
      </c>
      <c r="N948">
        <v>2000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</row>
    <row r="949" spans="1:23">
      <c r="A949">
        <v>1050</v>
      </c>
      <c r="B949">
        <v>28.922999999999998</v>
      </c>
      <c r="C949">
        <v>28.222000000000001</v>
      </c>
      <c r="D949">
        <v>27.870999999999999</v>
      </c>
      <c r="E949">
        <v>27.52</v>
      </c>
      <c r="F949">
        <v>27.169</v>
      </c>
      <c r="G949">
        <v>26.818999999999999</v>
      </c>
      <c r="H949">
        <v>26.117000000000001</v>
      </c>
      <c r="I949">
        <v>25.416</v>
      </c>
      <c r="N949">
        <v>2100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</row>
    <row r="950" spans="1:23">
      <c r="A950">
        <v>1100</v>
      </c>
      <c r="B950">
        <v>30.363</v>
      </c>
      <c r="C950">
        <v>29.666</v>
      </c>
      <c r="D950">
        <v>29.315000000000001</v>
      </c>
      <c r="E950">
        <v>28.965</v>
      </c>
      <c r="F950">
        <v>28.614000000000001</v>
      </c>
      <c r="G950">
        <v>28.263000000000002</v>
      </c>
      <c r="H950">
        <v>27.562000000000001</v>
      </c>
      <c r="I950">
        <v>26.86</v>
      </c>
      <c r="N950">
        <v>4686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</row>
    <row r="951" spans="1:23">
      <c r="A951">
        <v>1150</v>
      </c>
      <c r="B951">
        <v>30.978999999999999</v>
      </c>
      <c r="C951">
        <v>30.977</v>
      </c>
      <c r="D951">
        <v>30.753</v>
      </c>
      <c r="E951">
        <v>30.408000000000001</v>
      </c>
      <c r="F951">
        <v>30.058</v>
      </c>
      <c r="G951">
        <v>29.707999999999998</v>
      </c>
      <c r="H951">
        <v>29.006</v>
      </c>
      <c r="I951">
        <v>28.305</v>
      </c>
    </row>
    <row r="952" spans="1:23">
      <c r="A952">
        <v>1200</v>
      </c>
      <c r="B952">
        <v>31.082999999999998</v>
      </c>
      <c r="C952">
        <v>31.08</v>
      </c>
      <c r="D952">
        <v>31.079000000000001</v>
      </c>
      <c r="E952">
        <v>31.077999999999999</v>
      </c>
      <c r="F952">
        <v>31.01</v>
      </c>
      <c r="G952">
        <v>30.805</v>
      </c>
      <c r="H952">
        <v>30.248000000000001</v>
      </c>
      <c r="I952">
        <v>29.617999999999999</v>
      </c>
    </row>
    <row r="953" spans="1:23">
      <c r="A953">
        <v>1250</v>
      </c>
      <c r="B953">
        <v>31.186</v>
      </c>
      <c r="C953">
        <v>31.184000000000001</v>
      </c>
      <c r="D953">
        <v>31.183</v>
      </c>
      <c r="E953">
        <v>31.181999999999999</v>
      </c>
      <c r="F953">
        <v>31.181000000000001</v>
      </c>
      <c r="G953">
        <v>31.18</v>
      </c>
      <c r="H953">
        <v>31.004999999999999</v>
      </c>
      <c r="I953">
        <v>30.568999999999999</v>
      </c>
    </row>
    <row r="954" spans="1:23">
      <c r="A954">
        <v>1300</v>
      </c>
      <c r="B954">
        <v>31.29</v>
      </c>
      <c r="C954">
        <v>31.288</v>
      </c>
      <c r="D954">
        <v>31.286999999999999</v>
      </c>
      <c r="E954">
        <v>31.286000000000001</v>
      </c>
      <c r="F954">
        <v>31.283999999999999</v>
      </c>
      <c r="G954">
        <v>31.283000000000001</v>
      </c>
      <c r="H954">
        <v>31.280999999999999</v>
      </c>
      <c r="I954">
        <v>31.155999999999999</v>
      </c>
    </row>
    <row r="955" spans="1:23">
      <c r="A955">
        <v>1350</v>
      </c>
      <c r="B955">
        <v>31.393999999999998</v>
      </c>
      <c r="C955">
        <v>31.391999999999999</v>
      </c>
      <c r="D955">
        <v>31.39</v>
      </c>
      <c r="E955">
        <v>31.388999999999999</v>
      </c>
      <c r="F955">
        <v>31.388000000000002</v>
      </c>
      <c r="G955">
        <v>31.387</v>
      </c>
      <c r="H955">
        <v>31.385000000000002</v>
      </c>
      <c r="I955">
        <v>31.382000000000001</v>
      </c>
    </row>
    <row r="956" spans="1:23">
      <c r="A956">
        <v>1400</v>
      </c>
      <c r="B956">
        <v>31.498000000000001</v>
      </c>
      <c r="C956">
        <v>31.495000000000001</v>
      </c>
      <c r="D956">
        <v>31.494</v>
      </c>
      <c r="E956">
        <v>31.492999999999999</v>
      </c>
      <c r="F956">
        <v>31.492000000000001</v>
      </c>
      <c r="G956">
        <v>31.491</v>
      </c>
      <c r="H956">
        <v>31.488</v>
      </c>
      <c r="I956">
        <v>31.486000000000001</v>
      </c>
    </row>
    <row r="957" spans="1:23">
      <c r="A957">
        <v>1450</v>
      </c>
      <c r="B957">
        <v>31.600999999999999</v>
      </c>
      <c r="C957">
        <v>31.599</v>
      </c>
      <c r="D957">
        <v>31.597999999999999</v>
      </c>
      <c r="E957">
        <v>31.597000000000001</v>
      </c>
      <c r="F957">
        <v>31.596</v>
      </c>
      <c r="G957">
        <v>31.594999999999999</v>
      </c>
      <c r="H957">
        <v>31.591999999999999</v>
      </c>
      <c r="I957">
        <v>31.59</v>
      </c>
    </row>
    <row r="958" spans="1:23">
      <c r="A958">
        <v>1500</v>
      </c>
      <c r="B958">
        <v>31.704999999999998</v>
      </c>
      <c r="C958">
        <v>31.702999999999999</v>
      </c>
      <c r="D958">
        <v>31.702000000000002</v>
      </c>
      <c r="E958">
        <v>31.701000000000001</v>
      </c>
      <c r="F958">
        <v>31.699000000000002</v>
      </c>
      <c r="G958">
        <v>31.698</v>
      </c>
      <c r="H958">
        <v>31.696000000000002</v>
      </c>
      <c r="I958">
        <v>31.693999999999999</v>
      </c>
    </row>
    <row r="959" spans="1:23">
      <c r="A959">
        <v>1550</v>
      </c>
      <c r="B959">
        <v>31.809000000000001</v>
      </c>
      <c r="C959">
        <v>31.806999999999999</v>
      </c>
      <c r="D959">
        <v>31.805</v>
      </c>
      <c r="E959">
        <v>31.803999999999998</v>
      </c>
      <c r="F959">
        <v>31.803000000000001</v>
      </c>
      <c r="G959">
        <v>31.802</v>
      </c>
      <c r="H959">
        <v>31.8</v>
      </c>
      <c r="I959">
        <v>31.797000000000001</v>
      </c>
    </row>
    <row r="960" spans="1:23">
      <c r="A960">
        <v>1600</v>
      </c>
      <c r="B960">
        <v>31.913</v>
      </c>
      <c r="C960">
        <v>31.91</v>
      </c>
      <c r="D960">
        <v>31.908999999999999</v>
      </c>
      <c r="E960">
        <v>31.908000000000001</v>
      </c>
      <c r="F960">
        <v>31.907</v>
      </c>
      <c r="G960">
        <v>31.905999999999999</v>
      </c>
      <c r="H960">
        <v>31.902999999999999</v>
      </c>
      <c r="I960">
        <v>31.901</v>
      </c>
    </row>
    <row r="961" spans="1:9">
      <c r="A961">
        <v>1650</v>
      </c>
      <c r="B961">
        <v>32.015999999999998</v>
      </c>
      <c r="C961">
        <v>32.014000000000003</v>
      </c>
      <c r="D961">
        <v>32.012999999999998</v>
      </c>
      <c r="E961">
        <v>32.012</v>
      </c>
      <c r="F961">
        <v>32.011000000000003</v>
      </c>
      <c r="G961">
        <v>32.009</v>
      </c>
      <c r="H961">
        <v>32.006999999999998</v>
      </c>
      <c r="I961">
        <v>32.005000000000003</v>
      </c>
    </row>
    <row r="962" spans="1:9">
      <c r="A962">
        <v>1700</v>
      </c>
      <c r="B962">
        <v>32.119999999999997</v>
      </c>
      <c r="C962">
        <v>32.118000000000002</v>
      </c>
      <c r="D962">
        <v>32.116999999999997</v>
      </c>
      <c r="E962">
        <v>32.116</v>
      </c>
      <c r="F962">
        <v>32.113999999999997</v>
      </c>
      <c r="G962">
        <v>32.113</v>
      </c>
      <c r="H962">
        <v>32.110999999999997</v>
      </c>
      <c r="I962">
        <v>32.109000000000002</v>
      </c>
    </row>
    <row r="963" spans="1:9">
      <c r="A963">
        <v>1750</v>
      </c>
      <c r="B963">
        <v>32.223999999999997</v>
      </c>
      <c r="C963">
        <v>32.222000000000001</v>
      </c>
      <c r="D963">
        <v>32.22</v>
      </c>
      <c r="E963">
        <v>32.219000000000001</v>
      </c>
      <c r="F963">
        <v>32.218000000000004</v>
      </c>
      <c r="G963">
        <v>32.216999999999999</v>
      </c>
      <c r="H963">
        <v>32.215000000000003</v>
      </c>
      <c r="I963">
        <v>32.212000000000003</v>
      </c>
    </row>
    <row r="964" spans="1:9">
      <c r="A964">
        <v>1800</v>
      </c>
      <c r="B964">
        <v>32.328000000000003</v>
      </c>
      <c r="C964">
        <v>32.325000000000003</v>
      </c>
      <c r="D964">
        <v>32.323999999999998</v>
      </c>
      <c r="E964">
        <v>32.323</v>
      </c>
      <c r="F964">
        <v>32.322000000000003</v>
      </c>
      <c r="G964">
        <v>32.320999999999998</v>
      </c>
      <c r="H964">
        <v>32.317999999999998</v>
      </c>
      <c r="I964">
        <v>32.316000000000003</v>
      </c>
    </row>
    <row r="965" spans="1:9">
      <c r="A965">
        <v>1850</v>
      </c>
      <c r="B965">
        <v>32.335999999999999</v>
      </c>
      <c r="C965">
        <v>32.335999999999999</v>
      </c>
      <c r="D965">
        <v>32.335999999999999</v>
      </c>
      <c r="E965">
        <v>32.335999999999999</v>
      </c>
      <c r="F965">
        <v>32.335999999999999</v>
      </c>
      <c r="G965">
        <v>32.335999999999999</v>
      </c>
      <c r="H965">
        <v>32.335999999999999</v>
      </c>
      <c r="I965">
        <v>32.335999999999999</v>
      </c>
    </row>
    <row r="966" spans="1:9">
      <c r="A966">
        <v>1900</v>
      </c>
      <c r="B966">
        <v>32.335999999999999</v>
      </c>
      <c r="C966">
        <v>32.335999999999999</v>
      </c>
      <c r="D966">
        <v>32.335999999999999</v>
      </c>
      <c r="E966">
        <v>32.335999999999999</v>
      </c>
      <c r="F966">
        <v>32.335999999999999</v>
      </c>
      <c r="G966">
        <v>32.335999999999999</v>
      </c>
      <c r="H966">
        <v>32.335999999999999</v>
      </c>
      <c r="I966">
        <v>32.335999999999999</v>
      </c>
    </row>
    <row r="967" spans="1:9">
      <c r="A967">
        <v>1950</v>
      </c>
      <c r="B967">
        <v>32.335999999999999</v>
      </c>
      <c r="C967">
        <v>32.335999999999999</v>
      </c>
      <c r="D967">
        <v>32.335999999999999</v>
      </c>
      <c r="E967">
        <v>32.335999999999999</v>
      </c>
      <c r="F967">
        <v>32.335999999999999</v>
      </c>
      <c r="G967">
        <v>32.335999999999999</v>
      </c>
      <c r="H967">
        <v>32.335999999999999</v>
      </c>
      <c r="I967">
        <v>32.335999999999999</v>
      </c>
    </row>
    <row r="968" spans="1:9">
      <c r="A968">
        <v>2000</v>
      </c>
      <c r="B968">
        <v>32.335999999999999</v>
      </c>
      <c r="C968">
        <v>32.335999999999999</v>
      </c>
      <c r="D968">
        <v>32.335999999999999</v>
      </c>
      <c r="E968">
        <v>32.335999999999999</v>
      </c>
      <c r="F968">
        <v>32.335999999999999</v>
      </c>
      <c r="G968">
        <v>32.335999999999999</v>
      </c>
      <c r="H968">
        <v>32.335999999999999</v>
      </c>
      <c r="I968">
        <v>32.335999999999999</v>
      </c>
    </row>
    <row r="969" spans="1:9">
      <c r="A969">
        <v>2050</v>
      </c>
      <c r="B969">
        <v>32.335999999999999</v>
      </c>
      <c r="C969">
        <v>32.335999999999999</v>
      </c>
      <c r="D969">
        <v>32.335999999999999</v>
      </c>
      <c r="E969">
        <v>32.335999999999999</v>
      </c>
      <c r="F969">
        <v>32.335999999999999</v>
      </c>
      <c r="G969">
        <v>32.335999999999999</v>
      </c>
      <c r="H969">
        <v>32.335999999999999</v>
      </c>
      <c r="I969">
        <v>32.335999999999999</v>
      </c>
    </row>
    <row r="970" spans="1:9">
      <c r="A970">
        <v>4686</v>
      </c>
      <c r="B970">
        <v>32.335999999999999</v>
      </c>
      <c r="C970">
        <v>32.335999999999999</v>
      </c>
      <c r="D970">
        <v>32.335999999999999</v>
      </c>
      <c r="E970">
        <v>32.335999999999999</v>
      </c>
      <c r="F970">
        <v>32.335999999999999</v>
      </c>
      <c r="G970">
        <v>32.335999999999999</v>
      </c>
      <c r="H970">
        <v>32.335999999999999</v>
      </c>
      <c r="I970">
        <v>32.335999999999999</v>
      </c>
    </row>
    <row r="982" spans="1:30">
      <c r="A982" t="s">
        <v>251</v>
      </c>
    </row>
    <row r="983" spans="1:30">
      <c r="A983" t="s">
        <v>252</v>
      </c>
    </row>
    <row r="984" spans="1:30">
      <c r="A984" t="s">
        <v>230</v>
      </c>
      <c r="B984">
        <v>-1</v>
      </c>
      <c r="C984">
        <v>0</v>
      </c>
      <c r="D984">
        <v>0.5</v>
      </c>
      <c r="E984">
        <v>1</v>
      </c>
      <c r="F984">
        <v>1.5</v>
      </c>
      <c r="G984">
        <v>2</v>
      </c>
      <c r="H984">
        <v>3</v>
      </c>
      <c r="I984">
        <v>4</v>
      </c>
      <c r="M984" t="s">
        <v>35</v>
      </c>
      <c r="N984" t="s">
        <v>230</v>
      </c>
      <c r="O984">
        <v>-4</v>
      </c>
      <c r="P984">
        <v>-3</v>
      </c>
      <c r="Q984">
        <v>-2</v>
      </c>
      <c r="R984">
        <v>-1</v>
      </c>
      <c r="S984">
        <v>0</v>
      </c>
      <c r="T984">
        <v>1</v>
      </c>
      <c r="U984">
        <v>2</v>
      </c>
      <c r="V984">
        <v>3</v>
      </c>
      <c r="W984">
        <v>4</v>
      </c>
      <c r="X984" s="11" t="s">
        <v>231</v>
      </c>
      <c r="AA984" s="1">
        <f>heelDraft1</f>
        <v>0</v>
      </c>
      <c r="AB984" s="274">
        <v>1250</v>
      </c>
      <c r="AC984" s="186">
        <f>IF((AB984+AB987)&lt;0,AB984,AB984+AB987)</f>
        <v>1250</v>
      </c>
      <c r="AD984" s="42">
        <f>IF(AD986=AD985,AD985,Interp1(AC985:AC986,AD985:AD986,AC984))</f>
        <v>7.03</v>
      </c>
    </row>
    <row r="985" spans="1:30">
      <c r="A985">
        <v>0</v>
      </c>
      <c r="B985">
        <v>0.25600000000000001</v>
      </c>
      <c r="C985">
        <v>0.24399999999999999</v>
      </c>
      <c r="D985">
        <v>0.23799999999999999</v>
      </c>
      <c r="E985">
        <v>0.23200000000000001</v>
      </c>
      <c r="F985">
        <v>0.22600000000000001</v>
      </c>
      <c r="G985">
        <v>0.22</v>
      </c>
      <c r="H985">
        <v>0.20799999999999999</v>
      </c>
      <c r="I985">
        <v>0.19600000000000001</v>
      </c>
      <c r="N985">
        <v>0</v>
      </c>
      <c r="O985">
        <v>26.832000000000001</v>
      </c>
      <c r="P985">
        <v>17.908000000000001</v>
      </c>
      <c r="Q985">
        <v>10.41</v>
      </c>
      <c r="R985">
        <v>5.157</v>
      </c>
      <c r="S985">
        <v>0</v>
      </c>
      <c r="T985">
        <v>0</v>
      </c>
      <c r="U985">
        <v>0</v>
      </c>
      <c r="V985">
        <v>0</v>
      </c>
      <c r="W985">
        <v>0</v>
      </c>
      <c r="AA985" s="1">
        <f>FLOOR(AB984,incOil2)</f>
        <v>1200</v>
      </c>
      <c r="AB985" s="1">
        <f>Interp2(Oil6Heel1,Oil6Heel2,Oil6Heel3,AA985,AA984)</f>
        <v>0</v>
      </c>
      <c r="AC985" s="1">
        <f>FLOOR(AC984,incOil1)</f>
        <v>1250</v>
      </c>
      <c r="AD985" s="42">
        <f>IF(AB990=AB989,AB989,Interp1(AA989:AA990,AB989:AB990,AA988))</f>
        <v>7.03</v>
      </c>
    </row>
    <row r="986" spans="1:30">
      <c r="A986">
        <v>50</v>
      </c>
      <c r="B986">
        <v>0.52800000000000002</v>
      </c>
      <c r="C986">
        <v>0.51600000000000001</v>
      </c>
      <c r="D986">
        <v>0.51</v>
      </c>
      <c r="E986">
        <v>0.504</v>
      </c>
      <c r="F986">
        <v>0.498</v>
      </c>
      <c r="G986">
        <v>0.49199999999999999</v>
      </c>
      <c r="H986">
        <v>0.48</v>
      </c>
      <c r="I986">
        <v>0.46800000000000003</v>
      </c>
      <c r="N986">
        <v>100</v>
      </c>
      <c r="O986">
        <v>20.664000000000001</v>
      </c>
      <c r="P986">
        <v>15.486000000000001</v>
      </c>
      <c r="Q986">
        <v>10.319000000000001</v>
      </c>
      <c r="R986">
        <v>5.1580000000000004</v>
      </c>
      <c r="S986">
        <v>0</v>
      </c>
      <c r="T986">
        <v>-5.1589999999999998</v>
      </c>
      <c r="U986">
        <v>-10.319000000000001</v>
      </c>
      <c r="V986">
        <v>-15.487</v>
      </c>
      <c r="W986">
        <v>-20.664000000000001</v>
      </c>
      <c r="AA986" s="1">
        <f>IF(AA985=OilSound6,AA985,CEILING(AB984,incOil2))</f>
        <v>1300</v>
      </c>
      <c r="AB986" s="1">
        <f>Interp2(Oil6Heel1,Oil6Heel2,Oil6Heel3,AA986,AA984)</f>
        <v>0</v>
      </c>
      <c r="AC986" s="1">
        <f>CEILING(AC984,incOil1)</f>
        <v>1250</v>
      </c>
      <c r="AD986" s="42">
        <f>IF(AC990=AC989,AC989,Interp1(AA989:AA990,AC989:AC990,AA988))</f>
        <v>7.03</v>
      </c>
    </row>
    <row r="987" spans="1:30">
      <c r="A987">
        <v>100</v>
      </c>
      <c r="B987">
        <v>0.79900000000000004</v>
      </c>
      <c r="C987">
        <v>0.78700000000000003</v>
      </c>
      <c r="D987">
        <v>0.78100000000000003</v>
      </c>
      <c r="E987">
        <v>0.77500000000000002</v>
      </c>
      <c r="F987">
        <v>0.76900000000000002</v>
      </c>
      <c r="G987">
        <v>0.76300000000000001</v>
      </c>
      <c r="H987">
        <v>0.751</v>
      </c>
      <c r="I987">
        <v>0.73899999999999999</v>
      </c>
      <c r="N987">
        <v>200</v>
      </c>
      <c r="O987">
        <v>20.664000000000001</v>
      </c>
      <c r="P987">
        <v>15.487</v>
      </c>
      <c r="Q987">
        <v>10.319000000000001</v>
      </c>
      <c r="R987">
        <v>5.1589999999999998</v>
      </c>
      <c r="S987">
        <v>0</v>
      </c>
      <c r="T987">
        <v>-5.1580000000000004</v>
      </c>
      <c r="U987">
        <v>-10.319000000000001</v>
      </c>
      <c r="V987">
        <v>-15.486000000000001</v>
      </c>
      <c r="W987">
        <v>-20.664000000000001</v>
      </c>
      <c r="AA987" s="1"/>
      <c r="AB987" s="1">
        <f>IF(AB986=AB985,AB985,Interp1(AA985:AA986,AB985:AB986,AB984))</f>
        <v>0</v>
      </c>
      <c r="AC987" s="1"/>
      <c r="AD987" s="42"/>
    </row>
    <row r="988" spans="1:30">
      <c r="A988">
        <v>150</v>
      </c>
      <c r="B988">
        <v>1.071</v>
      </c>
      <c r="C988">
        <v>1.0589999999999999</v>
      </c>
      <c r="D988">
        <v>1.0529999999999999</v>
      </c>
      <c r="E988">
        <v>1.0469999999999999</v>
      </c>
      <c r="F988">
        <v>1.0409999999999999</v>
      </c>
      <c r="G988">
        <v>1.0349999999999999</v>
      </c>
      <c r="H988">
        <v>1.0229999999999999</v>
      </c>
      <c r="I988">
        <v>1.0109999999999999</v>
      </c>
      <c r="N988">
        <v>300</v>
      </c>
      <c r="O988">
        <v>20.664000000000001</v>
      </c>
      <c r="P988">
        <v>15.487</v>
      </c>
      <c r="Q988">
        <v>10.319000000000001</v>
      </c>
      <c r="R988">
        <v>5.1589999999999998</v>
      </c>
      <c r="S988">
        <v>0</v>
      </c>
      <c r="T988">
        <v>-5.157</v>
      </c>
      <c r="U988">
        <v>-10.319000000000001</v>
      </c>
      <c r="V988">
        <v>-15.487</v>
      </c>
      <c r="W988">
        <v>-20.664000000000001</v>
      </c>
      <c r="AA988" s="1">
        <f>trimDraft</f>
        <v>0.149999999999999</v>
      </c>
      <c r="AB988" s="1"/>
      <c r="AC988" s="1"/>
      <c r="AD988" s="1"/>
    </row>
    <row r="989" spans="1:30">
      <c r="A989">
        <v>200</v>
      </c>
      <c r="B989">
        <v>1.3420000000000001</v>
      </c>
      <c r="C989">
        <v>1.33</v>
      </c>
      <c r="D989">
        <v>1.3240000000000001</v>
      </c>
      <c r="E989">
        <v>1.3180000000000001</v>
      </c>
      <c r="F989">
        <v>1.3120000000000001</v>
      </c>
      <c r="G989">
        <v>1.306</v>
      </c>
      <c r="H989">
        <v>1.294</v>
      </c>
      <c r="I989">
        <v>1.282</v>
      </c>
      <c r="N989">
        <v>400</v>
      </c>
      <c r="O989">
        <v>20.664000000000001</v>
      </c>
      <c r="P989">
        <v>15.487</v>
      </c>
      <c r="Q989">
        <v>10.319000000000001</v>
      </c>
      <c r="R989">
        <v>5.1589999999999998</v>
      </c>
      <c r="S989">
        <v>0</v>
      </c>
      <c r="T989">
        <v>-5.1580000000000004</v>
      </c>
      <c r="U989">
        <v>-10.32</v>
      </c>
      <c r="V989">
        <v>-15.487</v>
      </c>
      <c r="W989">
        <v>-20.664000000000001</v>
      </c>
      <c r="AA989" s="1">
        <f>INDEX(Oil6Trim2,0,MATCH(AA988,Oil6Trim2,1))</f>
        <v>0</v>
      </c>
      <c r="AB989" s="1">
        <f>Interp2(Oil6Trim1,Oil6Trim2,Oil6Trim3,AC985,AA989)</f>
        <v>7.032</v>
      </c>
      <c r="AC989" s="1">
        <f>Interp2(Oil6Trim1,Oil6Trim2,Oil6Trim3,AC986,AA989)</f>
        <v>7.032</v>
      </c>
      <c r="AD989" s="1"/>
    </row>
    <row r="990" spans="1:30">
      <c r="A990">
        <v>250</v>
      </c>
      <c r="B990">
        <v>1.6140000000000001</v>
      </c>
      <c r="C990">
        <v>1.6020000000000001</v>
      </c>
      <c r="D990">
        <v>1.5960000000000001</v>
      </c>
      <c r="E990">
        <v>1.59</v>
      </c>
      <c r="F990">
        <v>1.5840000000000001</v>
      </c>
      <c r="G990">
        <v>1.5780000000000001</v>
      </c>
      <c r="H990">
        <v>1.5660000000000001</v>
      </c>
      <c r="I990">
        <v>1.554</v>
      </c>
      <c r="N990">
        <v>500</v>
      </c>
      <c r="O990">
        <v>20.663</v>
      </c>
      <c r="P990">
        <v>15.486000000000001</v>
      </c>
      <c r="Q990">
        <v>10.318</v>
      </c>
      <c r="R990">
        <v>5.1589999999999998</v>
      </c>
      <c r="S990">
        <v>0</v>
      </c>
      <c r="T990">
        <v>-5.1580000000000004</v>
      </c>
      <c r="U990">
        <v>-10.319000000000001</v>
      </c>
      <c r="V990">
        <v>-15.487</v>
      </c>
      <c r="W990">
        <v>-20.663</v>
      </c>
      <c r="AA990" s="1">
        <f>IF(AA989=AA988,AA988,INDEX(Oil6Trim2,0,MATCH(AA988,Oil6Trim2,1)+1))</f>
        <v>0.5</v>
      </c>
      <c r="AB990" s="1">
        <f>Interp2(Oil6Trim1,Oil6Trim2,Oil6Trim3,AC985,AA990)</f>
        <v>7.0259999999999998</v>
      </c>
      <c r="AC990" s="1">
        <f>Interp2(Oil6Trim1,Oil6Trim2,Oil6Trim3,AC986,AA990)</f>
        <v>7.0259999999999998</v>
      </c>
      <c r="AD990" s="1"/>
    </row>
    <row r="991" spans="1:30">
      <c r="A991">
        <v>300</v>
      </c>
      <c r="B991">
        <v>1.885</v>
      </c>
      <c r="C991">
        <v>1.873</v>
      </c>
      <c r="D991">
        <v>1.867</v>
      </c>
      <c r="E991">
        <v>1.861</v>
      </c>
      <c r="F991">
        <v>1.855</v>
      </c>
      <c r="G991">
        <v>1.849</v>
      </c>
      <c r="H991">
        <v>1.837</v>
      </c>
      <c r="I991">
        <v>1.825</v>
      </c>
      <c r="N991">
        <v>600</v>
      </c>
      <c r="O991">
        <v>20.664000000000001</v>
      </c>
      <c r="P991">
        <v>15.487</v>
      </c>
      <c r="Q991">
        <v>10.319000000000001</v>
      </c>
      <c r="R991">
        <v>5.1580000000000004</v>
      </c>
      <c r="S991">
        <v>0</v>
      </c>
      <c r="T991">
        <v>-5.1580000000000004</v>
      </c>
      <c r="U991">
        <v>-10.319000000000001</v>
      </c>
      <c r="V991">
        <v>-15.486000000000001</v>
      </c>
      <c r="W991">
        <v>-20.664000000000001</v>
      </c>
    </row>
    <row r="992" spans="1:30">
      <c r="A992">
        <v>350</v>
      </c>
      <c r="B992">
        <v>2.157</v>
      </c>
      <c r="C992">
        <v>2.145</v>
      </c>
      <c r="D992">
        <v>2.1389999999999998</v>
      </c>
      <c r="E992">
        <v>2.133</v>
      </c>
      <c r="F992">
        <v>2.1269999999999998</v>
      </c>
      <c r="G992">
        <v>2.121</v>
      </c>
      <c r="H992">
        <v>2.109</v>
      </c>
      <c r="I992">
        <v>2.097</v>
      </c>
      <c r="N992">
        <v>700</v>
      </c>
      <c r="O992">
        <v>20.664000000000001</v>
      </c>
      <c r="P992">
        <v>15.487</v>
      </c>
      <c r="Q992">
        <v>10.319000000000001</v>
      </c>
      <c r="R992">
        <v>5.1589999999999998</v>
      </c>
      <c r="S992">
        <v>0</v>
      </c>
      <c r="T992">
        <v>-5.1580000000000004</v>
      </c>
      <c r="U992">
        <v>-10.319000000000001</v>
      </c>
      <c r="V992">
        <v>-15.487</v>
      </c>
      <c r="W992">
        <v>-20.663</v>
      </c>
      <c r="AA992">
        <f>COUNT(A985:W1076)</f>
        <v>1298</v>
      </c>
    </row>
    <row r="993" spans="1:27">
      <c r="A993">
        <v>400</v>
      </c>
      <c r="B993">
        <v>2.4279999999999999</v>
      </c>
      <c r="C993">
        <v>2.4159999999999999</v>
      </c>
      <c r="D993">
        <v>2.41</v>
      </c>
      <c r="E993">
        <v>2.4039999999999999</v>
      </c>
      <c r="F993">
        <v>2.3980000000000001</v>
      </c>
      <c r="G993">
        <v>2.3919999999999999</v>
      </c>
      <c r="H993">
        <v>2.38</v>
      </c>
      <c r="I993">
        <v>2.3679999999999999</v>
      </c>
      <c r="N993">
        <v>800</v>
      </c>
      <c r="O993">
        <v>20.664000000000001</v>
      </c>
      <c r="P993">
        <v>15.486000000000001</v>
      </c>
      <c r="Q993">
        <v>10.319000000000001</v>
      </c>
      <c r="R993">
        <v>5.1580000000000004</v>
      </c>
      <c r="S993">
        <v>0</v>
      </c>
      <c r="T993">
        <v>-5.1580000000000004</v>
      </c>
      <c r="U993">
        <v>-10.319000000000001</v>
      </c>
      <c r="V993">
        <v>-15.487</v>
      </c>
      <c r="W993">
        <v>-20.664999999999999</v>
      </c>
      <c r="AA993">
        <f>COUNTA(A985:W1076)</f>
        <v>1298</v>
      </c>
    </row>
    <row r="994" spans="1:27">
      <c r="A994">
        <v>450</v>
      </c>
      <c r="B994">
        <v>2.7</v>
      </c>
      <c r="C994">
        <v>2.6880000000000002</v>
      </c>
      <c r="D994">
        <v>2.6819999999999999</v>
      </c>
      <c r="E994">
        <v>2.6760000000000002</v>
      </c>
      <c r="F994">
        <v>2.67</v>
      </c>
      <c r="G994">
        <v>2.6640000000000001</v>
      </c>
      <c r="H994">
        <v>2.6520000000000001</v>
      </c>
      <c r="I994">
        <v>2.64</v>
      </c>
      <c r="N994">
        <v>900</v>
      </c>
      <c r="O994">
        <v>20.664000000000001</v>
      </c>
      <c r="P994">
        <v>15.487</v>
      </c>
      <c r="Q994">
        <v>10.319000000000001</v>
      </c>
      <c r="R994">
        <v>5.1589999999999998</v>
      </c>
      <c r="S994">
        <v>0</v>
      </c>
      <c r="T994">
        <v>-5.1580000000000004</v>
      </c>
      <c r="U994">
        <v>-10.318</v>
      </c>
      <c r="V994">
        <v>-15.486000000000001</v>
      </c>
      <c r="W994">
        <v>-20.664000000000001</v>
      </c>
    </row>
    <row r="995" spans="1:27">
      <c r="A995">
        <v>500</v>
      </c>
      <c r="B995">
        <v>2.9710000000000001</v>
      </c>
      <c r="C995">
        <v>2.9590000000000001</v>
      </c>
      <c r="D995">
        <v>2.9529999999999998</v>
      </c>
      <c r="E995">
        <v>2.9470000000000001</v>
      </c>
      <c r="F995">
        <v>2.9409999999999998</v>
      </c>
      <c r="G995">
        <v>2.9350000000000001</v>
      </c>
      <c r="H995">
        <v>2.923</v>
      </c>
      <c r="I995">
        <v>2.911</v>
      </c>
      <c r="N995">
        <v>1000</v>
      </c>
      <c r="O995">
        <v>20.664000000000001</v>
      </c>
      <c r="P995">
        <v>15.487</v>
      </c>
      <c r="Q995">
        <v>10.319000000000001</v>
      </c>
      <c r="R995">
        <v>5.1580000000000004</v>
      </c>
      <c r="S995">
        <v>0</v>
      </c>
      <c r="T995">
        <v>-5.1580000000000004</v>
      </c>
      <c r="U995">
        <v>-10.317</v>
      </c>
      <c r="V995">
        <v>-15.486000000000001</v>
      </c>
      <c r="W995">
        <v>-20.664000000000001</v>
      </c>
    </row>
    <row r="996" spans="1:27">
      <c r="A996">
        <v>550</v>
      </c>
      <c r="B996">
        <v>3.2429999999999999</v>
      </c>
      <c r="C996">
        <v>3.2309999999999999</v>
      </c>
      <c r="D996">
        <v>3.2250000000000001</v>
      </c>
      <c r="E996">
        <v>3.2189999999999999</v>
      </c>
      <c r="F996">
        <v>3.2130000000000001</v>
      </c>
      <c r="G996">
        <v>3.2069999999999999</v>
      </c>
      <c r="H996">
        <v>3.1949999999999998</v>
      </c>
      <c r="I996">
        <v>3.1829999999999998</v>
      </c>
      <c r="N996">
        <v>1100</v>
      </c>
      <c r="O996">
        <v>20.664000000000001</v>
      </c>
      <c r="P996">
        <v>15.487</v>
      </c>
      <c r="Q996">
        <v>10.319000000000001</v>
      </c>
      <c r="R996">
        <v>5.1580000000000004</v>
      </c>
      <c r="S996">
        <v>0</v>
      </c>
      <c r="T996">
        <v>-5.1580000000000004</v>
      </c>
      <c r="U996">
        <v>-10.319000000000001</v>
      </c>
      <c r="V996">
        <v>-15.486000000000001</v>
      </c>
      <c r="W996">
        <v>-20.661999999999999</v>
      </c>
    </row>
    <row r="997" spans="1:27">
      <c r="A997">
        <v>600</v>
      </c>
      <c r="B997">
        <v>3.5139999999999998</v>
      </c>
      <c r="C997">
        <v>3.5019999999999998</v>
      </c>
      <c r="D997">
        <v>3.496</v>
      </c>
      <c r="E997">
        <v>3.49</v>
      </c>
      <c r="F997">
        <v>3.484</v>
      </c>
      <c r="G997">
        <v>3.4780000000000002</v>
      </c>
      <c r="H997">
        <v>3.4660000000000002</v>
      </c>
      <c r="I997">
        <v>3.4540000000000002</v>
      </c>
      <c r="N997">
        <v>1200</v>
      </c>
      <c r="O997">
        <v>20.664999999999999</v>
      </c>
      <c r="P997">
        <v>15.486000000000001</v>
      </c>
      <c r="Q997">
        <v>10.32</v>
      </c>
      <c r="R997">
        <v>5.1580000000000004</v>
      </c>
      <c r="S997">
        <v>0</v>
      </c>
      <c r="T997">
        <v>-5.1580000000000004</v>
      </c>
      <c r="U997">
        <v>-10.32</v>
      </c>
      <c r="V997">
        <v>-15.488</v>
      </c>
      <c r="W997">
        <v>-20.664000000000001</v>
      </c>
    </row>
    <row r="998" spans="1:27">
      <c r="A998">
        <v>650</v>
      </c>
      <c r="B998">
        <v>3.786</v>
      </c>
      <c r="C998">
        <v>3.774</v>
      </c>
      <c r="D998">
        <v>3.7679999999999998</v>
      </c>
      <c r="E998">
        <v>3.762</v>
      </c>
      <c r="F998">
        <v>3.7559999999999998</v>
      </c>
      <c r="G998">
        <v>3.75</v>
      </c>
      <c r="H998">
        <v>3.738</v>
      </c>
      <c r="I998">
        <v>3.726</v>
      </c>
      <c r="N998">
        <v>1300</v>
      </c>
      <c r="O998">
        <v>20.663</v>
      </c>
      <c r="P998">
        <v>15.486000000000001</v>
      </c>
      <c r="Q998">
        <v>10.319000000000001</v>
      </c>
      <c r="R998">
        <v>5.157</v>
      </c>
      <c r="S998">
        <v>0</v>
      </c>
      <c r="T998">
        <v>-5.157</v>
      </c>
      <c r="U998">
        <v>-10.32</v>
      </c>
      <c r="V998">
        <v>-15.488</v>
      </c>
      <c r="W998">
        <v>-20.664000000000001</v>
      </c>
    </row>
    <row r="999" spans="1:27">
      <c r="A999">
        <v>700</v>
      </c>
      <c r="B999">
        <v>4.0570000000000004</v>
      </c>
      <c r="C999">
        <v>4.0449999999999999</v>
      </c>
      <c r="D999">
        <v>4.0389999999999997</v>
      </c>
      <c r="E999">
        <v>4.0330000000000004</v>
      </c>
      <c r="F999">
        <v>4.0270000000000001</v>
      </c>
      <c r="G999">
        <v>4.0209999999999999</v>
      </c>
      <c r="H999">
        <v>4.0090000000000003</v>
      </c>
      <c r="I999">
        <v>3.9969999999999999</v>
      </c>
      <c r="N999">
        <v>1400</v>
      </c>
      <c r="O999">
        <v>20.664000000000001</v>
      </c>
      <c r="P999">
        <v>15.488</v>
      </c>
      <c r="Q999">
        <v>10.319000000000001</v>
      </c>
      <c r="R999">
        <v>5.157</v>
      </c>
      <c r="S999">
        <v>0</v>
      </c>
      <c r="T999">
        <v>-5.1580000000000004</v>
      </c>
      <c r="U999">
        <v>-10.319000000000001</v>
      </c>
      <c r="V999">
        <v>-15.486000000000001</v>
      </c>
      <c r="W999">
        <v>-20.663</v>
      </c>
    </row>
    <row r="1000" spans="1:27">
      <c r="A1000">
        <v>750</v>
      </c>
      <c r="B1000">
        <v>4.3289999999999997</v>
      </c>
      <c r="C1000">
        <v>4.3170000000000002</v>
      </c>
      <c r="D1000">
        <v>4.3109999999999999</v>
      </c>
      <c r="E1000">
        <v>4.3049999999999997</v>
      </c>
      <c r="F1000">
        <v>4.2990000000000004</v>
      </c>
      <c r="G1000">
        <v>4.2930000000000001</v>
      </c>
      <c r="H1000">
        <v>4.2809999999999997</v>
      </c>
      <c r="I1000">
        <v>4.2690000000000001</v>
      </c>
      <c r="N1000">
        <v>1500</v>
      </c>
      <c r="O1000">
        <v>20.664999999999999</v>
      </c>
      <c r="P1000">
        <v>15.488</v>
      </c>
      <c r="Q1000">
        <v>10.319000000000001</v>
      </c>
      <c r="R1000">
        <v>5.1580000000000004</v>
      </c>
      <c r="S1000">
        <v>0</v>
      </c>
      <c r="T1000">
        <v>-5.157</v>
      </c>
      <c r="U1000">
        <v>-10.319000000000001</v>
      </c>
      <c r="V1000">
        <v>-15.486000000000001</v>
      </c>
      <c r="W1000">
        <v>-20.664000000000001</v>
      </c>
    </row>
    <row r="1001" spans="1:27">
      <c r="A1001">
        <v>800</v>
      </c>
      <c r="B1001">
        <v>4.5999999999999996</v>
      </c>
      <c r="C1001">
        <v>4.5880000000000001</v>
      </c>
      <c r="D1001">
        <v>4.5819999999999999</v>
      </c>
      <c r="E1001">
        <v>4.5759999999999996</v>
      </c>
      <c r="F1001">
        <v>4.57</v>
      </c>
      <c r="G1001">
        <v>4.5640000000000001</v>
      </c>
      <c r="H1001">
        <v>4.5519999999999996</v>
      </c>
      <c r="I1001">
        <v>4.54</v>
      </c>
      <c r="N1001">
        <v>1600</v>
      </c>
      <c r="O1001">
        <v>20.664000000000001</v>
      </c>
      <c r="P1001">
        <v>15.488</v>
      </c>
      <c r="Q1001">
        <v>10.319000000000001</v>
      </c>
      <c r="R1001">
        <v>5.157</v>
      </c>
      <c r="S1001">
        <v>0</v>
      </c>
      <c r="T1001">
        <v>-5.1580000000000004</v>
      </c>
      <c r="U1001">
        <v>-10.319000000000001</v>
      </c>
      <c r="V1001">
        <v>-15.486000000000001</v>
      </c>
      <c r="W1001">
        <v>-20.664000000000001</v>
      </c>
    </row>
    <row r="1002" spans="1:27">
      <c r="A1002">
        <v>850</v>
      </c>
      <c r="B1002">
        <v>4.8719999999999999</v>
      </c>
      <c r="C1002">
        <v>4.8600000000000003</v>
      </c>
      <c r="D1002">
        <v>4.8540000000000001</v>
      </c>
      <c r="E1002">
        <v>4.8479999999999999</v>
      </c>
      <c r="F1002">
        <v>4.8419999999999996</v>
      </c>
      <c r="G1002">
        <v>4.8360000000000003</v>
      </c>
      <c r="H1002">
        <v>4.8239999999999998</v>
      </c>
      <c r="I1002">
        <v>4.8120000000000003</v>
      </c>
      <c r="N1002">
        <v>1700</v>
      </c>
      <c r="O1002">
        <v>20.664000000000001</v>
      </c>
      <c r="P1002">
        <v>15.486000000000001</v>
      </c>
      <c r="Q1002">
        <v>10.319000000000001</v>
      </c>
      <c r="R1002">
        <v>5.1580000000000004</v>
      </c>
      <c r="S1002">
        <v>0</v>
      </c>
      <c r="T1002">
        <v>-5.157</v>
      </c>
      <c r="U1002">
        <v>-10.319000000000001</v>
      </c>
      <c r="V1002">
        <v>-15.486000000000001</v>
      </c>
      <c r="W1002">
        <v>-20.664000000000001</v>
      </c>
    </row>
    <row r="1003" spans="1:27">
      <c r="A1003">
        <v>900</v>
      </c>
      <c r="B1003">
        <v>5.1429999999999998</v>
      </c>
      <c r="C1003">
        <v>5.1310000000000002</v>
      </c>
      <c r="D1003">
        <v>5.125</v>
      </c>
      <c r="E1003">
        <v>5.1189999999999998</v>
      </c>
      <c r="F1003">
        <v>5.1130000000000004</v>
      </c>
      <c r="G1003">
        <v>5.1070000000000002</v>
      </c>
      <c r="H1003">
        <v>5.0949999999999998</v>
      </c>
      <c r="I1003">
        <v>5.0830000000000002</v>
      </c>
      <c r="N1003">
        <v>1800</v>
      </c>
      <c r="O1003">
        <v>20.664000000000001</v>
      </c>
      <c r="P1003">
        <v>15.486000000000001</v>
      </c>
      <c r="Q1003">
        <v>10.319000000000001</v>
      </c>
      <c r="R1003">
        <v>5.157</v>
      </c>
      <c r="S1003">
        <v>0</v>
      </c>
      <c r="T1003">
        <v>-5.1580000000000004</v>
      </c>
      <c r="U1003">
        <v>-10.319000000000001</v>
      </c>
      <c r="V1003">
        <v>-15.486000000000001</v>
      </c>
      <c r="W1003">
        <v>-20.664000000000001</v>
      </c>
    </row>
    <row r="1004" spans="1:27">
      <c r="A1004">
        <v>950</v>
      </c>
      <c r="B1004">
        <v>5.415</v>
      </c>
      <c r="C1004">
        <v>5.4029999999999996</v>
      </c>
      <c r="D1004">
        <v>5.3970000000000002</v>
      </c>
      <c r="E1004">
        <v>5.391</v>
      </c>
      <c r="F1004">
        <v>5.3849999999999998</v>
      </c>
      <c r="G1004">
        <v>5.3789999999999996</v>
      </c>
      <c r="H1004">
        <v>5.367</v>
      </c>
      <c r="I1004">
        <v>5.3550000000000004</v>
      </c>
      <c r="N1004">
        <v>1900</v>
      </c>
      <c r="O1004">
        <v>20.664000000000001</v>
      </c>
      <c r="P1004">
        <v>15.486000000000001</v>
      </c>
      <c r="Q1004">
        <v>10.32</v>
      </c>
      <c r="R1004">
        <v>5.157</v>
      </c>
      <c r="S1004">
        <v>0</v>
      </c>
      <c r="T1004">
        <v>-5.157</v>
      </c>
      <c r="U1004">
        <v>-10.319000000000001</v>
      </c>
      <c r="V1004">
        <v>-15.488</v>
      </c>
      <c r="W1004">
        <v>-20.664000000000001</v>
      </c>
    </row>
    <row r="1005" spans="1:27">
      <c r="A1005">
        <v>1000</v>
      </c>
      <c r="B1005">
        <v>5.6859999999999999</v>
      </c>
      <c r="C1005">
        <v>5.6740000000000004</v>
      </c>
      <c r="D1005">
        <v>5.6680000000000001</v>
      </c>
      <c r="E1005">
        <v>5.6619999999999999</v>
      </c>
      <c r="F1005">
        <v>5.6559999999999997</v>
      </c>
      <c r="G1005">
        <v>5.65</v>
      </c>
      <c r="H1005">
        <v>5.6379999999999999</v>
      </c>
      <c r="I1005">
        <v>5.6260000000000003</v>
      </c>
      <c r="N1005">
        <v>2000</v>
      </c>
      <c r="O1005">
        <v>20.663</v>
      </c>
      <c r="P1005">
        <v>15.486000000000001</v>
      </c>
      <c r="Q1005">
        <v>10.32</v>
      </c>
      <c r="R1005">
        <v>5.1580000000000004</v>
      </c>
      <c r="S1005">
        <v>0</v>
      </c>
      <c r="T1005">
        <v>-5.157</v>
      </c>
      <c r="U1005">
        <v>-10.32</v>
      </c>
      <c r="V1005">
        <v>-15.488</v>
      </c>
      <c r="W1005">
        <v>-20.663</v>
      </c>
    </row>
    <row r="1006" spans="1:27">
      <c r="A1006">
        <v>1050</v>
      </c>
      <c r="B1006">
        <v>5.9580000000000002</v>
      </c>
      <c r="C1006">
        <v>5.9459999999999997</v>
      </c>
      <c r="D1006">
        <v>5.94</v>
      </c>
      <c r="E1006">
        <v>5.9340000000000002</v>
      </c>
      <c r="F1006">
        <v>5.9279999999999999</v>
      </c>
      <c r="G1006">
        <v>5.9219999999999997</v>
      </c>
      <c r="H1006">
        <v>5.91</v>
      </c>
      <c r="I1006">
        <v>5.8979999999999997</v>
      </c>
      <c r="N1006">
        <v>2100</v>
      </c>
      <c r="O1006">
        <v>20.664000000000001</v>
      </c>
      <c r="P1006">
        <v>15.488</v>
      </c>
      <c r="Q1006">
        <v>10.319000000000001</v>
      </c>
      <c r="R1006">
        <v>5.157</v>
      </c>
      <c r="S1006">
        <v>0</v>
      </c>
      <c r="T1006">
        <v>-5.157</v>
      </c>
      <c r="U1006">
        <v>-10.319000000000001</v>
      </c>
      <c r="V1006">
        <v>-15.486000000000001</v>
      </c>
      <c r="W1006">
        <v>-20.663</v>
      </c>
    </row>
    <row r="1007" spans="1:27">
      <c r="A1007">
        <v>1100</v>
      </c>
      <c r="B1007">
        <v>6.2290000000000001</v>
      </c>
      <c r="C1007">
        <v>6.2169999999999996</v>
      </c>
      <c r="D1007">
        <v>6.2110000000000003</v>
      </c>
      <c r="E1007">
        <v>6.2050000000000001</v>
      </c>
      <c r="F1007">
        <v>6.1989999999999998</v>
      </c>
      <c r="G1007">
        <v>6.1929999999999996</v>
      </c>
      <c r="H1007">
        <v>6.181</v>
      </c>
      <c r="I1007">
        <v>6.1689999999999996</v>
      </c>
      <c r="N1007">
        <v>2200</v>
      </c>
      <c r="O1007">
        <v>20.664000000000001</v>
      </c>
      <c r="P1007">
        <v>15.488</v>
      </c>
      <c r="Q1007">
        <v>10.319000000000001</v>
      </c>
      <c r="R1007">
        <v>5.157</v>
      </c>
      <c r="S1007">
        <v>0</v>
      </c>
      <c r="T1007">
        <v>-5.1580000000000004</v>
      </c>
      <c r="U1007">
        <v>-10.319000000000001</v>
      </c>
      <c r="V1007">
        <v>-15.486000000000001</v>
      </c>
      <c r="W1007">
        <v>-20.664000000000001</v>
      </c>
    </row>
    <row r="1008" spans="1:27">
      <c r="A1008">
        <v>1150</v>
      </c>
      <c r="B1008">
        <v>6.5010000000000003</v>
      </c>
      <c r="C1008">
        <v>6.4889999999999999</v>
      </c>
      <c r="D1008">
        <v>6.4829999999999997</v>
      </c>
      <c r="E1008">
        <v>6.4770000000000003</v>
      </c>
      <c r="F1008">
        <v>6.4710000000000001</v>
      </c>
      <c r="G1008">
        <v>6.4649999999999999</v>
      </c>
      <c r="H1008">
        <v>6.4530000000000003</v>
      </c>
      <c r="I1008">
        <v>6.4409999999999998</v>
      </c>
      <c r="N1008">
        <v>2300</v>
      </c>
      <c r="O1008">
        <v>20.663</v>
      </c>
      <c r="P1008">
        <v>15.486000000000001</v>
      </c>
      <c r="Q1008">
        <v>10.319000000000001</v>
      </c>
      <c r="R1008">
        <v>5.157</v>
      </c>
      <c r="S1008">
        <v>0</v>
      </c>
      <c r="T1008">
        <v>-5.1580000000000004</v>
      </c>
      <c r="U1008">
        <v>-10.32</v>
      </c>
      <c r="V1008">
        <v>-15.486000000000001</v>
      </c>
      <c r="W1008">
        <v>-20.664999999999999</v>
      </c>
    </row>
    <row r="1009" spans="1:23">
      <c r="A1009">
        <v>1200</v>
      </c>
      <c r="B1009">
        <v>6.7720000000000002</v>
      </c>
      <c r="C1009">
        <v>6.76</v>
      </c>
      <c r="D1009">
        <v>6.7539999999999996</v>
      </c>
      <c r="E1009">
        <v>6.7480000000000002</v>
      </c>
      <c r="F1009">
        <v>6.742</v>
      </c>
      <c r="G1009">
        <v>6.7359999999999998</v>
      </c>
      <c r="H1009">
        <v>6.7240000000000002</v>
      </c>
      <c r="I1009">
        <v>6.7119999999999997</v>
      </c>
      <c r="N1009">
        <v>2400</v>
      </c>
      <c r="O1009">
        <v>20.664000000000001</v>
      </c>
      <c r="P1009">
        <v>15.486000000000001</v>
      </c>
      <c r="Q1009">
        <v>10.319000000000001</v>
      </c>
      <c r="R1009">
        <v>5.157</v>
      </c>
      <c r="S1009">
        <v>0</v>
      </c>
      <c r="T1009">
        <v>-5.157</v>
      </c>
      <c r="U1009">
        <v>-10.319000000000001</v>
      </c>
      <c r="V1009">
        <v>-15.486000000000001</v>
      </c>
      <c r="W1009">
        <v>-20.664000000000001</v>
      </c>
    </row>
    <row r="1010" spans="1:23">
      <c r="A1010">
        <v>1250</v>
      </c>
      <c r="B1010">
        <v>7.0439999999999996</v>
      </c>
      <c r="C1010">
        <v>7.032</v>
      </c>
      <c r="D1010">
        <v>7.0259999999999998</v>
      </c>
      <c r="E1010">
        <v>7.02</v>
      </c>
      <c r="F1010">
        <v>7.0140000000000002</v>
      </c>
      <c r="G1010">
        <v>7.008</v>
      </c>
      <c r="H1010">
        <v>6.9960000000000004</v>
      </c>
      <c r="I1010">
        <v>6.984</v>
      </c>
      <c r="N1010">
        <v>2500</v>
      </c>
      <c r="O1010">
        <v>20.664000000000001</v>
      </c>
      <c r="P1010">
        <v>15.486000000000001</v>
      </c>
      <c r="Q1010">
        <v>10.318</v>
      </c>
      <c r="R1010">
        <v>5.1580000000000004</v>
      </c>
      <c r="S1010">
        <v>0</v>
      </c>
      <c r="T1010">
        <v>-5.157</v>
      </c>
      <c r="U1010">
        <v>-10.319000000000001</v>
      </c>
      <c r="V1010">
        <v>-15.486000000000001</v>
      </c>
      <c r="W1010">
        <v>-20.663</v>
      </c>
    </row>
    <row r="1011" spans="1:23">
      <c r="A1011">
        <v>1300</v>
      </c>
      <c r="B1011">
        <v>7.3150000000000004</v>
      </c>
      <c r="C1011">
        <v>7.3029999999999999</v>
      </c>
      <c r="D1011">
        <v>7.2969999999999997</v>
      </c>
      <c r="E1011">
        <v>7.2910000000000004</v>
      </c>
      <c r="F1011">
        <v>7.2850000000000001</v>
      </c>
      <c r="G1011">
        <v>7.2789999999999999</v>
      </c>
      <c r="H1011">
        <v>7.2670000000000003</v>
      </c>
      <c r="I1011">
        <v>7.2549999999999999</v>
      </c>
      <c r="N1011">
        <v>2600</v>
      </c>
      <c r="O1011">
        <v>20.663</v>
      </c>
      <c r="P1011">
        <v>15.486000000000001</v>
      </c>
      <c r="Q1011">
        <v>10.319000000000001</v>
      </c>
      <c r="R1011">
        <v>5.157</v>
      </c>
      <c r="S1011">
        <v>0</v>
      </c>
      <c r="T1011">
        <v>-5.157</v>
      </c>
      <c r="U1011">
        <v>-10.317</v>
      </c>
      <c r="V1011">
        <v>-15.488</v>
      </c>
      <c r="W1011">
        <v>-20.664000000000001</v>
      </c>
    </row>
    <row r="1012" spans="1:23">
      <c r="A1012">
        <v>1350</v>
      </c>
      <c r="B1012">
        <v>7.5869999999999997</v>
      </c>
      <c r="C1012">
        <v>7.5750000000000002</v>
      </c>
      <c r="D1012">
        <v>7.569</v>
      </c>
      <c r="E1012">
        <v>7.5629999999999997</v>
      </c>
      <c r="F1012">
        <v>7.5570000000000004</v>
      </c>
      <c r="G1012">
        <v>7.5510000000000002</v>
      </c>
      <c r="H1012">
        <v>7.5389999999999997</v>
      </c>
      <c r="I1012">
        <v>7.5270000000000001</v>
      </c>
      <c r="N1012">
        <v>2700</v>
      </c>
      <c r="O1012">
        <v>20.664999999999999</v>
      </c>
      <c r="P1012">
        <v>15.486000000000001</v>
      </c>
      <c r="Q1012">
        <v>10.319000000000001</v>
      </c>
      <c r="R1012">
        <v>5.1580000000000004</v>
      </c>
      <c r="S1012">
        <v>0</v>
      </c>
      <c r="T1012">
        <v>-5.157</v>
      </c>
      <c r="U1012">
        <v>-10.319000000000001</v>
      </c>
      <c r="V1012">
        <v>-15.487</v>
      </c>
      <c r="W1012">
        <v>-20.663</v>
      </c>
    </row>
    <row r="1013" spans="1:23">
      <c r="A1013">
        <v>1400</v>
      </c>
      <c r="B1013">
        <v>7.8579999999999997</v>
      </c>
      <c r="C1013">
        <v>7.8460000000000001</v>
      </c>
      <c r="D1013">
        <v>7.84</v>
      </c>
      <c r="E1013">
        <v>7.8339999999999996</v>
      </c>
      <c r="F1013">
        <v>7.8280000000000003</v>
      </c>
      <c r="G1013">
        <v>7.8220000000000001</v>
      </c>
      <c r="H1013">
        <v>7.81</v>
      </c>
      <c r="I1013">
        <v>7.798</v>
      </c>
      <c r="N1013">
        <v>2800</v>
      </c>
      <c r="O1013">
        <v>20.664000000000001</v>
      </c>
      <c r="P1013">
        <v>15.488</v>
      </c>
      <c r="Q1013">
        <v>10.319000000000001</v>
      </c>
      <c r="R1013">
        <v>5.157</v>
      </c>
      <c r="S1013">
        <v>0</v>
      </c>
      <c r="T1013">
        <v>-5.1580000000000004</v>
      </c>
      <c r="U1013">
        <v>-10.32</v>
      </c>
      <c r="V1013">
        <v>-15.486000000000001</v>
      </c>
      <c r="W1013">
        <v>-20.664000000000001</v>
      </c>
    </row>
    <row r="1014" spans="1:23">
      <c r="A1014">
        <v>1450</v>
      </c>
      <c r="B1014">
        <v>8.1300000000000008</v>
      </c>
      <c r="C1014">
        <v>8.1180000000000003</v>
      </c>
      <c r="D1014">
        <v>8.1120000000000001</v>
      </c>
      <c r="E1014">
        <v>8.1059999999999999</v>
      </c>
      <c r="F1014">
        <v>8.1</v>
      </c>
      <c r="G1014">
        <v>8.0939999999999994</v>
      </c>
      <c r="H1014">
        <v>8.0820000000000007</v>
      </c>
      <c r="I1014">
        <v>8.07</v>
      </c>
      <c r="N1014">
        <v>2900</v>
      </c>
      <c r="O1014">
        <v>20.664000000000001</v>
      </c>
      <c r="P1014">
        <v>15.487</v>
      </c>
      <c r="Q1014">
        <v>10.32</v>
      </c>
      <c r="R1014">
        <v>5.157</v>
      </c>
      <c r="S1014">
        <v>0</v>
      </c>
      <c r="T1014">
        <v>-5.157</v>
      </c>
      <c r="U1014">
        <v>-10.32</v>
      </c>
      <c r="V1014">
        <v>-15.486000000000001</v>
      </c>
      <c r="W1014">
        <v>-20.664000000000001</v>
      </c>
    </row>
    <row r="1015" spans="1:23">
      <c r="A1015">
        <v>1500</v>
      </c>
      <c r="B1015">
        <v>8.4009999999999998</v>
      </c>
      <c r="C1015">
        <v>8.3889999999999993</v>
      </c>
      <c r="D1015">
        <v>8.3829999999999991</v>
      </c>
      <c r="E1015">
        <v>8.3770000000000007</v>
      </c>
      <c r="F1015">
        <v>8.3710000000000004</v>
      </c>
      <c r="G1015">
        <v>8.3650000000000002</v>
      </c>
      <c r="H1015">
        <v>8.3529999999999998</v>
      </c>
      <c r="I1015">
        <v>8.3409999999999993</v>
      </c>
      <c r="N1015">
        <v>3000</v>
      </c>
      <c r="O1015">
        <v>20.664000000000001</v>
      </c>
      <c r="P1015">
        <v>15.486000000000001</v>
      </c>
      <c r="Q1015">
        <v>10.319000000000001</v>
      </c>
      <c r="R1015">
        <v>5.1580000000000004</v>
      </c>
      <c r="S1015">
        <v>0</v>
      </c>
      <c r="T1015">
        <v>-5.157</v>
      </c>
      <c r="U1015">
        <v>-10.319000000000001</v>
      </c>
      <c r="V1015">
        <v>-15.486000000000001</v>
      </c>
      <c r="W1015">
        <v>-20.664000000000001</v>
      </c>
    </row>
    <row r="1016" spans="1:23">
      <c r="A1016">
        <v>1550</v>
      </c>
      <c r="B1016">
        <v>8.673</v>
      </c>
      <c r="C1016">
        <v>8.6609999999999996</v>
      </c>
      <c r="D1016">
        <v>8.6549999999999994</v>
      </c>
      <c r="E1016">
        <v>8.6489999999999991</v>
      </c>
      <c r="F1016">
        <v>8.6430000000000007</v>
      </c>
      <c r="G1016">
        <v>8.6370000000000005</v>
      </c>
      <c r="H1016">
        <v>8.625</v>
      </c>
      <c r="I1016">
        <v>8.6129999999999995</v>
      </c>
      <c r="N1016">
        <v>3100</v>
      </c>
      <c r="O1016">
        <v>20.663</v>
      </c>
      <c r="P1016">
        <v>15.486000000000001</v>
      </c>
      <c r="Q1016">
        <v>10.319000000000001</v>
      </c>
      <c r="R1016">
        <v>5.157</v>
      </c>
      <c r="S1016">
        <v>0</v>
      </c>
      <c r="T1016">
        <v>-5.1580000000000004</v>
      </c>
      <c r="U1016">
        <v>-10.32</v>
      </c>
      <c r="V1016">
        <v>-15.486000000000001</v>
      </c>
      <c r="W1016">
        <v>-20664</v>
      </c>
    </row>
    <row r="1017" spans="1:23">
      <c r="A1017">
        <v>1600</v>
      </c>
      <c r="B1017">
        <v>8.9440000000000008</v>
      </c>
      <c r="C1017">
        <v>8.9320000000000004</v>
      </c>
      <c r="D1017">
        <v>8.9260000000000002</v>
      </c>
      <c r="E1017">
        <v>8.92</v>
      </c>
      <c r="F1017">
        <v>8.9139999999999997</v>
      </c>
      <c r="G1017">
        <v>8.9079999999999995</v>
      </c>
      <c r="H1017">
        <v>8.8960000000000008</v>
      </c>
      <c r="I1017">
        <v>8.8840000000000003</v>
      </c>
      <c r="N1017">
        <v>3200</v>
      </c>
      <c r="O1017">
        <v>20.664000000000001</v>
      </c>
      <c r="P1017">
        <v>15.487</v>
      </c>
      <c r="Q1017">
        <v>10.32</v>
      </c>
      <c r="R1017">
        <v>5.1580000000000004</v>
      </c>
      <c r="S1017">
        <v>0</v>
      </c>
      <c r="T1017">
        <v>-5.157</v>
      </c>
      <c r="U1017">
        <v>-10.319000000000001</v>
      </c>
      <c r="V1017">
        <v>-15.487</v>
      </c>
      <c r="W1017">
        <v>-20.663</v>
      </c>
    </row>
    <row r="1018" spans="1:23">
      <c r="A1018">
        <v>1650</v>
      </c>
      <c r="B1018">
        <v>9.2159999999999993</v>
      </c>
      <c r="C1018">
        <v>9.2040000000000006</v>
      </c>
      <c r="D1018">
        <v>9.1980000000000004</v>
      </c>
      <c r="E1018">
        <v>9.1920000000000002</v>
      </c>
      <c r="F1018">
        <v>9.1859999999999999</v>
      </c>
      <c r="G1018">
        <v>9.18</v>
      </c>
      <c r="H1018">
        <v>9.1679999999999993</v>
      </c>
      <c r="I1018">
        <v>9.1560000000000006</v>
      </c>
      <c r="N1018">
        <v>3300</v>
      </c>
      <c r="O1018">
        <v>20.664000000000001</v>
      </c>
      <c r="P1018">
        <v>15.486000000000001</v>
      </c>
      <c r="Q1018">
        <v>10.32</v>
      </c>
      <c r="R1018">
        <v>5.1580000000000004</v>
      </c>
      <c r="S1018">
        <v>0</v>
      </c>
      <c r="T1018">
        <v>-5.157</v>
      </c>
      <c r="U1018">
        <v>-10.319000000000001</v>
      </c>
      <c r="V1018">
        <v>-15.487</v>
      </c>
      <c r="W1018">
        <v>-20.663</v>
      </c>
    </row>
    <row r="1019" spans="1:23">
      <c r="A1019">
        <v>1700</v>
      </c>
      <c r="B1019">
        <v>9.4870000000000001</v>
      </c>
      <c r="C1019">
        <v>9.4749999999999996</v>
      </c>
      <c r="D1019">
        <v>9.4689999999999994</v>
      </c>
      <c r="E1019">
        <v>9.4629999999999992</v>
      </c>
      <c r="F1019">
        <v>9.4570000000000007</v>
      </c>
      <c r="G1019">
        <v>9.4510000000000005</v>
      </c>
      <c r="H1019">
        <v>9.4390000000000001</v>
      </c>
      <c r="I1019">
        <v>9.4269999999999996</v>
      </c>
      <c r="N1019">
        <v>3400</v>
      </c>
      <c r="O1019">
        <v>20.664000000000001</v>
      </c>
      <c r="P1019">
        <v>15.484999999999999</v>
      </c>
      <c r="Q1019">
        <v>10.319000000000001</v>
      </c>
      <c r="R1019">
        <v>5.157</v>
      </c>
      <c r="S1019">
        <v>0</v>
      </c>
      <c r="T1019">
        <v>-5.1580000000000004</v>
      </c>
      <c r="U1019">
        <v>-10.319000000000001</v>
      </c>
      <c r="V1019">
        <v>-15.488</v>
      </c>
      <c r="W1019">
        <v>-20.664000000000001</v>
      </c>
    </row>
    <row r="1020" spans="1:23">
      <c r="A1020">
        <v>1750</v>
      </c>
      <c r="B1020">
        <v>9.7590000000000003</v>
      </c>
      <c r="C1020">
        <v>9.7469999999999999</v>
      </c>
      <c r="D1020">
        <v>9.7409999999999997</v>
      </c>
      <c r="E1020">
        <v>9.7349999999999994</v>
      </c>
      <c r="F1020">
        <v>9.7289999999999992</v>
      </c>
      <c r="G1020">
        <v>9.7230000000000008</v>
      </c>
      <c r="H1020">
        <v>9.7110000000000003</v>
      </c>
      <c r="I1020">
        <v>9.6989999999999998</v>
      </c>
      <c r="N1020">
        <v>3500</v>
      </c>
      <c r="O1020">
        <v>20.664000000000001</v>
      </c>
      <c r="P1020">
        <v>15.488</v>
      </c>
      <c r="Q1020">
        <v>10.319000000000001</v>
      </c>
      <c r="R1020">
        <v>5.1580000000000004</v>
      </c>
      <c r="S1020">
        <v>0</v>
      </c>
      <c r="T1020">
        <v>-5.157</v>
      </c>
      <c r="U1020">
        <v>-10.319000000000001</v>
      </c>
      <c r="V1020">
        <v>-15.486000000000001</v>
      </c>
      <c r="W1020">
        <v>-20.663</v>
      </c>
    </row>
    <row r="1021" spans="1:23">
      <c r="A1021">
        <v>1800</v>
      </c>
      <c r="B1021">
        <v>10.029999999999999</v>
      </c>
      <c r="C1021">
        <v>10.018000000000001</v>
      </c>
      <c r="D1021">
        <v>10.012</v>
      </c>
      <c r="E1021">
        <v>10.006</v>
      </c>
      <c r="F1021">
        <v>10</v>
      </c>
      <c r="G1021">
        <v>9.9939999999999998</v>
      </c>
      <c r="H1021">
        <v>9.9819999999999993</v>
      </c>
      <c r="I1021">
        <v>9.9700000000000006</v>
      </c>
      <c r="N1021">
        <v>3600</v>
      </c>
      <c r="O1021">
        <v>20.664000000000001</v>
      </c>
      <c r="P1021">
        <v>15.488</v>
      </c>
      <c r="Q1021">
        <v>10.32</v>
      </c>
      <c r="R1021">
        <v>5.157</v>
      </c>
      <c r="S1021">
        <v>0</v>
      </c>
      <c r="T1021">
        <v>-5.1580000000000004</v>
      </c>
      <c r="U1021">
        <v>-10.319000000000001</v>
      </c>
      <c r="V1021">
        <v>-15.486000000000001</v>
      </c>
      <c r="W1021">
        <v>-20.663</v>
      </c>
    </row>
    <row r="1022" spans="1:23">
      <c r="A1022">
        <v>1850</v>
      </c>
      <c r="B1022">
        <v>10.302</v>
      </c>
      <c r="C1022">
        <v>10.29</v>
      </c>
      <c r="D1022">
        <v>10.284000000000001</v>
      </c>
      <c r="E1022">
        <v>10.278</v>
      </c>
      <c r="F1022">
        <v>10.272</v>
      </c>
      <c r="G1022">
        <v>10.266</v>
      </c>
      <c r="H1022">
        <v>10.254</v>
      </c>
      <c r="I1022">
        <v>10.242000000000001</v>
      </c>
      <c r="N1022">
        <v>3700</v>
      </c>
      <c r="O1022">
        <v>20.663</v>
      </c>
      <c r="P1022">
        <v>15.487</v>
      </c>
      <c r="Q1022">
        <v>10.32</v>
      </c>
      <c r="R1022">
        <v>5.1580000000000004</v>
      </c>
      <c r="S1022">
        <v>0</v>
      </c>
      <c r="T1022">
        <v>-5.157</v>
      </c>
      <c r="U1022">
        <v>-10.319000000000001</v>
      </c>
      <c r="V1022">
        <v>-15.486000000000001</v>
      </c>
      <c r="W1022">
        <v>-20.664000000000001</v>
      </c>
    </row>
    <row r="1023" spans="1:23">
      <c r="A1023">
        <v>1900</v>
      </c>
      <c r="B1023">
        <v>10.573</v>
      </c>
      <c r="C1023">
        <v>10.561</v>
      </c>
      <c r="D1023">
        <v>10.555</v>
      </c>
      <c r="E1023">
        <v>10.548999999999999</v>
      </c>
      <c r="F1023">
        <v>10.542999999999999</v>
      </c>
      <c r="G1023">
        <v>10.537000000000001</v>
      </c>
      <c r="H1023">
        <v>10.525</v>
      </c>
      <c r="I1023">
        <v>10.513</v>
      </c>
      <c r="N1023">
        <v>3800</v>
      </c>
      <c r="O1023">
        <v>20.663</v>
      </c>
      <c r="P1023">
        <v>15.486000000000001</v>
      </c>
      <c r="Q1023">
        <v>10.319000000000001</v>
      </c>
      <c r="R1023">
        <v>5.1580000000000004</v>
      </c>
      <c r="S1023">
        <v>0</v>
      </c>
      <c r="T1023">
        <v>-5.157</v>
      </c>
      <c r="U1023">
        <v>-10.319000000000001</v>
      </c>
      <c r="V1023">
        <v>-15.484999999999999</v>
      </c>
      <c r="W1023">
        <v>-20.663</v>
      </c>
    </row>
    <row r="1024" spans="1:23">
      <c r="A1024">
        <v>1950</v>
      </c>
      <c r="B1024">
        <v>10.845000000000001</v>
      </c>
      <c r="C1024">
        <v>10.833</v>
      </c>
      <c r="D1024">
        <v>10.827</v>
      </c>
      <c r="E1024">
        <v>10.821</v>
      </c>
      <c r="F1024">
        <v>10.815</v>
      </c>
      <c r="G1024">
        <v>10.808999999999999</v>
      </c>
      <c r="H1024">
        <v>10.797000000000001</v>
      </c>
      <c r="I1024">
        <v>10.785</v>
      </c>
      <c r="N1024">
        <v>3900</v>
      </c>
      <c r="O1024">
        <v>20.663</v>
      </c>
      <c r="P1024">
        <v>15.486000000000001</v>
      </c>
      <c r="Q1024">
        <v>10.319000000000001</v>
      </c>
      <c r="R1024">
        <v>5.157</v>
      </c>
      <c r="S1024">
        <v>0</v>
      </c>
      <c r="T1024">
        <v>-5.1580000000000004</v>
      </c>
      <c r="U1024">
        <v>-10.319000000000001</v>
      </c>
      <c r="V1024">
        <v>-15.488</v>
      </c>
      <c r="W1024">
        <v>-20.664000000000001</v>
      </c>
    </row>
    <row r="1025" spans="1:23">
      <c r="A1025">
        <v>2000</v>
      </c>
      <c r="B1025">
        <v>11.116</v>
      </c>
      <c r="C1025">
        <v>11.103999999999999</v>
      </c>
      <c r="D1025">
        <v>11.098000000000001</v>
      </c>
      <c r="E1025">
        <v>11.092000000000001</v>
      </c>
      <c r="F1025">
        <v>11.086</v>
      </c>
      <c r="G1025">
        <v>11.08</v>
      </c>
      <c r="H1025">
        <v>11.068</v>
      </c>
      <c r="I1025">
        <v>11.055999999999999</v>
      </c>
      <c r="N1025">
        <v>4000</v>
      </c>
      <c r="O1025">
        <v>20.664000000000001</v>
      </c>
      <c r="P1025">
        <v>15.486000000000001</v>
      </c>
      <c r="Q1025">
        <v>10.319000000000001</v>
      </c>
      <c r="R1025">
        <v>5.1580000000000004</v>
      </c>
      <c r="S1025">
        <v>0</v>
      </c>
      <c r="T1025">
        <v>-5.1580000000000004</v>
      </c>
      <c r="U1025">
        <v>-10.319000000000001</v>
      </c>
      <c r="V1025">
        <v>-15.488</v>
      </c>
      <c r="W1025">
        <v>-20.663</v>
      </c>
    </row>
    <row r="1026" spans="1:23">
      <c r="A1026">
        <v>2050</v>
      </c>
      <c r="B1026">
        <v>11.388</v>
      </c>
      <c r="C1026">
        <v>11.375999999999999</v>
      </c>
      <c r="D1026">
        <v>11.37</v>
      </c>
      <c r="E1026">
        <v>11.364000000000001</v>
      </c>
      <c r="F1026">
        <v>11.358000000000001</v>
      </c>
      <c r="G1026">
        <v>11.352</v>
      </c>
      <c r="H1026">
        <v>11.34</v>
      </c>
      <c r="I1026">
        <v>11.327999999999999</v>
      </c>
      <c r="N1026">
        <v>4100</v>
      </c>
      <c r="O1026">
        <v>20.663</v>
      </c>
      <c r="P1026">
        <v>15.487</v>
      </c>
      <c r="Q1026">
        <v>10.317</v>
      </c>
      <c r="R1026">
        <v>5.157</v>
      </c>
      <c r="S1026">
        <v>0</v>
      </c>
      <c r="T1026">
        <v>-5.1580000000000004</v>
      </c>
      <c r="U1026">
        <v>-10.319000000000001</v>
      </c>
      <c r="V1026">
        <v>-15.487</v>
      </c>
      <c r="W1026">
        <v>-20.664000000000001</v>
      </c>
    </row>
    <row r="1027" spans="1:23">
      <c r="A1027">
        <v>2100</v>
      </c>
      <c r="B1027">
        <v>11.66</v>
      </c>
      <c r="C1027">
        <v>11.647</v>
      </c>
      <c r="D1027">
        <v>11.641</v>
      </c>
      <c r="E1027">
        <v>11.635</v>
      </c>
      <c r="F1027">
        <v>11.629</v>
      </c>
      <c r="G1027">
        <v>11.622999999999999</v>
      </c>
      <c r="H1027">
        <v>11.611000000000001</v>
      </c>
      <c r="I1027">
        <v>11.599</v>
      </c>
      <c r="N1027">
        <v>4200</v>
      </c>
      <c r="O1027">
        <v>20.664000000000001</v>
      </c>
      <c r="P1027">
        <v>15.488</v>
      </c>
      <c r="Q1027">
        <v>10.319000000000001</v>
      </c>
      <c r="R1027">
        <v>5.1559999999999997</v>
      </c>
      <c r="S1027">
        <v>0</v>
      </c>
      <c r="T1027">
        <v>-5.157</v>
      </c>
      <c r="U1027">
        <v>-10.317</v>
      </c>
      <c r="V1027">
        <v>-15.486000000000001</v>
      </c>
      <c r="W1027">
        <v>-20.663</v>
      </c>
    </row>
    <row r="1028" spans="1:23">
      <c r="A1028">
        <v>2150</v>
      </c>
      <c r="B1028">
        <v>11.930999999999999</v>
      </c>
      <c r="C1028">
        <v>11.919</v>
      </c>
      <c r="D1028">
        <v>11.913</v>
      </c>
      <c r="E1028">
        <v>11.907</v>
      </c>
      <c r="F1028">
        <v>11.901</v>
      </c>
      <c r="G1028">
        <v>11.895</v>
      </c>
      <c r="H1028">
        <v>11.882999999999999</v>
      </c>
      <c r="I1028">
        <v>11.871</v>
      </c>
      <c r="N1028">
        <v>4300</v>
      </c>
      <c r="O1028">
        <v>20.663</v>
      </c>
      <c r="P1028">
        <v>15.488</v>
      </c>
      <c r="Q1028">
        <v>10.32</v>
      </c>
      <c r="R1028">
        <v>5.1559999999999997</v>
      </c>
      <c r="S1028">
        <v>0</v>
      </c>
      <c r="T1028">
        <v>-5.157</v>
      </c>
      <c r="U1028">
        <v>-10.319000000000001</v>
      </c>
      <c r="V1028">
        <v>-15.486000000000001</v>
      </c>
      <c r="W1028">
        <v>-20.664000000000001</v>
      </c>
    </row>
    <row r="1029" spans="1:23">
      <c r="A1029">
        <v>2200</v>
      </c>
      <c r="B1029">
        <v>12.202999999999999</v>
      </c>
      <c r="C1029">
        <v>12.19</v>
      </c>
      <c r="D1029">
        <v>12.183999999999999</v>
      </c>
      <c r="E1029">
        <v>12.178000000000001</v>
      </c>
      <c r="F1029">
        <v>12.172000000000001</v>
      </c>
      <c r="G1029">
        <v>12.166</v>
      </c>
      <c r="H1029">
        <v>12.154</v>
      </c>
      <c r="I1029">
        <v>12.141999999999999</v>
      </c>
      <c r="N1029">
        <v>4400</v>
      </c>
      <c r="O1029">
        <v>9.7330000000000005</v>
      </c>
      <c r="P1029">
        <v>15.28</v>
      </c>
      <c r="Q1029">
        <v>16.989999999999998</v>
      </c>
      <c r="R1029">
        <v>9.375</v>
      </c>
      <c r="S1029">
        <v>0</v>
      </c>
      <c r="T1029">
        <v>-5.1580000000000004</v>
      </c>
      <c r="U1029">
        <v>-10.32</v>
      </c>
      <c r="V1029">
        <v>-16.545000000000002</v>
      </c>
      <c r="W1029">
        <v>-24.774000000000001</v>
      </c>
    </row>
    <row r="1030" spans="1:23">
      <c r="A1030">
        <v>2250</v>
      </c>
      <c r="B1030">
        <v>12.474</v>
      </c>
      <c r="C1030">
        <v>12.462</v>
      </c>
      <c r="D1030">
        <v>12.456</v>
      </c>
      <c r="E1030">
        <v>12.45</v>
      </c>
      <c r="F1030">
        <v>12.444000000000001</v>
      </c>
      <c r="G1030">
        <v>12.438000000000001</v>
      </c>
      <c r="H1030">
        <v>12.426</v>
      </c>
      <c r="I1030">
        <v>12.414</v>
      </c>
      <c r="N1030">
        <v>4500</v>
      </c>
      <c r="O1030">
        <v>-11.215</v>
      </c>
      <c r="P1030">
        <v>-4.4029999999999996</v>
      </c>
      <c r="Q1030">
        <v>0</v>
      </c>
      <c r="R1030">
        <v>0</v>
      </c>
      <c r="S1030">
        <v>0</v>
      </c>
      <c r="T1030">
        <v>0</v>
      </c>
      <c r="U1030">
        <v>-4.8490000000000002</v>
      </c>
      <c r="V1030">
        <v>-18.481999999999999</v>
      </c>
      <c r="W1030">
        <v>-34.707999999999998</v>
      </c>
    </row>
    <row r="1031" spans="1:23">
      <c r="A1031">
        <v>2300</v>
      </c>
      <c r="B1031">
        <v>12.746</v>
      </c>
      <c r="C1031">
        <v>12.733000000000001</v>
      </c>
      <c r="D1031">
        <v>12.727</v>
      </c>
      <c r="E1031">
        <v>12.721</v>
      </c>
      <c r="F1031">
        <v>12.715</v>
      </c>
      <c r="G1031">
        <v>12.709</v>
      </c>
      <c r="H1031">
        <v>12.696999999999999</v>
      </c>
      <c r="I1031">
        <v>12.685</v>
      </c>
      <c r="N1031">
        <v>5027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</row>
    <row r="1032" spans="1:23">
      <c r="A1032">
        <v>2350</v>
      </c>
      <c r="B1032">
        <v>13.016999999999999</v>
      </c>
      <c r="C1032">
        <v>13.005000000000001</v>
      </c>
      <c r="D1032">
        <v>12.999000000000001</v>
      </c>
      <c r="E1032">
        <v>12.993</v>
      </c>
      <c r="F1032">
        <v>12.987</v>
      </c>
      <c r="G1032">
        <v>12.981</v>
      </c>
      <c r="H1032">
        <v>12.968999999999999</v>
      </c>
      <c r="I1032">
        <v>12.957000000000001</v>
      </c>
    </row>
    <row r="1033" spans="1:23">
      <c r="A1033">
        <v>2400</v>
      </c>
      <c r="B1033">
        <v>13.289</v>
      </c>
      <c r="C1033">
        <v>13.276</v>
      </c>
      <c r="D1033">
        <v>13.27</v>
      </c>
      <c r="E1033">
        <v>13.263999999999999</v>
      </c>
      <c r="F1033">
        <v>13.257999999999999</v>
      </c>
      <c r="G1033">
        <v>13.252000000000001</v>
      </c>
      <c r="H1033">
        <v>13.24</v>
      </c>
      <c r="I1033">
        <v>13.228</v>
      </c>
    </row>
    <row r="1034" spans="1:23">
      <c r="A1034">
        <v>2450</v>
      </c>
      <c r="B1034">
        <v>13.56</v>
      </c>
      <c r="C1034">
        <v>13.548</v>
      </c>
      <c r="D1034">
        <v>13.542</v>
      </c>
      <c r="E1034">
        <v>13.536</v>
      </c>
      <c r="F1034">
        <v>13.53</v>
      </c>
      <c r="G1034">
        <v>13.523999999999999</v>
      </c>
      <c r="H1034">
        <v>13.512</v>
      </c>
      <c r="I1034">
        <v>13.5</v>
      </c>
    </row>
    <row r="1035" spans="1:23">
      <c r="A1035">
        <v>2500</v>
      </c>
      <c r="B1035">
        <v>13.832000000000001</v>
      </c>
      <c r="C1035">
        <v>13.819000000000001</v>
      </c>
      <c r="D1035">
        <v>13.813000000000001</v>
      </c>
      <c r="E1035">
        <v>13.807</v>
      </c>
      <c r="F1035">
        <v>13.801</v>
      </c>
      <c r="G1035">
        <v>13.795</v>
      </c>
      <c r="H1035">
        <v>13.782999999999999</v>
      </c>
      <c r="I1035">
        <v>13.771000000000001</v>
      </c>
    </row>
    <row r="1036" spans="1:23">
      <c r="A1036">
        <v>2550</v>
      </c>
      <c r="B1036">
        <v>14.103</v>
      </c>
      <c r="C1036">
        <v>14.090999999999999</v>
      </c>
      <c r="D1036">
        <v>14.085000000000001</v>
      </c>
      <c r="E1036">
        <v>14.079000000000001</v>
      </c>
      <c r="F1036">
        <v>14.073</v>
      </c>
      <c r="G1036">
        <v>14.067</v>
      </c>
      <c r="H1036">
        <v>14.055</v>
      </c>
      <c r="I1036">
        <v>14.042999999999999</v>
      </c>
    </row>
    <row r="1037" spans="1:23">
      <c r="A1037">
        <v>2600</v>
      </c>
      <c r="B1037">
        <v>14.375</v>
      </c>
      <c r="C1037">
        <v>14.362</v>
      </c>
      <c r="D1037">
        <v>14.356</v>
      </c>
      <c r="E1037">
        <v>14.35</v>
      </c>
      <c r="F1037">
        <v>14.343999999999999</v>
      </c>
      <c r="G1037">
        <v>14.337999999999999</v>
      </c>
      <c r="H1037">
        <v>14.326000000000001</v>
      </c>
      <c r="I1037">
        <v>14.314</v>
      </c>
    </row>
    <row r="1038" spans="1:23">
      <c r="A1038">
        <v>2650</v>
      </c>
      <c r="B1038">
        <v>14.646000000000001</v>
      </c>
      <c r="C1038">
        <v>14.634</v>
      </c>
      <c r="D1038">
        <v>14.628</v>
      </c>
      <c r="E1038">
        <v>14.622</v>
      </c>
      <c r="F1038">
        <v>14.616</v>
      </c>
      <c r="G1038">
        <v>14.61</v>
      </c>
      <c r="H1038">
        <v>14.598000000000001</v>
      </c>
      <c r="I1038">
        <v>14.586</v>
      </c>
    </row>
    <row r="1039" spans="1:23">
      <c r="A1039">
        <v>2700</v>
      </c>
      <c r="B1039">
        <v>14.917999999999999</v>
      </c>
      <c r="C1039">
        <v>14.904999999999999</v>
      </c>
      <c r="D1039">
        <v>14.898999999999999</v>
      </c>
      <c r="E1039">
        <v>14.893000000000001</v>
      </c>
      <c r="F1039">
        <v>14.887</v>
      </c>
      <c r="G1039">
        <v>14.881</v>
      </c>
      <c r="H1039">
        <v>14.869</v>
      </c>
      <c r="I1039">
        <v>14.856999999999999</v>
      </c>
    </row>
    <row r="1040" spans="1:23">
      <c r="A1040">
        <v>2750</v>
      </c>
      <c r="B1040">
        <v>15.189</v>
      </c>
      <c r="C1040">
        <v>15.177</v>
      </c>
      <c r="D1040">
        <v>15.170999999999999</v>
      </c>
      <c r="E1040">
        <v>15.164999999999999</v>
      </c>
      <c r="F1040">
        <v>15.159000000000001</v>
      </c>
      <c r="G1040">
        <v>15.153</v>
      </c>
      <c r="H1040">
        <v>15.141</v>
      </c>
      <c r="I1040">
        <v>15.129</v>
      </c>
    </row>
    <row r="1041" spans="1:9">
      <c r="A1041">
        <v>2800</v>
      </c>
      <c r="B1041">
        <v>15.461</v>
      </c>
      <c r="C1041">
        <v>15.448</v>
      </c>
      <c r="D1041">
        <v>15.442</v>
      </c>
      <c r="E1041">
        <v>15.436</v>
      </c>
      <c r="F1041">
        <v>15.43</v>
      </c>
      <c r="G1041">
        <v>15.423999999999999</v>
      </c>
      <c r="H1041">
        <v>15.412000000000001</v>
      </c>
      <c r="I1041">
        <v>15.4</v>
      </c>
    </row>
    <row r="1042" spans="1:9">
      <c r="A1042">
        <v>2850</v>
      </c>
      <c r="B1042">
        <v>15.731999999999999</v>
      </c>
      <c r="C1042">
        <v>15.72</v>
      </c>
      <c r="D1042">
        <v>15.714</v>
      </c>
      <c r="E1042">
        <v>15.708</v>
      </c>
      <c r="F1042">
        <v>15.702</v>
      </c>
      <c r="G1042">
        <v>15.696</v>
      </c>
      <c r="H1042">
        <v>15.683999999999999</v>
      </c>
      <c r="I1042">
        <v>15.672000000000001</v>
      </c>
    </row>
    <row r="1043" spans="1:9">
      <c r="A1043">
        <v>2900</v>
      </c>
      <c r="B1043">
        <v>16.004000000000001</v>
      </c>
      <c r="C1043">
        <v>15.991</v>
      </c>
      <c r="D1043">
        <v>15.984999999999999</v>
      </c>
      <c r="E1043">
        <v>15.978999999999999</v>
      </c>
      <c r="F1043">
        <v>15.973000000000001</v>
      </c>
      <c r="G1043">
        <v>15.967000000000001</v>
      </c>
      <c r="H1043">
        <v>15.955</v>
      </c>
      <c r="I1043">
        <v>15.943</v>
      </c>
    </row>
    <row r="1044" spans="1:9">
      <c r="A1044">
        <v>2950</v>
      </c>
      <c r="B1044">
        <v>16.274999999999999</v>
      </c>
      <c r="C1044">
        <v>16.263000000000002</v>
      </c>
      <c r="D1044">
        <v>16.257000000000001</v>
      </c>
      <c r="E1044">
        <v>16.251000000000001</v>
      </c>
      <c r="F1044">
        <v>16.245000000000001</v>
      </c>
      <c r="G1044">
        <v>16.239000000000001</v>
      </c>
      <c r="H1044">
        <v>16.227</v>
      </c>
      <c r="I1044">
        <v>16.215</v>
      </c>
    </row>
    <row r="1045" spans="1:9">
      <c r="A1045">
        <v>3000</v>
      </c>
      <c r="B1045">
        <v>16.547000000000001</v>
      </c>
      <c r="C1045">
        <v>16.533999999999999</v>
      </c>
      <c r="D1045">
        <v>16.527999999999999</v>
      </c>
      <c r="E1045">
        <v>16.521999999999998</v>
      </c>
      <c r="F1045">
        <v>16.515999999999998</v>
      </c>
      <c r="G1045">
        <v>16.510000000000002</v>
      </c>
      <c r="H1045">
        <v>16.498000000000001</v>
      </c>
      <c r="I1045">
        <v>16.486000000000001</v>
      </c>
    </row>
    <row r="1046" spans="1:9">
      <c r="A1046">
        <v>3050</v>
      </c>
      <c r="B1046">
        <v>16.818000000000001</v>
      </c>
      <c r="C1046">
        <v>16.806000000000001</v>
      </c>
      <c r="D1046">
        <v>16.8</v>
      </c>
      <c r="E1046">
        <v>16.794</v>
      </c>
      <c r="F1046">
        <v>16.788</v>
      </c>
      <c r="G1046">
        <v>30148</v>
      </c>
      <c r="H1046">
        <v>16.77</v>
      </c>
      <c r="I1046">
        <v>16.757999999999999</v>
      </c>
    </row>
    <row r="1047" spans="1:9">
      <c r="A1047">
        <v>3100</v>
      </c>
      <c r="B1047">
        <v>17.09</v>
      </c>
      <c r="C1047">
        <v>17.077000000000002</v>
      </c>
      <c r="D1047">
        <v>17.071000000000002</v>
      </c>
      <c r="E1047">
        <v>17.065000000000001</v>
      </c>
      <c r="F1047">
        <v>17.059000000000001</v>
      </c>
      <c r="G1047">
        <v>17.053000000000001</v>
      </c>
      <c r="H1047">
        <v>17.041</v>
      </c>
      <c r="I1047">
        <v>17.029</v>
      </c>
    </row>
    <row r="1048" spans="1:9">
      <c r="A1048">
        <v>3150</v>
      </c>
      <c r="B1048">
        <v>17.361000000000001</v>
      </c>
      <c r="C1048">
        <v>17.349</v>
      </c>
      <c r="D1048">
        <v>17.343</v>
      </c>
      <c r="E1048">
        <v>17.337</v>
      </c>
      <c r="F1048">
        <v>17.331</v>
      </c>
      <c r="G1048">
        <v>17.324999999999999</v>
      </c>
      <c r="H1048">
        <v>17.312999999999999</v>
      </c>
      <c r="I1048">
        <v>17.300999999999998</v>
      </c>
    </row>
    <row r="1049" spans="1:9">
      <c r="A1049">
        <v>3200</v>
      </c>
      <c r="B1049">
        <v>17.632999999999999</v>
      </c>
      <c r="C1049">
        <v>17.620999999999999</v>
      </c>
      <c r="D1049">
        <v>17.614000000000001</v>
      </c>
      <c r="E1049">
        <v>17.608000000000001</v>
      </c>
      <c r="F1049">
        <v>17.602</v>
      </c>
      <c r="G1049">
        <v>17.596</v>
      </c>
      <c r="H1049">
        <v>17.584</v>
      </c>
      <c r="I1049">
        <v>17.571999999999999</v>
      </c>
    </row>
    <row r="1050" spans="1:9">
      <c r="A1050">
        <v>3250</v>
      </c>
      <c r="B1050">
        <v>17.904</v>
      </c>
      <c r="C1050">
        <v>17.891999999999999</v>
      </c>
      <c r="D1050">
        <v>17.885999999999999</v>
      </c>
      <c r="E1050">
        <v>17.88</v>
      </c>
      <c r="F1050">
        <v>17.873999999999999</v>
      </c>
      <c r="G1050">
        <v>17.867999999999999</v>
      </c>
      <c r="H1050">
        <v>17.856000000000002</v>
      </c>
      <c r="I1050">
        <v>17.844000000000001</v>
      </c>
    </row>
    <row r="1051" spans="1:9">
      <c r="A1051">
        <v>3300</v>
      </c>
      <c r="B1051">
        <v>18.175999999999998</v>
      </c>
      <c r="C1051">
        <v>18.164000000000001</v>
      </c>
      <c r="D1051">
        <v>18.157</v>
      </c>
      <c r="E1051">
        <v>18.151</v>
      </c>
      <c r="F1051">
        <v>18.145</v>
      </c>
      <c r="G1051">
        <v>18.138999999999999</v>
      </c>
      <c r="H1051">
        <v>18.126999999999999</v>
      </c>
      <c r="I1051">
        <v>18.114999999999998</v>
      </c>
    </row>
    <row r="1052" spans="1:9">
      <c r="A1052">
        <v>3350</v>
      </c>
      <c r="B1052">
        <v>18.446999999999999</v>
      </c>
      <c r="C1052">
        <v>18.434999999999999</v>
      </c>
      <c r="D1052">
        <v>18.428999999999998</v>
      </c>
      <c r="E1052">
        <v>18.422999999999998</v>
      </c>
      <c r="F1052">
        <v>18.417000000000002</v>
      </c>
      <c r="G1052">
        <v>18.411000000000001</v>
      </c>
      <c r="H1052">
        <v>18.399000000000001</v>
      </c>
      <c r="I1052">
        <v>18.387</v>
      </c>
    </row>
    <row r="1053" spans="1:9">
      <c r="A1053">
        <v>3400</v>
      </c>
      <c r="B1053">
        <v>18.719000000000001</v>
      </c>
      <c r="C1053">
        <v>18.707000000000001</v>
      </c>
      <c r="D1053">
        <v>18.7</v>
      </c>
      <c r="E1053">
        <v>18.693999999999999</v>
      </c>
      <c r="F1053">
        <v>18.687999999999999</v>
      </c>
      <c r="G1053">
        <v>18.681999999999999</v>
      </c>
      <c r="H1053">
        <v>18.670000000000002</v>
      </c>
      <c r="I1053">
        <v>18.658000000000001</v>
      </c>
    </row>
    <row r="1054" spans="1:9">
      <c r="A1054">
        <v>3450</v>
      </c>
      <c r="B1054">
        <v>18.989999999999998</v>
      </c>
      <c r="C1054">
        <v>18.978000000000002</v>
      </c>
      <c r="D1054">
        <v>18.972000000000001</v>
      </c>
      <c r="E1054">
        <v>18.966000000000001</v>
      </c>
      <c r="F1054">
        <v>18.96</v>
      </c>
      <c r="G1054">
        <v>18.954000000000001</v>
      </c>
      <c r="H1054">
        <v>18.942</v>
      </c>
      <c r="I1054">
        <v>18.93</v>
      </c>
    </row>
    <row r="1055" spans="1:9">
      <c r="A1055">
        <v>3500</v>
      </c>
      <c r="B1055">
        <v>19.262</v>
      </c>
      <c r="C1055">
        <v>19.25</v>
      </c>
      <c r="D1055">
        <v>19.242999999999999</v>
      </c>
      <c r="E1055">
        <v>19.236999999999998</v>
      </c>
      <c r="F1055">
        <v>19.231000000000002</v>
      </c>
      <c r="G1055">
        <v>19.225000000000001</v>
      </c>
      <c r="H1055">
        <v>19.213000000000001</v>
      </c>
      <c r="I1055">
        <v>19.201000000000001</v>
      </c>
    </row>
    <row r="1056" spans="1:9">
      <c r="A1056">
        <v>3550</v>
      </c>
      <c r="B1056">
        <v>19.533000000000001</v>
      </c>
      <c r="C1056">
        <v>19.521000000000001</v>
      </c>
      <c r="D1056">
        <v>19.515000000000001</v>
      </c>
      <c r="E1056">
        <v>19.509</v>
      </c>
      <c r="F1056">
        <v>19.503</v>
      </c>
      <c r="G1056">
        <v>19.497</v>
      </c>
      <c r="H1056">
        <v>19.484999999999999</v>
      </c>
      <c r="I1056">
        <v>19.472999999999999</v>
      </c>
    </row>
    <row r="1057" spans="1:9">
      <c r="A1057">
        <v>3600</v>
      </c>
      <c r="B1057">
        <v>19.805</v>
      </c>
      <c r="C1057">
        <v>19.792999999999999</v>
      </c>
      <c r="D1057">
        <v>19.786999999999999</v>
      </c>
      <c r="E1057">
        <v>19.78</v>
      </c>
      <c r="F1057">
        <v>19.774000000000001</v>
      </c>
      <c r="G1057">
        <v>19.768000000000001</v>
      </c>
      <c r="H1057">
        <v>19.756</v>
      </c>
      <c r="I1057">
        <v>19.744</v>
      </c>
    </row>
    <row r="1058" spans="1:9">
      <c r="A1058">
        <v>3650</v>
      </c>
      <c r="B1058">
        <v>20.076000000000001</v>
      </c>
      <c r="C1058">
        <v>20.064</v>
      </c>
      <c r="D1058">
        <v>20.058</v>
      </c>
      <c r="E1058">
        <v>20.052</v>
      </c>
      <c r="F1058">
        <v>20.045999999999999</v>
      </c>
      <c r="G1058">
        <v>20.04</v>
      </c>
      <c r="H1058">
        <v>20.027999999999999</v>
      </c>
      <c r="I1058">
        <v>20.015999999999998</v>
      </c>
    </row>
    <row r="1059" spans="1:9">
      <c r="A1059">
        <v>3700</v>
      </c>
      <c r="B1059">
        <v>20.347999999999999</v>
      </c>
      <c r="C1059">
        <v>20.335999999999999</v>
      </c>
      <c r="D1059">
        <v>20.329999999999998</v>
      </c>
      <c r="E1059">
        <v>20.323</v>
      </c>
      <c r="F1059">
        <v>20.317</v>
      </c>
      <c r="G1059">
        <v>20.311</v>
      </c>
      <c r="H1059">
        <v>20.298999999999999</v>
      </c>
      <c r="I1059">
        <v>20.286999999999999</v>
      </c>
    </row>
    <row r="1060" spans="1:9">
      <c r="A1060">
        <v>3750</v>
      </c>
      <c r="B1060">
        <v>20.619</v>
      </c>
      <c r="C1060">
        <v>20.606999999999999</v>
      </c>
      <c r="D1060">
        <v>20.600999999999999</v>
      </c>
      <c r="E1060">
        <v>20.594999999999999</v>
      </c>
      <c r="F1060">
        <v>20.588999999999999</v>
      </c>
      <c r="G1060">
        <v>20.582999999999998</v>
      </c>
      <c r="H1060">
        <v>20.571000000000002</v>
      </c>
      <c r="I1060">
        <v>20.559000000000001</v>
      </c>
    </row>
    <row r="1061" spans="1:9">
      <c r="A1061">
        <v>3800</v>
      </c>
      <c r="B1061">
        <v>20.890999999999998</v>
      </c>
      <c r="C1061">
        <v>20.879000000000001</v>
      </c>
      <c r="D1061">
        <v>20.873000000000001</v>
      </c>
      <c r="E1061">
        <v>20.867000000000001</v>
      </c>
      <c r="F1061">
        <v>20.86</v>
      </c>
      <c r="G1061">
        <v>20.853999999999999</v>
      </c>
      <c r="H1061">
        <v>20.841999999999999</v>
      </c>
      <c r="I1061">
        <v>20.83</v>
      </c>
    </row>
    <row r="1062" spans="1:9">
      <c r="A1062">
        <v>3850</v>
      </c>
      <c r="B1062">
        <v>21.161999999999999</v>
      </c>
      <c r="C1062">
        <v>21.15</v>
      </c>
      <c r="D1062">
        <v>21.143999999999998</v>
      </c>
      <c r="E1062">
        <v>21.138000000000002</v>
      </c>
      <c r="F1062">
        <v>21.132000000000001</v>
      </c>
      <c r="G1062">
        <v>21.126000000000001</v>
      </c>
      <c r="H1062">
        <v>21.114000000000001</v>
      </c>
      <c r="I1062">
        <v>21.102</v>
      </c>
    </row>
    <row r="1063" spans="1:9">
      <c r="A1063">
        <v>3900</v>
      </c>
      <c r="B1063">
        <v>21.434000000000001</v>
      </c>
      <c r="C1063">
        <v>21.422000000000001</v>
      </c>
      <c r="D1063">
        <v>21.416</v>
      </c>
      <c r="E1063">
        <v>21.408999999999999</v>
      </c>
      <c r="F1063">
        <v>21.402999999999999</v>
      </c>
      <c r="G1063">
        <v>21.396999999999998</v>
      </c>
      <c r="H1063">
        <v>21.385000000000002</v>
      </c>
      <c r="I1063">
        <v>21.373000000000001</v>
      </c>
    </row>
    <row r="1064" spans="1:9">
      <c r="A1064">
        <v>3950</v>
      </c>
      <c r="B1064">
        <v>21.704999999999998</v>
      </c>
      <c r="C1064">
        <v>21.693000000000001</v>
      </c>
      <c r="D1064">
        <v>21.687000000000001</v>
      </c>
      <c r="E1064">
        <v>21.681000000000001</v>
      </c>
      <c r="F1064">
        <v>21.675000000000001</v>
      </c>
      <c r="G1064">
        <v>21.669</v>
      </c>
      <c r="H1064">
        <v>21.657</v>
      </c>
      <c r="I1064">
        <v>21.645</v>
      </c>
    </row>
    <row r="1065" spans="1:9">
      <c r="A1065">
        <v>4000</v>
      </c>
      <c r="B1065">
        <v>21.977</v>
      </c>
      <c r="C1065">
        <v>21.965</v>
      </c>
      <c r="D1065">
        <v>21.959</v>
      </c>
      <c r="E1065">
        <v>21.952999999999999</v>
      </c>
      <c r="F1065">
        <v>21.946000000000002</v>
      </c>
      <c r="G1065">
        <v>21.94</v>
      </c>
      <c r="H1065">
        <v>21.928000000000001</v>
      </c>
      <c r="I1065">
        <v>21.916</v>
      </c>
    </row>
    <row r="1066" spans="1:9">
      <c r="A1066">
        <v>4050</v>
      </c>
      <c r="B1066">
        <v>22.248000000000001</v>
      </c>
      <c r="C1066">
        <v>22.236000000000001</v>
      </c>
      <c r="D1066">
        <v>22.23</v>
      </c>
      <c r="E1066">
        <v>22.224</v>
      </c>
      <c r="F1066">
        <v>22.218</v>
      </c>
      <c r="G1066">
        <v>22.212</v>
      </c>
      <c r="H1066">
        <v>22.2</v>
      </c>
      <c r="I1066">
        <v>22.187999999999999</v>
      </c>
    </row>
    <row r="1067" spans="1:9">
      <c r="A1067">
        <v>4100</v>
      </c>
      <c r="B1067">
        <v>22.52</v>
      </c>
      <c r="C1067">
        <v>22.507999999999999</v>
      </c>
      <c r="D1067">
        <v>22.501999999999999</v>
      </c>
      <c r="E1067">
        <v>22.495999999999999</v>
      </c>
      <c r="F1067">
        <v>22.49</v>
      </c>
      <c r="G1067">
        <v>22.483000000000001</v>
      </c>
      <c r="H1067">
        <v>22.471</v>
      </c>
      <c r="I1067">
        <v>22.459</v>
      </c>
    </row>
    <row r="1068" spans="1:9">
      <c r="A1068">
        <v>4150</v>
      </c>
      <c r="B1068">
        <v>22.791</v>
      </c>
      <c r="C1068">
        <v>22.779</v>
      </c>
      <c r="D1068">
        <v>22.773</v>
      </c>
      <c r="E1068">
        <v>22.766999999999999</v>
      </c>
      <c r="F1068">
        <v>22.760999999999999</v>
      </c>
      <c r="G1068">
        <v>22.754999999999999</v>
      </c>
      <c r="H1068">
        <v>22.742999999999999</v>
      </c>
      <c r="I1068">
        <v>22.731000000000002</v>
      </c>
    </row>
    <row r="1069" spans="1:9">
      <c r="A1069">
        <v>4200</v>
      </c>
      <c r="B1069">
        <v>23.062999999999999</v>
      </c>
      <c r="C1069">
        <v>23.050999999999998</v>
      </c>
      <c r="D1069">
        <v>23.045000000000002</v>
      </c>
      <c r="E1069">
        <v>23.039000000000001</v>
      </c>
      <c r="F1069">
        <v>23.033000000000001</v>
      </c>
      <c r="G1069">
        <v>23.026</v>
      </c>
      <c r="H1069">
        <v>23.013999999999999</v>
      </c>
      <c r="I1069">
        <v>23.001999999999999</v>
      </c>
    </row>
    <row r="1070" spans="1:9">
      <c r="A1070">
        <v>4250</v>
      </c>
      <c r="B1070">
        <v>23.334</v>
      </c>
      <c r="C1070">
        <v>23.321999999999999</v>
      </c>
      <c r="D1070">
        <v>23.315999999999999</v>
      </c>
      <c r="E1070">
        <v>23.31</v>
      </c>
      <c r="F1070">
        <v>23.303999999999998</v>
      </c>
      <c r="G1070">
        <v>23.297999999999998</v>
      </c>
      <c r="H1070">
        <v>23.286000000000001</v>
      </c>
      <c r="I1070">
        <v>23.274000000000001</v>
      </c>
    </row>
    <row r="1071" spans="1:9">
      <c r="A1071">
        <v>4300</v>
      </c>
      <c r="B1071">
        <v>23.606000000000002</v>
      </c>
      <c r="C1071">
        <v>23.594000000000001</v>
      </c>
      <c r="D1071">
        <v>23.588000000000001</v>
      </c>
      <c r="E1071">
        <v>23.582000000000001</v>
      </c>
      <c r="F1071">
        <v>23.576000000000001</v>
      </c>
      <c r="G1071">
        <v>23.568999999999999</v>
      </c>
      <c r="H1071">
        <v>23.556999999999999</v>
      </c>
      <c r="I1071">
        <v>23.545000000000002</v>
      </c>
    </row>
    <row r="1072" spans="1:9">
      <c r="A1072">
        <v>4350</v>
      </c>
      <c r="B1072">
        <v>23.876999999999999</v>
      </c>
      <c r="C1072">
        <v>23.864999999999998</v>
      </c>
      <c r="D1072">
        <v>23.859000000000002</v>
      </c>
      <c r="E1072">
        <v>23.853000000000002</v>
      </c>
      <c r="F1072">
        <v>23.847000000000001</v>
      </c>
      <c r="G1072">
        <v>23.841000000000001</v>
      </c>
      <c r="H1072">
        <v>23.829000000000001</v>
      </c>
      <c r="I1072">
        <v>23.817</v>
      </c>
    </row>
    <row r="1073" spans="1:9">
      <c r="A1073">
        <v>4400</v>
      </c>
      <c r="B1073">
        <v>24.149000000000001</v>
      </c>
      <c r="C1073">
        <v>24.137</v>
      </c>
      <c r="D1073">
        <v>24.131</v>
      </c>
      <c r="E1073">
        <v>24.125</v>
      </c>
      <c r="F1073">
        <v>24.119</v>
      </c>
      <c r="G1073">
        <v>24.111999999999998</v>
      </c>
      <c r="H1073">
        <v>24.1</v>
      </c>
      <c r="I1073">
        <v>24.088000000000001</v>
      </c>
    </row>
    <row r="1074" spans="1:9">
      <c r="A1074">
        <v>4450</v>
      </c>
      <c r="B1074">
        <v>24.417000000000002</v>
      </c>
      <c r="C1074">
        <v>24.408000000000001</v>
      </c>
      <c r="D1074">
        <v>24.402000000000001</v>
      </c>
      <c r="E1074">
        <v>24.396000000000001</v>
      </c>
      <c r="F1074">
        <v>24.39</v>
      </c>
      <c r="G1074">
        <v>24.384</v>
      </c>
      <c r="H1074">
        <v>24.372</v>
      </c>
      <c r="I1074">
        <v>24.359000000000002</v>
      </c>
    </row>
    <row r="1075" spans="1:9">
      <c r="A1075">
        <v>4500</v>
      </c>
      <c r="B1075">
        <v>24.434999999999999</v>
      </c>
      <c r="C1075">
        <v>24.434999999999999</v>
      </c>
      <c r="D1075">
        <v>24.434999999999999</v>
      </c>
      <c r="E1075">
        <v>24.434999999999999</v>
      </c>
      <c r="F1075">
        <v>24.434999999999999</v>
      </c>
      <c r="G1075">
        <v>24.434999999999999</v>
      </c>
      <c r="H1075">
        <v>24.434999999999999</v>
      </c>
      <c r="I1075">
        <v>24.434999999999999</v>
      </c>
    </row>
    <row r="1076" spans="1:9">
      <c r="A1076">
        <v>5027</v>
      </c>
      <c r="B1076">
        <v>24.434999999999999</v>
      </c>
      <c r="C1076">
        <v>24.434999999999999</v>
      </c>
      <c r="D1076">
        <v>24.434999999999999</v>
      </c>
      <c r="E1076">
        <v>24.434999999999999</v>
      </c>
      <c r="F1076">
        <v>24.434999999999999</v>
      </c>
      <c r="G1076">
        <v>24.434999999999999</v>
      </c>
      <c r="H1076">
        <v>24.434999999999999</v>
      </c>
      <c r="I1076">
        <v>24.434999999999999</v>
      </c>
    </row>
    <row r="1077" spans="1:9" hidden="1"/>
    <row r="1078" spans="1:9" hidden="1"/>
    <row r="1079" spans="1:9" hidden="1"/>
    <row r="1080" spans="1:9" hidden="1"/>
    <row r="1081" spans="1:9" hidden="1"/>
    <row r="1082" spans="1:9" hidden="1"/>
    <row r="1083" spans="1:9" hidden="1"/>
    <row r="1084" spans="1:9" hidden="1"/>
    <row r="1085" spans="1:9" hidden="1"/>
    <row r="1086" spans="1:9" hidden="1"/>
    <row r="1087" spans="1:9" hidden="1"/>
    <row r="1088" spans="1:9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spans="1:30" hidden="1"/>
    <row r="1202" spans="1:30" hidden="1"/>
    <row r="1203" spans="1:30" hidden="1"/>
    <row r="1204" spans="1:30" hidden="1"/>
    <row r="1205" spans="1:30" hidden="1"/>
    <row r="1206" spans="1:30" hidden="1"/>
    <row r="1208" spans="1:30">
      <c r="A1208" t="s">
        <v>253</v>
      </c>
    </row>
    <row r="1209" spans="1:30">
      <c r="A1209" t="s">
        <v>234</v>
      </c>
    </row>
    <row r="1210" spans="1:30">
      <c r="A1210" t="s">
        <v>235</v>
      </c>
    </row>
    <row r="1211" spans="1:30">
      <c r="A1211" t="s">
        <v>236</v>
      </c>
    </row>
    <row r="1212" spans="1:30">
      <c r="A1212" t="s">
        <v>237</v>
      </c>
    </row>
    <row r="1213" spans="1:30">
      <c r="A1213" t="s">
        <v>254</v>
      </c>
    </row>
    <row r="1215" spans="1:30">
      <c r="A1215" t="s">
        <v>255</v>
      </c>
    </row>
    <row r="1216" spans="1:30">
      <c r="A1216" t="s">
        <v>230</v>
      </c>
      <c r="B1216">
        <v>-1</v>
      </c>
      <c r="C1216">
        <v>0</v>
      </c>
      <c r="D1216">
        <v>0.5</v>
      </c>
      <c r="E1216">
        <v>1</v>
      </c>
      <c r="F1216">
        <v>1.5</v>
      </c>
      <c r="G1216">
        <v>2</v>
      </c>
      <c r="H1216">
        <v>3</v>
      </c>
      <c r="I1216">
        <v>4</v>
      </c>
      <c r="M1216" t="s">
        <v>35</v>
      </c>
      <c r="N1216" t="s">
        <v>230</v>
      </c>
      <c r="O1216">
        <v>-4</v>
      </c>
      <c r="P1216">
        <v>-3</v>
      </c>
      <c r="Q1216">
        <v>-2</v>
      </c>
      <c r="R1216">
        <v>-1</v>
      </c>
      <c r="S1216">
        <v>0</v>
      </c>
      <c r="T1216">
        <v>1</v>
      </c>
      <c r="U1216">
        <v>2</v>
      </c>
      <c r="V1216">
        <v>3</v>
      </c>
      <c r="W1216">
        <v>4</v>
      </c>
      <c r="X1216" s="11" t="s">
        <v>231</v>
      </c>
      <c r="AA1216" s="1">
        <f>heelDraft1</f>
        <v>0</v>
      </c>
      <c r="AB1216" s="274">
        <v>1250</v>
      </c>
      <c r="AC1216" s="186">
        <f>IF((AB1216+AB1219)&lt;0,AB1216,AB1216+AB1219)</f>
        <v>1250</v>
      </c>
      <c r="AD1216" s="42">
        <f>IF(AD1218=AD1217,AD1217,Interp1(AC1217:AC1218,AD1217:AD1218,AC1216))</f>
        <v>2.1240000000000001</v>
      </c>
    </row>
    <row r="1217" spans="1:30">
      <c r="A1217">
        <v>0</v>
      </c>
      <c r="B1217">
        <v>0.08</v>
      </c>
      <c r="C1217">
        <v>0.08</v>
      </c>
      <c r="D1217">
        <v>0.08</v>
      </c>
      <c r="E1217">
        <v>0.08</v>
      </c>
      <c r="F1217">
        <v>0.08</v>
      </c>
      <c r="G1217">
        <v>0.08</v>
      </c>
      <c r="H1217">
        <v>0.08</v>
      </c>
      <c r="I1217">
        <v>0.08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4.4950000000000001</v>
      </c>
      <c r="U1217">
        <v>8.9920000000000009</v>
      </c>
      <c r="V1217">
        <v>13.494999999999999</v>
      </c>
      <c r="W1217">
        <v>18.007000000000001</v>
      </c>
      <c r="X1217" s="11">
        <v>1</v>
      </c>
      <c r="AA1217" s="1">
        <f>FLOOR(AB1216,incOil2)</f>
        <v>1200</v>
      </c>
      <c r="AB1217" s="1">
        <f>Interp2(Oil7Heel1,Oil7Heel2,Oil7Heel3,AA1217,AA1216)</f>
        <v>0</v>
      </c>
      <c r="AC1217" s="1">
        <f>FLOOR(AC1216,incOil1)</f>
        <v>1250</v>
      </c>
      <c r="AD1217" s="42">
        <f>IF(AB1222=AB1221,AB1221,Interp1(AA1221:AA1222,AB1221:AB1222,AA1220))</f>
        <v>2.1240000000000001</v>
      </c>
    </row>
    <row r="1218" spans="1:30">
      <c r="A1218">
        <v>50</v>
      </c>
      <c r="B1218">
        <v>0.16200000000000001</v>
      </c>
      <c r="C1218">
        <v>0.16200000000000001</v>
      </c>
      <c r="D1218">
        <v>0.16200000000000001</v>
      </c>
      <c r="E1218">
        <v>0.16200000000000001</v>
      </c>
      <c r="F1218">
        <v>0.16200000000000001</v>
      </c>
      <c r="G1218">
        <v>0.16200000000000001</v>
      </c>
      <c r="H1218">
        <v>0.16200000000000001</v>
      </c>
      <c r="I1218">
        <v>0.161</v>
      </c>
      <c r="N1218">
        <v>100</v>
      </c>
      <c r="O1218">
        <v>-18.007000000000001</v>
      </c>
      <c r="P1218">
        <v>-13.494999999999999</v>
      </c>
      <c r="Q1218">
        <v>-8.9930000000000003</v>
      </c>
      <c r="R1218">
        <v>-4.4939999999999998</v>
      </c>
      <c r="S1218">
        <v>0</v>
      </c>
      <c r="T1218">
        <v>4.4939999999999998</v>
      </c>
      <c r="U1218">
        <v>8.9920000000000009</v>
      </c>
      <c r="V1218">
        <v>13.494</v>
      </c>
      <c r="W1218">
        <v>18.007000000000001</v>
      </c>
      <c r="X1218" s="11">
        <v>1</v>
      </c>
      <c r="AA1218" s="1">
        <f>IF(AA1217=OilSound6,AA1217,CEILING(AB1216,incOil2))</f>
        <v>1300</v>
      </c>
      <c r="AB1218" s="1">
        <f>Interp2(Oil7Heel1,Oil7Heel2,Oil7Heel3,AA1218,AA1216)</f>
        <v>0</v>
      </c>
      <c r="AC1218" s="1">
        <f>CEILING(AC1216,incOil1)</f>
        <v>1250</v>
      </c>
      <c r="AD1218" s="42">
        <f>IF(AC1222=AC1221,AC1221,Interp1(AA1221:AA1222,AC1221:AC1222,AA1220))</f>
        <v>2.1240000000000001</v>
      </c>
    </row>
    <row r="1219" spans="1:30">
      <c r="A1219">
        <v>100</v>
      </c>
      <c r="B1219">
        <v>0.24399999999999999</v>
      </c>
      <c r="C1219">
        <v>0.24399999999999999</v>
      </c>
      <c r="D1219">
        <v>0.24399999999999999</v>
      </c>
      <c r="E1219">
        <v>0.24399999999999999</v>
      </c>
      <c r="F1219">
        <v>0.24299999999999999</v>
      </c>
      <c r="G1219">
        <v>0.24299999999999999</v>
      </c>
      <c r="H1219">
        <v>0.24299999999999999</v>
      </c>
      <c r="I1219">
        <v>0.24299999999999999</v>
      </c>
      <c r="N1219">
        <v>200</v>
      </c>
      <c r="O1219">
        <v>-18.007000000000001</v>
      </c>
      <c r="P1219">
        <v>-13.494999999999999</v>
      </c>
      <c r="Q1219">
        <v>-8.9920000000000009</v>
      </c>
      <c r="R1219">
        <v>-4.4939999999999998</v>
      </c>
      <c r="S1219">
        <v>0</v>
      </c>
      <c r="T1219">
        <v>4.4939999999999998</v>
      </c>
      <c r="U1219">
        <v>8.9930000000000003</v>
      </c>
      <c r="V1219">
        <v>13.494999999999999</v>
      </c>
      <c r="W1219">
        <v>18.006</v>
      </c>
      <c r="X1219" s="11">
        <v>1</v>
      </c>
      <c r="AA1219" s="1"/>
      <c r="AB1219" s="1">
        <f>IF(AB1218=AB1217,AB1217,Interp1(AA1217:AA1218,AB1217:AB1218,AB1216))</f>
        <v>0</v>
      </c>
      <c r="AC1219" s="1"/>
      <c r="AD1219" s="42"/>
    </row>
    <row r="1220" spans="1:30">
      <c r="A1220">
        <v>150</v>
      </c>
      <c r="B1220">
        <v>0.32600000000000001</v>
      </c>
      <c r="C1220">
        <v>0.32500000000000001</v>
      </c>
      <c r="D1220">
        <v>0.32500000000000001</v>
      </c>
      <c r="E1220">
        <v>0.32500000000000001</v>
      </c>
      <c r="F1220">
        <v>0.32500000000000001</v>
      </c>
      <c r="G1220">
        <v>0.32500000000000001</v>
      </c>
      <c r="H1220">
        <v>0.32500000000000001</v>
      </c>
      <c r="I1220">
        <v>0.32500000000000001</v>
      </c>
      <c r="N1220">
        <v>300</v>
      </c>
      <c r="O1220">
        <v>-18.007000000000001</v>
      </c>
      <c r="P1220">
        <v>-13.494999999999999</v>
      </c>
      <c r="Q1220">
        <v>-8.9920000000000009</v>
      </c>
      <c r="R1220">
        <v>-4.4939999999999998</v>
      </c>
      <c r="S1220">
        <v>0</v>
      </c>
      <c r="T1220">
        <v>4.4939999999999998</v>
      </c>
      <c r="U1220">
        <v>8.9930000000000003</v>
      </c>
      <c r="V1220">
        <v>13.494999999999999</v>
      </c>
      <c r="W1220">
        <v>18.007000000000001</v>
      </c>
      <c r="X1220" s="11">
        <v>2</v>
      </c>
      <c r="AA1220" s="1">
        <f>trimDraft</f>
        <v>0.149999999999999</v>
      </c>
      <c r="AB1220" s="1"/>
      <c r="AC1220" s="1"/>
      <c r="AD1220" s="1"/>
    </row>
    <row r="1221" spans="1:30">
      <c r="A1221">
        <v>200</v>
      </c>
      <c r="B1221">
        <v>0.40699999999999997</v>
      </c>
      <c r="C1221">
        <v>0.40699999999999997</v>
      </c>
      <c r="D1221">
        <v>0.40699999999999997</v>
      </c>
      <c r="E1221">
        <v>0.40699999999999997</v>
      </c>
      <c r="F1221">
        <v>0.40699999999999997</v>
      </c>
      <c r="G1221">
        <v>0.40699999999999997</v>
      </c>
      <c r="H1221">
        <v>0.40699999999999997</v>
      </c>
      <c r="I1221">
        <v>0.40699999999999997</v>
      </c>
      <c r="N1221">
        <v>400</v>
      </c>
      <c r="O1221">
        <v>-18.006</v>
      </c>
      <c r="P1221">
        <v>-13.494999999999999</v>
      </c>
      <c r="Q1221">
        <v>-8.9920000000000009</v>
      </c>
      <c r="R1221">
        <v>-4.4939999999999998</v>
      </c>
      <c r="S1221">
        <v>0</v>
      </c>
      <c r="T1221">
        <v>4.4939999999999998</v>
      </c>
      <c r="U1221">
        <v>8.9930000000000003</v>
      </c>
      <c r="V1221">
        <v>13.494999999999999</v>
      </c>
      <c r="W1221">
        <v>18.007000000000001</v>
      </c>
      <c r="X1221" s="11">
        <v>2</v>
      </c>
      <c r="AA1221" s="1">
        <f>INDEX(Oil7Trim2,0,MATCH(AA1220,Oil7Trim2,1))</f>
        <v>0</v>
      </c>
      <c r="AB1221" s="1">
        <f>Interp2(Oil7Trim1,Oil7Trim2,Oil7Trim3,AC1217,AA1221)</f>
        <v>2.1240000000000001</v>
      </c>
      <c r="AC1221" s="1">
        <f>Interp2(Oil7Trim1,Oil7Trim2,Oil7Trim3,AC1218,AA1221)</f>
        <v>2.1240000000000001</v>
      </c>
      <c r="AD1221" s="1"/>
    </row>
    <row r="1222" spans="1:30">
      <c r="A1222">
        <v>250</v>
      </c>
      <c r="B1222">
        <v>0.48899999999999999</v>
      </c>
      <c r="C1222">
        <v>0.48899999999999999</v>
      </c>
      <c r="D1222">
        <v>0.48899999999999999</v>
      </c>
      <c r="E1222">
        <v>0.48899999999999999</v>
      </c>
      <c r="F1222">
        <v>0.48899999999999999</v>
      </c>
      <c r="G1222">
        <v>0.48899999999999999</v>
      </c>
      <c r="H1222">
        <v>0.48899999999999999</v>
      </c>
      <c r="I1222">
        <v>0.48799999999999999</v>
      </c>
      <c r="N1222">
        <v>500</v>
      </c>
      <c r="O1222">
        <v>-18.007000000000001</v>
      </c>
      <c r="P1222">
        <v>-13.494999999999999</v>
      </c>
      <c r="Q1222">
        <v>-8.9920000000000009</v>
      </c>
      <c r="R1222">
        <v>-4.4939999999999998</v>
      </c>
      <c r="S1222">
        <v>0</v>
      </c>
      <c r="T1222">
        <v>4.4939999999999998</v>
      </c>
      <c r="U1222">
        <v>8.9930000000000003</v>
      </c>
      <c r="V1222">
        <v>13.494999999999999</v>
      </c>
      <c r="W1222">
        <v>18.007000000000001</v>
      </c>
      <c r="X1222" s="11">
        <v>3</v>
      </c>
      <c r="AA1222" s="1">
        <f>IF(AA1221=AA1220,AA1220,INDEX(Oil7Trim2,0,MATCH(AA1220,Oil7Trim2,1)+1))</f>
        <v>0.5</v>
      </c>
      <c r="AB1222" s="1">
        <f>Interp2(Oil7Trim1,Oil7Trim2,Oil7Trim3,AC1217,AA1222)</f>
        <v>2.1240000000000001</v>
      </c>
      <c r="AC1222" s="1">
        <f>Interp2(Oil7Trim1,Oil7Trim2,Oil7Trim3,AC1218,AA1222)</f>
        <v>2.1240000000000001</v>
      </c>
      <c r="AD1222" s="1"/>
    </row>
    <row r="1223" spans="1:30">
      <c r="A1223">
        <v>300</v>
      </c>
      <c r="B1223">
        <v>0.57099999999999995</v>
      </c>
      <c r="C1223">
        <v>0.57099999999999995</v>
      </c>
      <c r="D1223">
        <v>0.57099999999999995</v>
      </c>
      <c r="E1223">
        <v>0.57099999999999995</v>
      </c>
      <c r="F1223">
        <v>0.56999999999999995</v>
      </c>
      <c r="G1223">
        <v>0.56999999999999995</v>
      </c>
      <c r="H1223">
        <v>0.56999999999999995</v>
      </c>
      <c r="I1223">
        <v>0.56999999999999995</v>
      </c>
      <c r="N1223">
        <v>600</v>
      </c>
      <c r="O1223">
        <v>-18.006</v>
      </c>
      <c r="P1223">
        <v>-13.494999999999999</v>
      </c>
      <c r="Q1223">
        <v>-8.9930000000000003</v>
      </c>
      <c r="R1223">
        <v>-4.4939999999999998</v>
      </c>
      <c r="S1223">
        <v>0</v>
      </c>
      <c r="T1223">
        <v>4.4939999999999998</v>
      </c>
      <c r="U1223">
        <v>8.9930000000000003</v>
      </c>
      <c r="V1223">
        <v>13.494999999999999</v>
      </c>
      <c r="W1223">
        <v>18.007000000000001</v>
      </c>
      <c r="X1223" s="11">
        <v>3</v>
      </c>
    </row>
    <row r="1224" spans="1:30">
      <c r="A1224">
        <v>350</v>
      </c>
      <c r="B1224">
        <v>0.65300000000000002</v>
      </c>
      <c r="C1224">
        <v>0.65200000000000002</v>
      </c>
      <c r="D1224">
        <v>0.65200000000000002</v>
      </c>
      <c r="E1224">
        <v>0.65200000000000002</v>
      </c>
      <c r="F1224">
        <v>0.65200000000000002</v>
      </c>
      <c r="G1224">
        <v>0.65200000000000002</v>
      </c>
      <c r="H1224">
        <v>0.65200000000000002</v>
      </c>
      <c r="I1224">
        <v>0.65200000000000002</v>
      </c>
      <c r="N1224">
        <v>700</v>
      </c>
      <c r="O1224">
        <v>-18.007000000000001</v>
      </c>
      <c r="P1224">
        <v>-13.494999999999999</v>
      </c>
      <c r="Q1224">
        <v>-8.9930000000000003</v>
      </c>
      <c r="R1224">
        <v>-4.4939999999999998</v>
      </c>
      <c r="S1224">
        <v>0</v>
      </c>
      <c r="T1224">
        <v>4.4939999999999998</v>
      </c>
      <c r="U1224">
        <v>8.9920000000000009</v>
      </c>
      <c r="V1224">
        <v>13.494999999999999</v>
      </c>
      <c r="W1224">
        <v>18.007000000000001</v>
      </c>
      <c r="X1224" s="11">
        <v>4</v>
      </c>
      <c r="AA1224">
        <f>COUNT(A1217:W1308)</f>
        <v>1298</v>
      </c>
    </row>
    <row r="1225" spans="1:30">
      <c r="A1225">
        <v>400</v>
      </c>
      <c r="B1225">
        <v>0.73399999999999999</v>
      </c>
      <c r="C1225">
        <v>0.73399999999999999</v>
      </c>
      <c r="D1225">
        <v>0.73399999999999999</v>
      </c>
      <c r="E1225">
        <v>0.73399999999999999</v>
      </c>
      <c r="F1225">
        <v>0.73399999999999999</v>
      </c>
      <c r="G1225">
        <v>0.73399999999999999</v>
      </c>
      <c r="H1225">
        <v>0.73399999999999999</v>
      </c>
      <c r="I1225">
        <v>0.73399999999999999</v>
      </c>
      <c r="N1225">
        <v>800</v>
      </c>
      <c r="O1225">
        <v>-18.007000000000001</v>
      </c>
      <c r="P1225">
        <v>-13.494</v>
      </c>
      <c r="Q1225">
        <v>-8.9930000000000003</v>
      </c>
      <c r="R1225">
        <v>-4.4939999999999998</v>
      </c>
      <c r="S1225">
        <v>0</v>
      </c>
      <c r="T1225">
        <v>4.4939999999999998</v>
      </c>
      <c r="U1225">
        <v>8.9920000000000009</v>
      </c>
      <c r="V1225">
        <v>13.496</v>
      </c>
      <c r="W1225">
        <v>18.004999999999999</v>
      </c>
      <c r="X1225" s="11">
        <v>4</v>
      </c>
      <c r="AA1225">
        <f>COUNTA(A1217:W1308)</f>
        <v>1298</v>
      </c>
    </row>
    <row r="1226" spans="1:30">
      <c r="A1226">
        <v>450</v>
      </c>
      <c r="B1226">
        <v>0.81599999999999995</v>
      </c>
      <c r="C1226">
        <v>0.81599999999999995</v>
      </c>
      <c r="D1226">
        <v>0.81599999999999995</v>
      </c>
      <c r="E1226">
        <v>0.81599999999999995</v>
      </c>
      <c r="F1226">
        <v>0.81599999999999995</v>
      </c>
      <c r="G1226">
        <v>0.81599999999999995</v>
      </c>
      <c r="H1226">
        <v>0.81599999999999995</v>
      </c>
      <c r="I1226">
        <v>0.81499999999999995</v>
      </c>
      <c r="N1226">
        <v>900</v>
      </c>
      <c r="O1226">
        <v>-18.007000000000001</v>
      </c>
      <c r="P1226">
        <v>-13.494999999999999</v>
      </c>
      <c r="Q1226">
        <v>-8.9930000000000003</v>
      </c>
      <c r="R1226">
        <v>-4.4939999999999998</v>
      </c>
      <c r="S1226">
        <v>0</v>
      </c>
      <c r="T1226">
        <v>4.4939999999999998</v>
      </c>
      <c r="U1226">
        <v>8.9909999999999997</v>
      </c>
      <c r="V1226">
        <v>13.496</v>
      </c>
      <c r="W1226">
        <v>18.004999999999999</v>
      </c>
      <c r="X1226" s="11">
        <v>5</v>
      </c>
    </row>
    <row r="1227" spans="1:30">
      <c r="A1227">
        <v>500</v>
      </c>
      <c r="B1227">
        <v>0.89800000000000002</v>
      </c>
      <c r="C1227">
        <v>0.89800000000000002</v>
      </c>
      <c r="D1227">
        <v>0.89800000000000002</v>
      </c>
      <c r="E1227">
        <v>0.89800000000000002</v>
      </c>
      <c r="F1227">
        <v>0.89700000000000002</v>
      </c>
      <c r="G1227">
        <v>0.89700000000000002</v>
      </c>
      <c r="H1227">
        <v>0.89700000000000002</v>
      </c>
      <c r="I1227">
        <v>0.89700000000000002</v>
      </c>
      <c r="N1227">
        <v>1000</v>
      </c>
      <c r="O1227">
        <v>-18.007000000000001</v>
      </c>
      <c r="P1227">
        <v>-13.494999999999999</v>
      </c>
      <c r="Q1227">
        <v>-8.9920000000000009</v>
      </c>
      <c r="R1227">
        <v>-4.4939999999999998</v>
      </c>
      <c r="S1227">
        <v>0</v>
      </c>
      <c r="T1227">
        <v>4.4939999999999998</v>
      </c>
      <c r="U1227">
        <v>8.9930000000000003</v>
      </c>
      <c r="V1227">
        <v>13.496</v>
      </c>
      <c r="W1227">
        <v>18.007000000000001</v>
      </c>
      <c r="X1227" s="11">
        <v>5</v>
      </c>
    </row>
    <row r="1228" spans="1:30">
      <c r="A1228">
        <v>550</v>
      </c>
      <c r="B1228" s="12">
        <v>0.98</v>
      </c>
      <c r="C1228">
        <v>0.97899999999999998</v>
      </c>
      <c r="D1228">
        <v>0.97899999999999998</v>
      </c>
      <c r="E1228">
        <v>0.97899999999999998</v>
      </c>
      <c r="F1228">
        <v>0.97899999999999998</v>
      </c>
      <c r="G1228">
        <v>0.97899999999999998</v>
      </c>
      <c r="H1228">
        <v>0.97899999999999998</v>
      </c>
      <c r="I1228">
        <v>0.97899999999999998</v>
      </c>
      <c r="N1228">
        <v>1100</v>
      </c>
      <c r="O1228">
        <v>-18.006</v>
      </c>
      <c r="P1228">
        <v>-13.494999999999999</v>
      </c>
      <c r="Q1228">
        <v>-8.9909999999999997</v>
      </c>
      <c r="R1228">
        <v>-4.4939999999999998</v>
      </c>
      <c r="S1228">
        <v>0</v>
      </c>
      <c r="T1228">
        <v>4.4950000000000001</v>
      </c>
      <c r="U1228">
        <v>8.9920000000000009</v>
      </c>
      <c r="V1228">
        <v>13.494999999999999</v>
      </c>
      <c r="W1228">
        <v>18.007999999999999</v>
      </c>
      <c r="X1228" s="11">
        <v>6</v>
      </c>
    </row>
    <row r="1229" spans="1:30">
      <c r="A1229">
        <v>600</v>
      </c>
      <c r="B1229">
        <v>1.0609999999999999</v>
      </c>
      <c r="C1229">
        <v>1.0609999999999999</v>
      </c>
      <c r="D1229">
        <v>1.0609999999999999</v>
      </c>
      <c r="E1229">
        <v>1.0609999999999999</v>
      </c>
      <c r="F1229">
        <v>1.0609999999999999</v>
      </c>
      <c r="G1229">
        <v>1.0609999999999999</v>
      </c>
      <c r="H1229">
        <v>1.0609999999999999</v>
      </c>
      <c r="I1229">
        <v>1.0609999999999999</v>
      </c>
      <c r="N1229">
        <v>1200</v>
      </c>
      <c r="O1229">
        <v>-18.006</v>
      </c>
      <c r="P1229">
        <v>-13.496</v>
      </c>
      <c r="Q1229">
        <v>-8.9930000000000003</v>
      </c>
      <c r="R1229">
        <v>-4.4939999999999998</v>
      </c>
      <c r="S1229">
        <v>0</v>
      </c>
      <c r="T1229">
        <v>4.4950000000000001</v>
      </c>
      <c r="U1229">
        <v>8.9909999999999997</v>
      </c>
      <c r="V1229">
        <v>13.494999999999999</v>
      </c>
      <c r="W1229">
        <v>18.006</v>
      </c>
      <c r="X1229" s="11">
        <v>6</v>
      </c>
    </row>
    <row r="1230" spans="1:30">
      <c r="A1230">
        <v>650</v>
      </c>
      <c r="B1230">
        <v>1.143</v>
      </c>
      <c r="C1230">
        <v>1.143</v>
      </c>
      <c r="D1230">
        <v>1.143</v>
      </c>
      <c r="E1230">
        <v>1.143</v>
      </c>
      <c r="F1230">
        <v>1.143</v>
      </c>
      <c r="G1230">
        <v>1.143</v>
      </c>
      <c r="H1230">
        <v>1.143</v>
      </c>
      <c r="I1230">
        <v>1.1419999999999999</v>
      </c>
      <c r="N1230">
        <v>1300</v>
      </c>
      <c r="O1230">
        <v>-18.004999999999999</v>
      </c>
      <c r="P1230">
        <v>-13.494</v>
      </c>
      <c r="Q1230">
        <v>-8.9930000000000003</v>
      </c>
      <c r="R1230">
        <v>-4.4930000000000003</v>
      </c>
      <c r="S1230">
        <v>0</v>
      </c>
      <c r="T1230">
        <v>4.4950000000000001</v>
      </c>
      <c r="U1230">
        <v>8.9920000000000009</v>
      </c>
      <c r="V1230">
        <v>13.494999999999999</v>
      </c>
      <c r="W1230">
        <v>18.006</v>
      </c>
      <c r="X1230" s="11">
        <v>6</v>
      </c>
    </row>
    <row r="1231" spans="1:30">
      <c r="A1231">
        <v>700</v>
      </c>
      <c r="B1231">
        <v>1.2250000000000001</v>
      </c>
      <c r="C1231">
        <v>1.2250000000000001</v>
      </c>
      <c r="D1231">
        <v>1.2250000000000001</v>
      </c>
      <c r="E1231">
        <v>1.2250000000000001</v>
      </c>
      <c r="F1231">
        <v>1.2250000000000001</v>
      </c>
      <c r="G1231">
        <v>1.224</v>
      </c>
      <c r="H1231">
        <v>1.224</v>
      </c>
      <c r="I1231">
        <v>1.224</v>
      </c>
      <c r="N1231">
        <v>1400</v>
      </c>
      <c r="O1231">
        <v>-18.007000000000001</v>
      </c>
      <c r="P1231">
        <v>-13.494</v>
      </c>
      <c r="Q1231">
        <v>-8.9920000000000009</v>
      </c>
      <c r="R1231">
        <v>-4.4930000000000003</v>
      </c>
      <c r="S1231">
        <v>0</v>
      </c>
      <c r="T1231">
        <v>4.4950000000000001</v>
      </c>
      <c r="U1231">
        <v>8.9939999999999998</v>
      </c>
      <c r="V1231">
        <v>13.494999999999999</v>
      </c>
      <c r="W1231">
        <v>18.006</v>
      </c>
      <c r="X1231" s="11">
        <v>7</v>
      </c>
    </row>
    <row r="1232" spans="1:30">
      <c r="A1232">
        <v>750</v>
      </c>
      <c r="B1232">
        <v>1.3069999999999999</v>
      </c>
      <c r="C1232">
        <v>1.306</v>
      </c>
      <c r="D1232">
        <v>1.306</v>
      </c>
      <c r="E1232">
        <v>1.306</v>
      </c>
      <c r="F1232">
        <v>1.306</v>
      </c>
      <c r="G1232">
        <v>1.306</v>
      </c>
      <c r="H1232">
        <v>1.306</v>
      </c>
      <c r="I1232">
        <v>1.306</v>
      </c>
      <c r="N1232">
        <v>1500</v>
      </c>
      <c r="O1232">
        <v>-18.007999999999999</v>
      </c>
      <c r="P1232">
        <v>-13.494999999999999</v>
      </c>
      <c r="Q1232">
        <v>-8.9920000000000009</v>
      </c>
      <c r="R1232">
        <v>-4.4930000000000003</v>
      </c>
      <c r="S1232">
        <v>0</v>
      </c>
      <c r="T1232">
        <v>4.4950000000000001</v>
      </c>
      <c r="U1232">
        <v>8.9939999999999998</v>
      </c>
      <c r="V1232">
        <v>13.494999999999999</v>
      </c>
      <c r="W1232">
        <v>18.004000000000001</v>
      </c>
      <c r="X1232" s="11">
        <v>7</v>
      </c>
    </row>
    <row r="1233" spans="1:24">
      <c r="A1233">
        <v>800</v>
      </c>
      <c r="B1233">
        <v>1.3879999999999999</v>
      </c>
      <c r="C1233">
        <v>1.3879999999999999</v>
      </c>
      <c r="D1233">
        <v>1.3879999999999999</v>
      </c>
      <c r="E1233">
        <v>1.3879999999999999</v>
      </c>
      <c r="F1233">
        <v>1.3879999999999999</v>
      </c>
      <c r="G1233">
        <v>1.3879999999999999</v>
      </c>
      <c r="H1233">
        <v>1.3879999999999999</v>
      </c>
      <c r="I1233">
        <v>1.3879999999999999</v>
      </c>
      <c r="N1233">
        <v>1600</v>
      </c>
      <c r="O1233">
        <v>-18.006</v>
      </c>
      <c r="P1233">
        <v>-13.494999999999999</v>
      </c>
      <c r="Q1233">
        <v>-8.9920000000000009</v>
      </c>
      <c r="R1233">
        <v>-4.4930000000000003</v>
      </c>
      <c r="S1233">
        <v>0</v>
      </c>
      <c r="T1233">
        <v>4.4950000000000001</v>
      </c>
      <c r="U1233">
        <v>8.9939999999999998</v>
      </c>
      <c r="V1233">
        <v>13.494999999999999</v>
      </c>
      <c r="W1233">
        <v>18.006</v>
      </c>
      <c r="X1233" s="11">
        <v>8</v>
      </c>
    </row>
    <row r="1234" spans="1:24">
      <c r="A1234">
        <v>850</v>
      </c>
      <c r="B1234">
        <v>1.47</v>
      </c>
      <c r="C1234">
        <v>1.47</v>
      </c>
      <c r="D1234">
        <v>1.47</v>
      </c>
      <c r="E1234">
        <v>1.47</v>
      </c>
      <c r="F1234">
        <v>1.47</v>
      </c>
      <c r="G1234">
        <v>1.47</v>
      </c>
      <c r="H1234">
        <v>1.47</v>
      </c>
      <c r="I1234">
        <v>1.4690000000000001</v>
      </c>
      <c r="N1234">
        <v>1700</v>
      </c>
      <c r="O1234">
        <v>-18.006</v>
      </c>
      <c r="P1234">
        <v>-13.494999999999999</v>
      </c>
      <c r="Q1234">
        <v>-8.9920000000000009</v>
      </c>
      <c r="R1234">
        <v>-493</v>
      </c>
      <c r="S1234">
        <v>0</v>
      </c>
      <c r="T1234">
        <v>4.4950000000000001</v>
      </c>
      <c r="U1234">
        <v>8.9939999999999998</v>
      </c>
      <c r="V1234">
        <v>13.494999999999999</v>
      </c>
      <c r="W1234">
        <v>18.006</v>
      </c>
      <c r="X1234" s="11">
        <v>8</v>
      </c>
    </row>
    <row r="1235" spans="1:24">
      <c r="A1235">
        <v>900</v>
      </c>
      <c r="B1235">
        <v>1.552</v>
      </c>
      <c r="C1235">
        <v>1.552</v>
      </c>
      <c r="D1235">
        <v>1.552</v>
      </c>
      <c r="E1235">
        <v>1.552</v>
      </c>
      <c r="F1235">
        <v>1.552</v>
      </c>
      <c r="G1235">
        <v>1.5509999999999999</v>
      </c>
      <c r="H1235">
        <v>1.5509999999999999</v>
      </c>
      <c r="I1235">
        <v>1.5509999999999999</v>
      </c>
      <c r="N1235">
        <v>1800</v>
      </c>
      <c r="O1235">
        <v>-18.006</v>
      </c>
      <c r="P1235">
        <v>-13.494999999999999</v>
      </c>
      <c r="Q1235">
        <v>-8.9920000000000009</v>
      </c>
      <c r="R1235">
        <v>-4.4930000000000003</v>
      </c>
      <c r="S1235">
        <v>0</v>
      </c>
      <c r="T1235">
        <v>4.4950000000000001</v>
      </c>
      <c r="U1235">
        <v>8.9939999999999998</v>
      </c>
      <c r="V1235">
        <v>13.494999999999999</v>
      </c>
      <c r="W1235">
        <v>18.006</v>
      </c>
      <c r="X1235" s="11">
        <v>9</v>
      </c>
    </row>
    <row r="1236" spans="1:24">
      <c r="A1236">
        <v>950</v>
      </c>
      <c r="B1236">
        <v>1.6339999999999999</v>
      </c>
      <c r="C1236">
        <v>1.633</v>
      </c>
      <c r="D1236">
        <v>1.633</v>
      </c>
      <c r="E1236">
        <v>1.633</v>
      </c>
      <c r="F1236">
        <v>1.633</v>
      </c>
      <c r="G1236">
        <v>1.633</v>
      </c>
      <c r="H1236">
        <v>1.633</v>
      </c>
      <c r="I1236">
        <v>1.633</v>
      </c>
      <c r="N1236">
        <v>1900</v>
      </c>
      <c r="O1236">
        <v>-18.004000000000001</v>
      </c>
      <c r="P1236">
        <v>-13.494999999999999</v>
      </c>
      <c r="Q1236">
        <v>-8.9920000000000009</v>
      </c>
      <c r="R1236">
        <v>-4.4930000000000003</v>
      </c>
      <c r="S1236">
        <v>0</v>
      </c>
      <c r="T1236">
        <v>4.4950000000000001</v>
      </c>
      <c r="U1236">
        <v>8.9920000000000009</v>
      </c>
      <c r="V1236">
        <v>13.494999999999999</v>
      </c>
      <c r="W1236">
        <v>18.006</v>
      </c>
      <c r="X1236" s="11">
        <v>9</v>
      </c>
    </row>
    <row r="1237" spans="1:24">
      <c r="A1237">
        <v>1000</v>
      </c>
      <c r="B1237">
        <v>1.7150000000000001</v>
      </c>
      <c r="C1237">
        <v>1.7150000000000001</v>
      </c>
      <c r="D1237">
        <v>1.7150000000000001</v>
      </c>
      <c r="E1237">
        <v>1.7150000000000001</v>
      </c>
      <c r="F1237">
        <v>1.7150000000000001</v>
      </c>
      <c r="G1237">
        <v>1.7150000000000001</v>
      </c>
      <c r="H1237">
        <v>1.7150000000000001</v>
      </c>
      <c r="I1237">
        <v>1.7150000000000001</v>
      </c>
      <c r="N1237">
        <v>2000</v>
      </c>
      <c r="O1237">
        <v>-18.006</v>
      </c>
      <c r="P1237">
        <v>-13.494999999999999</v>
      </c>
      <c r="Q1237">
        <v>-8.9920000000000009</v>
      </c>
      <c r="R1237">
        <v>-4.4930000000000003</v>
      </c>
      <c r="S1237">
        <v>0</v>
      </c>
      <c r="T1237">
        <v>4.4950000000000001</v>
      </c>
      <c r="U1237">
        <v>8.9920000000000009</v>
      </c>
      <c r="V1237">
        <v>13.494999999999999</v>
      </c>
      <c r="W1237">
        <v>18.006</v>
      </c>
      <c r="X1237" s="11">
        <v>10</v>
      </c>
    </row>
    <row r="1238" spans="1:24">
      <c r="A1238">
        <v>1050</v>
      </c>
      <c r="B1238">
        <v>1.7969999999999999</v>
      </c>
      <c r="C1238">
        <v>1.7969999999999999</v>
      </c>
      <c r="D1238">
        <v>1.7969999999999999</v>
      </c>
      <c r="E1238">
        <v>1.7969999999999999</v>
      </c>
      <c r="F1238">
        <v>1.7969999999999999</v>
      </c>
      <c r="G1238">
        <v>1.7969999999999999</v>
      </c>
      <c r="H1238">
        <v>1.7969999999999999</v>
      </c>
      <c r="I1238">
        <v>1.7969999999999999</v>
      </c>
      <c r="N1238">
        <v>2100</v>
      </c>
      <c r="O1238">
        <v>-18.006</v>
      </c>
      <c r="P1238">
        <v>-13.494999999999999</v>
      </c>
      <c r="Q1238">
        <v>-8.9920000000000009</v>
      </c>
      <c r="R1238">
        <v>-4.4930000000000003</v>
      </c>
      <c r="S1238">
        <v>0</v>
      </c>
      <c r="T1238">
        <v>4.4950000000000001</v>
      </c>
      <c r="U1238">
        <v>8.9920000000000009</v>
      </c>
      <c r="V1238">
        <v>13.494999999999999</v>
      </c>
      <c r="W1238">
        <v>18.006</v>
      </c>
      <c r="X1238" s="11">
        <v>10</v>
      </c>
    </row>
    <row r="1239" spans="1:24">
      <c r="A1239">
        <v>1100</v>
      </c>
      <c r="B1239">
        <v>1.879</v>
      </c>
      <c r="C1239">
        <v>1.879</v>
      </c>
      <c r="D1239">
        <v>1.879</v>
      </c>
      <c r="E1239">
        <v>1.879</v>
      </c>
      <c r="F1239">
        <v>1.879</v>
      </c>
      <c r="G1239">
        <v>1.879</v>
      </c>
      <c r="H1239">
        <v>1.879</v>
      </c>
      <c r="I1239">
        <v>1.879</v>
      </c>
      <c r="N1239">
        <v>2200</v>
      </c>
      <c r="O1239">
        <v>-18.006</v>
      </c>
      <c r="P1239">
        <v>-13.494999999999999</v>
      </c>
      <c r="Q1239">
        <v>-8.9920000000000009</v>
      </c>
      <c r="R1239">
        <v>-4.4930000000000003</v>
      </c>
      <c r="S1239">
        <v>0</v>
      </c>
      <c r="T1239">
        <v>4.4950000000000001</v>
      </c>
      <c r="U1239">
        <v>8.9909999999999997</v>
      </c>
      <c r="V1239">
        <v>13.494999999999999</v>
      </c>
      <c r="W1239">
        <v>18.004000000000001</v>
      </c>
      <c r="X1239" s="11">
        <v>11</v>
      </c>
    </row>
    <row r="1240" spans="1:24">
      <c r="A1240">
        <v>1150</v>
      </c>
      <c r="B1240">
        <v>1.9610000000000001</v>
      </c>
      <c r="C1240">
        <v>1.9610000000000001</v>
      </c>
      <c r="D1240">
        <v>1.96</v>
      </c>
      <c r="E1240">
        <v>1.96</v>
      </c>
      <c r="F1240">
        <v>1.96</v>
      </c>
      <c r="G1240">
        <v>1.96</v>
      </c>
      <c r="H1240">
        <v>1.96</v>
      </c>
      <c r="I1240">
        <v>1.96</v>
      </c>
      <c r="N1240">
        <v>2300</v>
      </c>
      <c r="O1240">
        <v>-18.006</v>
      </c>
      <c r="P1240">
        <v>-13.494999999999999</v>
      </c>
      <c r="Q1240">
        <v>-8.9920000000000009</v>
      </c>
      <c r="R1240">
        <v>-4.4930000000000003</v>
      </c>
      <c r="S1240">
        <v>0</v>
      </c>
      <c r="T1240">
        <v>4.4950000000000001</v>
      </c>
      <c r="U1240">
        <v>8.9909999999999997</v>
      </c>
      <c r="V1240">
        <v>13.494999999999999</v>
      </c>
      <c r="W1240">
        <v>18.006</v>
      </c>
      <c r="X1240" s="11">
        <v>11</v>
      </c>
    </row>
    <row r="1241" spans="1:24">
      <c r="A1241">
        <v>1200</v>
      </c>
      <c r="B1241">
        <v>2.0419999999999998</v>
      </c>
      <c r="C1241">
        <v>2.0419999999999998</v>
      </c>
      <c r="D1241">
        <v>2.0419999999999998</v>
      </c>
      <c r="E1241">
        <v>2.0419999999999998</v>
      </c>
      <c r="F1241">
        <v>2.0419999999999998</v>
      </c>
      <c r="G1241">
        <v>2.0419999999999998</v>
      </c>
      <c r="H1241">
        <v>2.0419999999999998</v>
      </c>
      <c r="I1241">
        <v>2.0419999999999998</v>
      </c>
      <c r="N1241">
        <v>2400</v>
      </c>
      <c r="O1241">
        <v>-18.006</v>
      </c>
      <c r="P1241">
        <v>-13.494999999999999</v>
      </c>
      <c r="Q1241">
        <v>-8.9909999999999997</v>
      </c>
      <c r="R1241">
        <v>-4.4930000000000003</v>
      </c>
      <c r="S1241">
        <v>0</v>
      </c>
      <c r="T1241">
        <v>4.4950000000000001</v>
      </c>
      <c r="U1241">
        <v>8.9920000000000009</v>
      </c>
      <c r="V1241">
        <v>13.494999999999999</v>
      </c>
      <c r="W1241">
        <v>18.006</v>
      </c>
      <c r="X1241" s="11">
        <v>11</v>
      </c>
    </row>
    <row r="1242" spans="1:24">
      <c r="A1242">
        <v>1250</v>
      </c>
      <c r="B1242">
        <v>2.1240000000000001</v>
      </c>
      <c r="C1242">
        <v>2.1240000000000001</v>
      </c>
      <c r="D1242">
        <v>2.1240000000000001</v>
      </c>
      <c r="E1242">
        <v>2.1240000000000001</v>
      </c>
      <c r="F1242">
        <v>2.1240000000000001</v>
      </c>
      <c r="G1242">
        <v>2.1240000000000001</v>
      </c>
      <c r="H1242">
        <v>2.1240000000000001</v>
      </c>
      <c r="I1242">
        <v>2.1240000000000001</v>
      </c>
      <c r="N1242">
        <v>2500</v>
      </c>
      <c r="O1242">
        <v>-18.006</v>
      </c>
      <c r="P1242">
        <v>-13.494999999999999</v>
      </c>
      <c r="Q1242">
        <v>-8.9920000000000009</v>
      </c>
      <c r="R1242">
        <v>-4.4930000000000003</v>
      </c>
      <c r="S1242">
        <v>0</v>
      </c>
      <c r="T1242">
        <v>4.4950000000000001</v>
      </c>
      <c r="U1242">
        <v>8.9920000000000009</v>
      </c>
      <c r="V1242">
        <v>13.494999999999999</v>
      </c>
      <c r="W1242">
        <v>18.006</v>
      </c>
      <c r="X1242" s="11">
        <v>12</v>
      </c>
    </row>
    <row r="1243" spans="1:24">
      <c r="A1243">
        <v>1300</v>
      </c>
      <c r="B1243">
        <v>2.206</v>
      </c>
      <c r="C1243">
        <v>2.206</v>
      </c>
      <c r="D1243">
        <v>2.206</v>
      </c>
      <c r="E1243">
        <v>2.206</v>
      </c>
      <c r="F1243">
        <v>2.206</v>
      </c>
      <c r="G1243">
        <v>2.206</v>
      </c>
      <c r="H1243">
        <v>2.2050000000000001</v>
      </c>
      <c r="I1243">
        <v>2.2050000000000001</v>
      </c>
      <c r="N1243">
        <v>2600</v>
      </c>
      <c r="O1243">
        <v>-18.004000000000001</v>
      </c>
      <c r="P1243">
        <v>-13.494999999999999</v>
      </c>
      <c r="Q1243">
        <v>-8.9939999999999998</v>
      </c>
      <c r="R1243">
        <v>-4.4930000000000003</v>
      </c>
      <c r="S1243">
        <v>0</v>
      </c>
      <c r="T1243">
        <v>4.4950000000000001</v>
      </c>
      <c r="U1243">
        <v>8.9920000000000009</v>
      </c>
      <c r="V1243">
        <v>13.494999999999999</v>
      </c>
      <c r="W1243">
        <v>18.006</v>
      </c>
      <c r="X1243" s="11">
        <v>12</v>
      </c>
    </row>
    <row r="1244" spans="1:24">
      <c r="A1244">
        <v>1350</v>
      </c>
      <c r="B1244">
        <v>2.2879999999999998</v>
      </c>
      <c r="C1244">
        <v>2.2879999999999998</v>
      </c>
      <c r="D1244">
        <v>2.2869999999999999</v>
      </c>
      <c r="E1244">
        <v>2.2869999999999999</v>
      </c>
      <c r="F1244">
        <v>2.2869999999999999</v>
      </c>
      <c r="G1244">
        <v>2.2869999999999999</v>
      </c>
      <c r="H1244">
        <v>2.2869999999999999</v>
      </c>
      <c r="I1244">
        <v>2.2869999999999999</v>
      </c>
      <c r="N1244">
        <v>2700</v>
      </c>
      <c r="O1244">
        <v>-18.006</v>
      </c>
      <c r="P1244">
        <v>-13.494999999999999</v>
      </c>
      <c r="Q1244">
        <v>-8.9930000000000003</v>
      </c>
      <c r="R1244">
        <v>-4.4930000000000003</v>
      </c>
      <c r="S1244">
        <v>0</v>
      </c>
      <c r="T1244">
        <v>4.4950000000000001</v>
      </c>
      <c r="U1244">
        <v>8.9920000000000009</v>
      </c>
      <c r="V1244">
        <v>13.494999999999999</v>
      </c>
      <c r="W1244">
        <v>18.006</v>
      </c>
      <c r="X1244" s="11">
        <v>13</v>
      </c>
    </row>
    <row r="1245" spans="1:24">
      <c r="A1245">
        <v>1400</v>
      </c>
      <c r="B1245">
        <v>2.3690000000000002</v>
      </c>
      <c r="C1245">
        <v>2.3690000000000002</v>
      </c>
      <c r="D1245">
        <v>2.3690000000000002</v>
      </c>
      <c r="E1245">
        <v>2.3690000000000002</v>
      </c>
      <c r="F1245">
        <v>2.3690000000000002</v>
      </c>
      <c r="G1245">
        <v>2.3690000000000002</v>
      </c>
      <c r="H1245">
        <v>2.3690000000000002</v>
      </c>
      <c r="I1245">
        <v>2.3690000000000002</v>
      </c>
      <c r="N1245">
        <v>2800</v>
      </c>
      <c r="O1245">
        <v>-18.004999999999999</v>
      </c>
      <c r="P1245">
        <v>-13.494999999999999</v>
      </c>
      <c r="Q1245">
        <v>-8.9939999999999998</v>
      </c>
      <c r="R1245">
        <v>-4.4950000000000001</v>
      </c>
      <c r="S1245">
        <v>0</v>
      </c>
      <c r="T1245">
        <v>4.4950000000000001</v>
      </c>
      <c r="U1245">
        <v>8.9920000000000009</v>
      </c>
      <c r="V1245">
        <v>13.494999999999999</v>
      </c>
      <c r="W1245">
        <v>18.006</v>
      </c>
      <c r="X1245" s="11">
        <v>13</v>
      </c>
    </row>
    <row r="1246" spans="1:24">
      <c r="A1246">
        <v>1450</v>
      </c>
      <c r="B1246">
        <v>2.4510000000000001</v>
      </c>
      <c r="C1246">
        <v>2.4510000000000001</v>
      </c>
      <c r="D1246">
        <v>2.4510000000000001</v>
      </c>
      <c r="E1246">
        <v>2.4510000000000001</v>
      </c>
      <c r="F1246">
        <v>2.4510000000000001</v>
      </c>
      <c r="G1246">
        <v>2.4510000000000001</v>
      </c>
      <c r="H1246">
        <v>2.4510000000000001</v>
      </c>
      <c r="I1246">
        <v>2.4510000000000001</v>
      </c>
      <c r="N1246">
        <v>2900</v>
      </c>
      <c r="O1246">
        <v>-18.006</v>
      </c>
      <c r="P1246">
        <v>-13.494999999999999</v>
      </c>
      <c r="Q1246">
        <v>-8.9930000000000003</v>
      </c>
      <c r="R1246">
        <v>-4.4950000000000001</v>
      </c>
      <c r="S1246">
        <v>0</v>
      </c>
      <c r="T1246">
        <v>4.4950000000000001</v>
      </c>
      <c r="U1246">
        <v>8.9920000000000009</v>
      </c>
      <c r="V1246">
        <v>13.494999999999999</v>
      </c>
      <c r="W1246">
        <v>18.004000000000001</v>
      </c>
      <c r="X1246" s="11">
        <v>14</v>
      </c>
    </row>
    <row r="1247" spans="1:24">
      <c r="A1247">
        <v>1500</v>
      </c>
      <c r="B1247">
        <v>2.5329999999999999</v>
      </c>
      <c r="C1247">
        <v>2.5329999999999999</v>
      </c>
      <c r="D1247">
        <v>2.5329999999999999</v>
      </c>
      <c r="E1247">
        <v>2.5329999999999999</v>
      </c>
      <c r="F1247">
        <v>2.5329999999999999</v>
      </c>
      <c r="G1247">
        <v>2.5329999999999999</v>
      </c>
      <c r="H1247">
        <v>2.532</v>
      </c>
      <c r="I1247">
        <v>2.532</v>
      </c>
      <c r="N1247">
        <v>3000</v>
      </c>
      <c r="O1247">
        <v>-18.006</v>
      </c>
      <c r="P1247">
        <v>-13.494999999999999</v>
      </c>
      <c r="Q1247">
        <v>-8.9920000000000009</v>
      </c>
      <c r="R1247">
        <v>-4.4950000000000001</v>
      </c>
      <c r="S1247">
        <v>0</v>
      </c>
      <c r="T1247">
        <v>4.4950000000000001</v>
      </c>
      <c r="U1247">
        <v>8.9939999999999998</v>
      </c>
      <c r="V1247">
        <v>13.494</v>
      </c>
      <c r="W1247">
        <v>18.004999999999999</v>
      </c>
      <c r="X1247" s="11">
        <v>14</v>
      </c>
    </row>
    <row r="1248" spans="1:24">
      <c r="A1248">
        <v>1550</v>
      </c>
      <c r="B1248">
        <v>2.6150000000000002</v>
      </c>
      <c r="C1248">
        <v>2.6150000000000002</v>
      </c>
      <c r="D1248">
        <v>2.6139999999999999</v>
      </c>
      <c r="E1248">
        <v>2.6139999999999999</v>
      </c>
      <c r="F1248">
        <v>2.6139999999999999</v>
      </c>
      <c r="G1248">
        <v>2.6139999999999999</v>
      </c>
      <c r="H1248">
        <v>2.6139999999999999</v>
      </c>
      <c r="I1248">
        <v>2.6139999999999999</v>
      </c>
      <c r="N1248">
        <v>3100</v>
      </c>
      <c r="O1248">
        <v>-18.006</v>
      </c>
      <c r="P1248">
        <v>-13.494</v>
      </c>
      <c r="Q1248">
        <v>-8.9920000000000009</v>
      </c>
      <c r="R1248">
        <v>-4.4950000000000001</v>
      </c>
      <c r="S1248">
        <v>0</v>
      </c>
      <c r="T1248">
        <v>4.4950000000000001</v>
      </c>
      <c r="U1248">
        <v>8.9930000000000003</v>
      </c>
      <c r="V1248">
        <v>13.494999999999999</v>
      </c>
      <c r="W1248">
        <v>18.006</v>
      </c>
      <c r="X1248" s="11">
        <v>15</v>
      </c>
    </row>
    <row r="1249" spans="1:24">
      <c r="A1249">
        <v>1600</v>
      </c>
      <c r="B1249">
        <v>2.6960000000000002</v>
      </c>
      <c r="C1249">
        <v>2.6960000000000002</v>
      </c>
      <c r="D1249">
        <v>2.6960000000000002</v>
      </c>
      <c r="E1249">
        <v>2.6960000000000002</v>
      </c>
      <c r="F1249">
        <v>2.6960000000000002</v>
      </c>
      <c r="G1249">
        <v>2.6960000000000002</v>
      </c>
      <c r="H1249">
        <v>2.6960000000000002</v>
      </c>
      <c r="I1249">
        <v>2.6960000000000002</v>
      </c>
      <c r="N1249">
        <v>3200</v>
      </c>
      <c r="O1249">
        <v>-18.006</v>
      </c>
      <c r="P1249">
        <v>-13.494999999999999</v>
      </c>
      <c r="Q1249">
        <v>-8.9920000000000009</v>
      </c>
      <c r="R1249">
        <v>-4.4950000000000001</v>
      </c>
      <c r="S1249">
        <v>0</v>
      </c>
      <c r="T1249">
        <v>4.4950000000000001</v>
      </c>
      <c r="U1249">
        <v>8.9939999999999998</v>
      </c>
      <c r="V1249">
        <v>13.494999999999999</v>
      </c>
      <c r="W1249">
        <v>18.006</v>
      </c>
      <c r="X1249" s="11">
        <v>15</v>
      </c>
    </row>
    <row r="1250" spans="1:24">
      <c r="A1250">
        <v>1650</v>
      </c>
      <c r="B1250">
        <v>2.778</v>
      </c>
      <c r="C1250">
        <v>2.778</v>
      </c>
      <c r="D1250">
        <v>2.778</v>
      </c>
      <c r="E1250">
        <v>2.778</v>
      </c>
      <c r="F1250">
        <v>2.778</v>
      </c>
      <c r="G1250">
        <v>2.778</v>
      </c>
      <c r="H1250">
        <v>2.778</v>
      </c>
      <c r="I1250">
        <v>2.778</v>
      </c>
      <c r="N1250">
        <v>3300</v>
      </c>
      <c r="O1250">
        <v>-18.003</v>
      </c>
      <c r="P1250">
        <v>-13.494999999999999</v>
      </c>
      <c r="Q1250">
        <v>-8.9920000000000009</v>
      </c>
      <c r="R1250">
        <v>-4.4950000000000001</v>
      </c>
      <c r="S1250">
        <v>0</v>
      </c>
      <c r="T1250">
        <v>4.4950000000000001</v>
      </c>
      <c r="U1250">
        <v>8.9930000000000003</v>
      </c>
      <c r="V1250">
        <v>13.494999999999999</v>
      </c>
      <c r="W1250">
        <v>18.006</v>
      </c>
      <c r="X1250" s="11">
        <v>16</v>
      </c>
    </row>
    <row r="1251" spans="1:24">
      <c r="A1251">
        <v>1700</v>
      </c>
      <c r="B1251">
        <v>2.86</v>
      </c>
      <c r="C1251">
        <v>2.86</v>
      </c>
      <c r="D1251">
        <v>2.86</v>
      </c>
      <c r="E1251">
        <v>2.86</v>
      </c>
      <c r="F1251">
        <v>2.86</v>
      </c>
      <c r="G1251">
        <v>2.86</v>
      </c>
      <c r="H1251">
        <v>2.859</v>
      </c>
      <c r="I1251">
        <v>2.859</v>
      </c>
      <c r="N1251">
        <v>3400</v>
      </c>
      <c r="O1251">
        <v>-18.006</v>
      </c>
      <c r="P1251">
        <v>-13.494999999999999</v>
      </c>
      <c r="Q1251">
        <v>-8.9909999999999997</v>
      </c>
      <c r="R1251">
        <v>-4.4950000000000001</v>
      </c>
      <c r="S1251">
        <v>0</v>
      </c>
      <c r="T1251">
        <v>4.4950000000000001</v>
      </c>
      <c r="U1251">
        <v>8.9939999999999998</v>
      </c>
      <c r="V1251">
        <v>13.494999999999999</v>
      </c>
      <c r="W1251">
        <v>18.006</v>
      </c>
      <c r="X1251" s="11">
        <v>16</v>
      </c>
    </row>
    <row r="1252" spans="1:24">
      <c r="A1252">
        <v>1750</v>
      </c>
      <c r="B1252">
        <v>2.9420000000000002</v>
      </c>
      <c r="C1252">
        <v>2.9420000000000002</v>
      </c>
      <c r="D1252">
        <v>2.9420000000000002</v>
      </c>
      <c r="E1252">
        <v>2.9409999999999998</v>
      </c>
      <c r="F1252">
        <v>2.9409999999999998</v>
      </c>
      <c r="G1252">
        <v>2.9409999999999998</v>
      </c>
      <c r="H1252">
        <v>2.9409999999999998</v>
      </c>
      <c r="I1252">
        <v>2.9409999999999998</v>
      </c>
      <c r="N1252">
        <v>3500</v>
      </c>
      <c r="O1252">
        <v>-18.006</v>
      </c>
      <c r="P1252">
        <v>-13.494999999999999</v>
      </c>
      <c r="Q1252">
        <v>-8.9920000000000009</v>
      </c>
      <c r="R1252">
        <v>-4.4960000000000004</v>
      </c>
      <c r="S1252">
        <v>0</v>
      </c>
      <c r="T1252">
        <v>4.4950000000000001</v>
      </c>
      <c r="U1252">
        <v>8.9909999999999997</v>
      </c>
      <c r="V1252">
        <v>13.494999999999999</v>
      </c>
      <c r="W1252">
        <v>18.006</v>
      </c>
      <c r="X1252" s="11">
        <v>16</v>
      </c>
    </row>
    <row r="1253" spans="1:24">
      <c r="A1253">
        <v>1800</v>
      </c>
      <c r="B1253">
        <v>3.0230000000000001</v>
      </c>
      <c r="C1253">
        <v>3.0230000000000001</v>
      </c>
      <c r="D1253">
        <v>3.0230000000000001</v>
      </c>
      <c r="E1253">
        <v>3.0230000000000001</v>
      </c>
      <c r="F1253">
        <v>3.0230000000000001</v>
      </c>
      <c r="G1253">
        <v>3.0230000000000001</v>
      </c>
      <c r="H1253">
        <v>3.0230000000000001</v>
      </c>
      <c r="I1253">
        <v>3.0230000000000001</v>
      </c>
      <c r="N1253">
        <v>3600</v>
      </c>
      <c r="O1253">
        <v>-18.006</v>
      </c>
      <c r="P1253">
        <v>-13.494999999999999</v>
      </c>
      <c r="Q1253">
        <v>-8.9920000000000009</v>
      </c>
      <c r="R1253">
        <v>-4.4960000000000004</v>
      </c>
      <c r="S1253">
        <v>0</v>
      </c>
      <c r="T1253">
        <v>4.4950000000000001</v>
      </c>
      <c r="U1253">
        <v>8.9909999999999997</v>
      </c>
      <c r="V1253">
        <v>13.494</v>
      </c>
      <c r="W1253">
        <v>18.003</v>
      </c>
      <c r="X1253" s="11">
        <v>17</v>
      </c>
    </row>
    <row r="1254" spans="1:24">
      <c r="A1254">
        <v>1850</v>
      </c>
      <c r="B1254">
        <v>3.105</v>
      </c>
      <c r="C1254">
        <v>3.105</v>
      </c>
      <c r="D1254">
        <v>3.105</v>
      </c>
      <c r="E1254">
        <v>3.105</v>
      </c>
      <c r="F1254">
        <v>3.105</v>
      </c>
      <c r="G1254">
        <v>3.105</v>
      </c>
      <c r="H1254">
        <v>3.105</v>
      </c>
      <c r="I1254">
        <v>3.105</v>
      </c>
      <c r="N1254">
        <v>3700</v>
      </c>
      <c r="O1254">
        <v>-18.006</v>
      </c>
      <c r="P1254">
        <v>-13.494999999999999</v>
      </c>
      <c r="Q1254">
        <v>-8.9909999999999997</v>
      </c>
      <c r="R1254">
        <v>-4.4950000000000001</v>
      </c>
      <c r="S1254">
        <v>0</v>
      </c>
      <c r="T1254">
        <v>4.4960000000000004</v>
      </c>
      <c r="U1254">
        <v>8.9920000000000009</v>
      </c>
      <c r="V1254">
        <v>13.496</v>
      </c>
      <c r="W1254">
        <v>18.006</v>
      </c>
      <c r="X1254" s="11">
        <v>17</v>
      </c>
    </row>
    <row r="1255" spans="1:24">
      <c r="A1255">
        <v>1900</v>
      </c>
      <c r="B1255">
        <v>3.1869999999999998</v>
      </c>
      <c r="C1255">
        <v>3.1869999999999998</v>
      </c>
      <c r="D1255">
        <v>3.1869999999999998</v>
      </c>
      <c r="E1255">
        <v>3.1869999999999998</v>
      </c>
      <c r="F1255">
        <v>3.1869999999999998</v>
      </c>
      <c r="G1255">
        <v>3.1869999999999998</v>
      </c>
      <c r="H1255">
        <v>3.1859999999999999</v>
      </c>
      <c r="I1255">
        <v>3.1859999999999999</v>
      </c>
      <c r="N1255">
        <v>3800</v>
      </c>
      <c r="O1255">
        <v>-18.006</v>
      </c>
      <c r="P1255">
        <v>-13.494999999999999</v>
      </c>
      <c r="Q1255">
        <v>-8.9920000000000009</v>
      </c>
      <c r="R1255">
        <v>-4.4950000000000001</v>
      </c>
      <c r="S1255">
        <v>0</v>
      </c>
      <c r="T1255">
        <v>4.4950000000000001</v>
      </c>
      <c r="U1255">
        <v>8.9909999999999997</v>
      </c>
      <c r="V1255">
        <v>13.494999999999999</v>
      </c>
      <c r="W1255">
        <v>18.006</v>
      </c>
      <c r="X1255" s="11">
        <v>18</v>
      </c>
    </row>
    <row r="1256" spans="1:24">
      <c r="A1256">
        <v>1950</v>
      </c>
      <c r="B1256">
        <v>3.2690000000000001</v>
      </c>
      <c r="C1256">
        <v>3.2690000000000001</v>
      </c>
      <c r="D1256">
        <v>3.2690000000000001</v>
      </c>
      <c r="E1256">
        <v>3.2679999999999998</v>
      </c>
      <c r="F1256">
        <v>3.2679999999999998</v>
      </c>
      <c r="G1256">
        <v>3.2679999999999998</v>
      </c>
      <c r="H1256">
        <v>3.2679999999999998</v>
      </c>
      <c r="I1256">
        <v>3.2679999999999998</v>
      </c>
      <c r="N1256">
        <v>3900</v>
      </c>
      <c r="O1256">
        <v>-18.006</v>
      </c>
      <c r="P1256">
        <v>-13.494999999999999</v>
      </c>
      <c r="Q1256">
        <v>-8.9909999999999997</v>
      </c>
      <c r="R1256">
        <v>-4.4950000000000001</v>
      </c>
      <c r="S1256">
        <v>0</v>
      </c>
      <c r="T1256">
        <v>4.4950000000000001</v>
      </c>
      <c r="U1256">
        <v>8.9920000000000009</v>
      </c>
      <c r="V1256">
        <v>13.494999999999999</v>
      </c>
      <c r="W1256">
        <v>18.006</v>
      </c>
      <c r="X1256" s="11">
        <v>18</v>
      </c>
    </row>
    <row r="1257" spans="1:24">
      <c r="A1257">
        <v>2000</v>
      </c>
      <c r="B1257">
        <v>3.35</v>
      </c>
      <c r="C1257">
        <v>3.35</v>
      </c>
      <c r="D1257">
        <v>3.35</v>
      </c>
      <c r="E1257">
        <v>3.35</v>
      </c>
      <c r="F1257">
        <v>3.35</v>
      </c>
      <c r="G1257">
        <v>3.35</v>
      </c>
      <c r="H1257">
        <v>3.35</v>
      </c>
      <c r="I1257">
        <v>3.35</v>
      </c>
      <c r="N1257">
        <v>4000</v>
      </c>
      <c r="O1257">
        <v>-18.003</v>
      </c>
      <c r="P1257">
        <v>-13.494999999999999</v>
      </c>
      <c r="Q1257">
        <v>-8.9920000000000009</v>
      </c>
      <c r="R1257">
        <v>-4.4950000000000001</v>
      </c>
      <c r="S1257">
        <v>0</v>
      </c>
      <c r="T1257">
        <v>4.4950000000000001</v>
      </c>
      <c r="U1257">
        <v>8.9909999999999997</v>
      </c>
      <c r="V1257">
        <v>13.493</v>
      </c>
      <c r="W1257">
        <v>18.006</v>
      </c>
      <c r="X1257" s="11">
        <v>19</v>
      </c>
    </row>
    <row r="1258" spans="1:24">
      <c r="A1258">
        <v>2050</v>
      </c>
      <c r="B1258">
        <v>3.4319999999999999</v>
      </c>
      <c r="C1258">
        <v>3.4319999999999999</v>
      </c>
      <c r="D1258">
        <v>3.4319999999999999</v>
      </c>
      <c r="E1258">
        <v>3.4319999999999999</v>
      </c>
      <c r="F1258">
        <v>3.4319999999999999</v>
      </c>
      <c r="G1258">
        <v>3.4319999999999999</v>
      </c>
      <c r="H1258">
        <v>3.4319999999999999</v>
      </c>
      <c r="I1258">
        <v>3.4319999999999999</v>
      </c>
      <c r="N1258">
        <v>4100</v>
      </c>
      <c r="O1258">
        <v>-18.006</v>
      </c>
      <c r="P1258">
        <v>-13.494999999999999</v>
      </c>
      <c r="Q1258">
        <v>-8.9920000000000009</v>
      </c>
      <c r="R1258">
        <v>-4.4950000000000001</v>
      </c>
      <c r="S1258">
        <v>0</v>
      </c>
      <c r="T1258">
        <v>4.4960000000000004</v>
      </c>
      <c r="U1258">
        <v>0</v>
      </c>
      <c r="V1258">
        <v>0</v>
      </c>
      <c r="W1258">
        <v>0</v>
      </c>
      <c r="X1258" s="11">
        <v>19</v>
      </c>
    </row>
    <row r="1259" spans="1:24">
      <c r="A1259">
        <v>2100</v>
      </c>
      <c r="B1259">
        <v>3.5139999999999998</v>
      </c>
      <c r="C1259">
        <v>3.5139999999999998</v>
      </c>
      <c r="D1259">
        <v>3.5139999999999998</v>
      </c>
      <c r="E1259">
        <v>3.5139999999999998</v>
      </c>
      <c r="F1259">
        <v>3.5139999999999998</v>
      </c>
      <c r="G1259">
        <v>3.5139999999999998</v>
      </c>
      <c r="H1259">
        <v>3.5129999999999999</v>
      </c>
      <c r="I1259">
        <v>3.5129999999999999</v>
      </c>
      <c r="N1259">
        <v>4200</v>
      </c>
      <c r="O1259">
        <v>-18.006</v>
      </c>
      <c r="P1259">
        <v>-13.494999999999999</v>
      </c>
      <c r="Q1259">
        <v>-8.9930000000000003</v>
      </c>
      <c r="R1259">
        <v>-4.4950000000000001</v>
      </c>
      <c r="S1259">
        <v>0</v>
      </c>
      <c r="T1259">
        <v>4.4960000000000004</v>
      </c>
      <c r="U1259">
        <v>0</v>
      </c>
      <c r="V1259">
        <v>0</v>
      </c>
      <c r="W1259">
        <v>0</v>
      </c>
      <c r="X1259" s="11">
        <v>20</v>
      </c>
    </row>
    <row r="1260" spans="1:24">
      <c r="A1260">
        <v>2150</v>
      </c>
      <c r="B1260">
        <v>3.5960000000000001</v>
      </c>
      <c r="C1260">
        <v>3.5960000000000001</v>
      </c>
      <c r="D1260">
        <v>3.5960000000000001</v>
      </c>
      <c r="E1260">
        <v>3.5960000000000001</v>
      </c>
      <c r="F1260">
        <v>3.5950000000000002</v>
      </c>
      <c r="G1260">
        <v>3.5950000000000002</v>
      </c>
      <c r="H1260">
        <v>3.5950000000000002</v>
      </c>
      <c r="I1260">
        <v>3.5950000000000002</v>
      </c>
      <c r="N1260">
        <v>4300</v>
      </c>
      <c r="O1260">
        <v>-18.006</v>
      </c>
      <c r="P1260">
        <v>-13.494999999999999</v>
      </c>
      <c r="Q1260">
        <v>-8.9939999999999998</v>
      </c>
      <c r="R1260">
        <v>-4.4960000000000004</v>
      </c>
      <c r="S1260">
        <v>0</v>
      </c>
      <c r="T1260">
        <v>4.4950000000000001</v>
      </c>
      <c r="U1260">
        <v>0</v>
      </c>
      <c r="V1260">
        <v>0</v>
      </c>
      <c r="W1260">
        <v>0</v>
      </c>
      <c r="X1260" s="11">
        <v>20</v>
      </c>
    </row>
    <row r="1261" spans="1:24">
      <c r="A1261">
        <v>2200</v>
      </c>
      <c r="B1261">
        <v>3.6779999999999999</v>
      </c>
      <c r="C1261">
        <v>3.677</v>
      </c>
      <c r="D1261">
        <v>3.677</v>
      </c>
      <c r="E1261">
        <v>3.677</v>
      </c>
      <c r="F1261">
        <v>3.677</v>
      </c>
      <c r="G1261">
        <v>3.677</v>
      </c>
      <c r="H1261">
        <v>3.677</v>
      </c>
      <c r="I1261">
        <v>3.677</v>
      </c>
      <c r="N1261">
        <v>4400</v>
      </c>
      <c r="O1261">
        <v>-18.006</v>
      </c>
      <c r="P1261">
        <v>-13.494999999999999</v>
      </c>
      <c r="Q1261">
        <v>-8.9939999999999998</v>
      </c>
      <c r="R1261">
        <v>-4.4950000000000001</v>
      </c>
      <c r="S1261">
        <v>0</v>
      </c>
      <c r="T1261">
        <v>8.8140000000000001</v>
      </c>
      <c r="U1261">
        <v>0</v>
      </c>
      <c r="V1261">
        <v>0</v>
      </c>
      <c r="W1261">
        <v>0</v>
      </c>
      <c r="X1261" s="11">
        <v>21</v>
      </c>
    </row>
    <row r="1262" spans="1:24">
      <c r="A1262">
        <v>2250</v>
      </c>
      <c r="B1262">
        <v>3.7589999999999999</v>
      </c>
      <c r="C1262">
        <v>3.7589999999999999</v>
      </c>
      <c r="D1262">
        <v>3.7589999999999999</v>
      </c>
      <c r="E1262">
        <v>3.7589999999999999</v>
      </c>
      <c r="F1262">
        <v>3.7589999999999999</v>
      </c>
      <c r="G1262">
        <v>3.7589999999999999</v>
      </c>
      <c r="H1262">
        <v>3.7589999999999999</v>
      </c>
      <c r="I1262">
        <v>3.7589999999999999</v>
      </c>
      <c r="N1262">
        <v>4500</v>
      </c>
      <c r="O1262">
        <v>-6.117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 s="11">
        <v>21</v>
      </c>
    </row>
    <row r="1263" spans="1:24">
      <c r="A1263">
        <v>2300</v>
      </c>
      <c r="B1263">
        <v>3.8410000000000002</v>
      </c>
      <c r="C1263">
        <v>3.8410000000000002</v>
      </c>
      <c r="D1263">
        <v>3.8410000000000002</v>
      </c>
      <c r="E1263">
        <v>3.8410000000000002</v>
      </c>
      <c r="F1263">
        <v>3.8410000000000002</v>
      </c>
      <c r="G1263">
        <v>3.8410000000000002</v>
      </c>
      <c r="H1263">
        <v>3.8410000000000002</v>
      </c>
      <c r="I1263">
        <v>3.84</v>
      </c>
      <c r="N1263">
        <v>5006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 s="11">
        <v>21</v>
      </c>
    </row>
    <row r="1264" spans="1:24">
      <c r="A1264">
        <v>2350</v>
      </c>
      <c r="B1264">
        <v>3.923</v>
      </c>
      <c r="C1264">
        <v>3.923</v>
      </c>
      <c r="D1264">
        <v>3.923</v>
      </c>
      <c r="E1264">
        <v>3.923</v>
      </c>
      <c r="F1264">
        <v>3.9220000000000002</v>
      </c>
      <c r="G1264">
        <v>3.9220000000000002</v>
      </c>
      <c r="H1264">
        <v>3.9220000000000002</v>
      </c>
      <c r="I1264">
        <v>3.9220000000000002</v>
      </c>
    </row>
    <row r="1265" spans="1:9">
      <c r="A1265">
        <v>2400</v>
      </c>
      <c r="B1265">
        <v>4.0049999999999999</v>
      </c>
      <c r="C1265">
        <v>4.0039999999999996</v>
      </c>
      <c r="D1265">
        <v>4.0039999999999996</v>
      </c>
      <c r="E1265">
        <v>4.0039999999999996</v>
      </c>
      <c r="F1265">
        <v>4.0039999999999996</v>
      </c>
      <c r="G1265">
        <v>4.0039999999999996</v>
      </c>
      <c r="H1265">
        <v>4.0039999999999996</v>
      </c>
      <c r="I1265">
        <v>4.0039999999999996</v>
      </c>
    </row>
    <row r="1266" spans="1:9">
      <c r="A1266">
        <v>2450</v>
      </c>
      <c r="B1266">
        <v>4.0860000000000003</v>
      </c>
      <c r="C1266">
        <v>4.0860000000000003</v>
      </c>
      <c r="D1266">
        <v>4.0860000000000003</v>
      </c>
      <c r="E1266">
        <v>4.0860000000000003</v>
      </c>
      <c r="F1266">
        <v>4.0860000000000003</v>
      </c>
      <c r="G1266">
        <v>4.0860000000000003</v>
      </c>
      <c r="H1266">
        <v>4.0860000000000003</v>
      </c>
      <c r="I1266">
        <v>4.0860000000000003</v>
      </c>
    </row>
    <row r="1267" spans="1:9">
      <c r="A1267">
        <v>2500</v>
      </c>
      <c r="B1267">
        <v>4.1680000000000001</v>
      </c>
      <c r="C1267">
        <v>4.1680000000000001</v>
      </c>
      <c r="D1267">
        <v>4.1680000000000001</v>
      </c>
      <c r="E1267">
        <v>4.1680000000000001</v>
      </c>
      <c r="F1267">
        <v>4.1680000000000001</v>
      </c>
      <c r="G1267">
        <v>4.1680000000000001</v>
      </c>
      <c r="H1267">
        <v>4.1680000000000001</v>
      </c>
      <c r="I1267">
        <v>4.1669999999999998</v>
      </c>
    </row>
    <row r="1268" spans="1:9">
      <c r="A1268">
        <v>2550</v>
      </c>
      <c r="B1268">
        <v>4.25</v>
      </c>
      <c r="C1268">
        <v>4.25</v>
      </c>
      <c r="D1268">
        <v>4.25</v>
      </c>
      <c r="E1268">
        <v>4.25</v>
      </c>
      <c r="F1268">
        <v>4.2489999999999997</v>
      </c>
      <c r="G1268">
        <v>4.2489999999999997</v>
      </c>
      <c r="H1268">
        <v>4.2489999999999997</v>
      </c>
      <c r="I1268">
        <v>4.2489999999999997</v>
      </c>
    </row>
    <row r="1269" spans="1:9">
      <c r="A1269">
        <v>2600</v>
      </c>
      <c r="B1269">
        <v>4.3319999999999999</v>
      </c>
      <c r="C1269">
        <v>4.3310000000000004</v>
      </c>
      <c r="D1269">
        <v>4.3310000000000004</v>
      </c>
      <c r="E1269">
        <v>4.3310000000000004</v>
      </c>
      <c r="F1269">
        <v>4.3310000000000004</v>
      </c>
      <c r="G1269">
        <v>4.3310000000000004</v>
      </c>
      <c r="H1269">
        <v>4.3310000000000004</v>
      </c>
      <c r="I1269">
        <v>4.3310000000000004</v>
      </c>
    </row>
    <row r="1270" spans="1:9">
      <c r="A1270">
        <v>2650</v>
      </c>
      <c r="B1270">
        <v>4.4130000000000003</v>
      </c>
      <c r="C1270">
        <v>4.4130000000000003</v>
      </c>
      <c r="D1270">
        <v>4.4130000000000003</v>
      </c>
      <c r="E1270">
        <v>4.4130000000000003</v>
      </c>
      <c r="F1270">
        <v>4.4130000000000003</v>
      </c>
      <c r="G1270">
        <v>4.4130000000000003</v>
      </c>
      <c r="H1270">
        <v>4.4130000000000003</v>
      </c>
      <c r="I1270">
        <v>4.4130000000000003</v>
      </c>
    </row>
    <row r="1271" spans="1:9">
      <c r="A1271">
        <v>2700</v>
      </c>
      <c r="B1271">
        <v>4.4950000000000001</v>
      </c>
      <c r="C1271">
        <v>4.4950000000000001</v>
      </c>
      <c r="D1271">
        <v>4.4950000000000001</v>
      </c>
      <c r="E1271">
        <v>4.4950000000000001</v>
      </c>
      <c r="F1271">
        <v>4.4950000000000001</v>
      </c>
      <c r="G1271">
        <v>4.4950000000000001</v>
      </c>
      <c r="H1271">
        <v>4.4950000000000001</v>
      </c>
      <c r="I1271">
        <v>4.4939999999999998</v>
      </c>
    </row>
    <row r="1272" spans="1:9">
      <c r="A1272">
        <v>2750</v>
      </c>
      <c r="B1272">
        <v>4.577</v>
      </c>
      <c r="C1272">
        <v>4.577</v>
      </c>
      <c r="D1272">
        <v>4.577</v>
      </c>
      <c r="E1272">
        <v>4.577</v>
      </c>
      <c r="F1272">
        <v>4.577</v>
      </c>
      <c r="G1272">
        <v>4.5759999999999996</v>
      </c>
      <c r="H1272">
        <v>4.5759999999999996</v>
      </c>
      <c r="I1272">
        <v>4.5759999999999996</v>
      </c>
    </row>
    <row r="1273" spans="1:9">
      <c r="A1273">
        <v>2800</v>
      </c>
      <c r="B1273">
        <v>4.6589999999999998</v>
      </c>
      <c r="C1273">
        <v>4.6580000000000004</v>
      </c>
      <c r="D1273">
        <v>4.6580000000000004</v>
      </c>
      <c r="E1273">
        <v>4.6580000000000004</v>
      </c>
      <c r="F1273">
        <v>4.6580000000000004</v>
      </c>
      <c r="G1273">
        <v>4.6580000000000004</v>
      </c>
      <c r="H1273">
        <v>4.6580000000000004</v>
      </c>
      <c r="I1273">
        <v>4.6580000000000004</v>
      </c>
    </row>
    <row r="1274" spans="1:9">
      <c r="A1274">
        <v>2850</v>
      </c>
      <c r="B1274">
        <v>4.74</v>
      </c>
      <c r="C1274">
        <v>4.74</v>
      </c>
      <c r="D1274">
        <v>4.74</v>
      </c>
      <c r="E1274">
        <v>4.74</v>
      </c>
      <c r="F1274">
        <v>4.74</v>
      </c>
      <c r="G1274">
        <v>4.74</v>
      </c>
      <c r="H1274">
        <v>4.74</v>
      </c>
      <c r="I1274">
        <v>4.74</v>
      </c>
    </row>
    <row r="1275" spans="1:9">
      <c r="A1275">
        <v>2900</v>
      </c>
      <c r="B1275">
        <v>4.8220000000000001</v>
      </c>
      <c r="C1275">
        <v>4.8220000000000001</v>
      </c>
      <c r="D1275">
        <v>4.8220000000000001</v>
      </c>
      <c r="E1275">
        <v>4.8220000000000001</v>
      </c>
      <c r="F1275">
        <v>4.8220000000000001</v>
      </c>
      <c r="G1275">
        <v>4.8220000000000001</v>
      </c>
      <c r="H1275">
        <v>4.8220000000000001</v>
      </c>
      <c r="I1275">
        <v>4.8209999999999997</v>
      </c>
    </row>
    <row r="1276" spans="1:9">
      <c r="A1276">
        <v>2950</v>
      </c>
      <c r="B1276">
        <v>4.9039999999999999</v>
      </c>
      <c r="C1276">
        <v>4.9039999999999999</v>
      </c>
      <c r="D1276">
        <v>4.9039999999999999</v>
      </c>
      <c r="E1276">
        <v>4.9039999999999999</v>
      </c>
      <c r="F1276">
        <v>4.9039999999999999</v>
      </c>
      <c r="G1276">
        <v>4.9029999999999996</v>
      </c>
      <c r="H1276">
        <v>4.9029999999999996</v>
      </c>
      <c r="I1276">
        <v>4.9029999999999996</v>
      </c>
    </row>
    <row r="1277" spans="1:9">
      <c r="A1277">
        <v>3000</v>
      </c>
      <c r="B1277">
        <v>4.9859999999999998</v>
      </c>
      <c r="C1277">
        <v>4.9850000000000003</v>
      </c>
      <c r="D1277">
        <v>4.9850000000000003</v>
      </c>
      <c r="E1277">
        <v>4.9850000000000003</v>
      </c>
      <c r="F1277">
        <v>4.9850000000000003</v>
      </c>
      <c r="G1277">
        <v>4.9850000000000003</v>
      </c>
      <c r="H1277">
        <v>4.9850000000000003</v>
      </c>
      <c r="I1277">
        <v>4.9850000000000003</v>
      </c>
    </row>
    <row r="1278" spans="1:9">
      <c r="A1278">
        <v>3050</v>
      </c>
      <c r="B1278">
        <v>5.0670000000000002</v>
      </c>
      <c r="C1278">
        <v>5.0670000000000002</v>
      </c>
      <c r="D1278">
        <v>5.0670000000000002</v>
      </c>
      <c r="E1278">
        <v>5.0670000000000002</v>
      </c>
      <c r="F1278">
        <v>5.0670000000000002</v>
      </c>
      <c r="G1278">
        <v>5.0670000000000002</v>
      </c>
      <c r="H1278">
        <v>5.0670000000000002</v>
      </c>
      <c r="I1278">
        <v>5.0670000000000002</v>
      </c>
    </row>
    <row r="1279" spans="1:9">
      <c r="A1279">
        <v>3100</v>
      </c>
      <c r="B1279">
        <v>5.149</v>
      </c>
      <c r="C1279">
        <v>5.149</v>
      </c>
      <c r="D1279">
        <v>5.149</v>
      </c>
      <c r="E1279">
        <v>5.149</v>
      </c>
      <c r="F1279">
        <v>5.149</v>
      </c>
      <c r="G1279">
        <v>5.149</v>
      </c>
      <c r="H1279">
        <v>5.149</v>
      </c>
      <c r="I1279">
        <v>5.1479999999999997</v>
      </c>
    </row>
    <row r="1280" spans="1:9">
      <c r="A1280">
        <v>3150</v>
      </c>
      <c r="B1280">
        <v>5.2309999999999999</v>
      </c>
      <c r="C1280">
        <v>5.2309999999999999</v>
      </c>
      <c r="D1280">
        <v>5.2309999999999999</v>
      </c>
      <c r="E1280">
        <v>5.2309999999999999</v>
      </c>
      <c r="F1280">
        <v>5.2309999999999999</v>
      </c>
      <c r="G1280">
        <v>5.23</v>
      </c>
      <c r="H1280">
        <v>5.23</v>
      </c>
      <c r="I1280">
        <v>5.23</v>
      </c>
    </row>
    <row r="1281" spans="1:9">
      <c r="A1281">
        <v>3200</v>
      </c>
      <c r="B1281">
        <v>5.3129999999999997</v>
      </c>
      <c r="C1281">
        <v>5.3120000000000003</v>
      </c>
      <c r="D1281">
        <v>5.3120000000000003</v>
      </c>
      <c r="E1281">
        <v>5.3120000000000003</v>
      </c>
      <c r="F1281">
        <v>5.3120000000000003</v>
      </c>
      <c r="G1281">
        <v>5.3120000000000003</v>
      </c>
      <c r="H1281">
        <v>5.3120000000000003</v>
      </c>
      <c r="I1281">
        <v>5.3120000000000003</v>
      </c>
    </row>
    <row r="1282" spans="1:9">
      <c r="A1282">
        <v>3250</v>
      </c>
      <c r="B1282">
        <v>5.3940000000000001</v>
      </c>
      <c r="C1282">
        <v>5.3940000000000001</v>
      </c>
      <c r="D1282">
        <v>5.3940000000000001</v>
      </c>
      <c r="E1282">
        <v>5.3940000000000001</v>
      </c>
      <c r="F1282">
        <v>5.3940000000000001</v>
      </c>
      <c r="G1282">
        <v>5.3940000000000001</v>
      </c>
      <c r="H1282">
        <v>5.3940000000000001</v>
      </c>
      <c r="I1282">
        <v>5.3940000000000001</v>
      </c>
    </row>
    <row r="1283" spans="1:9">
      <c r="A1283">
        <v>3300</v>
      </c>
      <c r="B1283">
        <v>5.476</v>
      </c>
      <c r="C1283">
        <v>5.476</v>
      </c>
      <c r="D1283">
        <v>5.476</v>
      </c>
      <c r="E1283">
        <v>5.476</v>
      </c>
      <c r="F1283">
        <v>5.476</v>
      </c>
      <c r="G1283">
        <v>5.476</v>
      </c>
      <c r="H1283">
        <v>5.476</v>
      </c>
      <c r="I1283">
        <v>5.476</v>
      </c>
    </row>
    <row r="1284" spans="1:9">
      <c r="A1284">
        <v>3350</v>
      </c>
      <c r="B1284">
        <v>5.5579999999999998</v>
      </c>
      <c r="C1284">
        <v>5.5579999999999998</v>
      </c>
      <c r="D1284">
        <v>5.5579999999999998</v>
      </c>
      <c r="E1284">
        <v>5.5579999999999998</v>
      </c>
      <c r="F1284">
        <v>5.5579999999999998</v>
      </c>
      <c r="G1284">
        <v>5.5579999999999998</v>
      </c>
      <c r="H1284">
        <v>5.5570000000000004</v>
      </c>
      <c r="I1284">
        <v>5.5570000000000004</v>
      </c>
    </row>
    <row r="1285" spans="1:9">
      <c r="A1285">
        <v>3400</v>
      </c>
      <c r="B1285">
        <v>5.64</v>
      </c>
      <c r="C1285">
        <v>5.64</v>
      </c>
      <c r="D1285">
        <v>5.6390000000000002</v>
      </c>
      <c r="E1285">
        <v>5.6390000000000002</v>
      </c>
      <c r="F1285">
        <v>5.6390000000000002</v>
      </c>
      <c r="G1285">
        <v>5.6390000000000002</v>
      </c>
      <c r="H1285">
        <v>5.6390000000000002</v>
      </c>
      <c r="I1285">
        <v>5.6390000000000002</v>
      </c>
    </row>
    <row r="1286" spans="1:9">
      <c r="A1286">
        <v>3450</v>
      </c>
      <c r="B1286">
        <v>5.7210000000000001</v>
      </c>
      <c r="C1286">
        <v>5.7210000000000001</v>
      </c>
      <c r="D1286">
        <v>5.7210000000000001</v>
      </c>
      <c r="E1286">
        <v>5.7210000000000001</v>
      </c>
      <c r="F1286">
        <v>5.7210000000000001</v>
      </c>
      <c r="G1286">
        <v>5.7210000000000001</v>
      </c>
      <c r="H1286">
        <v>5.7210000000000001</v>
      </c>
      <c r="I1286">
        <v>5.7210000000000001</v>
      </c>
    </row>
    <row r="1287" spans="1:9">
      <c r="A1287">
        <v>3500</v>
      </c>
      <c r="B1287">
        <v>5.8029999999999999</v>
      </c>
      <c r="C1287">
        <v>5.8029999999999999</v>
      </c>
      <c r="D1287">
        <v>5.8029999999999999</v>
      </c>
      <c r="E1287">
        <v>5.8029999999999999</v>
      </c>
      <c r="F1287">
        <v>5.8029999999999999</v>
      </c>
      <c r="G1287">
        <v>5.8029999999999999</v>
      </c>
      <c r="H1287">
        <v>5.8029999999999999</v>
      </c>
      <c r="I1287">
        <v>5.8029999999999999</v>
      </c>
    </row>
    <row r="1288" spans="1:9">
      <c r="A1288">
        <v>3550</v>
      </c>
      <c r="B1288">
        <v>5.8849999999999998</v>
      </c>
      <c r="C1288">
        <v>5.8849999999999998</v>
      </c>
      <c r="D1288">
        <v>5.8849999999999998</v>
      </c>
      <c r="E1288">
        <v>5.8849999999999998</v>
      </c>
      <c r="F1288">
        <v>5.8849999999999998</v>
      </c>
      <c r="G1288">
        <v>5.8849999999999998</v>
      </c>
      <c r="H1288">
        <v>5.8840000000000003</v>
      </c>
      <c r="I1288">
        <v>5.8840000000000003</v>
      </c>
    </row>
    <row r="1289" spans="1:9">
      <c r="A1289">
        <v>3600</v>
      </c>
      <c r="B1289">
        <v>5.9669999999999996</v>
      </c>
      <c r="C1289">
        <v>5.9669999999999996</v>
      </c>
      <c r="D1289">
        <v>5.9660000000000002</v>
      </c>
      <c r="E1289">
        <v>5.9660000000000002</v>
      </c>
      <c r="F1289">
        <v>5.9660000000000002</v>
      </c>
      <c r="G1289">
        <v>5.9660000000000002</v>
      </c>
      <c r="H1289">
        <v>5.9660000000000002</v>
      </c>
      <c r="I1289">
        <v>5.9660000000000002</v>
      </c>
    </row>
    <row r="1290" spans="1:9">
      <c r="A1290">
        <v>3650</v>
      </c>
      <c r="B1290">
        <v>6.048</v>
      </c>
      <c r="C1290">
        <v>6.048</v>
      </c>
      <c r="D1290">
        <v>6.048</v>
      </c>
      <c r="E1290">
        <v>6.048</v>
      </c>
      <c r="F1290">
        <v>6.048</v>
      </c>
      <c r="G1290">
        <v>6.048</v>
      </c>
      <c r="H1290">
        <v>6.048</v>
      </c>
      <c r="I1290">
        <v>6.048</v>
      </c>
    </row>
    <row r="1291" spans="1:9">
      <c r="A1291">
        <v>3700</v>
      </c>
      <c r="B1291">
        <v>6.13</v>
      </c>
      <c r="C1291">
        <v>6.13</v>
      </c>
      <c r="D1291">
        <v>6.13</v>
      </c>
      <c r="E1291">
        <v>6.13</v>
      </c>
      <c r="F1291">
        <v>6.13</v>
      </c>
      <c r="G1291">
        <v>6.13</v>
      </c>
      <c r="H1291">
        <v>6.13</v>
      </c>
      <c r="I1291">
        <v>6.13</v>
      </c>
    </row>
    <row r="1292" spans="1:9">
      <c r="A1292">
        <v>3750</v>
      </c>
      <c r="B1292">
        <v>6.2119999999999997</v>
      </c>
      <c r="C1292">
        <v>6.2119999999999997</v>
      </c>
      <c r="D1292">
        <v>6.2119999999999997</v>
      </c>
      <c r="E1292">
        <v>6.2119999999999997</v>
      </c>
      <c r="F1292">
        <v>6.2119999999999997</v>
      </c>
      <c r="G1292">
        <v>6.2119999999999997</v>
      </c>
      <c r="H1292">
        <v>6.2110000000000003</v>
      </c>
      <c r="I1292">
        <v>6.2110000000000003</v>
      </c>
    </row>
    <row r="1293" spans="1:9">
      <c r="A1293">
        <v>3800</v>
      </c>
      <c r="B1293">
        <v>6.2939999999999996</v>
      </c>
      <c r="C1293">
        <v>6.2939999999999996</v>
      </c>
      <c r="D1293">
        <v>6.2939999999999996</v>
      </c>
      <c r="E1293">
        <v>6.2930000000000001</v>
      </c>
      <c r="F1293">
        <v>6.2930000000000001</v>
      </c>
      <c r="G1293">
        <v>6.2930000000000001</v>
      </c>
      <c r="H1293">
        <v>6.2930000000000001</v>
      </c>
      <c r="I1293">
        <v>6.2930000000000001</v>
      </c>
    </row>
    <row r="1294" spans="1:9">
      <c r="A1294">
        <v>3850</v>
      </c>
      <c r="B1294">
        <v>6.375</v>
      </c>
      <c r="C1294">
        <v>6.375</v>
      </c>
      <c r="D1294">
        <v>6.375</v>
      </c>
      <c r="E1294">
        <v>6.375</v>
      </c>
      <c r="F1294">
        <v>6.375</v>
      </c>
      <c r="G1294">
        <v>6.375</v>
      </c>
      <c r="H1294">
        <v>6.375</v>
      </c>
      <c r="I1294">
        <v>6.375</v>
      </c>
    </row>
    <row r="1295" spans="1:9">
      <c r="A1295">
        <v>3900</v>
      </c>
      <c r="B1295">
        <v>6.4569999999999999</v>
      </c>
      <c r="C1295">
        <v>6.4569999999999999</v>
      </c>
      <c r="D1295">
        <v>6.4569999999999999</v>
      </c>
      <c r="E1295">
        <v>6.4569999999999999</v>
      </c>
      <c r="F1295">
        <v>6.4569999999999999</v>
      </c>
      <c r="G1295">
        <v>6.4569999999999999</v>
      </c>
      <c r="H1295">
        <v>6.4569999999999999</v>
      </c>
      <c r="I1295">
        <v>6.4569999999999999</v>
      </c>
    </row>
    <row r="1296" spans="1:9">
      <c r="A1296">
        <v>3950</v>
      </c>
      <c r="B1296">
        <v>6.5389999999999997</v>
      </c>
      <c r="C1296">
        <v>6.5389999999999997</v>
      </c>
      <c r="D1296">
        <v>6.5389999999999997</v>
      </c>
      <c r="E1296">
        <v>6.5389999999999997</v>
      </c>
      <c r="F1296">
        <v>6.5389999999999997</v>
      </c>
      <c r="G1296">
        <v>6.5389999999999997</v>
      </c>
      <c r="H1296">
        <v>6.5380000000000003</v>
      </c>
      <c r="I1296">
        <v>6.5380000000000003</v>
      </c>
    </row>
    <row r="1297" spans="1:9">
      <c r="A1297">
        <v>4000</v>
      </c>
      <c r="B1297">
        <v>6.6210000000000004</v>
      </c>
      <c r="C1297">
        <v>6.6210000000000004</v>
      </c>
      <c r="D1297">
        <v>6.6210000000000004</v>
      </c>
      <c r="E1297">
        <v>6.62</v>
      </c>
      <c r="F1297">
        <v>6.62</v>
      </c>
      <c r="G1297">
        <v>6.62</v>
      </c>
      <c r="H1297">
        <v>6.62</v>
      </c>
      <c r="I1297">
        <v>6.62</v>
      </c>
    </row>
    <row r="1298" spans="1:9">
      <c r="A1298">
        <v>4050</v>
      </c>
      <c r="B1298">
        <v>6.702</v>
      </c>
      <c r="C1298">
        <v>6.702</v>
      </c>
      <c r="D1298">
        <v>6.702</v>
      </c>
      <c r="E1298">
        <v>6.702</v>
      </c>
      <c r="F1298">
        <v>6.702</v>
      </c>
      <c r="G1298">
        <v>6.702</v>
      </c>
      <c r="H1298">
        <v>6.702</v>
      </c>
      <c r="I1298">
        <v>6.702</v>
      </c>
    </row>
    <row r="1299" spans="1:9">
      <c r="A1299">
        <v>4100</v>
      </c>
      <c r="B1299">
        <v>6.7839999999999998</v>
      </c>
      <c r="C1299">
        <v>6.7839999999999998</v>
      </c>
      <c r="D1299">
        <v>6.7839999999999998</v>
      </c>
      <c r="E1299">
        <v>6.7839999999999998</v>
      </c>
      <c r="F1299">
        <v>6.7839999999999998</v>
      </c>
      <c r="G1299">
        <v>6.7839999999999998</v>
      </c>
      <c r="H1299">
        <v>6.7839999999999998</v>
      </c>
      <c r="I1299">
        <v>6.7839999999999998</v>
      </c>
    </row>
    <row r="1300" spans="1:9">
      <c r="A1300">
        <v>4150</v>
      </c>
      <c r="B1300">
        <v>6.8659999999999997</v>
      </c>
      <c r="C1300">
        <v>6.8659999999999997</v>
      </c>
      <c r="D1300">
        <v>6.8659999999999997</v>
      </c>
      <c r="E1300">
        <v>6.8659999999999997</v>
      </c>
      <c r="F1300">
        <v>6.8659999999999997</v>
      </c>
      <c r="G1300">
        <v>6.8659999999999997</v>
      </c>
      <c r="H1300">
        <v>6.8650000000000002</v>
      </c>
      <c r="I1300">
        <v>6.8650000000000002</v>
      </c>
    </row>
    <row r="1301" spans="1:9">
      <c r="A1301">
        <v>4200</v>
      </c>
      <c r="B1301">
        <v>6.9480000000000004</v>
      </c>
      <c r="C1301">
        <v>6.9480000000000004</v>
      </c>
      <c r="D1301">
        <v>6.9480000000000004</v>
      </c>
      <c r="E1301">
        <v>6.9470000000000001</v>
      </c>
      <c r="F1301">
        <v>6.9470000000000001</v>
      </c>
      <c r="G1301">
        <v>6.9470000000000001</v>
      </c>
      <c r="H1301">
        <v>6.9470000000000001</v>
      </c>
      <c r="I1301">
        <v>6.9470000000000001</v>
      </c>
    </row>
    <row r="1302" spans="1:9">
      <c r="A1302">
        <v>4250</v>
      </c>
      <c r="B1302">
        <v>7.0289999999999999</v>
      </c>
      <c r="C1302">
        <v>7.0289999999999999</v>
      </c>
      <c r="D1302">
        <v>7.0289999999999999</v>
      </c>
      <c r="E1302">
        <v>7.0289999999999999</v>
      </c>
      <c r="F1302">
        <v>7.0289999999999999</v>
      </c>
      <c r="G1302">
        <v>7.0289999999999999</v>
      </c>
      <c r="H1302">
        <v>7.0289999999999999</v>
      </c>
      <c r="I1302">
        <v>7.0289999999999999</v>
      </c>
    </row>
    <row r="1303" spans="1:9">
      <c r="A1303">
        <v>4300</v>
      </c>
      <c r="B1303">
        <v>7.1109999999999998</v>
      </c>
      <c r="C1303">
        <v>7.1109999999999998</v>
      </c>
      <c r="D1303">
        <v>7.1109999999999998</v>
      </c>
      <c r="E1303">
        <v>7.1109999999999998</v>
      </c>
      <c r="F1303">
        <v>7.1109999999999998</v>
      </c>
      <c r="G1303">
        <v>7.1109999999999998</v>
      </c>
      <c r="H1303">
        <v>7.1109999999999998</v>
      </c>
      <c r="I1303">
        <v>7.1109999999999998</v>
      </c>
    </row>
    <row r="1304" spans="1:9">
      <c r="A1304">
        <v>4350</v>
      </c>
      <c r="B1304">
        <v>7.1929999999999996</v>
      </c>
      <c r="C1304">
        <v>7.1929999999999996</v>
      </c>
      <c r="D1304">
        <v>7.1929999999999996</v>
      </c>
      <c r="E1304">
        <v>7.1929999999999996</v>
      </c>
      <c r="F1304">
        <v>7.1929999999999996</v>
      </c>
      <c r="G1304">
        <v>7.1929999999999996</v>
      </c>
      <c r="H1304">
        <v>7.1929999999999996</v>
      </c>
      <c r="I1304">
        <v>7.1920000000000002</v>
      </c>
    </row>
    <row r="1305" spans="1:9">
      <c r="A1305">
        <v>4400</v>
      </c>
      <c r="B1305">
        <v>7.2750000000000004</v>
      </c>
      <c r="C1305">
        <v>7.2750000000000004</v>
      </c>
      <c r="D1305">
        <v>7.2750000000000004</v>
      </c>
      <c r="E1305">
        <v>7.2750000000000004</v>
      </c>
      <c r="F1305">
        <v>7.274</v>
      </c>
      <c r="G1305">
        <v>7.274</v>
      </c>
      <c r="H1305">
        <v>7.274</v>
      </c>
      <c r="I1305">
        <v>7.274</v>
      </c>
    </row>
    <row r="1306" spans="1:9">
      <c r="A1306">
        <v>4450</v>
      </c>
      <c r="B1306">
        <v>7.3559999999999999</v>
      </c>
      <c r="C1306">
        <v>7.3559999999999999</v>
      </c>
      <c r="D1306">
        <v>7.3559999999999999</v>
      </c>
      <c r="E1306">
        <v>7.3559999999999999</v>
      </c>
      <c r="F1306">
        <v>7.3559999999999999</v>
      </c>
      <c r="G1306">
        <v>7.3550000000000004</v>
      </c>
      <c r="H1306">
        <v>7.3540000000000001</v>
      </c>
      <c r="I1306">
        <v>7.3529999999999998</v>
      </c>
    </row>
    <row r="1307" spans="1:9">
      <c r="A1307">
        <v>4500</v>
      </c>
      <c r="B1307">
        <v>7.3579999999999997</v>
      </c>
      <c r="C1307">
        <v>7.3579999999999997</v>
      </c>
      <c r="D1307">
        <v>7.3579999999999997</v>
      </c>
      <c r="E1307">
        <v>7.3579999999999997</v>
      </c>
      <c r="F1307">
        <v>7.3579999999999997</v>
      </c>
      <c r="G1307">
        <v>7.3579999999999997</v>
      </c>
      <c r="H1307">
        <v>7.3579999999999997</v>
      </c>
      <c r="I1307">
        <v>7.3579999999999997</v>
      </c>
    </row>
    <row r="1308" spans="1:9">
      <c r="A1308">
        <v>5006</v>
      </c>
      <c r="B1308">
        <v>7.3579999999999997</v>
      </c>
      <c r="C1308">
        <v>7.3579999999999997</v>
      </c>
      <c r="D1308">
        <v>7.3579999999999997</v>
      </c>
      <c r="E1308">
        <v>7.3579999999999997</v>
      </c>
      <c r="F1308">
        <v>7.3579999999999997</v>
      </c>
      <c r="G1308">
        <v>7.3579999999999997</v>
      </c>
      <c r="H1308">
        <v>7.3579999999999997</v>
      </c>
      <c r="I1308">
        <v>7.3579999999999997</v>
      </c>
    </row>
  </sheetData>
  <mergeCells count="2">
    <mergeCell ref="AA4:AB4"/>
    <mergeCell ref="Y7:AD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8:AB1236"/>
  <sheetViews>
    <sheetView zoomScaleNormal="100" workbookViewId="0">
      <selection activeCell="Z9" sqref="Z9"/>
    </sheetView>
  </sheetViews>
  <sheetFormatPr defaultRowHeight="15"/>
  <cols>
    <col min="1" max="1" width="10" bestFit="1" customWidth="1"/>
    <col min="2" max="8" width="9.42578125" bestFit="1" customWidth="1"/>
    <col min="9" max="9" width="10.140625" bestFit="1" customWidth="1"/>
    <col min="22" max="22" width="12.5703125" bestFit="1" customWidth="1"/>
  </cols>
  <sheetData>
    <row r="8" spans="1:28">
      <c r="A8" s="956" t="s">
        <v>400</v>
      </c>
      <c r="B8" s="956"/>
      <c r="C8" s="956"/>
      <c r="D8" s="956"/>
      <c r="E8" s="956"/>
      <c r="F8" s="956"/>
      <c r="G8" s="956"/>
      <c r="H8" s="956"/>
      <c r="I8" s="956"/>
      <c r="J8" s="956"/>
      <c r="K8" s="956"/>
      <c r="L8" s="956"/>
      <c r="M8" s="956"/>
      <c r="N8" s="956"/>
      <c r="O8" s="956"/>
      <c r="P8" s="956"/>
      <c r="Q8" s="956"/>
      <c r="R8" s="956"/>
      <c r="S8" s="956"/>
      <c r="T8" s="956"/>
      <c r="U8" s="956"/>
      <c r="V8" s="956"/>
    </row>
    <row r="9" spans="1:28">
      <c r="A9" t="s">
        <v>230</v>
      </c>
      <c r="B9">
        <v>-1</v>
      </c>
      <c r="C9">
        <v>0</v>
      </c>
      <c r="D9">
        <v>0.5</v>
      </c>
      <c r="E9">
        <v>1</v>
      </c>
      <c r="F9">
        <v>1.5</v>
      </c>
      <c r="G9">
        <v>2</v>
      </c>
      <c r="H9">
        <v>3</v>
      </c>
      <c r="I9">
        <v>4</v>
      </c>
      <c r="J9">
        <v>3</v>
      </c>
      <c r="K9" t="s">
        <v>35</v>
      </c>
      <c r="L9" t="s">
        <v>230</v>
      </c>
      <c r="M9">
        <v>-4</v>
      </c>
      <c r="N9">
        <v>-3</v>
      </c>
      <c r="O9">
        <v>-2</v>
      </c>
      <c r="P9">
        <v>-1</v>
      </c>
      <c r="Q9">
        <v>0</v>
      </c>
      <c r="R9">
        <v>1</v>
      </c>
      <c r="S9">
        <v>2</v>
      </c>
      <c r="T9">
        <v>3</v>
      </c>
      <c r="U9">
        <v>4</v>
      </c>
      <c r="V9" t="s">
        <v>231</v>
      </c>
      <c r="Y9" s="1">
        <f>heelDraft1</f>
        <v>0</v>
      </c>
      <c r="Z9" s="186"/>
      <c r="AA9" s="186">
        <f>IF((Z9+Z12)&lt;0,Z9,Z9+Z12)</f>
        <v>0</v>
      </c>
      <c r="AB9" s="42">
        <f>IF(AB11=AB10,AB10,Interp1(AA10:AA11,AB10:AB11,AA9))</f>
        <v>0.28499999999999998</v>
      </c>
    </row>
    <row r="10" spans="1:28">
      <c r="A10" s="295">
        <v>0</v>
      </c>
      <c r="B10" s="445">
        <v>0.25700000000000001</v>
      </c>
      <c r="C10" s="445">
        <v>0.28100000000000003</v>
      </c>
      <c r="D10" s="445">
        <v>0.29299999999999998</v>
      </c>
      <c r="E10" s="445">
        <v>0.307</v>
      </c>
      <c r="F10" s="445">
        <v>0.32100000000000001</v>
      </c>
      <c r="G10" s="445">
        <v>0.33600000000000002</v>
      </c>
      <c r="H10" s="445">
        <v>0.36799999999999999</v>
      </c>
      <c r="I10" s="445">
        <v>0.40300000000000002</v>
      </c>
      <c r="J10" s="296"/>
      <c r="K10" s="295"/>
      <c r="L10" s="295">
        <v>0</v>
      </c>
      <c r="M10" s="295">
        <v>0</v>
      </c>
      <c r="N10" s="295">
        <v>0</v>
      </c>
      <c r="O10" s="296">
        <v>0</v>
      </c>
      <c r="P10" s="296">
        <v>0</v>
      </c>
      <c r="Q10" s="296">
        <v>0</v>
      </c>
      <c r="R10" s="296">
        <v>12.1</v>
      </c>
      <c r="S10" s="296">
        <v>25.9</v>
      </c>
      <c r="T10" s="296">
        <v>41.6</v>
      </c>
      <c r="U10" s="296">
        <v>59</v>
      </c>
      <c r="V10" s="309"/>
      <c r="Y10" s="1">
        <f>FLOOR(Z9,incOil2)</f>
        <v>0</v>
      </c>
      <c r="Z10" s="1">
        <f>Interp2(Misc1Heel1,Misc1Heel2,Misc1Heel3,Y10,Y9)</f>
        <v>0</v>
      </c>
      <c r="AA10" s="1">
        <f>FLOOR(AA9,incOil1)</f>
        <v>0</v>
      </c>
      <c r="AB10" s="42">
        <f>IF(Z15=Z14,Z14,Interp1(Y14:Y15,Z14:Z15,Y13))</f>
        <v>0.28499999999999998</v>
      </c>
    </row>
    <row r="11" spans="1:28">
      <c r="A11" s="295">
        <v>50</v>
      </c>
      <c r="B11" s="445">
        <v>0.59599999999999997</v>
      </c>
      <c r="C11" s="445">
        <v>0.63100000000000001</v>
      </c>
      <c r="D11" s="445">
        <v>0.64900000000000002</v>
      </c>
      <c r="E11" s="445">
        <v>0.66800000000000004</v>
      </c>
      <c r="F11" s="445">
        <v>0.68799999999999994</v>
      </c>
      <c r="G11" s="445">
        <v>0.70899999999999996</v>
      </c>
      <c r="H11" s="445">
        <v>0.753</v>
      </c>
      <c r="I11" s="445">
        <v>0.79900000000000004</v>
      </c>
      <c r="J11" s="296"/>
      <c r="K11" s="295"/>
      <c r="L11" s="295">
        <v>100</v>
      </c>
      <c r="M11" s="295">
        <v>-54</v>
      </c>
      <c r="N11" s="295">
        <v>-43</v>
      </c>
      <c r="O11" s="296">
        <v>-30.2</v>
      </c>
      <c r="P11" s="296">
        <v>-15.9</v>
      </c>
      <c r="Q11" s="296">
        <v>0</v>
      </c>
      <c r="R11" s="296">
        <v>13.4</v>
      </c>
      <c r="S11" s="296">
        <v>28.1</v>
      </c>
      <c r="T11" s="296">
        <v>43.9</v>
      </c>
      <c r="U11" s="296">
        <v>61</v>
      </c>
      <c r="V11" s="309"/>
      <c r="Y11" s="1">
        <f>IF(Y10=MiscSound1,Y10,CEILING(Z9,incOil2))</f>
        <v>0</v>
      </c>
      <c r="Z11" s="1">
        <f>Interp2(Misc1Heel1,Misc1Heel2,Misc1Heel3,Y11,Y9)</f>
        <v>0</v>
      </c>
      <c r="AA11" s="1">
        <f>CEILING(AA9,incOil1)</f>
        <v>0</v>
      </c>
      <c r="AB11" s="42">
        <f>IF(AA15=AA14,AA14,Interp1(Y14:Y15,AA14:AA15,Y13))</f>
        <v>0.28499999999999998</v>
      </c>
    </row>
    <row r="12" spans="1:28">
      <c r="A12" s="295">
        <v>100</v>
      </c>
      <c r="B12" s="445">
        <v>1.006</v>
      </c>
      <c r="C12" s="445">
        <v>1.052</v>
      </c>
      <c r="D12" s="445">
        <v>1.075</v>
      </c>
      <c r="E12" s="445">
        <v>1.1000000000000001</v>
      </c>
      <c r="F12" s="445">
        <v>1.1259999999999999</v>
      </c>
      <c r="G12" s="445">
        <v>1.1499999999999999</v>
      </c>
      <c r="H12" s="445">
        <v>1.202</v>
      </c>
      <c r="I12" s="445">
        <v>1.2569999999999999</v>
      </c>
      <c r="J12" s="296"/>
      <c r="K12" s="295"/>
      <c r="L12" s="295">
        <v>200</v>
      </c>
      <c r="M12" s="295">
        <v>-54</v>
      </c>
      <c r="N12" s="295">
        <v>-43</v>
      </c>
      <c r="O12" s="296">
        <v>-29.6</v>
      </c>
      <c r="P12" s="296">
        <v>-15.4</v>
      </c>
      <c r="Q12" s="296">
        <v>0</v>
      </c>
      <c r="R12" s="296">
        <v>13.9</v>
      </c>
      <c r="S12" s="296">
        <v>28.7</v>
      </c>
      <c r="T12" s="296">
        <v>44.8</v>
      </c>
      <c r="U12" s="296">
        <v>62</v>
      </c>
      <c r="V12" s="309"/>
      <c r="Y12" s="1"/>
      <c r="Z12" s="1">
        <f>IF(Z11=Z10,Z10,Interp1(Y10:Y11,Z10:Z11,Z9))</f>
        <v>0</v>
      </c>
      <c r="AA12" s="1"/>
      <c r="AB12" s="42"/>
    </row>
    <row r="13" spans="1:28">
      <c r="A13" s="295">
        <v>150</v>
      </c>
      <c r="B13" s="445">
        <v>1.4770000000000001</v>
      </c>
      <c r="C13" s="445">
        <v>1.53</v>
      </c>
      <c r="D13" s="445">
        <v>1.5569999999999999</v>
      </c>
      <c r="E13" s="445">
        <v>1.5860000000000001</v>
      </c>
      <c r="F13" s="445">
        <v>1.615</v>
      </c>
      <c r="G13" s="445">
        <v>1.645</v>
      </c>
      <c r="H13" s="445">
        <v>1.7070000000000001</v>
      </c>
      <c r="I13" s="445">
        <v>1.772</v>
      </c>
      <c r="J13" s="296"/>
      <c r="K13" s="295"/>
      <c r="L13" s="295">
        <v>300</v>
      </c>
      <c r="M13" s="295">
        <v>-56</v>
      </c>
      <c r="N13" s="295">
        <v>-44</v>
      </c>
      <c r="O13" s="296">
        <v>-30.2</v>
      </c>
      <c r="P13" s="296">
        <v>-15.6</v>
      </c>
      <c r="Q13" s="296">
        <v>0</v>
      </c>
      <c r="R13" s="296">
        <v>14.5</v>
      </c>
      <c r="S13" s="296">
        <v>29.9</v>
      </c>
      <c r="T13" s="296">
        <v>46.3</v>
      </c>
      <c r="U13" s="296">
        <v>63.6</v>
      </c>
      <c r="V13" s="309"/>
      <c r="Y13" s="1">
        <f>trimDraft</f>
        <v>0.149999999999999</v>
      </c>
      <c r="Z13" s="1"/>
      <c r="AA13" s="1"/>
      <c r="AB13" s="1"/>
    </row>
    <row r="14" spans="1:28">
      <c r="A14" s="295">
        <v>200</v>
      </c>
      <c r="B14" s="445">
        <v>1.9950000000000001</v>
      </c>
      <c r="C14" s="445">
        <v>2.0579999999999998</v>
      </c>
      <c r="D14" s="445">
        <v>2.0910000000000002</v>
      </c>
      <c r="E14" s="445">
        <v>2.1240000000000001</v>
      </c>
      <c r="F14" s="445">
        <v>2.1589999999999998</v>
      </c>
      <c r="G14" s="445">
        <v>2.1949999999999998</v>
      </c>
      <c r="H14" s="445">
        <v>2.2690000000000001</v>
      </c>
      <c r="I14" s="445">
        <v>2.3479999999999999</v>
      </c>
      <c r="J14" s="296"/>
      <c r="K14" s="295"/>
      <c r="L14" s="295">
        <v>400</v>
      </c>
      <c r="M14" s="295">
        <v>-57</v>
      </c>
      <c r="N14" s="295">
        <v>-44</v>
      </c>
      <c r="O14" s="296">
        <v>-30.4</v>
      </c>
      <c r="P14" s="296">
        <v>-15.6</v>
      </c>
      <c r="Q14" s="296">
        <v>0</v>
      </c>
      <c r="R14" s="296">
        <v>15</v>
      </c>
      <c r="S14" s="296">
        <v>30.7</v>
      </c>
      <c r="T14" s="296">
        <v>47.3</v>
      </c>
      <c r="U14" s="296">
        <v>64.8</v>
      </c>
      <c r="V14" s="309"/>
      <c r="Y14" s="1">
        <f>INDEX(Misc1Trim2,0,MATCH(Y13,Misc1Trim2,1))</f>
        <v>0</v>
      </c>
      <c r="Z14" s="1">
        <f>Interp2(Misc1Trim1,Misc1Trim2,Misc1Trim3,AA10,Y14)</f>
        <v>0.28100000000000003</v>
      </c>
      <c r="AA14" s="1">
        <f>Interp2(Misc1Trim1,Misc1Trim2,Misc1Trim3,AA11,Y14)</f>
        <v>0.28100000000000003</v>
      </c>
      <c r="AB14" s="1"/>
    </row>
    <row r="15" spans="1:28">
      <c r="A15" s="295">
        <v>250</v>
      </c>
      <c r="B15" s="445">
        <v>2.5640000000000001</v>
      </c>
      <c r="C15" s="445">
        <v>2.6389999999999998</v>
      </c>
      <c r="D15" s="445">
        <v>2.6779999999999999</v>
      </c>
      <c r="E15" s="445">
        <v>2.718</v>
      </c>
      <c r="F15" s="445">
        <v>2.7589999999999999</v>
      </c>
      <c r="G15" s="445">
        <v>2.8</v>
      </c>
      <c r="H15" s="445">
        <v>2.8849999999999998</v>
      </c>
      <c r="I15" s="445">
        <v>2.9740000000000002</v>
      </c>
      <c r="J15" s="296"/>
      <c r="K15" s="295"/>
      <c r="L15" s="295">
        <v>500</v>
      </c>
      <c r="M15" s="295">
        <v>-59</v>
      </c>
      <c r="N15" s="295">
        <v>-45</v>
      </c>
      <c r="O15" s="296">
        <v>-31</v>
      </c>
      <c r="P15" s="296">
        <v>-15.9</v>
      </c>
      <c r="Q15" s="296">
        <v>0</v>
      </c>
      <c r="R15" s="296">
        <v>15.4</v>
      </c>
      <c r="S15" s="296">
        <v>31.5</v>
      </c>
      <c r="T15" s="296">
        <v>48.4</v>
      </c>
      <c r="U15" s="296">
        <v>66</v>
      </c>
      <c r="V15" s="309"/>
      <c r="Y15" s="1">
        <f>IF(Y14=Y13,Y13,INDEX(Misc1Trim2,0,MATCH(Y13,Misc1Trim2,1)+1))</f>
        <v>0.5</v>
      </c>
      <c r="Z15" s="1">
        <f>Interp2(Misc1Trim1,Misc1Trim2,Misc1Trim3,AA10,Y15)</f>
        <v>0.29299999999999998</v>
      </c>
      <c r="AA15" s="1">
        <f>Interp2(Misc1Trim1,Misc1Trim2,Misc1Trim3,AA11,Y15)</f>
        <v>0.29299999999999998</v>
      </c>
      <c r="AB15" s="1"/>
    </row>
    <row r="16" spans="1:28">
      <c r="A16" s="295">
        <v>300</v>
      </c>
      <c r="B16" s="445">
        <v>3.1869999999999998</v>
      </c>
      <c r="C16" s="445">
        <v>3.2719999999999998</v>
      </c>
      <c r="D16" s="445">
        <v>3.3159999999999998</v>
      </c>
      <c r="E16" s="445">
        <v>3.3610000000000002</v>
      </c>
      <c r="F16" s="445">
        <v>3.407</v>
      </c>
      <c r="G16" s="445">
        <v>3.4529999999999998</v>
      </c>
      <c r="H16" s="445">
        <v>3.5470000000000002</v>
      </c>
      <c r="I16" s="445">
        <v>3.6429999999999998</v>
      </c>
      <c r="J16" s="296"/>
      <c r="K16" s="295"/>
      <c r="L16" s="295">
        <v>600</v>
      </c>
      <c r="M16" s="295">
        <v>-60</v>
      </c>
      <c r="N16" s="295">
        <v>-46</v>
      </c>
      <c r="O16" s="296">
        <v>-31.6</v>
      </c>
      <c r="P16" s="296">
        <v>-16.100000000000001</v>
      </c>
      <c r="Q16" s="296">
        <v>0</v>
      </c>
      <c r="R16" s="296">
        <v>15.8</v>
      </c>
      <c r="S16" s="296">
        <v>32.299999999999997</v>
      </c>
      <c r="T16" s="296">
        <v>49.4</v>
      </c>
      <c r="U16" s="296">
        <v>67.099999999999994</v>
      </c>
      <c r="V16" s="309"/>
    </row>
    <row r="17" spans="1:25">
      <c r="A17" s="295">
        <v>350</v>
      </c>
      <c r="B17" s="445">
        <v>3.855</v>
      </c>
      <c r="C17" s="445">
        <v>3.95</v>
      </c>
      <c r="D17" s="445">
        <v>3.9990000000000001</v>
      </c>
      <c r="E17" s="445">
        <v>4.0469999999999997</v>
      </c>
      <c r="F17" s="445">
        <v>4.0960000000000001</v>
      </c>
      <c r="G17" s="445">
        <v>4.1459999999999999</v>
      </c>
      <c r="H17" s="445">
        <v>4.2480000000000002</v>
      </c>
      <c r="I17" s="445">
        <v>4.3520000000000003</v>
      </c>
      <c r="J17" s="296"/>
      <c r="K17" s="295"/>
      <c r="L17" s="295">
        <v>700</v>
      </c>
      <c r="M17" s="295">
        <v>-62</v>
      </c>
      <c r="N17" s="295">
        <v>-47</v>
      </c>
      <c r="O17" s="296">
        <v>-32.200000000000003</v>
      </c>
      <c r="P17" s="296">
        <v>-16.399999999999999</v>
      </c>
      <c r="Q17" s="296">
        <v>0</v>
      </c>
      <c r="R17" s="296">
        <v>16.2</v>
      </c>
      <c r="S17" s="296">
        <v>33</v>
      </c>
      <c r="T17" s="296">
        <v>50.3</v>
      </c>
      <c r="U17" s="296">
        <v>68.2</v>
      </c>
      <c r="V17" s="309"/>
      <c r="Y17">
        <f>COUNT(A10:U60)</f>
        <v>729</v>
      </c>
    </row>
    <row r="18" spans="1:25">
      <c r="A18" s="295">
        <v>400</v>
      </c>
      <c r="B18" s="445">
        <v>4.5640000000000001</v>
      </c>
      <c r="C18" s="445">
        <v>4.6660000000000004</v>
      </c>
      <c r="D18" s="445">
        <v>4.718</v>
      </c>
      <c r="E18" s="445">
        <v>4.71</v>
      </c>
      <c r="F18" s="445">
        <v>4.8230000000000004</v>
      </c>
      <c r="G18" s="445">
        <v>4.8769999999999998</v>
      </c>
      <c r="H18" s="445">
        <v>4.9870000000000001</v>
      </c>
      <c r="I18" s="445">
        <v>5.0979999999999999</v>
      </c>
      <c r="J18" s="296"/>
      <c r="K18" s="295"/>
      <c r="L18" s="295">
        <v>800</v>
      </c>
      <c r="M18" s="295">
        <v>-64</v>
      </c>
      <c r="N18" s="295">
        <v>-48</v>
      </c>
      <c r="O18" s="296">
        <v>-32.9</v>
      </c>
      <c r="P18" s="296">
        <v>-16.7</v>
      </c>
      <c r="Q18" s="296">
        <v>0</v>
      </c>
      <c r="R18" s="296">
        <v>16.5</v>
      </c>
      <c r="S18" s="296">
        <v>33.6</v>
      </c>
      <c r="T18" s="296">
        <v>51.2</v>
      </c>
      <c r="U18" s="296">
        <v>69.400000000000006</v>
      </c>
      <c r="V18" s="309"/>
      <c r="Y18">
        <f>COUNTA(A10:U60)</f>
        <v>729</v>
      </c>
    </row>
    <row r="19" spans="1:25">
      <c r="A19" s="295">
        <v>450</v>
      </c>
      <c r="B19" s="445">
        <v>5.3079999999999998</v>
      </c>
      <c r="C19" s="445">
        <v>5.4169999999999998</v>
      </c>
      <c r="D19" s="445">
        <v>5.4729999999999999</v>
      </c>
      <c r="E19" s="445">
        <v>5.5289999999999999</v>
      </c>
      <c r="F19" s="445">
        <v>5.5860000000000003</v>
      </c>
      <c r="G19" s="445">
        <v>5.6429999999999998</v>
      </c>
      <c r="H19" s="445">
        <v>5.76</v>
      </c>
      <c r="I19" s="445">
        <v>5.8780000000000001</v>
      </c>
      <c r="J19" s="296"/>
      <c r="K19" s="295"/>
      <c r="L19" s="295">
        <v>900</v>
      </c>
      <c r="M19" s="295">
        <v>-65</v>
      </c>
      <c r="N19" s="295">
        <v>-50</v>
      </c>
      <c r="O19" s="296">
        <v>-33.6</v>
      </c>
      <c r="P19" s="296">
        <v>-17</v>
      </c>
      <c r="Q19" s="296">
        <v>0</v>
      </c>
      <c r="R19" s="296">
        <v>16.899999999999999</v>
      </c>
      <c r="S19" s="296">
        <v>34.299999999999997</v>
      </c>
      <c r="T19" s="296">
        <v>52.2</v>
      </c>
      <c r="U19" s="296">
        <v>70.5</v>
      </c>
      <c r="V19" s="309"/>
    </row>
    <row r="20" spans="1:25">
      <c r="A20" s="295">
        <v>500</v>
      </c>
      <c r="B20" s="445">
        <v>6.0860000000000003</v>
      </c>
      <c r="C20" s="445">
        <v>6.2030000000000003</v>
      </c>
      <c r="D20" s="445">
        <v>6.2619999999999996</v>
      </c>
      <c r="E20" s="445">
        <v>6.3220000000000001</v>
      </c>
      <c r="F20" s="445">
        <v>6.3819999999999997</v>
      </c>
      <c r="G20" s="445">
        <v>6.4420000000000002</v>
      </c>
      <c r="H20" s="445">
        <v>6.5650000000000004</v>
      </c>
      <c r="I20" s="445">
        <v>6.69</v>
      </c>
      <c r="J20" s="296"/>
      <c r="K20" s="295"/>
      <c r="L20" s="295">
        <v>1000</v>
      </c>
      <c r="M20" s="295">
        <v>-67</v>
      </c>
      <c r="N20" s="295">
        <v>-51</v>
      </c>
      <c r="O20" s="296">
        <v>-34.200000000000003</v>
      </c>
      <c r="P20" s="296">
        <v>-17.399999999999999</v>
      </c>
      <c r="Q20" s="296">
        <v>0</v>
      </c>
      <c r="R20" s="296">
        <v>17.3</v>
      </c>
      <c r="S20" s="296">
        <v>35</v>
      </c>
      <c r="T20" s="296">
        <v>53.1</v>
      </c>
      <c r="U20" s="296">
        <v>71.7</v>
      </c>
      <c r="V20" s="309"/>
    </row>
    <row r="21" spans="1:25">
      <c r="A21" s="295">
        <v>550</v>
      </c>
      <c r="B21" s="445">
        <v>6.8970000000000002</v>
      </c>
      <c r="C21" s="445">
        <v>7.02</v>
      </c>
      <c r="D21" s="445">
        <v>7.0830000000000002</v>
      </c>
      <c r="E21" s="445">
        <v>7.1449999999999996</v>
      </c>
      <c r="F21" s="445">
        <v>7.2089999999999996</v>
      </c>
      <c r="G21" s="445">
        <v>7.2720000000000002</v>
      </c>
      <c r="H21" s="445">
        <v>7.4009999999999998</v>
      </c>
      <c r="I21" s="445">
        <v>7.5309999999999997</v>
      </c>
      <c r="J21" s="296"/>
      <c r="K21" s="295"/>
      <c r="L21" s="295">
        <v>1100</v>
      </c>
      <c r="M21" s="295">
        <v>-68</v>
      </c>
      <c r="N21" s="295">
        <v>-52</v>
      </c>
      <c r="O21" s="296">
        <v>-34.9</v>
      </c>
      <c r="P21" s="296">
        <v>-17.7</v>
      </c>
      <c r="Q21" s="296">
        <v>0</v>
      </c>
      <c r="R21" s="296">
        <v>17.600000000000001</v>
      </c>
      <c r="S21" s="296">
        <v>35.6</v>
      </c>
      <c r="T21" s="296">
        <v>54.1</v>
      </c>
      <c r="U21" s="296">
        <v>72.900000000000006</v>
      </c>
      <c r="V21" s="309"/>
    </row>
    <row r="22" spans="1:25">
      <c r="A22" s="295">
        <v>600</v>
      </c>
      <c r="B22" s="445">
        <v>7.7380000000000004</v>
      </c>
      <c r="C22" s="445">
        <v>7.867</v>
      </c>
      <c r="D22" s="445">
        <v>7.9320000000000004</v>
      </c>
      <c r="E22" s="445">
        <v>7.9969999999999999</v>
      </c>
      <c r="F22" s="445">
        <v>8.0630000000000006</v>
      </c>
      <c r="G22" s="445">
        <v>8.1289999999999996</v>
      </c>
      <c r="H22" s="445">
        <v>8.2629999999999999</v>
      </c>
      <c r="I22" s="445">
        <v>8.3989999999999991</v>
      </c>
      <c r="J22" s="296"/>
      <c r="K22" s="295"/>
      <c r="L22" s="295">
        <v>1200</v>
      </c>
      <c r="M22" s="295">
        <v>-70</v>
      </c>
      <c r="N22" s="295">
        <v>-53</v>
      </c>
      <c r="O22" s="296">
        <v>-35.6</v>
      </c>
      <c r="P22" s="296">
        <v>-18</v>
      </c>
      <c r="Q22" s="296">
        <v>0</v>
      </c>
      <c r="R22" s="296">
        <v>18</v>
      </c>
      <c r="S22" s="296">
        <v>36.299999999999997</v>
      </c>
      <c r="T22" s="296">
        <v>55</v>
      </c>
      <c r="U22" s="296">
        <v>74</v>
      </c>
      <c r="V22" s="309"/>
    </row>
    <row r="23" spans="1:25">
      <c r="A23" s="295">
        <v>650</v>
      </c>
      <c r="B23" s="445">
        <v>8.6059999999999999</v>
      </c>
      <c r="C23" s="445">
        <v>8.74</v>
      </c>
      <c r="D23" s="445">
        <v>8.8079999999999998</v>
      </c>
      <c r="E23" s="445">
        <v>8.8759999999999994</v>
      </c>
      <c r="F23" s="445">
        <v>8.9440000000000008</v>
      </c>
      <c r="G23" s="445">
        <v>9.0129999999999999</v>
      </c>
      <c r="H23" s="445">
        <v>9.1519999999999992</v>
      </c>
      <c r="I23" s="445">
        <v>9.2919999999999998</v>
      </c>
      <c r="J23" s="296"/>
      <c r="K23" s="295"/>
      <c r="L23" s="295">
        <v>1300</v>
      </c>
      <c r="M23" s="295">
        <v>-71</v>
      </c>
      <c r="N23" s="295">
        <v>-54</v>
      </c>
      <c r="O23" s="296">
        <v>-36.299999999999997</v>
      </c>
      <c r="P23" s="296">
        <v>-18.3</v>
      </c>
      <c r="Q23" s="296">
        <v>0</v>
      </c>
      <c r="R23" s="296">
        <v>19.8</v>
      </c>
      <c r="S23" s="296">
        <v>39.299999999999997</v>
      </c>
      <c r="T23" s="296">
        <v>57.3</v>
      </c>
      <c r="U23" s="296">
        <v>74.900000000000006</v>
      </c>
      <c r="V23" s="309"/>
    </row>
    <row r="24" spans="1:25">
      <c r="A24" s="295">
        <v>700</v>
      </c>
      <c r="B24" s="445">
        <v>9.4990000000000006</v>
      </c>
      <c r="C24" s="445">
        <v>9.6379999999999999</v>
      </c>
      <c r="D24" s="445">
        <v>9.7080000000000002</v>
      </c>
      <c r="E24" s="445">
        <v>9.7780000000000005</v>
      </c>
      <c r="F24" s="445">
        <v>9.8490000000000002</v>
      </c>
      <c r="G24" s="445">
        <v>9.92</v>
      </c>
      <c r="H24" s="445">
        <v>10.064</v>
      </c>
      <c r="I24" s="445">
        <v>10.209</v>
      </c>
      <c r="J24" s="296"/>
      <c r="K24" s="295"/>
      <c r="L24" s="295">
        <v>1400</v>
      </c>
      <c r="M24" s="295">
        <v>-73</v>
      </c>
      <c r="N24" s="295">
        <v>-54</v>
      </c>
      <c r="O24" s="296">
        <v>-34.6</v>
      </c>
      <c r="P24" s="296">
        <v>-16.399999999999999</v>
      </c>
      <c r="Q24" s="296">
        <v>0</v>
      </c>
      <c r="R24" s="296">
        <v>18.600000000000001</v>
      </c>
      <c r="S24" s="296">
        <v>37.6</v>
      </c>
      <c r="T24" s="296">
        <v>57</v>
      </c>
      <c r="U24" s="296">
        <v>76.2</v>
      </c>
      <c r="V24" s="309"/>
    </row>
    <row r="25" spans="1:25">
      <c r="A25" s="295">
        <v>750</v>
      </c>
      <c r="B25" s="445">
        <v>10.414999999999999</v>
      </c>
      <c r="C25" s="445">
        <v>10.558999999999999</v>
      </c>
      <c r="D25" s="445">
        <v>10.631</v>
      </c>
      <c r="E25" s="445">
        <v>10.704000000000001</v>
      </c>
      <c r="F25" s="445">
        <v>10.776999999999999</v>
      </c>
      <c r="G25" s="445">
        <v>10.851000000000001</v>
      </c>
      <c r="H25" s="445">
        <v>10.999000000000001</v>
      </c>
      <c r="I25" s="445">
        <v>11.148</v>
      </c>
      <c r="J25" s="296"/>
      <c r="K25" s="295"/>
      <c r="L25" s="295">
        <v>1500</v>
      </c>
      <c r="M25" s="295">
        <v>-75</v>
      </c>
      <c r="N25" s="295">
        <v>-56</v>
      </c>
      <c r="O25" s="296">
        <v>-37.700000000000003</v>
      </c>
      <c r="P25" s="296">
        <v>-19</v>
      </c>
      <c r="Q25" s="296">
        <v>0</v>
      </c>
      <c r="R25" s="296">
        <v>21.1</v>
      </c>
      <c r="S25" s="296">
        <v>41.1</v>
      </c>
      <c r="T25" s="296">
        <v>58.6</v>
      </c>
      <c r="U25" s="296">
        <v>75.400000000000006</v>
      </c>
      <c r="V25" s="309"/>
    </row>
    <row r="26" spans="1:25">
      <c r="A26" s="295">
        <v>800</v>
      </c>
      <c r="B26" s="445">
        <v>11.353999999999999</v>
      </c>
      <c r="C26" s="445">
        <v>11.502000000000001</v>
      </c>
      <c r="D26" s="445">
        <v>11.576000000000001</v>
      </c>
      <c r="E26" s="445">
        <v>11.651</v>
      </c>
      <c r="F26" s="445">
        <v>11.727</v>
      </c>
      <c r="G26" s="445">
        <v>11.802</v>
      </c>
      <c r="H26" s="445">
        <v>11.954000000000001</v>
      </c>
      <c r="I26" s="445">
        <v>12.108000000000001</v>
      </c>
      <c r="J26" s="296"/>
      <c r="K26" s="295"/>
      <c r="L26" s="295">
        <v>1600</v>
      </c>
      <c r="M26" s="295">
        <v>-77</v>
      </c>
      <c r="N26" s="295">
        <v>-56</v>
      </c>
      <c r="O26" s="296">
        <v>-35.700000000000003</v>
      </c>
      <c r="P26" s="296">
        <v>-16.100000000000001</v>
      </c>
      <c r="Q26" s="296">
        <v>0</v>
      </c>
      <c r="R26" s="296">
        <v>19.2</v>
      </c>
      <c r="S26" s="296">
        <v>38.700000000000003</v>
      </c>
      <c r="T26" s="296">
        <v>58.5</v>
      </c>
      <c r="U26" s="296">
        <v>77.8</v>
      </c>
      <c r="V26" s="309"/>
    </row>
    <row r="27" spans="1:25">
      <c r="A27" s="295">
        <v>850</v>
      </c>
      <c r="B27" s="445">
        <v>12.313000000000001</v>
      </c>
      <c r="C27" s="445">
        <v>12.465</v>
      </c>
      <c r="D27" s="445">
        <v>12.542</v>
      </c>
      <c r="E27" s="445">
        <v>12.619</v>
      </c>
      <c r="F27" s="445">
        <v>12.696</v>
      </c>
      <c r="G27" s="445">
        <v>12.773</v>
      </c>
      <c r="H27" s="445">
        <v>12.929</v>
      </c>
      <c r="I27" s="445">
        <v>13.087</v>
      </c>
      <c r="J27" s="296"/>
      <c r="K27" s="295"/>
      <c r="L27" s="295">
        <v>1700</v>
      </c>
      <c r="M27" s="295">
        <v>-79</v>
      </c>
      <c r="N27" s="295">
        <v>-58</v>
      </c>
      <c r="O27" s="296">
        <v>-38.6</v>
      </c>
      <c r="P27" s="296">
        <v>-19.399999999999999</v>
      </c>
      <c r="Q27" s="296">
        <v>0</v>
      </c>
      <c r="R27" s="296">
        <v>19.2</v>
      </c>
      <c r="S27" s="296">
        <v>38.700000000000003</v>
      </c>
      <c r="T27" s="296">
        <v>58.3</v>
      </c>
      <c r="U27" s="296">
        <v>78.2</v>
      </c>
      <c r="V27" s="309"/>
    </row>
    <row r="28" spans="1:25">
      <c r="A28" s="295">
        <v>900</v>
      </c>
      <c r="B28" s="445">
        <v>13.292</v>
      </c>
      <c r="C28" s="445">
        <v>13.448</v>
      </c>
      <c r="D28" s="445">
        <v>13.526</v>
      </c>
      <c r="E28" s="445">
        <v>13.605</v>
      </c>
      <c r="F28" s="445">
        <v>13.683999999999999</v>
      </c>
      <c r="G28" s="445">
        <v>13.763999999999999</v>
      </c>
      <c r="H28" s="445">
        <v>13.923</v>
      </c>
      <c r="I28" s="445">
        <v>14.084</v>
      </c>
      <c r="J28" s="296"/>
      <c r="K28" s="295"/>
      <c r="L28" s="295">
        <v>1800</v>
      </c>
      <c r="M28" s="295">
        <v>-76</v>
      </c>
      <c r="N28" s="295">
        <v>-57</v>
      </c>
      <c r="O28" s="296">
        <v>-38.200000000000003</v>
      </c>
      <c r="P28" s="296">
        <v>-19.2</v>
      </c>
      <c r="Q28" s="296">
        <v>0</v>
      </c>
      <c r="R28" s="296">
        <v>19.2</v>
      </c>
      <c r="S28" s="296">
        <v>38.6</v>
      </c>
      <c r="T28" s="296">
        <v>58.2</v>
      </c>
      <c r="U28" s="296">
        <v>77.900000000000006</v>
      </c>
      <c r="V28" s="309"/>
    </row>
    <row r="29" spans="1:25">
      <c r="A29" s="295">
        <v>950</v>
      </c>
      <c r="B29" s="445">
        <v>14.288</v>
      </c>
      <c r="C29" s="445">
        <v>14.448</v>
      </c>
      <c r="D29" s="445">
        <v>14.529</v>
      </c>
      <c r="E29" s="445">
        <v>14.609</v>
      </c>
      <c r="F29" s="445">
        <v>14.69</v>
      </c>
      <c r="G29" s="445">
        <v>14.771000000000001</v>
      </c>
      <c r="H29" s="445">
        <v>14.933999999999999</v>
      </c>
      <c r="I29" s="445">
        <v>15.098000000000001</v>
      </c>
      <c r="J29" s="296"/>
      <c r="K29" s="295"/>
      <c r="L29" s="295">
        <v>1900</v>
      </c>
      <c r="M29" s="295">
        <v>-76</v>
      </c>
      <c r="N29" s="295">
        <v>-57</v>
      </c>
      <c r="O29" s="296">
        <v>-38.200000000000003</v>
      </c>
      <c r="P29" s="296">
        <v>-19.2</v>
      </c>
      <c r="Q29" s="296">
        <v>0</v>
      </c>
      <c r="R29" s="296">
        <v>19.2</v>
      </c>
      <c r="S29" s="296">
        <v>38.6</v>
      </c>
      <c r="T29" s="296">
        <v>58</v>
      </c>
      <c r="U29" s="296">
        <v>77.599999999999994</v>
      </c>
      <c r="V29" s="309"/>
    </row>
    <row r="30" spans="1:25">
      <c r="A30" s="295">
        <v>1000</v>
      </c>
      <c r="B30" s="445">
        <v>15.303000000000001</v>
      </c>
      <c r="C30" s="445">
        <v>15.465999999999999</v>
      </c>
      <c r="D30" s="445">
        <v>15.548</v>
      </c>
      <c r="E30" s="445">
        <v>15.63</v>
      </c>
      <c r="F30" s="445">
        <v>15.712999999999999</v>
      </c>
      <c r="G30" s="445">
        <v>15.795</v>
      </c>
      <c r="H30" s="445">
        <v>15.962</v>
      </c>
      <c r="I30" s="445">
        <v>16.129000000000001</v>
      </c>
      <c r="J30" s="296"/>
      <c r="K30" s="295"/>
      <c r="L30" s="295">
        <v>2000</v>
      </c>
      <c r="M30" s="295">
        <v>-76</v>
      </c>
      <c r="N30" s="295">
        <v>-57</v>
      </c>
      <c r="O30" s="296">
        <v>-38.299999999999997</v>
      </c>
      <c r="P30" s="296">
        <v>-19.2</v>
      </c>
      <c r="Q30" s="296">
        <v>0</v>
      </c>
      <c r="R30" s="296">
        <v>19.2</v>
      </c>
      <c r="S30" s="296">
        <v>38.5</v>
      </c>
      <c r="T30" s="296">
        <v>57.9</v>
      </c>
      <c r="U30" s="296">
        <v>77.400000000000006</v>
      </c>
      <c r="V30" s="309"/>
    </row>
    <row r="31" spans="1:25">
      <c r="A31" s="295">
        <v>1050</v>
      </c>
      <c r="B31" s="445">
        <v>16.332999999999998</v>
      </c>
      <c r="C31" s="445">
        <v>16.498999999999999</v>
      </c>
      <c r="D31" s="445">
        <v>16.582999999999998</v>
      </c>
      <c r="E31" s="445">
        <v>16.667000000000002</v>
      </c>
      <c r="F31" s="445">
        <v>16.751000000000001</v>
      </c>
      <c r="G31" s="445">
        <v>16.835000000000001</v>
      </c>
      <c r="H31" s="445">
        <v>17.004000000000001</v>
      </c>
      <c r="I31" s="445">
        <v>17.175000000000001</v>
      </c>
      <c r="J31" s="296"/>
      <c r="K31" s="295"/>
      <c r="L31" s="295">
        <v>2100</v>
      </c>
      <c r="M31" s="295">
        <v>-76</v>
      </c>
      <c r="N31" s="295">
        <v>-57</v>
      </c>
      <c r="O31" s="296">
        <v>-38.299999999999997</v>
      </c>
      <c r="P31" s="296">
        <v>-19.2</v>
      </c>
      <c r="Q31" s="296">
        <v>0</v>
      </c>
      <c r="R31" s="296">
        <v>19.2</v>
      </c>
      <c r="S31" s="296">
        <v>38.5</v>
      </c>
      <c r="T31" s="296">
        <v>57.8</v>
      </c>
      <c r="U31" s="296">
        <v>77.099999999999994</v>
      </c>
      <c r="V31" s="309"/>
    </row>
    <row r="32" spans="1:25">
      <c r="A32" s="295">
        <v>1100</v>
      </c>
      <c r="B32" s="445">
        <v>17.379000000000001</v>
      </c>
      <c r="C32" s="445">
        <v>17.547999999999998</v>
      </c>
      <c r="D32" s="445">
        <v>17.632999999999999</v>
      </c>
      <c r="E32" s="445">
        <v>17.718</v>
      </c>
      <c r="F32" s="445">
        <v>17.803999999999998</v>
      </c>
      <c r="G32" s="445">
        <v>17.89</v>
      </c>
      <c r="H32" s="445">
        <v>18.062000000000001</v>
      </c>
      <c r="I32" s="445">
        <v>18.234999999999999</v>
      </c>
      <c r="J32" s="296"/>
      <c r="K32" s="295"/>
      <c r="L32" s="295">
        <v>2200</v>
      </c>
      <c r="M32" s="295">
        <v>-77</v>
      </c>
      <c r="N32" s="295">
        <v>-57</v>
      </c>
      <c r="O32" s="296">
        <v>-38.4</v>
      </c>
      <c r="P32" s="296">
        <v>-19.2</v>
      </c>
      <c r="Q32" s="296">
        <v>0</v>
      </c>
      <c r="R32" s="296">
        <v>19.2</v>
      </c>
      <c r="S32" s="296">
        <v>38.4</v>
      </c>
      <c r="T32" s="296">
        <v>56</v>
      </c>
      <c r="U32" s="296">
        <v>63.5</v>
      </c>
      <c r="V32" s="309"/>
    </row>
    <row r="33" spans="1:22">
      <c r="A33" s="295">
        <v>1150</v>
      </c>
      <c r="B33" s="445">
        <v>18.437999999999999</v>
      </c>
      <c r="C33" s="445">
        <v>18.611000000000001</v>
      </c>
      <c r="D33" s="445">
        <v>18.696999999999999</v>
      </c>
      <c r="E33" s="445">
        <v>18.783999999999999</v>
      </c>
      <c r="F33" s="445">
        <v>18.870999999999999</v>
      </c>
      <c r="G33" s="445">
        <v>18.957999999999998</v>
      </c>
      <c r="H33" s="445">
        <v>19.132999999999999</v>
      </c>
      <c r="I33" s="445">
        <v>19.309000000000001</v>
      </c>
      <c r="J33" s="296"/>
      <c r="K33" s="295"/>
      <c r="L33" s="295">
        <v>2300</v>
      </c>
      <c r="M33" s="295">
        <v>-79</v>
      </c>
      <c r="N33" s="295">
        <v>-58</v>
      </c>
      <c r="O33" s="296">
        <v>-38.4</v>
      </c>
      <c r="P33" s="296">
        <v>-19.2</v>
      </c>
      <c r="Q33" s="296">
        <v>0</v>
      </c>
      <c r="R33" s="296">
        <v>29.7</v>
      </c>
      <c r="S33" s="296">
        <v>39.799999999999997</v>
      </c>
      <c r="T33" s="296">
        <v>38.200000000000003</v>
      </c>
      <c r="U33" s="296">
        <v>34.200000000000003</v>
      </c>
      <c r="V33" s="309"/>
    </row>
    <row r="34" spans="1:22">
      <c r="A34" s="295">
        <v>1200</v>
      </c>
      <c r="B34" s="445">
        <v>19.512</v>
      </c>
      <c r="C34" s="445">
        <v>19.687000000000001</v>
      </c>
      <c r="D34" s="445">
        <v>19.774999999999999</v>
      </c>
      <c r="E34" s="445">
        <v>19.863</v>
      </c>
      <c r="F34" s="445">
        <v>19.951000000000001</v>
      </c>
      <c r="G34" s="445">
        <v>20.04</v>
      </c>
      <c r="H34" s="445">
        <v>20.216999999999999</v>
      </c>
      <c r="I34" s="445">
        <v>20.396000000000001</v>
      </c>
      <c r="J34" s="296"/>
      <c r="K34" s="295"/>
      <c r="L34" s="295">
        <v>2400</v>
      </c>
      <c r="M34" s="295">
        <v>-107</v>
      </c>
      <c r="N34" s="295">
        <v>-75</v>
      </c>
      <c r="O34" s="296">
        <v>-39.9</v>
      </c>
      <c r="P34" s="296">
        <v>-8.1</v>
      </c>
      <c r="Q34" s="296">
        <v>0</v>
      </c>
      <c r="R34" s="296">
        <v>0</v>
      </c>
      <c r="S34" s="296">
        <v>-1.8</v>
      </c>
      <c r="T34" s="296">
        <v>-5.5</v>
      </c>
      <c r="U34" s="296">
        <v>-10.9</v>
      </c>
      <c r="V34" s="309"/>
    </row>
    <row r="35" spans="1:22">
      <c r="A35" s="295">
        <v>1250</v>
      </c>
      <c r="B35" s="445">
        <v>20.599</v>
      </c>
      <c r="C35" s="445">
        <v>20.777000000000001</v>
      </c>
      <c r="D35" s="445">
        <v>20.866</v>
      </c>
      <c r="E35" s="445">
        <v>20.954999999999998</v>
      </c>
      <c r="F35" s="445">
        <v>21.045000000000002</v>
      </c>
      <c r="G35" s="445">
        <v>21.134</v>
      </c>
      <c r="H35" s="445">
        <v>21.314</v>
      </c>
      <c r="I35" s="445">
        <v>21.495000000000001</v>
      </c>
      <c r="J35" s="296"/>
      <c r="K35" s="295"/>
      <c r="L35" s="295">
        <v>2500</v>
      </c>
      <c r="M35" s="295">
        <v>-136</v>
      </c>
      <c r="N35" s="295">
        <v>-110</v>
      </c>
      <c r="O35" s="296">
        <v>0</v>
      </c>
      <c r="P35" s="296">
        <v>0</v>
      </c>
      <c r="Q35" s="296">
        <v>0</v>
      </c>
      <c r="R35" s="296">
        <v>0</v>
      </c>
      <c r="S35" s="296">
        <v>0</v>
      </c>
      <c r="T35" s="296">
        <v>0</v>
      </c>
      <c r="U35" s="296">
        <v>0</v>
      </c>
      <c r="V35" s="309"/>
    </row>
    <row r="36" spans="1:22">
      <c r="A36" s="295">
        <v>1300</v>
      </c>
      <c r="B36" s="445">
        <v>21.698</v>
      </c>
      <c r="C36" s="445">
        <v>21.878</v>
      </c>
      <c r="D36" s="445">
        <v>21.968</v>
      </c>
      <c r="E36" s="445">
        <v>22.059000000000001</v>
      </c>
      <c r="F36" s="445">
        <v>22.15</v>
      </c>
      <c r="G36" s="445">
        <v>22.24</v>
      </c>
      <c r="H36" s="445">
        <v>22.422000000000001</v>
      </c>
      <c r="I36" s="445">
        <v>22.605</v>
      </c>
      <c r="J36" s="296"/>
      <c r="K36" s="295"/>
      <c r="L36" s="295">
        <v>5198</v>
      </c>
      <c r="M36" s="295">
        <v>0</v>
      </c>
      <c r="N36" s="295">
        <v>0</v>
      </c>
      <c r="O36" s="296">
        <v>0</v>
      </c>
      <c r="P36" s="296">
        <v>0</v>
      </c>
      <c r="Q36" s="296">
        <v>0</v>
      </c>
      <c r="R36" s="296">
        <v>0</v>
      </c>
      <c r="S36" s="296">
        <v>0</v>
      </c>
      <c r="T36" s="296">
        <v>0</v>
      </c>
      <c r="U36" s="296">
        <v>0</v>
      </c>
      <c r="V36" s="309"/>
    </row>
    <row r="37" spans="1:22">
      <c r="A37" s="295">
        <v>1350</v>
      </c>
      <c r="B37" s="445">
        <v>22.809000000000001</v>
      </c>
      <c r="C37" s="445">
        <v>22.991</v>
      </c>
      <c r="D37" s="445">
        <v>23.082000000000001</v>
      </c>
      <c r="E37" s="445">
        <v>23.173999999999999</v>
      </c>
      <c r="F37" s="445">
        <v>23.263000000000002</v>
      </c>
      <c r="G37" s="445">
        <v>23.352</v>
      </c>
      <c r="H37" s="445">
        <v>23.521000000000001</v>
      </c>
      <c r="I37" s="445">
        <v>23.687999999999999</v>
      </c>
      <c r="J37" s="296"/>
      <c r="K37" s="295"/>
      <c r="L37" s="295"/>
      <c r="M37" s="295"/>
      <c r="N37" s="295"/>
      <c r="O37" s="296"/>
      <c r="P37" s="296"/>
      <c r="Q37" s="296"/>
      <c r="R37" s="296"/>
      <c r="S37" s="296"/>
      <c r="T37" s="296"/>
      <c r="U37" s="296"/>
      <c r="V37" s="309"/>
    </row>
    <row r="38" spans="1:22">
      <c r="A38" s="295">
        <v>1400</v>
      </c>
      <c r="B38" s="445">
        <v>23.774000000000001</v>
      </c>
      <c r="C38" s="445">
        <v>23.940999999999999</v>
      </c>
      <c r="D38" s="445">
        <v>24.024000000000001</v>
      </c>
      <c r="E38" s="445">
        <v>24.108000000000001</v>
      </c>
      <c r="F38" s="445">
        <v>24.190999999999999</v>
      </c>
      <c r="G38" s="445">
        <v>24.274999999999999</v>
      </c>
      <c r="H38" s="445">
        <v>24.443999999999999</v>
      </c>
      <c r="I38" s="445">
        <v>24.611999999999998</v>
      </c>
      <c r="J38" s="296"/>
      <c r="K38" s="295"/>
      <c r="L38" s="295"/>
      <c r="M38" s="295"/>
      <c r="N38" s="295"/>
      <c r="O38" s="296"/>
      <c r="P38" s="296"/>
      <c r="Q38" s="296"/>
      <c r="R38" s="296"/>
      <c r="S38" s="296"/>
      <c r="T38" s="296"/>
      <c r="U38" s="296"/>
      <c r="V38" s="309"/>
    </row>
    <row r="39" spans="1:22">
      <c r="A39" s="295">
        <v>1450</v>
      </c>
      <c r="B39" s="445">
        <v>24.693999999999999</v>
      </c>
      <c r="C39" s="445">
        <v>24.861999999999998</v>
      </c>
      <c r="D39" s="445">
        <v>24.946000000000002</v>
      </c>
      <c r="E39" s="445">
        <v>25.030999999999999</v>
      </c>
      <c r="F39" s="445">
        <v>25.116</v>
      </c>
      <c r="G39" s="445">
        <v>25.201000000000001</v>
      </c>
      <c r="H39" s="445">
        <v>25.370999999999999</v>
      </c>
      <c r="I39" s="445">
        <v>25.541</v>
      </c>
      <c r="J39" s="296"/>
      <c r="K39" s="295"/>
      <c r="L39" s="295"/>
      <c r="M39" s="295"/>
      <c r="N39" s="295"/>
      <c r="O39" s="296"/>
      <c r="P39" s="296"/>
      <c r="Q39" s="296"/>
      <c r="R39" s="296"/>
      <c r="S39" s="296"/>
      <c r="T39" s="296"/>
      <c r="U39" s="296"/>
      <c r="V39" s="309"/>
    </row>
    <row r="40" spans="1:22">
      <c r="A40" s="191">
        <v>1500</v>
      </c>
      <c r="B40" s="12">
        <v>25.623000000000001</v>
      </c>
      <c r="C40" s="12">
        <v>25.792999999999999</v>
      </c>
      <c r="D40" s="12">
        <v>25.878</v>
      </c>
      <c r="E40" s="12">
        <v>25.963999999999999</v>
      </c>
      <c r="F40" s="12">
        <v>26.048999999999999</v>
      </c>
      <c r="G40" s="12">
        <v>26.135000000000002</v>
      </c>
      <c r="H40" s="12">
        <v>26.303999999999998</v>
      </c>
      <c r="I40" s="12">
        <v>26.420999999999999</v>
      </c>
    </row>
    <row r="41" spans="1:22">
      <c r="A41" s="191">
        <v>1550</v>
      </c>
      <c r="B41" s="12">
        <v>26.56</v>
      </c>
      <c r="C41" s="12">
        <v>26.731999999999999</v>
      </c>
      <c r="D41" s="12">
        <v>26.818000000000001</v>
      </c>
      <c r="E41" s="12">
        <v>26.875</v>
      </c>
      <c r="F41" s="12">
        <v>26.914000000000001</v>
      </c>
      <c r="G41" s="12">
        <v>26.954000000000001</v>
      </c>
      <c r="H41" s="12">
        <v>27.033000000000001</v>
      </c>
      <c r="I41" s="12">
        <v>27.113</v>
      </c>
    </row>
    <row r="42" spans="1:22">
      <c r="A42" s="191">
        <v>1600</v>
      </c>
      <c r="B42" s="12">
        <v>27.41</v>
      </c>
      <c r="C42" s="12">
        <v>27.49</v>
      </c>
      <c r="D42" s="12">
        <v>27.53</v>
      </c>
      <c r="E42" s="12">
        <v>27.568999999999999</v>
      </c>
      <c r="F42" s="12">
        <v>27.609000000000002</v>
      </c>
      <c r="G42" s="12">
        <v>27.649000000000001</v>
      </c>
      <c r="H42" s="12">
        <v>27.728999999999999</v>
      </c>
      <c r="I42" s="12">
        <v>27.809000000000001</v>
      </c>
    </row>
    <row r="43" spans="1:22">
      <c r="A43" s="191">
        <v>1650</v>
      </c>
      <c r="B43" s="12">
        <v>28.109000000000002</v>
      </c>
      <c r="C43" s="12">
        <v>28.189</v>
      </c>
      <c r="D43" s="12">
        <v>28.228999999999999</v>
      </c>
      <c r="E43" s="12">
        <v>28.268999999999998</v>
      </c>
      <c r="F43" s="12">
        <v>28.309000000000001</v>
      </c>
      <c r="G43" s="12">
        <v>28.349</v>
      </c>
      <c r="H43" s="12">
        <v>28.428999999999998</v>
      </c>
      <c r="I43" s="12">
        <v>28.51</v>
      </c>
    </row>
    <row r="44" spans="1:22">
      <c r="A44" s="191">
        <v>1700</v>
      </c>
      <c r="B44" s="12">
        <v>28.82</v>
      </c>
      <c r="C44" s="12">
        <v>28.901</v>
      </c>
      <c r="D44" s="12">
        <v>28.940999999999999</v>
      </c>
      <c r="E44" s="12">
        <v>28.981000000000002</v>
      </c>
      <c r="F44" s="12">
        <v>29.021000000000001</v>
      </c>
      <c r="G44" s="12">
        <v>29.062000000000001</v>
      </c>
      <c r="H44" s="12">
        <v>29.143000000000001</v>
      </c>
      <c r="I44" s="12">
        <v>29.222999999999999</v>
      </c>
    </row>
    <row r="45" spans="1:22">
      <c r="A45" s="191">
        <v>1750</v>
      </c>
      <c r="B45" s="12">
        <v>29.54</v>
      </c>
      <c r="C45" s="12">
        <v>29.620999999999999</v>
      </c>
      <c r="D45" s="12">
        <v>29.661000000000001</v>
      </c>
      <c r="E45" s="12">
        <v>29.702000000000002</v>
      </c>
      <c r="F45" s="12">
        <v>29.742000000000001</v>
      </c>
      <c r="G45" s="12">
        <v>29.783000000000001</v>
      </c>
      <c r="H45" s="12">
        <v>29.864000000000001</v>
      </c>
      <c r="I45" s="12">
        <v>29.945</v>
      </c>
    </row>
    <row r="46" spans="1:22">
      <c r="A46" s="191">
        <v>1800</v>
      </c>
      <c r="B46" s="12">
        <v>30.263000000000002</v>
      </c>
      <c r="C46" s="12">
        <v>30.344999999999999</v>
      </c>
      <c r="D46" s="12">
        <v>30.385000000000002</v>
      </c>
      <c r="E46" s="12">
        <v>30.425999999999998</v>
      </c>
      <c r="F46" s="12">
        <v>30.466999999999999</v>
      </c>
      <c r="G46" s="12">
        <v>30.507999999999999</v>
      </c>
      <c r="H46" s="12">
        <v>30.588999999999999</v>
      </c>
      <c r="I46" s="12">
        <v>30.670999999999999</v>
      </c>
    </row>
    <row r="47" spans="1:22">
      <c r="A47" s="191">
        <v>1850</v>
      </c>
      <c r="B47" s="12">
        <v>30.99</v>
      </c>
      <c r="C47" s="12">
        <v>31.071999999999999</v>
      </c>
      <c r="D47" s="12">
        <v>31.113</v>
      </c>
      <c r="E47" s="12">
        <v>31.152999999999999</v>
      </c>
      <c r="F47" s="12">
        <v>31.193999999999999</v>
      </c>
      <c r="G47" s="12">
        <v>31.234999999999999</v>
      </c>
      <c r="H47" s="12">
        <v>31.317</v>
      </c>
      <c r="I47" s="12">
        <v>31.399000000000001</v>
      </c>
    </row>
    <row r="48" spans="1:22">
      <c r="A48" s="191">
        <v>1900</v>
      </c>
      <c r="B48" s="12">
        <v>31.72</v>
      </c>
      <c r="C48" s="12">
        <v>31.802</v>
      </c>
      <c r="D48" s="12">
        <v>31.841999999999999</v>
      </c>
      <c r="E48" s="12">
        <v>31.882999999999999</v>
      </c>
      <c r="F48" s="12">
        <v>31.923999999999999</v>
      </c>
      <c r="G48" s="12">
        <v>31.965</v>
      </c>
      <c r="H48" s="12">
        <v>32.048000000000002</v>
      </c>
      <c r="I48" s="12">
        <v>32.130000000000003</v>
      </c>
    </row>
    <row r="49" spans="1:9">
      <c r="A49" s="191">
        <v>1950</v>
      </c>
      <c r="B49" s="12">
        <v>32.451999999999998</v>
      </c>
      <c r="C49" s="12">
        <v>32.533999999999999</v>
      </c>
      <c r="D49" s="12">
        <v>32.575000000000003</v>
      </c>
      <c r="E49" s="12">
        <v>32.616</v>
      </c>
      <c r="F49" s="12">
        <v>32.656999999999996</v>
      </c>
      <c r="G49" s="12">
        <v>32.698</v>
      </c>
      <c r="H49" s="12">
        <v>32.78</v>
      </c>
      <c r="I49" s="12">
        <v>32.863</v>
      </c>
    </row>
    <row r="50" spans="1:9">
      <c r="A50" s="191">
        <v>2000</v>
      </c>
      <c r="B50" s="12">
        <v>33.186</v>
      </c>
      <c r="C50" s="12">
        <v>33.268000000000001</v>
      </c>
      <c r="D50" s="12">
        <v>33.308999999999997</v>
      </c>
      <c r="E50" s="12">
        <v>33.35</v>
      </c>
      <c r="F50" s="12">
        <v>33.392000000000003</v>
      </c>
      <c r="G50" s="12">
        <v>33.433</v>
      </c>
      <c r="H50" s="12">
        <v>33.515000000000001</v>
      </c>
      <c r="I50" s="12">
        <v>33.597999999999999</v>
      </c>
    </row>
    <row r="51" spans="1:9">
      <c r="A51">
        <v>2050</v>
      </c>
      <c r="B51">
        <v>33.920999999999999</v>
      </c>
      <c r="C51">
        <v>34.003999999999998</v>
      </c>
      <c r="D51">
        <v>34.045000000000002</v>
      </c>
      <c r="E51">
        <v>34.085999999999999</v>
      </c>
      <c r="F51">
        <v>34.128</v>
      </c>
      <c r="G51">
        <v>34.168999999999997</v>
      </c>
      <c r="H51">
        <v>34.252000000000002</v>
      </c>
      <c r="I51">
        <v>34.334000000000003</v>
      </c>
    </row>
    <row r="52" spans="1:9">
      <c r="A52">
        <v>2100</v>
      </c>
      <c r="B52">
        <v>34.658999999999999</v>
      </c>
      <c r="C52">
        <v>34.741</v>
      </c>
      <c r="D52">
        <v>34.783000000000001</v>
      </c>
      <c r="E52">
        <v>34.823999999999998</v>
      </c>
      <c r="F52">
        <v>34.865000000000002</v>
      </c>
      <c r="G52">
        <v>34.906999999999996</v>
      </c>
      <c r="H52">
        <v>34.988999999999997</v>
      </c>
      <c r="I52">
        <v>35.072000000000003</v>
      </c>
    </row>
    <row r="53" spans="1:9">
      <c r="A53">
        <v>2150</v>
      </c>
      <c r="B53">
        <v>35.396999999999998</v>
      </c>
      <c r="C53">
        <v>35.479999999999997</v>
      </c>
      <c r="D53">
        <v>35.521000000000001</v>
      </c>
      <c r="E53">
        <v>35.561999999999998</v>
      </c>
      <c r="F53">
        <v>35.603999999999999</v>
      </c>
      <c r="G53">
        <v>35.645000000000003</v>
      </c>
      <c r="H53">
        <v>35.728000000000002</v>
      </c>
      <c r="I53">
        <v>35.81</v>
      </c>
    </row>
    <row r="54" spans="1:9">
      <c r="A54">
        <v>2200</v>
      </c>
      <c r="B54">
        <v>36.136000000000003</v>
      </c>
      <c r="C54">
        <v>36.219000000000001</v>
      </c>
      <c r="D54">
        <v>36.26</v>
      </c>
      <c r="E54">
        <v>36.301000000000002</v>
      </c>
      <c r="F54">
        <v>36.343000000000004</v>
      </c>
      <c r="G54">
        <v>36.384</v>
      </c>
      <c r="H54">
        <v>36.466999999999999</v>
      </c>
      <c r="I54">
        <v>36.548999999999999</v>
      </c>
    </row>
    <row r="55" spans="1:9">
      <c r="A55">
        <v>2250</v>
      </c>
      <c r="B55">
        <v>36.875</v>
      </c>
      <c r="C55">
        <v>36.957999999999998</v>
      </c>
      <c r="D55">
        <v>36.999000000000002</v>
      </c>
      <c r="E55">
        <v>37.040999999999997</v>
      </c>
      <c r="F55">
        <v>37.082000000000001</v>
      </c>
      <c r="G55">
        <v>37.122999999999998</v>
      </c>
      <c r="H55">
        <v>37.206000000000003</v>
      </c>
      <c r="I55">
        <v>37.287999999999997</v>
      </c>
    </row>
    <row r="56" spans="1:9">
      <c r="A56">
        <v>2300</v>
      </c>
      <c r="B56">
        <v>37.615000000000002</v>
      </c>
      <c r="C56">
        <v>37.698</v>
      </c>
      <c r="D56">
        <v>37.738999999999997</v>
      </c>
      <c r="E56">
        <v>37.78</v>
      </c>
      <c r="F56">
        <v>37.820999999999998</v>
      </c>
      <c r="G56">
        <v>37.863</v>
      </c>
      <c r="H56">
        <v>37.945</v>
      </c>
      <c r="I56">
        <v>38.027999999999999</v>
      </c>
    </row>
    <row r="57" spans="1:9">
      <c r="A57">
        <v>2350</v>
      </c>
      <c r="B57">
        <v>38.354999999999997</v>
      </c>
      <c r="C57">
        <v>38.436999999999998</v>
      </c>
      <c r="D57">
        <v>38.478000000000002</v>
      </c>
      <c r="E57">
        <v>38.518999999999998</v>
      </c>
      <c r="F57">
        <v>38.542000000000002</v>
      </c>
      <c r="G57">
        <v>38.551000000000002</v>
      </c>
      <c r="H57">
        <v>38.555999999999997</v>
      </c>
      <c r="I57">
        <v>38.555999999999997</v>
      </c>
    </row>
    <row r="58" spans="1:9">
      <c r="A58">
        <v>2400</v>
      </c>
      <c r="B58">
        <v>38.652999999999999</v>
      </c>
      <c r="C58">
        <v>38.652999999999999</v>
      </c>
      <c r="D58">
        <v>38.652999999999999</v>
      </c>
      <c r="E58">
        <v>38.652999999999999</v>
      </c>
      <c r="F58">
        <v>38.652999999999999</v>
      </c>
      <c r="G58">
        <v>38.652999999999999</v>
      </c>
      <c r="H58">
        <v>38.652999999999999</v>
      </c>
      <c r="I58">
        <v>38.652999999999999</v>
      </c>
    </row>
    <row r="59" spans="1:9">
      <c r="A59">
        <v>2450</v>
      </c>
      <c r="B59">
        <v>38.652999999999999</v>
      </c>
      <c r="C59">
        <v>38.652999999999999</v>
      </c>
      <c r="D59">
        <v>38.652999999999999</v>
      </c>
      <c r="E59">
        <v>38.652999999999999</v>
      </c>
      <c r="F59">
        <v>38.652999999999999</v>
      </c>
      <c r="G59">
        <v>38.652999999999999</v>
      </c>
      <c r="H59">
        <v>38.652999999999999</v>
      </c>
      <c r="I59">
        <v>38.652999999999999</v>
      </c>
    </row>
    <row r="60" spans="1:9">
      <c r="A60">
        <v>5198</v>
      </c>
      <c r="B60">
        <v>38.652999999999999</v>
      </c>
      <c r="C60">
        <v>38.652999999999999</v>
      </c>
      <c r="D60">
        <v>38.652999999999999</v>
      </c>
      <c r="E60">
        <v>38.652999999999999</v>
      </c>
      <c r="F60">
        <v>38.652999999999999</v>
      </c>
      <c r="G60">
        <v>38.652999999999999</v>
      </c>
      <c r="H60">
        <v>38.652999999999999</v>
      </c>
      <c r="I60">
        <v>38.652999999999999</v>
      </c>
    </row>
    <row r="61" spans="1:9" hidden="1"/>
    <row r="62" spans="1:9" hidden="1"/>
    <row r="63" spans="1:9" hidden="1"/>
    <row r="64" spans="1:9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1:22" hidden="1"/>
    <row r="114" spans="1:22" hidden="1"/>
    <row r="115" spans="1:22" hidden="1"/>
    <row r="116" spans="1:22" hidden="1"/>
    <row r="117" spans="1:22" hidden="1"/>
    <row r="118" spans="1:22" hidden="1"/>
    <row r="119" spans="1:22" hidden="1"/>
    <row r="120" spans="1:22" hidden="1"/>
    <row r="121" spans="1:22" hidden="1"/>
    <row r="122" spans="1:22" hidden="1"/>
    <row r="123" spans="1:22" hidden="1"/>
    <row r="124" spans="1:22" hidden="1"/>
    <row r="125" spans="1:22" hidden="1"/>
    <row r="126" spans="1:22" hidden="1"/>
    <row r="128" spans="1:22">
      <c r="A128" s="892" t="s">
        <v>401</v>
      </c>
      <c r="B128" s="892"/>
      <c r="C128" s="892"/>
      <c r="D128" s="892"/>
      <c r="E128" s="892"/>
      <c r="F128" s="892"/>
      <c r="G128" s="892"/>
      <c r="H128" s="892"/>
      <c r="I128" s="892"/>
      <c r="J128" s="892"/>
      <c r="K128" s="892"/>
      <c r="L128" s="892"/>
      <c r="M128" s="892"/>
      <c r="N128" s="892"/>
      <c r="O128" s="892"/>
      <c r="P128" s="892"/>
      <c r="Q128" s="892"/>
      <c r="R128" s="892"/>
      <c r="S128" s="892"/>
      <c r="T128" s="892"/>
      <c r="U128" s="892"/>
      <c r="V128" s="892"/>
    </row>
    <row r="129" spans="1:28">
      <c r="A129" t="s">
        <v>256</v>
      </c>
      <c r="B129">
        <v>-1</v>
      </c>
      <c r="C129">
        <v>0</v>
      </c>
      <c r="D129">
        <v>0.5</v>
      </c>
      <c r="E129">
        <v>1</v>
      </c>
      <c r="F129">
        <v>1.5</v>
      </c>
      <c r="G129">
        <v>2</v>
      </c>
      <c r="H129">
        <v>3</v>
      </c>
      <c r="I129">
        <v>4</v>
      </c>
      <c r="K129" t="s">
        <v>35</v>
      </c>
      <c r="L129" t="s">
        <v>256</v>
      </c>
      <c r="M129">
        <v>-4</v>
      </c>
      <c r="N129">
        <v>-3</v>
      </c>
      <c r="O129">
        <v>-2</v>
      </c>
      <c r="P129">
        <v>-1</v>
      </c>
      <c r="Q129">
        <v>0</v>
      </c>
      <c r="R129">
        <v>1</v>
      </c>
      <c r="S129">
        <v>2</v>
      </c>
      <c r="T129">
        <v>3</v>
      </c>
      <c r="U129">
        <v>4</v>
      </c>
      <c r="V129" t="s">
        <v>231</v>
      </c>
      <c r="Y129" s="1">
        <f>heelDraft1</f>
        <v>0</v>
      </c>
      <c r="Z129" s="186"/>
      <c r="AA129" s="186">
        <f>IF((Z129+Z132)&lt;0,Z129,Z129+Z132)</f>
        <v>0</v>
      </c>
      <c r="AB129" s="42">
        <f>IF(AB131=AB130,AB130,Interp1(AA130:AA131,AB130:AB131,AA129))</f>
        <v>0.40200000000000002</v>
      </c>
    </row>
    <row r="130" spans="1:28">
      <c r="A130" s="295">
        <v>0</v>
      </c>
      <c r="B130" s="445">
        <v>0.60799999999999998</v>
      </c>
      <c r="C130" s="445">
        <v>0.42899999999999999</v>
      </c>
      <c r="D130" s="445">
        <v>0.34</v>
      </c>
      <c r="E130" s="445">
        <v>0.25</v>
      </c>
      <c r="F130" s="445">
        <v>0.17699999999999999</v>
      </c>
      <c r="G130" s="445">
        <v>0.13900000000000001</v>
      </c>
      <c r="H130" s="445">
        <v>0.10199999999999999</v>
      </c>
      <c r="I130" s="445">
        <v>8.3000000000000004E-2</v>
      </c>
      <c r="J130" s="445"/>
      <c r="K130" s="295"/>
      <c r="L130" s="295">
        <v>0</v>
      </c>
      <c r="M130" s="445">
        <v>0</v>
      </c>
      <c r="N130" s="445">
        <v>0</v>
      </c>
      <c r="O130" s="445">
        <v>0</v>
      </c>
      <c r="P130" s="445">
        <v>0</v>
      </c>
      <c r="Q130" s="445">
        <v>0</v>
      </c>
      <c r="R130" s="445">
        <v>4.625</v>
      </c>
      <c r="S130" s="445">
        <v>9.2539999999999996</v>
      </c>
      <c r="T130" s="445">
        <v>13.887</v>
      </c>
      <c r="U130" s="445">
        <v>18.91</v>
      </c>
      <c r="V130" s="310"/>
      <c r="Y130" s="1">
        <f>FLOOR(Z129,incOil2)</f>
        <v>0</v>
      </c>
      <c r="Z130" s="1">
        <f>Interp2(Misc2Heel1,Misc2Heel2,Misc2Heel3,Y130,Y129)</f>
        <v>0</v>
      </c>
      <c r="AA130" s="1">
        <f>FLOOR(AA129,incOil1)</f>
        <v>0</v>
      </c>
      <c r="AB130" s="42">
        <f>IF(Z135=Z134,Z134,Interp1(Y134:Y135,Z134:Z135,Y133))</f>
        <v>0.40200000000000002</v>
      </c>
    </row>
    <row r="131" spans="1:28">
      <c r="A131" s="295">
        <v>50</v>
      </c>
      <c r="B131" s="445">
        <v>1.24</v>
      </c>
      <c r="C131" s="445">
        <v>1.06</v>
      </c>
      <c r="D131" s="445">
        <v>0.97099999999999997</v>
      </c>
      <c r="E131" s="445">
        <v>0.88100000000000001</v>
      </c>
      <c r="F131" s="445">
        <v>0.79200000000000004</v>
      </c>
      <c r="G131" s="445">
        <v>0.70199999999999996</v>
      </c>
      <c r="H131" s="445">
        <v>0.52500000000000002</v>
      </c>
      <c r="I131" s="445">
        <v>0.41</v>
      </c>
      <c r="J131" s="445"/>
      <c r="K131" s="295"/>
      <c r="L131" s="295">
        <v>100</v>
      </c>
      <c r="M131" s="445">
        <v>-18.530999999999999</v>
      </c>
      <c r="N131" s="445">
        <v>-13.888</v>
      </c>
      <c r="O131" s="445">
        <v>-9.2539999999999996</v>
      </c>
      <c r="P131" s="445">
        <v>-4.6260000000000003</v>
      </c>
      <c r="Q131" s="445">
        <v>0</v>
      </c>
      <c r="R131" s="445">
        <v>4.625</v>
      </c>
      <c r="S131" s="445">
        <v>9.2539999999999996</v>
      </c>
      <c r="T131" s="445">
        <v>13.888</v>
      </c>
      <c r="U131" s="445">
        <v>18.530999999999999</v>
      </c>
      <c r="V131" s="310"/>
      <c r="Y131" s="1">
        <f>IF(Y130=MiscSound2,Y130,CEILING(Z129,incOil2))</f>
        <v>0</v>
      </c>
      <c r="Z131" s="1">
        <f>Interp2(Misc2Heel1,Misc2Heel2,Misc2Heel3,Y131,Y129)</f>
        <v>0</v>
      </c>
      <c r="AA131" s="1">
        <f>CEILING(AA129,incOil1)</f>
        <v>0</v>
      </c>
      <c r="AB131" s="42">
        <f>IF(AA135=AA134,AA134,Interp1(Y134:Y135,AA134:AA135,Y133))</f>
        <v>0.40200000000000002</v>
      </c>
    </row>
    <row r="132" spans="1:28">
      <c r="A132" s="295">
        <v>100</v>
      </c>
      <c r="B132" s="445">
        <v>1.871</v>
      </c>
      <c r="C132" s="445">
        <v>1.6919999999999999</v>
      </c>
      <c r="D132" s="445">
        <v>1.6020000000000001</v>
      </c>
      <c r="E132" s="445">
        <v>1.512</v>
      </c>
      <c r="F132" s="445">
        <v>1.423</v>
      </c>
      <c r="G132" s="445">
        <v>1.333</v>
      </c>
      <c r="H132" s="445">
        <v>1.1539999999999999</v>
      </c>
      <c r="I132" s="445">
        <v>0.97499999999999998</v>
      </c>
      <c r="J132" s="445"/>
      <c r="K132" s="295"/>
      <c r="L132" s="295">
        <v>200</v>
      </c>
      <c r="M132" s="445">
        <v>-18.530999999999999</v>
      </c>
      <c r="N132" s="445">
        <v>-13.888</v>
      </c>
      <c r="O132" s="445">
        <v>-9.2539999999999996</v>
      </c>
      <c r="P132" s="445">
        <v>-4.625</v>
      </c>
      <c r="Q132" s="445">
        <v>0</v>
      </c>
      <c r="R132" s="445">
        <v>4.625</v>
      </c>
      <c r="S132" s="445">
        <v>9.2539999999999996</v>
      </c>
      <c r="T132" s="445">
        <v>13.888</v>
      </c>
      <c r="U132" s="445">
        <v>18.530999999999999</v>
      </c>
      <c r="V132" s="310"/>
      <c r="Y132" s="1"/>
      <c r="Z132" s="1">
        <f>IF(Z131=Z130,Z130,Interp1(Y130:Y131,Z130:Z131,Z129))</f>
        <v>0</v>
      </c>
      <c r="AA132" s="1"/>
      <c r="AB132" s="42"/>
    </row>
    <row r="133" spans="1:28">
      <c r="A133" s="295">
        <v>150</v>
      </c>
      <c r="B133" s="445">
        <v>2.5019999999999998</v>
      </c>
      <c r="C133" s="445">
        <v>2.323</v>
      </c>
      <c r="D133" s="445">
        <v>2.2330000000000001</v>
      </c>
      <c r="E133" s="445">
        <v>2.1440000000000001</v>
      </c>
      <c r="F133" s="445">
        <v>2.0539999999999998</v>
      </c>
      <c r="G133" s="445">
        <v>1.964</v>
      </c>
      <c r="H133" s="445">
        <v>1.7849999999999999</v>
      </c>
      <c r="I133" s="445">
        <v>1.706</v>
      </c>
      <c r="J133" s="445"/>
      <c r="K133" s="295"/>
      <c r="L133" s="295">
        <v>300</v>
      </c>
      <c r="M133" s="445">
        <v>-18.530999999999999</v>
      </c>
      <c r="N133" s="445">
        <v>-13.888</v>
      </c>
      <c r="O133" s="445">
        <v>-9.2539999999999996</v>
      </c>
      <c r="P133" s="445">
        <v>-4.625</v>
      </c>
      <c r="Q133" s="445">
        <v>0</v>
      </c>
      <c r="R133" s="445">
        <v>4.625</v>
      </c>
      <c r="S133" s="445">
        <v>9.2539999999999996</v>
      </c>
      <c r="T133" s="445">
        <v>13.888</v>
      </c>
      <c r="U133" s="445">
        <v>18.530999999999999</v>
      </c>
      <c r="V133" s="310"/>
      <c r="Y133" s="1">
        <f>trimDraft</f>
        <v>0.149999999999999</v>
      </c>
      <c r="Z133" s="1"/>
      <c r="AA133" s="1"/>
      <c r="AB133" s="1"/>
    </row>
    <row r="134" spans="1:28">
      <c r="A134" s="295">
        <v>200</v>
      </c>
      <c r="B134" s="445">
        <v>3.133</v>
      </c>
      <c r="C134" s="445">
        <v>2.9540000000000002</v>
      </c>
      <c r="D134" s="445">
        <v>2.8639999999999999</v>
      </c>
      <c r="E134" s="445">
        <v>2.7149999999999999</v>
      </c>
      <c r="F134" s="445">
        <v>2.6850000000000001</v>
      </c>
      <c r="G134" s="445">
        <v>2.5950000000000002</v>
      </c>
      <c r="H134" s="445">
        <v>2.4159999999999999</v>
      </c>
      <c r="I134" s="445">
        <v>2.2370000000000001</v>
      </c>
      <c r="J134" s="445"/>
      <c r="K134" s="295"/>
      <c r="L134" s="295">
        <v>400</v>
      </c>
      <c r="M134" s="445">
        <v>-18.530999999999999</v>
      </c>
      <c r="N134" s="445">
        <v>-13.887</v>
      </c>
      <c r="O134" s="445">
        <v>-9.2539999999999996</v>
      </c>
      <c r="P134" s="445">
        <v>-4.6260000000000003</v>
      </c>
      <c r="Q134" s="445">
        <v>0</v>
      </c>
      <c r="R134" s="445">
        <v>4.625</v>
      </c>
      <c r="S134" s="445">
        <v>9.2550000000000008</v>
      </c>
      <c r="T134" s="445">
        <v>13.888</v>
      </c>
      <c r="U134" s="445">
        <v>18.530999999999999</v>
      </c>
      <c r="V134" s="310"/>
      <c r="Y134" s="1">
        <f>INDEX(Misc2Trim2,0,MATCH(Y133,Misc2Trim2,1))</f>
        <v>0</v>
      </c>
      <c r="Z134" s="1">
        <f>Interp2(Misc2Trim1,Misc2Trim2,Misc2Trim3,AA130,Y134)</f>
        <v>0.42899999999999999</v>
      </c>
      <c r="AA134" s="1">
        <f>Interp2(Misc2Trim1,Misc2Trim2,Misc2Trim3,AA131,Y134)</f>
        <v>0.42899999999999999</v>
      </c>
      <c r="AB134" s="1"/>
    </row>
    <row r="135" spans="1:28">
      <c r="A135" s="295">
        <v>250</v>
      </c>
      <c r="B135" s="445">
        <v>3.7639999999999998</v>
      </c>
      <c r="C135" s="445">
        <v>3.585</v>
      </c>
      <c r="D135" s="445">
        <v>3.496</v>
      </c>
      <c r="E135" s="445">
        <v>3.4060000000000001</v>
      </c>
      <c r="F135" s="445">
        <v>3.3159999999999998</v>
      </c>
      <c r="G135" s="445">
        <v>3.2269999999999999</v>
      </c>
      <c r="H135" s="445">
        <v>3.0470000000000002</v>
      </c>
      <c r="I135" s="445">
        <v>2.8679999999999999</v>
      </c>
      <c r="J135" s="445"/>
      <c r="K135" s="295"/>
      <c r="L135" s="295">
        <v>500</v>
      </c>
      <c r="M135" s="445">
        <v>-18.530999999999999</v>
      </c>
      <c r="N135" s="445">
        <v>-13.888</v>
      </c>
      <c r="O135" s="445">
        <v>-9.2539999999999996</v>
      </c>
      <c r="P135" s="445">
        <v>-4.6260000000000003</v>
      </c>
      <c r="Q135" s="445">
        <v>0</v>
      </c>
      <c r="R135" s="445">
        <v>4.625</v>
      </c>
      <c r="S135" s="445">
        <v>9.2539999999999996</v>
      </c>
      <c r="T135" s="445">
        <v>13.888</v>
      </c>
      <c r="U135" s="445">
        <v>18.53</v>
      </c>
      <c r="V135" s="310"/>
      <c r="Y135" s="1">
        <f>IF(Y134=Y133,Y133,INDEX(Misc2Trim2,0,MATCH(Y133,Misc2Trim2,1)+1))</f>
        <v>0.5</v>
      </c>
      <c r="Z135" s="1">
        <f>Interp2(Misc2Trim1,Misc2Trim2,Misc2Trim3,AA130,Y135)</f>
        <v>0.34</v>
      </c>
      <c r="AA135" s="1">
        <f>Interp2(Misc2Trim1,Misc2Trim2,Misc2Trim3,AA131,Y135)</f>
        <v>0.34</v>
      </c>
      <c r="AB135" s="1"/>
    </row>
    <row r="136" spans="1:28">
      <c r="A136" s="295">
        <v>300</v>
      </c>
      <c r="B136" s="445">
        <v>4.3959999999999999</v>
      </c>
      <c r="C136" s="445">
        <v>4.2160000000000002</v>
      </c>
      <c r="D136" s="445">
        <v>4.1269999999999998</v>
      </c>
      <c r="E136" s="445">
        <v>4.0369999999999999</v>
      </c>
      <c r="F136" s="445">
        <v>3.9470000000000001</v>
      </c>
      <c r="G136" s="445">
        <v>3.8580000000000001</v>
      </c>
      <c r="H136" s="445">
        <v>3.6789999999999998</v>
      </c>
      <c r="I136" s="445">
        <v>3.4990000000000001</v>
      </c>
      <c r="J136" s="445"/>
      <c r="K136" s="295"/>
      <c r="L136" s="295">
        <v>600</v>
      </c>
      <c r="M136" s="445">
        <v>-18.530999999999999</v>
      </c>
      <c r="N136" s="445">
        <v>-13.888</v>
      </c>
      <c r="O136" s="445">
        <v>-9.2539999999999996</v>
      </c>
      <c r="P136" s="445">
        <v>-4.6260000000000003</v>
      </c>
      <c r="Q136" s="445">
        <v>0</v>
      </c>
      <c r="R136" s="445">
        <v>4.625</v>
      </c>
      <c r="S136" s="445">
        <v>9.2539999999999996</v>
      </c>
      <c r="T136" s="445">
        <v>13.888</v>
      </c>
      <c r="U136" s="445">
        <v>18.530999999999999</v>
      </c>
      <c r="V136" s="310"/>
    </row>
    <row r="137" spans="1:28">
      <c r="A137" s="295">
        <v>350</v>
      </c>
      <c r="B137" s="445">
        <v>5.0270000000000001</v>
      </c>
      <c r="C137" s="445">
        <v>4.8479999999999999</v>
      </c>
      <c r="D137" s="445">
        <v>4.758</v>
      </c>
      <c r="E137" s="445">
        <v>4.6680000000000001</v>
      </c>
      <c r="F137" s="445">
        <v>4.5789999999999997</v>
      </c>
      <c r="G137" s="445">
        <v>4.4889999999999999</v>
      </c>
      <c r="H137" s="445">
        <v>4.3099999999999996</v>
      </c>
      <c r="I137" s="445">
        <v>4.13</v>
      </c>
      <c r="J137" s="445"/>
      <c r="K137" s="295"/>
      <c r="L137" s="295">
        <v>700</v>
      </c>
      <c r="M137" s="445">
        <v>-18.530999999999999</v>
      </c>
      <c r="N137" s="445">
        <v>-13.888</v>
      </c>
      <c r="O137" s="445">
        <v>-9.2539999999999996</v>
      </c>
      <c r="P137" s="445">
        <v>-4.6260000000000003</v>
      </c>
      <c r="Q137" s="445">
        <v>0</v>
      </c>
      <c r="R137" s="445">
        <v>4.625</v>
      </c>
      <c r="S137" s="445">
        <v>9.2539999999999996</v>
      </c>
      <c r="T137" s="445">
        <v>13.887</v>
      </c>
      <c r="U137" s="445">
        <v>18.530999999999999</v>
      </c>
      <c r="V137" s="310"/>
      <c r="Y137">
        <f>COUNT(A130:U149)</f>
        <v>310</v>
      </c>
    </row>
    <row r="138" spans="1:28">
      <c r="A138" s="295">
        <v>400</v>
      </c>
      <c r="B138" s="445">
        <v>5.6580000000000004</v>
      </c>
      <c r="C138" s="445">
        <v>5.4790000000000001</v>
      </c>
      <c r="D138" s="445">
        <v>5.3890000000000002</v>
      </c>
      <c r="E138" s="445">
        <v>5.2990000000000004</v>
      </c>
      <c r="F138" s="445">
        <v>5.21</v>
      </c>
      <c r="G138" s="445">
        <v>5.12</v>
      </c>
      <c r="H138" s="445">
        <v>4.9409999999999998</v>
      </c>
      <c r="I138" s="445">
        <v>4.7619999999999996</v>
      </c>
      <c r="J138" s="445"/>
      <c r="K138" s="295"/>
      <c r="L138" s="295">
        <v>800</v>
      </c>
      <c r="M138" s="445">
        <v>-18.530999999999999</v>
      </c>
      <c r="N138" s="445">
        <v>-13.888</v>
      </c>
      <c r="O138" s="445">
        <v>-9.2539999999999996</v>
      </c>
      <c r="P138" s="445">
        <v>-4.6260000000000003</v>
      </c>
      <c r="Q138" s="445">
        <v>0</v>
      </c>
      <c r="R138" s="445">
        <v>4.6260000000000003</v>
      </c>
      <c r="S138" s="445">
        <v>9.2539999999999996</v>
      </c>
      <c r="T138" s="445">
        <v>13.888</v>
      </c>
      <c r="U138" s="445">
        <v>18.530999999999999</v>
      </c>
      <c r="V138" s="310"/>
      <c r="Y138">
        <f>COUNTA(A130:U149)</f>
        <v>310</v>
      </c>
    </row>
    <row r="139" spans="1:28">
      <c r="A139" s="295">
        <v>450</v>
      </c>
      <c r="B139" s="445">
        <v>6.2889999999999997</v>
      </c>
      <c r="C139" s="445">
        <v>6.11</v>
      </c>
      <c r="D139" s="445">
        <v>6.02</v>
      </c>
      <c r="E139" s="445">
        <v>5.931</v>
      </c>
      <c r="F139" s="445">
        <v>5.8410000000000002</v>
      </c>
      <c r="G139" s="445">
        <v>5.7510000000000003</v>
      </c>
      <c r="H139" s="445">
        <v>5.5720000000000001</v>
      </c>
      <c r="I139" s="445">
        <v>5.3929999999999998</v>
      </c>
      <c r="J139" s="445"/>
      <c r="K139" s="295"/>
      <c r="L139" s="295">
        <v>900</v>
      </c>
      <c r="M139" s="445">
        <v>-18.530999999999999</v>
      </c>
      <c r="N139" s="445">
        <v>-13.888</v>
      </c>
      <c r="O139" s="445">
        <v>-9.2539999999999996</v>
      </c>
      <c r="P139" s="445">
        <v>-4.625</v>
      </c>
      <c r="Q139" s="445">
        <v>0</v>
      </c>
      <c r="R139" s="445">
        <v>7.01</v>
      </c>
      <c r="S139" s="445">
        <v>14.022</v>
      </c>
      <c r="T139" s="445">
        <v>21.042999999999999</v>
      </c>
      <c r="U139" s="445">
        <v>26.751000000000001</v>
      </c>
      <c r="V139" s="310"/>
    </row>
    <row r="140" spans="1:28">
      <c r="A140" s="295">
        <v>500</v>
      </c>
      <c r="B140" s="445">
        <v>6.92</v>
      </c>
      <c r="C140" s="445">
        <v>6.7409999999999997</v>
      </c>
      <c r="D140" s="445">
        <v>6.6509999999999998</v>
      </c>
      <c r="E140" s="445">
        <v>6.5620000000000003</v>
      </c>
      <c r="F140" s="445">
        <v>6.4119999999999999</v>
      </c>
      <c r="G140" s="445">
        <v>6.383</v>
      </c>
      <c r="H140" s="445">
        <v>6.2030000000000003</v>
      </c>
      <c r="I140" s="445">
        <v>6.024</v>
      </c>
      <c r="J140" s="445"/>
      <c r="K140" s="295"/>
      <c r="L140" s="295">
        <v>1000</v>
      </c>
      <c r="M140" s="445">
        <v>-13.311999999999999</v>
      </c>
      <c r="N140" s="445">
        <v>-5.7169999999999996</v>
      </c>
      <c r="O140" s="445">
        <v>-0.48899999999999999</v>
      </c>
      <c r="P140" s="445">
        <v>0</v>
      </c>
      <c r="Q140" s="445">
        <v>0</v>
      </c>
      <c r="R140" s="445">
        <v>0</v>
      </c>
      <c r="S140" s="445">
        <v>0</v>
      </c>
      <c r="T140" s="445">
        <v>0</v>
      </c>
      <c r="U140" s="445">
        <v>-0.57299999999999995</v>
      </c>
      <c r="V140" s="310"/>
    </row>
    <row r="141" spans="1:28">
      <c r="A141" s="295">
        <v>550</v>
      </c>
      <c r="B141" s="445">
        <v>7.5519999999999996</v>
      </c>
      <c r="C141" s="445">
        <v>7.3719999999999999</v>
      </c>
      <c r="D141" s="445">
        <v>7.2830000000000004</v>
      </c>
      <c r="E141" s="445">
        <v>7.1929999999999996</v>
      </c>
      <c r="F141" s="445">
        <v>7.1029999999999998</v>
      </c>
      <c r="G141" s="445">
        <v>7.0140000000000002</v>
      </c>
      <c r="H141" s="445">
        <v>6.835</v>
      </c>
      <c r="I141" s="445">
        <v>6.6550000000000002</v>
      </c>
      <c r="J141" s="445"/>
      <c r="K141" s="295"/>
      <c r="L141" s="295">
        <v>1100</v>
      </c>
      <c r="M141" s="445">
        <v>0</v>
      </c>
      <c r="N141" s="445">
        <v>0</v>
      </c>
      <c r="O141" s="445">
        <v>0</v>
      </c>
      <c r="P141" s="445">
        <v>0</v>
      </c>
      <c r="Q141" s="445">
        <v>0</v>
      </c>
      <c r="R141" s="445">
        <v>0</v>
      </c>
      <c r="S141" s="445">
        <v>0</v>
      </c>
      <c r="T141" s="445">
        <v>0</v>
      </c>
      <c r="U141" s="445">
        <v>0</v>
      </c>
      <c r="V141" s="310"/>
    </row>
    <row r="142" spans="1:28">
      <c r="A142" s="295">
        <v>600</v>
      </c>
      <c r="B142" s="445">
        <v>8.1829999999999998</v>
      </c>
      <c r="C142" s="445">
        <v>8.0030000000000001</v>
      </c>
      <c r="D142" s="445">
        <v>7.9139999999999997</v>
      </c>
      <c r="E142" s="445">
        <v>7.8239999999999998</v>
      </c>
      <c r="F142" s="445">
        <v>7.7350000000000003</v>
      </c>
      <c r="G142" s="445">
        <v>7.6449999999999996</v>
      </c>
      <c r="H142" s="445">
        <v>7.4660000000000002</v>
      </c>
      <c r="I142" s="445">
        <v>7.2859999999999996</v>
      </c>
      <c r="J142" s="445"/>
      <c r="K142" s="295"/>
      <c r="L142" s="295">
        <v>1542</v>
      </c>
      <c r="M142" s="445">
        <v>0</v>
      </c>
      <c r="N142" s="445">
        <v>0</v>
      </c>
      <c r="O142" s="445">
        <v>0</v>
      </c>
      <c r="P142" s="445">
        <v>0</v>
      </c>
      <c r="Q142" s="445">
        <v>0</v>
      </c>
      <c r="R142" s="445">
        <v>0</v>
      </c>
      <c r="S142" s="445">
        <v>0</v>
      </c>
      <c r="T142" s="445">
        <v>0</v>
      </c>
      <c r="U142" s="445">
        <v>0</v>
      </c>
      <c r="V142" s="310"/>
    </row>
    <row r="143" spans="1:28">
      <c r="A143" s="295">
        <v>650</v>
      </c>
      <c r="B143" s="445">
        <v>8.8140000000000001</v>
      </c>
      <c r="C143" s="445">
        <v>8.6349999999999998</v>
      </c>
      <c r="D143" s="445">
        <v>8.5449999999999999</v>
      </c>
      <c r="E143" s="445">
        <v>8.4550000000000001</v>
      </c>
      <c r="F143" s="445">
        <v>8.3659999999999997</v>
      </c>
      <c r="G143" s="445">
        <v>8.2759999999999998</v>
      </c>
      <c r="H143" s="445">
        <v>8.0969999999999995</v>
      </c>
      <c r="I143" s="445">
        <v>7.9180000000000001</v>
      </c>
      <c r="J143" s="445"/>
      <c r="K143" s="295"/>
      <c r="L143" s="295"/>
      <c r="M143" s="445"/>
      <c r="N143" s="445"/>
      <c r="O143" s="445"/>
      <c r="P143" s="445"/>
      <c r="Q143" s="445"/>
      <c r="R143" s="445"/>
      <c r="S143" s="445"/>
      <c r="T143" s="445"/>
      <c r="U143" s="445"/>
      <c r="V143" s="310"/>
    </row>
    <row r="144" spans="1:28">
      <c r="A144" s="295">
        <v>700</v>
      </c>
      <c r="B144" s="445">
        <v>9.4450000000000003</v>
      </c>
      <c r="C144" s="445">
        <v>9.266</v>
      </c>
      <c r="D144" s="445">
        <v>9.1760000000000002</v>
      </c>
      <c r="E144" s="445">
        <v>9.0869999999999997</v>
      </c>
      <c r="F144" s="445">
        <v>8.9969999999999999</v>
      </c>
      <c r="G144" s="445">
        <v>8.907</v>
      </c>
      <c r="H144" s="445">
        <v>8.7279999999999998</v>
      </c>
      <c r="I144" s="445">
        <v>8.5489999999999995</v>
      </c>
      <c r="J144" s="445"/>
      <c r="K144" s="295"/>
      <c r="L144" s="295"/>
      <c r="M144" s="445"/>
      <c r="N144" s="445"/>
      <c r="O144" s="445"/>
      <c r="P144" s="445"/>
      <c r="Q144" s="445"/>
      <c r="R144" s="445"/>
      <c r="S144" s="445"/>
      <c r="T144" s="445"/>
      <c r="U144" s="445"/>
      <c r="V144" s="310"/>
    </row>
    <row r="145" spans="1:22">
      <c r="A145" s="295">
        <v>750</v>
      </c>
      <c r="B145" s="445">
        <v>10.076000000000001</v>
      </c>
      <c r="C145" s="445">
        <v>9.8970000000000002</v>
      </c>
      <c r="D145" s="445">
        <v>9.8070000000000004</v>
      </c>
      <c r="E145" s="445">
        <v>9.718</v>
      </c>
      <c r="F145" s="445">
        <v>9.6280000000000001</v>
      </c>
      <c r="G145" s="445">
        <v>9.5389999999999997</v>
      </c>
      <c r="H145" s="445">
        <v>9.359</v>
      </c>
      <c r="I145" s="445">
        <v>9.18</v>
      </c>
      <c r="J145" s="445"/>
      <c r="K145" s="295"/>
      <c r="L145" s="295"/>
      <c r="M145" s="445"/>
      <c r="N145" s="445"/>
      <c r="O145" s="445"/>
      <c r="P145" s="445"/>
      <c r="Q145" s="445"/>
      <c r="R145" s="445"/>
      <c r="S145" s="445"/>
      <c r="T145" s="445"/>
      <c r="U145" s="445"/>
      <c r="V145" s="310"/>
    </row>
    <row r="146" spans="1:22">
      <c r="A146" s="295">
        <v>800</v>
      </c>
      <c r="B146" s="445">
        <v>10.707000000000001</v>
      </c>
      <c r="C146" s="445">
        <v>10.528</v>
      </c>
      <c r="D146" s="445">
        <v>10.439</v>
      </c>
      <c r="E146" s="445">
        <v>10.349</v>
      </c>
      <c r="F146" s="445">
        <v>10.259</v>
      </c>
      <c r="G146" s="445">
        <v>10.17</v>
      </c>
      <c r="H146" s="445">
        <v>9.99</v>
      </c>
      <c r="I146" s="445">
        <v>9.8109999999999999</v>
      </c>
      <c r="J146" s="445"/>
      <c r="K146" s="295"/>
      <c r="L146" s="295"/>
      <c r="M146" s="445"/>
      <c r="N146" s="445"/>
      <c r="O146" s="445"/>
      <c r="P146" s="445"/>
      <c r="Q146" s="445"/>
      <c r="R146" s="445"/>
      <c r="S146" s="445"/>
      <c r="T146" s="445"/>
      <c r="U146" s="445"/>
      <c r="V146" s="310"/>
    </row>
    <row r="147" spans="1:22">
      <c r="A147" s="295">
        <v>850</v>
      </c>
      <c r="B147" s="445">
        <v>11.339</v>
      </c>
      <c r="C147" s="445">
        <v>11.159000000000001</v>
      </c>
      <c r="D147" s="445">
        <v>11.07</v>
      </c>
      <c r="E147" s="445">
        <v>10.98</v>
      </c>
      <c r="F147" s="445">
        <v>10.891</v>
      </c>
      <c r="G147" s="445">
        <v>10.801</v>
      </c>
      <c r="H147" s="445">
        <v>10.622</v>
      </c>
      <c r="I147" s="445">
        <v>10.442</v>
      </c>
      <c r="J147" s="445"/>
      <c r="K147" s="295"/>
      <c r="L147" s="295"/>
      <c r="M147" s="445"/>
      <c r="N147" s="445"/>
      <c r="O147" s="445"/>
      <c r="P147" s="445"/>
      <c r="Q147" s="445"/>
      <c r="R147" s="445"/>
      <c r="S147" s="445"/>
      <c r="T147" s="445"/>
      <c r="U147" s="445"/>
      <c r="V147" s="310"/>
    </row>
    <row r="148" spans="1:22">
      <c r="A148" s="295">
        <v>900</v>
      </c>
      <c r="B148" s="445">
        <v>11.97</v>
      </c>
      <c r="C148" s="445">
        <v>11.791</v>
      </c>
      <c r="D148" s="445">
        <v>11.701000000000001</v>
      </c>
      <c r="E148" s="445">
        <v>11.611000000000001</v>
      </c>
      <c r="F148" s="445">
        <v>11.522</v>
      </c>
      <c r="G148" s="445">
        <v>11.432</v>
      </c>
      <c r="H148" s="445">
        <v>11.253</v>
      </c>
      <c r="I148" s="445">
        <v>11.074</v>
      </c>
      <c r="J148" s="445"/>
      <c r="K148" s="295"/>
      <c r="L148" s="295"/>
      <c r="M148" s="445"/>
      <c r="N148" s="445"/>
      <c r="O148" s="445"/>
      <c r="P148" s="445"/>
      <c r="Q148" s="445"/>
      <c r="R148" s="445"/>
      <c r="S148" s="445"/>
      <c r="T148" s="445"/>
      <c r="U148" s="445"/>
      <c r="V148" s="310"/>
    </row>
    <row r="149" spans="1:22">
      <c r="A149" s="295">
        <v>950</v>
      </c>
      <c r="B149" s="445">
        <v>12.561</v>
      </c>
      <c r="C149" s="445">
        <v>12.422000000000001</v>
      </c>
      <c r="D149" s="445">
        <v>12.332000000000001</v>
      </c>
      <c r="E149" s="445">
        <v>12.243</v>
      </c>
      <c r="F149" s="445">
        <v>12.153</v>
      </c>
      <c r="G149" s="445">
        <v>12.063000000000001</v>
      </c>
      <c r="H149" s="445">
        <v>11.884</v>
      </c>
      <c r="I149" s="445">
        <v>11.705</v>
      </c>
      <c r="J149" s="445"/>
      <c r="K149" s="295"/>
      <c r="L149" s="295"/>
      <c r="M149" s="445"/>
      <c r="N149" s="445"/>
      <c r="O149" s="445"/>
      <c r="P149" s="445"/>
      <c r="Q149" s="445"/>
      <c r="R149" s="445"/>
      <c r="S149" s="445"/>
      <c r="T149" s="445"/>
      <c r="U149" s="445"/>
      <c r="V149" s="310"/>
    </row>
    <row r="150" spans="1:22" hidden="1">
      <c r="A150">
        <v>1000</v>
      </c>
      <c r="B150" s="12" t="s">
        <v>464</v>
      </c>
      <c r="C150" s="12">
        <v>12.624000000000001</v>
      </c>
      <c r="D150" s="12">
        <v>12.624000000000001</v>
      </c>
      <c r="E150" s="12" t="s">
        <v>465</v>
      </c>
      <c r="F150" s="12">
        <v>12.606999999999999</v>
      </c>
      <c r="G150" s="12">
        <v>12.555</v>
      </c>
      <c r="H150" s="12">
        <v>12.413</v>
      </c>
      <c r="I150" s="12">
        <v>12.253</v>
      </c>
      <c r="J150" s="12"/>
      <c r="M150" s="12"/>
      <c r="N150" s="12"/>
      <c r="O150" s="12"/>
      <c r="P150" s="12"/>
      <c r="Q150" s="12"/>
      <c r="R150" s="12"/>
      <c r="S150" s="12"/>
      <c r="T150" s="12"/>
      <c r="U150" s="12"/>
    </row>
    <row r="151" spans="1:22" hidden="1">
      <c r="A151">
        <v>1050</v>
      </c>
      <c r="B151" s="12">
        <v>12.624000000000001</v>
      </c>
      <c r="C151" s="12">
        <v>12.624000000000001</v>
      </c>
      <c r="D151" s="12">
        <v>12.624000000000001</v>
      </c>
      <c r="E151" s="12" t="s">
        <v>466</v>
      </c>
      <c r="F151" s="12">
        <v>12.624000000000001</v>
      </c>
      <c r="G151" s="12" t="s">
        <v>467</v>
      </c>
      <c r="H151" s="12">
        <v>12.621</v>
      </c>
      <c r="I151" s="12">
        <v>12.557</v>
      </c>
      <c r="J151" s="12"/>
      <c r="M151" s="12"/>
      <c r="N151" s="12"/>
      <c r="O151" s="12"/>
      <c r="P151" s="12"/>
      <c r="Q151" s="12"/>
      <c r="R151" s="12"/>
      <c r="S151" s="12"/>
      <c r="T151" s="12"/>
      <c r="U151" s="12"/>
    </row>
    <row r="152" spans="1:22" hidden="1">
      <c r="A152" t="s">
        <v>468</v>
      </c>
      <c r="B152" s="12" t="s">
        <v>469</v>
      </c>
      <c r="C152" s="12">
        <v>12.624000000000001</v>
      </c>
      <c r="D152" s="12">
        <v>12.624000000000001</v>
      </c>
      <c r="E152" s="12">
        <v>12.624000000000001</v>
      </c>
      <c r="F152" s="12">
        <v>12.624000000000001</v>
      </c>
      <c r="G152" s="12">
        <v>12.624000000000001</v>
      </c>
      <c r="H152" s="12">
        <v>12.624000000000001</v>
      </c>
      <c r="I152" s="12">
        <v>12.624000000000001</v>
      </c>
      <c r="J152" s="12"/>
      <c r="M152" s="12"/>
      <c r="N152" s="12"/>
      <c r="O152" s="12"/>
      <c r="P152" s="12"/>
      <c r="Q152" s="12"/>
      <c r="R152" s="12"/>
      <c r="S152" s="12"/>
      <c r="T152" s="12"/>
      <c r="U152" s="12"/>
    </row>
    <row r="153" spans="1:22" hidden="1">
      <c r="A153">
        <v>1542</v>
      </c>
      <c r="B153" s="12">
        <v>12.624000000000001</v>
      </c>
      <c r="C153" s="12" t="s">
        <v>470</v>
      </c>
      <c r="D153" s="12">
        <v>12.624000000000001</v>
      </c>
      <c r="E153" s="12">
        <v>12.624000000000001</v>
      </c>
      <c r="F153" s="12">
        <v>12.624000000000001</v>
      </c>
      <c r="G153" s="12">
        <v>12.624000000000001</v>
      </c>
      <c r="H153" s="12">
        <v>12.624000000000001</v>
      </c>
      <c r="I153" s="12">
        <v>12.624000000000001</v>
      </c>
      <c r="J153" s="12"/>
      <c r="M153" s="12"/>
      <c r="N153" s="12"/>
      <c r="O153" s="12"/>
      <c r="P153" s="12"/>
      <c r="Q153" s="12"/>
      <c r="R153" s="12"/>
      <c r="S153" s="12"/>
      <c r="T153" s="12"/>
      <c r="U153" s="12"/>
    </row>
    <row r="154" spans="1:22" hidden="1">
      <c r="B154" s="12"/>
      <c r="C154" s="12"/>
      <c r="D154" s="12"/>
      <c r="E154" s="12"/>
      <c r="F154" s="12"/>
      <c r="G154" s="12"/>
      <c r="H154" s="12"/>
      <c r="I154" s="12"/>
      <c r="J154" s="12"/>
      <c r="M154" s="12"/>
      <c r="N154" s="12"/>
      <c r="O154" s="12"/>
      <c r="P154" s="12"/>
      <c r="Q154" s="12"/>
      <c r="R154" s="12"/>
      <c r="S154" s="12"/>
      <c r="T154" s="12"/>
      <c r="U154" s="12"/>
    </row>
    <row r="155" spans="1:22" hidden="1">
      <c r="B155" s="12"/>
      <c r="C155" s="12"/>
      <c r="D155" s="12"/>
      <c r="E155" s="12"/>
      <c r="F155" s="12"/>
      <c r="G155" s="12"/>
      <c r="H155" s="12"/>
      <c r="I155" s="12"/>
      <c r="J155" s="12"/>
      <c r="M155" s="12"/>
      <c r="N155" s="12"/>
      <c r="O155" s="12"/>
      <c r="P155" s="12"/>
      <c r="Q155" s="12"/>
      <c r="R155" s="12"/>
      <c r="S155" s="12"/>
      <c r="T155" s="12"/>
      <c r="U155" s="12"/>
    </row>
    <row r="156" spans="1:22" hidden="1">
      <c r="B156" s="12"/>
      <c r="C156" s="12"/>
      <c r="D156" s="12"/>
      <c r="E156" s="12"/>
      <c r="F156" s="12"/>
      <c r="G156" s="12"/>
      <c r="H156" s="12"/>
      <c r="I156" s="12"/>
      <c r="J156" s="12"/>
      <c r="M156" s="12"/>
      <c r="N156" s="12"/>
      <c r="O156" s="12"/>
      <c r="P156" s="12"/>
      <c r="Q156" s="12"/>
      <c r="R156" s="12"/>
      <c r="S156" s="12"/>
      <c r="T156" s="12"/>
      <c r="U156" s="12"/>
    </row>
    <row r="157" spans="1:22" hidden="1">
      <c r="B157" s="12"/>
      <c r="C157" s="12"/>
      <c r="D157" s="12"/>
      <c r="E157" s="12"/>
      <c r="F157" s="12"/>
      <c r="G157" s="12"/>
      <c r="H157" s="12"/>
      <c r="I157" s="12"/>
      <c r="J157" s="12"/>
      <c r="M157" s="12"/>
      <c r="N157" s="12"/>
      <c r="O157" s="12"/>
      <c r="P157" s="12"/>
      <c r="Q157" s="12"/>
      <c r="R157" s="12"/>
      <c r="S157" s="12"/>
      <c r="T157" s="12"/>
      <c r="U157" s="12"/>
    </row>
    <row r="158" spans="1:22" hidden="1">
      <c r="B158" s="12"/>
      <c r="C158" s="12"/>
      <c r="D158" s="12"/>
      <c r="E158" s="12"/>
      <c r="F158" s="12"/>
      <c r="G158" s="12"/>
      <c r="H158" s="12"/>
      <c r="I158" s="12"/>
      <c r="J158" s="12"/>
      <c r="M158" s="12"/>
      <c r="N158" s="12"/>
      <c r="O158" s="12"/>
      <c r="P158" s="12"/>
      <c r="Q158" s="12"/>
      <c r="R158" s="12"/>
      <c r="S158" s="12"/>
      <c r="T158" s="12"/>
      <c r="U158" s="12"/>
    </row>
    <row r="159" spans="1:22" hidden="1">
      <c r="B159" s="12"/>
      <c r="C159" s="12"/>
      <c r="D159" s="12"/>
      <c r="E159" s="12"/>
      <c r="F159" s="12"/>
      <c r="G159" s="12"/>
      <c r="H159" s="12"/>
      <c r="I159" s="12"/>
      <c r="J159" s="12"/>
      <c r="M159" s="12"/>
      <c r="N159" s="12"/>
      <c r="O159" s="12"/>
      <c r="P159" s="12"/>
      <c r="Q159" s="12"/>
      <c r="R159" s="12"/>
      <c r="S159" s="12"/>
      <c r="T159" s="12"/>
      <c r="U159" s="12"/>
    </row>
    <row r="160" spans="1:22" hidden="1">
      <c r="B160" s="12"/>
      <c r="C160" s="12"/>
      <c r="D160" s="12"/>
      <c r="E160" s="12"/>
      <c r="F160" s="12"/>
      <c r="G160" s="12"/>
      <c r="H160" s="12"/>
      <c r="I160" s="12"/>
      <c r="J160" s="12"/>
      <c r="M160" s="12"/>
      <c r="N160" s="12"/>
      <c r="O160" s="12"/>
      <c r="P160" s="12"/>
      <c r="Q160" s="12"/>
      <c r="R160" s="12"/>
      <c r="S160" s="12"/>
      <c r="T160" s="12"/>
      <c r="U160" s="12"/>
    </row>
    <row r="161" spans="2:21" hidden="1">
      <c r="B161" s="12"/>
      <c r="C161" s="12"/>
      <c r="D161" s="12"/>
      <c r="E161" s="12"/>
      <c r="F161" s="12"/>
      <c r="G161" s="12"/>
      <c r="H161" s="12"/>
      <c r="I161" s="12"/>
      <c r="J161" s="12"/>
      <c r="M161" s="12"/>
      <c r="N161" s="12"/>
      <c r="O161" s="12"/>
      <c r="P161" s="12"/>
      <c r="Q161" s="12"/>
      <c r="R161" s="12"/>
      <c r="S161" s="12"/>
      <c r="T161" s="12"/>
      <c r="U161" s="12"/>
    </row>
    <row r="162" spans="2:21" hidden="1">
      <c r="B162" s="12"/>
      <c r="C162" s="12"/>
      <c r="D162" s="12"/>
      <c r="E162" s="12"/>
      <c r="F162" s="12"/>
      <c r="G162" s="12"/>
      <c r="H162" s="12"/>
      <c r="I162" s="12"/>
      <c r="J162" s="12"/>
      <c r="M162" s="12"/>
      <c r="N162" s="12"/>
      <c r="O162" s="12"/>
      <c r="P162" s="12"/>
      <c r="Q162" s="12"/>
      <c r="R162" s="12"/>
      <c r="S162" s="12"/>
      <c r="T162" s="12"/>
      <c r="U162" s="12"/>
    </row>
    <row r="163" spans="2:21" hidden="1">
      <c r="B163" s="12"/>
      <c r="C163" s="12"/>
      <c r="D163" s="12"/>
      <c r="E163" s="12"/>
      <c r="F163" s="12"/>
      <c r="G163" s="12"/>
      <c r="H163" s="12"/>
      <c r="I163" s="12"/>
      <c r="J163" s="12"/>
      <c r="M163" s="12"/>
      <c r="N163" s="12"/>
      <c r="O163" s="12"/>
      <c r="P163" s="12"/>
      <c r="Q163" s="12"/>
      <c r="R163" s="12"/>
      <c r="S163" s="12"/>
      <c r="T163" s="12"/>
      <c r="U163" s="12"/>
    </row>
    <row r="164" spans="2:21" hidden="1">
      <c r="B164" s="12"/>
      <c r="C164" s="12"/>
      <c r="D164" s="12"/>
      <c r="E164" s="12"/>
      <c r="F164" s="12"/>
      <c r="G164" s="12"/>
      <c r="H164" s="12"/>
      <c r="I164" s="12"/>
      <c r="J164" s="12"/>
      <c r="M164" s="12"/>
      <c r="N164" s="12"/>
      <c r="O164" s="12"/>
      <c r="P164" s="12"/>
      <c r="Q164" s="12"/>
      <c r="R164" s="12"/>
      <c r="S164" s="12"/>
      <c r="T164" s="12"/>
      <c r="U164" s="12"/>
    </row>
    <row r="165" spans="2:21" hidden="1">
      <c r="B165" s="12"/>
      <c r="C165" s="12"/>
      <c r="D165" s="12"/>
      <c r="E165" s="12"/>
      <c r="F165" s="12"/>
      <c r="G165" s="12"/>
      <c r="H165" s="12"/>
      <c r="I165" s="12"/>
      <c r="J165" s="12"/>
      <c r="M165" s="12"/>
      <c r="N165" s="12"/>
      <c r="O165" s="12"/>
      <c r="P165" s="12"/>
      <c r="Q165" s="12"/>
      <c r="R165" s="12"/>
      <c r="S165" s="12"/>
      <c r="T165" s="12"/>
      <c r="U165" s="12"/>
    </row>
    <row r="166" spans="2:21" hidden="1">
      <c r="B166" s="12"/>
      <c r="C166" s="12"/>
      <c r="D166" s="12"/>
      <c r="E166" s="12"/>
      <c r="F166" s="12"/>
      <c r="G166" s="12"/>
      <c r="H166" s="12"/>
      <c r="I166" s="12"/>
      <c r="J166" s="12"/>
      <c r="M166" s="12"/>
      <c r="N166" s="12"/>
      <c r="O166" s="12"/>
      <c r="P166" s="12"/>
      <c r="Q166" s="12"/>
      <c r="R166" s="12"/>
      <c r="S166" s="12"/>
      <c r="T166" s="12"/>
      <c r="U166" s="12"/>
    </row>
    <row r="167" spans="2:21" hidden="1">
      <c r="B167" s="12"/>
      <c r="C167" s="12"/>
      <c r="D167" s="12"/>
      <c r="E167" s="12"/>
      <c r="F167" s="12"/>
      <c r="G167" s="12"/>
      <c r="H167" s="12"/>
      <c r="I167" s="12"/>
      <c r="J167" s="12"/>
      <c r="M167" s="12"/>
      <c r="N167" s="12"/>
      <c r="O167" s="12"/>
      <c r="P167" s="12"/>
      <c r="Q167" s="12"/>
      <c r="R167" s="12"/>
      <c r="S167" s="12"/>
      <c r="T167" s="12"/>
      <c r="U167" s="12"/>
    </row>
    <row r="168" spans="2:21" hidden="1">
      <c r="B168" s="12"/>
      <c r="C168" s="12"/>
      <c r="D168" s="12"/>
      <c r="E168" s="12"/>
      <c r="F168" s="12"/>
      <c r="G168" s="12"/>
      <c r="H168" s="12"/>
      <c r="I168" s="12"/>
      <c r="J168" s="12"/>
      <c r="M168" s="12"/>
      <c r="N168" s="12"/>
      <c r="O168" s="12"/>
      <c r="P168" s="12"/>
      <c r="Q168" s="12"/>
      <c r="R168" s="12"/>
      <c r="S168" s="12"/>
      <c r="T168" s="12"/>
      <c r="U168" s="12"/>
    </row>
    <row r="169" spans="2:21" hidden="1">
      <c r="B169" s="12"/>
      <c r="C169" s="12"/>
      <c r="D169" s="12"/>
      <c r="E169" s="12"/>
      <c r="F169" s="12"/>
      <c r="G169" s="12"/>
      <c r="H169" s="12"/>
      <c r="I169" s="12"/>
      <c r="J169" s="12"/>
      <c r="M169" s="12"/>
      <c r="N169" s="12"/>
      <c r="O169" s="12"/>
      <c r="P169" s="12"/>
      <c r="Q169" s="12"/>
      <c r="R169" s="12"/>
      <c r="S169" s="12"/>
      <c r="T169" s="12"/>
      <c r="U169" s="12"/>
    </row>
    <row r="170" spans="2:21" hidden="1">
      <c r="B170" s="12"/>
      <c r="C170" s="12"/>
      <c r="D170" s="12"/>
      <c r="E170" s="12"/>
      <c r="F170" s="12"/>
      <c r="G170" s="12"/>
      <c r="H170" s="12"/>
      <c r="I170" s="12"/>
      <c r="J170" s="12"/>
      <c r="M170" s="12"/>
      <c r="N170" s="12"/>
      <c r="O170" s="12"/>
      <c r="P170" s="12"/>
      <c r="Q170" s="12"/>
      <c r="R170" s="12"/>
      <c r="S170" s="12"/>
      <c r="T170" s="12"/>
      <c r="U170" s="12"/>
    </row>
    <row r="171" spans="2:21" hidden="1">
      <c r="B171" s="12"/>
      <c r="C171" s="12"/>
      <c r="D171" s="12"/>
      <c r="E171" s="12"/>
      <c r="F171" s="12"/>
      <c r="G171" s="12"/>
      <c r="H171" s="12"/>
      <c r="I171" s="12"/>
      <c r="J171" s="12"/>
      <c r="M171" s="12"/>
      <c r="N171" s="12"/>
      <c r="O171" s="12"/>
      <c r="P171" s="12"/>
      <c r="Q171" s="12"/>
      <c r="R171" s="12"/>
      <c r="S171" s="12"/>
      <c r="T171" s="12"/>
      <c r="U171" s="12"/>
    </row>
    <row r="172" spans="2:21" hidden="1">
      <c r="B172" s="12"/>
      <c r="C172" s="12"/>
      <c r="D172" s="12"/>
      <c r="E172" s="12"/>
      <c r="F172" s="12"/>
      <c r="G172" s="12"/>
      <c r="H172" s="12"/>
      <c r="I172" s="12"/>
      <c r="J172" s="12"/>
      <c r="M172" s="12"/>
      <c r="N172" s="12"/>
      <c r="O172" s="12"/>
      <c r="P172" s="12"/>
      <c r="Q172" s="12"/>
      <c r="R172" s="12"/>
      <c r="S172" s="12"/>
      <c r="T172" s="12"/>
      <c r="U172" s="12"/>
    </row>
    <row r="173" spans="2:21" hidden="1">
      <c r="B173" s="12"/>
      <c r="C173" s="12"/>
      <c r="D173" s="12"/>
      <c r="E173" s="12"/>
      <c r="F173" s="12"/>
      <c r="G173" s="12"/>
      <c r="H173" s="12"/>
      <c r="I173" s="12"/>
      <c r="J173" s="12"/>
      <c r="M173" s="12"/>
      <c r="N173" s="12"/>
      <c r="O173" s="12"/>
      <c r="P173" s="12"/>
      <c r="Q173" s="12"/>
      <c r="R173" s="12"/>
      <c r="S173" s="12"/>
      <c r="T173" s="12"/>
      <c r="U173" s="12"/>
    </row>
    <row r="174" spans="2:21" hidden="1">
      <c r="B174" s="12"/>
      <c r="C174" s="12"/>
      <c r="D174" s="12"/>
      <c r="E174" s="12"/>
      <c r="F174" s="12"/>
      <c r="G174" s="12"/>
      <c r="H174" s="12"/>
      <c r="I174" s="12"/>
      <c r="J174" s="12"/>
      <c r="M174" s="12"/>
      <c r="N174" s="12"/>
      <c r="O174" s="12"/>
      <c r="P174" s="12"/>
      <c r="Q174" s="12"/>
      <c r="R174" s="12"/>
      <c r="S174" s="12"/>
      <c r="T174" s="12"/>
      <c r="U174" s="12"/>
    </row>
    <row r="175" spans="2:21" hidden="1">
      <c r="B175" s="12"/>
      <c r="C175" s="12"/>
      <c r="D175" s="12"/>
      <c r="E175" s="12"/>
      <c r="F175" s="12"/>
      <c r="G175" s="12"/>
      <c r="H175" s="12"/>
      <c r="I175" s="12"/>
      <c r="J175" s="12"/>
      <c r="M175" s="12"/>
      <c r="N175" s="12"/>
      <c r="O175" s="12"/>
      <c r="P175" s="12"/>
      <c r="Q175" s="12"/>
      <c r="R175" s="12"/>
      <c r="S175" s="12"/>
      <c r="T175" s="12"/>
      <c r="U175" s="12"/>
    </row>
    <row r="176" spans="2:21" hidden="1">
      <c r="B176" s="12"/>
      <c r="C176" s="12"/>
      <c r="D176" s="12"/>
      <c r="E176" s="12"/>
      <c r="F176" s="12"/>
      <c r="G176" s="12"/>
      <c r="H176" s="12"/>
      <c r="I176" s="12"/>
      <c r="J176" s="12"/>
      <c r="M176" s="12"/>
      <c r="N176" s="12"/>
      <c r="O176" s="12"/>
      <c r="P176" s="12"/>
      <c r="Q176" s="12"/>
      <c r="R176" s="12"/>
      <c r="S176" s="12"/>
      <c r="T176" s="12"/>
      <c r="U176" s="12"/>
    </row>
    <row r="177" spans="2:21" hidden="1">
      <c r="B177" s="12"/>
      <c r="C177" s="12"/>
      <c r="D177" s="12"/>
      <c r="E177" s="12"/>
      <c r="F177" s="12"/>
      <c r="G177" s="12"/>
      <c r="H177" s="12"/>
      <c r="I177" s="12"/>
      <c r="J177" s="12"/>
      <c r="M177" s="12"/>
      <c r="N177" s="12"/>
      <c r="O177" s="12"/>
      <c r="P177" s="12"/>
      <c r="Q177" s="12"/>
      <c r="R177" s="12"/>
      <c r="S177" s="12"/>
      <c r="T177" s="12"/>
      <c r="U177" s="12"/>
    </row>
    <row r="178" spans="2:21" hidden="1">
      <c r="B178" s="12"/>
      <c r="C178" s="12"/>
      <c r="D178" s="12"/>
      <c r="E178" s="12"/>
      <c r="F178" s="12"/>
      <c r="G178" s="12"/>
      <c r="H178" s="12"/>
      <c r="I178" s="12"/>
      <c r="J178" s="12"/>
      <c r="M178" s="12"/>
      <c r="N178" s="12"/>
      <c r="O178" s="12"/>
      <c r="P178" s="12"/>
      <c r="Q178" s="12"/>
      <c r="R178" s="12"/>
      <c r="S178" s="12"/>
      <c r="T178" s="12"/>
      <c r="U178" s="12"/>
    </row>
    <row r="179" spans="2:21" hidden="1">
      <c r="B179" s="12"/>
      <c r="C179" s="12"/>
      <c r="D179" s="12"/>
      <c r="E179" s="12"/>
      <c r="F179" s="12"/>
      <c r="G179" s="12"/>
      <c r="H179" s="12"/>
      <c r="I179" s="12"/>
      <c r="J179" s="12"/>
      <c r="M179" s="12"/>
      <c r="N179" s="12"/>
      <c r="O179" s="12"/>
      <c r="P179" s="12"/>
      <c r="Q179" s="12"/>
      <c r="R179" s="12"/>
      <c r="S179" s="12"/>
      <c r="T179" s="12"/>
      <c r="U179" s="12"/>
    </row>
    <row r="180" spans="2:21" hidden="1">
      <c r="B180" s="12"/>
      <c r="C180" s="12"/>
      <c r="D180" s="12"/>
      <c r="E180" s="12"/>
      <c r="F180" s="12"/>
      <c r="G180" s="12"/>
      <c r="H180" s="12"/>
      <c r="I180" s="12"/>
      <c r="J180" s="12"/>
      <c r="M180" s="12"/>
      <c r="N180" s="12"/>
      <c r="O180" s="12"/>
      <c r="P180" s="12"/>
      <c r="Q180" s="12"/>
      <c r="R180" s="12"/>
      <c r="S180" s="12"/>
      <c r="T180" s="12"/>
      <c r="U180" s="12"/>
    </row>
    <row r="181" spans="2:21" hidden="1">
      <c r="B181" s="12"/>
      <c r="C181" s="12"/>
      <c r="D181" s="12"/>
      <c r="E181" s="12"/>
      <c r="F181" s="12"/>
      <c r="G181" s="12"/>
      <c r="H181" s="12"/>
      <c r="I181" s="12"/>
      <c r="J181" s="12"/>
      <c r="M181" s="12"/>
      <c r="N181" s="12"/>
      <c r="O181" s="12"/>
      <c r="P181" s="12"/>
      <c r="Q181" s="12"/>
      <c r="R181" s="12"/>
      <c r="S181" s="12"/>
      <c r="T181" s="12"/>
      <c r="U181" s="12"/>
    </row>
    <row r="182" spans="2:21" hidden="1">
      <c r="B182" s="12"/>
      <c r="C182" s="12"/>
      <c r="D182" s="12"/>
      <c r="E182" s="12"/>
      <c r="F182" s="12"/>
      <c r="G182" s="12"/>
      <c r="H182" s="12"/>
      <c r="I182" s="12"/>
      <c r="J182" s="12"/>
      <c r="M182" s="12"/>
      <c r="N182" s="12"/>
      <c r="O182" s="12"/>
      <c r="P182" s="12"/>
      <c r="Q182" s="12"/>
      <c r="R182" s="12"/>
      <c r="S182" s="12"/>
      <c r="T182" s="12"/>
      <c r="U182" s="12"/>
    </row>
    <row r="183" spans="2:21" hidden="1">
      <c r="B183" s="12"/>
      <c r="C183" s="12"/>
      <c r="D183" s="12"/>
      <c r="E183" s="12"/>
      <c r="F183" s="12"/>
      <c r="G183" s="12"/>
      <c r="H183" s="12"/>
      <c r="I183" s="12"/>
      <c r="J183" s="12"/>
      <c r="M183" s="12"/>
      <c r="N183" s="12"/>
      <c r="O183" s="12"/>
      <c r="P183" s="12"/>
      <c r="Q183" s="12"/>
      <c r="R183" s="12"/>
      <c r="S183" s="12"/>
      <c r="T183" s="12"/>
      <c r="U183" s="12"/>
    </row>
    <row r="184" spans="2:21" hidden="1">
      <c r="B184" s="12"/>
      <c r="C184" s="12"/>
      <c r="D184" s="12"/>
      <c r="E184" s="12"/>
      <c r="F184" s="12"/>
      <c r="G184" s="12"/>
      <c r="H184" s="12"/>
      <c r="I184" s="12"/>
      <c r="J184" s="12"/>
      <c r="M184" s="12"/>
      <c r="N184" s="12"/>
      <c r="O184" s="12"/>
      <c r="P184" s="12"/>
      <c r="Q184" s="12"/>
      <c r="R184" s="12"/>
      <c r="S184" s="12"/>
      <c r="T184" s="12"/>
      <c r="U184" s="12"/>
    </row>
    <row r="185" spans="2:21" hidden="1">
      <c r="B185" s="12"/>
      <c r="C185" s="12"/>
      <c r="D185" s="12"/>
      <c r="E185" s="12"/>
      <c r="F185" s="12"/>
      <c r="G185" s="12"/>
      <c r="H185" s="12"/>
      <c r="I185" s="12"/>
      <c r="J185" s="12"/>
      <c r="M185" s="12"/>
      <c r="N185" s="12"/>
      <c r="O185" s="12"/>
      <c r="P185" s="12"/>
      <c r="Q185" s="12"/>
      <c r="R185" s="12"/>
      <c r="S185" s="12"/>
      <c r="T185" s="12"/>
      <c r="U185" s="12"/>
    </row>
    <row r="186" spans="2:21" hidden="1">
      <c r="B186" s="12"/>
      <c r="C186" s="12"/>
      <c r="D186" s="12"/>
      <c r="E186" s="12"/>
      <c r="F186" s="12"/>
      <c r="G186" s="12"/>
      <c r="H186" s="12"/>
      <c r="I186" s="12"/>
      <c r="J186" s="12"/>
      <c r="M186" s="12"/>
      <c r="N186" s="12"/>
      <c r="O186" s="12"/>
      <c r="P186" s="12"/>
      <c r="Q186" s="12"/>
      <c r="R186" s="12"/>
      <c r="S186" s="12"/>
      <c r="T186" s="12"/>
      <c r="U186" s="12"/>
    </row>
    <row r="187" spans="2:21" hidden="1">
      <c r="B187" s="12"/>
      <c r="C187" s="12"/>
      <c r="D187" s="12"/>
      <c r="E187" s="12"/>
      <c r="F187" s="12"/>
      <c r="G187" s="12"/>
      <c r="H187" s="12"/>
      <c r="I187" s="12"/>
      <c r="J187" s="12"/>
      <c r="M187" s="12"/>
      <c r="N187" s="12"/>
      <c r="O187" s="12"/>
      <c r="P187" s="12"/>
      <c r="Q187" s="12"/>
      <c r="R187" s="12"/>
      <c r="S187" s="12"/>
      <c r="T187" s="12"/>
      <c r="U187" s="12"/>
    </row>
    <row r="188" spans="2:21" hidden="1">
      <c r="B188" s="12"/>
      <c r="C188" s="12"/>
      <c r="D188" s="12"/>
      <c r="E188" s="12"/>
      <c r="F188" s="12"/>
      <c r="G188" s="12"/>
      <c r="H188" s="12"/>
      <c r="I188" s="12"/>
      <c r="J188" s="12"/>
      <c r="M188" s="12"/>
      <c r="N188" s="12"/>
      <c r="O188" s="12"/>
      <c r="P188" s="12"/>
      <c r="Q188" s="12"/>
      <c r="R188" s="12"/>
      <c r="S188" s="12"/>
      <c r="T188" s="12"/>
      <c r="U188" s="12"/>
    </row>
    <row r="189" spans="2:21" hidden="1">
      <c r="B189" s="12"/>
      <c r="C189" s="12"/>
      <c r="D189" s="12"/>
      <c r="E189" s="12"/>
      <c r="F189" s="12"/>
      <c r="G189" s="12"/>
      <c r="H189" s="12"/>
      <c r="I189" s="12"/>
      <c r="J189" s="12"/>
      <c r="M189" s="12"/>
      <c r="N189" s="12"/>
      <c r="O189" s="12"/>
      <c r="P189" s="12"/>
      <c r="Q189" s="12"/>
      <c r="R189" s="12"/>
      <c r="S189" s="12"/>
      <c r="T189" s="12"/>
      <c r="U189" s="12"/>
    </row>
    <row r="190" spans="2:21" hidden="1">
      <c r="B190" s="12"/>
      <c r="C190" s="12"/>
      <c r="D190" s="12"/>
      <c r="E190" s="12"/>
      <c r="F190" s="12"/>
      <c r="G190" s="12"/>
      <c r="H190" s="12"/>
      <c r="I190" s="12"/>
      <c r="J190" s="12"/>
      <c r="M190" s="12"/>
      <c r="N190" s="12"/>
      <c r="O190" s="12"/>
      <c r="P190" s="12"/>
      <c r="Q190" s="12"/>
      <c r="R190" s="12"/>
      <c r="S190" s="12"/>
      <c r="T190" s="12"/>
      <c r="U190" s="12"/>
    </row>
    <row r="191" spans="2:21" hidden="1">
      <c r="B191" s="12"/>
      <c r="C191" s="12"/>
      <c r="D191" s="12"/>
      <c r="E191" s="12"/>
      <c r="F191" s="12"/>
      <c r="G191" s="12"/>
      <c r="H191" s="12"/>
      <c r="I191" s="12"/>
      <c r="J191" s="12"/>
      <c r="M191" s="12"/>
      <c r="N191" s="12"/>
      <c r="O191" s="12"/>
      <c r="P191" s="12"/>
      <c r="Q191" s="12"/>
      <c r="R191" s="12"/>
      <c r="S191" s="12"/>
      <c r="T191" s="12"/>
      <c r="U191" s="12"/>
    </row>
    <row r="192" spans="2:21" hidden="1">
      <c r="B192" s="12"/>
      <c r="C192" s="12"/>
      <c r="D192" s="12"/>
      <c r="E192" s="12"/>
      <c r="F192" s="12"/>
      <c r="G192" s="12"/>
      <c r="H192" s="12"/>
      <c r="I192" s="12"/>
      <c r="J192" s="12"/>
      <c r="M192" s="12"/>
      <c r="N192" s="12"/>
      <c r="O192" s="12"/>
      <c r="P192" s="12"/>
      <c r="Q192" s="12"/>
      <c r="R192" s="12"/>
      <c r="S192" s="12"/>
      <c r="T192" s="12"/>
      <c r="U192" s="12"/>
    </row>
    <row r="193" spans="2:21" hidden="1">
      <c r="B193" s="12"/>
      <c r="C193" s="12"/>
      <c r="D193" s="12"/>
      <c r="E193" s="12"/>
      <c r="F193" s="12"/>
      <c r="G193" s="12"/>
      <c r="H193" s="12"/>
      <c r="I193" s="12"/>
      <c r="J193" s="12"/>
      <c r="M193" s="12"/>
      <c r="N193" s="12"/>
      <c r="O193" s="12"/>
      <c r="P193" s="12"/>
      <c r="Q193" s="12"/>
      <c r="R193" s="12"/>
      <c r="S193" s="12"/>
      <c r="T193" s="12"/>
      <c r="U193" s="12"/>
    </row>
    <row r="194" spans="2:21" hidden="1">
      <c r="B194" s="12"/>
      <c r="C194" s="12"/>
      <c r="D194" s="12"/>
      <c r="E194" s="12"/>
      <c r="F194" s="12"/>
      <c r="G194" s="12"/>
      <c r="H194" s="12"/>
      <c r="I194" s="12"/>
      <c r="J194" s="12"/>
      <c r="M194" s="12"/>
      <c r="N194" s="12"/>
      <c r="O194" s="12"/>
      <c r="P194" s="12"/>
      <c r="Q194" s="12"/>
      <c r="R194" s="12"/>
      <c r="S194" s="12"/>
      <c r="T194" s="12"/>
      <c r="U194" s="12"/>
    </row>
    <row r="195" spans="2:21" hidden="1">
      <c r="B195" s="12"/>
      <c r="C195" s="12"/>
      <c r="D195" s="12"/>
      <c r="E195" s="12"/>
      <c r="F195" s="12"/>
      <c r="G195" s="12"/>
      <c r="H195" s="12"/>
      <c r="I195" s="12"/>
      <c r="J195" s="12"/>
      <c r="M195" s="12"/>
      <c r="N195" s="12"/>
      <c r="O195" s="12"/>
      <c r="P195" s="12"/>
      <c r="Q195" s="12"/>
      <c r="R195" s="12"/>
      <c r="S195" s="12"/>
      <c r="T195" s="12"/>
      <c r="U195" s="12"/>
    </row>
    <row r="196" spans="2:21" hidden="1">
      <c r="B196" s="12"/>
      <c r="C196" s="12"/>
      <c r="D196" s="12"/>
      <c r="E196" s="12"/>
      <c r="F196" s="12"/>
      <c r="G196" s="12"/>
      <c r="H196" s="12"/>
      <c r="I196" s="12"/>
      <c r="J196" s="12"/>
      <c r="M196" s="12"/>
      <c r="N196" s="12"/>
      <c r="O196" s="12"/>
      <c r="P196" s="12"/>
      <c r="Q196" s="12"/>
      <c r="R196" s="12"/>
      <c r="S196" s="12"/>
      <c r="T196" s="12"/>
      <c r="U196" s="12"/>
    </row>
    <row r="197" spans="2:21" hidden="1">
      <c r="B197" s="12"/>
      <c r="C197" s="12"/>
      <c r="D197" s="12"/>
      <c r="E197" s="12"/>
      <c r="F197" s="12"/>
      <c r="G197" s="12"/>
      <c r="H197" s="12"/>
      <c r="I197" s="12"/>
      <c r="J197" s="12"/>
      <c r="M197" s="12"/>
      <c r="N197" s="12"/>
      <c r="O197" s="12"/>
      <c r="P197" s="12"/>
      <c r="Q197" s="12"/>
      <c r="R197" s="12"/>
      <c r="S197" s="12"/>
      <c r="T197" s="12"/>
      <c r="U197" s="12"/>
    </row>
    <row r="198" spans="2:21" hidden="1">
      <c r="B198" s="12"/>
      <c r="C198" s="12"/>
      <c r="D198" s="12"/>
      <c r="E198" s="12"/>
      <c r="F198" s="12"/>
      <c r="G198" s="12"/>
      <c r="H198" s="12"/>
      <c r="I198" s="12"/>
      <c r="J198" s="12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2:21" hidden="1">
      <c r="B199" s="12"/>
      <c r="C199" s="12"/>
      <c r="D199" s="12"/>
      <c r="E199" s="12"/>
      <c r="F199" s="12"/>
      <c r="G199" s="12"/>
      <c r="H199" s="12"/>
      <c r="I199" s="12"/>
      <c r="J199" s="12"/>
      <c r="M199" s="12"/>
      <c r="N199" s="12"/>
      <c r="O199" s="12"/>
      <c r="P199" s="12"/>
      <c r="Q199" s="12"/>
      <c r="R199" s="12"/>
      <c r="S199" s="12"/>
      <c r="T199" s="12"/>
      <c r="U199" s="12"/>
    </row>
    <row r="200" spans="2:21" hidden="1">
      <c r="B200" s="12"/>
      <c r="C200" s="12"/>
      <c r="D200" s="12"/>
      <c r="E200" s="12"/>
      <c r="F200" s="12"/>
      <c r="G200" s="12"/>
      <c r="H200" s="12"/>
      <c r="I200" s="12"/>
      <c r="J200" s="12"/>
      <c r="M200" s="12"/>
      <c r="N200" s="12"/>
      <c r="O200" s="12"/>
      <c r="P200" s="12"/>
      <c r="Q200" s="12"/>
      <c r="R200" s="12"/>
      <c r="S200" s="12"/>
      <c r="T200" s="12"/>
      <c r="U200" s="12"/>
    </row>
    <row r="201" spans="2:21" hidden="1">
      <c r="B201" s="12"/>
      <c r="C201" s="12"/>
      <c r="D201" s="12"/>
      <c r="E201" s="12"/>
      <c r="F201" s="12"/>
      <c r="G201" s="12"/>
      <c r="H201" s="12"/>
      <c r="I201" s="12"/>
      <c r="J201" s="12"/>
      <c r="M201" s="12"/>
      <c r="N201" s="12"/>
      <c r="O201" s="12"/>
      <c r="P201" s="12"/>
      <c r="Q201" s="12"/>
      <c r="R201" s="12"/>
      <c r="S201" s="12"/>
      <c r="T201" s="12"/>
      <c r="U201" s="12"/>
    </row>
    <row r="202" spans="2:21" hidden="1">
      <c r="B202" s="12"/>
      <c r="C202" s="12"/>
      <c r="D202" s="12"/>
      <c r="E202" s="12"/>
      <c r="F202" s="12"/>
      <c r="G202" s="12"/>
      <c r="H202" s="12"/>
      <c r="I202" s="12"/>
      <c r="J202" s="12"/>
      <c r="M202" s="12"/>
      <c r="N202" s="12"/>
      <c r="O202" s="12"/>
      <c r="P202" s="12"/>
      <c r="Q202" s="12"/>
      <c r="R202" s="12"/>
      <c r="S202" s="12"/>
      <c r="T202" s="12"/>
      <c r="U202" s="12"/>
    </row>
    <row r="203" spans="2:21" hidden="1">
      <c r="B203" s="12"/>
      <c r="C203" s="12"/>
      <c r="D203" s="12"/>
      <c r="E203" s="12"/>
      <c r="F203" s="12"/>
      <c r="G203" s="12"/>
      <c r="H203" s="12"/>
      <c r="I203" s="12"/>
      <c r="J203" s="12"/>
      <c r="M203" s="12"/>
      <c r="N203" s="12"/>
      <c r="O203" s="12"/>
      <c r="P203" s="12"/>
      <c r="Q203" s="12"/>
      <c r="R203" s="12"/>
      <c r="S203" s="12"/>
      <c r="T203" s="12"/>
      <c r="U203" s="12"/>
    </row>
    <row r="204" spans="2:21" hidden="1">
      <c r="B204" s="12"/>
      <c r="C204" s="12"/>
      <c r="D204" s="12"/>
      <c r="E204" s="12"/>
      <c r="F204" s="12"/>
      <c r="G204" s="12"/>
      <c r="H204" s="12"/>
      <c r="I204" s="12"/>
      <c r="J204" s="12"/>
      <c r="M204" s="12"/>
      <c r="N204" s="12"/>
      <c r="O204" s="12"/>
      <c r="P204" s="12"/>
      <c r="Q204" s="12"/>
      <c r="R204" s="12"/>
      <c r="S204" s="12"/>
      <c r="T204" s="12"/>
      <c r="U204" s="12"/>
    </row>
    <row r="205" spans="2:21" hidden="1">
      <c r="B205" s="12"/>
      <c r="C205" s="12"/>
      <c r="D205" s="12"/>
      <c r="E205" s="12"/>
      <c r="F205" s="12"/>
      <c r="G205" s="12"/>
      <c r="H205" s="12"/>
      <c r="I205" s="12"/>
      <c r="J205" s="12"/>
      <c r="M205" s="12"/>
      <c r="N205" s="12"/>
      <c r="O205" s="12"/>
      <c r="P205" s="12"/>
      <c r="Q205" s="12"/>
      <c r="R205" s="12"/>
      <c r="S205" s="12"/>
      <c r="T205" s="12"/>
      <c r="U205" s="12"/>
    </row>
    <row r="206" spans="2:21" hidden="1">
      <c r="B206" s="12"/>
      <c r="C206" s="12"/>
      <c r="D206" s="12"/>
      <c r="E206" s="12"/>
      <c r="F206" s="12"/>
      <c r="G206" s="12"/>
      <c r="H206" s="12"/>
      <c r="I206" s="12"/>
      <c r="J206" s="12"/>
      <c r="M206" s="12"/>
      <c r="N206" s="12"/>
      <c r="O206" s="12"/>
      <c r="P206" s="12"/>
      <c r="Q206" s="12"/>
      <c r="R206" s="12"/>
      <c r="S206" s="12"/>
      <c r="T206" s="12"/>
      <c r="U206" s="12"/>
    </row>
    <row r="207" spans="2:21" hidden="1">
      <c r="B207" s="12"/>
      <c r="C207" s="12"/>
      <c r="D207" s="12"/>
      <c r="E207" s="12"/>
      <c r="F207" s="12"/>
      <c r="G207" s="12"/>
      <c r="H207" s="12"/>
      <c r="I207" s="12"/>
      <c r="J207" s="12"/>
      <c r="M207" s="12"/>
      <c r="N207" s="12"/>
      <c r="O207" s="12"/>
      <c r="P207" s="12"/>
      <c r="Q207" s="12"/>
      <c r="R207" s="12"/>
      <c r="S207" s="12"/>
      <c r="T207" s="12"/>
      <c r="U207" s="12"/>
    </row>
    <row r="208" spans="2:21" hidden="1">
      <c r="B208" s="12"/>
      <c r="C208" s="12"/>
      <c r="D208" s="12"/>
      <c r="E208" s="12"/>
      <c r="F208" s="12"/>
      <c r="G208" s="12"/>
      <c r="H208" s="12"/>
      <c r="I208" s="12"/>
      <c r="J208" s="12"/>
      <c r="M208" s="12"/>
      <c r="N208" s="12"/>
      <c r="O208" s="12"/>
      <c r="P208" s="12"/>
      <c r="Q208" s="12"/>
      <c r="R208" s="12"/>
      <c r="S208" s="12"/>
      <c r="T208" s="12"/>
      <c r="U208" s="12"/>
    </row>
    <row r="209" spans="2:21" hidden="1">
      <c r="B209" s="12"/>
      <c r="C209" s="12"/>
      <c r="D209" s="12"/>
      <c r="E209" s="12"/>
      <c r="F209" s="12"/>
      <c r="G209" s="12"/>
      <c r="H209" s="12"/>
      <c r="I209" s="12"/>
      <c r="J209" s="12"/>
      <c r="M209" s="12"/>
      <c r="N209" s="12"/>
      <c r="O209" s="12"/>
      <c r="P209" s="12"/>
      <c r="Q209" s="12"/>
      <c r="R209" s="12"/>
      <c r="S209" s="12"/>
      <c r="T209" s="12"/>
      <c r="U209" s="12"/>
    </row>
    <row r="210" spans="2:21" hidden="1">
      <c r="B210" s="12"/>
      <c r="C210" s="12"/>
      <c r="D210" s="12"/>
      <c r="E210" s="12"/>
      <c r="F210" s="12"/>
      <c r="G210" s="12"/>
      <c r="H210" s="12"/>
      <c r="I210" s="12"/>
      <c r="J210" s="12"/>
      <c r="M210" s="12"/>
      <c r="N210" s="12"/>
      <c r="O210" s="12"/>
      <c r="P210" s="12"/>
      <c r="Q210" s="12"/>
      <c r="R210" s="12"/>
      <c r="S210" s="12"/>
      <c r="T210" s="12"/>
      <c r="U210" s="12"/>
    </row>
    <row r="211" spans="2:21" hidden="1">
      <c r="B211" s="12"/>
      <c r="C211" s="12"/>
      <c r="D211" s="12"/>
      <c r="E211" s="12"/>
      <c r="F211" s="12"/>
      <c r="G211" s="12"/>
      <c r="H211" s="12"/>
      <c r="I211" s="12"/>
      <c r="J211" s="12"/>
      <c r="M211" s="12"/>
      <c r="N211" s="12"/>
      <c r="O211" s="12"/>
      <c r="P211" s="12"/>
      <c r="Q211" s="12"/>
      <c r="R211" s="12"/>
      <c r="S211" s="12"/>
      <c r="T211" s="12"/>
      <c r="U211" s="12"/>
    </row>
    <row r="212" spans="2:21" hidden="1">
      <c r="B212" s="12"/>
      <c r="C212" s="12"/>
      <c r="D212" s="12"/>
      <c r="E212" s="12"/>
      <c r="F212" s="12"/>
      <c r="G212" s="12"/>
      <c r="H212" s="12"/>
      <c r="I212" s="12"/>
      <c r="J212" s="12"/>
      <c r="M212" s="12"/>
      <c r="N212" s="12"/>
      <c r="O212" s="12"/>
      <c r="P212" s="12"/>
      <c r="Q212" s="12"/>
      <c r="R212" s="12"/>
      <c r="S212" s="12"/>
      <c r="T212" s="12"/>
      <c r="U212" s="12"/>
    </row>
    <row r="213" spans="2:21" hidden="1">
      <c r="B213" s="12"/>
      <c r="C213" s="12"/>
      <c r="D213" s="12"/>
      <c r="E213" s="12"/>
      <c r="F213" s="12"/>
      <c r="G213" s="12"/>
      <c r="H213" s="12"/>
      <c r="I213" s="12"/>
      <c r="J213" s="12"/>
      <c r="M213" s="12"/>
      <c r="N213" s="12"/>
      <c r="O213" s="12"/>
      <c r="P213" s="12"/>
      <c r="Q213" s="12"/>
      <c r="R213" s="12"/>
      <c r="S213" s="12"/>
      <c r="T213" s="12"/>
      <c r="U213" s="12"/>
    </row>
    <row r="214" spans="2:21" hidden="1">
      <c r="B214" s="12"/>
      <c r="C214" s="12"/>
      <c r="D214" s="12"/>
      <c r="E214" s="12"/>
      <c r="F214" s="12"/>
      <c r="G214" s="12"/>
      <c r="H214" s="12"/>
      <c r="I214" s="12"/>
      <c r="J214" s="12"/>
      <c r="M214" s="12"/>
      <c r="N214" s="12"/>
      <c r="O214" s="12"/>
      <c r="P214" s="12"/>
      <c r="Q214" s="12"/>
      <c r="R214" s="12"/>
      <c r="S214" s="12"/>
      <c r="T214" s="12"/>
      <c r="U214" s="12"/>
    </row>
    <row r="215" spans="2:21" hidden="1">
      <c r="B215" s="12"/>
      <c r="C215" s="12"/>
      <c r="D215" s="12"/>
      <c r="E215" s="12"/>
      <c r="F215" s="12"/>
      <c r="G215" s="12"/>
      <c r="H215" s="12"/>
      <c r="I215" s="12"/>
      <c r="J215" s="12"/>
      <c r="M215" s="12"/>
      <c r="N215" s="12"/>
      <c r="O215" s="12"/>
      <c r="P215" s="12"/>
      <c r="Q215" s="12"/>
      <c r="R215" s="12"/>
      <c r="S215" s="12"/>
      <c r="T215" s="12"/>
      <c r="U215" s="12"/>
    </row>
    <row r="216" spans="2:21" hidden="1">
      <c r="B216" s="12"/>
      <c r="C216" s="12"/>
      <c r="D216" s="12"/>
      <c r="E216" s="12"/>
      <c r="F216" s="12"/>
      <c r="G216" s="12"/>
      <c r="H216" s="12"/>
      <c r="I216" s="12"/>
      <c r="J216" s="12"/>
      <c r="M216" s="12"/>
      <c r="N216" s="12"/>
      <c r="O216" s="12"/>
      <c r="P216" s="12"/>
      <c r="Q216" s="12"/>
      <c r="R216" s="12"/>
      <c r="S216" s="12"/>
      <c r="T216" s="12"/>
      <c r="U216" s="12"/>
    </row>
    <row r="217" spans="2:21" hidden="1">
      <c r="B217" s="12"/>
      <c r="C217" s="12"/>
      <c r="D217" s="12"/>
      <c r="E217" s="12"/>
      <c r="F217" s="12"/>
      <c r="G217" s="12"/>
      <c r="H217" s="12"/>
      <c r="I217" s="12"/>
      <c r="J217" s="12"/>
      <c r="M217" s="12"/>
      <c r="N217" s="12"/>
      <c r="O217" s="12"/>
      <c r="P217" s="12"/>
      <c r="Q217" s="12"/>
      <c r="R217" s="12"/>
      <c r="S217" s="12"/>
      <c r="T217" s="12"/>
      <c r="U217" s="12"/>
    </row>
    <row r="218" spans="2:21" hidden="1">
      <c r="B218" s="12"/>
      <c r="C218" s="12"/>
      <c r="D218" s="12"/>
      <c r="E218" s="12"/>
      <c r="F218" s="12"/>
      <c r="G218" s="12"/>
      <c r="H218" s="12"/>
      <c r="I218" s="12"/>
      <c r="J218" s="12"/>
      <c r="M218" s="12"/>
      <c r="N218" s="12"/>
      <c r="O218" s="12"/>
      <c r="P218" s="12"/>
      <c r="Q218" s="12"/>
      <c r="R218" s="12"/>
      <c r="S218" s="12"/>
      <c r="T218" s="12"/>
      <c r="U218" s="12"/>
    </row>
    <row r="219" spans="2:21" hidden="1">
      <c r="B219" s="12"/>
      <c r="C219" s="12"/>
      <c r="D219" s="12"/>
      <c r="E219" s="12"/>
      <c r="F219" s="12"/>
      <c r="G219" s="12"/>
      <c r="H219" s="12"/>
      <c r="I219" s="12"/>
      <c r="J219" s="12"/>
      <c r="M219" s="12"/>
      <c r="N219" s="12"/>
      <c r="O219" s="12"/>
      <c r="P219" s="12"/>
      <c r="Q219" s="12"/>
      <c r="R219" s="12"/>
      <c r="S219" s="12"/>
      <c r="T219" s="12"/>
      <c r="U219" s="12"/>
    </row>
    <row r="220" spans="2:21" hidden="1">
      <c r="B220" s="12"/>
      <c r="C220" s="12"/>
      <c r="D220" s="12"/>
      <c r="E220" s="12"/>
      <c r="F220" s="12"/>
      <c r="G220" s="12"/>
      <c r="H220" s="12"/>
      <c r="I220" s="12"/>
      <c r="J220" s="12"/>
      <c r="M220" s="12"/>
      <c r="N220" s="12"/>
      <c r="O220" s="12"/>
      <c r="P220" s="12"/>
      <c r="Q220" s="12"/>
      <c r="R220" s="12"/>
      <c r="S220" s="12"/>
      <c r="T220" s="12"/>
      <c r="U220" s="12"/>
    </row>
    <row r="221" spans="2:21" hidden="1">
      <c r="B221" s="12"/>
      <c r="C221" s="12"/>
      <c r="D221" s="12"/>
      <c r="E221" s="12"/>
      <c r="F221" s="12"/>
      <c r="G221" s="12"/>
      <c r="H221" s="12"/>
      <c r="I221" s="12"/>
      <c r="J221" s="12"/>
      <c r="M221" s="12"/>
      <c r="N221" s="12"/>
      <c r="O221" s="12"/>
      <c r="P221" s="12"/>
      <c r="Q221" s="12"/>
      <c r="R221" s="12"/>
      <c r="S221" s="12"/>
      <c r="T221" s="12"/>
      <c r="U221" s="12"/>
    </row>
    <row r="222" spans="2:21" hidden="1">
      <c r="B222" s="12"/>
      <c r="C222" s="12"/>
      <c r="D222" s="12"/>
      <c r="E222" s="12"/>
      <c r="F222" s="12"/>
      <c r="G222" s="12"/>
      <c r="H222" s="12"/>
      <c r="I222" s="12"/>
      <c r="J222" s="12"/>
      <c r="M222" s="12"/>
      <c r="N222" s="12"/>
      <c r="O222" s="12"/>
      <c r="P222" s="12"/>
      <c r="Q222" s="12"/>
      <c r="R222" s="12"/>
      <c r="S222" s="12"/>
      <c r="T222" s="12"/>
      <c r="U222" s="12"/>
    </row>
    <row r="223" spans="2:21" hidden="1">
      <c r="B223" s="12"/>
      <c r="C223" s="12"/>
      <c r="D223" s="12"/>
      <c r="E223" s="12"/>
      <c r="F223" s="12"/>
      <c r="G223" s="12"/>
      <c r="H223" s="12"/>
      <c r="I223" s="12"/>
      <c r="J223" s="12"/>
      <c r="M223" s="12"/>
      <c r="N223" s="12"/>
      <c r="O223" s="12"/>
      <c r="P223" s="12"/>
      <c r="Q223" s="12"/>
      <c r="R223" s="12"/>
      <c r="S223" s="12"/>
      <c r="T223" s="12"/>
      <c r="U223" s="12"/>
    </row>
    <row r="224" spans="2:21" hidden="1">
      <c r="B224" s="12"/>
      <c r="C224" s="12"/>
      <c r="D224" s="12"/>
      <c r="E224" s="12"/>
      <c r="F224" s="12"/>
      <c r="G224" s="12"/>
      <c r="H224" s="12"/>
      <c r="I224" s="12"/>
      <c r="J224" s="12"/>
      <c r="M224" s="12"/>
      <c r="N224" s="12"/>
      <c r="O224" s="12"/>
      <c r="P224" s="12"/>
      <c r="Q224" s="12"/>
      <c r="R224" s="12"/>
      <c r="S224" s="12"/>
      <c r="T224" s="12"/>
      <c r="U224" s="12"/>
    </row>
    <row r="225" spans="2:21" hidden="1">
      <c r="B225" s="12"/>
      <c r="C225" s="12"/>
      <c r="D225" s="12"/>
      <c r="E225" s="12"/>
      <c r="F225" s="12"/>
      <c r="G225" s="12"/>
      <c r="H225" s="12"/>
      <c r="I225" s="12"/>
      <c r="J225" s="12"/>
      <c r="M225" s="12"/>
      <c r="N225" s="12"/>
      <c r="O225" s="12"/>
      <c r="P225" s="12"/>
      <c r="Q225" s="12"/>
      <c r="R225" s="12"/>
      <c r="S225" s="12"/>
      <c r="T225" s="12"/>
      <c r="U225" s="12"/>
    </row>
    <row r="226" spans="2:21" hidden="1">
      <c r="B226" s="12"/>
      <c r="C226" s="12"/>
      <c r="D226" s="12"/>
      <c r="E226" s="12"/>
      <c r="F226" s="12"/>
      <c r="G226" s="12"/>
      <c r="H226" s="12"/>
      <c r="I226" s="12"/>
      <c r="J226" s="12"/>
      <c r="M226" s="12"/>
      <c r="N226" s="12"/>
      <c r="O226" s="12"/>
      <c r="P226" s="12"/>
      <c r="Q226" s="12"/>
      <c r="R226" s="12"/>
      <c r="S226" s="12"/>
      <c r="T226" s="12"/>
      <c r="U226" s="12"/>
    </row>
    <row r="227" spans="2:21" hidden="1">
      <c r="B227" s="12"/>
      <c r="C227" s="12"/>
      <c r="D227" s="12"/>
      <c r="E227" s="12"/>
      <c r="F227" s="12"/>
      <c r="G227" s="12"/>
      <c r="H227" s="12"/>
      <c r="I227" s="12"/>
      <c r="J227" s="12"/>
      <c r="M227" s="12"/>
      <c r="N227" s="12"/>
      <c r="O227" s="12"/>
      <c r="P227" s="12"/>
      <c r="Q227" s="12"/>
      <c r="R227" s="12"/>
      <c r="S227" s="12"/>
      <c r="T227" s="12"/>
      <c r="U227" s="12"/>
    </row>
    <row r="228" spans="2:21" hidden="1">
      <c r="B228" s="12"/>
      <c r="C228" s="12"/>
      <c r="D228" s="12"/>
      <c r="E228" s="12"/>
      <c r="F228" s="12"/>
      <c r="G228" s="12"/>
      <c r="H228" s="12"/>
      <c r="I228" s="12"/>
      <c r="J228" s="12"/>
      <c r="M228" s="12"/>
      <c r="N228" s="12"/>
      <c r="O228" s="12"/>
      <c r="P228" s="12"/>
      <c r="Q228" s="12"/>
      <c r="R228" s="12"/>
      <c r="S228" s="12"/>
      <c r="T228" s="12"/>
      <c r="U228" s="12"/>
    </row>
    <row r="229" spans="2:21" hidden="1">
      <c r="B229" s="12"/>
      <c r="C229" s="12"/>
      <c r="D229" s="12"/>
      <c r="E229" s="12"/>
      <c r="F229" s="12"/>
      <c r="G229" s="12"/>
      <c r="H229" s="12"/>
      <c r="I229" s="12"/>
      <c r="J229" s="12"/>
      <c r="M229" s="12"/>
      <c r="N229" s="12"/>
      <c r="O229" s="12"/>
      <c r="P229" s="12"/>
      <c r="Q229" s="12"/>
      <c r="R229" s="12"/>
      <c r="S229" s="12"/>
      <c r="T229" s="12"/>
      <c r="U229" s="12"/>
    </row>
    <row r="230" spans="2:21" hidden="1">
      <c r="B230" s="12"/>
      <c r="C230" s="12"/>
      <c r="D230" s="12"/>
      <c r="E230" s="12"/>
      <c r="F230" s="12"/>
      <c r="G230" s="12"/>
      <c r="H230" s="12"/>
      <c r="I230" s="12"/>
      <c r="J230" s="12"/>
      <c r="M230" s="12"/>
      <c r="N230" s="12"/>
      <c r="O230" s="12"/>
      <c r="P230" s="12"/>
      <c r="Q230" s="12"/>
      <c r="R230" s="12"/>
      <c r="S230" s="12"/>
      <c r="T230" s="12"/>
      <c r="U230" s="12"/>
    </row>
    <row r="231" spans="2:21" hidden="1">
      <c r="B231" s="12"/>
      <c r="C231" s="12"/>
      <c r="D231" s="12"/>
      <c r="E231" s="12"/>
      <c r="F231" s="12"/>
      <c r="G231" s="12"/>
      <c r="H231" s="12"/>
      <c r="I231" s="12"/>
      <c r="J231" s="12"/>
      <c r="M231" s="12"/>
      <c r="N231" s="12"/>
      <c r="O231" s="12"/>
      <c r="P231" s="12"/>
      <c r="Q231" s="12"/>
      <c r="R231" s="12"/>
      <c r="S231" s="12"/>
      <c r="T231" s="12"/>
      <c r="U231" s="12"/>
    </row>
    <row r="232" spans="2:21" hidden="1">
      <c r="B232" s="12"/>
      <c r="C232" s="12"/>
      <c r="D232" s="12"/>
      <c r="E232" s="12"/>
      <c r="F232" s="12"/>
      <c r="G232" s="12"/>
      <c r="H232" s="12"/>
      <c r="I232" s="12"/>
      <c r="J232" s="12"/>
      <c r="M232" s="12"/>
      <c r="N232" s="12"/>
      <c r="O232" s="12"/>
      <c r="P232" s="12"/>
      <c r="Q232" s="12"/>
      <c r="R232" s="12"/>
      <c r="S232" s="12"/>
      <c r="T232" s="12"/>
      <c r="U232" s="12"/>
    </row>
    <row r="233" spans="2:21" hidden="1">
      <c r="B233" s="12"/>
      <c r="C233" s="12"/>
      <c r="D233" s="12"/>
      <c r="E233" s="12"/>
      <c r="F233" s="12"/>
      <c r="G233" s="12"/>
      <c r="H233" s="12"/>
      <c r="I233" s="12"/>
      <c r="J233" s="12"/>
      <c r="M233" s="12"/>
      <c r="N233" s="12"/>
      <c r="O233" s="12"/>
      <c r="P233" s="12"/>
      <c r="Q233" s="12"/>
      <c r="R233" s="12"/>
      <c r="S233" s="12"/>
      <c r="T233" s="12"/>
      <c r="U233" s="12"/>
    </row>
    <row r="234" spans="2:21" hidden="1">
      <c r="B234" s="12"/>
      <c r="C234" s="12"/>
      <c r="D234" s="12"/>
      <c r="E234" s="12"/>
      <c r="F234" s="12"/>
      <c r="G234" s="12"/>
      <c r="H234" s="12"/>
      <c r="I234" s="12"/>
      <c r="J234" s="12"/>
      <c r="M234" s="12"/>
      <c r="N234" s="12"/>
      <c r="O234" s="12"/>
      <c r="P234" s="12"/>
      <c r="Q234" s="12"/>
      <c r="R234" s="12"/>
      <c r="S234" s="12"/>
      <c r="T234" s="12"/>
      <c r="U234" s="12"/>
    </row>
    <row r="235" spans="2:21" hidden="1">
      <c r="B235" s="12"/>
      <c r="C235" s="12"/>
      <c r="D235" s="12"/>
      <c r="E235" s="12"/>
      <c r="F235" s="12"/>
      <c r="G235" s="12"/>
      <c r="H235" s="12"/>
      <c r="I235" s="12"/>
      <c r="J235" s="12"/>
      <c r="M235" s="12"/>
      <c r="N235" s="12"/>
      <c r="O235" s="12"/>
      <c r="P235" s="12"/>
      <c r="Q235" s="12"/>
      <c r="R235" s="12"/>
      <c r="S235" s="12"/>
      <c r="T235" s="12"/>
      <c r="U235" s="12"/>
    </row>
    <row r="236" spans="2:21" hidden="1">
      <c r="B236" s="12"/>
      <c r="C236" s="12"/>
      <c r="D236" s="12"/>
      <c r="E236" s="12"/>
      <c r="F236" s="12"/>
      <c r="G236" s="12"/>
      <c r="H236" s="12"/>
      <c r="I236" s="12"/>
      <c r="J236" s="12"/>
      <c r="M236" s="12"/>
      <c r="N236" s="12"/>
      <c r="O236" s="12"/>
      <c r="P236" s="12"/>
      <c r="Q236" s="12"/>
      <c r="R236" s="12"/>
      <c r="S236" s="12"/>
      <c r="T236" s="12"/>
      <c r="U236" s="12"/>
    </row>
    <row r="237" spans="2:21" hidden="1">
      <c r="B237" s="12"/>
      <c r="C237" s="12"/>
      <c r="D237" s="12"/>
      <c r="E237" s="12"/>
      <c r="F237" s="12"/>
      <c r="G237" s="12"/>
      <c r="H237" s="12"/>
      <c r="I237" s="12"/>
      <c r="J237" s="12"/>
      <c r="M237" s="12"/>
      <c r="N237" s="12"/>
      <c r="O237" s="12"/>
      <c r="P237" s="12"/>
      <c r="Q237" s="12"/>
      <c r="R237" s="12"/>
      <c r="S237" s="12"/>
      <c r="T237" s="12"/>
      <c r="U237" s="12"/>
    </row>
    <row r="238" spans="2:21" hidden="1">
      <c r="B238" s="12"/>
      <c r="C238" s="12"/>
      <c r="D238" s="12"/>
      <c r="E238" s="12"/>
      <c r="F238" s="12"/>
      <c r="G238" s="12"/>
      <c r="H238" s="12"/>
      <c r="I238" s="12"/>
      <c r="J238" s="12"/>
      <c r="M238" s="12"/>
      <c r="N238" s="12"/>
      <c r="O238" s="12"/>
      <c r="P238" s="12"/>
      <c r="Q238" s="12"/>
      <c r="R238" s="12"/>
      <c r="S238" s="12"/>
      <c r="T238" s="12"/>
      <c r="U238" s="12"/>
    </row>
    <row r="239" spans="2:21" hidden="1">
      <c r="B239" s="12"/>
      <c r="C239" s="12"/>
      <c r="D239" s="12"/>
      <c r="E239" s="12"/>
      <c r="F239" s="12"/>
      <c r="G239" s="12"/>
      <c r="H239" s="12"/>
      <c r="I239" s="12"/>
      <c r="J239" s="12"/>
      <c r="M239" s="12"/>
      <c r="N239" s="12"/>
      <c r="O239" s="12"/>
      <c r="P239" s="12"/>
      <c r="Q239" s="12"/>
      <c r="R239" s="12"/>
      <c r="S239" s="12"/>
      <c r="T239" s="12"/>
      <c r="U239" s="12"/>
    </row>
    <row r="240" spans="2:21" hidden="1">
      <c r="B240" s="12"/>
      <c r="C240" s="12"/>
      <c r="D240" s="12"/>
      <c r="E240" s="12"/>
      <c r="F240" s="12"/>
      <c r="G240" s="12"/>
      <c r="H240" s="12"/>
      <c r="I240" s="12"/>
      <c r="J240" s="12"/>
      <c r="M240" s="12"/>
      <c r="N240" s="12"/>
      <c r="O240" s="12"/>
      <c r="P240" s="12"/>
      <c r="Q240" s="12"/>
      <c r="R240" s="12"/>
      <c r="S240" s="12"/>
      <c r="T240" s="12"/>
      <c r="U240" s="12"/>
    </row>
    <row r="241" spans="1:28">
      <c r="B241" s="12"/>
      <c r="C241" s="12"/>
      <c r="D241" s="12"/>
      <c r="E241" s="12"/>
      <c r="F241" s="12"/>
      <c r="G241" s="12"/>
      <c r="H241" s="12"/>
      <c r="I241" s="12"/>
      <c r="J241" s="12"/>
      <c r="M241" s="12"/>
      <c r="N241" s="12"/>
      <c r="O241" s="12"/>
      <c r="P241" s="12"/>
      <c r="Q241" s="12"/>
      <c r="R241" s="12"/>
      <c r="S241" s="12"/>
      <c r="T241" s="12"/>
      <c r="U241" s="12"/>
    </row>
    <row r="242" spans="1:28" hidden="1">
      <c r="B242" s="12"/>
      <c r="C242" s="12"/>
      <c r="D242" s="12"/>
      <c r="E242" s="12"/>
      <c r="F242" s="12"/>
      <c r="G242" s="12"/>
      <c r="H242" s="12"/>
      <c r="I242" s="12"/>
      <c r="J242" s="12"/>
      <c r="M242" s="12"/>
      <c r="N242" s="12"/>
      <c r="O242" s="12"/>
      <c r="P242" s="12"/>
      <c r="Q242" s="12"/>
      <c r="R242" s="12"/>
      <c r="S242" s="12"/>
      <c r="T242" s="12"/>
      <c r="U242" s="12"/>
    </row>
    <row r="243" spans="1:28" hidden="1">
      <c r="B243" s="12"/>
      <c r="C243" s="12"/>
      <c r="D243" s="12"/>
      <c r="E243" s="12"/>
      <c r="F243" s="12"/>
      <c r="G243" s="12"/>
      <c r="H243" s="12"/>
      <c r="I243" s="12"/>
      <c r="J243" s="12"/>
      <c r="M243" s="12"/>
      <c r="N243" s="12"/>
      <c r="O243" s="12"/>
      <c r="P243" s="12"/>
      <c r="Q243" s="12"/>
      <c r="R243" s="12"/>
      <c r="S243" s="12"/>
      <c r="T243" s="12"/>
      <c r="U243" s="12"/>
    </row>
    <row r="244" spans="1:28" hidden="1">
      <c r="B244" s="12"/>
      <c r="C244" s="12"/>
      <c r="D244" s="12"/>
      <c r="E244" s="12"/>
      <c r="F244" s="12"/>
      <c r="G244" s="12"/>
      <c r="H244" s="12"/>
      <c r="I244" s="12"/>
      <c r="J244" s="12"/>
      <c r="M244" s="12"/>
      <c r="N244" s="12"/>
      <c r="O244" s="12"/>
      <c r="P244" s="12"/>
      <c r="Q244" s="12"/>
      <c r="R244" s="12"/>
      <c r="S244" s="12"/>
      <c r="T244" s="12"/>
      <c r="U244" s="12"/>
    </row>
    <row r="245" spans="1:28" hidden="1">
      <c r="B245" s="12"/>
      <c r="C245" s="12"/>
      <c r="D245" s="12"/>
      <c r="E245" s="12"/>
      <c r="F245" s="12"/>
      <c r="G245" s="12"/>
      <c r="H245" s="12"/>
      <c r="I245" s="12"/>
      <c r="J245" s="12"/>
      <c r="M245" s="12"/>
      <c r="N245" s="12"/>
      <c r="O245" s="12"/>
      <c r="P245" s="12"/>
      <c r="Q245" s="12"/>
      <c r="R245" s="12"/>
      <c r="S245" s="12"/>
      <c r="T245" s="12"/>
      <c r="U245" s="12"/>
    </row>
    <row r="246" spans="1:28" hidden="1">
      <c r="B246" s="12"/>
      <c r="C246" s="12"/>
      <c r="D246" s="12"/>
      <c r="E246" s="12"/>
      <c r="F246" s="12"/>
      <c r="G246" s="12"/>
      <c r="H246" s="12"/>
      <c r="I246" s="12"/>
      <c r="J246" s="12"/>
      <c r="M246" s="12"/>
      <c r="N246" s="12"/>
      <c r="O246" s="12"/>
      <c r="P246" s="12"/>
      <c r="Q246" s="12"/>
      <c r="R246" s="12"/>
      <c r="S246" s="12"/>
      <c r="T246" s="12"/>
      <c r="U246" s="12"/>
    </row>
    <row r="247" spans="1:28" hidden="1">
      <c r="B247" s="12"/>
      <c r="C247" s="12"/>
      <c r="D247" s="12"/>
      <c r="E247" s="12"/>
      <c r="F247" s="12"/>
      <c r="G247" s="12"/>
      <c r="H247" s="12"/>
      <c r="I247" s="12"/>
      <c r="J247" s="12"/>
      <c r="M247" s="12"/>
      <c r="N247" s="12"/>
      <c r="O247" s="12"/>
      <c r="P247" s="12"/>
      <c r="Q247" s="12"/>
      <c r="R247" s="12"/>
      <c r="S247" s="12"/>
      <c r="T247" s="12"/>
      <c r="U247" s="12"/>
    </row>
    <row r="248" spans="1:28" hidden="1">
      <c r="B248" s="12"/>
      <c r="C248" s="12"/>
      <c r="D248" s="12"/>
      <c r="E248" s="12"/>
      <c r="F248" s="12"/>
      <c r="G248" s="12"/>
      <c r="H248" s="12"/>
      <c r="I248" s="12"/>
      <c r="J248" s="12"/>
    </row>
    <row r="249" spans="1:28">
      <c r="A249" s="892" t="s">
        <v>402</v>
      </c>
      <c r="B249" s="892"/>
      <c r="C249" s="892"/>
      <c r="D249" s="892"/>
      <c r="E249" s="892"/>
      <c r="F249" s="892"/>
      <c r="G249" s="892"/>
      <c r="H249" s="892"/>
      <c r="I249" s="892"/>
      <c r="J249" s="892"/>
      <c r="K249" s="892"/>
      <c r="L249" s="892"/>
      <c r="M249" s="892"/>
      <c r="N249" s="892"/>
      <c r="O249" s="892"/>
      <c r="P249" s="892"/>
      <c r="Q249" s="892"/>
      <c r="R249" s="892"/>
      <c r="S249" s="892"/>
      <c r="T249" s="892"/>
      <c r="U249" s="892"/>
      <c r="V249" s="892"/>
    </row>
    <row r="250" spans="1:28">
      <c r="A250" t="s">
        <v>256</v>
      </c>
      <c r="B250">
        <v>-1</v>
      </c>
      <c r="C250">
        <v>0</v>
      </c>
      <c r="D250">
        <v>0.5</v>
      </c>
      <c r="E250">
        <v>1</v>
      </c>
      <c r="F250">
        <v>1.5</v>
      </c>
      <c r="G250">
        <v>2</v>
      </c>
      <c r="H250">
        <v>3</v>
      </c>
      <c r="I250">
        <v>4</v>
      </c>
      <c r="K250" t="s">
        <v>35</v>
      </c>
      <c r="L250" t="s">
        <v>256</v>
      </c>
      <c r="M250">
        <v>-4</v>
      </c>
      <c r="N250">
        <v>-3</v>
      </c>
      <c r="O250">
        <v>-2</v>
      </c>
      <c r="P250">
        <v>-1</v>
      </c>
      <c r="Q250">
        <v>0</v>
      </c>
      <c r="R250">
        <v>1</v>
      </c>
      <c r="S250">
        <v>2</v>
      </c>
      <c r="T250">
        <v>3</v>
      </c>
      <c r="U250">
        <v>4</v>
      </c>
      <c r="V250" t="s">
        <v>231</v>
      </c>
      <c r="Y250" s="1">
        <f>heelDraft1</f>
        <v>0</v>
      </c>
      <c r="Z250" s="274"/>
      <c r="AA250" s="186">
        <f>IF((Z250+Z253)&lt;0,Z250,Z250+Z253)</f>
        <v>0</v>
      </c>
      <c r="AB250" s="42">
        <f>IF(AB252=AB251,AB251,Interp1(AA251:AA252,AB251:AB252,AA250))</f>
        <v>0.30199999999999999</v>
      </c>
    </row>
    <row r="251" spans="1:28">
      <c r="A251" s="1">
        <v>0</v>
      </c>
      <c r="B251" s="42">
        <v>0.35199999999999998</v>
      </c>
      <c r="C251" s="42">
        <v>0.308</v>
      </c>
      <c r="D251" s="42">
        <v>0.28699999999999998</v>
      </c>
      <c r="E251" s="42">
        <v>0.26600000000000001</v>
      </c>
      <c r="F251" s="42">
        <v>0.246</v>
      </c>
      <c r="G251" s="42">
        <v>0.22600000000000001</v>
      </c>
      <c r="H251" s="42">
        <v>0.191</v>
      </c>
      <c r="I251" s="42">
        <v>0.16400000000000001</v>
      </c>
      <c r="K251" s="21">
        <v>5206</v>
      </c>
      <c r="L251" s="1">
        <v>0</v>
      </c>
      <c r="M251" s="1">
        <v>119.697</v>
      </c>
      <c r="N251" s="1">
        <v>79.59</v>
      </c>
      <c r="O251" s="1">
        <v>44.091000000000001</v>
      </c>
      <c r="P251" s="1">
        <v>17.163</v>
      </c>
      <c r="Q251" s="365">
        <v>0</v>
      </c>
      <c r="R251" s="1">
        <v>0</v>
      </c>
      <c r="S251" s="1">
        <v>0</v>
      </c>
      <c r="T251" s="1">
        <v>0</v>
      </c>
      <c r="U251" s="1">
        <v>4.7279999999999998</v>
      </c>
      <c r="Y251" s="1">
        <f>FLOOR(Z250,incOil2)</f>
        <v>0</v>
      </c>
      <c r="Z251" s="1">
        <f>Interp2(Misc3Heel1,Misc3Heel2,Misc3Heel3,Y251,Y250)</f>
        <v>0</v>
      </c>
      <c r="AA251" s="1">
        <f>FLOOR(AA250,2)</f>
        <v>0</v>
      </c>
      <c r="AB251" s="42">
        <f>IF(Z256=Z255,Z255,Interp1(Y255:Y256,Z255:Z256,Y254))</f>
        <v>0.30199999999999999</v>
      </c>
    </row>
    <row r="252" spans="1:28">
      <c r="A252" s="1">
        <v>50</v>
      </c>
      <c r="B252" s="42">
        <v>0.87</v>
      </c>
      <c r="C252" s="42">
        <v>0.81799999999999995</v>
      </c>
      <c r="D252" s="42">
        <v>0.79300000000000004</v>
      </c>
      <c r="E252" s="42">
        <v>0.76800000000000002</v>
      </c>
      <c r="F252" s="42">
        <v>0.74299999999999999</v>
      </c>
      <c r="G252" s="42">
        <v>0.71899999999999997</v>
      </c>
      <c r="H252" s="42">
        <v>0.67100000000000004</v>
      </c>
      <c r="I252" s="42">
        <v>0.625</v>
      </c>
      <c r="K252" s="21">
        <v>2250</v>
      </c>
      <c r="L252" s="1">
        <v>100</v>
      </c>
      <c r="M252" s="1">
        <v>125.999</v>
      </c>
      <c r="N252" s="1">
        <v>87.852000000000004</v>
      </c>
      <c r="O252" s="1">
        <v>53.064</v>
      </c>
      <c r="P252" s="1">
        <v>23.858000000000001</v>
      </c>
      <c r="Q252" s="365">
        <v>0</v>
      </c>
      <c r="R252" s="1">
        <v>-21.396999999999998</v>
      </c>
      <c r="S252" s="1">
        <v>-36.853999999999999</v>
      </c>
      <c r="T252" s="1">
        <v>-45.548999999999999</v>
      </c>
      <c r="U252" s="1">
        <v>-47.094000000000001</v>
      </c>
      <c r="Y252" s="1">
        <f>IF(Y251=MiscSound3,Y251,CEILING(Z250,incOil2))</f>
        <v>0</v>
      </c>
      <c r="Z252" s="1">
        <f>Interp2(Misc3Heel1,Misc3Heel2,Misc3Heel3,Y252,Y250)</f>
        <v>0</v>
      </c>
      <c r="AA252" s="1">
        <f>CEILING(AA250,2)</f>
        <v>0</v>
      </c>
      <c r="AB252" s="42">
        <f>IF(AA256=AA255,AA255,Interp1(Y255:Y256,AA255:AA256,Y254))</f>
        <v>0.30199999999999999</v>
      </c>
    </row>
    <row r="253" spans="1:28">
      <c r="A253" s="1">
        <v>100</v>
      </c>
      <c r="B253" s="42">
        <v>1.4330000000000001</v>
      </c>
      <c r="C253" s="42">
        <v>1.3759999999999999</v>
      </c>
      <c r="D253" s="42">
        <v>1.3480000000000001</v>
      </c>
      <c r="E253" s="42">
        <v>1.32</v>
      </c>
      <c r="F253" s="42">
        <v>1.2929999999999999</v>
      </c>
      <c r="G253" s="42">
        <v>1.266</v>
      </c>
      <c r="H253" s="42">
        <v>1.212</v>
      </c>
      <c r="I253" s="42">
        <v>1.159</v>
      </c>
      <c r="K253" s="21">
        <v>2200</v>
      </c>
      <c r="L253" s="1">
        <v>200</v>
      </c>
      <c r="M253" s="1">
        <v>139.304</v>
      </c>
      <c r="N253" s="1">
        <v>99.370999999999995</v>
      </c>
      <c r="O253" s="1">
        <v>61.387</v>
      </c>
      <c r="P253" s="1">
        <v>28.344000000000001</v>
      </c>
      <c r="Q253" s="365">
        <v>0</v>
      </c>
      <c r="R253" s="1">
        <v>-26.088000000000001</v>
      </c>
      <c r="S253" s="1">
        <v>-47.503</v>
      </c>
      <c r="T253" s="1">
        <v>-64.447999999999993</v>
      </c>
      <c r="U253" s="1">
        <v>-76.918000000000006</v>
      </c>
      <c r="Y253" s="1"/>
      <c r="Z253" s="1">
        <f>IF(Z252=Z251,Z251,Interp1(Y251:Y252,Z251:Z252,Z250))</f>
        <v>0</v>
      </c>
      <c r="AA253" s="1"/>
      <c r="AB253" s="42"/>
    </row>
    <row r="254" spans="1:28">
      <c r="A254" s="1">
        <v>150</v>
      </c>
      <c r="B254" s="42">
        <v>2.0329999999999999</v>
      </c>
      <c r="C254" s="42">
        <v>1.972</v>
      </c>
      <c r="D254" s="42">
        <v>1.9419999999999999</v>
      </c>
      <c r="E254" s="42">
        <v>1.9119999999999999</v>
      </c>
      <c r="F254" s="42">
        <v>1.8819999999999999</v>
      </c>
      <c r="G254" s="42">
        <v>1.8520000000000001</v>
      </c>
      <c r="H254" s="42">
        <v>1.7929999999999999</v>
      </c>
      <c r="I254" s="42">
        <v>1.7350000000000001</v>
      </c>
      <c r="K254" s="21">
        <v>2150</v>
      </c>
      <c r="L254" s="1">
        <v>300</v>
      </c>
      <c r="M254" s="1">
        <v>149.33500000000001</v>
      </c>
      <c r="N254" s="1">
        <v>108.027</v>
      </c>
      <c r="O254" s="1">
        <v>68.096000000000004</v>
      </c>
      <c r="P254" s="1">
        <v>31.875</v>
      </c>
      <c r="Q254" s="365">
        <v>0</v>
      </c>
      <c r="R254" s="1">
        <v>-29.794</v>
      </c>
      <c r="S254" s="1">
        <v>-55.353000000000002</v>
      </c>
      <c r="T254" s="1">
        <v>-76.959000000000003</v>
      </c>
      <c r="U254" s="1">
        <v>-94.79</v>
      </c>
      <c r="Y254" s="1">
        <f>trimDraft</f>
        <v>0.149999999999999</v>
      </c>
      <c r="Z254" s="1"/>
      <c r="AA254" s="1"/>
      <c r="AB254" s="1"/>
    </row>
    <row r="255" spans="1:28">
      <c r="A255" s="1">
        <v>200</v>
      </c>
      <c r="B255" s="42">
        <v>2.6659999999999999</v>
      </c>
      <c r="C255" s="42">
        <v>2.6</v>
      </c>
      <c r="D255" s="42">
        <v>2.5680000000000001</v>
      </c>
      <c r="E255" s="42">
        <v>2.536</v>
      </c>
      <c r="F255" s="42">
        <v>2.504</v>
      </c>
      <c r="G255" s="42">
        <v>2.472</v>
      </c>
      <c r="H255" s="42">
        <v>2.4089999999999998</v>
      </c>
      <c r="I255" s="42">
        <v>2.3460000000000001</v>
      </c>
      <c r="K255" s="21">
        <v>2100</v>
      </c>
      <c r="L255" s="1">
        <v>400</v>
      </c>
      <c r="M255" s="1">
        <v>156.18799999999999</v>
      </c>
      <c r="N255" s="1">
        <v>114.35599999999999</v>
      </c>
      <c r="O255" s="1">
        <v>73.477999999999994</v>
      </c>
      <c r="P255" s="1">
        <v>34.880000000000003</v>
      </c>
      <c r="Q255" s="365">
        <v>0</v>
      </c>
      <c r="R255" s="1">
        <v>-32.841000000000001</v>
      </c>
      <c r="S255" s="1">
        <v>-61.81</v>
      </c>
      <c r="T255" s="1">
        <v>-87.084999999999994</v>
      </c>
      <c r="U255" s="1">
        <v>-109.5</v>
      </c>
      <c r="Y255" s="1">
        <f>INDEX(Misc3Trim2,0,MATCH(Y254,Misc3Trim2,1))</f>
        <v>0</v>
      </c>
      <c r="Z255" s="1">
        <f>Interp2(Misc3Trim1,Misc3Trim2,Misc3Trim3,AA251,Y255)</f>
        <v>0.308</v>
      </c>
      <c r="AA255" s="1">
        <f>Interp2(Misc3Trim1,Misc3Trim2,Misc3Trim3,AA252,Y255)</f>
        <v>0.308</v>
      </c>
      <c r="AB255" s="1"/>
    </row>
    <row r="256" spans="1:28">
      <c r="A256" s="1">
        <v>250</v>
      </c>
      <c r="B256" s="42">
        <v>3.327</v>
      </c>
      <c r="C256" s="42">
        <v>3.258</v>
      </c>
      <c r="D256" s="42">
        <v>3.2229999999999999</v>
      </c>
      <c r="E256" s="42">
        <v>3.1890000000000001</v>
      </c>
      <c r="F256" s="42">
        <v>3.1549999999999998</v>
      </c>
      <c r="G256" s="42">
        <v>3.121</v>
      </c>
      <c r="H256" s="42">
        <v>3.0539999999999998</v>
      </c>
      <c r="I256" s="42">
        <v>2.988</v>
      </c>
      <c r="K256" s="21">
        <v>2050</v>
      </c>
      <c r="L256" s="1">
        <v>500</v>
      </c>
      <c r="M256" s="1">
        <v>161.136</v>
      </c>
      <c r="N256" s="1">
        <v>118.562</v>
      </c>
      <c r="O256" s="1">
        <v>77.215000000000003</v>
      </c>
      <c r="P256" s="1">
        <v>37.295000000000002</v>
      </c>
      <c r="Q256" s="365">
        <v>0</v>
      </c>
      <c r="R256" s="1">
        <v>-35.527000000000001</v>
      </c>
      <c r="S256" s="1">
        <v>-67.364000000000004</v>
      </c>
      <c r="T256" s="1">
        <v>-95.722999999999999</v>
      </c>
      <c r="U256" s="1">
        <v>-122.026</v>
      </c>
      <c r="Y256" s="1">
        <f>IF(Y255=Y254,Y254,INDEX(Misc3Trim2,0,MATCH(Y254,Misc3Trim2,1)+1))</f>
        <v>0.5</v>
      </c>
      <c r="Z256" s="1">
        <f>Interp2(Misc3Trim1,Misc3Trim2,Misc3Trim3,AA251,Y256)</f>
        <v>0.28699999999999998</v>
      </c>
      <c r="AA256" s="1">
        <f>Interp2(Misc3Trim1,Misc3Trim2,Misc3Trim3,AA252,Y256)</f>
        <v>0.28699999999999998</v>
      </c>
      <c r="AB256" s="1"/>
    </row>
    <row r="257" spans="1:25">
      <c r="A257" s="1">
        <v>300</v>
      </c>
      <c r="B257" s="42">
        <v>4.0140000000000002</v>
      </c>
      <c r="C257" s="42">
        <v>3.9409999999999998</v>
      </c>
      <c r="D257" s="42">
        <v>3.9049999999999998</v>
      </c>
      <c r="E257" s="42">
        <v>3.87</v>
      </c>
      <c r="F257" s="42">
        <v>3.8340000000000001</v>
      </c>
      <c r="G257" s="42">
        <v>3.798</v>
      </c>
      <c r="H257" s="42">
        <v>3.7280000000000002</v>
      </c>
      <c r="I257" s="42">
        <v>3.6579999999999999</v>
      </c>
      <c r="K257" s="21">
        <v>2000</v>
      </c>
      <c r="L257" s="1">
        <v>600</v>
      </c>
      <c r="M257" s="1">
        <v>165.441</v>
      </c>
      <c r="N257" s="1">
        <v>121.81699999999999</v>
      </c>
      <c r="O257" s="1">
        <v>79.691999999999993</v>
      </c>
      <c r="P257" s="1">
        <v>38.93</v>
      </c>
      <c r="Q257" s="365">
        <v>0</v>
      </c>
      <c r="R257" s="1">
        <v>-37.701000000000001</v>
      </c>
      <c r="S257" s="1">
        <v>-72.224999999999994</v>
      </c>
      <c r="T257" s="1">
        <v>-103.547</v>
      </c>
      <c r="U257" s="1">
        <v>-132.84</v>
      </c>
    </row>
    <row r="258" spans="1:25">
      <c r="A258" s="1">
        <v>350</v>
      </c>
      <c r="B258" s="42">
        <v>4.7249999999999996</v>
      </c>
      <c r="C258" s="42">
        <v>4.6500000000000004</v>
      </c>
      <c r="D258" s="42">
        <v>4.6120000000000001</v>
      </c>
      <c r="E258" s="42">
        <v>4.5750000000000002</v>
      </c>
      <c r="F258" s="42">
        <v>4.5369999999999999</v>
      </c>
      <c r="G258" s="42">
        <v>4.5</v>
      </c>
      <c r="H258" s="42">
        <v>4.4260000000000002</v>
      </c>
      <c r="I258" s="42">
        <v>4.3529999999999998</v>
      </c>
      <c r="K258" s="21">
        <v>1950</v>
      </c>
      <c r="L258" s="1">
        <v>700</v>
      </c>
      <c r="M258" s="1">
        <v>169.60499999999999</v>
      </c>
      <c r="N258" s="1">
        <v>124.881</v>
      </c>
      <c r="O258" s="1">
        <v>81.777000000000001</v>
      </c>
      <c r="P258" s="1">
        <v>40.039000000000001</v>
      </c>
      <c r="Q258" s="365">
        <v>0</v>
      </c>
      <c r="R258" s="1">
        <v>-39.159999999999997</v>
      </c>
      <c r="S258" s="1">
        <v>-76.093999999999994</v>
      </c>
      <c r="T258" s="1">
        <v>-110.426</v>
      </c>
      <c r="U258" s="1">
        <v>-142.292</v>
      </c>
      <c r="Y258">
        <f>COUNT(A251:U301)</f>
        <v>720</v>
      </c>
    </row>
    <row r="259" spans="1:25">
      <c r="A259" s="1">
        <v>400</v>
      </c>
      <c r="B259" s="42">
        <v>5.4589999999999996</v>
      </c>
      <c r="C259" s="42">
        <v>5.38</v>
      </c>
      <c r="D259" s="42">
        <v>5.3410000000000002</v>
      </c>
      <c r="E259" s="42">
        <v>5.3019999999999996</v>
      </c>
      <c r="F259" s="42">
        <v>5.2640000000000002</v>
      </c>
      <c r="G259" s="42">
        <v>5.2249999999999996</v>
      </c>
      <c r="H259" s="42">
        <v>5.1479999999999997</v>
      </c>
      <c r="I259" s="42">
        <v>5.0720000000000001</v>
      </c>
      <c r="K259" s="21">
        <v>1900</v>
      </c>
      <c r="L259" s="1">
        <v>800</v>
      </c>
      <c r="M259" s="1">
        <v>173.72200000000001</v>
      </c>
      <c r="N259" s="1">
        <v>127.896</v>
      </c>
      <c r="O259" s="1">
        <v>83.78</v>
      </c>
      <c r="P259" s="1">
        <v>41.037999999999997</v>
      </c>
      <c r="Q259" s="365">
        <v>0</v>
      </c>
      <c r="R259" s="1">
        <v>-40.171999999999997</v>
      </c>
      <c r="S259" s="1">
        <v>-78.753</v>
      </c>
      <c r="T259" s="1">
        <v>-115.608</v>
      </c>
      <c r="U259" s="1">
        <v>-150.143</v>
      </c>
      <c r="Y259">
        <f>COUNTA(A251:U301)</f>
        <v>720</v>
      </c>
    </row>
    <row r="260" spans="1:25">
      <c r="A260" s="1">
        <v>450</v>
      </c>
      <c r="B260" s="42">
        <v>6.2140000000000004</v>
      </c>
      <c r="C260" s="42">
        <v>6.1319999999999997</v>
      </c>
      <c r="D260" s="42">
        <v>6.0919999999999996</v>
      </c>
      <c r="E260" s="42">
        <v>6.0519999999999996</v>
      </c>
      <c r="F260" s="42">
        <v>6.0119999999999996</v>
      </c>
      <c r="G260" s="42">
        <v>5.9710000000000001</v>
      </c>
      <c r="H260" s="42">
        <v>5.8920000000000003</v>
      </c>
      <c r="I260" s="42">
        <v>5.8129999999999997</v>
      </c>
      <c r="K260" s="21">
        <v>1850</v>
      </c>
      <c r="L260" s="1">
        <v>900</v>
      </c>
      <c r="M260" s="1">
        <v>177.846</v>
      </c>
      <c r="N260" s="1">
        <v>130.886</v>
      </c>
      <c r="O260" s="1">
        <v>85.76</v>
      </c>
      <c r="P260" s="1">
        <v>42.012999999999998</v>
      </c>
      <c r="Q260" s="365">
        <v>0</v>
      </c>
      <c r="R260" s="1">
        <v>-41.110999999999997</v>
      </c>
      <c r="S260" s="1">
        <v>-80.704999999999998</v>
      </c>
      <c r="T260" s="1">
        <v>-119.169</v>
      </c>
      <c r="U260" s="1">
        <v>-156.05500000000001</v>
      </c>
    </row>
    <row r="261" spans="1:25">
      <c r="A261" s="1">
        <v>500</v>
      </c>
      <c r="B261" s="42">
        <v>6.9880000000000004</v>
      </c>
      <c r="C261" s="42">
        <v>6.9050000000000002</v>
      </c>
      <c r="D261" s="42">
        <v>6.8630000000000004</v>
      </c>
      <c r="E261" s="42">
        <v>6.8209999999999997</v>
      </c>
      <c r="F261" s="42">
        <v>6.78</v>
      </c>
      <c r="G261" s="42">
        <v>6.7389999999999999</v>
      </c>
      <c r="H261" s="42">
        <v>6.6559999999999997</v>
      </c>
      <c r="I261" s="42">
        <v>6.5739999999999998</v>
      </c>
      <c r="K261" s="21">
        <v>1800</v>
      </c>
      <c r="L261" s="1">
        <v>1000</v>
      </c>
      <c r="M261" s="1">
        <v>181.965</v>
      </c>
      <c r="N261" s="1">
        <v>133.893</v>
      </c>
      <c r="O261" s="1">
        <v>87.722999999999999</v>
      </c>
      <c r="P261" s="1">
        <v>42.98</v>
      </c>
      <c r="Q261" s="365">
        <v>0</v>
      </c>
      <c r="R261" s="1">
        <v>-42.030999999999999</v>
      </c>
      <c r="S261" s="1">
        <v>-82.54</v>
      </c>
      <c r="T261" s="1">
        <v>-121.995</v>
      </c>
      <c r="U261" s="1">
        <v>-160.35300000000001</v>
      </c>
    </row>
    <row r="262" spans="1:25">
      <c r="A262" s="1">
        <v>550</v>
      </c>
      <c r="B262" s="42">
        <v>7.7809999999999997</v>
      </c>
      <c r="C262" s="42">
        <v>7.6950000000000003</v>
      </c>
      <c r="D262" s="42">
        <v>7.6520000000000001</v>
      </c>
      <c r="E262" s="42">
        <v>7.61</v>
      </c>
      <c r="F262" s="42">
        <v>7.5670000000000002</v>
      </c>
      <c r="G262" s="42">
        <v>7.5250000000000004</v>
      </c>
      <c r="H262" s="42">
        <v>7.44</v>
      </c>
      <c r="I262" s="42">
        <v>7.3559999999999999</v>
      </c>
      <c r="K262" s="21">
        <v>1750</v>
      </c>
      <c r="L262" s="1">
        <v>1100</v>
      </c>
      <c r="M262" s="1">
        <v>186.06</v>
      </c>
      <c r="N262" s="1">
        <v>136.9</v>
      </c>
      <c r="O262" s="1">
        <v>89.704999999999998</v>
      </c>
      <c r="P262" s="1">
        <v>43.938000000000002</v>
      </c>
      <c r="Q262" s="365">
        <v>0</v>
      </c>
      <c r="R262" s="1">
        <v>-42.945999999999998</v>
      </c>
      <c r="S262" s="1">
        <v>-84.340999999999994</v>
      </c>
      <c r="T262" s="1">
        <v>-124.70399999999999</v>
      </c>
      <c r="U262" s="1">
        <v>-163.96299999999999</v>
      </c>
    </row>
    <row r="263" spans="1:25">
      <c r="A263" s="1">
        <v>600</v>
      </c>
      <c r="B263" s="42">
        <v>8.5869999999999997</v>
      </c>
      <c r="C263" s="42">
        <v>8.5009999999999994</v>
      </c>
      <c r="D263" s="42">
        <v>8.4570000000000007</v>
      </c>
      <c r="E263" s="42">
        <v>8.4139999999999997</v>
      </c>
      <c r="F263" s="42">
        <v>8.3710000000000004</v>
      </c>
      <c r="G263" s="42">
        <v>8.3279999999999994</v>
      </c>
      <c r="H263" s="42">
        <v>8.2409999999999997</v>
      </c>
      <c r="I263" s="42">
        <v>8.1549999999999994</v>
      </c>
      <c r="K263" s="21">
        <v>1700</v>
      </c>
      <c r="L263" s="1">
        <v>1200</v>
      </c>
      <c r="M263" s="1">
        <v>190.12200000000001</v>
      </c>
      <c r="N263" s="1">
        <v>139.87899999999999</v>
      </c>
      <c r="O263" s="1">
        <v>91.685000000000002</v>
      </c>
      <c r="P263" s="1">
        <v>44.906999999999996</v>
      </c>
      <c r="Q263" s="365">
        <v>0</v>
      </c>
      <c r="R263" s="1">
        <v>-43.854999999999997</v>
      </c>
      <c r="S263" s="1">
        <v>-86.132999999999996</v>
      </c>
      <c r="T263" s="1">
        <v>-127.376</v>
      </c>
      <c r="U263" s="1">
        <v>-167.46799999999999</v>
      </c>
    </row>
    <row r="264" spans="1:25">
      <c r="A264" s="1">
        <v>650</v>
      </c>
      <c r="B264" s="42">
        <v>9.4060000000000006</v>
      </c>
      <c r="C264" s="42">
        <v>9.3190000000000008</v>
      </c>
      <c r="D264" s="42">
        <v>9.2750000000000004</v>
      </c>
      <c r="E264" s="42">
        <v>9.2309999999999999</v>
      </c>
      <c r="F264" s="42">
        <v>9.1869999999999994</v>
      </c>
      <c r="G264" s="42">
        <v>9.1440000000000001</v>
      </c>
      <c r="H264" s="42">
        <v>9.0559999999999992</v>
      </c>
      <c r="I264" s="42">
        <v>8.9689999999999994</v>
      </c>
      <c r="K264" s="21">
        <v>1650</v>
      </c>
      <c r="L264" s="1">
        <v>1300</v>
      </c>
      <c r="M264" s="1">
        <v>193.82900000000001</v>
      </c>
      <c r="N264" s="1">
        <v>142.845</v>
      </c>
      <c r="O264" s="1">
        <v>93.631</v>
      </c>
      <c r="P264" s="1">
        <v>45.875999999999998</v>
      </c>
      <c r="Q264" s="365">
        <v>0</v>
      </c>
      <c r="R264" s="1">
        <v>-44.774000000000001</v>
      </c>
      <c r="S264" s="1">
        <v>-87.917000000000002</v>
      </c>
      <c r="T264" s="1">
        <v>-130.03100000000001</v>
      </c>
      <c r="U264" s="1">
        <v>-170.93799999999999</v>
      </c>
    </row>
    <row r="265" spans="1:25">
      <c r="A265" s="1">
        <v>700</v>
      </c>
      <c r="B265" s="42">
        <v>10.234999999999999</v>
      </c>
      <c r="C265" s="42">
        <v>10.147</v>
      </c>
      <c r="D265" s="42">
        <v>10.103</v>
      </c>
      <c r="E265" s="42">
        <v>10.058</v>
      </c>
      <c r="F265" s="42">
        <v>10.013999999999999</v>
      </c>
      <c r="G265" s="42">
        <v>9.9700000000000006</v>
      </c>
      <c r="H265" s="42">
        <v>9.8819999999999997</v>
      </c>
      <c r="I265" s="42">
        <v>9.7940000000000005</v>
      </c>
      <c r="K265" s="21">
        <v>1600</v>
      </c>
      <c r="L265" s="1">
        <v>1400</v>
      </c>
      <c r="M265" s="1">
        <v>194.96199999999999</v>
      </c>
      <c r="N265" s="1">
        <v>145.72399999999999</v>
      </c>
      <c r="O265" s="1">
        <v>95.584999999999994</v>
      </c>
      <c r="P265" s="1">
        <v>46.826000000000001</v>
      </c>
      <c r="Q265" s="365">
        <v>0</v>
      </c>
      <c r="R265" s="1">
        <v>-45.698</v>
      </c>
      <c r="S265" s="1">
        <v>-89.72</v>
      </c>
      <c r="T265" s="1">
        <v>-132.68899999999999</v>
      </c>
      <c r="U265" s="1">
        <v>-174.39599999999999</v>
      </c>
    </row>
    <row r="266" spans="1:25">
      <c r="A266" s="1">
        <v>750</v>
      </c>
      <c r="B266" s="42">
        <v>11.071999999999999</v>
      </c>
      <c r="C266" s="42">
        <v>10.983000000000001</v>
      </c>
      <c r="D266" s="42">
        <v>10.939</v>
      </c>
      <c r="E266" s="42">
        <v>10.89</v>
      </c>
      <c r="F266" s="42">
        <v>10.85</v>
      </c>
      <c r="G266" s="42">
        <v>10.805999999999999</v>
      </c>
      <c r="H266" s="42">
        <v>10.717000000000001</v>
      </c>
      <c r="I266" s="42">
        <v>10.629</v>
      </c>
      <c r="K266" s="21">
        <v>1550</v>
      </c>
      <c r="L266" s="1">
        <v>1500</v>
      </c>
      <c r="M266" s="1">
        <v>184.773</v>
      </c>
      <c r="N266" s="1">
        <v>145.84</v>
      </c>
      <c r="O266" s="1">
        <v>97.522999999999996</v>
      </c>
      <c r="P266" s="1">
        <v>47.783000000000001</v>
      </c>
      <c r="Q266" s="365">
        <v>0</v>
      </c>
      <c r="R266" s="1">
        <v>-46.603000000000002</v>
      </c>
      <c r="S266" s="1">
        <v>-91.528000000000006</v>
      </c>
      <c r="T266" s="1">
        <v>-135.36600000000001</v>
      </c>
      <c r="U266" s="1">
        <v>-177.864</v>
      </c>
    </row>
    <row r="267" spans="1:25">
      <c r="A267" s="1">
        <v>800</v>
      </c>
      <c r="B267" s="42">
        <v>11.917</v>
      </c>
      <c r="C267" s="42">
        <v>11.827</v>
      </c>
      <c r="D267" s="42">
        <v>11.782999999999999</v>
      </c>
      <c r="E267" s="42">
        <v>11.738</v>
      </c>
      <c r="F267" s="42">
        <v>111.694</v>
      </c>
      <c r="G267" s="42">
        <v>11.648999999999999</v>
      </c>
      <c r="H267" s="42">
        <v>11.56</v>
      </c>
      <c r="I267" s="42">
        <v>11.471</v>
      </c>
      <c r="K267" s="21">
        <v>1500</v>
      </c>
      <c r="L267" s="1">
        <v>1600</v>
      </c>
      <c r="M267" s="1">
        <v>160.75299999999999</v>
      </c>
      <c r="N267" s="1">
        <v>135.93799999999999</v>
      </c>
      <c r="O267" s="1">
        <v>96.519000000000005</v>
      </c>
      <c r="P267" s="1">
        <v>48.73</v>
      </c>
      <c r="Q267" s="365">
        <v>0</v>
      </c>
      <c r="R267" s="1">
        <v>-47.515000000000001</v>
      </c>
      <c r="S267" s="1">
        <v>-93.305000000000007</v>
      </c>
      <c r="T267" s="1">
        <v>-138.03399999999999</v>
      </c>
      <c r="U267" s="1">
        <v>-181.34700000000001</v>
      </c>
    </row>
    <row r="268" spans="1:25">
      <c r="A268" s="1">
        <v>850</v>
      </c>
      <c r="B268" s="42">
        <v>12.769</v>
      </c>
      <c r="C268" s="42">
        <v>12.68</v>
      </c>
      <c r="D268" s="42">
        <v>12.635</v>
      </c>
      <c r="E268" s="42">
        <v>12.59</v>
      </c>
      <c r="F268" s="42">
        <v>12.545</v>
      </c>
      <c r="G268" s="42">
        <v>12.5</v>
      </c>
      <c r="H268" s="42">
        <v>12.411</v>
      </c>
      <c r="I268" s="42">
        <v>12.321</v>
      </c>
      <c r="K268" s="21">
        <v>1450</v>
      </c>
      <c r="L268" s="1">
        <v>1700</v>
      </c>
      <c r="M268" s="1">
        <v>130.54400000000001</v>
      </c>
      <c r="N268" s="1">
        <v>109.992</v>
      </c>
      <c r="O268" s="1">
        <v>83.814999999999998</v>
      </c>
      <c r="P268" s="1">
        <v>51.668999999999997</v>
      </c>
      <c r="Q268" s="365">
        <v>0</v>
      </c>
      <c r="R268" s="1">
        <v>-48.421999999999997</v>
      </c>
      <c r="S268" s="1">
        <v>-95.102999999999994</v>
      </c>
      <c r="T268" s="1">
        <v>-140.96899999999999</v>
      </c>
      <c r="U268" s="1">
        <v>-185.56399999999999</v>
      </c>
    </row>
    <row r="269" spans="1:25">
      <c r="A269" s="1">
        <v>900</v>
      </c>
      <c r="B269" s="42">
        <v>13.629</v>
      </c>
      <c r="C269" s="42">
        <v>13.539</v>
      </c>
      <c r="D269" s="42">
        <v>13.494</v>
      </c>
      <c r="E269" s="42">
        <v>13.449</v>
      </c>
      <c r="F269" s="42">
        <v>13.404</v>
      </c>
      <c r="G269" s="42">
        <v>13.359</v>
      </c>
      <c r="H269" s="42">
        <v>13.269</v>
      </c>
      <c r="I269" s="42">
        <v>13.179</v>
      </c>
      <c r="K269" s="21">
        <v>1400</v>
      </c>
      <c r="L269" s="1">
        <v>1800</v>
      </c>
      <c r="M269" s="1">
        <v>104.89400000000001</v>
      </c>
      <c r="N269" s="1">
        <v>95.509</v>
      </c>
      <c r="O269" s="1">
        <v>78.492000000000004</v>
      </c>
      <c r="P269" s="1">
        <v>41.345999999999997</v>
      </c>
      <c r="Q269" s="365">
        <v>0</v>
      </c>
      <c r="R269" s="1">
        <v>-45.250999999999998</v>
      </c>
      <c r="S269" s="1">
        <v>-99.513000000000005</v>
      </c>
      <c r="T269" s="1">
        <v>-146.57400000000001</v>
      </c>
      <c r="U269" s="1">
        <v>-192.089</v>
      </c>
    </row>
    <row r="270" spans="1:25">
      <c r="A270" s="1">
        <v>950</v>
      </c>
      <c r="B270" s="42">
        <v>14.497</v>
      </c>
      <c r="C270" s="42">
        <v>14.406000000000001</v>
      </c>
      <c r="D270" s="42">
        <v>14.361000000000001</v>
      </c>
      <c r="E270" s="42">
        <v>14.315</v>
      </c>
      <c r="F270" s="42">
        <v>14.27</v>
      </c>
      <c r="G270" s="42">
        <v>14.225</v>
      </c>
      <c r="H270" s="42">
        <v>14.134</v>
      </c>
      <c r="I270" s="42">
        <v>14.044</v>
      </c>
      <c r="K270" s="21">
        <v>1350</v>
      </c>
      <c r="L270" s="1">
        <v>1900</v>
      </c>
      <c r="M270" s="1">
        <v>80.995999999999995</v>
      </c>
      <c r="N270" s="1">
        <v>80.269000000000005</v>
      </c>
      <c r="O270" s="1">
        <v>71.787000000000006</v>
      </c>
      <c r="P270" s="1">
        <v>53.68</v>
      </c>
      <c r="Q270" s="365">
        <v>0</v>
      </c>
      <c r="R270" s="1">
        <v>-45.246000000000002</v>
      </c>
      <c r="S270" s="1">
        <v>-101.474</v>
      </c>
      <c r="T270" s="1">
        <v>-150.874</v>
      </c>
      <c r="U270" s="1">
        <v>-203.327</v>
      </c>
    </row>
    <row r="271" spans="1:25">
      <c r="A271" s="1">
        <v>1000</v>
      </c>
      <c r="B271" s="42">
        <v>15.371</v>
      </c>
      <c r="C271" s="42">
        <v>15.28</v>
      </c>
      <c r="D271" s="42">
        <v>15.234999999999999</v>
      </c>
      <c r="E271" s="42">
        <v>15.189</v>
      </c>
      <c r="F271" s="42">
        <v>15.144</v>
      </c>
      <c r="G271" s="42">
        <v>15.098000000000001</v>
      </c>
      <c r="H271" s="42">
        <v>15.007</v>
      </c>
      <c r="I271" s="42">
        <v>14.916</v>
      </c>
      <c r="K271" s="21">
        <v>1300</v>
      </c>
      <c r="L271" s="1">
        <v>2000</v>
      </c>
      <c r="M271" s="1">
        <v>51.609000000000002</v>
      </c>
      <c r="N271" s="1">
        <v>49.935000000000002</v>
      </c>
      <c r="O271" s="1">
        <v>40.81</v>
      </c>
      <c r="P271" s="1">
        <v>11.997</v>
      </c>
      <c r="Q271" s="365">
        <v>0</v>
      </c>
      <c r="R271" s="1">
        <v>-37.884</v>
      </c>
      <c r="S271" s="1">
        <v>-101.747</v>
      </c>
      <c r="T271" s="1">
        <v>-157.614</v>
      </c>
      <c r="U271" s="1">
        <v>-218.751</v>
      </c>
    </row>
    <row r="272" spans="1:25">
      <c r="A272" s="1">
        <v>1050</v>
      </c>
      <c r="B272" s="42">
        <v>16.253</v>
      </c>
      <c r="C272" s="42">
        <v>16.161000000000001</v>
      </c>
      <c r="D272" s="42">
        <v>16.116</v>
      </c>
      <c r="E272" s="42">
        <v>16.07</v>
      </c>
      <c r="F272" s="42">
        <v>16.024000000000001</v>
      </c>
      <c r="G272" s="42">
        <v>15.978</v>
      </c>
      <c r="H272" s="42">
        <v>15.887</v>
      </c>
      <c r="I272" s="42">
        <v>15.795999999999999</v>
      </c>
      <c r="K272" s="21">
        <v>1250</v>
      </c>
      <c r="L272" s="1">
        <v>2100</v>
      </c>
      <c r="M272" s="1">
        <v>-14.927</v>
      </c>
      <c r="N272" s="1">
        <v>-7.79</v>
      </c>
      <c r="O272" s="1">
        <v>-0.89600000000000002</v>
      </c>
      <c r="P272" s="1">
        <v>23.684999999999999</v>
      </c>
      <c r="Q272" s="365">
        <v>0</v>
      </c>
      <c r="R272" s="1">
        <v>-73.739999999999995</v>
      </c>
      <c r="S272" s="1">
        <v>-111.20699999999999</v>
      </c>
      <c r="T272" s="1">
        <v>-170.851</v>
      </c>
      <c r="U272" s="1">
        <v>-231.16</v>
      </c>
    </row>
    <row r="273" spans="1:21">
      <c r="A273" s="1">
        <v>1100</v>
      </c>
      <c r="B273" s="42">
        <v>17.140999999999998</v>
      </c>
      <c r="C273" s="42">
        <v>17.05</v>
      </c>
      <c r="D273" s="42">
        <v>17.004000000000001</v>
      </c>
      <c r="E273" s="42">
        <v>16.957999999999998</v>
      </c>
      <c r="F273" s="42">
        <v>16.911999999999999</v>
      </c>
      <c r="G273" s="42">
        <v>16.866</v>
      </c>
      <c r="H273" s="42">
        <v>16.774000000000001</v>
      </c>
      <c r="I273" s="42">
        <v>16.681999999999999</v>
      </c>
      <c r="K273" s="21">
        <v>1200</v>
      </c>
      <c r="L273" s="1">
        <v>2200</v>
      </c>
      <c r="M273" s="1">
        <v>-26.015999999999998</v>
      </c>
      <c r="N273" s="1">
        <v>-9.1389999999999993</v>
      </c>
      <c r="O273" s="1">
        <v>0</v>
      </c>
      <c r="P273" s="1">
        <v>0</v>
      </c>
      <c r="Q273" s="365">
        <v>0</v>
      </c>
      <c r="R273" s="1">
        <v>-55.564999999999998</v>
      </c>
      <c r="S273" s="1">
        <v>-145.523</v>
      </c>
      <c r="T273" s="1">
        <v>-198.43899999999999</v>
      </c>
      <c r="U273" s="1">
        <v>-254.619</v>
      </c>
    </row>
    <row r="274" spans="1:21">
      <c r="A274" s="1">
        <v>1150</v>
      </c>
      <c r="B274" s="42">
        <v>18.036999999999999</v>
      </c>
      <c r="C274" s="42">
        <v>17.945</v>
      </c>
      <c r="D274" s="42">
        <v>17.899000000000001</v>
      </c>
      <c r="E274" s="42">
        <v>17.852</v>
      </c>
      <c r="F274" s="42">
        <v>17.806000000000001</v>
      </c>
      <c r="G274" s="42">
        <v>17.760000000000002</v>
      </c>
      <c r="H274" s="42">
        <v>17.667999999999999</v>
      </c>
      <c r="I274" s="42">
        <v>17.576000000000001</v>
      </c>
      <c r="K274" s="21">
        <v>1150</v>
      </c>
      <c r="L274" s="1">
        <v>2300</v>
      </c>
      <c r="M274" s="1">
        <v>0</v>
      </c>
      <c r="N274" s="1">
        <v>0</v>
      </c>
      <c r="O274" s="1">
        <v>0</v>
      </c>
      <c r="P274" s="1">
        <v>0</v>
      </c>
      <c r="Q274" s="365">
        <v>0</v>
      </c>
      <c r="R274" s="1">
        <v>0</v>
      </c>
      <c r="S274" s="1">
        <v>-165.02600000000001</v>
      </c>
      <c r="T274" s="1">
        <v>-234.26</v>
      </c>
      <c r="U274" s="1">
        <v>-289.93900000000002</v>
      </c>
    </row>
    <row r="275" spans="1:21">
      <c r="A275" s="1">
        <v>1200</v>
      </c>
      <c r="B275" s="42">
        <v>18.940000000000001</v>
      </c>
      <c r="C275" s="42">
        <v>18.847000000000001</v>
      </c>
      <c r="D275" s="42">
        <v>18.8</v>
      </c>
      <c r="E275" s="42">
        <v>18.754000000000001</v>
      </c>
      <c r="F275" s="42">
        <v>18.707999999999998</v>
      </c>
      <c r="G275" s="42">
        <v>18.661000000000001</v>
      </c>
      <c r="H275" s="42">
        <v>18.568999999999999</v>
      </c>
      <c r="I275" s="42">
        <v>18.475999999999999</v>
      </c>
      <c r="K275" s="21">
        <v>1100</v>
      </c>
      <c r="L275" s="1">
        <v>5206</v>
      </c>
      <c r="M275" s="1">
        <v>0</v>
      </c>
      <c r="N275" s="1">
        <v>0</v>
      </c>
      <c r="O275" s="1">
        <v>0</v>
      </c>
      <c r="P275" s="1">
        <v>0</v>
      </c>
      <c r="Q275" s="365">
        <v>0</v>
      </c>
      <c r="R275" s="1">
        <v>0</v>
      </c>
      <c r="S275" s="1">
        <v>0</v>
      </c>
      <c r="T275" s="1">
        <v>0</v>
      </c>
      <c r="U275" s="1">
        <v>0</v>
      </c>
    </row>
    <row r="276" spans="1:21">
      <c r="A276" s="1">
        <v>1250</v>
      </c>
      <c r="B276" s="42">
        <v>19.849</v>
      </c>
      <c r="C276" s="42">
        <v>19.756</v>
      </c>
      <c r="D276" s="42">
        <v>19.709</v>
      </c>
      <c r="E276" s="42">
        <v>19.663</v>
      </c>
      <c r="F276" s="42">
        <v>19.616</v>
      </c>
      <c r="G276" s="42">
        <v>19.57</v>
      </c>
      <c r="H276" s="42">
        <v>19.475999999999999</v>
      </c>
      <c r="I276" s="42">
        <v>19.382999999999999</v>
      </c>
      <c r="K276" s="21">
        <v>1050</v>
      </c>
      <c r="L276" s="1"/>
      <c r="M276" s="1"/>
      <c r="N276" s="1"/>
      <c r="O276" s="1"/>
      <c r="P276" s="365"/>
      <c r="Q276" s="1"/>
      <c r="R276" s="1"/>
      <c r="S276" s="1"/>
      <c r="T276" s="1"/>
    </row>
    <row r="277" spans="1:21">
      <c r="A277" s="1">
        <v>1300</v>
      </c>
      <c r="B277" s="42">
        <v>20.765000000000001</v>
      </c>
      <c r="C277" s="42">
        <v>20.672000000000001</v>
      </c>
      <c r="D277" s="42">
        <v>20.625</v>
      </c>
      <c r="E277" s="42">
        <v>20.577999999999999</v>
      </c>
      <c r="F277" s="42">
        <v>20.530999999999999</v>
      </c>
      <c r="G277" s="42">
        <v>20.484000000000002</v>
      </c>
      <c r="H277" s="42">
        <v>20.390999999999998</v>
      </c>
      <c r="I277" s="42">
        <v>20.297999999999998</v>
      </c>
      <c r="K277" s="21">
        <v>1000</v>
      </c>
      <c r="L277" s="1"/>
      <c r="M277" s="1"/>
      <c r="N277" s="1"/>
      <c r="O277" s="1"/>
      <c r="P277" s="365"/>
      <c r="Q277" s="1"/>
      <c r="R277" s="1"/>
      <c r="S277" s="1"/>
      <c r="T277" s="1"/>
    </row>
    <row r="278" spans="1:21">
      <c r="A278" s="1">
        <v>1350</v>
      </c>
      <c r="B278" s="42">
        <v>21.687999999999999</v>
      </c>
      <c r="C278" s="42">
        <v>21.594000000000001</v>
      </c>
      <c r="D278" s="42">
        <v>21.547000000000001</v>
      </c>
      <c r="E278" s="42">
        <v>21.5</v>
      </c>
      <c r="F278" s="42">
        <v>21.452999999999999</v>
      </c>
      <c r="G278" s="42">
        <v>21.405999999999999</v>
      </c>
      <c r="H278" s="42">
        <v>21.312000000000001</v>
      </c>
      <c r="I278" s="42">
        <v>21.218</v>
      </c>
      <c r="K278" s="21">
        <v>950</v>
      </c>
      <c r="L278" s="1"/>
      <c r="M278" s="1"/>
      <c r="N278" s="1"/>
      <c r="O278" s="1"/>
      <c r="P278" s="365"/>
      <c r="Q278" s="1"/>
      <c r="R278" s="1"/>
      <c r="S278" s="1"/>
      <c r="T278" s="1"/>
    </row>
    <row r="279" spans="1:21">
      <c r="A279" s="1">
        <v>1400</v>
      </c>
      <c r="B279" s="42">
        <v>22.617999999999999</v>
      </c>
      <c r="C279" s="42">
        <v>22.523</v>
      </c>
      <c r="D279" s="42">
        <v>22.475999999999999</v>
      </c>
      <c r="E279" s="42">
        <v>22.428999999999998</v>
      </c>
      <c r="F279" s="42">
        <v>22.382000000000001</v>
      </c>
      <c r="G279" s="42">
        <v>22.335000000000001</v>
      </c>
      <c r="H279" s="42">
        <v>22.24</v>
      </c>
      <c r="I279" s="42">
        <v>22.146000000000001</v>
      </c>
      <c r="K279" s="21">
        <v>900</v>
      </c>
      <c r="L279" s="1"/>
      <c r="M279" s="1"/>
      <c r="N279" s="1"/>
      <c r="O279" s="1"/>
      <c r="P279" s="365"/>
      <c r="Q279" s="1"/>
      <c r="R279" s="1"/>
      <c r="S279" s="1"/>
      <c r="T279" s="1"/>
    </row>
    <row r="280" spans="1:21">
      <c r="A280" s="1">
        <v>1450</v>
      </c>
      <c r="B280" s="42">
        <v>23.553999999999998</v>
      </c>
      <c r="C280" s="42">
        <v>23.459</v>
      </c>
      <c r="D280" s="42">
        <v>23.411999999999999</v>
      </c>
      <c r="E280" s="42">
        <v>23.364000000000001</v>
      </c>
      <c r="F280" s="42">
        <v>23.317</v>
      </c>
      <c r="G280" s="42">
        <v>23.268999999999998</v>
      </c>
      <c r="H280" s="42">
        <v>23.175000000000001</v>
      </c>
      <c r="I280" s="42">
        <v>23.08</v>
      </c>
      <c r="K280" s="21">
        <v>850</v>
      </c>
      <c r="L280" s="1"/>
      <c r="M280" s="1"/>
      <c r="N280" s="1"/>
      <c r="O280" s="1"/>
      <c r="P280" s="365"/>
      <c r="Q280" s="1"/>
      <c r="R280" s="1"/>
      <c r="S280" s="1"/>
      <c r="T280" s="1"/>
    </row>
    <row r="281" spans="1:21">
      <c r="A281" s="1">
        <v>1500</v>
      </c>
      <c r="B281" s="42">
        <v>24.495999999999999</v>
      </c>
      <c r="C281" s="42">
        <v>24.401</v>
      </c>
      <c r="D281" s="42">
        <v>24.353999999999999</v>
      </c>
      <c r="E281" s="42">
        <v>24.306000000000001</v>
      </c>
      <c r="F281" s="42">
        <v>24.257999999999999</v>
      </c>
      <c r="G281" s="42">
        <v>24.210999999999999</v>
      </c>
      <c r="H281" s="42">
        <v>24.116</v>
      </c>
      <c r="I281" s="42">
        <v>24.021000000000001</v>
      </c>
      <c r="K281" s="21">
        <v>800</v>
      </c>
      <c r="L281" s="1"/>
      <c r="M281" s="1"/>
      <c r="N281" s="1"/>
      <c r="O281" s="1"/>
      <c r="P281" s="365"/>
      <c r="Q281" s="1"/>
      <c r="R281" s="1"/>
      <c r="S281" s="1"/>
      <c r="T281" s="1"/>
    </row>
    <row r="282" spans="1:21">
      <c r="A282" s="1">
        <v>1550</v>
      </c>
      <c r="B282" s="42">
        <v>25.445</v>
      </c>
      <c r="C282" s="42">
        <v>25.35</v>
      </c>
      <c r="D282" s="42">
        <v>25.302</v>
      </c>
      <c r="E282" s="42">
        <v>25.254000000000001</v>
      </c>
      <c r="F282" s="42">
        <v>25.206</v>
      </c>
      <c r="G282" s="42">
        <v>25.158999999999999</v>
      </c>
      <c r="H282" s="42">
        <v>25.062999999999999</v>
      </c>
      <c r="I282" s="42">
        <v>24.968</v>
      </c>
      <c r="K282" s="21">
        <v>750</v>
      </c>
      <c r="L282" s="1"/>
      <c r="M282" s="1"/>
      <c r="N282" s="1"/>
      <c r="O282" s="1"/>
      <c r="P282" s="365"/>
      <c r="Q282" s="1"/>
      <c r="R282" s="1"/>
      <c r="S282" s="1"/>
      <c r="T282" s="1"/>
    </row>
    <row r="283" spans="1:21">
      <c r="A283" s="1">
        <v>1600</v>
      </c>
      <c r="B283" s="42">
        <v>26.401</v>
      </c>
      <c r="C283" s="42">
        <v>26.305</v>
      </c>
      <c r="D283" s="42">
        <v>26.257000000000001</v>
      </c>
      <c r="E283" s="42">
        <v>26.209</v>
      </c>
      <c r="F283" s="42">
        <v>26.161000000000001</v>
      </c>
      <c r="G283" s="42">
        <v>26.113</v>
      </c>
      <c r="H283" s="42">
        <v>26.016999999999999</v>
      </c>
      <c r="I283" s="42">
        <v>25.920999999999999</v>
      </c>
      <c r="K283" s="21">
        <v>700</v>
      </c>
      <c r="L283" s="1"/>
      <c r="M283" s="1"/>
      <c r="N283" s="1"/>
      <c r="O283" s="1"/>
      <c r="P283" s="365"/>
      <c r="Q283" s="1"/>
      <c r="R283" s="1"/>
      <c r="S283" s="1"/>
      <c r="T283" s="1"/>
    </row>
    <row r="284" spans="1:21">
      <c r="A284" s="1">
        <v>1650</v>
      </c>
      <c r="B284" s="42">
        <v>27.363</v>
      </c>
      <c r="C284" s="42">
        <v>27.265999999999998</v>
      </c>
      <c r="D284" s="42">
        <v>27.218</v>
      </c>
      <c r="E284" s="42">
        <v>27.17</v>
      </c>
      <c r="F284" s="42">
        <v>27.122</v>
      </c>
      <c r="G284" s="42">
        <v>27.074000000000002</v>
      </c>
      <c r="H284" s="42">
        <v>26.977</v>
      </c>
      <c r="I284" s="42">
        <v>26.881</v>
      </c>
      <c r="K284" s="21">
        <v>650</v>
      </c>
      <c r="L284" s="1"/>
      <c r="M284" s="1"/>
      <c r="N284" s="1"/>
      <c r="O284" s="1"/>
      <c r="P284" s="365"/>
      <c r="Q284" s="1"/>
      <c r="R284" s="1"/>
      <c r="S284" s="1"/>
      <c r="T284" s="1"/>
    </row>
    <row r="285" spans="1:21">
      <c r="A285" s="1">
        <v>1700</v>
      </c>
      <c r="B285" s="42">
        <v>28.331</v>
      </c>
      <c r="C285" s="42">
        <v>28.234000000000002</v>
      </c>
      <c r="D285" s="42">
        <v>28.186</v>
      </c>
      <c r="E285" s="42">
        <v>28.137</v>
      </c>
      <c r="F285" s="42">
        <v>28.088999999999999</v>
      </c>
      <c r="G285" s="42">
        <v>28.04</v>
      </c>
      <c r="H285" s="42">
        <v>27.943999999999999</v>
      </c>
      <c r="I285" s="42">
        <v>27.847000000000001</v>
      </c>
      <c r="K285" s="21">
        <v>600</v>
      </c>
      <c r="L285" s="1"/>
      <c r="M285" s="1"/>
      <c r="N285" s="1"/>
      <c r="O285" s="1"/>
      <c r="P285" s="365"/>
      <c r="Q285" s="1"/>
      <c r="R285" s="1"/>
      <c r="S285" s="1"/>
      <c r="T285" s="1"/>
    </row>
    <row r="286" spans="1:21">
      <c r="A286" s="1">
        <v>1750</v>
      </c>
      <c r="B286" s="42">
        <v>29.305</v>
      </c>
      <c r="C286" s="42">
        <v>29.207999999999998</v>
      </c>
      <c r="D286" s="42">
        <v>29.158999999999999</v>
      </c>
      <c r="E286" s="42">
        <v>29.111000000000001</v>
      </c>
      <c r="F286" s="42">
        <v>29.062000000000001</v>
      </c>
      <c r="G286" s="42">
        <v>29.013999999999999</v>
      </c>
      <c r="H286" s="42">
        <v>28.917000000000002</v>
      </c>
      <c r="I286" s="42">
        <v>28.82</v>
      </c>
      <c r="K286" s="21">
        <v>550</v>
      </c>
      <c r="L286" s="1"/>
      <c r="M286" s="1"/>
      <c r="N286" s="1"/>
      <c r="O286" s="1"/>
      <c r="P286" s="365"/>
      <c r="Q286" s="1"/>
      <c r="R286" s="1"/>
      <c r="S286" s="1"/>
      <c r="T286" s="1"/>
    </row>
    <row r="287" spans="1:21">
      <c r="A287" s="1">
        <v>1800</v>
      </c>
      <c r="B287" s="42">
        <v>29.989000000000001</v>
      </c>
      <c r="C287" s="42">
        <v>29.957000000000001</v>
      </c>
      <c r="D287" s="42">
        <v>29.940999999999999</v>
      </c>
      <c r="E287" s="42">
        <v>29.925000000000001</v>
      </c>
      <c r="F287" s="42">
        <v>29.908000000000001</v>
      </c>
      <c r="G287" s="42">
        <v>29.89</v>
      </c>
      <c r="H287" s="42">
        <v>29.85</v>
      </c>
      <c r="I287" s="42">
        <v>29.782</v>
      </c>
      <c r="K287" s="21">
        <v>500</v>
      </c>
      <c r="L287" s="1"/>
      <c r="M287" s="1"/>
      <c r="N287" s="1"/>
      <c r="O287" s="1"/>
      <c r="P287" s="365"/>
      <c r="Q287" s="1"/>
      <c r="R287" s="1"/>
      <c r="S287" s="1"/>
      <c r="T287" s="1"/>
    </row>
    <row r="288" spans="1:21">
      <c r="A288" s="1">
        <v>1850</v>
      </c>
      <c r="B288" s="42">
        <v>30.56</v>
      </c>
      <c r="C288" s="42">
        <v>30.536999999999999</v>
      </c>
      <c r="D288" s="42">
        <v>30.526</v>
      </c>
      <c r="E288" s="42">
        <v>30.513999999999999</v>
      </c>
      <c r="F288" s="42">
        <v>30.501999999999999</v>
      </c>
      <c r="G288" s="42">
        <v>30.489000000000001</v>
      </c>
      <c r="H288" s="42">
        <v>30.463999999999999</v>
      </c>
      <c r="I288" s="42">
        <v>30.437999999999999</v>
      </c>
      <c r="K288" s="21">
        <v>450</v>
      </c>
      <c r="L288" s="1"/>
      <c r="M288" s="1"/>
      <c r="N288" s="1"/>
      <c r="O288" s="1"/>
      <c r="P288" s="365"/>
      <c r="Q288" s="1"/>
      <c r="R288" s="1"/>
      <c r="S288" s="1"/>
      <c r="T288" s="1"/>
    </row>
    <row r="289" spans="1:20">
      <c r="A289" s="1">
        <v>1900</v>
      </c>
      <c r="B289" s="42">
        <v>31.045999999999999</v>
      </c>
      <c r="C289" s="42">
        <v>31.030999999999999</v>
      </c>
      <c r="D289" s="42">
        <v>31.023</v>
      </c>
      <c r="E289" s="42">
        <v>31.015000000000001</v>
      </c>
      <c r="F289" s="42">
        <v>31.007000000000001</v>
      </c>
      <c r="G289" s="42">
        <v>30.998999999999999</v>
      </c>
      <c r="H289" s="42">
        <v>30.981999999999999</v>
      </c>
      <c r="I289" s="42">
        <v>30.965</v>
      </c>
      <c r="K289" s="21">
        <v>400</v>
      </c>
      <c r="L289" s="1"/>
      <c r="M289" s="1"/>
      <c r="N289" s="1"/>
      <c r="O289" s="1"/>
      <c r="P289" s="365"/>
      <c r="Q289" s="1"/>
      <c r="R289" s="1"/>
      <c r="S289" s="1"/>
      <c r="T289" s="1"/>
    </row>
    <row r="290" spans="1:20">
      <c r="A290" s="1">
        <v>1950</v>
      </c>
      <c r="B290" s="42">
        <v>31.446999999999999</v>
      </c>
      <c r="C290" s="42">
        <v>31.437999999999999</v>
      </c>
      <c r="D290" s="42">
        <v>31.433</v>
      </c>
      <c r="E290" s="42">
        <v>31.428999999999998</v>
      </c>
      <c r="F290" s="42">
        <v>31.423999999999999</v>
      </c>
      <c r="G290" s="42">
        <v>31.419</v>
      </c>
      <c r="H290" s="42">
        <v>31.408000000000001</v>
      </c>
      <c r="I290" s="42">
        <v>31.398</v>
      </c>
      <c r="K290" s="21">
        <v>350</v>
      </c>
      <c r="L290" s="1"/>
      <c r="M290" s="1"/>
      <c r="N290" s="1"/>
      <c r="O290" s="1"/>
      <c r="P290" s="365"/>
      <c r="Q290" s="1"/>
      <c r="R290" s="1"/>
      <c r="S290" s="1"/>
      <c r="T290" s="1"/>
    </row>
    <row r="291" spans="1:20">
      <c r="A291" s="1">
        <v>2000</v>
      </c>
      <c r="B291" s="42">
        <v>31.766999999999999</v>
      </c>
      <c r="C291" s="42">
        <v>31.762</v>
      </c>
      <c r="D291" s="42">
        <v>31.76</v>
      </c>
      <c r="E291" s="42">
        <v>31.757000000000001</v>
      </c>
      <c r="F291" s="42">
        <v>31.754000000000001</v>
      </c>
      <c r="G291" s="42">
        <v>31.751999999999999</v>
      </c>
      <c r="H291" s="42">
        <v>31.745999999999999</v>
      </c>
      <c r="I291" s="42">
        <v>31.741</v>
      </c>
      <c r="K291" s="21">
        <v>300</v>
      </c>
      <c r="L291" s="1"/>
      <c r="M291" s="1"/>
      <c r="N291" s="1"/>
      <c r="O291" s="1"/>
      <c r="P291" s="365"/>
      <c r="Q291" s="1"/>
      <c r="R291" s="1"/>
      <c r="S291" s="1"/>
      <c r="T291" s="1"/>
    </row>
    <row r="292" spans="1:20">
      <c r="A292" s="1">
        <v>2050</v>
      </c>
      <c r="B292" s="42">
        <v>32.005000000000003</v>
      </c>
      <c r="C292" s="42">
        <v>32.003</v>
      </c>
      <c r="D292" s="42">
        <v>32.002000000000002</v>
      </c>
      <c r="E292" s="42">
        <v>32.002000000000002</v>
      </c>
      <c r="F292" s="42">
        <v>32.000999999999998</v>
      </c>
      <c r="G292" s="42">
        <v>32</v>
      </c>
      <c r="H292" s="42">
        <v>31.998000000000001</v>
      </c>
      <c r="I292" s="42">
        <v>31.995999999999999</v>
      </c>
      <c r="K292" s="21">
        <v>250</v>
      </c>
      <c r="L292" s="1"/>
      <c r="M292" s="1"/>
      <c r="N292" s="1"/>
      <c r="O292" s="1"/>
      <c r="P292" s="365"/>
      <c r="Q292" s="1"/>
      <c r="R292" s="1"/>
      <c r="S292" s="1"/>
      <c r="T292" s="1"/>
    </row>
    <row r="293" spans="1:20">
      <c r="A293" s="1">
        <v>2100</v>
      </c>
      <c r="B293" s="42">
        <v>32.155000000000001</v>
      </c>
      <c r="C293" s="42">
        <v>32.155000000000001</v>
      </c>
      <c r="D293" s="42">
        <v>32.155000000000001</v>
      </c>
      <c r="E293" s="42">
        <v>32.155000000000001</v>
      </c>
      <c r="F293" s="42">
        <v>32.155000000000001</v>
      </c>
      <c r="G293" s="42">
        <v>32.155000000000001</v>
      </c>
      <c r="H293" s="42">
        <v>32.155000000000001</v>
      </c>
      <c r="I293" s="42">
        <v>32.155000000000001</v>
      </c>
      <c r="K293" s="21">
        <v>200</v>
      </c>
      <c r="L293" s="1"/>
      <c r="M293" s="1"/>
      <c r="N293" s="1"/>
      <c r="O293" s="1"/>
      <c r="P293" s="365"/>
      <c r="Q293" s="1"/>
      <c r="R293" s="1"/>
      <c r="S293" s="1"/>
      <c r="T293" s="1"/>
    </row>
    <row r="294" spans="1:20">
      <c r="A294" s="1">
        <v>2150</v>
      </c>
      <c r="B294" s="42">
        <v>32.216999999999999</v>
      </c>
      <c r="C294" s="42">
        <v>32.216999999999999</v>
      </c>
      <c r="D294" s="42">
        <v>32.216999999999999</v>
      </c>
      <c r="E294" s="42">
        <v>32.216999999999999</v>
      </c>
      <c r="F294" s="42">
        <v>32.216999999999999</v>
      </c>
      <c r="G294" s="42">
        <v>32.218000000000004</v>
      </c>
      <c r="H294" s="42">
        <v>32.218000000000004</v>
      </c>
      <c r="I294" s="42">
        <v>32.218000000000004</v>
      </c>
      <c r="K294" s="21">
        <v>150</v>
      </c>
      <c r="L294" s="1"/>
      <c r="M294" s="1"/>
      <c r="N294" s="1"/>
      <c r="O294" s="1"/>
      <c r="P294" s="365"/>
      <c r="Q294" s="1"/>
      <c r="R294" s="1"/>
      <c r="S294" s="1"/>
      <c r="T294" s="1"/>
    </row>
    <row r="295" spans="1:20">
      <c r="A295" s="1">
        <v>2200</v>
      </c>
      <c r="B295" s="42">
        <v>32.219000000000001</v>
      </c>
      <c r="C295" s="42">
        <v>32.219000000000001</v>
      </c>
      <c r="D295" s="42">
        <v>32.219000000000001</v>
      </c>
      <c r="E295" s="42">
        <v>32.219000000000001</v>
      </c>
      <c r="F295" s="42">
        <v>32.219000000000001</v>
      </c>
      <c r="G295" s="42">
        <v>32.219000000000001</v>
      </c>
      <c r="H295" s="42">
        <v>32.219000000000001</v>
      </c>
      <c r="I295" s="42">
        <v>32.219000000000001</v>
      </c>
      <c r="K295" s="21">
        <v>100</v>
      </c>
      <c r="L295" s="1"/>
      <c r="M295" s="1"/>
      <c r="N295" s="1"/>
      <c r="O295" s="1"/>
      <c r="P295" s="365"/>
      <c r="Q295" s="1"/>
      <c r="R295" s="1"/>
      <c r="S295" s="1"/>
      <c r="T295" s="1"/>
    </row>
    <row r="296" spans="1:20">
      <c r="A296" s="1">
        <v>2250</v>
      </c>
      <c r="B296" s="42">
        <v>32.219000000000001</v>
      </c>
      <c r="C296" s="42">
        <v>32.219000000000001</v>
      </c>
      <c r="D296" s="42">
        <v>32.219000000000001</v>
      </c>
      <c r="E296" s="42">
        <v>32.219000000000001</v>
      </c>
      <c r="F296" s="42">
        <v>32.219000000000001</v>
      </c>
      <c r="G296" s="42">
        <v>32.219000000000001</v>
      </c>
      <c r="H296" s="42">
        <v>32.219000000000001</v>
      </c>
      <c r="I296" s="42">
        <v>32.219000000000001</v>
      </c>
      <c r="K296" s="21">
        <v>50</v>
      </c>
      <c r="L296" s="1"/>
      <c r="M296" s="1"/>
      <c r="N296" s="1"/>
      <c r="O296" s="1"/>
      <c r="P296" s="365"/>
      <c r="Q296" s="1"/>
      <c r="R296" s="1"/>
      <c r="S296" s="1"/>
      <c r="T296" s="1"/>
    </row>
    <row r="297" spans="1:20">
      <c r="A297" s="1">
        <v>5206</v>
      </c>
      <c r="B297" s="42">
        <v>32.219000000000001</v>
      </c>
      <c r="C297" s="42">
        <v>32.219000000000001</v>
      </c>
      <c r="D297" s="42">
        <v>32.219000000000001</v>
      </c>
      <c r="E297" s="42">
        <v>32.219000000000001</v>
      </c>
      <c r="F297" s="42">
        <v>32.219000000000001</v>
      </c>
      <c r="G297" s="42">
        <v>32.219000000000001</v>
      </c>
      <c r="H297" s="42">
        <v>32.219000000000001</v>
      </c>
      <c r="I297" s="42">
        <v>32.219000000000001</v>
      </c>
      <c r="K297" s="21">
        <v>0</v>
      </c>
      <c r="L297" s="1"/>
      <c r="M297" s="1"/>
      <c r="N297" s="1"/>
      <c r="O297" s="1"/>
      <c r="P297" s="365"/>
      <c r="Q297" s="1"/>
      <c r="R297" s="1"/>
      <c r="S297" s="1"/>
      <c r="T297" s="1"/>
    </row>
    <row r="298" spans="1:20" hidden="1"/>
    <row r="299" spans="1:20" hidden="1"/>
    <row r="300" spans="1:20" hidden="1"/>
    <row r="301" spans="1:20" hidden="1"/>
    <row r="302" spans="1:20" hidden="1"/>
    <row r="303" spans="1:20" hidden="1"/>
    <row r="304" spans="1:20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spans="1:28" hidden="1"/>
    <row r="386" spans="1:28" hidden="1"/>
    <row r="387" spans="1:28" hidden="1"/>
    <row r="388" spans="1:28" hidden="1"/>
    <row r="389" spans="1:28" hidden="1"/>
    <row r="391" spans="1:28" hidden="1"/>
    <row r="392" spans="1:28" hidden="1"/>
    <row r="393" spans="1:28" hidden="1"/>
    <row r="394" spans="1:28" hidden="1"/>
    <row r="395" spans="1:28" hidden="1"/>
    <row r="396" spans="1:28">
      <c r="A396" s="892" t="s">
        <v>403</v>
      </c>
      <c r="B396" s="892"/>
      <c r="C396" s="892"/>
      <c r="D396" s="892"/>
      <c r="E396" s="892"/>
      <c r="F396" s="892"/>
      <c r="G396" s="892"/>
      <c r="H396" s="892"/>
      <c r="I396" s="892"/>
      <c r="J396" s="892"/>
      <c r="K396" s="892"/>
      <c r="L396" s="892"/>
      <c r="M396" s="892"/>
      <c r="N396" s="892"/>
      <c r="O396" s="892"/>
      <c r="P396" s="892"/>
      <c r="Q396" s="892"/>
      <c r="R396" s="892"/>
      <c r="S396" s="892"/>
      <c r="T396" s="892"/>
      <c r="U396" s="892"/>
      <c r="V396" s="892"/>
    </row>
    <row r="397" spans="1:28">
      <c r="A397" t="s">
        <v>256</v>
      </c>
      <c r="B397">
        <v>-1</v>
      </c>
      <c r="C397">
        <v>0</v>
      </c>
      <c r="D397">
        <v>0.5</v>
      </c>
      <c r="E397">
        <v>1</v>
      </c>
      <c r="F397">
        <v>1.5</v>
      </c>
      <c r="G397">
        <v>2</v>
      </c>
      <c r="H397">
        <v>3</v>
      </c>
      <c r="I397">
        <v>4</v>
      </c>
      <c r="J397">
        <v>3</v>
      </c>
      <c r="K397" t="s">
        <v>35</v>
      </c>
      <c r="L397" t="s">
        <v>256</v>
      </c>
      <c r="O397">
        <v>-2</v>
      </c>
      <c r="P397">
        <v>-1</v>
      </c>
      <c r="Q397">
        <v>0</v>
      </c>
      <c r="R397">
        <v>1</v>
      </c>
      <c r="S397">
        <v>2</v>
      </c>
      <c r="V397" t="s">
        <v>231</v>
      </c>
      <c r="Y397" s="1">
        <f>heelDraft1</f>
        <v>0</v>
      </c>
      <c r="Z397" s="186"/>
      <c r="AA397" s="186">
        <f>IF((Z397+Z400)&lt;0,Z397,Z397+Z400)</f>
        <v>0</v>
      </c>
      <c r="AB397" s="42">
        <f>IF(AB399=AB398,AB398,Interp1(AA398:AA399,AB398:AB399,AA397))</f>
        <v>3.1</v>
      </c>
    </row>
    <row r="398" spans="1:28">
      <c r="A398" s="295">
        <v>0</v>
      </c>
      <c r="B398" s="296">
        <v>3.1</v>
      </c>
      <c r="C398" s="296">
        <v>3.1</v>
      </c>
      <c r="D398" s="296">
        <v>3.1</v>
      </c>
      <c r="E398" s="296">
        <v>3</v>
      </c>
      <c r="F398" s="296">
        <v>3</v>
      </c>
      <c r="G398" s="296">
        <v>3</v>
      </c>
      <c r="H398" s="296">
        <v>3</v>
      </c>
      <c r="I398" s="296">
        <v>3</v>
      </c>
      <c r="J398" s="296">
        <v>3</v>
      </c>
      <c r="K398" s="295">
        <v>593</v>
      </c>
      <c r="L398" s="295">
        <v>0</v>
      </c>
      <c r="M398" s="295"/>
      <c r="N398" s="295"/>
      <c r="O398" s="296">
        <v>0.3</v>
      </c>
      <c r="P398" s="296">
        <v>0.1</v>
      </c>
      <c r="Q398" s="296">
        <v>0</v>
      </c>
      <c r="R398" s="296">
        <v>-0.1</v>
      </c>
      <c r="S398" s="296">
        <v>-0.3</v>
      </c>
      <c r="T398" s="296"/>
      <c r="U398" s="296"/>
      <c r="V398" s="310">
        <f>(D398/46.4)*100</f>
        <v>6.68</v>
      </c>
      <c r="Y398" s="1">
        <f>FLOOR(Z397,10)</f>
        <v>0</v>
      </c>
      <c r="Z398" s="1">
        <f>Interp2(Misc4Heel1,Misc4Heel2,Misc4Heel3,Y398,Y397)</f>
        <v>0</v>
      </c>
      <c r="AA398" s="1">
        <f>FLOOR(AA397,10)</f>
        <v>0</v>
      </c>
      <c r="AB398" s="42">
        <f>IF(Z403=Z402,Z402,Interp1(Y402:Y403,Z402:Z403,Y401))</f>
        <v>3.1</v>
      </c>
    </row>
    <row r="399" spans="1:28">
      <c r="A399" s="295">
        <v>10</v>
      </c>
      <c r="B399" s="296">
        <v>3.7</v>
      </c>
      <c r="C399" s="296">
        <v>3.7</v>
      </c>
      <c r="D399" s="296">
        <v>3.7</v>
      </c>
      <c r="E399" s="296">
        <v>3.7</v>
      </c>
      <c r="F399" s="296">
        <v>3.7</v>
      </c>
      <c r="G399" s="296">
        <v>3.7</v>
      </c>
      <c r="H399" s="296">
        <v>3.6</v>
      </c>
      <c r="I399" s="296">
        <v>3.6</v>
      </c>
      <c r="J399" s="296">
        <v>3.6</v>
      </c>
      <c r="K399" s="295">
        <v>583</v>
      </c>
      <c r="L399" s="295">
        <v>10</v>
      </c>
      <c r="M399" s="295"/>
      <c r="N399" s="295"/>
      <c r="O399" s="296">
        <v>0.3</v>
      </c>
      <c r="P399" s="296">
        <v>0.1</v>
      </c>
      <c r="Q399" s="296">
        <v>0</v>
      </c>
      <c r="R399" s="296">
        <v>-0.1</v>
      </c>
      <c r="S399" s="296">
        <v>-0.3</v>
      </c>
      <c r="T399" s="296"/>
      <c r="U399" s="296"/>
      <c r="V399" s="310">
        <f t="shared" ref="V399:V457" si="0">(D399/46.4)*100</f>
        <v>7.97</v>
      </c>
      <c r="Y399" s="1">
        <f>IF(Y398=MiscSound4,Y398,CEILING(Z397,10))</f>
        <v>0</v>
      </c>
      <c r="Z399" s="1">
        <f>Interp2(Misc4Heel1,Misc4Heel2,Misc4Heel3,Y399,Y397)</f>
        <v>0</v>
      </c>
      <c r="AA399" s="1">
        <f>CEILING(AA397,10)</f>
        <v>0</v>
      </c>
      <c r="AB399" s="42">
        <f>IF(AA403=AA402,AA402,Interp1(Y402:Y403,AA402:AA403,Y401))</f>
        <v>3.1</v>
      </c>
    </row>
    <row r="400" spans="1:28">
      <c r="A400" s="295">
        <v>20</v>
      </c>
      <c r="B400" s="296">
        <v>4.4000000000000004</v>
      </c>
      <c r="C400" s="296">
        <v>4.3</v>
      </c>
      <c r="D400" s="296">
        <v>4.3</v>
      </c>
      <c r="E400" s="296">
        <v>4.3</v>
      </c>
      <c r="F400" s="296">
        <v>4.3</v>
      </c>
      <c r="G400" s="296">
        <v>4.3</v>
      </c>
      <c r="H400" s="296">
        <v>4.3</v>
      </c>
      <c r="I400" s="296">
        <v>4.3</v>
      </c>
      <c r="J400" s="296">
        <v>4.3</v>
      </c>
      <c r="K400" s="295">
        <v>573</v>
      </c>
      <c r="L400" s="295">
        <v>20</v>
      </c>
      <c r="M400" s="295"/>
      <c r="N400" s="295"/>
      <c r="O400" s="296">
        <v>0.3</v>
      </c>
      <c r="P400" s="296">
        <v>0.1</v>
      </c>
      <c r="Q400" s="296">
        <v>0</v>
      </c>
      <c r="R400" s="296">
        <v>-0.1</v>
      </c>
      <c r="S400" s="296">
        <v>-0.3</v>
      </c>
      <c r="T400" s="296"/>
      <c r="U400" s="296"/>
      <c r="V400" s="310">
        <f t="shared" si="0"/>
        <v>9.27</v>
      </c>
      <c r="Y400" s="1"/>
      <c r="Z400" s="1">
        <f>IF(Z399=Z398,Z398,Interp1(Y398:Y399,Z398:Z399,Z397))</f>
        <v>0</v>
      </c>
      <c r="AA400" s="1"/>
      <c r="AB400" s="42"/>
    </row>
    <row r="401" spans="1:28">
      <c r="A401" s="295">
        <v>30</v>
      </c>
      <c r="B401" s="296">
        <v>5</v>
      </c>
      <c r="C401" s="296">
        <v>5</v>
      </c>
      <c r="D401" s="296">
        <v>5</v>
      </c>
      <c r="E401" s="296">
        <v>5</v>
      </c>
      <c r="F401" s="296">
        <v>5</v>
      </c>
      <c r="G401" s="296">
        <v>4.9000000000000004</v>
      </c>
      <c r="H401" s="296">
        <v>4.9000000000000004</v>
      </c>
      <c r="I401" s="296">
        <v>4.9000000000000004</v>
      </c>
      <c r="J401" s="296">
        <v>4.9000000000000004</v>
      </c>
      <c r="K401" s="295">
        <v>563</v>
      </c>
      <c r="L401" s="295">
        <v>30</v>
      </c>
      <c r="M401" s="295"/>
      <c r="N401" s="295"/>
      <c r="O401" s="296">
        <v>0.3</v>
      </c>
      <c r="P401" s="296">
        <v>0.1</v>
      </c>
      <c r="Q401" s="296">
        <v>0</v>
      </c>
      <c r="R401" s="296">
        <v>-0.1</v>
      </c>
      <c r="S401" s="296">
        <v>-0.3</v>
      </c>
      <c r="T401" s="296"/>
      <c r="U401" s="296"/>
      <c r="V401" s="310">
        <f t="shared" si="0"/>
        <v>10.78</v>
      </c>
      <c r="Y401" s="1">
        <f>trimDraft</f>
        <v>0.149999999999999</v>
      </c>
      <c r="Z401" s="1"/>
      <c r="AA401" s="1"/>
      <c r="AB401" s="1"/>
    </row>
    <row r="402" spans="1:28">
      <c r="A402" s="295">
        <v>40</v>
      </c>
      <c r="B402" s="296">
        <v>5.7</v>
      </c>
      <c r="C402" s="296">
        <v>5.6</v>
      </c>
      <c r="D402" s="296">
        <v>5.6</v>
      </c>
      <c r="E402" s="296">
        <v>5.6</v>
      </c>
      <c r="F402" s="296">
        <v>5.6</v>
      </c>
      <c r="G402" s="296">
        <v>5.6</v>
      </c>
      <c r="H402" s="296">
        <v>5.6</v>
      </c>
      <c r="I402" s="296">
        <v>5.6</v>
      </c>
      <c r="J402" s="296">
        <v>5.6</v>
      </c>
      <c r="K402" s="295">
        <v>553</v>
      </c>
      <c r="L402" s="295">
        <v>40</v>
      </c>
      <c r="M402" s="295"/>
      <c r="N402" s="295"/>
      <c r="O402" s="296">
        <v>0.3</v>
      </c>
      <c r="P402" s="296">
        <v>0.1</v>
      </c>
      <c r="Q402" s="296">
        <v>0</v>
      </c>
      <c r="R402" s="296">
        <v>-0.1</v>
      </c>
      <c r="S402" s="296">
        <v>-0.3</v>
      </c>
      <c r="T402" s="296"/>
      <c r="U402" s="296"/>
      <c r="V402" s="310">
        <f t="shared" si="0"/>
        <v>12.07</v>
      </c>
      <c r="Y402" s="1">
        <f>INDEX(Misc4Trim2,0,MATCH(Y401,Misc4Trim2,1))</f>
        <v>0</v>
      </c>
      <c r="Z402" s="1">
        <f>Interp2(Misc4Trim1,Misc4Trim2,Misc4Trim3,AA398,Y402)</f>
        <v>3.1</v>
      </c>
      <c r="AA402" s="1">
        <f>Interp2(Misc4Trim1,Misc4Trim2,Misc4Trim3,AA399,Y402)</f>
        <v>3.1</v>
      </c>
      <c r="AB402" s="1"/>
    </row>
    <row r="403" spans="1:28">
      <c r="A403" s="295">
        <v>50</v>
      </c>
      <c r="B403" s="296">
        <v>6.3</v>
      </c>
      <c r="C403" s="296">
        <v>6.3</v>
      </c>
      <c r="D403" s="296">
        <v>6.3</v>
      </c>
      <c r="E403" s="296">
        <v>6.3</v>
      </c>
      <c r="F403" s="296">
        <v>6.3</v>
      </c>
      <c r="G403" s="296">
        <v>6.3</v>
      </c>
      <c r="H403" s="296">
        <v>6.2</v>
      </c>
      <c r="I403" s="296">
        <v>6.2</v>
      </c>
      <c r="J403" s="296">
        <v>6.2</v>
      </c>
      <c r="K403" s="295">
        <v>543</v>
      </c>
      <c r="L403" s="295">
        <v>50</v>
      </c>
      <c r="M403" s="295"/>
      <c r="N403" s="295"/>
      <c r="O403" s="296">
        <v>0.3</v>
      </c>
      <c r="P403" s="296">
        <v>0.1</v>
      </c>
      <c r="Q403" s="296">
        <v>0</v>
      </c>
      <c r="R403" s="296">
        <v>-0.1</v>
      </c>
      <c r="S403" s="296">
        <v>-0.3</v>
      </c>
      <c r="T403" s="296"/>
      <c r="U403" s="296"/>
      <c r="V403" s="310">
        <f t="shared" si="0"/>
        <v>13.58</v>
      </c>
      <c r="Y403" s="1">
        <f>IF(Y402=Y401,Y401,INDEX(Misc4Trim2,0,MATCH(Y401,Misc4Trim2,1)+1))</f>
        <v>0.5</v>
      </c>
      <c r="Z403" s="1">
        <f>Interp2(Misc4Trim1,Misc4Trim2,Misc4Trim3,AA398,Y403)</f>
        <v>3.1</v>
      </c>
      <c r="AA403" s="1">
        <f>Interp2(Misc4Trim1,Misc4Trim2,Misc4Trim3,AA399,Y403)</f>
        <v>3.1</v>
      </c>
      <c r="AB403" s="1"/>
    </row>
    <row r="404" spans="1:28">
      <c r="A404" s="295">
        <v>60</v>
      </c>
      <c r="B404" s="296">
        <v>7</v>
      </c>
      <c r="C404" s="296">
        <v>7</v>
      </c>
      <c r="D404" s="296">
        <v>7</v>
      </c>
      <c r="E404" s="296">
        <v>6.9</v>
      </c>
      <c r="F404" s="296">
        <v>6.9</v>
      </c>
      <c r="G404" s="296">
        <v>6.9</v>
      </c>
      <c r="H404" s="296">
        <v>6.9</v>
      </c>
      <c r="I404" s="296">
        <v>6.9</v>
      </c>
      <c r="J404" s="296">
        <v>6.9</v>
      </c>
      <c r="K404" s="295">
        <v>533</v>
      </c>
      <c r="L404" s="295">
        <v>60</v>
      </c>
      <c r="M404" s="295"/>
      <c r="N404" s="295"/>
      <c r="O404" s="296">
        <v>0.3</v>
      </c>
      <c r="P404" s="296">
        <v>0.1</v>
      </c>
      <c r="Q404" s="296">
        <v>0</v>
      </c>
      <c r="R404" s="296">
        <v>-0.1</v>
      </c>
      <c r="S404" s="296">
        <v>-0.3</v>
      </c>
      <c r="T404" s="296"/>
      <c r="U404" s="296"/>
      <c r="V404" s="310">
        <f t="shared" si="0"/>
        <v>15.09</v>
      </c>
    </row>
    <row r="405" spans="1:28">
      <c r="A405" s="295">
        <v>70</v>
      </c>
      <c r="B405" s="296">
        <v>7.6</v>
      </c>
      <c r="C405" s="296">
        <v>7.6</v>
      </c>
      <c r="D405" s="296">
        <v>7.6</v>
      </c>
      <c r="E405" s="296">
        <v>7.6</v>
      </c>
      <c r="F405" s="296">
        <v>7.6</v>
      </c>
      <c r="G405" s="296">
        <v>7.6</v>
      </c>
      <c r="H405" s="296">
        <v>7.6</v>
      </c>
      <c r="I405" s="296">
        <v>7.6</v>
      </c>
      <c r="J405" s="296">
        <v>7.5</v>
      </c>
      <c r="K405" s="295">
        <v>523</v>
      </c>
      <c r="L405" s="295">
        <v>70</v>
      </c>
      <c r="M405" s="295"/>
      <c r="N405" s="295"/>
      <c r="O405" s="296">
        <v>0.3</v>
      </c>
      <c r="P405" s="296">
        <v>0.2</v>
      </c>
      <c r="Q405" s="296">
        <v>0</v>
      </c>
      <c r="R405" s="296">
        <v>-0.1</v>
      </c>
      <c r="S405" s="296">
        <v>-0.3</v>
      </c>
      <c r="T405" s="296"/>
      <c r="U405" s="296"/>
      <c r="V405" s="310">
        <f t="shared" si="0"/>
        <v>16.38</v>
      </c>
      <c r="Y405">
        <f>COUNT(A398:U658)</f>
        <v>1020</v>
      </c>
    </row>
    <row r="406" spans="1:28">
      <c r="A406" s="295">
        <v>80</v>
      </c>
      <c r="B406" s="296">
        <v>8.3000000000000007</v>
      </c>
      <c r="C406" s="296">
        <v>8.3000000000000007</v>
      </c>
      <c r="D406" s="296">
        <v>8.3000000000000007</v>
      </c>
      <c r="E406" s="296">
        <v>8.3000000000000007</v>
      </c>
      <c r="F406" s="296">
        <v>8.3000000000000007</v>
      </c>
      <c r="G406" s="296">
        <v>8.3000000000000007</v>
      </c>
      <c r="H406" s="296">
        <v>8.1999999999999993</v>
      </c>
      <c r="I406" s="296">
        <v>8.1999999999999993</v>
      </c>
      <c r="J406" s="296">
        <v>8.1999999999999993</v>
      </c>
      <c r="K406" s="295">
        <v>513</v>
      </c>
      <c r="L406" s="295">
        <v>80</v>
      </c>
      <c r="M406" s="295"/>
      <c r="N406" s="295"/>
      <c r="O406" s="296">
        <v>0.3</v>
      </c>
      <c r="P406" s="296">
        <v>0.2</v>
      </c>
      <c r="Q406" s="296">
        <v>0</v>
      </c>
      <c r="R406" s="296">
        <v>-0.2</v>
      </c>
      <c r="S406" s="296">
        <v>-0.3</v>
      </c>
      <c r="T406" s="296"/>
      <c r="U406" s="296"/>
      <c r="V406" s="310">
        <f t="shared" si="0"/>
        <v>17.89</v>
      </c>
      <c r="Y406">
        <f>COUNTA(A398:U457)</f>
        <v>1020</v>
      </c>
    </row>
    <row r="407" spans="1:28">
      <c r="A407" s="295">
        <v>90</v>
      </c>
      <c r="B407" s="296">
        <v>9</v>
      </c>
      <c r="C407" s="296">
        <v>9</v>
      </c>
      <c r="D407" s="296">
        <v>9</v>
      </c>
      <c r="E407" s="296">
        <v>9</v>
      </c>
      <c r="F407" s="296">
        <v>9</v>
      </c>
      <c r="G407" s="296">
        <v>8.9</v>
      </c>
      <c r="H407" s="296">
        <v>8.9</v>
      </c>
      <c r="I407" s="296">
        <v>8.9</v>
      </c>
      <c r="J407" s="296">
        <v>8.9</v>
      </c>
      <c r="K407" s="295">
        <v>503</v>
      </c>
      <c r="L407" s="295">
        <v>90</v>
      </c>
      <c r="M407" s="295"/>
      <c r="N407" s="295"/>
      <c r="O407" s="296">
        <v>0.3</v>
      </c>
      <c r="P407" s="296">
        <v>0.2</v>
      </c>
      <c r="Q407" s="296">
        <v>0</v>
      </c>
      <c r="R407" s="296">
        <v>-0.2</v>
      </c>
      <c r="S407" s="296">
        <v>-0.3</v>
      </c>
      <c r="T407" s="296"/>
      <c r="U407" s="296"/>
      <c r="V407" s="310">
        <f t="shared" si="0"/>
        <v>19.399999999999999</v>
      </c>
    </row>
    <row r="408" spans="1:28">
      <c r="A408" s="295">
        <v>100</v>
      </c>
      <c r="B408" s="296">
        <v>9.6999999999999993</v>
      </c>
      <c r="C408" s="296">
        <v>9.6999999999999993</v>
      </c>
      <c r="D408" s="296">
        <v>9.6999999999999993</v>
      </c>
      <c r="E408" s="296">
        <v>9.6999999999999993</v>
      </c>
      <c r="F408" s="296">
        <v>9.6</v>
      </c>
      <c r="G408" s="296">
        <v>9.6</v>
      </c>
      <c r="H408" s="296">
        <v>9.6</v>
      </c>
      <c r="I408" s="296">
        <v>9.6</v>
      </c>
      <c r="J408" s="296">
        <v>9.6</v>
      </c>
      <c r="K408" s="295">
        <v>493</v>
      </c>
      <c r="L408" s="295">
        <v>100</v>
      </c>
      <c r="M408" s="295"/>
      <c r="N408" s="295"/>
      <c r="O408" s="296">
        <v>0.3</v>
      </c>
      <c r="P408" s="296">
        <v>0.2</v>
      </c>
      <c r="Q408" s="296">
        <v>0</v>
      </c>
      <c r="R408" s="296">
        <v>-0.2</v>
      </c>
      <c r="S408" s="296">
        <v>-0.3</v>
      </c>
      <c r="T408" s="296"/>
      <c r="U408" s="296"/>
      <c r="V408" s="310">
        <f t="shared" si="0"/>
        <v>20.91</v>
      </c>
    </row>
    <row r="409" spans="1:28">
      <c r="A409" s="295">
        <v>110</v>
      </c>
      <c r="B409" s="296">
        <v>10.4</v>
      </c>
      <c r="C409" s="296">
        <v>10.4</v>
      </c>
      <c r="D409" s="296">
        <v>10.4</v>
      </c>
      <c r="E409" s="296">
        <v>10.3</v>
      </c>
      <c r="F409" s="296">
        <v>10.3</v>
      </c>
      <c r="G409" s="296">
        <v>10.3</v>
      </c>
      <c r="H409" s="296">
        <v>10.3</v>
      </c>
      <c r="I409" s="296">
        <v>10.3</v>
      </c>
      <c r="J409" s="296">
        <v>10.3</v>
      </c>
      <c r="K409" s="295">
        <v>483</v>
      </c>
      <c r="L409" s="295">
        <v>110</v>
      </c>
      <c r="M409" s="295"/>
      <c r="N409" s="295"/>
      <c r="O409" s="296">
        <v>0.3</v>
      </c>
      <c r="P409" s="296">
        <v>0.2</v>
      </c>
      <c r="Q409" s="296">
        <v>0</v>
      </c>
      <c r="R409" s="296">
        <v>-0.2</v>
      </c>
      <c r="S409" s="296">
        <v>-0.3</v>
      </c>
      <c r="T409" s="296"/>
      <c r="U409" s="296"/>
      <c r="V409" s="310">
        <f t="shared" si="0"/>
        <v>22.41</v>
      </c>
    </row>
    <row r="410" spans="1:28">
      <c r="A410" s="295">
        <v>120</v>
      </c>
      <c r="B410" s="296">
        <v>11.1</v>
      </c>
      <c r="C410" s="296">
        <v>11.1</v>
      </c>
      <c r="D410" s="296">
        <v>11.1</v>
      </c>
      <c r="E410" s="296">
        <v>11</v>
      </c>
      <c r="F410" s="296">
        <v>11</v>
      </c>
      <c r="G410" s="296">
        <v>11</v>
      </c>
      <c r="H410" s="296">
        <v>11</v>
      </c>
      <c r="I410" s="296">
        <v>11</v>
      </c>
      <c r="J410" s="296">
        <v>11</v>
      </c>
      <c r="K410" s="295">
        <v>473</v>
      </c>
      <c r="L410" s="295">
        <v>120</v>
      </c>
      <c r="M410" s="295"/>
      <c r="N410" s="295"/>
      <c r="O410" s="296">
        <v>0.3</v>
      </c>
      <c r="P410" s="296">
        <v>0.2</v>
      </c>
      <c r="Q410" s="296">
        <v>0</v>
      </c>
      <c r="R410" s="296">
        <v>-0.2</v>
      </c>
      <c r="S410" s="296">
        <v>-0.3</v>
      </c>
      <c r="T410" s="296"/>
      <c r="U410" s="296"/>
      <c r="V410" s="310">
        <f t="shared" si="0"/>
        <v>23.92</v>
      </c>
    </row>
    <row r="411" spans="1:28">
      <c r="A411" s="295">
        <v>130</v>
      </c>
      <c r="B411" s="296">
        <v>11.8</v>
      </c>
      <c r="C411" s="296">
        <v>11.8</v>
      </c>
      <c r="D411" s="296">
        <v>11.8</v>
      </c>
      <c r="E411" s="296">
        <v>11.7</v>
      </c>
      <c r="F411" s="296">
        <v>11.7</v>
      </c>
      <c r="G411" s="296">
        <v>11.7</v>
      </c>
      <c r="H411" s="296">
        <v>11.7</v>
      </c>
      <c r="I411" s="296">
        <v>11.7</v>
      </c>
      <c r="J411" s="296">
        <v>11.7</v>
      </c>
      <c r="K411" s="295">
        <v>463</v>
      </c>
      <c r="L411" s="295">
        <v>130</v>
      </c>
      <c r="M411" s="295"/>
      <c r="N411" s="295"/>
      <c r="O411" s="296">
        <v>0.3</v>
      </c>
      <c r="P411" s="296">
        <v>0.2</v>
      </c>
      <c r="Q411" s="296">
        <v>0</v>
      </c>
      <c r="R411" s="296">
        <v>-0.2</v>
      </c>
      <c r="S411" s="296">
        <v>-0.3</v>
      </c>
      <c r="T411" s="296"/>
      <c r="U411" s="296"/>
      <c r="V411" s="310">
        <f t="shared" si="0"/>
        <v>25.43</v>
      </c>
    </row>
    <row r="412" spans="1:28">
      <c r="A412" s="295">
        <v>140</v>
      </c>
      <c r="B412" s="296">
        <v>12.5</v>
      </c>
      <c r="C412" s="296">
        <v>12.5</v>
      </c>
      <c r="D412" s="296">
        <v>12.5</v>
      </c>
      <c r="E412" s="296">
        <v>12.4</v>
      </c>
      <c r="F412" s="296">
        <v>12.4</v>
      </c>
      <c r="G412" s="296">
        <v>12.4</v>
      </c>
      <c r="H412" s="296">
        <v>12.4</v>
      </c>
      <c r="I412" s="296">
        <v>12.4</v>
      </c>
      <c r="J412" s="296">
        <v>12.4</v>
      </c>
      <c r="K412" s="295">
        <v>453</v>
      </c>
      <c r="L412" s="295">
        <v>140</v>
      </c>
      <c r="M412" s="295"/>
      <c r="N412" s="295"/>
      <c r="O412" s="296">
        <v>0.3</v>
      </c>
      <c r="P412" s="296">
        <v>0.2</v>
      </c>
      <c r="Q412" s="296">
        <v>0</v>
      </c>
      <c r="R412" s="296">
        <v>-0.2</v>
      </c>
      <c r="S412" s="296">
        <v>-0.3</v>
      </c>
      <c r="T412" s="296"/>
      <c r="U412" s="296"/>
      <c r="V412" s="310">
        <f t="shared" si="0"/>
        <v>26.94</v>
      </c>
    </row>
    <row r="413" spans="1:28">
      <c r="A413" s="295">
        <v>150</v>
      </c>
      <c r="B413" s="296">
        <v>13.2</v>
      </c>
      <c r="C413" s="296">
        <v>13.2</v>
      </c>
      <c r="D413" s="296">
        <v>13.2</v>
      </c>
      <c r="E413" s="296">
        <v>13.2</v>
      </c>
      <c r="F413" s="296">
        <v>13.1</v>
      </c>
      <c r="G413" s="296">
        <v>13.1</v>
      </c>
      <c r="H413" s="296">
        <v>13.1</v>
      </c>
      <c r="I413" s="296">
        <v>13.1</v>
      </c>
      <c r="J413" s="296">
        <v>13.1</v>
      </c>
      <c r="K413" s="295">
        <v>443</v>
      </c>
      <c r="L413" s="295">
        <v>150</v>
      </c>
      <c r="M413" s="295"/>
      <c r="N413" s="295"/>
      <c r="O413" s="296">
        <v>0.3</v>
      </c>
      <c r="P413" s="296">
        <v>0.2</v>
      </c>
      <c r="Q413" s="296">
        <v>0</v>
      </c>
      <c r="R413" s="296">
        <v>-0.2</v>
      </c>
      <c r="S413" s="296">
        <v>-0.3</v>
      </c>
      <c r="T413" s="296"/>
      <c r="U413" s="296"/>
      <c r="V413" s="310">
        <f t="shared" si="0"/>
        <v>28.45</v>
      </c>
    </row>
    <row r="414" spans="1:28">
      <c r="A414" s="295">
        <v>160</v>
      </c>
      <c r="B414" s="296">
        <v>13.9</v>
      </c>
      <c r="C414" s="296">
        <v>13.9</v>
      </c>
      <c r="D414" s="296">
        <v>13.9</v>
      </c>
      <c r="E414" s="296">
        <v>13.9</v>
      </c>
      <c r="F414" s="296">
        <v>13.9</v>
      </c>
      <c r="G414" s="296">
        <v>13.8</v>
      </c>
      <c r="H414" s="296">
        <v>13.8</v>
      </c>
      <c r="I414" s="296">
        <v>13.8</v>
      </c>
      <c r="J414" s="296">
        <v>13.8</v>
      </c>
      <c r="K414" s="295">
        <v>433</v>
      </c>
      <c r="L414" s="295">
        <v>160</v>
      </c>
      <c r="M414" s="295"/>
      <c r="N414" s="295"/>
      <c r="O414" s="296">
        <v>0.3</v>
      </c>
      <c r="P414" s="296">
        <v>0.2</v>
      </c>
      <c r="Q414" s="296">
        <v>0</v>
      </c>
      <c r="R414" s="296">
        <v>-0.2</v>
      </c>
      <c r="S414" s="296">
        <v>-0.3</v>
      </c>
      <c r="T414" s="296"/>
      <c r="U414" s="296"/>
      <c r="V414" s="310">
        <f t="shared" si="0"/>
        <v>29.96</v>
      </c>
    </row>
    <row r="415" spans="1:28">
      <c r="A415" s="295">
        <v>170</v>
      </c>
      <c r="B415" s="296">
        <v>14.6</v>
      </c>
      <c r="C415" s="296">
        <v>14.6</v>
      </c>
      <c r="D415" s="296">
        <v>14.6</v>
      </c>
      <c r="E415" s="296">
        <v>14.6</v>
      </c>
      <c r="F415" s="296">
        <v>14.6</v>
      </c>
      <c r="G415" s="296">
        <v>14.6</v>
      </c>
      <c r="H415" s="296">
        <v>14.5</v>
      </c>
      <c r="I415" s="296">
        <v>14.5</v>
      </c>
      <c r="J415" s="296">
        <v>14.5</v>
      </c>
      <c r="K415" s="295">
        <v>423</v>
      </c>
      <c r="L415" s="295">
        <v>170</v>
      </c>
      <c r="M415" s="295"/>
      <c r="N415" s="295"/>
      <c r="O415" s="296">
        <v>0.3</v>
      </c>
      <c r="P415" s="296">
        <v>0.2</v>
      </c>
      <c r="Q415" s="296">
        <v>0</v>
      </c>
      <c r="R415" s="296">
        <v>-0.2</v>
      </c>
      <c r="S415" s="296">
        <v>-0.3</v>
      </c>
      <c r="T415" s="296"/>
      <c r="U415" s="296"/>
      <c r="V415" s="310">
        <f t="shared" si="0"/>
        <v>31.47</v>
      </c>
    </row>
    <row r="416" spans="1:28">
      <c r="A416" s="295">
        <v>180</v>
      </c>
      <c r="B416" s="296">
        <v>15.3</v>
      </c>
      <c r="C416" s="296">
        <v>15.3</v>
      </c>
      <c r="D416" s="296">
        <v>15.3</v>
      </c>
      <c r="E416" s="296">
        <v>15.3</v>
      </c>
      <c r="F416" s="296">
        <v>15.3</v>
      </c>
      <c r="G416" s="296">
        <v>15.3</v>
      </c>
      <c r="H416" s="296">
        <v>15.3</v>
      </c>
      <c r="I416" s="296">
        <v>15.3</v>
      </c>
      <c r="J416" s="296">
        <v>15.2</v>
      </c>
      <c r="K416" s="295">
        <v>413</v>
      </c>
      <c r="L416" s="295">
        <v>180</v>
      </c>
      <c r="M416" s="295"/>
      <c r="N416" s="295"/>
      <c r="O416" s="296">
        <v>0.4</v>
      </c>
      <c r="P416" s="296">
        <v>0.2</v>
      </c>
      <c r="Q416" s="296">
        <v>0</v>
      </c>
      <c r="R416" s="296">
        <v>-0.2</v>
      </c>
      <c r="S416" s="296">
        <v>-0.3</v>
      </c>
      <c r="T416" s="296"/>
      <c r="U416" s="296"/>
      <c r="V416" s="310">
        <f t="shared" si="0"/>
        <v>32.97</v>
      </c>
    </row>
    <row r="417" spans="1:22">
      <c r="A417" s="295">
        <v>190</v>
      </c>
      <c r="B417" s="296">
        <v>16.100000000000001</v>
      </c>
      <c r="C417" s="296">
        <v>16.100000000000001</v>
      </c>
      <c r="D417" s="296">
        <v>16</v>
      </c>
      <c r="E417" s="296">
        <v>16</v>
      </c>
      <c r="F417" s="296">
        <v>16</v>
      </c>
      <c r="G417" s="296">
        <v>16</v>
      </c>
      <c r="H417" s="296">
        <v>16</v>
      </c>
      <c r="I417" s="296">
        <v>16</v>
      </c>
      <c r="J417" s="296">
        <v>16</v>
      </c>
      <c r="K417" s="295">
        <v>403</v>
      </c>
      <c r="L417" s="295">
        <v>190</v>
      </c>
      <c r="M417" s="295"/>
      <c r="N417" s="295"/>
      <c r="O417" s="296">
        <v>0.4</v>
      </c>
      <c r="P417" s="296">
        <v>0.2</v>
      </c>
      <c r="Q417" s="296">
        <v>0</v>
      </c>
      <c r="R417" s="296">
        <v>-0.2</v>
      </c>
      <c r="S417" s="296">
        <v>-0.4</v>
      </c>
      <c r="T417" s="296"/>
      <c r="U417" s="296"/>
      <c r="V417" s="310">
        <f t="shared" si="0"/>
        <v>34.479999999999997</v>
      </c>
    </row>
    <row r="418" spans="1:22">
      <c r="A418" s="295">
        <v>200</v>
      </c>
      <c r="B418" s="296">
        <v>16.8</v>
      </c>
      <c r="C418" s="296">
        <v>16.8</v>
      </c>
      <c r="D418" s="296">
        <v>16.8</v>
      </c>
      <c r="E418" s="296">
        <v>16.8</v>
      </c>
      <c r="F418" s="296">
        <v>16.8</v>
      </c>
      <c r="G418" s="296">
        <v>16.7</v>
      </c>
      <c r="H418" s="296">
        <v>16.7</v>
      </c>
      <c r="I418" s="296">
        <v>16.7</v>
      </c>
      <c r="J418" s="296">
        <v>16.7</v>
      </c>
      <c r="K418" s="295">
        <v>393</v>
      </c>
      <c r="L418" s="295">
        <v>200</v>
      </c>
      <c r="M418" s="295"/>
      <c r="N418" s="295"/>
      <c r="O418" s="296">
        <v>0.4</v>
      </c>
      <c r="P418" s="296">
        <v>0.2</v>
      </c>
      <c r="Q418" s="296">
        <v>0</v>
      </c>
      <c r="R418" s="296">
        <v>-0.2</v>
      </c>
      <c r="S418" s="296">
        <v>-0.4</v>
      </c>
      <c r="T418" s="296"/>
      <c r="U418" s="296"/>
      <c r="V418" s="310">
        <f t="shared" si="0"/>
        <v>36.21</v>
      </c>
    </row>
    <row r="419" spans="1:22">
      <c r="A419" s="295">
        <v>210</v>
      </c>
      <c r="B419" s="296">
        <v>17.5</v>
      </c>
      <c r="C419" s="296">
        <v>17.5</v>
      </c>
      <c r="D419" s="296">
        <v>17.5</v>
      </c>
      <c r="E419" s="296">
        <v>17.5</v>
      </c>
      <c r="F419" s="296">
        <v>17.5</v>
      </c>
      <c r="G419" s="296">
        <v>17.5</v>
      </c>
      <c r="H419" s="296">
        <v>17.5</v>
      </c>
      <c r="I419" s="296">
        <v>17.399999999999999</v>
      </c>
      <c r="J419" s="296">
        <v>17.399999999999999</v>
      </c>
      <c r="K419" s="295">
        <v>383</v>
      </c>
      <c r="L419" s="295">
        <v>210</v>
      </c>
      <c r="M419" s="295"/>
      <c r="N419" s="295"/>
      <c r="O419" s="296">
        <v>0.4</v>
      </c>
      <c r="P419" s="296">
        <v>0.2</v>
      </c>
      <c r="Q419" s="296">
        <v>0</v>
      </c>
      <c r="R419" s="296">
        <v>-0.2</v>
      </c>
      <c r="S419" s="296">
        <v>-0.4</v>
      </c>
      <c r="T419" s="296"/>
      <c r="U419" s="296"/>
      <c r="V419" s="310">
        <f t="shared" si="0"/>
        <v>37.72</v>
      </c>
    </row>
    <row r="420" spans="1:22">
      <c r="A420" s="295">
        <v>220</v>
      </c>
      <c r="B420" s="296">
        <v>18.3</v>
      </c>
      <c r="C420" s="296">
        <v>18.3</v>
      </c>
      <c r="D420" s="296">
        <v>18.2</v>
      </c>
      <c r="E420" s="296">
        <v>18.2</v>
      </c>
      <c r="F420" s="296">
        <v>18.2</v>
      </c>
      <c r="G420" s="296">
        <v>18.2</v>
      </c>
      <c r="H420" s="296">
        <v>18.2</v>
      </c>
      <c r="I420" s="296">
        <v>18.2</v>
      </c>
      <c r="J420" s="296">
        <v>18.2</v>
      </c>
      <c r="K420" s="295">
        <v>373</v>
      </c>
      <c r="L420" s="295">
        <v>220</v>
      </c>
      <c r="M420" s="295"/>
      <c r="N420" s="295"/>
      <c r="O420" s="296">
        <v>0.4</v>
      </c>
      <c r="P420" s="296">
        <v>0.2</v>
      </c>
      <c r="Q420" s="296">
        <v>0</v>
      </c>
      <c r="R420" s="296">
        <v>-0.2</v>
      </c>
      <c r="S420" s="296">
        <v>-0.4</v>
      </c>
      <c r="T420" s="296"/>
      <c r="U420" s="296"/>
      <c r="V420" s="310">
        <f t="shared" si="0"/>
        <v>39.22</v>
      </c>
    </row>
    <row r="421" spans="1:22">
      <c r="A421" s="295">
        <v>230</v>
      </c>
      <c r="B421" s="296">
        <v>19</v>
      </c>
      <c r="C421" s="296">
        <v>19</v>
      </c>
      <c r="D421" s="296">
        <v>19</v>
      </c>
      <c r="E421" s="296">
        <v>19</v>
      </c>
      <c r="F421" s="296">
        <v>19</v>
      </c>
      <c r="G421" s="296">
        <v>18.899999999999999</v>
      </c>
      <c r="H421" s="296">
        <v>18.899999999999999</v>
      </c>
      <c r="I421" s="296">
        <v>18.899999999999999</v>
      </c>
      <c r="J421" s="296">
        <v>18.899999999999999</v>
      </c>
      <c r="K421" s="295">
        <v>363</v>
      </c>
      <c r="L421" s="295">
        <v>230</v>
      </c>
      <c r="M421" s="295"/>
      <c r="N421" s="295"/>
      <c r="O421" s="296">
        <v>0.4</v>
      </c>
      <c r="P421" s="296">
        <v>0.2</v>
      </c>
      <c r="Q421" s="296">
        <v>0</v>
      </c>
      <c r="R421" s="296">
        <v>-0.2</v>
      </c>
      <c r="S421" s="296">
        <v>-0.4</v>
      </c>
      <c r="T421" s="296"/>
      <c r="U421" s="296"/>
      <c r="V421" s="310">
        <f t="shared" si="0"/>
        <v>40.950000000000003</v>
      </c>
    </row>
    <row r="422" spans="1:22">
      <c r="A422" s="295">
        <v>240</v>
      </c>
      <c r="B422" s="296">
        <v>19.8</v>
      </c>
      <c r="C422" s="296">
        <v>19.7</v>
      </c>
      <c r="D422" s="296">
        <v>19.7</v>
      </c>
      <c r="E422" s="296">
        <v>19.7</v>
      </c>
      <c r="F422" s="296">
        <v>19.7</v>
      </c>
      <c r="G422" s="296">
        <v>19.7</v>
      </c>
      <c r="H422" s="296">
        <v>19.7</v>
      </c>
      <c r="I422" s="296">
        <v>19.7</v>
      </c>
      <c r="J422" s="296">
        <v>19.7</v>
      </c>
      <c r="K422" s="295">
        <v>353</v>
      </c>
      <c r="L422" s="295">
        <v>240</v>
      </c>
      <c r="M422" s="295"/>
      <c r="N422" s="295"/>
      <c r="O422" s="296">
        <v>0.4</v>
      </c>
      <c r="P422" s="296">
        <v>0.2</v>
      </c>
      <c r="Q422" s="296">
        <v>0</v>
      </c>
      <c r="R422" s="296">
        <v>-0.2</v>
      </c>
      <c r="S422" s="296">
        <v>-0.4</v>
      </c>
      <c r="T422" s="296"/>
      <c r="U422" s="296"/>
      <c r="V422" s="310">
        <f t="shared" si="0"/>
        <v>42.46</v>
      </c>
    </row>
    <row r="423" spans="1:22">
      <c r="A423" s="295">
        <v>250</v>
      </c>
      <c r="B423" s="296">
        <v>20.5</v>
      </c>
      <c r="C423" s="296">
        <v>20.5</v>
      </c>
      <c r="D423" s="296">
        <v>20.5</v>
      </c>
      <c r="E423" s="296">
        <v>20.5</v>
      </c>
      <c r="F423" s="296">
        <v>20.5</v>
      </c>
      <c r="G423" s="296">
        <v>20.399999999999999</v>
      </c>
      <c r="H423" s="296">
        <v>20.399999999999999</v>
      </c>
      <c r="I423" s="296">
        <v>20.399999999999999</v>
      </c>
      <c r="J423" s="296">
        <v>20.399999999999999</v>
      </c>
      <c r="K423" s="295">
        <v>343</v>
      </c>
      <c r="L423" s="295">
        <v>250</v>
      </c>
      <c r="M423" s="295"/>
      <c r="N423" s="295"/>
      <c r="O423" s="296">
        <v>0.4</v>
      </c>
      <c r="P423" s="296">
        <v>0.2</v>
      </c>
      <c r="Q423" s="296">
        <v>0</v>
      </c>
      <c r="R423" s="296">
        <v>-0.2</v>
      </c>
      <c r="S423" s="296">
        <v>-0.4</v>
      </c>
      <c r="T423" s="296"/>
      <c r="U423" s="296"/>
      <c r="V423" s="310">
        <f t="shared" si="0"/>
        <v>44.18</v>
      </c>
    </row>
    <row r="424" spans="1:22">
      <c r="A424" s="295">
        <v>260</v>
      </c>
      <c r="B424" s="296">
        <v>21.3</v>
      </c>
      <c r="C424" s="296">
        <v>21.2</v>
      </c>
      <c r="D424" s="296">
        <v>21.2</v>
      </c>
      <c r="E424" s="296">
        <v>21.2</v>
      </c>
      <c r="F424" s="296">
        <v>21.2</v>
      </c>
      <c r="G424" s="296">
        <v>21.2</v>
      </c>
      <c r="H424" s="296">
        <v>21.2</v>
      </c>
      <c r="I424" s="296">
        <v>21.2</v>
      </c>
      <c r="J424" s="296">
        <v>21.1</v>
      </c>
      <c r="K424" s="295">
        <v>333</v>
      </c>
      <c r="L424" s="295">
        <v>260</v>
      </c>
      <c r="M424" s="295"/>
      <c r="N424" s="295"/>
      <c r="O424" s="296">
        <v>0.4</v>
      </c>
      <c r="P424" s="296">
        <v>0.2</v>
      </c>
      <c r="Q424" s="296">
        <v>0</v>
      </c>
      <c r="R424" s="296">
        <v>-0.2</v>
      </c>
      <c r="S424" s="296">
        <v>-0.4</v>
      </c>
      <c r="T424" s="296"/>
      <c r="U424" s="296"/>
      <c r="V424" s="310">
        <f t="shared" si="0"/>
        <v>45.69</v>
      </c>
    </row>
    <row r="425" spans="1:22">
      <c r="A425" s="295">
        <v>270</v>
      </c>
      <c r="B425" s="296">
        <v>22</v>
      </c>
      <c r="C425" s="296">
        <v>22</v>
      </c>
      <c r="D425" s="296">
        <v>22</v>
      </c>
      <c r="E425" s="296">
        <v>22</v>
      </c>
      <c r="F425" s="296">
        <v>22</v>
      </c>
      <c r="G425" s="296">
        <v>21.9</v>
      </c>
      <c r="H425" s="296">
        <v>21.9</v>
      </c>
      <c r="I425" s="296">
        <v>21.9</v>
      </c>
      <c r="J425" s="296">
        <v>21.9</v>
      </c>
      <c r="K425" s="295">
        <v>323</v>
      </c>
      <c r="L425" s="295">
        <v>270</v>
      </c>
      <c r="M425" s="295"/>
      <c r="N425" s="295"/>
      <c r="O425" s="296">
        <v>0.4</v>
      </c>
      <c r="P425" s="296">
        <v>0.2</v>
      </c>
      <c r="Q425" s="296">
        <v>0</v>
      </c>
      <c r="R425" s="296">
        <v>-0.2</v>
      </c>
      <c r="S425" s="296">
        <v>-0.4</v>
      </c>
      <c r="T425" s="296"/>
      <c r="U425" s="296"/>
      <c r="V425" s="310">
        <f t="shared" si="0"/>
        <v>47.41</v>
      </c>
    </row>
    <row r="426" spans="1:22">
      <c r="A426" s="295">
        <v>280</v>
      </c>
      <c r="B426" s="296">
        <v>22.8</v>
      </c>
      <c r="C426" s="296">
        <v>22.8</v>
      </c>
      <c r="D426" s="296">
        <v>22.7</v>
      </c>
      <c r="E426" s="296">
        <v>22.7</v>
      </c>
      <c r="F426" s="296">
        <v>22.7</v>
      </c>
      <c r="G426" s="296">
        <v>22.7</v>
      </c>
      <c r="H426" s="296">
        <v>22.7</v>
      </c>
      <c r="I426" s="296">
        <v>22.7</v>
      </c>
      <c r="J426" s="296">
        <v>22.7</v>
      </c>
      <c r="K426" s="295">
        <v>313</v>
      </c>
      <c r="L426" s="295">
        <v>280</v>
      </c>
      <c r="M426" s="295"/>
      <c r="N426" s="295"/>
      <c r="O426" s="296">
        <v>0.4</v>
      </c>
      <c r="P426" s="296">
        <v>0.2</v>
      </c>
      <c r="Q426" s="296">
        <v>0</v>
      </c>
      <c r="R426" s="296">
        <v>-0.2</v>
      </c>
      <c r="S426" s="296">
        <v>-0.4</v>
      </c>
      <c r="T426" s="296"/>
      <c r="U426" s="296"/>
      <c r="V426" s="310">
        <f t="shared" si="0"/>
        <v>48.92</v>
      </c>
    </row>
    <row r="427" spans="1:22">
      <c r="A427" s="295">
        <v>290</v>
      </c>
      <c r="B427" s="296">
        <v>23.5</v>
      </c>
      <c r="C427" s="296">
        <v>23.5</v>
      </c>
      <c r="D427" s="296">
        <v>23.5</v>
      </c>
      <c r="E427" s="296">
        <v>23.5</v>
      </c>
      <c r="F427" s="296">
        <v>23.5</v>
      </c>
      <c r="G427" s="296">
        <v>23.5</v>
      </c>
      <c r="H427" s="296">
        <v>23.4</v>
      </c>
      <c r="I427" s="296">
        <v>23.4</v>
      </c>
      <c r="J427" s="296">
        <v>23.4</v>
      </c>
      <c r="K427" s="295">
        <v>303</v>
      </c>
      <c r="L427" s="295">
        <v>290</v>
      </c>
      <c r="M427" s="295"/>
      <c r="N427" s="295"/>
      <c r="O427" s="296">
        <v>0.4</v>
      </c>
      <c r="P427" s="296">
        <v>0.2</v>
      </c>
      <c r="Q427" s="296">
        <v>0</v>
      </c>
      <c r="R427" s="296">
        <v>-0.2</v>
      </c>
      <c r="S427" s="296">
        <v>-0.4</v>
      </c>
      <c r="T427" s="296"/>
      <c r="U427" s="296"/>
      <c r="V427" s="310">
        <f t="shared" si="0"/>
        <v>50.65</v>
      </c>
    </row>
    <row r="428" spans="1:22">
      <c r="A428" s="295">
        <v>300</v>
      </c>
      <c r="B428" s="296">
        <v>24.3</v>
      </c>
      <c r="C428" s="296">
        <v>24.3</v>
      </c>
      <c r="D428" s="296">
        <v>24.3</v>
      </c>
      <c r="E428" s="296">
        <v>24.2</v>
      </c>
      <c r="F428" s="296">
        <v>24.2</v>
      </c>
      <c r="G428" s="296">
        <v>24.2</v>
      </c>
      <c r="H428" s="296">
        <v>24.2</v>
      </c>
      <c r="I428" s="296">
        <v>24.2</v>
      </c>
      <c r="J428" s="296">
        <v>24.2</v>
      </c>
      <c r="K428" s="295">
        <v>293</v>
      </c>
      <c r="L428" s="295">
        <v>300</v>
      </c>
      <c r="M428" s="295"/>
      <c r="N428" s="295"/>
      <c r="O428" s="296">
        <v>0.4</v>
      </c>
      <c r="P428" s="296">
        <v>0.2</v>
      </c>
      <c r="Q428" s="296">
        <v>0</v>
      </c>
      <c r="R428" s="296">
        <v>-0.2</v>
      </c>
      <c r="S428" s="296">
        <v>-0.4</v>
      </c>
      <c r="T428" s="296"/>
      <c r="U428" s="296"/>
      <c r="V428" s="310">
        <f t="shared" si="0"/>
        <v>52.37</v>
      </c>
    </row>
    <row r="429" spans="1:22">
      <c r="A429" s="295">
        <v>310</v>
      </c>
      <c r="B429" s="296">
        <v>25</v>
      </c>
      <c r="C429" s="296">
        <v>25</v>
      </c>
      <c r="D429" s="296">
        <v>25</v>
      </c>
      <c r="E429" s="296">
        <v>25</v>
      </c>
      <c r="F429" s="296">
        <v>25</v>
      </c>
      <c r="G429" s="296">
        <v>25</v>
      </c>
      <c r="H429" s="296">
        <v>25</v>
      </c>
      <c r="I429" s="296">
        <v>25</v>
      </c>
      <c r="J429" s="296">
        <v>24.9</v>
      </c>
      <c r="K429" s="295">
        <v>283</v>
      </c>
      <c r="L429" s="295">
        <v>310</v>
      </c>
      <c r="M429" s="295"/>
      <c r="N429" s="295"/>
      <c r="O429" s="296">
        <v>0.4</v>
      </c>
      <c r="P429" s="296">
        <v>0.2</v>
      </c>
      <c r="Q429" s="296">
        <v>0</v>
      </c>
      <c r="R429" s="296">
        <v>-0.2</v>
      </c>
      <c r="S429" s="296">
        <v>-0.4</v>
      </c>
      <c r="T429" s="296"/>
      <c r="U429" s="296"/>
      <c r="V429" s="310">
        <f t="shared" si="0"/>
        <v>53.88</v>
      </c>
    </row>
    <row r="430" spans="1:22">
      <c r="A430" s="295">
        <v>320</v>
      </c>
      <c r="B430" s="296">
        <v>25.8</v>
      </c>
      <c r="C430" s="296">
        <v>25.8</v>
      </c>
      <c r="D430" s="296">
        <v>25.8</v>
      </c>
      <c r="E430" s="296">
        <v>25.8</v>
      </c>
      <c r="F430" s="296">
        <v>25.8</v>
      </c>
      <c r="G430" s="296">
        <v>25.7</v>
      </c>
      <c r="H430" s="296">
        <v>25.7</v>
      </c>
      <c r="I430" s="296">
        <v>25.7</v>
      </c>
      <c r="J430" s="296">
        <v>25.7</v>
      </c>
      <c r="K430" s="295">
        <v>273</v>
      </c>
      <c r="L430" s="295">
        <v>320</v>
      </c>
      <c r="M430" s="295"/>
      <c r="N430" s="295"/>
      <c r="O430" s="296">
        <v>0.4</v>
      </c>
      <c r="P430" s="296">
        <v>0.2</v>
      </c>
      <c r="Q430" s="296">
        <v>0</v>
      </c>
      <c r="R430" s="296">
        <v>-0.2</v>
      </c>
      <c r="S430" s="296">
        <v>-0.4</v>
      </c>
      <c r="T430" s="296"/>
      <c r="U430" s="296"/>
      <c r="V430" s="310">
        <f t="shared" si="0"/>
        <v>55.6</v>
      </c>
    </row>
    <row r="431" spans="1:22">
      <c r="A431" s="295">
        <v>330</v>
      </c>
      <c r="B431" s="296">
        <v>26.6</v>
      </c>
      <c r="C431" s="296">
        <v>26.6</v>
      </c>
      <c r="D431" s="296">
        <v>26.6</v>
      </c>
      <c r="E431" s="296">
        <v>26.5</v>
      </c>
      <c r="F431" s="296">
        <v>26.5</v>
      </c>
      <c r="G431" s="296">
        <v>26.5</v>
      </c>
      <c r="H431" s="296">
        <v>26.5</v>
      </c>
      <c r="I431" s="296">
        <v>26.5</v>
      </c>
      <c r="J431" s="296">
        <v>26.5</v>
      </c>
      <c r="K431" s="295">
        <v>263</v>
      </c>
      <c r="L431" s="295">
        <v>330</v>
      </c>
      <c r="M431" s="295"/>
      <c r="N431" s="295"/>
      <c r="O431" s="296">
        <v>0.4</v>
      </c>
      <c r="P431" s="296">
        <v>0.2</v>
      </c>
      <c r="Q431" s="296">
        <v>0</v>
      </c>
      <c r="R431" s="296">
        <v>-0.2</v>
      </c>
      <c r="S431" s="296">
        <v>-0.4</v>
      </c>
      <c r="T431" s="296"/>
      <c r="U431" s="296"/>
      <c r="V431" s="310">
        <f t="shared" si="0"/>
        <v>57.33</v>
      </c>
    </row>
    <row r="432" spans="1:22">
      <c r="A432" s="295">
        <v>340</v>
      </c>
      <c r="B432" s="296">
        <v>27.4</v>
      </c>
      <c r="C432" s="296">
        <v>27.3</v>
      </c>
      <c r="D432" s="296">
        <v>27.3</v>
      </c>
      <c r="E432" s="296">
        <v>27.3</v>
      </c>
      <c r="F432" s="296">
        <v>27.3</v>
      </c>
      <c r="G432" s="296">
        <v>27.3</v>
      </c>
      <c r="H432" s="296">
        <v>27.3</v>
      </c>
      <c r="I432" s="296">
        <v>27.3</v>
      </c>
      <c r="J432" s="296">
        <v>27.2</v>
      </c>
      <c r="K432" s="295">
        <v>253</v>
      </c>
      <c r="L432" s="295">
        <v>340</v>
      </c>
      <c r="M432" s="295"/>
      <c r="N432" s="295"/>
      <c r="O432" s="296">
        <v>0.4</v>
      </c>
      <c r="P432" s="296">
        <v>0.2</v>
      </c>
      <c r="Q432" s="296">
        <v>0</v>
      </c>
      <c r="R432" s="296">
        <v>-0.2</v>
      </c>
      <c r="S432" s="296">
        <v>-0.4</v>
      </c>
      <c r="T432" s="296"/>
      <c r="U432" s="296"/>
      <c r="V432" s="310">
        <f t="shared" si="0"/>
        <v>58.84</v>
      </c>
    </row>
    <row r="433" spans="1:22">
      <c r="A433" s="295">
        <v>350</v>
      </c>
      <c r="B433" s="296">
        <v>28.1</v>
      </c>
      <c r="C433" s="296">
        <v>28.1</v>
      </c>
      <c r="D433" s="296">
        <v>28.1</v>
      </c>
      <c r="E433" s="296">
        <v>28.1</v>
      </c>
      <c r="F433" s="296">
        <v>28.1</v>
      </c>
      <c r="G433" s="296">
        <v>28</v>
      </c>
      <c r="H433" s="296">
        <v>28</v>
      </c>
      <c r="I433" s="296">
        <v>28</v>
      </c>
      <c r="J433" s="296">
        <v>28</v>
      </c>
      <c r="K433" s="295">
        <v>243</v>
      </c>
      <c r="L433" s="295">
        <v>350</v>
      </c>
      <c r="M433" s="295"/>
      <c r="N433" s="295"/>
      <c r="O433" s="296">
        <v>0.4</v>
      </c>
      <c r="P433" s="296">
        <v>0.2</v>
      </c>
      <c r="Q433" s="296">
        <v>0</v>
      </c>
      <c r="R433" s="296">
        <v>-0.2</v>
      </c>
      <c r="S433" s="296">
        <v>-0.4</v>
      </c>
      <c r="T433" s="296"/>
      <c r="U433" s="296"/>
      <c r="V433" s="310">
        <f t="shared" si="0"/>
        <v>60.56</v>
      </c>
    </row>
    <row r="434" spans="1:22">
      <c r="A434" s="295">
        <v>360</v>
      </c>
      <c r="B434" s="296">
        <v>28.9</v>
      </c>
      <c r="C434" s="296">
        <v>28.9</v>
      </c>
      <c r="D434" s="296">
        <v>28.9</v>
      </c>
      <c r="E434" s="296">
        <v>28.9</v>
      </c>
      <c r="F434" s="296">
        <v>28.8</v>
      </c>
      <c r="G434" s="296">
        <v>28.8</v>
      </c>
      <c r="H434" s="296">
        <v>28.8</v>
      </c>
      <c r="I434" s="296">
        <v>28.8</v>
      </c>
      <c r="J434" s="296">
        <v>28.8</v>
      </c>
      <c r="K434" s="295">
        <v>233</v>
      </c>
      <c r="L434" s="295">
        <v>360</v>
      </c>
      <c r="M434" s="295"/>
      <c r="N434" s="295"/>
      <c r="O434" s="296">
        <v>0.4</v>
      </c>
      <c r="P434" s="296">
        <v>0.2</v>
      </c>
      <c r="Q434" s="296">
        <v>0</v>
      </c>
      <c r="R434" s="296">
        <v>-0.2</v>
      </c>
      <c r="S434" s="296">
        <v>-0.4</v>
      </c>
      <c r="T434" s="296"/>
      <c r="U434" s="296"/>
      <c r="V434" s="310">
        <f t="shared" si="0"/>
        <v>62.28</v>
      </c>
    </row>
    <row r="435" spans="1:22">
      <c r="A435" s="295">
        <v>370</v>
      </c>
      <c r="B435" s="296">
        <v>29.7</v>
      </c>
      <c r="C435" s="296">
        <v>29.7</v>
      </c>
      <c r="D435" s="296">
        <v>29.6</v>
      </c>
      <c r="E435" s="296">
        <v>29.6</v>
      </c>
      <c r="F435" s="296">
        <v>29.6</v>
      </c>
      <c r="G435" s="296">
        <v>29.6</v>
      </c>
      <c r="H435" s="296">
        <v>29.6</v>
      </c>
      <c r="I435" s="296">
        <v>29.6</v>
      </c>
      <c r="J435" s="296">
        <v>29.6</v>
      </c>
      <c r="K435" s="295">
        <v>223</v>
      </c>
      <c r="L435" s="295">
        <v>370</v>
      </c>
      <c r="M435" s="295"/>
      <c r="N435" s="295"/>
      <c r="O435" s="296">
        <v>0.4</v>
      </c>
      <c r="P435" s="296">
        <v>0.2</v>
      </c>
      <c r="Q435" s="296">
        <v>0</v>
      </c>
      <c r="R435" s="296">
        <v>-0.2</v>
      </c>
      <c r="S435" s="296">
        <v>-0.4</v>
      </c>
      <c r="T435" s="296"/>
      <c r="U435" s="296"/>
      <c r="V435" s="310">
        <f t="shared" si="0"/>
        <v>63.79</v>
      </c>
    </row>
    <row r="436" spans="1:22">
      <c r="A436" s="295">
        <v>380</v>
      </c>
      <c r="B436" s="296">
        <v>30.4</v>
      </c>
      <c r="C436" s="296">
        <v>30.4</v>
      </c>
      <c r="D436" s="296">
        <v>30.4</v>
      </c>
      <c r="E436" s="296">
        <v>30.4</v>
      </c>
      <c r="F436" s="296">
        <v>30.4</v>
      </c>
      <c r="G436" s="296">
        <v>30.4</v>
      </c>
      <c r="H436" s="296">
        <v>30.4</v>
      </c>
      <c r="I436" s="296">
        <v>30.3</v>
      </c>
      <c r="J436" s="296">
        <v>30.3</v>
      </c>
      <c r="K436" s="295">
        <v>213</v>
      </c>
      <c r="L436" s="295">
        <v>380</v>
      </c>
      <c r="M436" s="295"/>
      <c r="N436" s="295"/>
      <c r="O436" s="296">
        <v>0.4</v>
      </c>
      <c r="P436" s="296">
        <v>0.2</v>
      </c>
      <c r="Q436" s="296">
        <v>0</v>
      </c>
      <c r="R436" s="296">
        <v>-0.2</v>
      </c>
      <c r="S436" s="296">
        <v>-0.4</v>
      </c>
      <c r="T436" s="296"/>
      <c r="U436" s="296"/>
      <c r="V436" s="310">
        <f t="shared" si="0"/>
        <v>65.52</v>
      </c>
    </row>
    <row r="437" spans="1:22">
      <c r="A437" s="295">
        <v>390</v>
      </c>
      <c r="B437" s="296">
        <v>31.2</v>
      </c>
      <c r="C437" s="296">
        <v>31.2</v>
      </c>
      <c r="D437" s="296">
        <v>31.2</v>
      </c>
      <c r="E437" s="296">
        <v>31.2</v>
      </c>
      <c r="F437" s="296">
        <v>31.2</v>
      </c>
      <c r="G437" s="296">
        <v>31.1</v>
      </c>
      <c r="H437" s="296">
        <v>31.1</v>
      </c>
      <c r="I437" s="296">
        <v>31.1</v>
      </c>
      <c r="J437" s="296">
        <v>31.1</v>
      </c>
      <c r="K437" s="295">
        <v>203</v>
      </c>
      <c r="L437" s="295">
        <v>390</v>
      </c>
      <c r="M437" s="295"/>
      <c r="N437" s="295"/>
      <c r="O437" s="296">
        <v>0.4</v>
      </c>
      <c r="P437" s="296">
        <v>0.2</v>
      </c>
      <c r="Q437" s="296">
        <v>0</v>
      </c>
      <c r="R437" s="296">
        <v>-0.2</v>
      </c>
      <c r="S437" s="296">
        <v>-0.4</v>
      </c>
      <c r="T437" s="296"/>
      <c r="U437" s="296"/>
      <c r="V437" s="310">
        <f t="shared" si="0"/>
        <v>67.239999999999995</v>
      </c>
    </row>
    <row r="438" spans="1:22">
      <c r="A438" s="295">
        <v>400</v>
      </c>
      <c r="B438" s="296">
        <v>32</v>
      </c>
      <c r="C438" s="296">
        <v>32</v>
      </c>
      <c r="D438" s="296">
        <v>32</v>
      </c>
      <c r="E438" s="296">
        <v>32</v>
      </c>
      <c r="F438" s="296">
        <v>31.9</v>
      </c>
      <c r="G438" s="296">
        <v>31.9</v>
      </c>
      <c r="H438" s="296">
        <v>31.9</v>
      </c>
      <c r="I438" s="296">
        <v>31.9</v>
      </c>
      <c r="J438" s="296">
        <v>31.9</v>
      </c>
      <c r="K438" s="295">
        <v>193</v>
      </c>
      <c r="L438" s="295">
        <v>400</v>
      </c>
      <c r="M438" s="295"/>
      <c r="N438" s="295"/>
      <c r="O438" s="296">
        <v>0.4</v>
      </c>
      <c r="P438" s="296">
        <v>0.2</v>
      </c>
      <c r="Q438" s="296">
        <v>0</v>
      </c>
      <c r="R438" s="296">
        <v>-0.2</v>
      </c>
      <c r="S438" s="296">
        <v>-0.4</v>
      </c>
      <c r="T438" s="296"/>
      <c r="U438" s="296"/>
      <c r="V438" s="310">
        <f t="shared" si="0"/>
        <v>68.97</v>
      </c>
    </row>
    <row r="439" spans="1:22">
      <c r="A439" s="295">
        <v>410</v>
      </c>
      <c r="B439" s="296">
        <v>32.799999999999997</v>
      </c>
      <c r="C439" s="296">
        <v>32.799999999999997</v>
      </c>
      <c r="D439" s="296">
        <v>32.799999999999997</v>
      </c>
      <c r="E439" s="296">
        <v>32.700000000000003</v>
      </c>
      <c r="F439" s="296">
        <v>32.700000000000003</v>
      </c>
      <c r="G439" s="296">
        <v>32.700000000000003</v>
      </c>
      <c r="H439" s="296">
        <v>32.700000000000003</v>
      </c>
      <c r="I439" s="296">
        <v>32.700000000000003</v>
      </c>
      <c r="J439" s="296">
        <v>32.700000000000003</v>
      </c>
      <c r="K439" s="295">
        <v>183</v>
      </c>
      <c r="L439" s="295">
        <v>410</v>
      </c>
      <c r="M439" s="295"/>
      <c r="N439" s="295"/>
      <c r="O439" s="296">
        <v>0.4</v>
      </c>
      <c r="P439" s="296">
        <v>0.2</v>
      </c>
      <c r="Q439" s="296">
        <v>0</v>
      </c>
      <c r="R439" s="296">
        <v>-0.2</v>
      </c>
      <c r="S439" s="296">
        <v>-0.4</v>
      </c>
      <c r="T439" s="296"/>
      <c r="U439" s="296"/>
      <c r="V439" s="310">
        <f t="shared" si="0"/>
        <v>70.69</v>
      </c>
    </row>
    <row r="440" spans="1:22">
      <c r="A440" s="295">
        <v>420</v>
      </c>
      <c r="B440" s="296">
        <v>33.6</v>
      </c>
      <c r="C440" s="296">
        <v>33.5</v>
      </c>
      <c r="D440" s="296">
        <v>33.5</v>
      </c>
      <c r="E440" s="296">
        <v>33.5</v>
      </c>
      <c r="F440" s="296">
        <v>33.5</v>
      </c>
      <c r="G440" s="296">
        <v>33.5</v>
      </c>
      <c r="H440" s="296">
        <v>33.5</v>
      </c>
      <c r="I440" s="296">
        <v>33.5</v>
      </c>
      <c r="J440" s="296">
        <v>33.4</v>
      </c>
      <c r="K440" s="295">
        <v>173</v>
      </c>
      <c r="L440" s="295">
        <v>420</v>
      </c>
      <c r="M440" s="295"/>
      <c r="N440" s="295"/>
      <c r="O440" s="296">
        <v>0.4</v>
      </c>
      <c r="P440" s="296">
        <v>0.2</v>
      </c>
      <c r="Q440" s="296">
        <v>0</v>
      </c>
      <c r="R440" s="296">
        <v>-0.2</v>
      </c>
      <c r="S440" s="296">
        <v>-0.4</v>
      </c>
      <c r="T440" s="296"/>
      <c r="U440" s="296"/>
      <c r="V440" s="310">
        <f t="shared" si="0"/>
        <v>72.2</v>
      </c>
    </row>
    <row r="441" spans="1:22">
      <c r="A441" s="295">
        <v>430</v>
      </c>
      <c r="B441" s="296">
        <v>34.299999999999997</v>
      </c>
      <c r="C441" s="296">
        <v>34.299999999999997</v>
      </c>
      <c r="D441" s="296">
        <v>34.299999999999997</v>
      </c>
      <c r="E441" s="296">
        <v>34.299999999999997</v>
      </c>
      <c r="F441" s="296">
        <v>34.299999999999997</v>
      </c>
      <c r="G441" s="296">
        <v>34.299999999999997</v>
      </c>
      <c r="H441" s="296">
        <v>34.299999999999997</v>
      </c>
      <c r="I441" s="296">
        <v>34.200000000000003</v>
      </c>
      <c r="J441" s="296">
        <v>34.200000000000003</v>
      </c>
      <c r="K441" s="295">
        <v>163</v>
      </c>
      <c r="L441" s="295">
        <v>430</v>
      </c>
      <c r="M441" s="295"/>
      <c r="N441" s="295"/>
      <c r="O441" s="296">
        <v>0.4</v>
      </c>
      <c r="P441" s="296">
        <v>0.2</v>
      </c>
      <c r="Q441" s="296">
        <v>0</v>
      </c>
      <c r="R441" s="296">
        <v>-0.2</v>
      </c>
      <c r="S441" s="296">
        <v>-0.4</v>
      </c>
      <c r="T441" s="296"/>
      <c r="U441" s="296"/>
      <c r="V441" s="310">
        <f t="shared" si="0"/>
        <v>73.92</v>
      </c>
    </row>
    <row r="442" spans="1:22">
      <c r="A442" s="295">
        <v>440</v>
      </c>
      <c r="B442" s="296">
        <v>35.1</v>
      </c>
      <c r="C442" s="296">
        <v>35.1</v>
      </c>
      <c r="D442" s="296">
        <v>35.1</v>
      </c>
      <c r="E442" s="296">
        <v>35.1</v>
      </c>
      <c r="F442" s="296">
        <v>35.1</v>
      </c>
      <c r="G442" s="296">
        <v>35.1</v>
      </c>
      <c r="H442" s="296">
        <v>35</v>
      </c>
      <c r="I442" s="296">
        <v>35</v>
      </c>
      <c r="J442" s="296">
        <v>35</v>
      </c>
      <c r="K442" s="295">
        <v>153</v>
      </c>
      <c r="L442" s="295">
        <v>440</v>
      </c>
      <c r="M442" s="295"/>
      <c r="N442" s="295"/>
      <c r="O442" s="296">
        <v>0.4</v>
      </c>
      <c r="P442" s="296">
        <v>0.2</v>
      </c>
      <c r="Q442" s="296">
        <v>0</v>
      </c>
      <c r="R442" s="296">
        <v>-0.2</v>
      </c>
      <c r="S442" s="296">
        <v>-0.4</v>
      </c>
      <c r="T442" s="296"/>
      <c r="U442" s="296"/>
      <c r="V442" s="310">
        <f t="shared" si="0"/>
        <v>75.650000000000006</v>
      </c>
    </row>
    <row r="443" spans="1:22">
      <c r="A443" s="295">
        <v>450</v>
      </c>
      <c r="B443" s="296">
        <v>35.9</v>
      </c>
      <c r="C443" s="296">
        <v>35.9</v>
      </c>
      <c r="D443" s="296">
        <v>35.9</v>
      </c>
      <c r="E443" s="296">
        <v>35.9</v>
      </c>
      <c r="F443" s="296">
        <v>35.9</v>
      </c>
      <c r="G443" s="296">
        <v>35.799999999999997</v>
      </c>
      <c r="H443" s="296">
        <v>35.799999999999997</v>
      </c>
      <c r="I443" s="296">
        <v>35.799999999999997</v>
      </c>
      <c r="J443" s="296">
        <v>35.799999999999997</v>
      </c>
      <c r="K443" s="295">
        <v>143</v>
      </c>
      <c r="L443" s="295">
        <v>450</v>
      </c>
      <c r="M443" s="295"/>
      <c r="N443" s="295"/>
      <c r="O443" s="296">
        <v>0.4</v>
      </c>
      <c r="P443" s="296">
        <v>0.2</v>
      </c>
      <c r="Q443" s="296">
        <v>0</v>
      </c>
      <c r="R443" s="296">
        <v>-0.2</v>
      </c>
      <c r="S443" s="296">
        <v>-0.4</v>
      </c>
      <c r="T443" s="296"/>
      <c r="U443" s="296"/>
      <c r="V443" s="310">
        <f t="shared" si="0"/>
        <v>77.37</v>
      </c>
    </row>
    <row r="444" spans="1:22">
      <c r="A444" s="295">
        <v>460</v>
      </c>
      <c r="B444" s="296">
        <v>36.700000000000003</v>
      </c>
      <c r="C444" s="296">
        <v>36.700000000000003</v>
      </c>
      <c r="D444" s="296">
        <v>36.700000000000003</v>
      </c>
      <c r="E444" s="296">
        <v>36.700000000000003</v>
      </c>
      <c r="F444" s="296">
        <v>36.6</v>
      </c>
      <c r="G444" s="296">
        <v>36.6</v>
      </c>
      <c r="H444" s="296">
        <v>36.6</v>
      </c>
      <c r="I444" s="296">
        <v>36.6</v>
      </c>
      <c r="J444" s="296">
        <v>36.6</v>
      </c>
      <c r="K444" s="295">
        <v>133</v>
      </c>
      <c r="L444" s="295">
        <v>460</v>
      </c>
      <c r="M444" s="295"/>
      <c r="N444" s="295"/>
      <c r="O444" s="296">
        <v>0.4</v>
      </c>
      <c r="P444" s="296">
        <v>0.2</v>
      </c>
      <c r="Q444" s="296">
        <v>0</v>
      </c>
      <c r="R444" s="296">
        <v>-0.2</v>
      </c>
      <c r="S444" s="296">
        <v>-0.4</v>
      </c>
      <c r="T444" s="296"/>
      <c r="U444" s="296"/>
      <c r="V444" s="310">
        <f t="shared" si="0"/>
        <v>79.09</v>
      </c>
    </row>
    <row r="445" spans="1:22">
      <c r="A445" s="295">
        <v>470</v>
      </c>
      <c r="B445" s="296">
        <v>37.5</v>
      </c>
      <c r="C445" s="296">
        <v>37.5</v>
      </c>
      <c r="D445" s="296">
        <v>37.5</v>
      </c>
      <c r="E445" s="296">
        <v>37.4</v>
      </c>
      <c r="F445" s="296">
        <v>37.4</v>
      </c>
      <c r="G445" s="296">
        <v>37.4</v>
      </c>
      <c r="H445" s="296">
        <v>37.4</v>
      </c>
      <c r="I445" s="296">
        <v>37.4</v>
      </c>
      <c r="J445" s="296">
        <v>37.4</v>
      </c>
      <c r="K445" s="295">
        <v>123</v>
      </c>
      <c r="L445" s="295">
        <v>470</v>
      </c>
      <c r="M445" s="295"/>
      <c r="N445" s="295"/>
      <c r="O445" s="296">
        <v>0.4</v>
      </c>
      <c r="P445" s="296">
        <v>0.2</v>
      </c>
      <c r="Q445" s="296">
        <v>0</v>
      </c>
      <c r="R445" s="296">
        <v>-0.2</v>
      </c>
      <c r="S445" s="296">
        <v>-0.4</v>
      </c>
      <c r="T445" s="296"/>
      <c r="U445" s="296"/>
      <c r="V445" s="310">
        <f t="shared" si="0"/>
        <v>80.819999999999993</v>
      </c>
    </row>
    <row r="446" spans="1:22">
      <c r="A446" s="295">
        <v>480</v>
      </c>
      <c r="B446" s="296">
        <v>38.299999999999997</v>
      </c>
      <c r="C446" s="296">
        <v>38.299999999999997</v>
      </c>
      <c r="D446" s="296">
        <v>38.200000000000003</v>
      </c>
      <c r="E446" s="296">
        <v>38.200000000000003</v>
      </c>
      <c r="F446" s="296">
        <v>38.200000000000003</v>
      </c>
      <c r="G446" s="296">
        <v>38.200000000000003</v>
      </c>
      <c r="H446" s="296">
        <v>38.200000000000003</v>
      </c>
      <c r="I446" s="296">
        <v>38.200000000000003</v>
      </c>
      <c r="J446" s="296">
        <v>38.200000000000003</v>
      </c>
      <c r="K446" s="295">
        <v>113</v>
      </c>
      <c r="L446" s="295">
        <v>480</v>
      </c>
      <c r="M446" s="295"/>
      <c r="N446" s="295"/>
      <c r="O446" s="296">
        <v>0.4</v>
      </c>
      <c r="P446" s="296">
        <v>0.2</v>
      </c>
      <c r="Q446" s="296">
        <v>0</v>
      </c>
      <c r="R446" s="296">
        <v>-0.2</v>
      </c>
      <c r="S446" s="296">
        <v>-0.4</v>
      </c>
      <c r="T446" s="296"/>
      <c r="U446" s="296"/>
      <c r="V446" s="310">
        <f t="shared" si="0"/>
        <v>82.33</v>
      </c>
    </row>
    <row r="447" spans="1:22">
      <c r="A447" s="295">
        <v>490</v>
      </c>
      <c r="B447" s="296">
        <v>39.1</v>
      </c>
      <c r="C447" s="296">
        <v>39</v>
      </c>
      <c r="D447" s="296">
        <v>39</v>
      </c>
      <c r="E447" s="296">
        <v>39</v>
      </c>
      <c r="F447" s="296">
        <v>39</v>
      </c>
      <c r="G447" s="296">
        <v>39</v>
      </c>
      <c r="H447" s="296">
        <v>39</v>
      </c>
      <c r="I447" s="296">
        <v>39</v>
      </c>
      <c r="J447" s="296">
        <v>38.9</v>
      </c>
      <c r="K447" s="295">
        <v>103</v>
      </c>
      <c r="L447" s="295">
        <v>490</v>
      </c>
      <c r="M447" s="295"/>
      <c r="N447" s="295"/>
      <c r="O447" s="296">
        <v>0.4</v>
      </c>
      <c r="P447" s="296">
        <v>0.2</v>
      </c>
      <c r="Q447" s="296">
        <v>0</v>
      </c>
      <c r="R447" s="296">
        <v>-0.2</v>
      </c>
      <c r="S447" s="296">
        <v>-0.4</v>
      </c>
      <c r="T447" s="296"/>
      <c r="U447" s="296"/>
      <c r="V447" s="310">
        <f t="shared" si="0"/>
        <v>84.05</v>
      </c>
    </row>
    <row r="448" spans="1:22">
      <c r="A448" s="295">
        <v>500</v>
      </c>
      <c r="B448" s="296">
        <v>39.9</v>
      </c>
      <c r="C448" s="296">
        <v>39.799999999999997</v>
      </c>
      <c r="D448" s="296">
        <v>39.799999999999997</v>
      </c>
      <c r="E448" s="296">
        <v>39.799999999999997</v>
      </c>
      <c r="F448" s="296">
        <v>39.799999999999997</v>
      </c>
      <c r="G448" s="296">
        <v>39.799999999999997</v>
      </c>
      <c r="H448" s="296">
        <v>39.799999999999997</v>
      </c>
      <c r="I448" s="296">
        <v>39.700000000000003</v>
      </c>
      <c r="J448" s="296">
        <v>39.700000000000003</v>
      </c>
      <c r="K448" s="295">
        <v>93</v>
      </c>
      <c r="L448" s="295">
        <v>500</v>
      </c>
      <c r="M448" s="295"/>
      <c r="N448" s="295"/>
      <c r="O448" s="296">
        <v>0.4</v>
      </c>
      <c r="P448" s="296">
        <v>0.2</v>
      </c>
      <c r="Q448" s="296">
        <v>0</v>
      </c>
      <c r="R448" s="296">
        <v>-0.2</v>
      </c>
      <c r="S448" s="296">
        <v>-0.4</v>
      </c>
      <c r="T448" s="296"/>
      <c r="U448" s="296"/>
      <c r="V448" s="310">
        <f t="shared" si="0"/>
        <v>85.78</v>
      </c>
    </row>
    <row r="449" spans="1:22">
      <c r="A449" s="295">
        <v>510</v>
      </c>
      <c r="B449" s="296">
        <v>40.6</v>
      </c>
      <c r="C449" s="296">
        <v>40.6</v>
      </c>
      <c r="D449" s="296">
        <v>40.6</v>
      </c>
      <c r="E449" s="296">
        <v>40.6</v>
      </c>
      <c r="F449" s="296">
        <v>40.6</v>
      </c>
      <c r="G449" s="296">
        <v>40.6</v>
      </c>
      <c r="H449" s="296">
        <v>40.6</v>
      </c>
      <c r="I449" s="296">
        <v>40.5</v>
      </c>
      <c r="J449" s="296">
        <v>40.5</v>
      </c>
      <c r="K449" s="295">
        <v>83</v>
      </c>
      <c r="L449" s="295">
        <v>510</v>
      </c>
      <c r="M449" s="295"/>
      <c r="N449" s="295"/>
      <c r="O449" s="296">
        <v>0.4</v>
      </c>
      <c r="P449" s="296">
        <v>0.2</v>
      </c>
      <c r="Q449" s="296">
        <v>0</v>
      </c>
      <c r="R449" s="296">
        <v>-0.2</v>
      </c>
      <c r="S449" s="296">
        <v>-0.4</v>
      </c>
      <c r="T449" s="296"/>
      <c r="U449" s="296"/>
      <c r="V449" s="310">
        <f t="shared" si="0"/>
        <v>87.5</v>
      </c>
    </row>
    <row r="450" spans="1:22">
      <c r="A450" s="295">
        <v>520</v>
      </c>
      <c r="B450" s="296">
        <v>41.4</v>
      </c>
      <c r="C450" s="296">
        <v>41.4</v>
      </c>
      <c r="D450" s="296">
        <v>41.4</v>
      </c>
      <c r="E450" s="296">
        <v>41.4</v>
      </c>
      <c r="F450" s="296">
        <v>41.4</v>
      </c>
      <c r="G450" s="296">
        <v>41.4</v>
      </c>
      <c r="H450" s="296">
        <v>41.3</v>
      </c>
      <c r="I450" s="296">
        <v>41.3</v>
      </c>
      <c r="J450" s="296">
        <v>41.3</v>
      </c>
      <c r="K450" s="295">
        <v>73</v>
      </c>
      <c r="L450" s="295">
        <v>520</v>
      </c>
      <c r="M450" s="295"/>
      <c r="N450" s="295"/>
      <c r="O450" s="296">
        <v>0.4</v>
      </c>
      <c r="P450" s="296">
        <v>0.2</v>
      </c>
      <c r="Q450" s="296">
        <v>0</v>
      </c>
      <c r="R450" s="296">
        <v>-0.2</v>
      </c>
      <c r="S450" s="296">
        <v>-0.4</v>
      </c>
      <c r="T450" s="296"/>
      <c r="U450" s="296"/>
      <c r="V450" s="310">
        <f t="shared" si="0"/>
        <v>89.22</v>
      </c>
    </row>
    <row r="451" spans="1:22">
      <c r="A451" s="295">
        <v>530</v>
      </c>
      <c r="B451" s="296">
        <v>42.2</v>
      </c>
      <c r="C451" s="296">
        <v>42.2</v>
      </c>
      <c r="D451" s="296">
        <v>42.2</v>
      </c>
      <c r="E451" s="296">
        <v>42.2</v>
      </c>
      <c r="F451" s="296">
        <v>42.2</v>
      </c>
      <c r="G451" s="296">
        <v>42.1</v>
      </c>
      <c r="H451" s="296">
        <v>42.1</v>
      </c>
      <c r="I451" s="296">
        <v>42.1</v>
      </c>
      <c r="J451" s="296">
        <v>42.1</v>
      </c>
      <c r="K451" s="295">
        <v>63</v>
      </c>
      <c r="L451" s="295">
        <v>530</v>
      </c>
      <c r="M451" s="295"/>
      <c r="N451" s="295"/>
      <c r="O451" s="296">
        <v>0.4</v>
      </c>
      <c r="P451" s="296">
        <v>0.2</v>
      </c>
      <c r="Q451" s="296">
        <v>0</v>
      </c>
      <c r="R451" s="296">
        <v>-0.2</v>
      </c>
      <c r="S451" s="296">
        <v>-0.4</v>
      </c>
      <c r="T451" s="296"/>
      <c r="U451" s="296"/>
      <c r="V451" s="310">
        <f t="shared" si="0"/>
        <v>90.95</v>
      </c>
    </row>
    <row r="452" spans="1:22">
      <c r="A452" s="295">
        <v>540</v>
      </c>
      <c r="B452" s="296">
        <v>43</v>
      </c>
      <c r="C452" s="296">
        <v>43</v>
      </c>
      <c r="D452" s="296">
        <v>43</v>
      </c>
      <c r="E452" s="296">
        <v>43</v>
      </c>
      <c r="F452" s="296">
        <v>43</v>
      </c>
      <c r="G452" s="296">
        <v>42.9</v>
      </c>
      <c r="H452" s="296">
        <v>42.9</v>
      </c>
      <c r="I452" s="296">
        <v>42.9</v>
      </c>
      <c r="J452" s="296">
        <v>42.9</v>
      </c>
      <c r="K452" s="295">
        <v>53</v>
      </c>
      <c r="L452" s="295">
        <v>540</v>
      </c>
      <c r="M452" s="295"/>
      <c r="N452" s="295"/>
      <c r="O452" s="296">
        <v>0.4</v>
      </c>
      <c r="P452" s="296">
        <v>0.2</v>
      </c>
      <c r="Q452" s="296">
        <v>0</v>
      </c>
      <c r="R452" s="296">
        <v>-0.2</v>
      </c>
      <c r="S452" s="296">
        <v>-0.4</v>
      </c>
      <c r="T452" s="296"/>
      <c r="U452" s="296"/>
      <c r="V452" s="310">
        <f t="shared" si="0"/>
        <v>92.67</v>
      </c>
    </row>
    <row r="453" spans="1:22">
      <c r="A453" s="295">
        <v>550</v>
      </c>
      <c r="B453" s="296">
        <v>43.8</v>
      </c>
      <c r="C453" s="296">
        <v>43.8</v>
      </c>
      <c r="D453" s="296">
        <v>43.8</v>
      </c>
      <c r="E453" s="296">
        <v>43.8</v>
      </c>
      <c r="F453" s="296">
        <v>43.7</v>
      </c>
      <c r="G453" s="296">
        <v>43.7</v>
      </c>
      <c r="H453" s="296">
        <v>43.7</v>
      </c>
      <c r="I453" s="296">
        <v>43.7</v>
      </c>
      <c r="J453" s="296">
        <v>43.7</v>
      </c>
      <c r="K453" s="295">
        <v>43</v>
      </c>
      <c r="L453" s="295">
        <v>550</v>
      </c>
      <c r="M453" s="295"/>
      <c r="N453" s="295"/>
      <c r="O453" s="296">
        <v>0.4</v>
      </c>
      <c r="P453" s="296">
        <v>0.2</v>
      </c>
      <c r="Q453" s="296">
        <v>0</v>
      </c>
      <c r="R453" s="296">
        <v>-0.2</v>
      </c>
      <c r="S453" s="296">
        <v>-0.4</v>
      </c>
      <c r="T453" s="296"/>
      <c r="U453" s="296"/>
      <c r="V453" s="310">
        <f t="shared" si="0"/>
        <v>94.4</v>
      </c>
    </row>
    <row r="454" spans="1:22">
      <c r="A454" s="295">
        <v>560</v>
      </c>
      <c r="B454" s="296">
        <v>44.6</v>
      </c>
      <c r="C454" s="296">
        <v>44.6</v>
      </c>
      <c r="D454" s="296">
        <v>44.6</v>
      </c>
      <c r="E454" s="296">
        <v>44.6</v>
      </c>
      <c r="F454" s="296">
        <v>44.5</v>
      </c>
      <c r="G454" s="296">
        <v>44.5</v>
      </c>
      <c r="H454" s="296">
        <v>44.5</v>
      </c>
      <c r="I454" s="296">
        <v>44.5</v>
      </c>
      <c r="J454" s="296">
        <v>44.5</v>
      </c>
      <c r="K454" s="295">
        <v>33</v>
      </c>
      <c r="L454" s="295">
        <v>560</v>
      </c>
      <c r="M454" s="295"/>
      <c r="N454" s="295"/>
      <c r="O454" s="296">
        <v>0.4</v>
      </c>
      <c r="P454" s="296">
        <v>0.2</v>
      </c>
      <c r="Q454" s="296">
        <v>0</v>
      </c>
      <c r="R454" s="296">
        <v>-0.2</v>
      </c>
      <c r="S454" s="296">
        <v>-0.4</v>
      </c>
      <c r="T454" s="296"/>
      <c r="U454" s="296"/>
      <c r="V454" s="310">
        <f t="shared" si="0"/>
        <v>96.12</v>
      </c>
    </row>
    <row r="455" spans="1:22">
      <c r="A455" s="295">
        <v>570</v>
      </c>
      <c r="B455" s="296">
        <v>45.4</v>
      </c>
      <c r="C455" s="296">
        <v>45.4</v>
      </c>
      <c r="D455" s="296">
        <v>45.4</v>
      </c>
      <c r="E455" s="296">
        <v>45.3</v>
      </c>
      <c r="F455" s="296">
        <v>45.3</v>
      </c>
      <c r="G455" s="296">
        <v>45.3</v>
      </c>
      <c r="H455" s="296">
        <v>45.3</v>
      </c>
      <c r="I455" s="296">
        <v>45.3</v>
      </c>
      <c r="J455" s="296">
        <v>45.3</v>
      </c>
      <c r="K455" s="295">
        <v>23</v>
      </c>
      <c r="L455" s="295">
        <v>570</v>
      </c>
      <c r="M455" s="295"/>
      <c r="N455" s="295"/>
      <c r="O455" s="296">
        <v>0.4</v>
      </c>
      <c r="P455" s="296">
        <v>0.2</v>
      </c>
      <c r="Q455" s="296">
        <v>0</v>
      </c>
      <c r="R455" s="296">
        <v>-0.2</v>
      </c>
      <c r="S455" s="296">
        <v>-0.4</v>
      </c>
      <c r="T455" s="296"/>
      <c r="U455" s="296"/>
      <c r="V455" s="310">
        <f t="shared" si="0"/>
        <v>97.84</v>
      </c>
    </row>
    <row r="456" spans="1:22">
      <c r="A456" s="295">
        <v>580</v>
      </c>
      <c r="B456" s="296">
        <v>46.1</v>
      </c>
      <c r="C456" s="296">
        <v>46.1</v>
      </c>
      <c r="D456" s="296">
        <v>46.1</v>
      </c>
      <c r="E456" s="296">
        <v>46.1</v>
      </c>
      <c r="F456" s="296">
        <v>46.1</v>
      </c>
      <c r="G456" s="296">
        <v>46.1</v>
      </c>
      <c r="H456" s="296">
        <v>46</v>
      </c>
      <c r="I456" s="296">
        <v>46</v>
      </c>
      <c r="J456" s="296">
        <v>46</v>
      </c>
      <c r="K456" s="295">
        <v>13</v>
      </c>
      <c r="L456" s="295">
        <v>580</v>
      </c>
      <c r="M456" s="295"/>
      <c r="N456" s="295"/>
      <c r="O456" s="296">
        <v>0.1</v>
      </c>
      <c r="P456" s="296">
        <v>0.1</v>
      </c>
      <c r="Q456" s="296">
        <v>0</v>
      </c>
      <c r="R456" s="296">
        <v>-0.2</v>
      </c>
      <c r="S456" s="296">
        <v>-0.4</v>
      </c>
      <c r="T456" s="296"/>
      <c r="U456" s="296"/>
      <c r="V456" s="310">
        <f t="shared" si="0"/>
        <v>99.35</v>
      </c>
    </row>
    <row r="457" spans="1:22">
      <c r="A457" s="295">
        <v>590</v>
      </c>
      <c r="B457" s="296">
        <v>46.5</v>
      </c>
      <c r="C457" s="296">
        <v>46.5</v>
      </c>
      <c r="D457" s="296">
        <v>46.4</v>
      </c>
      <c r="E457" s="296">
        <v>46.4</v>
      </c>
      <c r="F457" s="296">
        <v>46.4</v>
      </c>
      <c r="G457" s="296">
        <v>46.4</v>
      </c>
      <c r="H457" s="296">
        <v>46.4</v>
      </c>
      <c r="I457" s="296">
        <v>46.4</v>
      </c>
      <c r="J457" s="296">
        <v>46.4</v>
      </c>
      <c r="K457" s="295">
        <v>3</v>
      </c>
      <c r="L457" s="295">
        <v>590</v>
      </c>
      <c r="M457" s="295"/>
      <c r="N457" s="295"/>
      <c r="O457" s="296">
        <v>0</v>
      </c>
      <c r="P457" s="296">
        <v>0</v>
      </c>
      <c r="Q457" s="296">
        <v>0</v>
      </c>
      <c r="R457" s="296">
        <v>0</v>
      </c>
      <c r="S457" s="296">
        <v>0</v>
      </c>
      <c r="T457" s="296"/>
      <c r="U457" s="296"/>
      <c r="V457" s="310">
        <f t="shared" si="0"/>
        <v>100</v>
      </c>
    </row>
    <row r="458" spans="1:22" hidden="1"/>
    <row r="459" spans="1:22" hidden="1"/>
    <row r="460" spans="1:22" hidden="1"/>
    <row r="461" spans="1:22" hidden="1"/>
    <row r="462" spans="1:22" hidden="1"/>
    <row r="463" spans="1:22" hidden="1"/>
    <row r="464" spans="1:22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spans="1:28" hidden="1"/>
    <row r="658" spans="1:28" hidden="1"/>
    <row r="660" spans="1:28" hidden="1"/>
    <row r="661" spans="1:28" hidden="1"/>
    <row r="662" spans="1:28" hidden="1"/>
    <row r="663" spans="1:28" hidden="1"/>
    <row r="664" spans="1:28" hidden="1"/>
    <row r="665" spans="1:28" hidden="1"/>
    <row r="666" spans="1:28">
      <c r="A666" s="892" t="s">
        <v>404</v>
      </c>
      <c r="B666" s="892"/>
      <c r="C666" s="892"/>
      <c r="D666" s="892"/>
      <c r="E666" s="892"/>
      <c r="F666" s="892"/>
      <c r="G666" s="892"/>
      <c r="H666" s="892"/>
      <c r="I666" s="892"/>
      <c r="J666" s="892"/>
      <c r="K666" s="892"/>
      <c r="L666" s="892"/>
      <c r="M666" s="892"/>
      <c r="N666" s="892"/>
      <c r="O666" s="892"/>
      <c r="P666" s="892"/>
      <c r="Q666" s="892"/>
      <c r="R666" s="892"/>
      <c r="S666" s="892"/>
      <c r="T666" s="892"/>
      <c r="U666" s="892"/>
      <c r="V666" s="892"/>
    </row>
    <row r="667" spans="1:28">
      <c r="A667" t="s">
        <v>256</v>
      </c>
      <c r="B667">
        <v>-1</v>
      </c>
      <c r="C667">
        <v>-0.5</v>
      </c>
      <c r="D667">
        <v>0</v>
      </c>
      <c r="E667">
        <v>0.5</v>
      </c>
      <c r="F667">
        <v>1</v>
      </c>
      <c r="G667">
        <v>1.5</v>
      </c>
      <c r="H667">
        <v>2</v>
      </c>
      <c r="I667">
        <v>2.5</v>
      </c>
      <c r="J667">
        <v>3</v>
      </c>
      <c r="K667" t="s">
        <v>35</v>
      </c>
      <c r="L667" t="s">
        <v>256</v>
      </c>
      <c r="O667">
        <v>-2</v>
      </c>
      <c r="P667">
        <v>-1</v>
      </c>
      <c r="Q667">
        <v>0</v>
      </c>
      <c r="R667">
        <v>1</v>
      </c>
      <c r="S667">
        <v>2</v>
      </c>
      <c r="V667" t="s">
        <v>231</v>
      </c>
      <c r="Y667" s="1">
        <f>heelDraft1</f>
        <v>0</v>
      </c>
      <c r="Z667" s="186"/>
      <c r="AA667" s="186">
        <f>IF((Z667+Z670)&lt;0,Z667,Z667+Z670)</f>
        <v>0</v>
      </c>
      <c r="AB667" s="42">
        <f>IF(AB669=AB668,AB668,Interp1(AA668:AA669,AB668:AB669,AA667))</f>
        <v>0.3</v>
      </c>
    </row>
    <row r="668" spans="1:28">
      <c r="A668" s="295">
        <v>0</v>
      </c>
      <c r="B668" s="296">
        <v>0.3</v>
      </c>
      <c r="C668" s="296">
        <v>0.3</v>
      </c>
      <c r="D668" s="296">
        <v>0.3</v>
      </c>
      <c r="E668" s="296">
        <v>0.3</v>
      </c>
      <c r="F668" s="296">
        <v>0.3</v>
      </c>
      <c r="G668" s="296">
        <v>0.2</v>
      </c>
      <c r="H668" s="296">
        <v>0.2</v>
      </c>
      <c r="I668" s="296">
        <v>0.2</v>
      </c>
      <c r="J668" s="296">
        <v>0.2</v>
      </c>
      <c r="K668" s="295">
        <v>405</v>
      </c>
      <c r="L668" s="295">
        <v>0</v>
      </c>
      <c r="M668" s="295"/>
      <c r="N668" s="295"/>
      <c r="O668" s="296">
        <v>0.1</v>
      </c>
      <c r="P668" s="296">
        <v>0</v>
      </c>
      <c r="Q668" s="296">
        <v>0</v>
      </c>
      <c r="R668" s="296">
        <v>0</v>
      </c>
      <c r="S668" s="296">
        <v>-0.1</v>
      </c>
      <c r="T668" s="296"/>
      <c r="U668" s="296"/>
      <c r="V668" s="310">
        <f>(D668/3.3)*100</f>
        <v>9.09</v>
      </c>
      <c r="Y668" s="1">
        <f>FLOOR(Z667,10)</f>
        <v>0</v>
      </c>
      <c r="Z668" s="1">
        <f>Interp2(Misc5Heel1,Misc5Heel2,Misc5Heel3,Y668,Y667)</f>
        <v>0</v>
      </c>
      <c r="AA668" s="1">
        <f>FLOOR(AA667,10)</f>
        <v>0</v>
      </c>
      <c r="AB668" s="42">
        <f>IF(Z673=Z672,Z672,Interp1(Y672:Y673,Z672:Z673,Y671))</f>
        <v>0.3</v>
      </c>
    </row>
    <row r="669" spans="1:28">
      <c r="A669" s="295">
        <v>10</v>
      </c>
      <c r="B669" s="296">
        <v>0.6</v>
      </c>
      <c r="C669" s="296">
        <v>0.6</v>
      </c>
      <c r="D669" s="296">
        <v>0.6</v>
      </c>
      <c r="E669" s="296">
        <v>0.6</v>
      </c>
      <c r="F669" s="296">
        <v>0.6</v>
      </c>
      <c r="G669" s="296">
        <v>0.6</v>
      </c>
      <c r="H669" s="296">
        <v>0.6</v>
      </c>
      <c r="I669" s="296">
        <v>0.6</v>
      </c>
      <c r="J669" s="296">
        <v>0.6</v>
      </c>
      <c r="K669" s="295">
        <v>396</v>
      </c>
      <c r="L669" s="295">
        <v>10</v>
      </c>
      <c r="M669" s="295"/>
      <c r="N669" s="295"/>
      <c r="O669" s="296">
        <v>0.1</v>
      </c>
      <c r="P669" s="296">
        <v>0</v>
      </c>
      <c r="Q669" s="296">
        <v>0</v>
      </c>
      <c r="R669" s="296">
        <v>0</v>
      </c>
      <c r="S669" s="296">
        <v>-0.1</v>
      </c>
      <c r="T669" s="296"/>
      <c r="U669" s="296"/>
      <c r="V669" s="310">
        <f t="shared" ref="V669:V678" si="1">(D669/3.3)*100</f>
        <v>18.18</v>
      </c>
      <c r="Y669" s="1">
        <f>IF(Y668=MiscSound5,Y668,CEILING(Z667,10))</f>
        <v>0</v>
      </c>
      <c r="Z669" s="1">
        <f>Interp2(Misc5Heel1,Misc5Heel2,Misc5Heel3,Y669,Y667)</f>
        <v>0</v>
      </c>
      <c r="AA669" s="1">
        <f>CEILING(AA667,10)</f>
        <v>0</v>
      </c>
      <c r="AB669" s="42">
        <f>IF(AA673=AA672,AA672,Interp1(Y672:Y673,AA672:AA673,Y671))</f>
        <v>0.3</v>
      </c>
    </row>
    <row r="670" spans="1:28">
      <c r="A670" s="295">
        <v>20</v>
      </c>
      <c r="B670" s="296">
        <v>0.9</v>
      </c>
      <c r="C670" s="296">
        <v>0.9</v>
      </c>
      <c r="D670" s="296">
        <v>0.9</v>
      </c>
      <c r="E670" s="296">
        <v>0.9</v>
      </c>
      <c r="F670" s="296">
        <v>0.9</v>
      </c>
      <c r="G670" s="296">
        <v>0.9</v>
      </c>
      <c r="H670" s="296">
        <v>0.9</v>
      </c>
      <c r="I670" s="296">
        <v>0.9</v>
      </c>
      <c r="J670" s="296">
        <v>0.9</v>
      </c>
      <c r="K670" s="295">
        <v>385</v>
      </c>
      <c r="L670" s="295">
        <v>20</v>
      </c>
      <c r="M670" s="295"/>
      <c r="N670" s="295"/>
      <c r="O670" s="296">
        <v>0.1</v>
      </c>
      <c r="P670" s="296">
        <v>0</v>
      </c>
      <c r="Q670" s="296">
        <v>0</v>
      </c>
      <c r="R670" s="296">
        <v>0</v>
      </c>
      <c r="S670" s="296">
        <v>-0.1</v>
      </c>
      <c r="T670" s="296"/>
      <c r="U670" s="296"/>
      <c r="V670" s="310">
        <f t="shared" si="1"/>
        <v>27.27</v>
      </c>
      <c r="Y670" s="1"/>
      <c r="Z670" s="1">
        <f>IF(Z669=Z668,Z668,Interp1(Y668:Y669,Z668:Z669,Z667))</f>
        <v>0</v>
      </c>
      <c r="AA670" s="1"/>
      <c r="AB670" s="42"/>
    </row>
    <row r="671" spans="1:28">
      <c r="A671" s="295">
        <v>30</v>
      </c>
      <c r="B671" s="296">
        <v>1.3</v>
      </c>
      <c r="C671" s="296">
        <v>1.3</v>
      </c>
      <c r="D671" s="296">
        <v>1.3</v>
      </c>
      <c r="E671" s="296">
        <v>1.2</v>
      </c>
      <c r="F671" s="296">
        <v>1.2</v>
      </c>
      <c r="G671" s="296">
        <v>1.2</v>
      </c>
      <c r="H671" s="296">
        <v>1.2</v>
      </c>
      <c r="I671" s="296">
        <v>1.2</v>
      </c>
      <c r="J671" s="296">
        <v>1.2</v>
      </c>
      <c r="K671" s="295">
        <v>376</v>
      </c>
      <c r="L671" s="295">
        <v>30</v>
      </c>
      <c r="M671" s="295"/>
      <c r="N671" s="295"/>
      <c r="O671" s="296">
        <v>0.1</v>
      </c>
      <c r="P671" s="296">
        <v>0</v>
      </c>
      <c r="Q671" s="296">
        <v>0</v>
      </c>
      <c r="R671" s="296">
        <v>0</v>
      </c>
      <c r="S671" s="296">
        <v>-0.1</v>
      </c>
      <c r="T671" s="296"/>
      <c r="U671" s="296"/>
      <c r="V671" s="310">
        <f t="shared" si="1"/>
        <v>39.39</v>
      </c>
      <c r="Y671" s="1">
        <f>trimDraft</f>
        <v>0.149999999999999</v>
      </c>
      <c r="Z671" s="1"/>
      <c r="AA671" s="1"/>
      <c r="AB671" s="1"/>
    </row>
    <row r="672" spans="1:28">
      <c r="A672" s="295">
        <v>40</v>
      </c>
      <c r="B672" s="296">
        <v>1.6</v>
      </c>
      <c r="C672" s="296">
        <v>1.6</v>
      </c>
      <c r="D672" s="296">
        <v>1.6</v>
      </c>
      <c r="E672" s="296">
        <v>1.6</v>
      </c>
      <c r="F672" s="296">
        <v>1.6</v>
      </c>
      <c r="G672" s="296">
        <v>1.6</v>
      </c>
      <c r="H672" s="296">
        <v>1.6</v>
      </c>
      <c r="I672" s="296">
        <v>1.6</v>
      </c>
      <c r="J672" s="296">
        <v>1.6</v>
      </c>
      <c r="K672" s="295">
        <v>365</v>
      </c>
      <c r="L672" s="295">
        <v>40</v>
      </c>
      <c r="M672" s="295"/>
      <c r="N672" s="295"/>
      <c r="O672" s="296">
        <v>0.1</v>
      </c>
      <c r="P672" s="296">
        <v>0</v>
      </c>
      <c r="Q672" s="296">
        <v>0</v>
      </c>
      <c r="R672" s="296">
        <v>0</v>
      </c>
      <c r="S672" s="296">
        <v>-0.1</v>
      </c>
      <c r="T672" s="296"/>
      <c r="U672" s="296"/>
      <c r="V672" s="310">
        <f t="shared" si="1"/>
        <v>48.48</v>
      </c>
      <c r="Y672" s="1">
        <f>INDEX(Misc5Trim2,0,MATCH(Y671,Misc5Trim2,1))</f>
        <v>0</v>
      </c>
      <c r="Z672" s="1">
        <f>Interp2(Misc5Trim1,Misc5Trim2,Misc5Trim3,AA668,Y672)</f>
        <v>0.3</v>
      </c>
      <c r="AA672" s="1">
        <f>Interp2(Misc5Trim1,Misc5Trim2,Misc5Trim3,AA669,Y672)</f>
        <v>0.3</v>
      </c>
      <c r="AB672" s="1"/>
    </row>
    <row r="673" spans="1:28">
      <c r="A673" s="295">
        <v>50</v>
      </c>
      <c r="B673" s="296">
        <v>1.9</v>
      </c>
      <c r="C673" s="296">
        <v>1.9</v>
      </c>
      <c r="D673" s="296">
        <v>1.9</v>
      </c>
      <c r="E673" s="296">
        <v>1.9</v>
      </c>
      <c r="F673" s="296">
        <v>1.9</v>
      </c>
      <c r="G673" s="296">
        <v>1.9</v>
      </c>
      <c r="H673" s="296">
        <v>1.9</v>
      </c>
      <c r="I673" s="296">
        <v>1.9</v>
      </c>
      <c r="J673" s="296">
        <v>1.9</v>
      </c>
      <c r="K673" s="295">
        <v>355</v>
      </c>
      <c r="L673" s="295">
        <v>50</v>
      </c>
      <c r="M673" s="295"/>
      <c r="N673" s="295"/>
      <c r="O673" s="296">
        <v>0.1</v>
      </c>
      <c r="P673" s="296">
        <v>0</v>
      </c>
      <c r="Q673" s="296">
        <v>0</v>
      </c>
      <c r="R673" s="296">
        <v>0</v>
      </c>
      <c r="S673" s="296">
        <v>-0.1</v>
      </c>
      <c r="T673" s="296"/>
      <c r="U673" s="296"/>
      <c r="V673" s="310">
        <f t="shared" si="1"/>
        <v>57.58</v>
      </c>
      <c r="Y673" s="1">
        <f>IF(Y672=Y671,Y671,INDEX(Misc5Trim2,0,MATCH(Y671,Misc5Trim2,1)+1))</f>
        <v>0.5</v>
      </c>
      <c r="Z673" s="1">
        <f>Interp2(Misc5Trim1,Misc5Trim2,Misc5Trim3,AA668,Y673)</f>
        <v>0.3</v>
      </c>
      <c r="AA673" s="1">
        <f>Interp2(Misc5Trim1,Misc5Trim2,Misc5Trim3,AA669,Y673)</f>
        <v>0.3</v>
      </c>
      <c r="AB673" s="1"/>
    </row>
    <row r="674" spans="1:28">
      <c r="A674" s="295">
        <v>60</v>
      </c>
      <c r="B674" s="296">
        <v>2.2999999999999998</v>
      </c>
      <c r="C674" s="296">
        <v>2.2000000000000002</v>
      </c>
      <c r="D674" s="296">
        <v>2.2000000000000002</v>
      </c>
      <c r="E674" s="296">
        <v>2.2000000000000002</v>
      </c>
      <c r="F674" s="296">
        <v>2.2000000000000002</v>
      </c>
      <c r="G674" s="296">
        <v>2.2000000000000002</v>
      </c>
      <c r="H674" s="296">
        <v>2.2000000000000002</v>
      </c>
      <c r="I674" s="296">
        <v>2.2000000000000002</v>
      </c>
      <c r="J674" s="296">
        <v>2.2000000000000002</v>
      </c>
      <c r="K674" s="295">
        <v>346</v>
      </c>
      <c r="L674" s="295">
        <v>60</v>
      </c>
      <c r="M674" s="295"/>
      <c r="N674" s="295"/>
      <c r="O674" s="296">
        <v>0.1</v>
      </c>
      <c r="P674" s="296">
        <v>0</v>
      </c>
      <c r="Q674" s="296">
        <v>0</v>
      </c>
      <c r="R674" s="296">
        <v>0</v>
      </c>
      <c r="S674" s="296">
        <v>-0.1</v>
      </c>
      <c r="T674" s="296"/>
      <c r="U674" s="296"/>
      <c r="V674" s="310">
        <f t="shared" si="1"/>
        <v>66.67</v>
      </c>
    </row>
    <row r="675" spans="1:28">
      <c r="A675" s="295">
        <v>70</v>
      </c>
      <c r="B675" s="296">
        <v>2.6</v>
      </c>
      <c r="C675" s="296">
        <v>2.6</v>
      </c>
      <c r="D675" s="296">
        <v>2.6</v>
      </c>
      <c r="E675" s="296">
        <v>2.6</v>
      </c>
      <c r="F675" s="296">
        <v>2.6</v>
      </c>
      <c r="G675" s="296">
        <v>2.6</v>
      </c>
      <c r="H675" s="296">
        <v>2.6</v>
      </c>
      <c r="I675" s="296">
        <v>2.6</v>
      </c>
      <c r="J675" s="296">
        <v>2.6</v>
      </c>
      <c r="K675" s="295">
        <v>336</v>
      </c>
      <c r="L675" s="295">
        <v>70</v>
      </c>
      <c r="M675" s="295"/>
      <c r="N675" s="295"/>
      <c r="O675" s="296">
        <v>0.1</v>
      </c>
      <c r="P675" s="296">
        <v>0</v>
      </c>
      <c r="Q675" s="296">
        <v>0</v>
      </c>
      <c r="R675" s="296">
        <v>0</v>
      </c>
      <c r="S675" s="296">
        <v>-0.1</v>
      </c>
      <c r="T675" s="296"/>
      <c r="U675" s="296"/>
      <c r="V675" s="310">
        <f t="shared" si="1"/>
        <v>78.790000000000006</v>
      </c>
      <c r="Y675">
        <f>COUNT(A668:U718)</f>
        <v>187</v>
      </c>
    </row>
    <row r="676" spans="1:28">
      <c r="A676" s="295">
        <v>80</v>
      </c>
      <c r="B676" s="296">
        <v>2.9</v>
      </c>
      <c r="C676" s="296">
        <v>2.9</v>
      </c>
      <c r="D676" s="296">
        <v>2.9</v>
      </c>
      <c r="E676" s="296">
        <v>2.9</v>
      </c>
      <c r="F676" s="296">
        <v>2.9</v>
      </c>
      <c r="G676" s="296">
        <v>2.9</v>
      </c>
      <c r="H676" s="296">
        <v>2.9</v>
      </c>
      <c r="I676" s="296">
        <v>2.9</v>
      </c>
      <c r="J676" s="296">
        <v>2.9</v>
      </c>
      <c r="K676" s="295">
        <v>326</v>
      </c>
      <c r="L676" s="295">
        <v>80</v>
      </c>
      <c r="M676" s="295"/>
      <c r="N676" s="295"/>
      <c r="O676" s="296">
        <v>0.1</v>
      </c>
      <c r="P676" s="296">
        <v>0</v>
      </c>
      <c r="Q676" s="296">
        <v>0</v>
      </c>
      <c r="R676" s="296">
        <v>0</v>
      </c>
      <c r="S676" s="296">
        <v>-0.1</v>
      </c>
      <c r="T676" s="296"/>
      <c r="U676" s="296"/>
      <c r="V676" s="310">
        <f t="shared" si="1"/>
        <v>87.88</v>
      </c>
      <c r="Y676">
        <f>COUNTA(A668:U718)</f>
        <v>187</v>
      </c>
    </row>
    <row r="677" spans="1:28">
      <c r="A677" s="295">
        <v>90</v>
      </c>
      <c r="B677" s="296">
        <v>3.2</v>
      </c>
      <c r="C677" s="296">
        <v>3.2</v>
      </c>
      <c r="D677" s="296">
        <v>3.2</v>
      </c>
      <c r="E677" s="296">
        <v>3.2</v>
      </c>
      <c r="F677" s="296">
        <v>3.2</v>
      </c>
      <c r="G677" s="296">
        <v>3.2</v>
      </c>
      <c r="H677" s="296">
        <v>3.2</v>
      </c>
      <c r="I677" s="296">
        <v>3.2</v>
      </c>
      <c r="J677" s="296">
        <v>3.2</v>
      </c>
      <c r="K677" s="295">
        <v>315</v>
      </c>
      <c r="L677" s="295">
        <v>90</v>
      </c>
      <c r="M677" s="295"/>
      <c r="N677" s="295"/>
      <c r="O677" s="296">
        <v>0</v>
      </c>
      <c r="P677" s="296">
        <v>0</v>
      </c>
      <c r="Q677" s="296">
        <v>0</v>
      </c>
      <c r="R677" s="296">
        <v>0</v>
      </c>
      <c r="S677" s="296">
        <v>-0.1</v>
      </c>
      <c r="T677" s="296"/>
      <c r="U677" s="296"/>
      <c r="V677" s="310">
        <f t="shared" si="1"/>
        <v>96.97</v>
      </c>
    </row>
    <row r="678" spans="1:28">
      <c r="A678" s="295">
        <v>100</v>
      </c>
      <c r="B678" s="296">
        <v>3.3</v>
      </c>
      <c r="C678" s="296">
        <v>3.3</v>
      </c>
      <c r="D678" s="296">
        <v>3.3</v>
      </c>
      <c r="E678" s="296">
        <v>3.3</v>
      </c>
      <c r="F678" s="296">
        <v>3.3</v>
      </c>
      <c r="G678" s="296">
        <v>3.3</v>
      </c>
      <c r="H678" s="296">
        <v>3.3</v>
      </c>
      <c r="I678" s="296">
        <v>3.3</v>
      </c>
      <c r="J678" s="296">
        <v>3.3</v>
      </c>
      <c r="K678" s="295">
        <v>305</v>
      </c>
      <c r="L678" s="295">
        <v>100</v>
      </c>
      <c r="M678" s="295"/>
      <c r="N678" s="295"/>
      <c r="O678" s="296">
        <v>0</v>
      </c>
      <c r="P678" s="296">
        <v>0</v>
      </c>
      <c r="Q678" s="296">
        <v>0</v>
      </c>
      <c r="R678" s="296">
        <v>0</v>
      </c>
      <c r="S678" s="296">
        <v>0</v>
      </c>
      <c r="T678" s="296"/>
      <c r="U678" s="296"/>
      <c r="V678" s="310">
        <f t="shared" si="1"/>
        <v>100</v>
      </c>
    </row>
    <row r="679" spans="1:28" hidden="1"/>
    <row r="680" spans="1:28" hidden="1"/>
    <row r="681" spans="1:28" hidden="1"/>
    <row r="682" spans="1:28" hidden="1"/>
    <row r="683" spans="1:28" hidden="1"/>
    <row r="684" spans="1:28" hidden="1"/>
    <row r="685" spans="1:28" hidden="1"/>
    <row r="686" spans="1:28" hidden="1"/>
    <row r="687" spans="1:28" hidden="1"/>
    <row r="688" spans="1:2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spans="1:28" hidden="1"/>
    <row r="770" spans="1:28" hidden="1"/>
    <row r="771" spans="1:28" hidden="1"/>
    <row r="772" spans="1:28">
      <c r="A772" s="892" t="s">
        <v>405</v>
      </c>
      <c r="B772" s="892"/>
      <c r="C772" s="892"/>
      <c r="D772" s="892"/>
      <c r="E772" s="892"/>
      <c r="F772" s="892"/>
      <c r="G772" s="892"/>
      <c r="H772" s="892"/>
      <c r="I772" s="892"/>
      <c r="J772" s="892"/>
      <c r="K772" s="892"/>
      <c r="L772" s="892"/>
      <c r="M772" s="892"/>
      <c r="N772" s="892"/>
      <c r="O772" s="892"/>
      <c r="P772" s="892"/>
      <c r="Q772" s="892"/>
      <c r="R772" s="892"/>
      <c r="S772" s="892"/>
      <c r="T772" s="892"/>
      <c r="U772" s="892"/>
      <c r="V772" s="892"/>
    </row>
    <row r="773" spans="1:28">
      <c r="A773" t="s">
        <v>256</v>
      </c>
      <c r="B773">
        <v>-1</v>
      </c>
      <c r="C773">
        <v>-0.5</v>
      </c>
      <c r="D773">
        <v>0</v>
      </c>
      <c r="E773">
        <v>0.5</v>
      </c>
      <c r="F773">
        <v>1</v>
      </c>
      <c r="G773">
        <v>1.5</v>
      </c>
      <c r="H773">
        <v>2</v>
      </c>
      <c r="I773">
        <v>2.5</v>
      </c>
      <c r="J773">
        <v>3</v>
      </c>
      <c r="K773" t="s">
        <v>35</v>
      </c>
      <c r="L773" t="s">
        <v>256</v>
      </c>
      <c r="O773">
        <v>-2</v>
      </c>
      <c r="P773">
        <v>-1</v>
      </c>
      <c r="Q773">
        <v>0</v>
      </c>
      <c r="R773">
        <v>1</v>
      </c>
      <c r="S773">
        <v>2</v>
      </c>
      <c r="V773" t="s">
        <v>231</v>
      </c>
      <c r="Y773" s="1">
        <f>heelDraft1</f>
        <v>0</v>
      </c>
      <c r="Z773" s="186"/>
      <c r="AA773" s="186">
        <f>IF((Z773+Z776)&lt;0,Z773,Z773+Z776)</f>
        <v>0</v>
      </c>
      <c r="AB773" s="42">
        <f>IF(AB775=AB774,AB774,Interp1(AA774:AA775,AB774:AB775,AA773))</f>
        <v>0.3</v>
      </c>
    </row>
    <row r="774" spans="1:28">
      <c r="A774" s="295">
        <v>0</v>
      </c>
      <c r="B774" s="296">
        <v>0.3</v>
      </c>
      <c r="C774" s="296">
        <v>0.3</v>
      </c>
      <c r="D774" s="296">
        <v>0.3</v>
      </c>
      <c r="E774" s="296">
        <v>0.3</v>
      </c>
      <c r="F774" s="296">
        <v>0.2</v>
      </c>
      <c r="G774" s="296">
        <v>0.2</v>
      </c>
      <c r="H774" s="296">
        <v>0.2</v>
      </c>
      <c r="I774" s="296">
        <v>0.2</v>
      </c>
      <c r="J774" s="296">
        <v>0.2</v>
      </c>
      <c r="K774" s="295">
        <v>407</v>
      </c>
      <c r="L774" s="295">
        <v>0</v>
      </c>
      <c r="M774" s="295"/>
      <c r="N774" s="295"/>
      <c r="O774" s="296">
        <v>0</v>
      </c>
      <c r="P774" s="296">
        <v>0</v>
      </c>
      <c r="Q774" s="296">
        <v>0</v>
      </c>
      <c r="R774" s="296">
        <v>0</v>
      </c>
      <c r="S774" s="296">
        <v>0</v>
      </c>
      <c r="T774" s="296"/>
      <c r="U774" s="296"/>
      <c r="V774" s="310">
        <f>(D774/3.3)*100</f>
        <v>9.09</v>
      </c>
      <c r="Y774" s="1">
        <f>FLOOR(Z773,10)</f>
        <v>0</v>
      </c>
      <c r="Z774" s="1">
        <f>Interp2(Misc6Heel1,Misc6Heel2,Misc6Heel3,Y774,Y773)</f>
        <v>0</v>
      </c>
      <c r="AA774" s="1">
        <f>FLOOR(AA773,10)</f>
        <v>0</v>
      </c>
      <c r="AB774" s="42">
        <f>IF(Z779=Z778,Z778,Interp1(Y778:Y779,Z778:Z779,Y777))</f>
        <v>0.3</v>
      </c>
    </row>
    <row r="775" spans="1:28">
      <c r="A775" s="295">
        <v>10</v>
      </c>
      <c r="B775" s="296">
        <v>0.6</v>
      </c>
      <c r="C775" s="296">
        <v>0.6</v>
      </c>
      <c r="D775" s="296">
        <v>0.6</v>
      </c>
      <c r="E775" s="296">
        <v>0.6</v>
      </c>
      <c r="F775" s="296">
        <v>0.6</v>
      </c>
      <c r="G775" s="296">
        <v>0.6</v>
      </c>
      <c r="H775" s="296">
        <v>0.6</v>
      </c>
      <c r="I775" s="296">
        <v>0.6</v>
      </c>
      <c r="J775" s="296">
        <v>0.6</v>
      </c>
      <c r="K775" s="295">
        <v>397</v>
      </c>
      <c r="L775" s="295">
        <v>10</v>
      </c>
      <c r="M775" s="295"/>
      <c r="N775" s="295"/>
      <c r="O775" s="296">
        <v>0</v>
      </c>
      <c r="P775" s="296">
        <v>0</v>
      </c>
      <c r="Q775" s="296">
        <v>0</v>
      </c>
      <c r="R775" s="296">
        <v>0</v>
      </c>
      <c r="S775" s="296">
        <v>0</v>
      </c>
      <c r="T775" s="296"/>
      <c r="U775" s="296"/>
      <c r="V775" s="310">
        <f t="shared" ref="V775:V784" si="2">(D775/3.3)*100</f>
        <v>18.18</v>
      </c>
      <c r="Y775" s="1">
        <f>IF(Y774=MiscSound6,Y774,CEILING(Z773,10))</f>
        <v>0</v>
      </c>
      <c r="Z775" s="1">
        <f>Interp2(Misc6Heel1,Misc6Heel2,Misc6Heel3,Y775,Y773)</f>
        <v>0</v>
      </c>
      <c r="AA775" s="1">
        <f>CEILING(AA773,10)</f>
        <v>0</v>
      </c>
      <c r="AB775" s="42">
        <f>IF(AA779=AA778,AA778,Interp1(Y778:Y779,AA778:AA779,Y777))</f>
        <v>0.3</v>
      </c>
    </row>
    <row r="776" spans="1:28">
      <c r="A776" s="295">
        <v>20</v>
      </c>
      <c r="B776" s="296">
        <v>0.9</v>
      </c>
      <c r="C776" s="296">
        <v>0.9</v>
      </c>
      <c r="D776" s="296">
        <v>0.9</v>
      </c>
      <c r="E776" s="296">
        <v>0.9</v>
      </c>
      <c r="F776" s="296">
        <v>0.9</v>
      </c>
      <c r="G776" s="296">
        <v>0.9</v>
      </c>
      <c r="H776" s="296">
        <v>0.9</v>
      </c>
      <c r="I776" s="296">
        <v>0.9</v>
      </c>
      <c r="J776" s="296">
        <v>0.9</v>
      </c>
      <c r="K776" s="295">
        <v>387</v>
      </c>
      <c r="L776" s="295">
        <v>20</v>
      </c>
      <c r="M776" s="295"/>
      <c r="N776" s="295"/>
      <c r="O776" s="296">
        <v>0</v>
      </c>
      <c r="P776" s="296">
        <v>0</v>
      </c>
      <c r="Q776" s="296">
        <v>0</v>
      </c>
      <c r="R776" s="296">
        <v>0</v>
      </c>
      <c r="S776" s="296">
        <v>0</v>
      </c>
      <c r="T776" s="296"/>
      <c r="U776" s="296"/>
      <c r="V776" s="310">
        <f t="shared" si="2"/>
        <v>27.27</v>
      </c>
      <c r="Y776" s="1"/>
      <c r="Z776" s="1">
        <f>IF(Z775=Z774,Z774,Interp1(Y774:Y775,Z774:Z775,Z773))</f>
        <v>0</v>
      </c>
      <c r="AA776" s="1"/>
      <c r="AB776" s="42"/>
    </row>
    <row r="777" spans="1:28">
      <c r="A777" s="295">
        <v>30</v>
      </c>
      <c r="B777" s="296">
        <v>1.3</v>
      </c>
      <c r="C777" s="296">
        <v>1.3</v>
      </c>
      <c r="D777" s="296">
        <v>1.3</v>
      </c>
      <c r="E777" s="296">
        <v>1.2</v>
      </c>
      <c r="F777" s="296">
        <v>1.2</v>
      </c>
      <c r="G777" s="296">
        <v>1.2</v>
      </c>
      <c r="H777" s="296">
        <v>1.2</v>
      </c>
      <c r="I777" s="296">
        <v>1.2</v>
      </c>
      <c r="J777" s="296">
        <v>1.2</v>
      </c>
      <c r="K777" s="295">
        <v>377</v>
      </c>
      <c r="L777" s="295">
        <v>30</v>
      </c>
      <c r="M777" s="295"/>
      <c r="N777" s="295"/>
      <c r="O777" s="296">
        <v>0</v>
      </c>
      <c r="P777" s="296">
        <v>0</v>
      </c>
      <c r="Q777" s="296">
        <v>0</v>
      </c>
      <c r="R777" s="296">
        <v>0</v>
      </c>
      <c r="S777" s="296">
        <v>0</v>
      </c>
      <c r="T777" s="296"/>
      <c r="U777" s="296"/>
      <c r="V777" s="310">
        <f t="shared" si="2"/>
        <v>39.39</v>
      </c>
      <c r="Y777" s="1">
        <f>trimDraft</f>
        <v>0.149999999999999</v>
      </c>
      <c r="Z777" s="1"/>
      <c r="AA777" s="1"/>
      <c r="AB777" s="1"/>
    </row>
    <row r="778" spans="1:28">
      <c r="A778" s="295">
        <v>40</v>
      </c>
      <c r="B778" s="296">
        <v>1.6</v>
      </c>
      <c r="C778" s="296">
        <v>1.6</v>
      </c>
      <c r="D778" s="296">
        <v>1.6</v>
      </c>
      <c r="E778" s="296">
        <v>1.6</v>
      </c>
      <c r="F778" s="296">
        <v>1.6</v>
      </c>
      <c r="G778" s="296">
        <v>1.6</v>
      </c>
      <c r="H778" s="296">
        <v>1.6</v>
      </c>
      <c r="I778" s="296">
        <v>1.6</v>
      </c>
      <c r="J778" s="296">
        <v>1.6</v>
      </c>
      <c r="K778" s="295">
        <v>367</v>
      </c>
      <c r="L778" s="295">
        <v>40</v>
      </c>
      <c r="M778" s="295"/>
      <c r="N778" s="295"/>
      <c r="O778" s="296">
        <v>0</v>
      </c>
      <c r="P778" s="296">
        <v>0</v>
      </c>
      <c r="Q778" s="296">
        <v>0</v>
      </c>
      <c r="R778" s="296">
        <v>0</v>
      </c>
      <c r="S778" s="296">
        <v>0</v>
      </c>
      <c r="T778" s="296"/>
      <c r="U778" s="296"/>
      <c r="V778" s="310">
        <f t="shared" si="2"/>
        <v>48.48</v>
      </c>
      <c r="Y778" s="1">
        <f>INDEX(Misc6Trim2,0,MATCH(Y777,Misc6Trim2,1))</f>
        <v>0</v>
      </c>
      <c r="Z778" s="1">
        <f>Interp2(Misc6Trim1,Misc6Trim2,Misc6Trim3,AA774,Y778)</f>
        <v>0.3</v>
      </c>
      <c r="AA778" s="1">
        <f>Interp2(Misc6Trim1,Misc6Trim2,Misc6Trim3,AA775,Y778)</f>
        <v>0.3</v>
      </c>
      <c r="AB778" s="1"/>
    </row>
    <row r="779" spans="1:28">
      <c r="A779" s="295">
        <v>50</v>
      </c>
      <c r="B779" s="296">
        <v>1.9</v>
      </c>
      <c r="C779" s="296">
        <v>1.9</v>
      </c>
      <c r="D779" s="296">
        <v>1.9</v>
      </c>
      <c r="E779" s="296">
        <v>1.9</v>
      </c>
      <c r="F779" s="296">
        <v>1.9</v>
      </c>
      <c r="G779" s="296">
        <v>1.9</v>
      </c>
      <c r="H779" s="296">
        <v>1.9</v>
      </c>
      <c r="I779" s="296">
        <v>1.9</v>
      </c>
      <c r="J779" s="296">
        <v>1.9</v>
      </c>
      <c r="K779" s="295">
        <v>357</v>
      </c>
      <c r="L779" s="295">
        <v>50</v>
      </c>
      <c r="M779" s="295"/>
      <c r="N779" s="295"/>
      <c r="O779" s="296">
        <v>0</v>
      </c>
      <c r="P779" s="296">
        <v>0</v>
      </c>
      <c r="Q779" s="296">
        <v>0</v>
      </c>
      <c r="R779" s="296">
        <v>0</v>
      </c>
      <c r="S779" s="296">
        <v>0</v>
      </c>
      <c r="T779" s="296"/>
      <c r="U779" s="296"/>
      <c r="V779" s="310">
        <f t="shared" si="2"/>
        <v>57.58</v>
      </c>
      <c r="Y779" s="1">
        <f>IF(Y778=Y777,Y777,INDEX(Misc6Trim2,0,MATCH(Y777,Misc6Trim2,1)+1))</f>
        <v>0.5</v>
      </c>
      <c r="Z779" s="1">
        <f>Interp2(Misc6Trim1,Misc6Trim2,Misc6Trim3,AA774,Y779)</f>
        <v>0.3</v>
      </c>
      <c r="AA779" s="1">
        <f>Interp2(Misc6Trim1,Misc6Trim2,Misc6Trim3,AA775,Y779)</f>
        <v>0.3</v>
      </c>
      <c r="AB779" s="1"/>
    </row>
    <row r="780" spans="1:28">
      <c r="A780" s="295">
        <v>60</v>
      </c>
      <c r="B780" s="296">
        <v>2.2999999999999998</v>
      </c>
      <c r="C780" s="296">
        <v>2.2000000000000002</v>
      </c>
      <c r="D780" s="296">
        <v>2.2000000000000002</v>
      </c>
      <c r="E780" s="296">
        <v>2.2000000000000002</v>
      </c>
      <c r="F780" s="296">
        <v>2.2000000000000002</v>
      </c>
      <c r="G780" s="296">
        <v>2.2000000000000002</v>
      </c>
      <c r="H780" s="296">
        <v>2.2000000000000002</v>
      </c>
      <c r="I780" s="296">
        <v>2.2000000000000002</v>
      </c>
      <c r="J780" s="296">
        <v>2.2000000000000002</v>
      </c>
      <c r="K780" s="295">
        <v>347</v>
      </c>
      <c r="L780" s="295">
        <v>60</v>
      </c>
      <c r="M780" s="295"/>
      <c r="N780" s="295"/>
      <c r="O780" s="296">
        <v>0</v>
      </c>
      <c r="P780" s="296">
        <v>0</v>
      </c>
      <c r="Q780" s="296">
        <v>0</v>
      </c>
      <c r="R780" s="296">
        <v>0</v>
      </c>
      <c r="S780" s="296">
        <v>0</v>
      </c>
      <c r="T780" s="296"/>
      <c r="U780" s="296"/>
      <c r="V780" s="310">
        <f t="shared" si="2"/>
        <v>66.67</v>
      </c>
    </row>
    <row r="781" spans="1:28">
      <c r="A781" s="295">
        <v>70</v>
      </c>
      <c r="B781" s="296">
        <v>2.6</v>
      </c>
      <c r="C781" s="296">
        <v>2.6</v>
      </c>
      <c r="D781" s="296">
        <v>2.6</v>
      </c>
      <c r="E781" s="296">
        <v>2.6</v>
      </c>
      <c r="F781" s="296">
        <v>2.6</v>
      </c>
      <c r="G781" s="296">
        <v>2.6</v>
      </c>
      <c r="H781" s="296">
        <v>2.6</v>
      </c>
      <c r="I781" s="296">
        <v>2.5</v>
      </c>
      <c r="J781" s="296">
        <v>2.5</v>
      </c>
      <c r="K781" s="295">
        <v>337</v>
      </c>
      <c r="L781" s="295">
        <v>70</v>
      </c>
      <c r="M781" s="295"/>
      <c r="N781" s="295"/>
      <c r="O781" s="296">
        <v>0</v>
      </c>
      <c r="P781" s="296">
        <v>0</v>
      </c>
      <c r="Q781" s="296">
        <v>0</v>
      </c>
      <c r="R781" s="296">
        <v>0</v>
      </c>
      <c r="S781" s="296">
        <v>0</v>
      </c>
      <c r="T781" s="296"/>
      <c r="U781" s="296"/>
      <c r="V781" s="310">
        <f t="shared" si="2"/>
        <v>78.790000000000006</v>
      </c>
      <c r="Y781">
        <f>COUNT(A774:U824)</f>
        <v>187</v>
      </c>
    </row>
    <row r="782" spans="1:28">
      <c r="A782" s="295">
        <v>80</v>
      </c>
      <c r="B782" s="296">
        <v>2.9</v>
      </c>
      <c r="C782" s="296">
        <v>2.9</v>
      </c>
      <c r="D782" s="296">
        <v>2.9</v>
      </c>
      <c r="E782" s="296">
        <v>2.9</v>
      </c>
      <c r="F782" s="296">
        <v>2.9</v>
      </c>
      <c r="G782" s="296">
        <v>2.9</v>
      </c>
      <c r="H782" s="296">
        <v>2.9</v>
      </c>
      <c r="I782" s="296">
        <v>2.9</v>
      </c>
      <c r="J782" s="296">
        <v>2.9</v>
      </c>
      <c r="K782" s="295">
        <v>327</v>
      </c>
      <c r="L782" s="295">
        <v>80</v>
      </c>
      <c r="M782" s="295"/>
      <c r="N782" s="295"/>
      <c r="O782" s="296">
        <v>0</v>
      </c>
      <c r="P782" s="296">
        <v>0</v>
      </c>
      <c r="Q782" s="296">
        <v>0</v>
      </c>
      <c r="R782" s="296">
        <v>0</v>
      </c>
      <c r="S782" s="296">
        <v>0</v>
      </c>
      <c r="T782" s="296"/>
      <c r="U782" s="296"/>
      <c r="V782" s="310">
        <f t="shared" si="2"/>
        <v>87.88</v>
      </c>
      <c r="Y782">
        <f>COUNTA(A774:U824)</f>
        <v>187</v>
      </c>
    </row>
    <row r="783" spans="1:28">
      <c r="A783" s="295">
        <v>90</v>
      </c>
      <c r="B783" s="296">
        <v>3.2</v>
      </c>
      <c r="C783" s="296">
        <v>3.2</v>
      </c>
      <c r="D783" s="296">
        <v>3.2</v>
      </c>
      <c r="E783" s="296">
        <v>3.2</v>
      </c>
      <c r="F783" s="296">
        <v>3.2</v>
      </c>
      <c r="G783" s="296">
        <v>3.2</v>
      </c>
      <c r="H783" s="296">
        <v>3.2</v>
      </c>
      <c r="I783" s="296">
        <v>3.2</v>
      </c>
      <c r="J783" s="296">
        <v>3.2</v>
      </c>
      <c r="K783" s="295">
        <v>317</v>
      </c>
      <c r="L783" s="295">
        <v>90</v>
      </c>
      <c r="M783" s="295"/>
      <c r="N783" s="295"/>
      <c r="O783" s="296">
        <v>0</v>
      </c>
      <c r="P783" s="296">
        <v>0</v>
      </c>
      <c r="Q783" s="296">
        <v>0</v>
      </c>
      <c r="R783" s="296">
        <v>0</v>
      </c>
      <c r="S783" s="296">
        <v>0</v>
      </c>
      <c r="T783" s="296"/>
      <c r="U783" s="296"/>
      <c r="V783" s="310">
        <f t="shared" si="2"/>
        <v>96.97</v>
      </c>
    </row>
    <row r="784" spans="1:28">
      <c r="A784" s="295">
        <v>100</v>
      </c>
      <c r="B784" s="296">
        <v>3.3</v>
      </c>
      <c r="C784" s="296">
        <v>3.3</v>
      </c>
      <c r="D784" s="296">
        <v>3.3</v>
      </c>
      <c r="E784" s="296">
        <v>3.3</v>
      </c>
      <c r="F784" s="296">
        <v>3.3</v>
      </c>
      <c r="G784" s="296">
        <v>3.3</v>
      </c>
      <c r="H784" s="296">
        <v>3.3</v>
      </c>
      <c r="I784" s="296">
        <v>3.3</v>
      </c>
      <c r="J784" s="296">
        <v>3.3</v>
      </c>
      <c r="K784" s="295">
        <v>307</v>
      </c>
      <c r="L784" s="295">
        <v>100</v>
      </c>
      <c r="M784" s="295"/>
      <c r="N784" s="295"/>
      <c r="O784" s="296">
        <v>0</v>
      </c>
      <c r="P784" s="296">
        <v>0</v>
      </c>
      <c r="Q784" s="296">
        <v>0</v>
      </c>
      <c r="R784" s="296">
        <v>0</v>
      </c>
      <c r="S784" s="296">
        <v>0</v>
      </c>
      <c r="T784" s="296"/>
      <c r="U784" s="296"/>
      <c r="V784" s="310">
        <f t="shared" si="2"/>
        <v>100</v>
      </c>
    </row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spans="1:22" hidden="1"/>
    <row r="882" spans="1:22" hidden="1"/>
    <row r="883" spans="1:22" hidden="1"/>
    <row r="884" spans="1:22" hidden="1"/>
    <row r="885" spans="1:22" hidden="1"/>
    <row r="886" spans="1:22" hidden="1"/>
    <row r="887" spans="1:22" hidden="1"/>
    <row r="888" spans="1:22" hidden="1"/>
    <row r="889" spans="1:22" hidden="1"/>
    <row r="890" spans="1:22" hidden="1"/>
    <row r="891" spans="1:22" hidden="1"/>
    <row r="892" spans="1:22" hidden="1"/>
    <row r="893" spans="1:22" hidden="1"/>
    <row r="894" spans="1:22" hidden="1"/>
    <row r="895" spans="1:22" hidden="1"/>
    <row r="896" spans="1:22">
      <c r="A896" s="892" t="s">
        <v>406</v>
      </c>
      <c r="B896" s="892"/>
      <c r="C896" s="892"/>
      <c r="D896" s="892"/>
      <c r="E896" s="892"/>
      <c r="F896" s="892"/>
      <c r="G896" s="892"/>
      <c r="H896" s="892"/>
      <c r="I896" s="892"/>
      <c r="J896" s="892"/>
      <c r="K896" s="892"/>
      <c r="L896" s="892"/>
      <c r="M896" s="892"/>
      <c r="N896" s="892"/>
      <c r="O896" s="892"/>
      <c r="P896" s="892"/>
      <c r="Q896" s="892"/>
      <c r="R896" s="892"/>
      <c r="S896" s="892"/>
      <c r="T896" s="892"/>
      <c r="U896" s="892"/>
      <c r="V896" s="892"/>
    </row>
    <row r="897" spans="1:28">
      <c r="A897" t="s">
        <v>256</v>
      </c>
      <c r="B897">
        <v>-1</v>
      </c>
      <c r="C897">
        <v>0</v>
      </c>
      <c r="D897">
        <v>0.5</v>
      </c>
      <c r="E897">
        <v>1</v>
      </c>
      <c r="F897">
        <v>1.5</v>
      </c>
      <c r="G897">
        <v>2</v>
      </c>
      <c r="H897">
        <v>3</v>
      </c>
      <c r="I897">
        <v>4</v>
      </c>
      <c r="J897">
        <v>3</v>
      </c>
      <c r="K897" t="s">
        <v>35</v>
      </c>
      <c r="L897" t="s">
        <v>256</v>
      </c>
      <c r="M897">
        <v>-4</v>
      </c>
      <c r="N897">
        <v>-3</v>
      </c>
      <c r="O897">
        <v>-2</v>
      </c>
      <c r="P897">
        <v>-1</v>
      </c>
      <c r="Q897">
        <v>0</v>
      </c>
      <c r="R897">
        <v>1</v>
      </c>
      <c r="S897">
        <v>2</v>
      </c>
      <c r="T897">
        <v>3</v>
      </c>
      <c r="U897">
        <v>4</v>
      </c>
      <c r="V897" t="s">
        <v>231</v>
      </c>
      <c r="Y897" s="1">
        <f>heelDraft1</f>
        <v>0</v>
      </c>
      <c r="Z897" s="186">
        <v>130</v>
      </c>
      <c r="AA897" s="186">
        <f>IF((Z897+Z900)&lt;0,Z897,Z897+Z900)</f>
        <v>130</v>
      </c>
      <c r="AB897" s="42">
        <f>IF(AB899=AB898,AB898,Interp1(AA898:AA899,AB898:AB899,AA897))</f>
        <v>0.70699999999999996</v>
      </c>
    </row>
    <row r="898" spans="1:28">
      <c r="A898" s="295">
        <v>0</v>
      </c>
      <c r="B898" s="445">
        <v>0.153</v>
      </c>
      <c r="C898" s="445">
        <v>0.15</v>
      </c>
      <c r="D898" s="445">
        <v>0.14799999999999999</v>
      </c>
      <c r="E898" s="445">
        <v>0.14699999999999999</v>
      </c>
      <c r="F898" s="445">
        <v>0.14499999999999999</v>
      </c>
      <c r="G898" s="445">
        <v>0.14299999999999999</v>
      </c>
      <c r="H898" s="445">
        <v>0.14000000000000001</v>
      </c>
      <c r="I898" s="445">
        <v>0.13700000000000001</v>
      </c>
      <c r="J898" s="296"/>
      <c r="K898" s="295"/>
      <c r="L898" s="295">
        <v>0</v>
      </c>
      <c r="M898" s="445">
        <v>0</v>
      </c>
      <c r="N898" s="445">
        <v>0</v>
      </c>
      <c r="O898" s="445">
        <v>0</v>
      </c>
      <c r="P898" s="445">
        <v>0</v>
      </c>
      <c r="Q898" s="445">
        <v>0</v>
      </c>
      <c r="R898" s="445">
        <v>20.073</v>
      </c>
      <c r="S898" s="445">
        <v>40.158999999999999</v>
      </c>
      <c r="T898" s="445">
        <v>60.268999999999998</v>
      </c>
      <c r="U898" s="445">
        <v>80.415999999999997</v>
      </c>
      <c r="V898" s="310"/>
      <c r="Y898" s="1">
        <f>FLOOR(Z897,10)</f>
        <v>130</v>
      </c>
      <c r="Z898" s="1">
        <f>Interp2(Misc7Heel1,Misc7Heel2,Misc7Heel3,Y898,Y897)</f>
        <v>0</v>
      </c>
      <c r="AA898" s="1">
        <f>FLOOR(AA897,10)</f>
        <v>130</v>
      </c>
      <c r="AB898" s="42">
        <f>IF(Z903=Z902,Z902,Interp1(Y902:Y903,Z902:Z903,Y901))</f>
        <v>0.70699999999999996</v>
      </c>
    </row>
    <row r="899" spans="1:28">
      <c r="A899" s="295">
        <v>50</v>
      </c>
      <c r="B899" s="445">
        <v>0.36799999999999999</v>
      </c>
      <c r="C899" s="445">
        <v>0.36399999999999999</v>
      </c>
      <c r="D899" s="445">
        <v>0.36299999999999999</v>
      </c>
      <c r="E899" s="445">
        <v>0.36099999999999999</v>
      </c>
      <c r="F899" s="445">
        <v>0.35899999999999999</v>
      </c>
      <c r="G899" s="445">
        <v>0.35799999999999998</v>
      </c>
      <c r="H899" s="445">
        <v>0.35399999999999998</v>
      </c>
      <c r="I899" s="445">
        <v>0.35099999999999998</v>
      </c>
      <c r="J899" s="296"/>
      <c r="K899" s="295"/>
      <c r="L899" s="295">
        <v>100</v>
      </c>
      <c r="M899" s="445">
        <v>-76.099999999999994</v>
      </c>
      <c r="N899" s="445">
        <v>-60.268999999999998</v>
      </c>
      <c r="O899" s="445">
        <v>-40.158999999999999</v>
      </c>
      <c r="P899" s="445">
        <v>-20.073</v>
      </c>
      <c r="Q899" s="445">
        <v>0</v>
      </c>
      <c r="R899" s="445">
        <v>20.073</v>
      </c>
      <c r="S899" s="445">
        <v>40.158999999999999</v>
      </c>
      <c r="T899" s="445">
        <v>60.268999999999998</v>
      </c>
      <c r="U899" s="445">
        <v>80.415999999999997</v>
      </c>
      <c r="V899" s="310"/>
      <c r="Y899" s="1">
        <f>IF(Y898=MiscSound7,Y898,CEILING(Z897,10))</f>
        <v>130</v>
      </c>
      <c r="Z899" s="1">
        <f>Interp2(Misc7Heel1,Misc7Heel2,Misc7Heel3,Y899,Y897)</f>
        <v>0</v>
      </c>
      <c r="AA899" s="1">
        <f>CEILING(AA897,10)</f>
        <v>130</v>
      </c>
      <c r="AB899" s="42">
        <f>IF(AA903=AA902,AA902,Interp1(Y902:Y903,AA902:AA903,Y901))</f>
        <v>0.70699999999999996</v>
      </c>
    </row>
    <row r="900" spans="1:28">
      <c r="A900" s="295">
        <v>100</v>
      </c>
      <c r="B900" s="445">
        <v>0.58199999999999996</v>
      </c>
      <c r="C900" s="445">
        <v>0.57899999999999996</v>
      </c>
      <c r="D900" s="445">
        <v>0.57699999999999996</v>
      </c>
      <c r="E900" s="445">
        <v>0.57499999999999996</v>
      </c>
      <c r="F900" s="445">
        <v>0.57399999999999995</v>
      </c>
      <c r="G900" s="445">
        <v>0.57199999999999995</v>
      </c>
      <c r="H900" s="445">
        <v>0.56899999999999995</v>
      </c>
      <c r="I900" s="445">
        <v>0.56499999999999995</v>
      </c>
      <c r="J900" s="296"/>
      <c r="K900" s="295"/>
      <c r="L900" s="295">
        <v>200</v>
      </c>
      <c r="M900" s="445">
        <v>-80.415999999999997</v>
      </c>
      <c r="N900" s="445">
        <v>-60.268999999999998</v>
      </c>
      <c r="O900" s="445">
        <v>-40.158999999999999</v>
      </c>
      <c r="P900" s="445">
        <v>-20.073</v>
      </c>
      <c r="Q900" s="445">
        <v>0</v>
      </c>
      <c r="R900" s="445">
        <v>20.073</v>
      </c>
      <c r="S900" s="445">
        <v>40.158999999999999</v>
      </c>
      <c r="T900" s="445">
        <v>60.268999999999998</v>
      </c>
      <c r="U900" s="445">
        <v>80.415999999999997</v>
      </c>
      <c r="V900" s="310"/>
      <c r="Y900" s="1"/>
      <c r="Z900" s="1">
        <f>IF(Z899=Z898,Z898,Interp1(Y898:Y899,Z898:Z899,Z897))</f>
        <v>0</v>
      </c>
      <c r="AA900" s="1"/>
      <c r="AB900" s="42"/>
    </row>
    <row r="901" spans="1:28">
      <c r="A901" s="295">
        <v>150</v>
      </c>
      <c r="B901" s="445">
        <v>0.79600000000000004</v>
      </c>
      <c r="C901" s="445">
        <v>0.79300000000000004</v>
      </c>
      <c r="D901" s="445">
        <v>0.79100000000000004</v>
      </c>
      <c r="E901" s="445">
        <v>0.79</v>
      </c>
      <c r="F901" s="445">
        <v>0.78800000000000003</v>
      </c>
      <c r="G901" s="445">
        <v>0.78600000000000003</v>
      </c>
      <c r="H901" s="445">
        <v>0.78300000000000003</v>
      </c>
      <c r="I901" s="445">
        <v>0.78</v>
      </c>
      <c r="J901" s="296"/>
      <c r="K901" s="295"/>
      <c r="L901" s="295">
        <v>300</v>
      </c>
      <c r="M901" s="445">
        <v>-80.415999999999997</v>
      </c>
      <c r="N901" s="445">
        <v>-60.268999999999998</v>
      </c>
      <c r="O901" s="445">
        <v>-40.158999999999999</v>
      </c>
      <c r="P901" s="445">
        <v>-20.073</v>
      </c>
      <c r="Q901" s="445">
        <v>0</v>
      </c>
      <c r="R901" s="445">
        <v>20.073</v>
      </c>
      <c r="S901" s="445">
        <v>40.158999999999999</v>
      </c>
      <c r="T901" s="445">
        <v>60.268999999999998</v>
      </c>
      <c r="U901" s="445">
        <v>80.415999999999997</v>
      </c>
      <c r="V901" s="310"/>
      <c r="Y901" s="1">
        <f>trimDraft</f>
        <v>0.149999999999999</v>
      </c>
      <c r="Z901" s="1"/>
      <c r="AA901" s="1"/>
      <c r="AB901" s="1"/>
    </row>
    <row r="902" spans="1:28">
      <c r="A902" s="295">
        <v>200</v>
      </c>
      <c r="B902" s="445">
        <v>1.0109999999999999</v>
      </c>
      <c r="C902" s="445">
        <v>1.0069999999999999</v>
      </c>
      <c r="D902" s="445">
        <v>1.006</v>
      </c>
      <c r="E902" s="445">
        <v>1.004</v>
      </c>
      <c r="F902" s="445">
        <v>1.002</v>
      </c>
      <c r="G902" s="445">
        <v>1.0009999999999999</v>
      </c>
      <c r="H902" s="445">
        <v>0.997</v>
      </c>
      <c r="I902" s="445">
        <v>0.99399999999999999</v>
      </c>
      <c r="J902" s="296"/>
      <c r="K902" s="295"/>
      <c r="L902" s="295">
        <v>400</v>
      </c>
      <c r="M902" s="445">
        <v>-80.415999999999997</v>
      </c>
      <c r="N902" s="445">
        <v>-60.268999999999998</v>
      </c>
      <c r="O902" s="445">
        <v>-40.158999999999999</v>
      </c>
      <c r="P902" s="445">
        <v>-20.073</v>
      </c>
      <c r="Q902" s="445">
        <v>0</v>
      </c>
      <c r="R902" s="445">
        <v>20.073</v>
      </c>
      <c r="S902" s="445">
        <v>40.158999999999999</v>
      </c>
      <c r="T902" s="445">
        <v>60.268999999999998</v>
      </c>
      <c r="U902" s="445">
        <v>80.415999999999997</v>
      </c>
      <c r="V902" s="310"/>
      <c r="Y902" s="1">
        <f>INDEX(Misc7Trim2,0,MATCH(Y901,Misc7Trim2,1))</f>
        <v>0</v>
      </c>
      <c r="Z902" s="1">
        <f>Interp2(Misc7Trim1,Misc7Trim2,Misc7Trim3,AA898,Y902)</f>
        <v>0.70740000000000003</v>
      </c>
      <c r="AA902" s="1">
        <f>Interp2(Misc7Trim1,Misc7Trim2,Misc7Trim3,AA899,Y902)</f>
        <v>0.70740000000000003</v>
      </c>
      <c r="AB902" s="1"/>
    </row>
    <row r="903" spans="1:28">
      <c r="A903" s="295">
        <v>250</v>
      </c>
      <c r="B903" s="445">
        <v>1.2250000000000001</v>
      </c>
      <c r="C903" s="445">
        <v>1.222</v>
      </c>
      <c r="D903" s="445">
        <v>1.22</v>
      </c>
      <c r="E903" s="445">
        <v>1.218</v>
      </c>
      <c r="F903" s="445">
        <v>1.2170000000000001</v>
      </c>
      <c r="G903" s="445">
        <v>1.2150000000000001</v>
      </c>
      <c r="H903" s="445">
        <v>1.212</v>
      </c>
      <c r="I903" s="445">
        <v>1.208</v>
      </c>
      <c r="J903" s="296"/>
      <c r="K903" s="295"/>
      <c r="L903" s="295">
        <v>500</v>
      </c>
      <c r="M903" s="445">
        <v>-80.415999999999997</v>
      </c>
      <c r="N903" s="445">
        <v>-60.268999999999998</v>
      </c>
      <c r="O903" s="445">
        <v>-40.158999999999999</v>
      </c>
      <c r="P903" s="445">
        <v>-20.073</v>
      </c>
      <c r="Q903" s="445">
        <v>0</v>
      </c>
      <c r="R903" s="445">
        <v>20.073</v>
      </c>
      <c r="S903" s="445">
        <v>40.158999999999999</v>
      </c>
      <c r="T903" s="445">
        <v>60.268999999999998</v>
      </c>
      <c r="U903" s="445">
        <v>80.415999999999997</v>
      </c>
      <c r="V903" s="310"/>
      <c r="Y903" s="1">
        <f>IF(Y902=Y901,Y901,INDEX(Misc7Trim2,0,MATCH(Y901,Misc7Trim2,1)+1))</f>
        <v>0.5</v>
      </c>
      <c r="Z903" s="1">
        <f>Interp2(Misc7Trim1,Misc7Trim2,Misc7Trim3,AA898,Y903)</f>
        <v>0.70540000000000003</v>
      </c>
      <c r="AA903" s="1">
        <f>Interp2(Misc7Trim1,Misc7Trim2,Misc7Trim3,AA899,Y903)</f>
        <v>0.70540000000000003</v>
      </c>
      <c r="AB903" s="1"/>
    </row>
    <row r="904" spans="1:28">
      <c r="A904" s="295">
        <v>300</v>
      </c>
      <c r="B904" s="445">
        <v>1.4390000000000001</v>
      </c>
      <c r="C904" s="445">
        <v>1.4359999999999999</v>
      </c>
      <c r="D904" s="445">
        <v>1.4339999999999999</v>
      </c>
      <c r="E904" s="445">
        <v>1.4330000000000001</v>
      </c>
      <c r="F904" s="445">
        <v>1.431</v>
      </c>
      <c r="G904" s="445">
        <v>1.429</v>
      </c>
      <c r="H904" s="445">
        <v>1.4259999999999999</v>
      </c>
      <c r="I904" s="445">
        <v>1.423</v>
      </c>
      <c r="J904" s="296"/>
      <c r="K904" s="295"/>
      <c r="L904" s="295">
        <v>600</v>
      </c>
      <c r="M904" s="445">
        <v>-80.415999999999997</v>
      </c>
      <c r="N904" s="445">
        <v>-60.268999999999998</v>
      </c>
      <c r="O904" s="445">
        <v>-40.158999999999999</v>
      </c>
      <c r="P904" s="445">
        <v>-20.073</v>
      </c>
      <c r="Q904" s="445">
        <v>0</v>
      </c>
      <c r="R904" s="445">
        <v>20.073</v>
      </c>
      <c r="S904" s="445">
        <v>40.158999999999999</v>
      </c>
      <c r="T904" s="445">
        <v>60.268999999999998</v>
      </c>
      <c r="U904" s="445">
        <v>80.415999999999997</v>
      </c>
      <c r="V904" s="310"/>
    </row>
    <row r="905" spans="1:28">
      <c r="A905" s="295">
        <v>350</v>
      </c>
      <c r="B905" s="445">
        <v>1.6539999999999999</v>
      </c>
      <c r="C905" s="445">
        <v>1.65</v>
      </c>
      <c r="D905" s="445">
        <v>1.649</v>
      </c>
      <c r="E905" s="445">
        <v>1.647</v>
      </c>
      <c r="F905" s="445">
        <v>1.645</v>
      </c>
      <c r="G905" s="445">
        <v>1.6439999999999999</v>
      </c>
      <c r="H905" s="445">
        <v>1.64</v>
      </c>
      <c r="I905" s="445">
        <v>1.637</v>
      </c>
      <c r="J905" s="296"/>
      <c r="K905" s="295"/>
      <c r="L905" s="295">
        <v>700</v>
      </c>
      <c r="M905" s="445">
        <v>-80.415999999999997</v>
      </c>
      <c r="N905" s="445">
        <v>-60.268999999999998</v>
      </c>
      <c r="O905" s="445">
        <v>-40.158999999999999</v>
      </c>
      <c r="P905" s="445">
        <v>-20.073</v>
      </c>
      <c r="Q905" s="445">
        <v>0</v>
      </c>
      <c r="R905" s="445">
        <v>20.073</v>
      </c>
      <c r="S905" s="445">
        <v>40.158999999999999</v>
      </c>
      <c r="T905" s="445">
        <v>60.268999999999998</v>
      </c>
      <c r="U905" s="445">
        <v>80.415999999999997</v>
      </c>
      <c r="V905" s="310"/>
      <c r="Y905">
        <f>COUNT(A898:U908)</f>
        <v>209</v>
      </c>
    </row>
    <row r="906" spans="1:28">
      <c r="A906" s="295">
        <v>400</v>
      </c>
      <c r="B906" s="445">
        <v>1.8680000000000001</v>
      </c>
      <c r="C906" s="445">
        <v>1.865</v>
      </c>
      <c r="D906" s="445">
        <v>1.863</v>
      </c>
      <c r="E906" s="445">
        <v>1.861</v>
      </c>
      <c r="F906" s="445">
        <v>1.86</v>
      </c>
      <c r="G906" s="445">
        <v>1.8580000000000001</v>
      </c>
      <c r="H906" s="445">
        <v>1.855</v>
      </c>
      <c r="I906" s="445">
        <v>1.851</v>
      </c>
      <c r="J906" s="296"/>
      <c r="K906" s="295"/>
      <c r="L906" s="295">
        <v>800</v>
      </c>
      <c r="M906" s="445">
        <v>-80.415999999999997</v>
      </c>
      <c r="N906" s="445">
        <v>-60.268999999999998</v>
      </c>
      <c r="O906" s="445">
        <v>-40.158999999999999</v>
      </c>
      <c r="P906" s="445">
        <v>-20.073</v>
      </c>
      <c r="Q906" s="445">
        <v>0</v>
      </c>
      <c r="R906" s="445">
        <v>20.074000000000002</v>
      </c>
      <c r="S906" s="445">
        <v>40.158999999999999</v>
      </c>
      <c r="T906" s="445">
        <v>60.268999999999998</v>
      </c>
      <c r="U906" s="445">
        <v>80.125</v>
      </c>
      <c r="V906" s="310"/>
      <c r="Y906">
        <f>COUNTA(A898:U908)</f>
        <v>209</v>
      </c>
    </row>
    <row r="907" spans="1:28">
      <c r="A907" s="295">
        <v>450</v>
      </c>
      <c r="B907" s="445">
        <v>2.0819999999999999</v>
      </c>
      <c r="C907" s="445">
        <v>2.0790000000000002</v>
      </c>
      <c r="D907" s="445">
        <v>2.077</v>
      </c>
      <c r="E907" s="445">
        <v>2.0760000000000001</v>
      </c>
      <c r="F907" s="445">
        <v>2.0739999999999998</v>
      </c>
      <c r="G907" s="445">
        <v>2.0720000000000001</v>
      </c>
      <c r="H907" s="445">
        <v>2.069</v>
      </c>
      <c r="I907" s="445">
        <v>2.0659999999999998</v>
      </c>
      <c r="J907" s="296"/>
      <c r="K907" s="295"/>
      <c r="L907" s="295">
        <v>900</v>
      </c>
      <c r="M907" s="445">
        <v>-80.415999999999997</v>
      </c>
      <c r="N907" s="445">
        <v>-60.268999999999998</v>
      </c>
      <c r="O907" s="445">
        <v>-40.158999999999999</v>
      </c>
      <c r="P907" s="445">
        <v>-20.073</v>
      </c>
      <c r="Q907" s="445">
        <v>0</v>
      </c>
      <c r="R907" s="445">
        <v>30.882000000000001</v>
      </c>
      <c r="S907" s="445">
        <v>57.628</v>
      </c>
      <c r="T907" s="445">
        <v>68.825999999999993</v>
      </c>
      <c r="U907" s="445">
        <v>74.319999999999993</v>
      </c>
      <c r="V907" s="310"/>
    </row>
    <row r="908" spans="1:28">
      <c r="A908" s="295">
        <v>500</v>
      </c>
      <c r="B908" s="445">
        <v>2.2970000000000002</v>
      </c>
      <c r="C908" s="445">
        <v>2.2930000000000001</v>
      </c>
      <c r="D908" s="445">
        <v>2.2919999999999998</v>
      </c>
      <c r="E908" s="445">
        <v>2.29</v>
      </c>
      <c r="F908" s="445">
        <v>2.2879999999999998</v>
      </c>
      <c r="G908" s="445">
        <v>2.2869999999999999</v>
      </c>
      <c r="H908" s="445">
        <v>2.2829999999999999</v>
      </c>
      <c r="I908" s="445">
        <v>2.2799999999999998</v>
      </c>
      <c r="J908" s="296"/>
      <c r="K908" s="295"/>
      <c r="L908" s="295">
        <v>1000</v>
      </c>
      <c r="M908" s="445">
        <v>-79.853999999999999</v>
      </c>
      <c r="N908" s="445">
        <v>-50.296999999999997</v>
      </c>
      <c r="O908" s="445">
        <v>-22.45</v>
      </c>
      <c r="P908" s="445">
        <v>-1.258</v>
      </c>
      <c r="Q908" s="445">
        <v>0</v>
      </c>
      <c r="R908" s="445">
        <v>0</v>
      </c>
      <c r="S908" s="445">
        <v>0</v>
      </c>
      <c r="T908" s="445">
        <v>0</v>
      </c>
      <c r="U908" s="445">
        <v>0</v>
      </c>
      <c r="V908" s="310"/>
    </row>
    <row r="909" spans="1:28" hidden="1">
      <c r="A909" s="12" t="s">
        <v>456</v>
      </c>
      <c r="B909" s="12" t="s">
        <v>457</v>
      </c>
      <c r="C909" s="12">
        <v>2.508</v>
      </c>
      <c r="D909" s="12">
        <v>2.5059999999999998</v>
      </c>
      <c r="E909" s="12">
        <v>2.504</v>
      </c>
      <c r="F909" s="12">
        <v>2.5030000000000001</v>
      </c>
      <c r="G909" s="12">
        <v>2.5009999999999999</v>
      </c>
      <c r="H909" s="12">
        <v>2.4980000000000002</v>
      </c>
      <c r="I909" s="12" t="s">
        <v>458</v>
      </c>
      <c r="L909" s="12">
        <v>3809</v>
      </c>
      <c r="M909" s="12">
        <v>0</v>
      </c>
      <c r="N909" s="12">
        <v>0</v>
      </c>
      <c r="O909" s="12">
        <v>0</v>
      </c>
      <c r="P909" s="12">
        <v>0</v>
      </c>
      <c r="Q909" s="12">
        <v>0</v>
      </c>
      <c r="R909" s="12">
        <v>0</v>
      </c>
      <c r="S909" s="12">
        <v>0</v>
      </c>
      <c r="T909" s="12">
        <v>0</v>
      </c>
    </row>
    <row r="910" spans="1:28" hidden="1">
      <c r="A910" s="12">
        <v>600</v>
      </c>
      <c r="B910" s="12">
        <v>2.7250000000000001</v>
      </c>
      <c r="C910" s="12">
        <v>2.722</v>
      </c>
      <c r="D910" s="12">
        <v>2.72</v>
      </c>
      <c r="E910" s="12">
        <v>2.7189999999999999</v>
      </c>
      <c r="F910" s="12">
        <v>2.7170000000000001</v>
      </c>
      <c r="G910" s="12">
        <v>2.7149999999999999</v>
      </c>
      <c r="H910" s="12">
        <v>2.7120000000000002</v>
      </c>
      <c r="I910" s="12">
        <v>2.7090000000000001</v>
      </c>
    </row>
    <row r="911" spans="1:28" hidden="1">
      <c r="A911" s="12">
        <v>650</v>
      </c>
      <c r="B911" s="12">
        <v>2.94</v>
      </c>
      <c r="C911" s="12">
        <v>2.9359999999999999</v>
      </c>
      <c r="D911" s="12">
        <v>2.9350000000000001</v>
      </c>
      <c r="E911" s="12">
        <v>2.9329999999999998</v>
      </c>
      <c r="F911" s="12">
        <v>2.931</v>
      </c>
      <c r="G911" s="12">
        <v>2.93</v>
      </c>
      <c r="H911" s="12">
        <v>2.9260000000000002</v>
      </c>
      <c r="I911" s="12" t="s">
        <v>459</v>
      </c>
    </row>
    <row r="912" spans="1:28" hidden="1">
      <c r="A912" s="12">
        <v>70</v>
      </c>
      <c r="B912" s="12">
        <v>3.1539999999999999</v>
      </c>
      <c r="C912" s="12">
        <v>3.1509999999999998</v>
      </c>
      <c r="D912" s="12">
        <v>3.149</v>
      </c>
      <c r="E912" s="12">
        <v>3.1469999999999998</v>
      </c>
      <c r="F912" s="12">
        <v>3.1459999999999999</v>
      </c>
      <c r="G912" s="12">
        <v>3.1440000000000001</v>
      </c>
      <c r="H912" s="12">
        <v>3.141</v>
      </c>
      <c r="I912" s="12">
        <v>3.137</v>
      </c>
    </row>
    <row r="913" spans="1:9" hidden="1">
      <c r="A913" s="12">
        <v>750</v>
      </c>
      <c r="B913" s="12">
        <v>3.3679999999999999</v>
      </c>
      <c r="C913" s="12">
        <v>3.3650000000000002</v>
      </c>
      <c r="D913" s="12">
        <v>3.363</v>
      </c>
      <c r="E913" s="12">
        <v>3.3620000000000001</v>
      </c>
      <c r="F913" s="12">
        <v>3.36</v>
      </c>
      <c r="G913" s="12">
        <v>3.3580000000000001</v>
      </c>
      <c r="H913" s="12">
        <v>3.355</v>
      </c>
      <c r="I913" s="12">
        <v>3.3519999999999999</v>
      </c>
    </row>
    <row r="914" spans="1:9" hidden="1">
      <c r="A914" s="12">
        <v>800</v>
      </c>
      <c r="B914" s="12">
        <v>3.5830000000000002</v>
      </c>
      <c r="C914" s="12">
        <v>3.5790000000000002</v>
      </c>
      <c r="D914" s="12">
        <v>3.5779999999999998</v>
      </c>
      <c r="E914" s="12">
        <v>3.5760000000000001</v>
      </c>
      <c r="F914" s="12">
        <v>3.5739999999999998</v>
      </c>
      <c r="G914" s="12">
        <v>3.573</v>
      </c>
      <c r="H914" s="12">
        <v>3.569</v>
      </c>
      <c r="I914" s="12">
        <v>3.5659999999999998</v>
      </c>
    </row>
    <row r="915" spans="1:9" hidden="1">
      <c r="A915" s="12">
        <v>850</v>
      </c>
      <c r="B915" s="12">
        <v>3.7970000000000002</v>
      </c>
      <c r="C915" s="12">
        <v>3.794</v>
      </c>
      <c r="D915" s="12">
        <v>3.7919999999999998</v>
      </c>
      <c r="E915" s="12">
        <v>3.79</v>
      </c>
      <c r="F915" s="12">
        <v>3.7890000000000001</v>
      </c>
      <c r="G915" s="12">
        <v>3.7869999999999999</v>
      </c>
      <c r="H915" s="12">
        <v>3.7839999999999998</v>
      </c>
      <c r="I915" s="12">
        <v>3.78</v>
      </c>
    </row>
    <row r="916" spans="1:9" hidden="1">
      <c r="A916" s="12">
        <v>900</v>
      </c>
      <c r="B916" s="12" t="s">
        <v>460</v>
      </c>
      <c r="C916" s="12">
        <v>4.008</v>
      </c>
      <c r="D916" s="12">
        <v>4.0060000000000002</v>
      </c>
      <c r="E916" s="12">
        <v>4.0049999999999999</v>
      </c>
      <c r="F916" s="12">
        <v>4.0030000000000001</v>
      </c>
      <c r="G916" s="12">
        <v>4.0010000000000003</v>
      </c>
      <c r="H916" s="12">
        <v>3.9980000000000002</v>
      </c>
      <c r="I916" s="12">
        <v>3.9950000000000001</v>
      </c>
    </row>
    <row r="917" spans="1:9" hidden="1">
      <c r="A917" s="12">
        <v>950</v>
      </c>
      <c r="B917" s="12">
        <v>4.226</v>
      </c>
      <c r="C917" s="12">
        <v>4.2220000000000004</v>
      </c>
      <c r="D917" s="12">
        <v>4.2210000000000001</v>
      </c>
      <c r="E917" s="12">
        <v>4.2190000000000003</v>
      </c>
      <c r="F917" s="12">
        <v>4.2169999999999996</v>
      </c>
      <c r="G917" s="12">
        <v>4.2160000000000002</v>
      </c>
      <c r="H917" s="12">
        <v>4.2119999999999997</v>
      </c>
      <c r="I917" s="12">
        <v>4.2089999999999996</v>
      </c>
    </row>
    <row r="918" spans="1:9" hidden="1">
      <c r="A918" s="12">
        <v>1000</v>
      </c>
      <c r="B918" s="12">
        <v>4.2869999999999999</v>
      </c>
      <c r="C918" s="12">
        <v>4.2869999999999999</v>
      </c>
      <c r="D918" s="12">
        <v>4.2869999999999999</v>
      </c>
      <c r="E918" s="12">
        <v>4.2869999999999999</v>
      </c>
      <c r="F918" s="12">
        <v>4.2869999999999999</v>
      </c>
      <c r="G918" s="12">
        <v>4.2869999999999999</v>
      </c>
      <c r="H918" s="12">
        <v>4.2869999999999999</v>
      </c>
      <c r="I918" s="12" t="s">
        <v>461</v>
      </c>
    </row>
    <row r="919" spans="1:9" hidden="1">
      <c r="A919" s="12">
        <v>3809</v>
      </c>
      <c r="B919" s="12">
        <v>4.2869999999999999</v>
      </c>
      <c r="C919" s="12">
        <v>4.2869999999999999</v>
      </c>
      <c r="D919" s="12">
        <v>4.2869999999999999</v>
      </c>
      <c r="E919" s="12">
        <v>4.2869999999999999</v>
      </c>
      <c r="F919" s="12">
        <v>4.2869999999999999</v>
      </c>
      <c r="G919" s="12" t="s">
        <v>462</v>
      </c>
      <c r="H919" s="12">
        <v>4.2869999999999999</v>
      </c>
      <c r="I919" s="12" t="s">
        <v>463</v>
      </c>
    </row>
    <row r="920" spans="1:9" hidden="1"/>
    <row r="921" spans="1:9" hidden="1"/>
    <row r="922" spans="1:9" hidden="1"/>
    <row r="923" spans="1:9" hidden="1"/>
    <row r="924" spans="1:9" hidden="1"/>
    <row r="925" spans="1:9" hidden="1"/>
    <row r="926" spans="1:9" hidden="1"/>
    <row r="927" spans="1:9" hidden="1"/>
    <row r="928" spans="1:9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15" spans="1:28">
      <c r="A1015" s="892" t="s">
        <v>407</v>
      </c>
      <c r="B1015" s="892"/>
      <c r="C1015" s="892"/>
      <c r="D1015" s="892"/>
      <c r="E1015" s="892"/>
      <c r="F1015" s="892"/>
      <c r="G1015" s="892"/>
      <c r="H1015" s="892"/>
      <c r="I1015" s="892"/>
      <c r="J1015" s="892"/>
      <c r="K1015" s="892"/>
      <c r="L1015" s="892"/>
      <c r="M1015" s="892"/>
      <c r="N1015" s="892"/>
      <c r="O1015" s="892"/>
      <c r="P1015" s="892"/>
      <c r="Q1015" s="892"/>
      <c r="R1015" s="892"/>
      <c r="S1015" s="892"/>
      <c r="T1015" s="892"/>
      <c r="U1015" s="892"/>
      <c r="V1015" s="892"/>
    </row>
    <row r="1016" spans="1:28">
      <c r="A1016" t="s">
        <v>256</v>
      </c>
      <c r="B1016">
        <v>-1</v>
      </c>
      <c r="C1016">
        <v>-0.5</v>
      </c>
      <c r="D1016">
        <v>0</v>
      </c>
      <c r="E1016">
        <v>0.5</v>
      </c>
      <c r="F1016">
        <v>1</v>
      </c>
      <c r="G1016">
        <v>1.5</v>
      </c>
      <c r="H1016">
        <v>2</v>
      </c>
      <c r="I1016">
        <v>2.5</v>
      </c>
      <c r="J1016">
        <v>3</v>
      </c>
      <c r="K1016" t="s">
        <v>35</v>
      </c>
      <c r="L1016" t="s">
        <v>256</v>
      </c>
      <c r="O1016">
        <v>-2</v>
      </c>
      <c r="P1016">
        <v>-1</v>
      </c>
      <c r="Q1016">
        <v>0</v>
      </c>
      <c r="R1016">
        <v>1</v>
      </c>
      <c r="S1016">
        <v>2</v>
      </c>
      <c r="V1016" t="s">
        <v>231</v>
      </c>
      <c r="Y1016" s="1">
        <f>heelDraft1</f>
        <v>0</v>
      </c>
      <c r="Z1016" s="186"/>
      <c r="AA1016" s="186">
        <f>IF((Z1016+Z1019)&lt;0,Z1016,Z1016+Z1019)</f>
        <v>0</v>
      </c>
      <c r="AB1016" s="42">
        <f>IF(AB1018=AB1017,AB1017,Interp1(AA1017:AA1018,AB1017:AB1018,AA1016))</f>
        <v>0.1</v>
      </c>
    </row>
    <row r="1017" spans="1:28">
      <c r="A1017" s="295">
        <v>0</v>
      </c>
      <c r="B1017" s="296">
        <v>0.1</v>
      </c>
      <c r="C1017" s="296">
        <v>0.1</v>
      </c>
      <c r="D1017" s="296">
        <v>0.1</v>
      </c>
      <c r="E1017" s="296">
        <v>0.1</v>
      </c>
      <c r="F1017" s="296">
        <v>0.1</v>
      </c>
      <c r="G1017" s="296">
        <v>0.1</v>
      </c>
      <c r="H1017" s="296">
        <v>0.1</v>
      </c>
      <c r="I1017" s="296">
        <v>0.1</v>
      </c>
      <c r="J1017" s="296">
        <v>0.1</v>
      </c>
      <c r="K1017" s="295">
        <v>791</v>
      </c>
      <c r="L1017" s="295">
        <v>0</v>
      </c>
      <c r="M1017" s="295"/>
      <c r="N1017" s="295"/>
      <c r="O1017" s="296">
        <v>0</v>
      </c>
      <c r="P1017" s="296">
        <v>0</v>
      </c>
      <c r="Q1017" s="296">
        <v>0</v>
      </c>
      <c r="R1017" s="296">
        <v>0</v>
      </c>
      <c r="S1017" s="296">
        <v>0</v>
      </c>
      <c r="T1017" s="296"/>
      <c r="U1017" s="296"/>
      <c r="V1017" s="310">
        <f>(D1017/26.7)*100</f>
        <v>0.37</v>
      </c>
      <c r="Y1017" s="1">
        <f>FLOOR(Z1016,10)</f>
        <v>0</v>
      </c>
      <c r="Z1017" s="1">
        <f>Interp2(Misc8Heel1,Misc8Heel2,Misc8Heel3,Y1017,Y1016)</f>
        <v>0</v>
      </c>
      <c r="AA1017" s="1">
        <f>FLOOR(AA1016,10)</f>
        <v>0</v>
      </c>
      <c r="AB1017" s="42">
        <f>IF(Z1022=Z1021,Z1021,Interp1(Y1021:Y1022,Z1021:Z1022,Y1020))</f>
        <v>0.1</v>
      </c>
    </row>
    <row r="1018" spans="1:28">
      <c r="A1018" s="295">
        <v>10</v>
      </c>
      <c r="B1018" s="296">
        <v>0.3</v>
      </c>
      <c r="C1018" s="296">
        <v>0.3</v>
      </c>
      <c r="D1018" s="296">
        <v>0.3</v>
      </c>
      <c r="E1018" s="296">
        <v>0.3</v>
      </c>
      <c r="F1018" s="296">
        <v>0.3</v>
      </c>
      <c r="G1018" s="296">
        <v>0.3</v>
      </c>
      <c r="H1018" s="296">
        <v>0.3</v>
      </c>
      <c r="I1018" s="296">
        <v>0.4</v>
      </c>
      <c r="J1018" s="296">
        <v>0.4</v>
      </c>
      <c r="K1018" s="295">
        <v>781</v>
      </c>
      <c r="L1018" s="295">
        <v>10</v>
      </c>
      <c r="M1018" s="295"/>
      <c r="N1018" s="295"/>
      <c r="O1018" s="296">
        <v>0</v>
      </c>
      <c r="P1018" s="296">
        <v>0</v>
      </c>
      <c r="Q1018" s="296">
        <v>0</v>
      </c>
      <c r="R1018" s="296">
        <v>0</v>
      </c>
      <c r="S1018" s="296">
        <v>0</v>
      </c>
      <c r="T1018" s="296"/>
      <c r="U1018" s="296"/>
      <c r="V1018" s="310">
        <f t="shared" ref="V1018:V1046" si="3">(D1018/26.7)*100</f>
        <v>1.1200000000000001</v>
      </c>
      <c r="Y1018" s="1">
        <f>IF(Y1017=MiscSound8,Y1017,CEILING(Z1016,10))</f>
        <v>0</v>
      </c>
      <c r="Z1018" s="1">
        <f>Interp2(Misc8Heel1,Misc8Heel2,Misc8Heel3,Y1018,Y1016)</f>
        <v>0</v>
      </c>
      <c r="AA1018" s="1">
        <f>CEILING(AA1016,10)</f>
        <v>0</v>
      </c>
      <c r="AB1018" s="42">
        <f>IF(AA1022=AA1021,AA1021,Interp1(Y1021:Y1022,AA1021:AA1022,Y1020))</f>
        <v>0.1</v>
      </c>
    </row>
    <row r="1019" spans="1:28">
      <c r="A1019" s="295">
        <v>20</v>
      </c>
      <c r="B1019" s="296">
        <v>0.7</v>
      </c>
      <c r="C1019" s="296">
        <v>0.7</v>
      </c>
      <c r="D1019" s="296">
        <v>0.7</v>
      </c>
      <c r="E1019" s="296">
        <v>0.8</v>
      </c>
      <c r="F1019" s="296">
        <v>0.8</v>
      </c>
      <c r="G1019" s="296">
        <v>0.8</v>
      </c>
      <c r="H1019" s="296">
        <v>0.8</v>
      </c>
      <c r="I1019" s="296">
        <v>0.8</v>
      </c>
      <c r="J1019" s="296">
        <v>0.8</v>
      </c>
      <c r="K1019" s="295">
        <v>771</v>
      </c>
      <c r="L1019" s="295">
        <v>20</v>
      </c>
      <c r="M1019" s="295"/>
      <c r="N1019" s="295"/>
      <c r="O1019" s="296">
        <v>0</v>
      </c>
      <c r="P1019" s="296">
        <v>0</v>
      </c>
      <c r="Q1019" s="296">
        <v>0</v>
      </c>
      <c r="R1019" s="296">
        <v>0</v>
      </c>
      <c r="S1019" s="296">
        <v>0</v>
      </c>
      <c r="T1019" s="296"/>
      <c r="U1019" s="296"/>
      <c r="V1019" s="310">
        <f t="shared" si="3"/>
        <v>2.62</v>
      </c>
      <c r="Y1019" s="1"/>
      <c r="Z1019" s="1">
        <f>IF(Z1018=Z1017,Z1017,Interp1(Y1017:Y1018,Z1017:Z1018,Z1016))</f>
        <v>0</v>
      </c>
      <c r="AA1019" s="1"/>
      <c r="AB1019" s="42"/>
    </row>
    <row r="1020" spans="1:28">
      <c r="A1020" s="295">
        <v>30</v>
      </c>
      <c r="B1020" s="296">
        <v>1.3</v>
      </c>
      <c r="C1020" s="296">
        <v>1.3</v>
      </c>
      <c r="D1020" s="296">
        <v>1.3</v>
      </c>
      <c r="E1020" s="296">
        <v>1.3</v>
      </c>
      <c r="F1020" s="296">
        <v>1.3</v>
      </c>
      <c r="G1020" s="296">
        <v>1.3</v>
      </c>
      <c r="H1020" s="296">
        <v>1.3</v>
      </c>
      <c r="I1020" s="296">
        <v>1.4</v>
      </c>
      <c r="J1020" s="296">
        <v>1.4</v>
      </c>
      <c r="K1020" s="295">
        <v>761</v>
      </c>
      <c r="L1020" s="295">
        <v>30</v>
      </c>
      <c r="M1020" s="295"/>
      <c r="N1020" s="295"/>
      <c r="O1020" s="296">
        <v>0</v>
      </c>
      <c r="P1020" s="296">
        <v>0</v>
      </c>
      <c r="Q1020" s="296">
        <v>0</v>
      </c>
      <c r="R1020" s="296">
        <v>0</v>
      </c>
      <c r="S1020" s="296">
        <v>0.1</v>
      </c>
      <c r="T1020" s="296"/>
      <c r="U1020" s="296"/>
      <c r="V1020" s="310">
        <f t="shared" si="3"/>
        <v>4.87</v>
      </c>
      <c r="Y1020" s="1">
        <f>trimDraft</f>
        <v>0.149999999999999</v>
      </c>
      <c r="Z1020" s="1"/>
      <c r="AA1020" s="1"/>
      <c r="AB1020" s="1"/>
    </row>
    <row r="1021" spans="1:28">
      <c r="A1021" s="295">
        <v>40</v>
      </c>
      <c r="B1021" s="296">
        <v>1.9</v>
      </c>
      <c r="C1021" s="296">
        <v>1.9</v>
      </c>
      <c r="D1021" s="296">
        <v>1.9</v>
      </c>
      <c r="E1021" s="296">
        <v>1.9</v>
      </c>
      <c r="F1021" s="296">
        <v>2</v>
      </c>
      <c r="G1021" s="296">
        <v>2</v>
      </c>
      <c r="H1021" s="296">
        <v>2</v>
      </c>
      <c r="I1021" s="296">
        <v>2</v>
      </c>
      <c r="J1021" s="296">
        <v>2</v>
      </c>
      <c r="K1021" s="295">
        <v>751</v>
      </c>
      <c r="L1021" s="295">
        <v>40</v>
      </c>
      <c r="M1021" s="295"/>
      <c r="N1021" s="295"/>
      <c r="O1021" s="296">
        <v>-0.1</v>
      </c>
      <c r="P1021" s="296">
        <v>0</v>
      </c>
      <c r="Q1021" s="296">
        <v>0</v>
      </c>
      <c r="R1021" s="296">
        <v>0</v>
      </c>
      <c r="S1021" s="296">
        <v>0.1</v>
      </c>
      <c r="T1021" s="296"/>
      <c r="U1021" s="296"/>
      <c r="V1021" s="310">
        <f t="shared" si="3"/>
        <v>7.12</v>
      </c>
      <c r="Y1021" s="1">
        <f>INDEX(Misc8Trim2,0,MATCH(Y1020,Misc8Trim2,1))</f>
        <v>0</v>
      </c>
      <c r="Z1021" s="1">
        <f>Interp2(Misc8Trim1,Misc8Trim2,Misc8Trim3,AA1017,Y1021)</f>
        <v>0.1</v>
      </c>
      <c r="AA1021" s="1">
        <f>Interp2(Misc8Trim1,Misc8Trim2,Misc8Trim3,AA1018,Y1021)</f>
        <v>0.1</v>
      </c>
      <c r="AB1021" s="1"/>
    </row>
    <row r="1022" spans="1:28">
      <c r="A1022" s="295">
        <v>50</v>
      </c>
      <c r="B1022" s="296">
        <v>2.6</v>
      </c>
      <c r="C1022" s="296">
        <v>2.6</v>
      </c>
      <c r="D1022" s="296">
        <v>2.6</v>
      </c>
      <c r="E1022" s="296">
        <v>2.7</v>
      </c>
      <c r="F1022" s="296">
        <v>2.7</v>
      </c>
      <c r="G1022" s="296">
        <v>2.7</v>
      </c>
      <c r="H1022" s="296">
        <v>2.7</v>
      </c>
      <c r="I1022" s="296">
        <v>2.7</v>
      </c>
      <c r="J1022" s="296">
        <v>2.7</v>
      </c>
      <c r="K1022" s="295">
        <v>741</v>
      </c>
      <c r="L1022" s="295">
        <v>50</v>
      </c>
      <c r="M1022" s="295"/>
      <c r="N1022" s="295"/>
      <c r="O1022" s="296">
        <v>-0.1</v>
      </c>
      <c r="P1022" s="296">
        <v>0</v>
      </c>
      <c r="Q1022" s="296">
        <v>0</v>
      </c>
      <c r="R1022" s="296">
        <v>0</v>
      </c>
      <c r="S1022" s="296">
        <v>0.1</v>
      </c>
      <c r="T1022" s="296"/>
      <c r="U1022" s="296"/>
      <c r="V1022" s="310">
        <f t="shared" si="3"/>
        <v>9.74</v>
      </c>
      <c r="Y1022" s="1">
        <f>IF(Y1021=Y1020,Y1020,INDEX(Misc8Trim2,0,MATCH(Y1020,Misc8Trim2,1)+1))</f>
        <v>0.5</v>
      </c>
      <c r="Z1022" s="1">
        <f>Interp2(Misc8Trim1,Misc8Trim2,Misc8Trim3,AA1017,Y1022)</f>
        <v>0.1</v>
      </c>
      <c r="AA1022" s="1">
        <f>Interp2(Misc8Trim1,Misc8Trim2,Misc8Trim3,AA1018,Y1022)</f>
        <v>0.1</v>
      </c>
      <c r="AB1022" s="1"/>
    </row>
    <row r="1023" spans="1:28">
      <c r="A1023" s="295">
        <v>60</v>
      </c>
      <c r="B1023" s="296">
        <v>3.4</v>
      </c>
      <c r="C1023" s="296">
        <v>3.4</v>
      </c>
      <c r="D1023" s="296">
        <v>3.4</v>
      </c>
      <c r="E1023" s="296">
        <v>3.4</v>
      </c>
      <c r="F1023" s="296">
        <v>3.5</v>
      </c>
      <c r="G1023" s="296">
        <v>3.5</v>
      </c>
      <c r="H1023" s="296">
        <v>3.5</v>
      </c>
      <c r="I1023" s="296">
        <v>3.5</v>
      </c>
      <c r="J1023" s="296">
        <v>3.5</v>
      </c>
      <c r="K1023" s="295">
        <v>731</v>
      </c>
      <c r="L1023" s="295">
        <v>60</v>
      </c>
      <c r="M1023" s="295"/>
      <c r="N1023" s="295"/>
      <c r="O1023" s="296">
        <v>-0.1</v>
      </c>
      <c r="P1023" s="296">
        <v>0</v>
      </c>
      <c r="Q1023" s="296">
        <v>0</v>
      </c>
      <c r="R1023" s="296">
        <v>0</v>
      </c>
      <c r="S1023" s="296">
        <v>0.1</v>
      </c>
      <c r="T1023" s="296"/>
      <c r="U1023" s="296"/>
      <c r="V1023" s="310">
        <f t="shared" si="3"/>
        <v>12.73</v>
      </c>
    </row>
    <row r="1024" spans="1:28">
      <c r="A1024" s="295">
        <v>70</v>
      </c>
      <c r="B1024" s="296">
        <v>4.2</v>
      </c>
      <c r="C1024" s="296">
        <v>4.3</v>
      </c>
      <c r="D1024" s="296">
        <v>4.3</v>
      </c>
      <c r="E1024" s="296">
        <v>4.3</v>
      </c>
      <c r="F1024" s="296">
        <v>4.3</v>
      </c>
      <c r="G1024" s="296">
        <v>4.3</v>
      </c>
      <c r="H1024" s="296">
        <v>4.4000000000000004</v>
      </c>
      <c r="I1024" s="296">
        <v>4.4000000000000004</v>
      </c>
      <c r="J1024" s="296">
        <v>4.4000000000000004</v>
      </c>
      <c r="K1024" s="295">
        <v>721</v>
      </c>
      <c r="L1024" s="295">
        <v>70</v>
      </c>
      <c r="M1024" s="295"/>
      <c r="N1024" s="295"/>
      <c r="O1024" s="296">
        <v>-0.1</v>
      </c>
      <c r="P1024" s="296">
        <v>0</v>
      </c>
      <c r="Q1024" s="296">
        <v>0</v>
      </c>
      <c r="R1024" s="296">
        <v>0</v>
      </c>
      <c r="S1024" s="296">
        <v>0.1</v>
      </c>
      <c r="T1024" s="296"/>
      <c r="U1024" s="296"/>
      <c r="V1024" s="310">
        <f t="shared" si="3"/>
        <v>16.100000000000001</v>
      </c>
      <c r="Y1024">
        <f>COUNT(A1017:U1046)</f>
        <v>510</v>
      </c>
    </row>
    <row r="1025" spans="1:25">
      <c r="A1025" s="295">
        <v>80</v>
      </c>
      <c r="B1025" s="296">
        <v>5.0999999999999996</v>
      </c>
      <c r="C1025" s="296">
        <v>5.2</v>
      </c>
      <c r="D1025" s="296">
        <v>5.2</v>
      </c>
      <c r="E1025" s="296">
        <v>5.2</v>
      </c>
      <c r="F1025" s="296">
        <v>5.2</v>
      </c>
      <c r="G1025" s="296">
        <v>5.2</v>
      </c>
      <c r="H1025" s="296">
        <v>5.3</v>
      </c>
      <c r="I1025" s="296">
        <v>5.3</v>
      </c>
      <c r="J1025" s="296">
        <v>5.3</v>
      </c>
      <c r="K1025" s="295">
        <v>711</v>
      </c>
      <c r="L1025" s="295">
        <v>80</v>
      </c>
      <c r="M1025" s="295"/>
      <c r="N1025" s="295"/>
      <c r="O1025" s="296">
        <v>-0.1</v>
      </c>
      <c r="P1025" s="296">
        <v>0</v>
      </c>
      <c r="Q1025" s="296">
        <v>0</v>
      </c>
      <c r="R1025" s="296">
        <v>0.1</v>
      </c>
      <c r="S1025" s="296">
        <v>0.1</v>
      </c>
      <c r="T1025" s="296"/>
      <c r="U1025" s="296"/>
      <c r="V1025" s="310">
        <f t="shared" si="3"/>
        <v>19.48</v>
      </c>
      <c r="Y1025">
        <f>COUNTA(A1017:U1046)</f>
        <v>510</v>
      </c>
    </row>
    <row r="1026" spans="1:25">
      <c r="A1026" s="295">
        <v>90</v>
      </c>
      <c r="B1026" s="296">
        <v>6.1</v>
      </c>
      <c r="C1026" s="296">
        <v>6.1</v>
      </c>
      <c r="D1026" s="296">
        <v>6.1</v>
      </c>
      <c r="E1026" s="296">
        <v>6.2</v>
      </c>
      <c r="F1026" s="296">
        <v>6.2</v>
      </c>
      <c r="G1026" s="296">
        <v>6.2</v>
      </c>
      <c r="H1026" s="296">
        <v>6.2</v>
      </c>
      <c r="I1026" s="296">
        <v>6.3</v>
      </c>
      <c r="J1026" s="296">
        <v>6.3</v>
      </c>
      <c r="K1026" s="295">
        <v>701</v>
      </c>
      <c r="L1026" s="295">
        <v>90</v>
      </c>
      <c r="M1026" s="295"/>
      <c r="N1026" s="295"/>
      <c r="O1026" s="296">
        <v>-0.1</v>
      </c>
      <c r="P1026" s="296">
        <v>-0.1</v>
      </c>
      <c r="Q1026" s="296">
        <v>0</v>
      </c>
      <c r="R1026" s="296">
        <v>0.1</v>
      </c>
      <c r="S1026" s="296">
        <v>0.1</v>
      </c>
      <c r="T1026" s="296"/>
      <c r="U1026" s="296"/>
      <c r="V1026" s="310">
        <f t="shared" si="3"/>
        <v>22.85</v>
      </c>
    </row>
    <row r="1027" spans="1:25">
      <c r="A1027" s="295">
        <v>100</v>
      </c>
      <c r="B1027" s="296">
        <v>7.1</v>
      </c>
      <c r="C1027" s="296">
        <v>7.1</v>
      </c>
      <c r="D1027" s="296">
        <v>7.1</v>
      </c>
      <c r="E1027" s="296">
        <v>7.2</v>
      </c>
      <c r="F1027" s="296">
        <v>7.2</v>
      </c>
      <c r="G1027" s="296">
        <v>7.2</v>
      </c>
      <c r="H1027" s="296">
        <v>7.2</v>
      </c>
      <c r="I1027" s="296">
        <v>7.3</v>
      </c>
      <c r="J1027" s="296">
        <v>7.3</v>
      </c>
      <c r="K1027" s="295">
        <v>691</v>
      </c>
      <c r="L1027" s="295">
        <v>100</v>
      </c>
      <c r="M1027" s="295"/>
      <c r="N1027" s="295"/>
      <c r="O1027" s="296">
        <v>-0.1</v>
      </c>
      <c r="P1027" s="296">
        <v>-0.1</v>
      </c>
      <c r="Q1027" s="296">
        <v>0</v>
      </c>
      <c r="R1027" s="296">
        <v>0.1</v>
      </c>
      <c r="S1027" s="296">
        <v>0.1</v>
      </c>
      <c r="T1027" s="296"/>
      <c r="U1027" s="296"/>
      <c r="V1027" s="310">
        <f t="shared" si="3"/>
        <v>26.59</v>
      </c>
    </row>
    <row r="1028" spans="1:25">
      <c r="A1028" s="295">
        <v>110</v>
      </c>
      <c r="B1028" s="296">
        <v>8.1</v>
      </c>
      <c r="C1028" s="296">
        <v>8.1</v>
      </c>
      <c r="D1028" s="296">
        <v>8.1999999999999993</v>
      </c>
      <c r="E1028" s="296">
        <v>8.1999999999999993</v>
      </c>
      <c r="F1028" s="296">
        <v>8.1999999999999993</v>
      </c>
      <c r="G1028" s="296">
        <v>8.1999999999999993</v>
      </c>
      <c r="H1028" s="296">
        <v>8.3000000000000007</v>
      </c>
      <c r="I1028" s="296">
        <v>8.3000000000000007</v>
      </c>
      <c r="J1028" s="296">
        <v>8.3000000000000007</v>
      </c>
      <c r="K1028" s="295">
        <v>681</v>
      </c>
      <c r="L1028" s="295">
        <v>110</v>
      </c>
      <c r="M1028" s="295"/>
      <c r="N1028" s="295"/>
      <c r="O1028" s="296">
        <v>-0.1</v>
      </c>
      <c r="P1028" s="296">
        <v>-0.1</v>
      </c>
      <c r="Q1028" s="296">
        <v>0</v>
      </c>
      <c r="R1028" s="296">
        <v>0.1</v>
      </c>
      <c r="S1028" s="296">
        <v>0.1</v>
      </c>
      <c r="T1028" s="296"/>
      <c r="U1028" s="296"/>
      <c r="V1028" s="310">
        <f t="shared" si="3"/>
        <v>30.71</v>
      </c>
    </row>
    <row r="1029" spans="1:25">
      <c r="A1029" s="295">
        <v>120</v>
      </c>
      <c r="B1029" s="296">
        <v>9.1999999999999993</v>
      </c>
      <c r="C1029" s="296">
        <v>9.1999999999999993</v>
      </c>
      <c r="D1029" s="296">
        <v>9.1999999999999993</v>
      </c>
      <c r="E1029" s="296">
        <v>9.3000000000000007</v>
      </c>
      <c r="F1029" s="296">
        <v>9.3000000000000007</v>
      </c>
      <c r="G1029" s="296">
        <v>9.3000000000000007</v>
      </c>
      <c r="H1029" s="296">
        <v>9.3000000000000007</v>
      </c>
      <c r="I1029" s="296">
        <v>9.4</v>
      </c>
      <c r="J1029" s="296">
        <v>9.4</v>
      </c>
      <c r="K1029" s="295">
        <v>671</v>
      </c>
      <c r="L1029" s="295">
        <v>120</v>
      </c>
      <c r="M1029" s="295"/>
      <c r="N1029" s="295"/>
      <c r="O1029" s="296">
        <v>-0.1</v>
      </c>
      <c r="P1029" s="296">
        <v>-0.1</v>
      </c>
      <c r="Q1029" s="296">
        <v>0</v>
      </c>
      <c r="R1029" s="296">
        <v>0.1</v>
      </c>
      <c r="S1029" s="296">
        <v>0.1</v>
      </c>
      <c r="T1029" s="296"/>
      <c r="U1029" s="296"/>
      <c r="V1029" s="310">
        <f t="shared" si="3"/>
        <v>34.46</v>
      </c>
    </row>
    <row r="1030" spans="1:25">
      <c r="A1030" s="295">
        <v>130</v>
      </c>
      <c r="B1030" s="296">
        <v>10.3</v>
      </c>
      <c r="C1030" s="296">
        <v>10.3</v>
      </c>
      <c r="D1030" s="296">
        <v>10.3</v>
      </c>
      <c r="E1030" s="296">
        <v>10.4</v>
      </c>
      <c r="F1030" s="296">
        <v>10.4</v>
      </c>
      <c r="G1030" s="296">
        <v>10.4</v>
      </c>
      <c r="H1030" s="296">
        <v>10.5</v>
      </c>
      <c r="I1030" s="296">
        <v>10.5</v>
      </c>
      <c r="J1030" s="296">
        <v>10.5</v>
      </c>
      <c r="K1030" s="295">
        <v>661</v>
      </c>
      <c r="L1030" s="295">
        <v>130</v>
      </c>
      <c r="M1030" s="295"/>
      <c r="N1030" s="295"/>
      <c r="O1030" s="296">
        <v>-0.1</v>
      </c>
      <c r="P1030" s="296">
        <v>-0.1</v>
      </c>
      <c r="Q1030" s="296">
        <v>0</v>
      </c>
      <c r="R1030" s="296">
        <v>0.1</v>
      </c>
      <c r="S1030" s="296">
        <v>0.2</v>
      </c>
      <c r="T1030" s="296"/>
      <c r="U1030" s="296"/>
      <c r="V1030" s="310">
        <f t="shared" si="3"/>
        <v>38.58</v>
      </c>
    </row>
    <row r="1031" spans="1:25">
      <c r="A1031" s="295">
        <v>140</v>
      </c>
      <c r="B1031" s="296">
        <v>11.4</v>
      </c>
      <c r="C1031" s="296">
        <v>11.5</v>
      </c>
      <c r="D1031" s="296">
        <v>11.5</v>
      </c>
      <c r="E1031" s="296">
        <v>11.5</v>
      </c>
      <c r="F1031" s="296">
        <v>11.5</v>
      </c>
      <c r="G1031" s="296">
        <v>11.6</v>
      </c>
      <c r="H1031" s="296">
        <v>11.6</v>
      </c>
      <c r="I1031" s="296">
        <v>11.6</v>
      </c>
      <c r="J1031" s="296">
        <v>11.7</v>
      </c>
      <c r="K1031" s="295">
        <v>651</v>
      </c>
      <c r="L1031" s="295">
        <v>140</v>
      </c>
      <c r="M1031" s="295"/>
      <c r="N1031" s="295"/>
      <c r="O1031" s="296">
        <v>-0.1</v>
      </c>
      <c r="P1031" s="296">
        <v>-0.1</v>
      </c>
      <c r="Q1031" s="296">
        <v>0</v>
      </c>
      <c r="R1031" s="296">
        <v>0.1</v>
      </c>
      <c r="S1031" s="296">
        <v>0.2</v>
      </c>
      <c r="T1031" s="296"/>
      <c r="U1031" s="296"/>
      <c r="V1031" s="310">
        <f t="shared" si="3"/>
        <v>43.07</v>
      </c>
    </row>
    <row r="1032" spans="1:25">
      <c r="A1032" s="295">
        <v>150</v>
      </c>
      <c r="B1032" s="296">
        <v>12.6</v>
      </c>
      <c r="C1032" s="296">
        <v>12.6</v>
      </c>
      <c r="D1032" s="296">
        <v>12.6</v>
      </c>
      <c r="E1032" s="296">
        <v>12.7</v>
      </c>
      <c r="F1032" s="296">
        <v>12.7</v>
      </c>
      <c r="G1032" s="296">
        <v>12.7</v>
      </c>
      <c r="H1032" s="296">
        <v>12.8</v>
      </c>
      <c r="I1032" s="296">
        <v>12.8</v>
      </c>
      <c r="J1032" s="296">
        <v>12.8</v>
      </c>
      <c r="K1032" s="295">
        <v>641</v>
      </c>
      <c r="L1032" s="295">
        <v>150</v>
      </c>
      <c r="M1032" s="295"/>
      <c r="N1032" s="295"/>
      <c r="O1032" s="296">
        <v>-0.2</v>
      </c>
      <c r="P1032" s="296">
        <v>-0.1</v>
      </c>
      <c r="Q1032" s="296">
        <v>0</v>
      </c>
      <c r="R1032" s="296">
        <v>0.1</v>
      </c>
      <c r="S1032" s="296">
        <v>0.2</v>
      </c>
      <c r="T1032" s="296"/>
      <c r="U1032" s="296"/>
      <c r="V1032" s="310">
        <f t="shared" si="3"/>
        <v>47.19</v>
      </c>
    </row>
    <row r="1033" spans="1:25">
      <c r="A1033" s="295">
        <v>160</v>
      </c>
      <c r="B1033" s="296">
        <v>13.8</v>
      </c>
      <c r="C1033" s="296">
        <v>13.8</v>
      </c>
      <c r="D1033" s="296">
        <v>13.8</v>
      </c>
      <c r="E1033" s="296">
        <v>13.9</v>
      </c>
      <c r="F1033" s="296">
        <v>13.9</v>
      </c>
      <c r="G1033" s="296">
        <v>13.9</v>
      </c>
      <c r="H1033" s="296">
        <v>13.9</v>
      </c>
      <c r="I1033" s="296">
        <v>14</v>
      </c>
      <c r="J1033" s="296">
        <v>14</v>
      </c>
      <c r="K1033" s="295">
        <v>631</v>
      </c>
      <c r="L1033" s="295">
        <v>160</v>
      </c>
      <c r="M1033" s="295"/>
      <c r="N1033" s="295"/>
      <c r="O1033" s="296">
        <v>-0.2</v>
      </c>
      <c r="P1033" s="296">
        <v>-0.1</v>
      </c>
      <c r="Q1033" s="296">
        <v>0</v>
      </c>
      <c r="R1033" s="296">
        <v>0.1</v>
      </c>
      <c r="S1033" s="296">
        <v>0.2</v>
      </c>
      <c r="T1033" s="296"/>
      <c r="U1033" s="296"/>
      <c r="V1033" s="310">
        <f t="shared" si="3"/>
        <v>51.69</v>
      </c>
    </row>
    <row r="1034" spans="1:25">
      <c r="A1034" s="295">
        <v>170</v>
      </c>
      <c r="B1034" s="296">
        <v>15</v>
      </c>
      <c r="C1034" s="296">
        <v>15</v>
      </c>
      <c r="D1034" s="296">
        <v>15</v>
      </c>
      <c r="E1034" s="296">
        <v>15.1</v>
      </c>
      <c r="F1034" s="296">
        <v>15.1</v>
      </c>
      <c r="G1034" s="296">
        <v>15.1</v>
      </c>
      <c r="H1034" s="296">
        <v>15.2</v>
      </c>
      <c r="I1034" s="296">
        <v>15.2</v>
      </c>
      <c r="J1034" s="296">
        <v>15.2</v>
      </c>
      <c r="K1034" s="295">
        <v>621</v>
      </c>
      <c r="L1034" s="295">
        <v>170</v>
      </c>
      <c r="M1034" s="295"/>
      <c r="N1034" s="295"/>
      <c r="O1034" s="296">
        <v>-0.2</v>
      </c>
      <c r="P1034" s="296">
        <v>-0.1</v>
      </c>
      <c r="Q1034" s="296">
        <v>0</v>
      </c>
      <c r="R1034" s="296">
        <v>0.1</v>
      </c>
      <c r="S1034" s="296">
        <v>0.2</v>
      </c>
      <c r="T1034" s="296"/>
      <c r="U1034" s="296"/>
      <c r="V1034" s="310">
        <f t="shared" si="3"/>
        <v>56.18</v>
      </c>
    </row>
    <row r="1035" spans="1:25">
      <c r="A1035" s="295">
        <v>180</v>
      </c>
      <c r="B1035" s="296">
        <v>16.2</v>
      </c>
      <c r="C1035" s="296">
        <v>16.2</v>
      </c>
      <c r="D1035" s="296">
        <v>16.3</v>
      </c>
      <c r="E1035" s="296">
        <v>16.3</v>
      </c>
      <c r="F1035" s="296">
        <v>16.3</v>
      </c>
      <c r="G1035" s="296">
        <v>16.3</v>
      </c>
      <c r="H1035" s="296">
        <v>16.399999999999999</v>
      </c>
      <c r="I1035" s="296">
        <v>16.399999999999999</v>
      </c>
      <c r="J1035" s="296">
        <v>16.399999999999999</v>
      </c>
      <c r="K1035" s="295">
        <v>611</v>
      </c>
      <c r="L1035" s="295">
        <v>180</v>
      </c>
      <c r="M1035" s="295"/>
      <c r="N1035" s="295"/>
      <c r="O1035" s="296">
        <v>-0.2</v>
      </c>
      <c r="P1035" s="296">
        <v>-0.1</v>
      </c>
      <c r="Q1035" s="296">
        <v>0</v>
      </c>
      <c r="R1035" s="296">
        <v>0.1</v>
      </c>
      <c r="S1035" s="296">
        <v>0.2</v>
      </c>
      <c r="T1035" s="296"/>
      <c r="U1035" s="296"/>
      <c r="V1035" s="310">
        <f t="shared" si="3"/>
        <v>61.05</v>
      </c>
    </row>
    <row r="1036" spans="1:25">
      <c r="A1036" s="295">
        <v>190</v>
      </c>
      <c r="B1036" s="296">
        <v>17.399999999999999</v>
      </c>
      <c r="C1036" s="296">
        <v>17.5</v>
      </c>
      <c r="D1036" s="296">
        <v>17.5</v>
      </c>
      <c r="E1036" s="296">
        <v>17.5</v>
      </c>
      <c r="F1036" s="296">
        <v>17.5</v>
      </c>
      <c r="G1036" s="296">
        <v>17.600000000000001</v>
      </c>
      <c r="H1036" s="296">
        <v>17.600000000000001</v>
      </c>
      <c r="I1036" s="296">
        <v>17.600000000000001</v>
      </c>
      <c r="J1036" s="296">
        <v>17.7</v>
      </c>
      <c r="K1036" s="295">
        <v>601</v>
      </c>
      <c r="L1036" s="295">
        <v>190</v>
      </c>
      <c r="M1036" s="295"/>
      <c r="N1036" s="295"/>
      <c r="O1036" s="296">
        <v>-0.2</v>
      </c>
      <c r="P1036" s="296">
        <v>-0.1</v>
      </c>
      <c r="Q1036" s="296">
        <v>0</v>
      </c>
      <c r="R1036" s="296">
        <v>0.1</v>
      </c>
      <c r="S1036" s="296">
        <v>0.2</v>
      </c>
      <c r="T1036" s="296"/>
      <c r="U1036" s="296"/>
      <c r="V1036" s="310">
        <f t="shared" si="3"/>
        <v>65.540000000000006</v>
      </c>
    </row>
    <row r="1037" spans="1:25">
      <c r="A1037" s="295">
        <v>200</v>
      </c>
      <c r="B1037" s="296">
        <v>18.7</v>
      </c>
      <c r="C1037" s="296">
        <v>18.7</v>
      </c>
      <c r="D1037" s="296">
        <v>18.7</v>
      </c>
      <c r="E1037" s="296">
        <v>18.7</v>
      </c>
      <c r="F1037" s="296">
        <v>18.8</v>
      </c>
      <c r="G1037" s="296">
        <v>18.8</v>
      </c>
      <c r="H1037" s="296">
        <v>18.8</v>
      </c>
      <c r="I1037" s="296">
        <v>18.8</v>
      </c>
      <c r="J1037" s="296">
        <v>18.8</v>
      </c>
      <c r="K1037" s="295">
        <v>591</v>
      </c>
      <c r="L1037" s="295">
        <v>200</v>
      </c>
      <c r="M1037" s="295"/>
      <c r="N1037" s="295"/>
      <c r="O1037" s="296">
        <v>-0.2</v>
      </c>
      <c r="P1037" s="296">
        <v>-0.1</v>
      </c>
      <c r="Q1037" s="296">
        <v>0</v>
      </c>
      <c r="R1037" s="296">
        <v>0.1</v>
      </c>
      <c r="S1037" s="296">
        <v>0.1</v>
      </c>
      <c r="T1037" s="296"/>
      <c r="U1037" s="296"/>
      <c r="V1037" s="310">
        <f t="shared" si="3"/>
        <v>70.040000000000006</v>
      </c>
    </row>
    <row r="1038" spans="1:25">
      <c r="A1038" s="295">
        <v>210</v>
      </c>
      <c r="B1038" s="296">
        <v>19.7</v>
      </c>
      <c r="C1038" s="296">
        <v>19.7</v>
      </c>
      <c r="D1038" s="296">
        <v>19.7</v>
      </c>
      <c r="E1038" s="296">
        <v>19.7</v>
      </c>
      <c r="F1038" s="296">
        <v>19.7</v>
      </c>
      <c r="G1038" s="296">
        <v>19.8</v>
      </c>
      <c r="H1038" s="296">
        <v>19.8</v>
      </c>
      <c r="I1038" s="296">
        <v>19.8</v>
      </c>
      <c r="J1038" s="296">
        <v>19.8</v>
      </c>
      <c r="K1038" s="295">
        <v>581</v>
      </c>
      <c r="L1038" s="295">
        <v>210</v>
      </c>
      <c r="M1038" s="295"/>
      <c r="N1038" s="295"/>
      <c r="O1038" s="296">
        <v>-0.2</v>
      </c>
      <c r="P1038" s="296">
        <v>-0.1</v>
      </c>
      <c r="Q1038" s="296">
        <v>0</v>
      </c>
      <c r="R1038" s="296">
        <v>0.1</v>
      </c>
      <c r="S1038" s="296">
        <v>0.2</v>
      </c>
      <c r="T1038" s="296"/>
      <c r="U1038" s="296"/>
      <c r="V1038" s="310">
        <f t="shared" si="3"/>
        <v>73.78</v>
      </c>
    </row>
    <row r="1039" spans="1:25">
      <c r="A1039" s="295">
        <v>220</v>
      </c>
      <c r="B1039" s="296">
        <v>20.6</v>
      </c>
      <c r="C1039" s="296">
        <v>20.7</v>
      </c>
      <c r="D1039" s="296">
        <v>20.7</v>
      </c>
      <c r="E1039" s="296">
        <v>20.7</v>
      </c>
      <c r="F1039" s="296">
        <v>20.7</v>
      </c>
      <c r="G1039" s="296">
        <v>20.7</v>
      </c>
      <c r="H1039" s="296">
        <v>20.8</v>
      </c>
      <c r="I1039" s="296">
        <v>20.8</v>
      </c>
      <c r="J1039" s="296">
        <v>20.8</v>
      </c>
      <c r="K1039" s="295">
        <v>571</v>
      </c>
      <c r="L1039" s="295">
        <v>220</v>
      </c>
      <c r="M1039" s="295"/>
      <c r="N1039" s="295"/>
      <c r="O1039" s="296">
        <v>-0.2</v>
      </c>
      <c r="P1039" s="296">
        <v>-0.1</v>
      </c>
      <c r="Q1039" s="296">
        <v>0</v>
      </c>
      <c r="R1039" s="296">
        <v>0.1</v>
      </c>
      <c r="S1039" s="296">
        <v>0.2</v>
      </c>
      <c r="T1039" s="296"/>
      <c r="U1039" s="296"/>
      <c r="V1039" s="310">
        <f t="shared" si="3"/>
        <v>77.53</v>
      </c>
    </row>
    <row r="1040" spans="1:25">
      <c r="A1040" s="295">
        <v>230</v>
      </c>
      <c r="B1040" s="296">
        <v>21.6</v>
      </c>
      <c r="C1040" s="296">
        <v>21.7</v>
      </c>
      <c r="D1040" s="296">
        <v>21.7</v>
      </c>
      <c r="E1040" s="296">
        <v>21.7</v>
      </c>
      <c r="F1040" s="296">
        <v>21.7</v>
      </c>
      <c r="G1040" s="296">
        <v>21.7</v>
      </c>
      <c r="H1040" s="296">
        <v>21.8</v>
      </c>
      <c r="I1040" s="296">
        <v>21.8</v>
      </c>
      <c r="J1040" s="296">
        <v>21.8</v>
      </c>
      <c r="K1040" s="295">
        <v>561</v>
      </c>
      <c r="L1040" s="295">
        <v>230</v>
      </c>
      <c r="M1040" s="295"/>
      <c r="N1040" s="295"/>
      <c r="O1040" s="296">
        <v>-0.2</v>
      </c>
      <c r="P1040" s="296">
        <v>-0.1</v>
      </c>
      <c r="Q1040" s="296">
        <v>0</v>
      </c>
      <c r="R1040" s="296">
        <v>0.1</v>
      </c>
      <c r="S1040" s="296">
        <v>0.2</v>
      </c>
      <c r="T1040" s="296"/>
      <c r="U1040" s="296"/>
      <c r="V1040" s="310">
        <f t="shared" si="3"/>
        <v>81.27</v>
      </c>
    </row>
    <row r="1041" spans="1:22">
      <c r="A1041" s="295">
        <v>240</v>
      </c>
      <c r="B1041" s="296">
        <v>22.6</v>
      </c>
      <c r="C1041" s="296">
        <v>22.7</v>
      </c>
      <c r="D1041" s="296">
        <v>22.7</v>
      </c>
      <c r="E1041" s="296">
        <v>22.7</v>
      </c>
      <c r="F1041" s="296">
        <v>22.7</v>
      </c>
      <c r="G1041" s="296">
        <v>22.7</v>
      </c>
      <c r="H1041" s="296">
        <v>22.8</v>
      </c>
      <c r="I1041" s="296">
        <v>22.8</v>
      </c>
      <c r="J1041" s="296">
        <v>22.8</v>
      </c>
      <c r="K1041" s="295">
        <v>551</v>
      </c>
      <c r="L1041" s="295">
        <v>240</v>
      </c>
      <c r="M1041" s="295"/>
      <c r="N1041" s="295"/>
      <c r="O1041" s="296">
        <v>-0.2</v>
      </c>
      <c r="P1041" s="296">
        <v>-0.1</v>
      </c>
      <c r="Q1041" s="296">
        <v>0</v>
      </c>
      <c r="R1041" s="296">
        <v>0.1</v>
      </c>
      <c r="S1041" s="296">
        <v>0.2</v>
      </c>
      <c r="T1041" s="296"/>
      <c r="U1041" s="296"/>
      <c r="V1041" s="310">
        <f t="shared" si="3"/>
        <v>85.02</v>
      </c>
    </row>
    <row r="1042" spans="1:22">
      <c r="A1042" s="295">
        <v>250</v>
      </c>
      <c r="B1042" s="296">
        <v>23.6</v>
      </c>
      <c r="C1042" s="296">
        <v>23.7</v>
      </c>
      <c r="D1042" s="296">
        <v>23.7</v>
      </c>
      <c r="E1042" s="296">
        <v>23.7</v>
      </c>
      <c r="F1042" s="296">
        <v>23.7</v>
      </c>
      <c r="G1042" s="296">
        <v>23.7</v>
      </c>
      <c r="H1042" s="296">
        <v>23.8</v>
      </c>
      <c r="I1042" s="296">
        <v>23.8</v>
      </c>
      <c r="J1042" s="296">
        <v>23.8</v>
      </c>
      <c r="K1042" s="295">
        <v>541</v>
      </c>
      <c r="L1042" s="295">
        <v>250</v>
      </c>
      <c r="M1042" s="295"/>
      <c r="N1042" s="295"/>
      <c r="O1042" s="296">
        <v>-0.2</v>
      </c>
      <c r="P1042" s="296">
        <v>-0.1</v>
      </c>
      <c r="Q1042" s="296">
        <v>0</v>
      </c>
      <c r="R1042" s="296">
        <v>0.1</v>
      </c>
      <c r="S1042" s="296">
        <v>0.2</v>
      </c>
      <c r="T1042" s="296"/>
      <c r="U1042" s="296"/>
      <c r="V1042" s="310">
        <f t="shared" si="3"/>
        <v>88.76</v>
      </c>
    </row>
    <row r="1043" spans="1:22">
      <c r="A1043" s="295">
        <v>260</v>
      </c>
      <c r="B1043" s="296">
        <v>24.6</v>
      </c>
      <c r="C1043" s="296">
        <v>24.7</v>
      </c>
      <c r="D1043" s="296">
        <v>24.7</v>
      </c>
      <c r="E1043" s="296">
        <v>24.7</v>
      </c>
      <c r="F1043" s="296">
        <v>24.7</v>
      </c>
      <c r="G1043" s="296">
        <v>24.7</v>
      </c>
      <c r="H1043" s="296">
        <v>24.8</v>
      </c>
      <c r="I1043" s="296">
        <v>24.8</v>
      </c>
      <c r="J1043" s="296">
        <v>24.8</v>
      </c>
      <c r="K1043" s="295">
        <v>531</v>
      </c>
      <c r="L1043" s="295">
        <v>260</v>
      </c>
      <c r="M1043" s="295"/>
      <c r="N1043" s="295"/>
      <c r="O1043" s="296">
        <v>-0.2</v>
      </c>
      <c r="P1043" s="296">
        <v>-0.1</v>
      </c>
      <c r="Q1043" s="296">
        <v>0</v>
      </c>
      <c r="R1043" s="296">
        <v>0.1</v>
      </c>
      <c r="S1043" s="296">
        <v>0.2</v>
      </c>
      <c r="T1043" s="296"/>
      <c r="U1043" s="296"/>
      <c r="V1043" s="310">
        <f t="shared" si="3"/>
        <v>92.51</v>
      </c>
    </row>
    <row r="1044" spans="1:22">
      <c r="A1044" s="295">
        <v>270</v>
      </c>
      <c r="B1044" s="296">
        <v>25.7</v>
      </c>
      <c r="C1044" s="296">
        <v>25.7</v>
      </c>
      <c r="D1044" s="296">
        <v>25.7</v>
      </c>
      <c r="E1044" s="296">
        <v>25.7</v>
      </c>
      <c r="F1044" s="296">
        <v>25.7</v>
      </c>
      <c r="G1044" s="296">
        <v>25.7</v>
      </c>
      <c r="H1044" s="296">
        <v>25.8</v>
      </c>
      <c r="I1044" s="296">
        <v>25.8</v>
      </c>
      <c r="J1044" s="296">
        <v>25.8</v>
      </c>
      <c r="K1044" s="295">
        <v>521</v>
      </c>
      <c r="L1044" s="295">
        <v>270</v>
      </c>
      <c r="M1044" s="295"/>
      <c r="N1044" s="295"/>
      <c r="O1044" s="296">
        <v>-0.2</v>
      </c>
      <c r="P1044" s="296">
        <v>-0.1</v>
      </c>
      <c r="Q1044" s="296">
        <v>0</v>
      </c>
      <c r="R1044" s="296">
        <v>0.1</v>
      </c>
      <c r="S1044" s="296">
        <v>0.2</v>
      </c>
      <c r="T1044" s="296"/>
      <c r="U1044" s="296"/>
      <c r="V1044" s="310">
        <f t="shared" si="3"/>
        <v>96.25</v>
      </c>
    </row>
    <row r="1045" spans="1:22">
      <c r="A1045" s="295">
        <v>280</v>
      </c>
      <c r="B1045" s="296">
        <v>26.6</v>
      </c>
      <c r="C1045" s="296">
        <v>26.7</v>
      </c>
      <c r="D1045" s="296">
        <v>26.7</v>
      </c>
      <c r="E1045" s="296">
        <v>26.7</v>
      </c>
      <c r="F1045" s="296">
        <v>26.7</v>
      </c>
      <c r="G1045" s="296">
        <v>26.7</v>
      </c>
      <c r="H1045" s="296">
        <v>26.7</v>
      </c>
      <c r="I1045" s="296">
        <v>26.7</v>
      </c>
      <c r="J1045" s="296">
        <v>26.7</v>
      </c>
      <c r="K1045" s="295">
        <v>511</v>
      </c>
      <c r="L1045" s="295">
        <v>280</v>
      </c>
      <c r="M1045" s="295"/>
      <c r="N1045" s="295"/>
      <c r="O1045" s="296">
        <v>-0.3</v>
      </c>
      <c r="P1045" s="296">
        <v>-0.1</v>
      </c>
      <c r="Q1045" s="296">
        <v>0</v>
      </c>
      <c r="R1045" s="296">
        <v>0</v>
      </c>
      <c r="S1045" s="296">
        <v>-0.1</v>
      </c>
      <c r="T1045" s="296"/>
      <c r="U1045" s="296"/>
      <c r="V1045" s="310">
        <f t="shared" si="3"/>
        <v>100</v>
      </c>
    </row>
    <row r="1046" spans="1:22">
      <c r="A1046" s="295">
        <v>290</v>
      </c>
      <c r="B1046" s="296">
        <v>26.7</v>
      </c>
      <c r="C1046" s="296">
        <v>26.7</v>
      </c>
      <c r="D1046" s="296">
        <v>26.7</v>
      </c>
      <c r="E1046" s="296">
        <v>26.7</v>
      </c>
      <c r="F1046" s="296">
        <v>26.7</v>
      </c>
      <c r="G1046" s="296">
        <v>26.7</v>
      </c>
      <c r="H1046" s="296">
        <v>26.7</v>
      </c>
      <c r="I1046" s="296">
        <v>26.7</v>
      </c>
      <c r="J1046" s="296">
        <v>26.7</v>
      </c>
      <c r="K1046" s="295">
        <v>501</v>
      </c>
      <c r="L1046" s="295">
        <v>290</v>
      </c>
      <c r="M1046" s="295"/>
      <c r="N1046" s="295"/>
      <c r="O1046" s="296">
        <v>0</v>
      </c>
      <c r="P1046" s="296">
        <v>0</v>
      </c>
      <c r="Q1046" s="296">
        <v>0</v>
      </c>
      <c r="R1046" s="296">
        <v>0</v>
      </c>
      <c r="S1046" s="296">
        <v>0</v>
      </c>
      <c r="T1046" s="296"/>
      <c r="U1046" s="296"/>
      <c r="V1046" s="310">
        <f t="shared" si="3"/>
        <v>100</v>
      </c>
    </row>
    <row r="1047" spans="1:22" hidden="1"/>
    <row r="1048" spans="1:22" hidden="1"/>
    <row r="1049" spans="1:22" hidden="1"/>
    <row r="1050" spans="1:22" hidden="1"/>
    <row r="1051" spans="1:22" hidden="1"/>
    <row r="1052" spans="1:22" hidden="1"/>
    <row r="1053" spans="1:22" hidden="1"/>
    <row r="1054" spans="1:22" hidden="1"/>
    <row r="1055" spans="1:22" hidden="1"/>
    <row r="1056" spans="1:22" hidden="1"/>
    <row r="1057" spans="1:28" hidden="1"/>
    <row r="1058" spans="1:28" hidden="1"/>
    <row r="1067" spans="1:28">
      <c r="A1067" s="892" t="s">
        <v>408</v>
      </c>
      <c r="B1067" s="892"/>
      <c r="C1067" s="892"/>
      <c r="D1067" s="892"/>
      <c r="E1067" s="892"/>
      <c r="F1067" s="892"/>
      <c r="G1067" s="892"/>
      <c r="H1067" s="892"/>
      <c r="I1067" s="892"/>
      <c r="J1067" s="892"/>
      <c r="K1067" s="892"/>
      <c r="L1067" s="892"/>
      <c r="M1067" s="892"/>
      <c r="N1067" s="892"/>
      <c r="O1067" s="892"/>
      <c r="P1067" s="892"/>
      <c r="Q1067" s="892"/>
      <c r="R1067" s="892"/>
      <c r="S1067" s="892"/>
      <c r="T1067" s="892"/>
      <c r="U1067" s="892"/>
      <c r="V1067" s="892"/>
    </row>
    <row r="1068" spans="1:28">
      <c r="A1068" t="s">
        <v>256</v>
      </c>
      <c r="B1068">
        <v>-1</v>
      </c>
      <c r="C1068">
        <v>-0.5</v>
      </c>
      <c r="D1068">
        <v>0</v>
      </c>
      <c r="E1068">
        <v>0.5</v>
      </c>
      <c r="F1068">
        <v>1</v>
      </c>
      <c r="G1068">
        <v>1.5</v>
      </c>
      <c r="H1068">
        <v>2</v>
      </c>
      <c r="I1068">
        <v>2.5</v>
      </c>
      <c r="J1068">
        <v>3</v>
      </c>
      <c r="K1068" t="s">
        <v>35</v>
      </c>
      <c r="L1068" t="s">
        <v>256</v>
      </c>
      <c r="O1068">
        <v>-2</v>
      </c>
      <c r="P1068">
        <v>-1</v>
      </c>
      <c r="Q1068">
        <v>0</v>
      </c>
      <c r="R1068">
        <v>1</v>
      </c>
      <c r="S1068">
        <v>2</v>
      </c>
      <c r="V1068" t="s">
        <v>231</v>
      </c>
      <c r="Y1068" s="1">
        <f>heelDraft1</f>
        <v>0</v>
      </c>
      <c r="Z1068" s="186"/>
      <c r="AA1068" s="186">
        <f>IF((Z1068+Z1071)&lt;0,Z1068,Z1068+Z1071)</f>
        <v>0</v>
      </c>
      <c r="AB1068" s="42">
        <f>IF(AB1070=AB1069,AB1069,Interp1(AA1069:AA1070,AB1069:AB1070,AA1068))</f>
        <v>0.03</v>
      </c>
    </row>
    <row r="1069" spans="1:28">
      <c r="A1069" s="295">
        <v>0</v>
      </c>
      <c r="B1069" s="296">
        <v>0</v>
      </c>
      <c r="C1069" s="296">
        <v>0</v>
      </c>
      <c r="D1069" s="296">
        <v>0</v>
      </c>
      <c r="E1069" s="296">
        <v>0.1</v>
      </c>
      <c r="F1069" s="296">
        <v>0.1</v>
      </c>
      <c r="G1069" s="296">
        <v>0.1</v>
      </c>
      <c r="H1069" s="296">
        <v>0.1</v>
      </c>
      <c r="I1069" s="296">
        <v>0.1</v>
      </c>
      <c r="J1069" s="296">
        <v>0.1</v>
      </c>
      <c r="K1069" s="295">
        <v>118</v>
      </c>
      <c r="L1069" s="295">
        <v>0</v>
      </c>
      <c r="M1069" s="295"/>
      <c r="N1069" s="295"/>
      <c r="O1069" s="296">
        <v>0.1</v>
      </c>
      <c r="P1069" s="296">
        <v>0</v>
      </c>
      <c r="Q1069" s="296">
        <v>0</v>
      </c>
      <c r="R1069" s="296">
        <v>0</v>
      </c>
      <c r="S1069" s="296">
        <v>0</v>
      </c>
      <c r="T1069" s="296"/>
      <c r="U1069" s="296"/>
      <c r="V1069" s="310">
        <f>(D1069/2.8)*100</f>
        <v>0</v>
      </c>
      <c r="Y1069" s="1">
        <f>FLOOR(Z1068,10)</f>
        <v>0</v>
      </c>
      <c r="Z1069" s="1">
        <f>Interp2(Misc9Heel1,Misc9Heel2,Misc9Heel3,Y1069,Y1068)</f>
        <v>0</v>
      </c>
      <c r="AA1069" s="1">
        <f>FLOOR(AA1068,10)</f>
        <v>0</v>
      </c>
      <c r="AB1069" s="42">
        <f>IF(Z1074=Z1073,Z1073,Interp1(Y1073:Y1074,Z1073:Z1074,Y1072))</f>
        <v>0.03</v>
      </c>
    </row>
    <row r="1070" spans="1:28">
      <c r="A1070" s="295">
        <v>10</v>
      </c>
      <c r="B1070" s="296">
        <v>0.3</v>
      </c>
      <c r="C1070" s="296">
        <v>0.3</v>
      </c>
      <c r="D1070" s="296">
        <v>0.3</v>
      </c>
      <c r="E1070" s="296">
        <v>0.3</v>
      </c>
      <c r="F1070" s="296">
        <v>0.3</v>
      </c>
      <c r="G1070" s="296">
        <v>0.3</v>
      </c>
      <c r="H1070" s="296">
        <v>0.3</v>
      </c>
      <c r="I1070" s="296">
        <v>0.3</v>
      </c>
      <c r="J1070" s="296">
        <v>0.3</v>
      </c>
      <c r="K1070" s="295">
        <v>108</v>
      </c>
      <c r="L1070" s="295">
        <v>10</v>
      </c>
      <c r="M1070" s="295"/>
      <c r="N1070" s="295"/>
      <c r="O1070" s="296">
        <v>0.1</v>
      </c>
      <c r="P1070" s="296">
        <v>0</v>
      </c>
      <c r="Q1070" s="296">
        <v>0</v>
      </c>
      <c r="R1070" s="296">
        <v>0</v>
      </c>
      <c r="S1070" s="296">
        <v>-0.1</v>
      </c>
      <c r="T1070" s="296"/>
      <c r="U1070" s="296"/>
      <c r="V1070" s="310">
        <f t="shared" ref="V1070:V1080" si="4">(D1070/2.8)*100</f>
        <v>10.71</v>
      </c>
      <c r="Y1070" s="1">
        <f>IF(Y1069=MiscSound9,Y1069,CEILING(Z1068,10))</f>
        <v>0</v>
      </c>
      <c r="Z1070" s="1">
        <f>Interp2(Misc9Heel1,Misc9Heel2,Misc9Heel3,Y1070,Y1068)</f>
        <v>0</v>
      </c>
      <c r="AA1070" s="1">
        <f>CEILING(AA1068,10)</f>
        <v>0</v>
      </c>
      <c r="AB1070" s="42">
        <f>IF(AA1074=AA1073,AA1073,Interp1(Y1073:Y1074,AA1073:AA1074,Y1072))</f>
        <v>0.03</v>
      </c>
    </row>
    <row r="1071" spans="1:28">
      <c r="A1071" s="295">
        <v>20</v>
      </c>
      <c r="B1071" s="296">
        <v>0.5</v>
      </c>
      <c r="C1071" s="296">
        <v>0.5</v>
      </c>
      <c r="D1071" s="296">
        <v>0.5</v>
      </c>
      <c r="E1071" s="296">
        <v>0.5</v>
      </c>
      <c r="F1071" s="296">
        <v>0.5</v>
      </c>
      <c r="G1071" s="296">
        <v>0.5</v>
      </c>
      <c r="H1071" s="296">
        <v>0.6</v>
      </c>
      <c r="I1071" s="296">
        <v>0.6</v>
      </c>
      <c r="J1071" s="296">
        <v>0.6</v>
      </c>
      <c r="K1071" s="295">
        <v>98</v>
      </c>
      <c r="L1071" s="295">
        <v>20</v>
      </c>
      <c r="M1071" s="295"/>
      <c r="N1071" s="295"/>
      <c r="O1071" s="296">
        <v>0.1</v>
      </c>
      <c r="P1071" s="296">
        <v>0</v>
      </c>
      <c r="Q1071" s="296">
        <v>0</v>
      </c>
      <c r="R1071" s="296">
        <v>0</v>
      </c>
      <c r="S1071" s="296">
        <v>-0.1</v>
      </c>
      <c r="T1071" s="296"/>
      <c r="U1071" s="296"/>
      <c r="V1071" s="310">
        <f t="shared" si="4"/>
        <v>17.86</v>
      </c>
      <c r="Y1071" s="1"/>
      <c r="Z1071" s="1">
        <f>IF(Z1070=Z1069,Z1069,Interp1(Y1069:Y1070,Z1069:Z1070,Z1068))</f>
        <v>0</v>
      </c>
      <c r="AA1071" s="1"/>
      <c r="AB1071" s="42"/>
    </row>
    <row r="1072" spans="1:28">
      <c r="A1072" s="295">
        <v>30</v>
      </c>
      <c r="B1072" s="296">
        <v>0.8</v>
      </c>
      <c r="C1072" s="296">
        <v>0.8</v>
      </c>
      <c r="D1072" s="296">
        <v>0.8</v>
      </c>
      <c r="E1072" s="296">
        <v>0.8</v>
      </c>
      <c r="F1072" s="296">
        <v>0.8</v>
      </c>
      <c r="G1072" s="296">
        <v>0.8</v>
      </c>
      <c r="H1072" s="296">
        <v>0.8</v>
      </c>
      <c r="I1072" s="296">
        <v>0.8</v>
      </c>
      <c r="J1072" s="296">
        <v>0.8</v>
      </c>
      <c r="K1072" s="295">
        <v>88</v>
      </c>
      <c r="L1072" s="295">
        <v>30</v>
      </c>
      <c r="M1072" s="295"/>
      <c r="N1072" s="295"/>
      <c r="O1072" s="296">
        <v>0.1</v>
      </c>
      <c r="P1072" s="296">
        <v>0</v>
      </c>
      <c r="Q1072" s="296">
        <v>0</v>
      </c>
      <c r="R1072" s="296">
        <v>0</v>
      </c>
      <c r="S1072" s="296">
        <v>-0.1</v>
      </c>
      <c r="T1072" s="296"/>
      <c r="U1072" s="296"/>
      <c r="V1072" s="310">
        <f t="shared" si="4"/>
        <v>28.57</v>
      </c>
      <c r="Y1072" s="1">
        <f>trimDraft</f>
        <v>0.149999999999999</v>
      </c>
      <c r="Z1072" s="1"/>
      <c r="AA1072" s="1"/>
      <c r="AB1072" s="1"/>
    </row>
    <row r="1073" spans="1:28">
      <c r="A1073" s="295">
        <v>40</v>
      </c>
      <c r="B1073" s="296">
        <v>1</v>
      </c>
      <c r="C1073" s="296">
        <v>1</v>
      </c>
      <c r="D1073" s="296">
        <v>1</v>
      </c>
      <c r="E1073" s="296">
        <v>1</v>
      </c>
      <c r="F1073" s="296">
        <v>1</v>
      </c>
      <c r="G1073" s="296">
        <v>1</v>
      </c>
      <c r="H1073" s="296">
        <v>1</v>
      </c>
      <c r="I1073" s="296">
        <v>1</v>
      </c>
      <c r="J1073" s="296">
        <v>1.1000000000000001</v>
      </c>
      <c r="K1073" s="295">
        <v>78</v>
      </c>
      <c r="L1073" s="295">
        <v>40</v>
      </c>
      <c r="M1073" s="295"/>
      <c r="N1073" s="295"/>
      <c r="O1073" s="296">
        <v>0.1</v>
      </c>
      <c r="P1073" s="296">
        <v>0</v>
      </c>
      <c r="Q1073" s="296">
        <v>0</v>
      </c>
      <c r="R1073" s="296">
        <v>0</v>
      </c>
      <c r="S1073" s="296">
        <v>-0.1</v>
      </c>
      <c r="T1073" s="296"/>
      <c r="U1073" s="296"/>
      <c r="V1073" s="310">
        <f t="shared" si="4"/>
        <v>35.71</v>
      </c>
      <c r="Y1073" s="1">
        <f>INDEX(Misc9Trim2,0,MATCH(Y1072,Misc9Trim2,1))</f>
        <v>0</v>
      </c>
      <c r="Z1073" s="1">
        <f>Interp2(Misc9Trim1,Misc9Trim2,Misc9Trim3,AA1069,Y1073)</f>
        <v>0</v>
      </c>
      <c r="AA1073" s="1">
        <f>Interp2(Misc9Trim1,Misc9Trim2,Misc9Trim3,AA1070,Y1073)</f>
        <v>0</v>
      </c>
      <c r="AB1073" s="1"/>
    </row>
    <row r="1074" spans="1:28">
      <c r="A1074" s="295">
        <v>50</v>
      </c>
      <c r="B1074" s="296">
        <v>1.3</v>
      </c>
      <c r="C1074" s="296">
        <v>1.3</v>
      </c>
      <c r="D1074" s="296">
        <v>1.3</v>
      </c>
      <c r="E1074" s="296">
        <v>1.3</v>
      </c>
      <c r="F1074" s="296">
        <v>1.3</v>
      </c>
      <c r="G1074" s="296">
        <v>1.3</v>
      </c>
      <c r="H1074" s="296">
        <v>1.3</v>
      </c>
      <c r="I1074" s="296">
        <v>1.3</v>
      </c>
      <c r="J1074" s="296">
        <v>1.3</v>
      </c>
      <c r="K1074" s="295">
        <v>68</v>
      </c>
      <c r="L1074" s="295">
        <v>50</v>
      </c>
      <c r="M1074" s="295"/>
      <c r="N1074" s="295"/>
      <c r="O1074" s="296">
        <v>0.1</v>
      </c>
      <c r="P1074" s="296">
        <v>0</v>
      </c>
      <c r="Q1074" s="296">
        <v>0</v>
      </c>
      <c r="R1074" s="296">
        <v>0</v>
      </c>
      <c r="S1074" s="296">
        <v>-0.1</v>
      </c>
      <c r="T1074" s="296"/>
      <c r="U1074" s="296"/>
      <c r="V1074" s="310">
        <f t="shared" si="4"/>
        <v>46.43</v>
      </c>
      <c r="Y1074" s="1">
        <f>IF(Y1073=Y1072,Y1072,INDEX(Misc9Trim2,0,MATCH(Y1072,Misc9Trim2,1)+1))</f>
        <v>0.5</v>
      </c>
      <c r="Z1074" s="1">
        <f>Interp2(Misc9Trim1,Misc9Trim2,Misc9Trim3,AA1069,Y1074)</f>
        <v>0.1</v>
      </c>
      <c r="AA1074" s="1">
        <f>Interp2(Misc9Trim1,Misc9Trim2,Misc9Trim3,AA1070,Y1074)</f>
        <v>0.1</v>
      </c>
      <c r="AB1074" s="1"/>
    </row>
    <row r="1075" spans="1:28">
      <c r="A1075" s="295">
        <v>60</v>
      </c>
      <c r="B1075" s="296">
        <v>1.5</v>
      </c>
      <c r="C1075" s="296">
        <v>1.5</v>
      </c>
      <c r="D1075" s="296">
        <v>1.5</v>
      </c>
      <c r="E1075" s="296">
        <v>1.5</v>
      </c>
      <c r="F1075" s="296">
        <v>1.5</v>
      </c>
      <c r="G1075" s="296">
        <v>1.5</v>
      </c>
      <c r="H1075" s="296">
        <v>1.5</v>
      </c>
      <c r="I1075" s="296">
        <v>1.5</v>
      </c>
      <c r="J1075" s="296">
        <v>1.5</v>
      </c>
      <c r="K1075" s="295">
        <v>58</v>
      </c>
      <c r="L1075" s="295">
        <v>60</v>
      </c>
      <c r="M1075" s="295"/>
      <c r="N1075" s="295"/>
      <c r="O1075" s="296">
        <v>0.1</v>
      </c>
      <c r="P1075" s="296">
        <v>0</v>
      </c>
      <c r="Q1075" s="296">
        <v>0</v>
      </c>
      <c r="R1075" s="296">
        <v>0</v>
      </c>
      <c r="S1075" s="296">
        <v>-0.1</v>
      </c>
      <c r="T1075" s="296"/>
      <c r="U1075" s="296"/>
      <c r="V1075" s="310">
        <f t="shared" si="4"/>
        <v>53.57</v>
      </c>
    </row>
    <row r="1076" spans="1:28">
      <c r="A1076" s="295">
        <v>70</v>
      </c>
      <c r="B1076" s="296">
        <v>1.8</v>
      </c>
      <c r="C1076" s="296">
        <v>1.8</v>
      </c>
      <c r="D1076" s="296">
        <v>1.8</v>
      </c>
      <c r="E1076" s="296">
        <v>1.8</v>
      </c>
      <c r="F1076" s="296">
        <v>1.8</v>
      </c>
      <c r="G1076" s="296">
        <v>1.8</v>
      </c>
      <c r="H1076" s="296">
        <v>1.8</v>
      </c>
      <c r="I1076" s="296">
        <v>1.8</v>
      </c>
      <c r="J1076" s="296">
        <v>1.8</v>
      </c>
      <c r="K1076" s="295">
        <v>48</v>
      </c>
      <c r="L1076" s="295">
        <v>70</v>
      </c>
      <c r="M1076" s="295"/>
      <c r="N1076" s="295"/>
      <c r="O1076" s="296">
        <v>0.1</v>
      </c>
      <c r="P1076" s="296">
        <v>0</v>
      </c>
      <c r="Q1076" s="296">
        <v>0</v>
      </c>
      <c r="R1076" s="296">
        <v>0</v>
      </c>
      <c r="S1076" s="296">
        <v>-0.1</v>
      </c>
      <c r="T1076" s="296"/>
      <c r="U1076" s="296"/>
      <c r="V1076" s="310">
        <f t="shared" si="4"/>
        <v>64.290000000000006</v>
      </c>
      <c r="Y1076">
        <f>COUNT(A1069:U1080)</f>
        <v>204</v>
      </c>
    </row>
    <row r="1077" spans="1:28">
      <c r="A1077" s="295">
        <v>80</v>
      </c>
      <c r="B1077" s="296">
        <v>2</v>
      </c>
      <c r="C1077" s="296">
        <v>2</v>
      </c>
      <c r="D1077" s="296">
        <v>2</v>
      </c>
      <c r="E1077" s="296">
        <v>2</v>
      </c>
      <c r="F1077" s="296">
        <v>2</v>
      </c>
      <c r="G1077" s="296">
        <v>2</v>
      </c>
      <c r="H1077" s="296">
        <v>2</v>
      </c>
      <c r="I1077" s="296">
        <v>2</v>
      </c>
      <c r="J1077" s="296">
        <v>2</v>
      </c>
      <c r="K1077" s="295">
        <v>38</v>
      </c>
      <c r="L1077" s="295">
        <v>80</v>
      </c>
      <c r="M1077" s="295"/>
      <c r="N1077" s="295"/>
      <c r="O1077" s="296">
        <v>0.1</v>
      </c>
      <c r="P1077" s="296">
        <v>0</v>
      </c>
      <c r="Q1077" s="296">
        <v>0</v>
      </c>
      <c r="R1077" s="296">
        <v>0</v>
      </c>
      <c r="S1077" s="296">
        <v>-0.1</v>
      </c>
      <c r="T1077" s="296"/>
      <c r="U1077" s="296"/>
      <c r="V1077" s="310">
        <f t="shared" si="4"/>
        <v>71.430000000000007</v>
      </c>
      <c r="Y1077">
        <f>COUNTA(A1069:U1080)</f>
        <v>204</v>
      </c>
    </row>
    <row r="1078" spans="1:28">
      <c r="A1078" s="295">
        <v>90</v>
      </c>
      <c r="B1078" s="296">
        <v>2.2999999999999998</v>
      </c>
      <c r="C1078" s="296">
        <v>2.2999999999999998</v>
      </c>
      <c r="D1078" s="296">
        <v>2.2999999999999998</v>
      </c>
      <c r="E1078" s="296">
        <v>2.2999999999999998</v>
      </c>
      <c r="F1078" s="296">
        <v>2.2999999999999998</v>
      </c>
      <c r="G1078" s="296">
        <v>2.2999999999999998</v>
      </c>
      <c r="H1078" s="296">
        <v>2.2999999999999998</v>
      </c>
      <c r="I1078" s="296">
        <v>2.2999999999999998</v>
      </c>
      <c r="J1078" s="296">
        <v>2.2999999999999998</v>
      </c>
      <c r="K1078" s="295">
        <v>28</v>
      </c>
      <c r="L1078" s="295">
        <v>90</v>
      </c>
      <c r="M1078" s="295"/>
      <c r="N1078" s="295"/>
      <c r="O1078" s="296">
        <v>0.1</v>
      </c>
      <c r="P1078" s="296">
        <v>0</v>
      </c>
      <c r="Q1078" s="296">
        <v>0</v>
      </c>
      <c r="R1078" s="296">
        <v>0</v>
      </c>
      <c r="S1078" s="296">
        <v>-0.1</v>
      </c>
      <c r="T1078" s="296"/>
      <c r="U1078" s="296"/>
      <c r="V1078" s="310">
        <f t="shared" si="4"/>
        <v>82.14</v>
      </c>
    </row>
    <row r="1079" spans="1:28">
      <c r="A1079" s="295">
        <v>100</v>
      </c>
      <c r="B1079" s="296">
        <v>2.5</v>
      </c>
      <c r="C1079" s="296">
        <v>2.5</v>
      </c>
      <c r="D1079" s="296">
        <v>2.5</v>
      </c>
      <c r="E1079" s="296">
        <v>2.5</v>
      </c>
      <c r="F1079" s="296">
        <v>2.5</v>
      </c>
      <c r="G1079" s="296">
        <v>2.5</v>
      </c>
      <c r="H1079" s="296">
        <v>2.5</v>
      </c>
      <c r="I1079" s="296">
        <v>2.5</v>
      </c>
      <c r="J1079" s="296">
        <v>2.5</v>
      </c>
      <c r="K1079" s="295">
        <v>18</v>
      </c>
      <c r="L1079" s="295">
        <v>100</v>
      </c>
      <c r="M1079" s="295"/>
      <c r="N1079" s="295"/>
      <c r="O1079" s="296">
        <v>0.1</v>
      </c>
      <c r="P1079" s="296">
        <v>0</v>
      </c>
      <c r="Q1079" s="296">
        <v>0</v>
      </c>
      <c r="R1079" s="296">
        <v>0</v>
      </c>
      <c r="S1079" s="296">
        <v>-0.1</v>
      </c>
      <c r="T1079" s="296"/>
      <c r="U1079" s="296"/>
      <c r="V1079" s="310">
        <f t="shared" si="4"/>
        <v>89.29</v>
      </c>
    </row>
    <row r="1080" spans="1:28">
      <c r="A1080" s="295">
        <v>110</v>
      </c>
      <c r="B1080" s="296">
        <v>2.7</v>
      </c>
      <c r="C1080" s="296">
        <v>2.8</v>
      </c>
      <c r="D1080" s="296">
        <v>2.8</v>
      </c>
      <c r="E1080" s="296">
        <v>2.8</v>
      </c>
      <c r="F1080" s="296">
        <v>2.8</v>
      </c>
      <c r="G1080" s="296">
        <v>2.8</v>
      </c>
      <c r="H1080" s="296">
        <v>2.8</v>
      </c>
      <c r="I1080" s="296">
        <v>2.8</v>
      </c>
      <c r="J1080" s="296">
        <v>2.8</v>
      </c>
      <c r="K1080" s="295">
        <v>8</v>
      </c>
      <c r="L1080" s="295">
        <v>110</v>
      </c>
      <c r="M1080" s="295"/>
      <c r="N1080" s="295"/>
      <c r="O1080" s="296">
        <v>0.1</v>
      </c>
      <c r="P1080" s="296">
        <v>0</v>
      </c>
      <c r="Q1080" s="296">
        <v>0</v>
      </c>
      <c r="R1080" s="296">
        <v>0</v>
      </c>
      <c r="S1080" s="296">
        <v>-0.1</v>
      </c>
      <c r="T1080" s="296"/>
      <c r="U1080" s="296"/>
      <c r="V1080" s="310">
        <f t="shared" si="4"/>
        <v>100</v>
      </c>
    </row>
    <row r="1081" spans="1:28" hidden="1"/>
    <row r="1082" spans="1:28" hidden="1"/>
    <row r="1083" spans="1:28" hidden="1"/>
    <row r="1084" spans="1:28" hidden="1"/>
    <row r="1085" spans="1:28" hidden="1"/>
    <row r="1086" spans="1:28" hidden="1"/>
    <row r="1087" spans="1:28" hidden="1"/>
    <row r="1088" spans="1:2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spans="1:28" hidden="1"/>
    <row r="1106" spans="1:28" hidden="1"/>
    <row r="1107" spans="1:28" hidden="1"/>
    <row r="1108" spans="1:28" hidden="1"/>
    <row r="1109" spans="1:28" hidden="1"/>
    <row r="1110" spans="1:28" hidden="1"/>
    <row r="1119" spans="1:28">
      <c r="A1119" s="892" t="s">
        <v>409</v>
      </c>
      <c r="B1119" s="892"/>
      <c r="C1119" s="892"/>
      <c r="D1119" s="892"/>
      <c r="E1119" s="892"/>
      <c r="F1119" s="892"/>
      <c r="G1119" s="892"/>
      <c r="H1119" s="892"/>
      <c r="I1119" s="892"/>
      <c r="J1119" s="892"/>
      <c r="K1119" s="892"/>
      <c r="L1119" s="892"/>
      <c r="M1119" s="892"/>
      <c r="N1119" s="892"/>
      <c r="O1119" s="892"/>
      <c r="P1119" s="892"/>
      <c r="Q1119" s="892"/>
      <c r="R1119" s="892"/>
      <c r="S1119" s="892"/>
      <c r="T1119" s="892"/>
      <c r="U1119" s="892"/>
      <c r="V1119" s="892"/>
    </row>
    <row r="1120" spans="1:28">
      <c r="A1120" t="s">
        <v>256</v>
      </c>
      <c r="B1120">
        <v>-1</v>
      </c>
      <c r="C1120">
        <v>0</v>
      </c>
      <c r="D1120">
        <v>0.5</v>
      </c>
      <c r="E1120">
        <v>1</v>
      </c>
      <c r="F1120">
        <v>1.5</v>
      </c>
      <c r="G1120">
        <v>2</v>
      </c>
      <c r="H1120">
        <v>3</v>
      </c>
      <c r="I1120">
        <v>4</v>
      </c>
      <c r="J1120">
        <v>3</v>
      </c>
      <c r="K1120" t="s">
        <v>35</v>
      </c>
      <c r="L1120" t="s">
        <v>256</v>
      </c>
      <c r="M1120">
        <v>-4</v>
      </c>
      <c r="N1120">
        <v>-3</v>
      </c>
      <c r="O1120">
        <v>-2</v>
      </c>
      <c r="P1120">
        <v>-1</v>
      </c>
      <c r="Q1120">
        <v>0</v>
      </c>
      <c r="R1120">
        <v>1</v>
      </c>
      <c r="S1120">
        <v>2</v>
      </c>
      <c r="T1120">
        <v>3</v>
      </c>
      <c r="U1120">
        <v>4</v>
      </c>
      <c r="V1120" t="s">
        <v>231</v>
      </c>
      <c r="Y1120" s="1">
        <f>heelDraft1</f>
        <v>0</v>
      </c>
      <c r="Z1120" s="186"/>
      <c r="AA1120" s="186">
        <f>IF((Z1120+Z1123)&lt;0,Z1120,Z1120+Z1123)</f>
        <v>0</v>
      </c>
      <c r="AB1120" s="42">
        <f>IF(AB1122=AB1121,AB1121,Interp1(AA1121:AA1122,AB1121:AB1122,AA1120))</f>
        <v>0.14199999999999999</v>
      </c>
    </row>
    <row r="1121" spans="1:28">
      <c r="A1121" s="445">
        <v>0</v>
      </c>
      <c r="B1121" s="445">
        <v>0.16500000000000001</v>
      </c>
      <c r="C1121" s="445">
        <v>0.14499999999999999</v>
      </c>
      <c r="D1121" s="445">
        <v>0.13500000000000001</v>
      </c>
      <c r="E1121" s="445">
        <v>0.127</v>
      </c>
      <c r="F1121" s="445">
        <v>0.11799999999999999</v>
      </c>
      <c r="G1121" s="445">
        <v>0.111</v>
      </c>
      <c r="H1121" s="445">
        <v>9.7000000000000003E-2</v>
      </c>
      <c r="I1121" s="445">
        <v>8.6999999999999994E-2</v>
      </c>
      <c r="J1121" s="445"/>
      <c r="K1121" s="445"/>
      <c r="L1121" s="445">
        <v>0</v>
      </c>
      <c r="M1121" s="445">
        <v>15.662000000000001</v>
      </c>
      <c r="N1121" s="445">
        <v>10.507999999999999</v>
      </c>
      <c r="O1121" s="445">
        <v>6.2850000000000001</v>
      </c>
      <c r="P1121" s="445">
        <v>2.8239999999999998</v>
      </c>
      <c r="Q1121" s="445">
        <v>0</v>
      </c>
      <c r="R1121" s="445">
        <v>0</v>
      </c>
      <c r="S1121" s="445">
        <v>0</v>
      </c>
      <c r="T1121" s="445">
        <v>0</v>
      </c>
      <c r="U1121" s="445">
        <v>0</v>
      </c>
      <c r="V1121" s="446"/>
      <c r="Y1121" s="1">
        <f>FLOOR(Z1120,10)</f>
        <v>0</v>
      </c>
      <c r="Z1121" s="1">
        <f>Interp2(Misc10Heel1,Misc10Heel2,Misc10Heel3,Y1121,Y1120)</f>
        <v>0</v>
      </c>
      <c r="AA1121" s="1">
        <f>FLOOR(AA1120,10)</f>
        <v>0</v>
      </c>
      <c r="AB1121" s="42">
        <f>IF(Z1126=Z1125,Z1125,Interp1(Y1125:Y1126,Z1125:Z1126,Y1124))</f>
        <v>0.14199999999999999</v>
      </c>
    </row>
    <row r="1122" spans="1:28">
      <c r="A1122" s="445">
        <v>50</v>
      </c>
      <c r="B1122" s="445">
        <v>0.308</v>
      </c>
      <c r="C1122" s="445">
        <v>0.28799999999999998</v>
      </c>
      <c r="D1122" s="445">
        <v>0.28000000000000003</v>
      </c>
      <c r="E1122" s="445">
        <v>0.27100000000000002</v>
      </c>
      <c r="F1122" s="445">
        <v>0.26400000000000001</v>
      </c>
      <c r="G1122" s="445">
        <v>0.25800000000000001</v>
      </c>
      <c r="H1122" s="445">
        <v>0.246</v>
      </c>
      <c r="I1122" s="445">
        <v>0.23699999999999999</v>
      </c>
      <c r="J1122" s="445"/>
      <c r="K1122" s="445"/>
      <c r="L1122" s="445">
        <v>100</v>
      </c>
      <c r="M1122" s="445">
        <v>16.812999999999999</v>
      </c>
      <c r="N1122" s="445">
        <v>11.79</v>
      </c>
      <c r="O1122" s="445">
        <v>7.3550000000000004</v>
      </c>
      <c r="P1122" s="445">
        <v>3.4470000000000001</v>
      </c>
      <c r="Q1122" s="445">
        <v>0</v>
      </c>
      <c r="R1122" s="445">
        <v>-4.6269999999999998</v>
      </c>
      <c r="S1122" s="445">
        <v>-8.6999999999999993</v>
      </c>
      <c r="T1122" s="445">
        <v>-12.234999999999999</v>
      </c>
      <c r="U1122" s="445">
        <v>-15.301</v>
      </c>
      <c r="V1122" s="446"/>
      <c r="Y1122" s="1">
        <f>IF(Y1121=MiscSound10,Y1121,CEILING(Z1120,10))</f>
        <v>0</v>
      </c>
      <c r="Z1122" s="1">
        <f>Interp2(Misc10Heel1,Misc10Heel2,Misc10Heel3,Y1122,Y1120)</f>
        <v>0</v>
      </c>
      <c r="AA1122" s="1">
        <f>CEILING(AA1120,10)</f>
        <v>0</v>
      </c>
      <c r="AB1122" s="42">
        <f>IF(AA1126=AA1125,AA1125,Interp1(Y1125:Y1126,AA1125:AA1126,Y1124))</f>
        <v>0.14199999999999999</v>
      </c>
    </row>
    <row r="1123" spans="1:28">
      <c r="A1123" s="445">
        <v>100</v>
      </c>
      <c r="B1123" s="445">
        <v>0.48699999999999999</v>
      </c>
      <c r="C1123" s="445">
        <v>0.47299999999999998</v>
      </c>
      <c r="D1123" s="445">
        <v>0.46700000000000003</v>
      </c>
      <c r="E1123" s="445">
        <v>0.46100000000000002</v>
      </c>
      <c r="F1123" s="445">
        <v>0.45500000000000002</v>
      </c>
      <c r="G1123" s="445">
        <v>0.45</v>
      </c>
      <c r="H1123" s="445">
        <v>0.44</v>
      </c>
      <c r="I1123" s="445">
        <v>0.432</v>
      </c>
      <c r="J1123" s="445"/>
      <c r="K1123" s="445"/>
      <c r="L1123" s="445">
        <v>200</v>
      </c>
      <c r="M1123" s="445">
        <v>22.335999999999999</v>
      </c>
      <c r="N1123" s="445">
        <v>15.95</v>
      </c>
      <c r="O1123" s="445">
        <v>10.125999999999999</v>
      </c>
      <c r="P1123" s="445">
        <v>4.8209999999999997</v>
      </c>
      <c r="Q1123" s="445">
        <v>0</v>
      </c>
      <c r="R1123" s="445">
        <v>-5.7160000000000002</v>
      </c>
      <c r="S1123" s="445">
        <v>-10.898</v>
      </c>
      <c r="T1123" s="445">
        <v>-15.59</v>
      </c>
      <c r="U1123" s="445">
        <v>-19.84</v>
      </c>
      <c r="V1123" s="446"/>
      <c r="Y1123" s="1"/>
      <c r="Z1123" s="1">
        <f>IF(Z1122=Z1121,Z1121,Interp1(Y1121:Y1122,Z1121:Z1122,Z1120))</f>
        <v>0</v>
      </c>
      <c r="AA1123" s="1"/>
      <c r="AB1123" s="42"/>
    </row>
    <row r="1124" spans="1:28">
      <c r="A1124" s="445">
        <v>150</v>
      </c>
      <c r="B1124" s="445">
        <v>0.71599999999999997</v>
      </c>
      <c r="C1124" s="445">
        <v>0.70399999999999996</v>
      </c>
      <c r="D1124" s="445">
        <v>0.69799999999999995</v>
      </c>
      <c r="E1124" s="445">
        <v>0.69299999999999995</v>
      </c>
      <c r="F1124" s="445">
        <v>0.68799999999999994</v>
      </c>
      <c r="G1124" s="445">
        <v>0.68400000000000005</v>
      </c>
      <c r="H1124" s="445">
        <v>0.67700000000000005</v>
      </c>
      <c r="I1124" s="445">
        <v>0.67200000000000004</v>
      </c>
      <c r="J1124" s="445"/>
      <c r="K1124" s="445"/>
      <c r="L1124" s="445">
        <v>300</v>
      </c>
      <c r="M1124" s="445">
        <v>28.593</v>
      </c>
      <c r="N1124" s="445">
        <v>20.704999999999998</v>
      </c>
      <c r="O1124" s="445">
        <v>13.316000000000001</v>
      </c>
      <c r="P1124" s="445">
        <v>6.4139999999999997</v>
      </c>
      <c r="Q1124" s="445">
        <v>0</v>
      </c>
      <c r="R1124" s="445">
        <v>-6.9089999999999998</v>
      </c>
      <c r="S1124" s="445">
        <v>-13.34</v>
      </c>
      <c r="T1124" s="445">
        <v>-19.317</v>
      </c>
      <c r="U1124" s="445">
        <v>-24.879000000000001</v>
      </c>
      <c r="V1124" s="446"/>
      <c r="Y1124" s="1">
        <f>trimDraft</f>
        <v>0.149999999999999</v>
      </c>
      <c r="Z1124" s="1"/>
      <c r="AA1124" s="1"/>
      <c r="AB1124" s="1"/>
    </row>
    <row r="1125" spans="1:28">
      <c r="A1125" s="445">
        <v>200</v>
      </c>
      <c r="B1125" s="445">
        <v>0.98299999999999998</v>
      </c>
      <c r="C1125" s="445">
        <v>0.97399999999999998</v>
      </c>
      <c r="D1125" s="445">
        <v>0.97</v>
      </c>
      <c r="E1125" s="445">
        <v>0.96599999999999997</v>
      </c>
      <c r="F1125" s="445">
        <v>0.96299999999999997</v>
      </c>
      <c r="G1125" s="445">
        <v>0.96099999999999997</v>
      </c>
      <c r="H1125" s="445">
        <v>0.95699999999999996</v>
      </c>
      <c r="I1125" s="445">
        <v>0.95599999999999996</v>
      </c>
      <c r="J1125" s="445"/>
      <c r="K1125" s="445"/>
      <c r="L1125" s="445">
        <v>400</v>
      </c>
      <c r="M1125" s="445">
        <v>33.198999999999998</v>
      </c>
      <c r="N1125" s="445">
        <v>24.137</v>
      </c>
      <c r="O1125" s="445">
        <v>15.612</v>
      </c>
      <c r="P1125" s="445">
        <v>7.58</v>
      </c>
      <c r="Q1125" s="445">
        <v>0</v>
      </c>
      <c r="R1125" s="445">
        <v>-8.1110000000000007</v>
      </c>
      <c r="S1125" s="445">
        <v>-15.754</v>
      </c>
      <c r="T1125" s="445">
        <v>-22.952999999999999</v>
      </c>
      <c r="U1125" s="445">
        <v>-29.733000000000001</v>
      </c>
      <c r="V1125" s="446"/>
      <c r="Y1125" s="1">
        <f>INDEX(Misc10Trim2,0,MATCH(Y1124,Misc10Trim2,1))</f>
        <v>0</v>
      </c>
      <c r="Z1125" s="1">
        <f>Interp2(Misc10Trim1,Misc10Trim2,Misc10Trim3,AA1121,Y1125)</f>
        <v>0.14499999999999999</v>
      </c>
      <c r="AA1125" s="1">
        <f>Interp2(Misc10Trim1,Misc10Trim2,Misc10Trim3,AA1122,Y1125)</f>
        <v>0.14499999999999999</v>
      </c>
      <c r="AB1125" s="1"/>
    </row>
    <row r="1126" spans="1:28">
      <c r="A1126" s="445">
        <v>250</v>
      </c>
      <c r="B1126" s="445">
        <v>1.2889999999999999</v>
      </c>
      <c r="C1126" s="445">
        <v>1.2829999999999999</v>
      </c>
      <c r="D1126" s="445">
        <v>1.2809999999999999</v>
      </c>
      <c r="E1126" s="445">
        <v>1.2789999999999999</v>
      </c>
      <c r="F1126" s="445">
        <v>1.278</v>
      </c>
      <c r="G1126" s="445">
        <v>1.2749999999999999</v>
      </c>
      <c r="H1126" s="445">
        <v>1.268</v>
      </c>
      <c r="I1126" s="445">
        <v>1.2629999999999999</v>
      </c>
      <c r="J1126" s="445"/>
      <c r="K1126" s="445"/>
      <c r="L1126" s="445">
        <v>500</v>
      </c>
      <c r="M1126" s="445">
        <v>37.421999999999997</v>
      </c>
      <c r="N1126" s="445">
        <v>27.306000000000001</v>
      </c>
      <c r="O1126" s="445">
        <v>17.716999999999999</v>
      </c>
      <c r="P1126" s="445">
        <v>8.6210000000000004</v>
      </c>
      <c r="Q1126" s="445">
        <v>0</v>
      </c>
      <c r="R1126" s="445">
        <v>-9.0500000000000007</v>
      </c>
      <c r="S1126" s="445">
        <v>-17.637</v>
      </c>
      <c r="T1126" s="445">
        <v>-25.797000000000001</v>
      </c>
      <c r="U1126" s="445">
        <v>-33.552</v>
      </c>
      <c r="V1126" s="446"/>
      <c r="Y1126" s="1">
        <f>IF(Y1125=Y1124,Y1124,INDEX(Misc10Trim2,0,MATCH(Y1124,Misc10Trim2,1)+1))</f>
        <v>0.5</v>
      </c>
      <c r="Z1126" s="1">
        <f>Interp2(Misc10Trim1,Misc10Trim2,Misc10Trim3,AA1121,Y1126)</f>
        <v>0.13500000000000001</v>
      </c>
      <c r="AA1126" s="1">
        <f>Interp2(Misc10Trim1,Misc10Trim2,Misc10Trim3,AA1122,Y1126)</f>
        <v>0.13500000000000001</v>
      </c>
      <c r="AB1126" s="1"/>
    </row>
    <row r="1127" spans="1:28">
      <c r="A1127" s="445">
        <v>300</v>
      </c>
      <c r="B1127" s="445">
        <v>1.631</v>
      </c>
      <c r="C1127" s="445">
        <v>1.623</v>
      </c>
      <c r="D1127" s="445">
        <v>1.62</v>
      </c>
      <c r="E1127" s="445">
        <v>1.617</v>
      </c>
      <c r="F1127" s="445">
        <v>1.6140000000000001</v>
      </c>
      <c r="G1127" s="445">
        <v>1.611</v>
      </c>
      <c r="H1127" s="445">
        <v>1.607</v>
      </c>
      <c r="I1127" s="445">
        <v>1.603</v>
      </c>
      <c r="J1127" s="445"/>
      <c r="K1127" s="445"/>
      <c r="L1127" s="445">
        <v>600</v>
      </c>
      <c r="M1127" s="445">
        <v>41.371000000000002</v>
      </c>
      <c r="N1127" s="445">
        <v>30.266999999999999</v>
      </c>
      <c r="O1127" s="445">
        <v>19.684999999999999</v>
      </c>
      <c r="P1127" s="445">
        <v>9.6029999999999998</v>
      </c>
      <c r="Q1127" s="445">
        <v>0</v>
      </c>
      <c r="R1127" s="445">
        <v>-9.9670000000000005</v>
      </c>
      <c r="S1127" s="445">
        <v>-19.484999999999999</v>
      </c>
      <c r="T1127" s="445">
        <v>-28.573</v>
      </c>
      <c r="U1127" s="445">
        <v>-37.250999999999998</v>
      </c>
      <c r="V1127" s="446"/>
    </row>
    <row r="1128" spans="1:28">
      <c r="A1128" s="445">
        <v>350</v>
      </c>
      <c r="B1128" s="445">
        <v>1.992</v>
      </c>
      <c r="C1128" s="445">
        <v>1.986</v>
      </c>
      <c r="D1128" s="445">
        <v>1.984</v>
      </c>
      <c r="E1128" s="445">
        <v>1.9810000000000001</v>
      </c>
      <c r="F1128" s="445">
        <v>1.9790000000000001</v>
      </c>
      <c r="G1128" s="445">
        <v>1.9770000000000001</v>
      </c>
      <c r="H1128" s="445">
        <v>1.9750000000000001</v>
      </c>
      <c r="I1128" s="445">
        <v>1.9730000000000001</v>
      </c>
      <c r="J1128" s="445"/>
      <c r="K1128" s="445"/>
      <c r="L1128" s="445">
        <v>700</v>
      </c>
      <c r="M1128" s="445">
        <v>45.069000000000003</v>
      </c>
      <c r="N1128" s="445">
        <v>33.039000000000001</v>
      </c>
      <c r="O1128" s="445">
        <v>21.533999999999999</v>
      </c>
      <c r="P1128" s="445">
        <v>10.529</v>
      </c>
      <c r="Q1128" s="445">
        <v>0</v>
      </c>
      <c r="R1128" s="445">
        <v>-10.839</v>
      </c>
      <c r="S1128" s="445">
        <v>-21.231999999999999</v>
      </c>
      <c r="T1128" s="445">
        <v>-31.195</v>
      </c>
      <c r="U1128" s="445">
        <v>-40.744</v>
      </c>
      <c r="V1128" s="446"/>
      <c r="Y1128">
        <f>COUNT(A1121:U1171)</f>
        <v>710</v>
      </c>
    </row>
    <row r="1129" spans="1:28">
      <c r="A1129" s="445">
        <v>400</v>
      </c>
      <c r="B1129" s="445">
        <v>2.38</v>
      </c>
      <c r="C1129" s="445">
        <v>2.3759999999999999</v>
      </c>
      <c r="D1129" s="445">
        <v>2.375</v>
      </c>
      <c r="E1129" s="445">
        <v>2.3730000000000002</v>
      </c>
      <c r="F1129" s="445">
        <v>2.3719999999999999</v>
      </c>
      <c r="G1129" s="445">
        <v>2.371</v>
      </c>
      <c r="H1129" s="445">
        <v>2.37</v>
      </c>
      <c r="I1129" s="445">
        <v>2.37</v>
      </c>
      <c r="J1129" s="445"/>
      <c r="K1129" s="445"/>
      <c r="L1129" s="445">
        <v>800</v>
      </c>
      <c r="M1129" s="445">
        <v>48.527000000000001</v>
      </c>
      <c r="N1129" s="445">
        <v>35.64</v>
      </c>
      <c r="O1129" s="445">
        <v>23.274999999999999</v>
      </c>
      <c r="P1129" s="445">
        <v>11.406000000000001</v>
      </c>
      <c r="Q1129" s="445">
        <v>0</v>
      </c>
      <c r="R1129" s="445">
        <v>-11.667</v>
      </c>
      <c r="S1129" s="445">
        <v>-22.882999999999999</v>
      </c>
      <c r="T1129" s="445">
        <v>-33.664000000000001</v>
      </c>
      <c r="U1129" s="445">
        <v>-44.04</v>
      </c>
      <c r="V1129" s="446"/>
      <c r="Y1129">
        <f>COUNTA(A1121:U1171)</f>
        <v>710</v>
      </c>
    </row>
    <row r="1130" spans="1:28">
      <c r="A1130" s="445">
        <v>450</v>
      </c>
      <c r="B1130" s="445">
        <v>2.794</v>
      </c>
      <c r="C1130" s="445">
        <v>2.7919999999999998</v>
      </c>
      <c r="D1130" s="445">
        <v>2.7909999999999999</v>
      </c>
      <c r="E1130" s="445">
        <v>2.79</v>
      </c>
      <c r="F1130" s="445">
        <v>2.79</v>
      </c>
      <c r="G1130" s="445">
        <v>2.7890000000000001</v>
      </c>
      <c r="H1130" s="445">
        <v>2.79</v>
      </c>
      <c r="I1130" s="445">
        <v>2.7909999999999999</v>
      </c>
      <c r="J1130" s="445"/>
      <c r="K1130" s="445"/>
      <c r="L1130" s="445">
        <v>900</v>
      </c>
      <c r="M1130" s="445">
        <v>53.293999999999997</v>
      </c>
      <c r="N1130" s="445">
        <v>39.216999999999999</v>
      </c>
      <c r="O1130" s="445">
        <v>25.661999999999999</v>
      </c>
      <c r="P1130" s="445">
        <v>12.6</v>
      </c>
      <c r="Q1130" s="445">
        <v>0</v>
      </c>
      <c r="R1130" s="445">
        <v>-12.433</v>
      </c>
      <c r="S1130" s="445">
        <v>-24.417000000000002</v>
      </c>
      <c r="T1130" s="445">
        <v>-35.981999999999999</v>
      </c>
      <c r="U1130" s="445">
        <v>-47.143000000000001</v>
      </c>
      <c r="V1130" s="446"/>
    </row>
    <row r="1131" spans="1:28">
      <c r="A1131" s="445">
        <v>500</v>
      </c>
      <c r="B1131" s="445">
        <v>3.2320000000000002</v>
      </c>
      <c r="C1131" s="445">
        <v>3.2309999999999999</v>
      </c>
      <c r="D1131" s="445">
        <v>3.2309999999999999</v>
      </c>
      <c r="E1131" s="445">
        <v>3.2309999999999999</v>
      </c>
      <c r="F1131" s="445">
        <v>3.2309999999999999</v>
      </c>
      <c r="G1131" s="445">
        <v>3.2320000000000002</v>
      </c>
      <c r="H1131" s="445">
        <v>3.234</v>
      </c>
      <c r="I1131" s="445">
        <v>3.2360000000000002</v>
      </c>
      <c r="J1131" s="445"/>
      <c r="K1131" s="445"/>
      <c r="L1131" s="445">
        <v>1000</v>
      </c>
      <c r="M1131" s="445">
        <v>55.064999999999998</v>
      </c>
      <c r="N1131" s="445">
        <v>40.554000000000002</v>
      </c>
      <c r="O1131" s="445">
        <v>26.56</v>
      </c>
      <c r="P1131" s="445">
        <v>13.047000000000001</v>
      </c>
      <c r="Q1131" s="445">
        <v>0</v>
      </c>
      <c r="R1131" s="445">
        <v>-13.108000000000001</v>
      </c>
      <c r="S1131" s="445">
        <v>-25.785</v>
      </c>
      <c r="T1131" s="445">
        <v>-38.046999999999997</v>
      </c>
      <c r="U1131" s="445">
        <v>-49.917000000000002</v>
      </c>
      <c r="V1131" s="446"/>
    </row>
    <row r="1132" spans="1:28">
      <c r="A1132" s="445">
        <v>550</v>
      </c>
      <c r="B1132" s="445">
        <v>3.6930000000000001</v>
      </c>
      <c r="C1132" s="445">
        <v>3.6930000000000001</v>
      </c>
      <c r="D1132" s="445">
        <v>3.694</v>
      </c>
      <c r="E1132" s="445">
        <v>3.6949999999999998</v>
      </c>
      <c r="F1132" s="445">
        <v>3.6960000000000002</v>
      </c>
      <c r="G1132" s="445">
        <v>3.6970000000000001</v>
      </c>
      <c r="H1132" s="445">
        <v>3.7010000000000001</v>
      </c>
      <c r="I1132" s="445">
        <v>3.7050000000000001</v>
      </c>
      <c r="J1132" s="445"/>
      <c r="K1132" s="445"/>
      <c r="L1132" s="445">
        <v>1100</v>
      </c>
      <c r="M1132" s="445">
        <v>56.043999999999997</v>
      </c>
      <c r="N1132" s="445">
        <v>41.296999999999997</v>
      </c>
      <c r="O1132" s="445">
        <v>27.053000000000001</v>
      </c>
      <c r="P1132" s="445">
        <v>13.298</v>
      </c>
      <c r="Q1132" s="445">
        <v>0</v>
      </c>
      <c r="R1132" s="445">
        <v>-13.407</v>
      </c>
      <c r="S1132" s="445">
        <v>-26.395</v>
      </c>
      <c r="T1132" s="445">
        <v>-38.979999999999997</v>
      </c>
      <c r="U1132" s="445">
        <v>-51.177999999999997</v>
      </c>
      <c r="V1132" s="446"/>
    </row>
    <row r="1133" spans="1:28">
      <c r="A1133" s="445">
        <v>600</v>
      </c>
      <c r="B1133" s="445">
        <v>4.1760000000000002</v>
      </c>
      <c r="C1133" s="445">
        <v>4.1779999999999999</v>
      </c>
      <c r="D1133" s="445">
        <v>4.1790000000000003</v>
      </c>
      <c r="E1133" s="445">
        <v>4.181</v>
      </c>
      <c r="F1133" s="445">
        <v>4.1829999999999998</v>
      </c>
      <c r="G1133" s="445">
        <v>4.1849999999999996</v>
      </c>
      <c r="H1133" s="445">
        <v>4.1890000000000001</v>
      </c>
      <c r="I1133" s="445">
        <v>4.1950000000000003</v>
      </c>
      <c r="J1133" s="445"/>
      <c r="K1133" s="445"/>
      <c r="L1133" s="445">
        <v>1200</v>
      </c>
      <c r="M1133" s="445">
        <v>56.847000000000001</v>
      </c>
      <c r="N1133" s="445">
        <v>41.945</v>
      </c>
      <c r="O1133" s="445">
        <v>27.523</v>
      </c>
      <c r="P1133" s="445">
        <v>13.548999999999999</v>
      </c>
      <c r="Q1133" s="445">
        <v>0</v>
      </c>
      <c r="R1133" s="445">
        <v>-13.618</v>
      </c>
      <c r="S1133" s="445">
        <v>-26.812000000000001</v>
      </c>
      <c r="T1133" s="445">
        <v>-39.607999999999997</v>
      </c>
      <c r="U1133" s="445">
        <v>-52.03</v>
      </c>
      <c r="V1133" s="446"/>
    </row>
    <row r="1134" spans="1:28">
      <c r="A1134" s="445">
        <v>650</v>
      </c>
      <c r="B1134" s="445">
        <v>4.68</v>
      </c>
      <c r="C1134" s="445">
        <v>4.6829999999999998</v>
      </c>
      <c r="D1134" s="445">
        <v>4.6849999999999996</v>
      </c>
      <c r="E1134" s="445">
        <v>4.6879999999999997</v>
      </c>
      <c r="F1134" s="445">
        <v>4.6900000000000004</v>
      </c>
      <c r="G1134" s="445">
        <v>4.6929999999999996</v>
      </c>
      <c r="H1134" s="445">
        <v>4.6980000000000004</v>
      </c>
      <c r="I1134" s="445">
        <v>4.7050000000000001</v>
      </c>
      <c r="J1134" s="445"/>
      <c r="K1134" s="445"/>
      <c r="L1134" s="445">
        <v>1300</v>
      </c>
      <c r="M1134" s="445">
        <v>57.506999999999998</v>
      </c>
      <c r="N1134" s="445">
        <v>42.460999999999999</v>
      </c>
      <c r="O1134" s="445">
        <v>27.866</v>
      </c>
      <c r="P1134" s="445">
        <v>13.72</v>
      </c>
      <c r="Q1134" s="445">
        <v>0</v>
      </c>
      <c r="R1134" s="445">
        <v>-13.77</v>
      </c>
      <c r="S1134" s="445">
        <v>-27.148</v>
      </c>
      <c r="T1134" s="445">
        <v>-40.145000000000003</v>
      </c>
      <c r="U1134" s="445">
        <v>-52.78</v>
      </c>
      <c r="V1134" s="446"/>
    </row>
    <row r="1135" spans="1:28">
      <c r="A1135" s="445">
        <v>700</v>
      </c>
      <c r="B1135" s="445">
        <v>5.2039999999999997</v>
      </c>
      <c r="C1135" s="445">
        <v>5.2690000000000001</v>
      </c>
      <c r="D1135" s="445">
        <v>5.2110000000000003</v>
      </c>
      <c r="E1135" s="445">
        <v>5.2140000000000004</v>
      </c>
      <c r="F1135" s="445">
        <v>5.2169999999999996</v>
      </c>
      <c r="G1135" s="445">
        <v>5.2210000000000001</v>
      </c>
      <c r="H1135" s="445">
        <v>5.2279999999999998</v>
      </c>
      <c r="I1135" s="445">
        <v>5.2350000000000003</v>
      </c>
      <c r="J1135" s="445"/>
      <c r="K1135" s="445"/>
      <c r="L1135" s="445">
        <v>1400</v>
      </c>
      <c r="M1135" s="445">
        <v>58.026000000000003</v>
      </c>
      <c r="N1135" s="445">
        <v>42.871000000000002</v>
      </c>
      <c r="O1135" s="445">
        <v>28.166</v>
      </c>
      <c r="P1135" s="445">
        <v>13.882999999999999</v>
      </c>
      <c r="Q1135" s="445">
        <v>0</v>
      </c>
      <c r="R1135" s="445">
        <v>-13.91</v>
      </c>
      <c r="S1135" s="445">
        <v>-27.434999999999999</v>
      </c>
      <c r="T1135" s="445">
        <v>-40.591999999999999</v>
      </c>
      <c r="U1135" s="445">
        <v>-53.396999999999998</v>
      </c>
      <c r="V1135" s="446"/>
    </row>
    <row r="1136" spans="1:28">
      <c r="A1136" s="445">
        <v>750</v>
      </c>
      <c r="B1136" s="445">
        <v>5.7469999999999999</v>
      </c>
      <c r="C1136" s="445">
        <v>5.7530000000000001</v>
      </c>
      <c r="D1136" s="445">
        <v>5.7569999999999997</v>
      </c>
      <c r="E1136" s="445">
        <v>5.76</v>
      </c>
      <c r="F1136" s="445">
        <v>5.7640000000000002</v>
      </c>
      <c r="G1136" s="445">
        <v>5.7670000000000003</v>
      </c>
      <c r="H1136" s="445">
        <v>5.7750000000000004</v>
      </c>
      <c r="I1136" s="445">
        <v>5.7839999999999998</v>
      </c>
      <c r="J1136" s="445"/>
      <c r="K1136" s="445"/>
      <c r="L1136" s="445">
        <v>1500</v>
      </c>
      <c r="M1136" s="445">
        <v>58.448</v>
      </c>
      <c r="N1136" s="445">
        <v>43.216000000000001</v>
      </c>
      <c r="O1136" s="445">
        <v>28.405000000000001</v>
      </c>
      <c r="P1136" s="445">
        <v>14.003</v>
      </c>
      <c r="Q1136" s="445">
        <v>0</v>
      </c>
      <c r="R1136" s="445">
        <v>-14.01</v>
      </c>
      <c r="S1136" s="445">
        <v>-27.652000000000001</v>
      </c>
      <c r="T1136" s="445">
        <v>-40.938000000000002</v>
      </c>
      <c r="U1136" s="445">
        <v>-53.890999999999998</v>
      </c>
      <c r="V1136" s="446"/>
    </row>
    <row r="1137" spans="1:22">
      <c r="A1137" s="445">
        <v>800</v>
      </c>
      <c r="B1137" s="445">
        <v>6.3090000000000002</v>
      </c>
      <c r="C1137" s="445">
        <v>6.3159999999999998</v>
      </c>
      <c r="D1137" s="445">
        <v>6.32</v>
      </c>
      <c r="E1137" s="445">
        <v>6.3239999999999998</v>
      </c>
      <c r="F1137" s="445">
        <v>6.3280000000000003</v>
      </c>
      <c r="G1137" s="445">
        <v>6.3330000000000002</v>
      </c>
      <c r="H1137" s="445">
        <v>6.3419999999999996</v>
      </c>
      <c r="I1137" s="445">
        <v>6.351</v>
      </c>
      <c r="J1137" s="445"/>
      <c r="K1137" s="445"/>
      <c r="L1137" s="445">
        <v>1600</v>
      </c>
      <c r="M1137" s="445">
        <v>58.749000000000002</v>
      </c>
      <c r="N1137" s="445">
        <v>43.451999999999998</v>
      </c>
      <c r="O1137" s="445">
        <v>28.577000000000002</v>
      </c>
      <c r="P1137" s="445">
        <v>14.1</v>
      </c>
      <c r="Q1137" s="445">
        <v>0</v>
      </c>
      <c r="R1137" s="445">
        <v>-14.087999999999999</v>
      </c>
      <c r="S1137" s="445">
        <v>-27.826000000000001</v>
      </c>
      <c r="T1137" s="445">
        <v>-41.222999999999999</v>
      </c>
      <c r="U1137" s="445">
        <v>-54.289000000000001</v>
      </c>
      <c r="V1137" s="446"/>
    </row>
    <row r="1138" spans="1:22">
      <c r="A1138" s="445">
        <v>850</v>
      </c>
      <c r="B1138" s="445">
        <v>6.8890000000000002</v>
      </c>
      <c r="C1138" s="445">
        <v>6.8970000000000002</v>
      </c>
      <c r="D1138" s="445">
        <v>6.9009999999999998</v>
      </c>
      <c r="E1138" s="445">
        <v>6.9059999999999997</v>
      </c>
      <c r="F1138" s="445">
        <v>6.91</v>
      </c>
      <c r="G1138" s="445">
        <v>6.915</v>
      </c>
      <c r="H1138" s="445">
        <v>6.9249999999999998</v>
      </c>
      <c r="I1138" s="445">
        <v>6.9359999999999999</v>
      </c>
      <c r="J1138" s="445"/>
      <c r="K1138" s="445"/>
      <c r="L1138" s="445">
        <v>1700</v>
      </c>
      <c r="M1138" s="445">
        <v>58.97</v>
      </c>
      <c r="N1138" s="445">
        <v>43.642000000000003</v>
      </c>
      <c r="O1138" s="445">
        <v>28.716999999999999</v>
      </c>
      <c r="P1138" s="445">
        <v>14.173999999999999</v>
      </c>
      <c r="Q1138" s="445">
        <v>0</v>
      </c>
      <c r="R1138" s="445">
        <v>-14.147</v>
      </c>
      <c r="S1138" s="445">
        <v>-27.946999999999999</v>
      </c>
      <c r="T1138" s="445">
        <v>-41.415999999999997</v>
      </c>
      <c r="U1138" s="445">
        <v>-54.573999999999998</v>
      </c>
      <c r="V1138" s="446"/>
    </row>
    <row r="1139" spans="1:22">
      <c r="A1139" s="445">
        <v>900</v>
      </c>
      <c r="B1139" s="445">
        <v>7.4850000000000003</v>
      </c>
      <c r="C1139" s="445">
        <v>7.4939999999999998</v>
      </c>
      <c r="D1139" s="445">
        <v>7.4989999999999997</v>
      </c>
      <c r="E1139" s="445">
        <v>7.5039999999999996</v>
      </c>
      <c r="F1139" s="445">
        <v>7.5090000000000003</v>
      </c>
      <c r="G1139" s="445">
        <v>7.5140000000000002</v>
      </c>
      <c r="H1139" s="445">
        <v>7.5250000000000004</v>
      </c>
      <c r="I1139" s="445">
        <v>7.5369999999999999</v>
      </c>
      <c r="J1139" s="445"/>
      <c r="K1139" s="445"/>
      <c r="L1139" s="445">
        <v>1800</v>
      </c>
      <c r="M1139" s="445">
        <v>59.112000000000002</v>
      </c>
      <c r="N1139" s="445">
        <v>43.753999999999998</v>
      </c>
      <c r="O1139" s="445">
        <v>28.797999999999998</v>
      </c>
      <c r="P1139" s="445">
        <v>14.218</v>
      </c>
      <c r="Q1139" s="445">
        <v>0</v>
      </c>
      <c r="R1139" s="445">
        <v>-14.178000000000001</v>
      </c>
      <c r="S1139" s="445">
        <v>-28.029</v>
      </c>
      <c r="T1139" s="445">
        <v>-41.564999999999998</v>
      </c>
      <c r="U1139" s="445">
        <v>-54.79</v>
      </c>
      <c r="V1139" s="446"/>
    </row>
    <row r="1140" spans="1:22">
      <c r="A1140" s="445">
        <v>950</v>
      </c>
      <c r="B1140" s="445">
        <v>8.0830000000000002</v>
      </c>
      <c r="C1140" s="445">
        <v>8.093</v>
      </c>
      <c r="D1140" s="445">
        <v>8.0990000000000002</v>
      </c>
      <c r="E1140" s="445">
        <v>8.1039999999999992</v>
      </c>
      <c r="F1140" s="445">
        <v>8.109</v>
      </c>
      <c r="G1140" s="445">
        <v>8.1150000000000002</v>
      </c>
      <c r="H1140" s="445">
        <v>8.1270000000000007</v>
      </c>
      <c r="I1140" s="445">
        <v>8.1389999999999993</v>
      </c>
      <c r="J1140" s="445"/>
      <c r="K1140" s="445"/>
      <c r="L1140" s="445">
        <v>1900</v>
      </c>
      <c r="M1140" s="445">
        <v>59.186999999999998</v>
      </c>
      <c r="N1140" s="445">
        <v>43.027999999999999</v>
      </c>
      <c r="O1140" s="445">
        <v>28.859000000000002</v>
      </c>
      <c r="P1140" s="445">
        <v>14.256</v>
      </c>
      <c r="Q1140" s="445">
        <v>0</v>
      </c>
      <c r="R1140" s="445">
        <v>-14.202</v>
      </c>
      <c r="S1140" s="445">
        <v>-28.074999999999999</v>
      </c>
      <c r="T1140" s="445">
        <v>-41.636000000000003</v>
      </c>
      <c r="U1140" s="445">
        <v>-54.905000000000001</v>
      </c>
      <c r="V1140" s="446"/>
    </row>
    <row r="1141" spans="1:22">
      <c r="A1141" s="445">
        <v>1000</v>
      </c>
      <c r="B1141" s="445">
        <v>8.6890000000000001</v>
      </c>
      <c r="C1141" s="445">
        <v>8.6999999999999993</v>
      </c>
      <c r="D1141" s="445">
        <v>8.7059999999999995</v>
      </c>
      <c r="E1141" s="445">
        <v>8.7110000000000003</v>
      </c>
      <c r="F1141" s="445">
        <v>8.7170000000000005</v>
      </c>
      <c r="G1141" s="445">
        <v>8.7230000000000008</v>
      </c>
      <c r="H1141" s="445">
        <v>8.7360000000000007</v>
      </c>
      <c r="I1141" s="445">
        <v>8.7490000000000006</v>
      </c>
      <c r="J1141" s="445"/>
      <c r="K1141" s="445"/>
      <c r="L1141" s="445">
        <v>2000</v>
      </c>
      <c r="M1141" s="445">
        <v>59.216000000000001</v>
      </c>
      <c r="N1141" s="445">
        <v>43.850999999999999</v>
      </c>
      <c r="O1141" s="445">
        <v>28.875</v>
      </c>
      <c r="P1141" s="445">
        <v>14.263999999999999</v>
      </c>
      <c r="Q1141" s="445">
        <v>0</v>
      </c>
      <c r="R1141" s="445">
        <v>-14.202</v>
      </c>
      <c r="S1141" s="445">
        <v>-28.091000000000001</v>
      </c>
      <c r="T1141" s="445">
        <v>-41.680999999999997</v>
      </c>
      <c r="U1141" s="445">
        <v>-54.976999999999997</v>
      </c>
      <c r="V1141" s="446"/>
    </row>
    <row r="1142" spans="1:22">
      <c r="A1142" s="445">
        <v>1050</v>
      </c>
      <c r="B1142" s="445">
        <v>9.3089999999999993</v>
      </c>
      <c r="C1142" s="445">
        <v>9.32</v>
      </c>
      <c r="D1142" s="445">
        <v>9.3260000000000005</v>
      </c>
      <c r="E1142" s="445">
        <v>9.3330000000000002</v>
      </c>
      <c r="F1142" s="445">
        <v>9.3390000000000004</v>
      </c>
      <c r="G1142" s="445">
        <v>9.3450000000000006</v>
      </c>
      <c r="H1142" s="445">
        <v>9.3580000000000005</v>
      </c>
      <c r="I1142" s="445">
        <v>9.3719999999999999</v>
      </c>
      <c r="J1142" s="445"/>
      <c r="K1142" s="445"/>
      <c r="L1142" s="445">
        <v>2100</v>
      </c>
      <c r="M1142" s="445">
        <v>57.908999999999999</v>
      </c>
      <c r="N1142" s="445">
        <v>42.9</v>
      </c>
      <c r="O1142" s="445">
        <v>28.256</v>
      </c>
      <c r="P1142" s="445">
        <v>13.961</v>
      </c>
      <c r="Q1142" s="445">
        <v>0</v>
      </c>
      <c r="R1142" s="445">
        <v>-14.196</v>
      </c>
      <c r="S1142" s="445">
        <v>-28.077000000000002</v>
      </c>
      <c r="T1142" s="445">
        <v>-41.662999999999997</v>
      </c>
      <c r="U1142" s="445">
        <v>-54.970999999999997</v>
      </c>
      <c r="V1142" s="446"/>
    </row>
    <row r="1143" spans="1:22">
      <c r="A1143" s="445">
        <v>1100</v>
      </c>
      <c r="B1143" s="445">
        <v>9.9420000000000002</v>
      </c>
      <c r="C1143" s="445">
        <v>9.9540000000000006</v>
      </c>
      <c r="D1143" s="445">
        <v>9.9610000000000003</v>
      </c>
      <c r="E1143" s="445">
        <v>9.9670000000000005</v>
      </c>
      <c r="F1143" s="445">
        <v>9.9740000000000002</v>
      </c>
      <c r="G1143" s="445">
        <v>9.98</v>
      </c>
      <c r="H1143" s="445">
        <v>9.9939999999999998</v>
      </c>
      <c r="I1143" s="445">
        <v>10.007999999999999</v>
      </c>
      <c r="J1143" s="445"/>
      <c r="K1143" s="445"/>
      <c r="L1143" s="445">
        <v>2200</v>
      </c>
      <c r="M1143" s="445">
        <v>53.942</v>
      </c>
      <c r="N1143" s="445">
        <v>42.156999999999996</v>
      </c>
      <c r="O1143" s="445">
        <v>28.457000000000001</v>
      </c>
      <c r="P1143" s="445">
        <v>14.063000000000001</v>
      </c>
      <c r="Q1143" s="445">
        <v>0</v>
      </c>
      <c r="R1143" s="445">
        <v>-14.173</v>
      </c>
      <c r="S1143" s="445">
        <v>-28.042999999999999</v>
      </c>
      <c r="T1143" s="445">
        <v>-41.622999999999998</v>
      </c>
      <c r="U1143" s="445">
        <v>-54.923000000000002</v>
      </c>
      <c r="V1143" s="446"/>
    </row>
    <row r="1144" spans="1:22">
      <c r="A1144" s="445">
        <v>1150</v>
      </c>
      <c r="B1144" s="445">
        <v>10.587999999999999</v>
      </c>
      <c r="C1144" s="445">
        <v>10.601000000000001</v>
      </c>
      <c r="D1144" s="445">
        <v>10.608000000000001</v>
      </c>
      <c r="E1144" s="445">
        <v>10.614000000000001</v>
      </c>
      <c r="F1144" s="445">
        <v>10.621</v>
      </c>
      <c r="G1144" s="445">
        <v>10.628</v>
      </c>
      <c r="H1144" s="445">
        <v>10.643000000000001</v>
      </c>
      <c r="I1144" s="445">
        <v>10.657999999999999</v>
      </c>
      <c r="J1144" s="445"/>
      <c r="K1144" s="445"/>
      <c r="L1144" s="445">
        <v>2300</v>
      </c>
      <c r="M1144" s="445">
        <v>53.668999999999997</v>
      </c>
      <c r="N1144" s="445">
        <v>52.107999999999997</v>
      </c>
      <c r="O1144" s="445">
        <v>46.81</v>
      </c>
      <c r="P1144" s="445">
        <v>29.742999999999999</v>
      </c>
      <c r="Q1144" s="445">
        <v>0</v>
      </c>
      <c r="R1144" s="445">
        <v>-14.436</v>
      </c>
      <c r="S1144" s="445">
        <v>-28.567</v>
      </c>
      <c r="T1144" s="445">
        <v>-42.411999999999999</v>
      </c>
      <c r="U1144" s="445">
        <v>-55.982999999999997</v>
      </c>
      <c r="V1144" s="446"/>
    </row>
    <row r="1145" spans="1:22">
      <c r="A1145" s="445">
        <v>1200</v>
      </c>
      <c r="B1145" s="445">
        <v>11.247</v>
      </c>
      <c r="C1145" s="445">
        <v>11.260999999999999</v>
      </c>
      <c r="D1145" s="445">
        <v>11.268000000000001</v>
      </c>
      <c r="E1145" s="445">
        <v>11.275</v>
      </c>
      <c r="F1145" s="445">
        <v>11.282</v>
      </c>
      <c r="G1145" s="445">
        <v>11.289</v>
      </c>
      <c r="H1145" s="445">
        <v>11.304</v>
      </c>
      <c r="I1145" s="445">
        <v>11.32</v>
      </c>
      <c r="J1145" s="445"/>
      <c r="K1145" s="445"/>
      <c r="L1145" s="445">
        <v>2400</v>
      </c>
      <c r="M1145" s="445">
        <v>0</v>
      </c>
      <c r="N1145" s="445">
        <v>0</v>
      </c>
      <c r="O1145" s="445">
        <v>0</v>
      </c>
      <c r="P1145" s="445">
        <v>0</v>
      </c>
      <c r="Q1145" s="445">
        <v>0</v>
      </c>
      <c r="R1145" s="445">
        <v>0</v>
      </c>
      <c r="S1145" s="445">
        <v>0</v>
      </c>
      <c r="T1145" s="445">
        <v>-35.192999999999998</v>
      </c>
      <c r="U1145" s="445">
        <v>-62.667999999999999</v>
      </c>
      <c r="V1145" s="446"/>
    </row>
    <row r="1146" spans="1:22">
      <c r="A1146" s="445">
        <v>1250</v>
      </c>
      <c r="B1146" s="445">
        <v>11.919</v>
      </c>
      <c r="C1146" s="445">
        <v>11.933</v>
      </c>
      <c r="D1146" s="445">
        <v>11.94</v>
      </c>
      <c r="E1146" s="445">
        <v>11.948</v>
      </c>
      <c r="F1146" s="445">
        <v>11.955</v>
      </c>
      <c r="G1146" s="445">
        <v>11.962999999999999</v>
      </c>
      <c r="H1146" s="445">
        <v>11.978</v>
      </c>
      <c r="I1146" s="445">
        <v>11.994</v>
      </c>
      <c r="J1146" s="445"/>
      <c r="K1146" s="445"/>
      <c r="L1146" s="445">
        <v>5229</v>
      </c>
      <c r="M1146" s="445">
        <v>0</v>
      </c>
      <c r="N1146" s="445">
        <v>0</v>
      </c>
      <c r="O1146" s="445">
        <v>0</v>
      </c>
      <c r="P1146" s="445">
        <v>0</v>
      </c>
      <c r="Q1146" s="445">
        <v>0</v>
      </c>
      <c r="R1146" s="445">
        <v>0</v>
      </c>
      <c r="S1146" s="445">
        <v>0</v>
      </c>
      <c r="T1146" s="445">
        <v>0</v>
      </c>
      <c r="U1146" s="445">
        <v>0</v>
      </c>
      <c r="V1146" s="446"/>
    </row>
    <row r="1147" spans="1:22">
      <c r="A1147" s="445">
        <v>1300</v>
      </c>
      <c r="B1147" s="445">
        <v>12.602</v>
      </c>
      <c r="C1147" s="445">
        <v>12.617000000000001</v>
      </c>
      <c r="D1147" s="445">
        <v>12.624000000000001</v>
      </c>
      <c r="E1147" s="445">
        <v>12.632</v>
      </c>
      <c r="F1147" s="445">
        <v>12.64</v>
      </c>
      <c r="G1147" s="445">
        <v>12.647</v>
      </c>
      <c r="H1147" s="445">
        <v>12.663</v>
      </c>
      <c r="I1147" s="445">
        <v>12.68</v>
      </c>
      <c r="J1147" s="445"/>
      <c r="K1147" s="445"/>
      <c r="L1147" s="445"/>
      <c r="M1147" s="445"/>
      <c r="N1147" s="445"/>
      <c r="O1147" s="445"/>
      <c r="P1147" s="445"/>
      <c r="Q1147" s="445"/>
      <c r="R1147" s="445"/>
      <c r="S1147" s="445"/>
      <c r="T1147" s="445"/>
      <c r="U1147" s="445"/>
      <c r="V1147" s="446"/>
    </row>
    <row r="1148" spans="1:22">
      <c r="A1148" s="445">
        <v>1350</v>
      </c>
      <c r="B1148" s="445">
        <v>13.297000000000001</v>
      </c>
      <c r="C1148" s="445">
        <v>13.311999999999999</v>
      </c>
      <c r="D1148" s="445">
        <v>13.32</v>
      </c>
      <c r="E1148" s="445">
        <v>13.327999999999999</v>
      </c>
      <c r="F1148" s="445">
        <v>13.336</v>
      </c>
      <c r="G1148" s="445">
        <v>13.343999999999999</v>
      </c>
      <c r="H1148" s="445">
        <v>13.36</v>
      </c>
      <c r="I1148" s="445">
        <v>13.377000000000001</v>
      </c>
      <c r="J1148" s="445"/>
      <c r="K1148" s="445"/>
      <c r="L1148" s="445"/>
      <c r="M1148" s="445"/>
      <c r="N1148" s="445"/>
      <c r="O1148" s="445"/>
      <c r="P1148" s="445"/>
      <c r="Q1148" s="445"/>
      <c r="R1148" s="445"/>
      <c r="S1148" s="445"/>
      <c r="T1148" s="445"/>
      <c r="U1148" s="445"/>
      <c r="V1148" s="446"/>
    </row>
    <row r="1149" spans="1:22">
      <c r="A1149" s="445">
        <v>1400</v>
      </c>
      <c r="B1149" s="445">
        <v>14.003</v>
      </c>
      <c r="C1149" s="445">
        <v>14.019</v>
      </c>
      <c r="D1149" s="445">
        <v>14.026999999999999</v>
      </c>
      <c r="E1149" s="445">
        <v>14.035</v>
      </c>
      <c r="F1149" s="445">
        <v>14.042999999999999</v>
      </c>
      <c r="G1149" s="445">
        <v>14.051</v>
      </c>
      <c r="H1149" s="445">
        <v>14.068</v>
      </c>
      <c r="I1149" s="445">
        <v>14.085000000000001</v>
      </c>
      <c r="J1149" s="445"/>
      <c r="K1149" s="445"/>
      <c r="L1149" s="445"/>
      <c r="M1149" s="445"/>
      <c r="N1149" s="445"/>
      <c r="O1149" s="445"/>
      <c r="P1149" s="445"/>
      <c r="Q1149" s="445"/>
      <c r="R1149" s="445"/>
      <c r="S1149" s="445"/>
      <c r="T1149" s="445"/>
      <c r="U1149" s="445"/>
      <c r="V1149" s="446"/>
    </row>
    <row r="1150" spans="1:22">
      <c r="A1150" s="445">
        <v>1450</v>
      </c>
      <c r="B1150" s="445">
        <v>14.72</v>
      </c>
      <c r="C1150" s="445">
        <v>14.736000000000001</v>
      </c>
      <c r="D1150" s="445">
        <v>14.744</v>
      </c>
      <c r="E1150" s="445">
        <v>14.752000000000001</v>
      </c>
      <c r="F1150" s="445">
        <v>14.760999999999999</v>
      </c>
      <c r="G1150" s="445">
        <v>14.769</v>
      </c>
      <c r="H1150" s="445">
        <v>14.786</v>
      </c>
      <c r="I1150" s="445">
        <v>14.804</v>
      </c>
      <c r="J1150" s="445"/>
      <c r="K1150" s="445"/>
      <c r="L1150" s="445"/>
      <c r="M1150" s="445"/>
      <c r="N1150" s="445"/>
      <c r="O1150" s="445"/>
      <c r="P1150" s="445"/>
      <c r="Q1150" s="445"/>
      <c r="R1150" s="445"/>
      <c r="S1150" s="445"/>
      <c r="T1150" s="445"/>
      <c r="U1150" s="445"/>
      <c r="V1150" s="446"/>
    </row>
    <row r="1151" spans="1:22">
      <c r="A1151" s="445">
        <v>1500</v>
      </c>
      <c r="B1151" s="445">
        <v>15.446999999999999</v>
      </c>
      <c r="C1151" s="445">
        <v>15.462999999999999</v>
      </c>
      <c r="D1151" s="445">
        <v>15.472</v>
      </c>
      <c r="E1151" s="445">
        <v>15.48</v>
      </c>
      <c r="F1151" s="445">
        <v>15.489000000000001</v>
      </c>
      <c r="G1151" s="445">
        <v>15.497</v>
      </c>
      <c r="H1151" s="445">
        <v>15.515000000000001</v>
      </c>
      <c r="I1151" s="445">
        <v>15.532999999999999</v>
      </c>
      <c r="J1151" s="445"/>
      <c r="K1151" s="445"/>
      <c r="L1151" s="445"/>
      <c r="M1151" s="445"/>
      <c r="N1151" s="445"/>
      <c r="O1151" s="445"/>
      <c r="P1151" s="445"/>
      <c r="Q1151" s="445"/>
      <c r="R1151" s="445"/>
      <c r="S1151" s="445"/>
      <c r="T1151" s="445"/>
      <c r="U1151" s="445"/>
      <c r="V1151" s="446"/>
    </row>
    <row r="1152" spans="1:22">
      <c r="A1152" s="445">
        <v>1550</v>
      </c>
      <c r="B1152" s="445">
        <v>16.184000000000001</v>
      </c>
      <c r="C1152" s="445">
        <v>16.201000000000001</v>
      </c>
      <c r="D1152" s="445">
        <v>16.21</v>
      </c>
      <c r="E1152" s="445">
        <v>16.218</v>
      </c>
      <c r="F1152" s="445">
        <v>16.227</v>
      </c>
      <c r="G1152" s="445">
        <v>16.236000000000001</v>
      </c>
      <c r="H1152" s="445">
        <v>16.254000000000001</v>
      </c>
      <c r="I1152" s="445">
        <v>16.271999999999998</v>
      </c>
      <c r="J1152" s="445"/>
      <c r="K1152" s="445"/>
      <c r="L1152" s="445"/>
      <c r="M1152" s="445"/>
      <c r="N1152" s="445"/>
      <c r="O1152" s="445"/>
      <c r="P1152" s="445"/>
      <c r="Q1152" s="445"/>
      <c r="R1152" s="445"/>
      <c r="S1152" s="445"/>
      <c r="T1152" s="445"/>
      <c r="U1152" s="445"/>
      <c r="V1152" s="446"/>
    </row>
    <row r="1153" spans="1:22">
      <c r="A1153" s="445">
        <v>1600</v>
      </c>
      <c r="B1153" s="445">
        <v>16.931000000000001</v>
      </c>
      <c r="C1153" s="445">
        <v>16.949000000000002</v>
      </c>
      <c r="D1153" s="445">
        <v>16.957000000000001</v>
      </c>
      <c r="E1153" s="445">
        <v>16.966000000000001</v>
      </c>
      <c r="F1153" s="445">
        <v>16.975000000000001</v>
      </c>
      <c r="G1153" s="445">
        <v>16.984000000000002</v>
      </c>
      <c r="H1153" s="445">
        <v>17.001999999999999</v>
      </c>
      <c r="I1153" s="445">
        <v>17.021000000000001</v>
      </c>
      <c r="J1153" s="445"/>
      <c r="K1153" s="445"/>
      <c r="L1153" s="445"/>
      <c r="M1153" s="445"/>
      <c r="N1153" s="445"/>
      <c r="O1153" s="445"/>
      <c r="P1153" s="445"/>
      <c r="Q1153" s="445"/>
      <c r="R1153" s="445"/>
      <c r="S1153" s="445"/>
      <c r="T1153" s="445"/>
      <c r="U1153" s="445"/>
      <c r="V1153" s="446"/>
    </row>
    <row r="1154" spans="1:22">
      <c r="A1154" s="445">
        <v>1650</v>
      </c>
      <c r="B1154" s="445">
        <v>17.687999999999999</v>
      </c>
      <c r="C1154" s="445">
        <v>17.706</v>
      </c>
      <c r="D1154" s="445">
        <v>17.713999999999999</v>
      </c>
      <c r="E1154" s="445">
        <v>17.722999999999999</v>
      </c>
      <c r="F1154" s="445">
        <v>17.731999999999999</v>
      </c>
      <c r="G1154" s="445">
        <v>17.741</v>
      </c>
      <c r="H1154" s="445">
        <v>17.760000000000002</v>
      </c>
      <c r="I1154" s="445">
        <v>17.777999999999999</v>
      </c>
      <c r="J1154" s="445"/>
      <c r="K1154" s="445"/>
      <c r="L1154" s="445"/>
      <c r="M1154" s="445"/>
      <c r="N1154" s="445"/>
      <c r="O1154" s="445"/>
      <c r="P1154" s="445"/>
      <c r="Q1154" s="445"/>
      <c r="R1154" s="445"/>
      <c r="S1154" s="445"/>
      <c r="T1154" s="445"/>
      <c r="U1154" s="445"/>
      <c r="V1154" s="446"/>
    </row>
    <row r="1155" spans="1:22">
      <c r="A1155" s="445">
        <v>1700</v>
      </c>
      <c r="B1155" s="445">
        <v>18.454000000000001</v>
      </c>
      <c r="C1155" s="445">
        <v>18.472000000000001</v>
      </c>
      <c r="D1155" s="445">
        <v>18.481000000000002</v>
      </c>
      <c r="E1155" s="445">
        <v>18.489999999999998</v>
      </c>
      <c r="F1155" s="445">
        <v>18.498999999999999</v>
      </c>
      <c r="G1155" s="445">
        <v>18.507999999999999</v>
      </c>
      <c r="H1155" s="445">
        <v>18.527000000000001</v>
      </c>
      <c r="I1155" s="445">
        <v>18.545999999999999</v>
      </c>
      <c r="J1155" s="445"/>
      <c r="K1155" s="445"/>
      <c r="L1155" s="445"/>
      <c r="M1155" s="445"/>
      <c r="N1155" s="445"/>
      <c r="O1155" s="445"/>
      <c r="P1155" s="445"/>
      <c r="Q1155" s="445"/>
      <c r="R1155" s="445"/>
      <c r="S1155" s="445"/>
      <c r="T1155" s="445"/>
      <c r="U1155" s="445"/>
      <c r="V1155" s="446"/>
    </row>
    <row r="1156" spans="1:22">
      <c r="A1156" s="445">
        <v>1750</v>
      </c>
      <c r="B1156" s="445">
        <v>19.228999999999999</v>
      </c>
      <c r="C1156" s="445">
        <v>19.247</v>
      </c>
      <c r="D1156" s="445">
        <v>19.256</v>
      </c>
      <c r="E1156" s="445">
        <v>19.265000000000001</v>
      </c>
      <c r="F1156" s="445">
        <v>19.274000000000001</v>
      </c>
      <c r="G1156" s="445">
        <v>19.283999999999999</v>
      </c>
      <c r="H1156" s="445">
        <v>19.303000000000001</v>
      </c>
      <c r="I1156" s="445">
        <v>19.321999999999999</v>
      </c>
      <c r="J1156" s="445"/>
      <c r="K1156" s="445"/>
      <c r="L1156" s="445"/>
      <c r="M1156" s="445"/>
      <c r="N1156" s="445"/>
      <c r="O1156" s="445"/>
      <c r="P1156" s="445"/>
      <c r="Q1156" s="445"/>
      <c r="R1156" s="445"/>
      <c r="S1156" s="445"/>
      <c r="T1156" s="445"/>
      <c r="U1156" s="445"/>
      <c r="V1156" s="446"/>
    </row>
    <row r="1157" spans="1:22">
      <c r="A1157" s="445">
        <v>1800</v>
      </c>
      <c r="B1157" s="445">
        <v>20.013000000000002</v>
      </c>
      <c r="C1157" s="445">
        <v>20.030999999999999</v>
      </c>
      <c r="D1157" s="445">
        <v>20.04</v>
      </c>
      <c r="E1157" s="445">
        <v>20.048999999999999</v>
      </c>
      <c r="F1157" s="445">
        <v>20.059000000000001</v>
      </c>
      <c r="G1157" s="445">
        <v>20.068000000000001</v>
      </c>
      <c r="H1157" s="445">
        <v>20.087</v>
      </c>
      <c r="I1157" s="445">
        <v>20.106000000000002</v>
      </c>
      <c r="J1157" s="445"/>
      <c r="K1157" s="445"/>
      <c r="L1157" s="445"/>
      <c r="M1157" s="445"/>
      <c r="N1157" s="445"/>
      <c r="O1157" s="445"/>
      <c r="P1157" s="445"/>
      <c r="Q1157" s="445"/>
      <c r="R1157" s="445"/>
      <c r="S1157" s="445"/>
      <c r="T1157" s="445"/>
      <c r="U1157" s="445"/>
      <c r="V1157" s="446"/>
    </row>
    <row r="1158" spans="1:22">
      <c r="A1158" s="445">
        <v>1850</v>
      </c>
      <c r="B1158" s="445">
        <v>20.805</v>
      </c>
      <c r="C1158" s="445">
        <v>20.823</v>
      </c>
      <c r="D1158" s="445">
        <v>20.832000000000001</v>
      </c>
      <c r="E1158" s="445">
        <v>20.841999999999999</v>
      </c>
      <c r="F1158" s="445">
        <v>20.850999999999999</v>
      </c>
      <c r="G1158" s="445">
        <v>20.861000000000001</v>
      </c>
      <c r="H1158" s="445">
        <v>20.88</v>
      </c>
      <c r="I1158" s="445">
        <v>20.899000000000001</v>
      </c>
      <c r="J1158" s="445"/>
      <c r="K1158" s="445"/>
      <c r="L1158" s="445"/>
      <c r="M1158" s="445"/>
      <c r="N1158" s="445"/>
      <c r="O1158" s="445"/>
      <c r="P1158" s="445"/>
      <c r="Q1158" s="445"/>
      <c r="R1158" s="445"/>
      <c r="S1158" s="445"/>
      <c r="T1158" s="445"/>
      <c r="U1158" s="445"/>
      <c r="V1158" s="446"/>
    </row>
    <row r="1159" spans="1:22">
      <c r="A1159" s="445">
        <v>1900</v>
      </c>
      <c r="B1159" s="445">
        <v>21.605</v>
      </c>
      <c r="C1159" s="445">
        <v>21.623999999999999</v>
      </c>
      <c r="D1159" s="445">
        <v>21.632999999999999</v>
      </c>
      <c r="E1159" s="445">
        <v>21.641999999999999</v>
      </c>
      <c r="F1159" s="445">
        <v>21.652000000000001</v>
      </c>
      <c r="G1159" s="445">
        <v>21.661000000000001</v>
      </c>
      <c r="H1159" s="445">
        <v>21.681000000000001</v>
      </c>
      <c r="I1159" s="445">
        <v>21.7</v>
      </c>
      <c r="J1159" s="445"/>
      <c r="K1159" s="445"/>
      <c r="L1159" s="445"/>
      <c r="M1159" s="445"/>
      <c r="N1159" s="445"/>
      <c r="O1159" s="445"/>
      <c r="P1159" s="445"/>
      <c r="Q1159" s="445"/>
      <c r="R1159" s="445"/>
      <c r="S1159" s="445"/>
      <c r="T1159" s="445"/>
      <c r="U1159" s="445"/>
      <c r="V1159" s="446"/>
    </row>
    <row r="1160" spans="1:22">
      <c r="A1160" s="445">
        <v>1950</v>
      </c>
      <c r="B1160" s="445">
        <v>22.414000000000001</v>
      </c>
      <c r="C1160" s="445">
        <v>22.433</v>
      </c>
      <c r="D1160" s="445">
        <v>22.442</v>
      </c>
      <c r="E1160" s="445">
        <v>22.451000000000001</v>
      </c>
      <c r="F1160" s="445">
        <v>22.460999999999999</v>
      </c>
      <c r="G1160" s="445">
        <v>22.471</v>
      </c>
      <c r="H1160" s="445">
        <v>22.49</v>
      </c>
      <c r="I1160" s="445">
        <v>22.51</v>
      </c>
      <c r="J1160" s="445"/>
      <c r="K1160" s="445"/>
      <c r="L1160" s="445"/>
      <c r="M1160" s="445"/>
      <c r="N1160" s="445"/>
      <c r="O1160" s="445"/>
      <c r="P1160" s="445"/>
      <c r="Q1160" s="445"/>
      <c r="R1160" s="445"/>
      <c r="S1160" s="445"/>
      <c r="T1160" s="445"/>
      <c r="U1160" s="445"/>
      <c r="V1160" s="446"/>
    </row>
    <row r="1161" spans="1:22">
      <c r="A1161" s="445">
        <v>2000</v>
      </c>
      <c r="B1161" s="445">
        <v>23.23</v>
      </c>
      <c r="C1161" s="445">
        <v>23.248999999999999</v>
      </c>
      <c r="D1161" s="445">
        <v>23.259</v>
      </c>
      <c r="E1161" s="445">
        <v>23.268000000000001</v>
      </c>
      <c r="F1161" s="445">
        <v>23.277999999999999</v>
      </c>
      <c r="G1161" s="445">
        <v>23.286999999999999</v>
      </c>
      <c r="H1161" s="445">
        <v>23.306999999999999</v>
      </c>
      <c r="I1161" s="445">
        <v>23.327000000000002</v>
      </c>
      <c r="J1161" s="445"/>
      <c r="K1161" s="445"/>
      <c r="L1161" s="445"/>
      <c r="M1161" s="445"/>
      <c r="N1161" s="445"/>
      <c r="O1161" s="445"/>
      <c r="P1161" s="445"/>
      <c r="Q1161" s="445"/>
      <c r="R1161" s="445"/>
      <c r="S1161" s="445"/>
      <c r="T1161" s="445"/>
      <c r="U1161" s="445"/>
      <c r="V1161" s="446"/>
    </row>
    <row r="1162" spans="1:22">
      <c r="A1162" s="445">
        <v>2050</v>
      </c>
      <c r="B1162" s="445">
        <v>24.055</v>
      </c>
      <c r="C1162" s="445">
        <v>24.073</v>
      </c>
      <c r="D1162" s="445">
        <v>24.082999999999998</v>
      </c>
      <c r="E1162" s="445">
        <v>24.091999999999999</v>
      </c>
      <c r="F1162" s="445">
        <v>24.102</v>
      </c>
      <c r="G1162" s="445">
        <v>24.111999999999998</v>
      </c>
      <c r="H1162" s="445">
        <v>24.131</v>
      </c>
      <c r="I1162" s="445">
        <v>24.151</v>
      </c>
      <c r="J1162" s="445"/>
      <c r="K1162" s="445"/>
      <c r="L1162" s="445"/>
      <c r="M1162" s="445"/>
      <c r="N1162" s="445"/>
      <c r="O1162" s="445"/>
      <c r="P1162" s="445"/>
      <c r="Q1162" s="445"/>
      <c r="R1162" s="445"/>
      <c r="S1162" s="445"/>
      <c r="T1162" s="445"/>
      <c r="U1162" s="445"/>
      <c r="V1162" s="446"/>
    </row>
    <row r="1163" spans="1:22">
      <c r="A1163" s="445">
        <v>2100</v>
      </c>
      <c r="B1163" s="445">
        <v>24.885999999999999</v>
      </c>
      <c r="C1163" s="445">
        <v>24.905000000000001</v>
      </c>
      <c r="D1163" s="445">
        <v>24.914999999999999</v>
      </c>
      <c r="E1163" s="445">
        <v>24.923999999999999</v>
      </c>
      <c r="F1163" s="445">
        <v>24.934000000000001</v>
      </c>
      <c r="G1163" s="445">
        <v>24.943999999999999</v>
      </c>
      <c r="H1163" s="445">
        <v>24.963000000000001</v>
      </c>
      <c r="I1163" s="445">
        <v>24.983000000000001</v>
      </c>
      <c r="J1163" s="445"/>
      <c r="K1163" s="445"/>
      <c r="L1163" s="445"/>
      <c r="M1163" s="445"/>
      <c r="N1163" s="445"/>
      <c r="O1163" s="445"/>
      <c r="P1163" s="445"/>
      <c r="Q1163" s="445"/>
      <c r="R1163" s="445"/>
      <c r="S1163" s="445"/>
      <c r="T1163" s="445"/>
      <c r="U1163" s="445"/>
      <c r="V1163" s="446"/>
    </row>
    <row r="1164" spans="1:22">
      <c r="A1164" s="445">
        <v>2150</v>
      </c>
      <c r="B1164" s="445">
        <v>25.733000000000001</v>
      </c>
      <c r="C1164" s="445">
        <v>25.751999999999999</v>
      </c>
      <c r="D1164" s="445">
        <v>25.762</v>
      </c>
      <c r="E1164" s="445">
        <v>25.771000000000001</v>
      </c>
      <c r="F1164" s="445">
        <v>25.780999999999999</v>
      </c>
      <c r="G1164" s="445">
        <v>25.791</v>
      </c>
      <c r="H1164" s="445">
        <v>25.81</v>
      </c>
      <c r="I1164" s="445">
        <v>25.83</v>
      </c>
      <c r="J1164" s="445"/>
      <c r="K1164" s="445"/>
      <c r="L1164" s="445"/>
      <c r="M1164" s="445"/>
      <c r="N1164" s="445"/>
      <c r="O1164" s="445"/>
      <c r="P1164" s="445"/>
      <c r="Q1164" s="445"/>
      <c r="R1164" s="445"/>
      <c r="S1164" s="445"/>
      <c r="T1164" s="445"/>
      <c r="U1164" s="445"/>
      <c r="V1164" s="446"/>
    </row>
    <row r="1165" spans="1:22">
      <c r="A1165" s="445">
        <v>2200</v>
      </c>
      <c r="B1165" s="445">
        <v>26.61</v>
      </c>
      <c r="C1165" s="445">
        <v>26.629000000000001</v>
      </c>
      <c r="D1165" s="445">
        <v>26.638000000000002</v>
      </c>
      <c r="E1165" s="445">
        <v>26.648</v>
      </c>
      <c r="F1165" s="445">
        <v>26.658000000000001</v>
      </c>
      <c r="G1165" s="445">
        <v>26.667000000000002</v>
      </c>
      <c r="H1165" s="445">
        <v>26.687000000000001</v>
      </c>
      <c r="I1165" s="445">
        <v>26.707000000000001</v>
      </c>
      <c r="J1165" s="445"/>
      <c r="K1165" s="445"/>
      <c r="L1165" s="445"/>
      <c r="M1165" s="445"/>
      <c r="N1165" s="445"/>
      <c r="O1165" s="445"/>
      <c r="P1165" s="445"/>
      <c r="Q1165" s="445"/>
      <c r="R1165" s="445"/>
      <c r="S1165" s="445"/>
      <c r="T1165" s="445"/>
      <c r="U1165" s="445"/>
      <c r="V1165" s="446"/>
    </row>
    <row r="1166" spans="1:22">
      <c r="A1166" s="445">
        <v>2250</v>
      </c>
      <c r="B1166" s="445">
        <v>27.494</v>
      </c>
      <c r="C1166" s="445">
        <v>27.513000000000002</v>
      </c>
      <c r="D1166" s="445">
        <v>27.523</v>
      </c>
      <c r="E1166" s="445">
        <v>27.532</v>
      </c>
      <c r="F1166" s="445">
        <v>27.542000000000002</v>
      </c>
      <c r="G1166" s="445">
        <v>27.552</v>
      </c>
      <c r="H1166" s="445">
        <v>27.571000000000002</v>
      </c>
      <c r="I1166" s="445">
        <v>27.591000000000001</v>
      </c>
      <c r="J1166" s="445"/>
      <c r="K1166" s="445"/>
      <c r="L1166" s="445"/>
      <c r="M1166" s="445"/>
      <c r="N1166" s="445"/>
      <c r="O1166" s="445"/>
      <c r="P1166" s="445"/>
      <c r="Q1166" s="445"/>
      <c r="R1166" s="445"/>
      <c r="S1166" s="445"/>
      <c r="T1166" s="445"/>
      <c r="U1166" s="445"/>
      <c r="V1166" s="446"/>
    </row>
    <row r="1167" spans="1:22">
      <c r="A1167" s="445">
        <v>2300</v>
      </c>
      <c r="B1167" s="445">
        <v>28.385999999999999</v>
      </c>
      <c r="C1167" s="445">
        <v>28.405000000000001</v>
      </c>
      <c r="D1167" s="445">
        <v>28.414999999999999</v>
      </c>
      <c r="E1167" s="445">
        <v>28.423999999999999</v>
      </c>
      <c r="F1167" s="445">
        <v>28.434000000000001</v>
      </c>
      <c r="G1167" s="445">
        <v>28.443999999999999</v>
      </c>
      <c r="H1167" s="445">
        <v>28.456</v>
      </c>
      <c r="I1167" s="445">
        <v>28.463999999999999</v>
      </c>
      <c r="J1167" s="445"/>
      <c r="K1167" s="445"/>
      <c r="L1167" s="445"/>
      <c r="M1167" s="445"/>
      <c r="N1167" s="445"/>
      <c r="O1167" s="445"/>
      <c r="P1167" s="445"/>
      <c r="Q1167" s="445"/>
      <c r="R1167" s="445"/>
      <c r="S1167" s="445"/>
      <c r="T1167" s="445"/>
      <c r="U1167" s="445"/>
      <c r="V1167" s="446"/>
    </row>
    <row r="1168" spans="1:22">
      <c r="A1168" s="445">
        <v>2350</v>
      </c>
      <c r="B1168" s="445">
        <v>29.436</v>
      </c>
      <c r="C1168" s="445">
        <v>29.260999999999999</v>
      </c>
      <c r="D1168" s="445">
        <v>29.260999999999999</v>
      </c>
      <c r="E1168" s="445">
        <v>29.292000000000002</v>
      </c>
      <c r="F1168" s="445">
        <v>29.29</v>
      </c>
      <c r="G1168" s="445">
        <v>29.271999999999998</v>
      </c>
      <c r="H1168" s="445">
        <v>29.222999999999999</v>
      </c>
      <c r="I1168" s="445">
        <v>29.167000000000002</v>
      </c>
      <c r="J1168" s="445"/>
      <c r="K1168" s="445"/>
      <c r="L1168" s="445"/>
      <c r="M1168" s="445"/>
      <c r="N1168" s="445"/>
      <c r="O1168" s="445"/>
      <c r="P1168" s="445"/>
      <c r="Q1168" s="445"/>
      <c r="R1168" s="445"/>
      <c r="S1168" s="445"/>
      <c r="T1168" s="445"/>
      <c r="U1168" s="445"/>
      <c r="V1168" s="446"/>
    </row>
    <row r="1169" spans="1:22">
      <c r="A1169" s="445">
        <v>2400</v>
      </c>
      <c r="B1169" s="445">
        <v>29.260999999999999</v>
      </c>
      <c r="C1169" s="445">
        <v>29.260999999999999</v>
      </c>
      <c r="D1169" s="445">
        <v>29.260999999999999</v>
      </c>
      <c r="E1169" s="445">
        <v>29.260999999999999</v>
      </c>
      <c r="F1169" s="445">
        <v>29.260999999999999</v>
      </c>
      <c r="G1169" s="445">
        <v>29.260999999999999</v>
      </c>
      <c r="H1169" s="445">
        <v>29.260999999999999</v>
      </c>
      <c r="I1169" s="445">
        <v>29.260999999999999</v>
      </c>
      <c r="J1169" s="445"/>
      <c r="K1169" s="445"/>
      <c r="L1169" s="445"/>
      <c r="M1169" s="445"/>
      <c r="N1169" s="445"/>
      <c r="O1169" s="445"/>
      <c r="P1169" s="445"/>
      <c r="Q1169" s="445"/>
      <c r="R1169" s="445"/>
      <c r="S1169" s="445"/>
      <c r="T1169" s="445"/>
      <c r="U1169" s="445"/>
      <c r="V1169" s="446"/>
    </row>
    <row r="1170" spans="1:22">
      <c r="A1170" s="445">
        <v>5229</v>
      </c>
      <c r="B1170" s="445">
        <v>29.260999999999999</v>
      </c>
      <c r="C1170" s="445">
        <v>29.260999999999999</v>
      </c>
      <c r="D1170" s="445">
        <v>29.260999999999999</v>
      </c>
      <c r="E1170" s="445">
        <v>29.260999999999999</v>
      </c>
      <c r="F1170" s="445">
        <v>29.260999999999999</v>
      </c>
      <c r="G1170" s="445">
        <v>29.260999999999999</v>
      </c>
      <c r="H1170" s="445">
        <v>29.260999999999999</v>
      </c>
      <c r="I1170" s="445">
        <v>29.260999999999999</v>
      </c>
      <c r="J1170" s="445"/>
      <c r="K1170" s="445"/>
      <c r="L1170" s="445"/>
      <c r="M1170" s="445"/>
      <c r="N1170" s="445"/>
      <c r="O1170" s="445"/>
      <c r="P1170" s="445"/>
      <c r="Q1170" s="445"/>
      <c r="R1170" s="445"/>
      <c r="S1170" s="445"/>
      <c r="T1170" s="445"/>
      <c r="U1170" s="445"/>
      <c r="V1170" s="446"/>
    </row>
    <row r="1171" spans="1:22">
      <c r="A1171" s="445"/>
      <c r="B1171" s="445"/>
      <c r="C1171" s="445"/>
      <c r="D1171" s="445"/>
      <c r="E1171" s="445"/>
      <c r="F1171" s="445"/>
      <c r="G1171" s="445"/>
      <c r="H1171" s="445"/>
      <c r="I1171" s="445"/>
      <c r="J1171" s="445"/>
      <c r="K1171" s="445"/>
      <c r="L1171" s="445"/>
      <c r="M1171" s="445"/>
      <c r="N1171" s="445"/>
      <c r="O1171" s="445"/>
      <c r="P1171" s="445"/>
      <c r="Q1171" s="445"/>
      <c r="R1171" s="445"/>
      <c r="S1171" s="445"/>
      <c r="T1171" s="445"/>
      <c r="U1171" s="445"/>
      <c r="V1171" s="446"/>
    </row>
    <row r="1172" spans="1:22">
      <c r="A1172" s="445"/>
      <c r="B1172" s="445"/>
      <c r="C1172" s="445"/>
      <c r="D1172" s="445"/>
      <c r="E1172" s="445"/>
      <c r="F1172" s="445"/>
      <c r="G1172" s="445"/>
      <c r="H1172" s="445"/>
      <c r="I1172" s="445"/>
      <c r="J1172" s="445"/>
      <c r="K1172" s="445"/>
      <c r="L1172" s="445"/>
      <c r="M1172" s="445"/>
      <c r="N1172" s="445"/>
      <c r="O1172" s="445"/>
      <c r="P1172" s="445"/>
      <c r="Q1172" s="445"/>
      <c r="R1172" s="445"/>
      <c r="S1172" s="445"/>
      <c r="T1172" s="445"/>
      <c r="U1172" s="445"/>
      <c r="V1172" s="446"/>
    </row>
    <row r="1173" spans="1:22">
      <c r="A1173" s="445"/>
      <c r="B1173" s="445"/>
      <c r="C1173" s="445"/>
      <c r="D1173" s="445"/>
      <c r="E1173" s="445"/>
      <c r="F1173" s="445"/>
      <c r="G1173" s="445"/>
      <c r="H1173" s="445"/>
      <c r="I1173" s="445"/>
      <c r="J1173" s="445"/>
      <c r="K1173" s="445"/>
      <c r="L1173" s="445"/>
      <c r="M1173" s="445"/>
      <c r="N1173" s="445"/>
      <c r="O1173" s="445"/>
      <c r="P1173" s="445"/>
      <c r="Q1173" s="445"/>
      <c r="R1173" s="445"/>
      <c r="S1173" s="445"/>
      <c r="T1173" s="445"/>
      <c r="U1173" s="445"/>
      <c r="V1173" s="446"/>
    </row>
    <row r="1174" spans="1:22">
      <c r="A1174" s="445"/>
      <c r="B1174" s="445"/>
      <c r="C1174" s="445"/>
      <c r="D1174" s="445"/>
      <c r="E1174" s="445"/>
      <c r="F1174" s="445"/>
      <c r="G1174" s="445"/>
      <c r="H1174" s="445"/>
      <c r="I1174" s="445"/>
      <c r="J1174" s="445"/>
      <c r="K1174" s="445"/>
      <c r="L1174" s="445"/>
      <c r="M1174" s="445"/>
      <c r="N1174" s="445"/>
      <c r="O1174" s="445"/>
      <c r="P1174" s="445"/>
      <c r="Q1174" s="445"/>
      <c r="R1174" s="445"/>
      <c r="S1174" s="445"/>
      <c r="T1174" s="445"/>
      <c r="U1174" s="445"/>
      <c r="V1174" s="446"/>
    </row>
    <row r="1175" spans="1:22">
      <c r="A1175" s="445"/>
      <c r="B1175" s="445"/>
      <c r="C1175" s="445"/>
      <c r="D1175" s="445"/>
      <c r="E1175" s="445"/>
      <c r="F1175" s="445"/>
      <c r="G1175" s="445"/>
      <c r="H1175" s="445"/>
      <c r="I1175" s="445"/>
      <c r="J1175" s="445"/>
      <c r="K1175" s="445"/>
      <c r="L1175" s="445"/>
      <c r="M1175" s="445"/>
      <c r="N1175" s="445"/>
      <c r="O1175" s="445"/>
      <c r="P1175" s="445"/>
      <c r="Q1175" s="445"/>
      <c r="R1175" s="445"/>
      <c r="S1175" s="445"/>
      <c r="T1175" s="445"/>
      <c r="U1175" s="445"/>
      <c r="V1175" s="446"/>
    </row>
    <row r="1176" spans="1:22">
      <c r="A1176" s="445"/>
      <c r="B1176" s="445"/>
      <c r="C1176" s="445"/>
      <c r="D1176" s="445"/>
      <c r="E1176" s="445"/>
      <c r="F1176" s="445"/>
      <c r="G1176" s="445"/>
      <c r="H1176" s="445"/>
      <c r="I1176" s="445"/>
      <c r="J1176" s="445"/>
      <c r="K1176" s="445"/>
      <c r="L1176" s="445"/>
      <c r="M1176" s="445"/>
      <c r="N1176" s="445"/>
      <c r="O1176" s="445"/>
      <c r="P1176" s="445"/>
      <c r="Q1176" s="445"/>
      <c r="R1176" s="445"/>
      <c r="S1176" s="445"/>
      <c r="T1176" s="445"/>
      <c r="U1176" s="445"/>
      <c r="V1176" s="446"/>
    </row>
    <row r="1177" spans="1:22">
      <c r="A1177" s="445"/>
      <c r="B1177" s="445"/>
      <c r="C1177" s="445"/>
      <c r="D1177" s="445"/>
      <c r="E1177" s="445"/>
      <c r="F1177" s="445"/>
      <c r="G1177" s="445"/>
      <c r="H1177" s="445"/>
      <c r="I1177" s="445"/>
      <c r="J1177" s="445"/>
      <c r="K1177" s="445"/>
      <c r="L1177" s="445"/>
      <c r="M1177" s="445"/>
      <c r="N1177" s="445"/>
      <c r="O1177" s="445"/>
      <c r="P1177" s="445"/>
      <c r="Q1177" s="445"/>
      <c r="R1177" s="445"/>
      <c r="S1177" s="445"/>
      <c r="T1177" s="445"/>
      <c r="U1177" s="445"/>
      <c r="V1177" s="446"/>
    </row>
    <row r="1178" spans="1:22">
      <c r="A1178" s="445"/>
      <c r="B1178" s="445"/>
      <c r="C1178" s="445"/>
      <c r="D1178" s="445"/>
      <c r="E1178" s="445"/>
      <c r="F1178" s="445"/>
      <c r="G1178" s="445"/>
      <c r="H1178" s="445"/>
      <c r="I1178" s="445"/>
      <c r="J1178" s="445"/>
      <c r="K1178" s="445"/>
      <c r="L1178" s="445"/>
      <c r="M1178" s="445"/>
      <c r="N1178" s="445"/>
      <c r="O1178" s="445"/>
      <c r="P1178" s="445"/>
      <c r="Q1178" s="445"/>
      <c r="R1178" s="445"/>
      <c r="S1178" s="445"/>
      <c r="T1178" s="445"/>
      <c r="U1178" s="445"/>
      <c r="V1178" s="446"/>
    </row>
    <row r="1179" spans="1:22">
      <c r="A1179" s="445"/>
      <c r="B1179" s="445"/>
      <c r="C1179" s="445"/>
      <c r="D1179" s="445"/>
      <c r="E1179" s="445"/>
      <c r="F1179" s="445"/>
      <c r="G1179" s="445"/>
      <c r="H1179" s="445"/>
      <c r="I1179" s="445"/>
      <c r="J1179" s="445"/>
      <c r="K1179" s="445"/>
      <c r="L1179" s="445"/>
      <c r="M1179" s="445"/>
      <c r="N1179" s="445"/>
      <c r="O1179" s="445"/>
      <c r="P1179" s="445"/>
      <c r="Q1179" s="445"/>
      <c r="R1179" s="445"/>
      <c r="S1179" s="445"/>
      <c r="T1179" s="445"/>
      <c r="U1179" s="445"/>
      <c r="V1179" s="446"/>
    </row>
    <row r="1180" spans="1:22">
      <c r="A1180" s="445"/>
      <c r="B1180" s="445"/>
      <c r="C1180" s="445"/>
      <c r="D1180" s="445"/>
      <c r="E1180" s="445"/>
      <c r="F1180" s="445"/>
      <c r="G1180" s="445"/>
      <c r="H1180" s="445"/>
      <c r="I1180" s="445"/>
      <c r="J1180" s="445"/>
      <c r="K1180" s="445"/>
      <c r="L1180" s="445"/>
      <c r="M1180" s="445"/>
      <c r="N1180" s="445"/>
      <c r="O1180" s="445"/>
      <c r="P1180" s="445"/>
      <c r="Q1180" s="445"/>
      <c r="R1180" s="445"/>
      <c r="S1180" s="445"/>
      <c r="T1180" s="445"/>
      <c r="U1180" s="445"/>
      <c r="V1180" s="446"/>
    </row>
    <row r="1181" spans="1:22">
      <c r="A1181" s="445"/>
      <c r="B1181" s="445"/>
      <c r="C1181" s="445"/>
      <c r="D1181" s="445"/>
      <c r="E1181" s="445"/>
      <c r="F1181" s="445"/>
      <c r="G1181" s="445"/>
      <c r="H1181" s="445"/>
      <c r="I1181" s="445"/>
      <c r="J1181" s="445"/>
      <c r="K1181" s="445"/>
      <c r="L1181" s="445"/>
      <c r="M1181" s="445"/>
      <c r="N1181" s="445"/>
      <c r="O1181" s="445"/>
      <c r="P1181" s="445"/>
      <c r="Q1181" s="445"/>
      <c r="R1181" s="445"/>
      <c r="S1181" s="445"/>
      <c r="T1181" s="445"/>
      <c r="U1181" s="445"/>
      <c r="V1181" s="446"/>
    </row>
    <row r="1182" spans="1:22">
      <c r="A1182" s="445"/>
      <c r="B1182" s="445"/>
      <c r="C1182" s="445"/>
      <c r="D1182" s="445"/>
      <c r="E1182" s="445"/>
      <c r="F1182" s="445"/>
      <c r="G1182" s="445"/>
      <c r="H1182" s="445"/>
      <c r="I1182" s="445"/>
      <c r="J1182" s="445"/>
      <c r="K1182" s="445"/>
      <c r="L1182" s="445"/>
      <c r="M1182" s="445"/>
      <c r="N1182" s="445"/>
      <c r="O1182" s="445"/>
      <c r="P1182" s="445"/>
      <c r="Q1182" s="445"/>
      <c r="R1182" s="445"/>
      <c r="S1182" s="445"/>
      <c r="T1182" s="445"/>
      <c r="U1182" s="445"/>
      <c r="V1182" s="446"/>
    </row>
    <row r="1183" spans="1:22">
      <c r="A1183" s="445"/>
      <c r="B1183" s="445"/>
      <c r="C1183" s="445"/>
      <c r="D1183" s="445"/>
      <c r="E1183" s="445"/>
      <c r="F1183" s="445"/>
      <c r="G1183" s="445"/>
      <c r="H1183" s="445"/>
      <c r="I1183" s="445"/>
      <c r="J1183" s="445"/>
      <c r="K1183" s="445"/>
      <c r="L1183" s="445"/>
      <c r="M1183" s="445"/>
      <c r="N1183" s="445"/>
      <c r="O1183" s="445"/>
      <c r="P1183" s="445"/>
      <c r="Q1183" s="445"/>
      <c r="R1183" s="445"/>
      <c r="S1183" s="445"/>
      <c r="T1183" s="445"/>
      <c r="U1183" s="445"/>
      <c r="V1183" s="446"/>
    </row>
    <row r="1184" spans="1:22">
      <c r="A1184" s="445"/>
      <c r="B1184" s="445"/>
      <c r="C1184" s="445"/>
      <c r="D1184" s="445"/>
      <c r="E1184" s="445"/>
      <c r="F1184" s="445"/>
      <c r="G1184" s="445"/>
      <c r="H1184" s="445"/>
      <c r="I1184" s="445"/>
      <c r="J1184" s="445"/>
      <c r="K1184" s="445"/>
      <c r="L1184" s="445"/>
      <c r="M1184" s="445"/>
      <c r="N1184" s="445"/>
      <c r="O1184" s="445"/>
      <c r="P1184" s="445"/>
      <c r="Q1184" s="445"/>
      <c r="R1184" s="445"/>
      <c r="S1184" s="445"/>
      <c r="T1184" s="445"/>
      <c r="U1184" s="445"/>
      <c r="V1184" s="446"/>
    </row>
    <row r="1185" spans="1:28">
      <c r="A1185" s="445"/>
      <c r="B1185" s="445"/>
      <c r="C1185" s="445"/>
      <c r="D1185" s="445"/>
      <c r="E1185" s="445"/>
      <c r="F1185" s="445"/>
      <c r="G1185" s="445"/>
      <c r="H1185" s="445"/>
      <c r="I1185" s="445"/>
      <c r="J1185" s="445"/>
      <c r="K1185" s="445"/>
      <c r="L1185" s="445"/>
      <c r="M1185" s="445"/>
      <c r="N1185" s="445"/>
      <c r="O1185" s="445"/>
      <c r="P1185" s="445"/>
      <c r="Q1185" s="445"/>
      <c r="R1185" s="445"/>
      <c r="S1185" s="445"/>
      <c r="T1185" s="445"/>
      <c r="U1185" s="445"/>
      <c r="V1185" s="446"/>
    </row>
    <row r="1186" spans="1:28">
      <c r="A1186" s="445"/>
      <c r="B1186" s="445"/>
      <c r="C1186" s="445"/>
      <c r="D1186" s="445"/>
      <c r="E1186" s="445"/>
      <c r="F1186" s="445"/>
      <c r="G1186" s="445"/>
      <c r="H1186" s="445"/>
      <c r="I1186" s="445"/>
      <c r="J1186" s="445"/>
      <c r="K1186" s="445"/>
      <c r="L1186" s="445"/>
      <c r="M1186" s="445"/>
      <c r="N1186" s="445"/>
      <c r="O1186" s="445"/>
      <c r="P1186" s="445"/>
      <c r="Q1186" s="445"/>
      <c r="R1186" s="445"/>
      <c r="S1186" s="445"/>
      <c r="T1186" s="445"/>
      <c r="U1186" s="445"/>
      <c r="V1186" s="446"/>
    </row>
    <row r="1187" spans="1:28">
      <c r="A1187" s="445"/>
      <c r="B1187" s="445"/>
      <c r="C1187" s="445"/>
      <c r="D1187" s="445"/>
      <c r="E1187" s="445"/>
      <c r="F1187" s="445"/>
      <c r="G1187" s="445"/>
      <c r="H1187" s="445"/>
      <c r="I1187" s="445"/>
      <c r="J1187" s="445"/>
      <c r="K1187" s="445"/>
      <c r="L1187" s="445"/>
      <c r="M1187" s="445"/>
      <c r="N1187" s="445"/>
      <c r="O1187" s="445"/>
      <c r="P1187" s="445"/>
      <c r="Q1187" s="445"/>
      <c r="R1187" s="445"/>
      <c r="S1187" s="445"/>
      <c r="T1187" s="445"/>
      <c r="U1187" s="445"/>
      <c r="V1187" s="446"/>
    </row>
    <row r="1192" spans="1:28">
      <c r="A1192" s="892" t="s">
        <v>410</v>
      </c>
      <c r="B1192" s="892"/>
      <c r="C1192" s="892"/>
      <c r="D1192" s="892"/>
      <c r="E1192" s="892"/>
      <c r="F1192" s="892"/>
      <c r="G1192" s="892"/>
      <c r="H1192" s="892"/>
      <c r="I1192" s="892"/>
      <c r="J1192" s="892"/>
      <c r="K1192" s="892"/>
      <c r="L1192" s="892"/>
      <c r="M1192" s="892"/>
      <c r="N1192" s="892"/>
      <c r="O1192" s="892"/>
      <c r="P1192" s="892"/>
      <c r="Q1192" s="892"/>
      <c r="R1192" s="892"/>
      <c r="S1192" s="892"/>
      <c r="T1192" s="892"/>
      <c r="U1192" s="892"/>
      <c r="V1192" s="892"/>
    </row>
    <row r="1193" spans="1:28">
      <c r="A1193" t="s">
        <v>256</v>
      </c>
      <c r="B1193">
        <v>-1</v>
      </c>
      <c r="C1193">
        <v>0</v>
      </c>
      <c r="D1193">
        <v>0.5</v>
      </c>
      <c r="E1193">
        <v>1</v>
      </c>
      <c r="F1193">
        <v>1.5</v>
      </c>
      <c r="G1193">
        <v>2</v>
      </c>
      <c r="H1193">
        <v>3</v>
      </c>
      <c r="I1193">
        <v>4</v>
      </c>
      <c r="J1193">
        <v>3</v>
      </c>
      <c r="K1193" t="s">
        <v>35</v>
      </c>
      <c r="L1193" t="s">
        <v>256</v>
      </c>
      <c r="M1193">
        <v>-4</v>
      </c>
      <c r="N1193">
        <v>-3</v>
      </c>
      <c r="O1193">
        <v>-2</v>
      </c>
      <c r="P1193">
        <v>-1</v>
      </c>
      <c r="Q1193">
        <v>0</v>
      </c>
      <c r="R1193">
        <v>1</v>
      </c>
      <c r="S1193">
        <v>2</v>
      </c>
      <c r="T1193">
        <v>3</v>
      </c>
      <c r="U1193">
        <v>4</v>
      </c>
      <c r="V1193" t="s">
        <v>231</v>
      </c>
      <c r="Y1193" s="1">
        <f>heelDraft1</f>
        <v>0</v>
      </c>
      <c r="Z1193" s="186"/>
      <c r="AA1193" s="186">
        <f>IF((Z1193+Z1196)&lt;0,Z1193,Z1193+Z1196)</f>
        <v>0</v>
      </c>
      <c r="AB1193" s="42">
        <f>IF(AB1195=AB1194,AB1194,Interp1(AA1194:AA1195,AB1194:AB1195,AA1193))</f>
        <v>0.03</v>
      </c>
    </row>
    <row r="1194" spans="1:28">
      <c r="A1194" s="450">
        <v>0</v>
      </c>
      <c r="B1194" s="450">
        <v>0.03</v>
      </c>
      <c r="C1194" s="450">
        <v>0.03</v>
      </c>
      <c r="D1194" s="450">
        <v>0.03</v>
      </c>
      <c r="E1194" s="450">
        <v>0.03</v>
      </c>
      <c r="F1194" s="450">
        <v>0.03</v>
      </c>
      <c r="G1194" s="450">
        <v>0.03</v>
      </c>
      <c r="H1194" s="450">
        <v>0.02</v>
      </c>
      <c r="I1194" s="450">
        <v>0.02</v>
      </c>
      <c r="J1194" s="450"/>
      <c r="K1194" s="450"/>
      <c r="L1194" s="450">
        <v>0</v>
      </c>
      <c r="M1194" s="450">
        <v>106.95</v>
      </c>
      <c r="N1194" s="450">
        <v>59.56</v>
      </c>
      <c r="O1194" s="450">
        <v>14.92</v>
      </c>
      <c r="P1194" s="450">
        <v>7.25</v>
      </c>
      <c r="Q1194" s="450">
        <v>0</v>
      </c>
      <c r="R1194" s="450">
        <v>0</v>
      </c>
      <c r="S1194" s="450">
        <v>0</v>
      </c>
      <c r="T1194" s="310">
        <v>0</v>
      </c>
      <c r="U1194" s="11">
        <v>0</v>
      </c>
      <c r="Y1194" s="1">
        <f>FLOOR(Z1193,incOil2)</f>
        <v>0</v>
      </c>
      <c r="Z1194" s="1">
        <f>Interp2(misc11Heel1,misc11Heel2,misc11Heel3,Y1194,Y1193)</f>
        <v>0</v>
      </c>
      <c r="AA1194" s="1">
        <f>FLOOR(AA1193,10)</f>
        <v>0</v>
      </c>
      <c r="AB1194" s="42">
        <f>IF(Z1199=Z1198,Z1198,Interp1(Y1198:Y1199,Z1198:Z1199,Y1197))</f>
        <v>0.03</v>
      </c>
    </row>
    <row r="1195" spans="1:28">
      <c r="A1195" s="450">
        <v>50</v>
      </c>
      <c r="B1195" s="450">
        <v>0.19</v>
      </c>
      <c r="C1195" s="450">
        <v>0.14000000000000001</v>
      </c>
      <c r="D1195" s="450">
        <v>0.13</v>
      </c>
      <c r="E1195" s="450">
        <v>0.13</v>
      </c>
      <c r="F1195" s="450">
        <v>0.13</v>
      </c>
      <c r="G1195" s="450">
        <v>0.13</v>
      </c>
      <c r="H1195" s="450">
        <v>0.13</v>
      </c>
      <c r="I1195" s="450">
        <v>0.13</v>
      </c>
      <c r="J1195" s="450"/>
      <c r="K1195" s="450"/>
      <c r="L1195" s="450">
        <v>100</v>
      </c>
      <c r="M1195" s="450">
        <v>85.66</v>
      </c>
      <c r="N1195" s="450">
        <v>64.2</v>
      </c>
      <c r="O1195" s="450">
        <v>42.78</v>
      </c>
      <c r="P1195" s="450">
        <v>21.38</v>
      </c>
      <c r="Q1195" s="450">
        <v>0</v>
      </c>
      <c r="R1195" s="450">
        <v>-59.9</v>
      </c>
      <c r="S1195" s="450">
        <v>-72.34</v>
      </c>
      <c r="T1195" s="310">
        <v>-80.8</v>
      </c>
      <c r="U1195" s="11">
        <v>-85.5</v>
      </c>
      <c r="Y1195" s="1">
        <f>IF(Y1194=MiscSound10,Y1194,CEILING(Z1193,incOil2))</f>
        <v>0</v>
      </c>
      <c r="Z1195" s="1">
        <f>Interp2(misc11Heel1,misc11Heel2,misc11Heel3,Y1195,Y1193)</f>
        <v>0</v>
      </c>
      <c r="AA1195" s="1">
        <f>CEILING(AA1193,10)</f>
        <v>0</v>
      </c>
      <c r="AB1195" s="42">
        <f>IF(AA1199=AA1198,AA1198,Interp1(Y1198:Y1199,AA1198:AA1199,Y1197))</f>
        <v>0.03</v>
      </c>
    </row>
    <row r="1196" spans="1:28">
      <c r="A1196" s="450">
        <v>100</v>
      </c>
      <c r="B1196" s="450">
        <v>1.35</v>
      </c>
      <c r="C1196" s="450">
        <v>0.64</v>
      </c>
      <c r="D1196" s="450">
        <v>0.35</v>
      </c>
      <c r="E1196" s="450">
        <v>0.28000000000000003</v>
      </c>
      <c r="F1196" s="450">
        <v>0.26</v>
      </c>
      <c r="G1196" s="450">
        <v>0.25</v>
      </c>
      <c r="H1196" s="450">
        <v>0.24</v>
      </c>
      <c r="I1196" s="450">
        <v>0.23</v>
      </c>
      <c r="J1196" s="450"/>
      <c r="K1196" s="450"/>
      <c r="L1196" s="450">
        <v>200</v>
      </c>
      <c r="M1196" s="450">
        <v>85.66</v>
      </c>
      <c r="N1196" s="450">
        <v>64.2</v>
      </c>
      <c r="O1196" s="450">
        <v>42.78</v>
      </c>
      <c r="P1196" s="450">
        <v>21.38</v>
      </c>
      <c r="Q1196" s="450">
        <v>0</v>
      </c>
      <c r="R1196" s="450">
        <v>-21.38</v>
      </c>
      <c r="S1196" s="450">
        <v>-42.78</v>
      </c>
      <c r="T1196" s="310">
        <v>-63</v>
      </c>
      <c r="U1196" s="11">
        <v>-75.5</v>
      </c>
      <c r="Y1196" s="1"/>
      <c r="Z1196" s="1">
        <f>IF(Z1195=Z1194,Z1194,Interp1(Y1194:Y1195,Z1194:Z1195,Z1193))</f>
        <v>0</v>
      </c>
      <c r="AA1196" s="1"/>
      <c r="AB1196" s="42"/>
    </row>
    <row r="1197" spans="1:28">
      <c r="A1197" s="450">
        <v>150</v>
      </c>
      <c r="B1197" s="450">
        <v>2.8</v>
      </c>
      <c r="C1197" s="450">
        <v>2.1</v>
      </c>
      <c r="D1197" s="450">
        <v>1.75</v>
      </c>
      <c r="E1197" s="450">
        <v>1.39</v>
      </c>
      <c r="F1197" s="450">
        <v>1.06</v>
      </c>
      <c r="G1197" s="450">
        <v>0.85</v>
      </c>
      <c r="H1197" s="450">
        <v>0.65</v>
      </c>
      <c r="I1197" s="450">
        <v>0.54</v>
      </c>
      <c r="J1197" s="450"/>
      <c r="K1197" s="450"/>
      <c r="L1197" s="450">
        <v>300</v>
      </c>
      <c r="M1197" s="450">
        <v>85.66</v>
      </c>
      <c r="N1197" s="450">
        <v>64.2</v>
      </c>
      <c r="O1197" s="450">
        <v>42.78</v>
      </c>
      <c r="P1197" s="450">
        <v>21.38</v>
      </c>
      <c r="Q1197" s="450">
        <v>0</v>
      </c>
      <c r="R1197" s="450">
        <v>-21.38</v>
      </c>
      <c r="S1197" s="450">
        <v>-42.78</v>
      </c>
      <c r="T1197" s="310">
        <v>-64.2</v>
      </c>
      <c r="U1197" s="11">
        <v>-85.7</v>
      </c>
      <c r="Y1197" s="1">
        <f>trimDraft</f>
        <v>0.149999999999999</v>
      </c>
      <c r="Z1197" s="1"/>
      <c r="AA1197" s="1"/>
      <c r="AB1197" s="1"/>
    </row>
    <row r="1198" spans="1:28">
      <c r="A1198" s="450">
        <v>200</v>
      </c>
      <c r="B1198" s="450">
        <v>4.25</v>
      </c>
      <c r="C1198" s="450">
        <v>3.55</v>
      </c>
      <c r="D1198" s="450">
        <v>3.2</v>
      </c>
      <c r="E1198" s="450">
        <v>2.85</v>
      </c>
      <c r="F1198" s="450">
        <v>2.5</v>
      </c>
      <c r="G1198" s="450">
        <v>2.14</v>
      </c>
      <c r="H1198" s="450">
        <v>1.54</v>
      </c>
      <c r="I1198" s="450">
        <v>1.22</v>
      </c>
      <c r="J1198" s="450"/>
      <c r="K1198" s="450"/>
      <c r="L1198" s="450">
        <v>400</v>
      </c>
      <c r="M1198" s="450">
        <v>85.66</v>
      </c>
      <c r="N1198" s="450">
        <v>64.2</v>
      </c>
      <c r="O1198" s="450">
        <v>42.78</v>
      </c>
      <c r="P1198" s="450">
        <v>21.38</v>
      </c>
      <c r="Q1198" s="450">
        <v>0</v>
      </c>
      <c r="R1198" s="450">
        <v>-21.38</v>
      </c>
      <c r="S1198" s="450">
        <v>-42.78</v>
      </c>
      <c r="T1198" s="310">
        <v>-64.2</v>
      </c>
      <c r="U1198" s="11">
        <v>-85.7</v>
      </c>
      <c r="Y1198" s="1">
        <f>INDEX(misc11Trim2,0,MATCH(Y1197,misc11Trim2,1))</f>
        <v>0</v>
      </c>
      <c r="Z1198" s="1">
        <f>Interp2(misc11Trim1,misc11Trim2,misc11Trim3,AA1194,Y1198)</f>
        <v>0.03</v>
      </c>
      <c r="AA1198" s="1">
        <f>Interp2(misc11Trim1,misc11Trim2,misc11Trim3,AA1195,Y1198)</f>
        <v>0.03</v>
      </c>
      <c r="AB1198" s="1"/>
    </row>
    <row r="1199" spans="1:28">
      <c r="A1199" s="450">
        <v>250</v>
      </c>
      <c r="B1199" s="450">
        <v>5.7</v>
      </c>
      <c r="C1199" s="450">
        <v>5</v>
      </c>
      <c r="D1199" s="450">
        <v>4.6500000000000004</v>
      </c>
      <c r="E1199" s="450">
        <v>4.3</v>
      </c>
      <c r="F1199" s="450">
        <v>3.95</v>
      </c>
      <c r="G1199" s="450">
        <v>3.6</v>
      </c>
      <c r="H1199" s="450">
        <v>2.89</v>
      </c>
      <c r="I1199" s="450">
        <v>2.2599999999999998</v>
      </c>
      <c r="J1199" s="450"/>
      <c r="K1199" s="450"/>
      <c r="L1199" s="450">
        <v>500</v>
      </c>
      <c r="M1199" s="450">
        <v>85.66</v>
      </c>
      <c r="N1199" s="450">
        <v>64.2</v>
      </c>
      <c r="O1199" s="450">
        <v>42.78</v>
      </c>
      <c r="P1199" s="450">
        <v>21.38</v>
      </c>
      <c r="Q1199" s="450">
        <v>0</v>
      </c>
      <c r="R1199" s="450">
        <v>-21.38</v>
      </c>
      <c r="S1199" s="450">
        <v>-42.78</v>
      </c>
      <c r="T1199" s="310">
        <v>-64.2</v>
      </c>
      <c r="U1199" s="11">
        <v>-85.7</v>
      </c>
      <c r="Y1199" s="1">
        <f>IF(Y1198=Y1197,Y1197,INDEX(misc11Trim2,0,MATCH(Y1197,misc11Trim2,1)+1))</f>
        <v>0.5</v>
      </c>
      <c r="Z1199" s="1">
        <f>Interp2(misc11Trim1,misc11Trim2,misc11Trim3,AA1194,Y1199)</f>
        <v>0.03</v>
      </c>
      <c r="AA1199" s="1">
        <f>Interp2(misc11Trim1,misc11Trim2,misc11Trim3,AA1195,Y1199)</f>
        <v>0.03</v>
      </c>
      <c r="AB1199" s="1"/>
    </row>
    <row r="1200" spans="1:28">
      <c r="A1200" s="450">
        <v>300</v>
      </c>
      <c r="B1200" s="450">
        <v>7.16</v>
      </c>
      <c r="C1200" s="450">
        <v>6.45</v>
      </c>
      <c r="D1200" s="450">
        <v>6.1</v>
      </c>
      <c r="E1200" s="450">
        <v>5.75</v>
      </c>
      <c r="F1200" s="450">
        <v>5.4</v>
      </c>
      <c r="G1200" s="450">
        <v>5.05</v>
      </c>
      <c r="H1200" s="450">
        <v>4.3499999999999996</v>
      </c>
      <c r="I1200" s="450">
        <v>3.65</v>
      </c>
      <c r="J1200" s="450"/>
      <c r="K1200" s="450"/>
      <c r="L1200" s="450">
        <v>600</v>
      </c>
      <c r="M1200" s="450">
        <v>85.66</v>
      </c>
      <c r="N1200" s="450">
        <v>64.2</v>
      </c>
      <c r="O1200" s="450">
        <v>42.78</v>
      </c>
      <c r="P1200" s="450">
        <v>21.38</v>
      </c>
      <c r="Q1200" s="450">
        <v>0</v>
      </c>
      <c r="R1200" s="450">
        <v>-21.38</v>
      </c>
      <c r="S1200" s="450">
        <v>-42.78</v>
      </c>
      <c r="T1200" s="310">
        <v>-64.2</v>
      </c>
      <c r="U1200" s="11">
        <v>-85.7</v>
      </c>
    </row>
    <row r="1201" spans="1:25">
      <c r="A1201" s="450">
        <v>350</v>
      </c>
      <c r="B1201" s="450">
        <v>8.61</v>
      </c>
      <c r="C1201" s="450">
        <v>7.91</v>
      </c>
      <c r="D1201" s="450">
        <v>7.55</v>
      </c>
      <c r="E1201" s="450">
        <v>7.2</v>
      </c>
      <c r="F1201" s="450">
        <v>6.85</v>
      </c>
      <c r="G1201" s="450">
        <v>6.5</v>
      </c>
      <c r="H1201" s="450">
        <v>5.8</v>
      </c>
      <c r="I1201" s="450">
        <v>5.0999999999999996</v>
      </c>
      <c r="J1201" s="450"/>
      <c r="K1201" s="450"/>
      <c r="L1201" s="450">
        <v>700</v>
      </c>
      <c r="M1201" s="450">
        <v>85.66</v>
      </c>
      <c r="N1201" s="450">
        <v>64.2</v>
      </c>
      <c r="O1201" s="450">
        <v>42.78</v>
      </c>
      <c r="P1201" s="450">
        <v>21.38</v>
      </c>
      <c r="Q1201" s="450">
        <v>0</v>
      </c>
      <c r="R1201" s="450">
        <v>-21.38</v>
      </c>
      <c r="S1201" s="450">
        <v>-42.78</v>
      </c>
      <c r="T1201" s="310">
        <v>-64.2</v>
      </c>
      <c r="U1201" s="11">
        <v>-85.7</v>
      </c>
      <c r="Y1201">
        <f>COUNT(A1194:U1244)</f>
        <v>617</v>
      </c>
    </row>
    <row r="1202" spans="1:25">
      <c r="A1202" s="450">
        <v>400</v>
      </c>
      <c r="B1202" s="450">
        <v>10.06</v>
      </c>
      <c r="C1202" s="450">
        <v>9.36</v>
      </c>
      <c r="D1202" s="450">
        <v>9.01</v>
      </c>
      <c r="E1202" s="450">
        <v>8.66</v>
      </c>
      <c r="F1202" s="450">
        <v>8.3000000000000007</v>
      </c>
      <c r="G1202" s="450">
        <v>7.95</v>
      </c>
      <c r="H1202" s="450">
        <v>7.25</v>
      </c>
      <c r="I1202" s="450">
        <v>6.55</v>
      </c>
      <c r="J1202" s="450"/>
      <c r="K1202" s="450"/>
      <c r="L1202" s="450">
        <v>800</v>
      </c>
      <c r="M1202" s="450">
        <v>85.56</v>
      </c>
      <c r="N1202" s="450">
        <v>64.2</v>
      </c>
      <c r="O1202" s="450">
        <v>42.78</v>
      </c>
      <c r="P1202" s="450">
        <v>21.38</v>
      </c>
      <c r="Q1202" s="450">
        <v>0</v>
      </c>
      <c r="R1202" s="450">
        <v>-21.38</v>
      </c>
      <c r="S1202" s="450">
        <v>-42.78</v>
      </c>
      <c r="T1202" s="310">
        <v>-64.2</v>
      </c>
      <c r="U1202" s="11">
        <v>-85.7</v>
      </c>
      <c r="Y1202">
        <f>COUNTA(A1194:U1244)</f>
        <v>617</v>
      </c>
    </row>
    <row r="1203" spans="1:25">
      <c r="A1203" s="450">
        <v>450</v>
      </c>
      <c r="B1203" s="450">
        <v>11.51</v>
      </c>
      <c r="C1203" s="450">
        <v>10.81</v>
      </c>
      <c r="D1203" s="450">
        <v>10.46</v>
      </c>
      <c r="E1203" s="450">
        <v>10.11</v>
      </c>
      <c r="F1203" s="450">
        <v>9.76</v>
      </c>
      <c r="G1203" s="450">
        <v>9.41</v>
      </c>
      <c r="H1203" s="450">
        <v>8.6999999999999993</v>
      </c>
      <c r="I1203" s="450">
        <v>8</v>
      </c>
      <c r="J1203" s="450"/>
      <c r="K1203" s="450"/>
      <c r="L1203" s="450">
        <v>900</v>
      </c>
      <c r="M1203" s="450">
        <v>85.27</v>
      </c>
      <c r="N1203" s="450">
        <v>63.97</v>
      </c>
      <c r="O1203" s="450">
        <v>42.7</v>
      </c>
      <c r="P1203" s="450">
        <v>21.45</v>
      </c>
      <c r="Q1203" s="450">
        <v>0</v>
      </c>
      <c r="R1203" s="450">
        <v>-21.38</v>
      </c>
      <c r="S1203" s="450">
        <v>-42.78</v>
      </c>
      <c r="T1203" s="310">
        <v>-64.2</v>
      </c>
      <c r="U1203" s="11">
        <v>-85.7</v>
      </c>
    </row>
    <row r="1204" spans="1:25">
      <c r="A1204" s="450">
        <v>500</v>
      </c>
      <c r="B1204" s="450">
        <v>12.96</v>
      </c>
      <c r="C1204" s="450">
        <v>12.26</v>
      </c>
      <c r="D1204" s="450">
        <v>11.91</v>
      </c>
      <c r="E1204" s="450">
        <v>11.56</v>
      </c>
      <c r="F1204" s="450">
        <v>11.21</v>
      </c>
      <c r="G1204" s="450">
        <v>10.86</v>
      </c>
      <c r="H1204" s="450">
        <v>10.16</v>
      </c>
      <c r="I1204" s="450">
        <v>9.4499999999999993</v>
      </c>
      <c r="J1204" s="450"/>
      <c r="K1204" s="450"/>
      <c r="L1204" s="450">
        <v>1000</v>
      </c>
      <c r="M1204" s="450">
        <v>82.5</v>
      </c>
      <c r="N1204" s="450">
        <v>63.88</v>
      </c>
      <c r="O1204" s="450">
        <v>42.57</v>
      </c>
      <c r="P1204" s="450">
        <v>21.28</v>
      </c>
      <c r="Q1204" s="450">
        <v>0</v>
      </c>
      <c r="R1204" s="450">
        <v>-21.22</v>
      </c>
      <c r="S1204" s="450">
        <v>-42.61</v>
      </c>
      <c r="T1204" s="310">
        <v>-64.099999999999994</v>
      </c>
      <c r="U1204" s="11">
        <v>-85.6</v>
      </c>
    </row>
    <row r="1205" spans="1:25">
      <c r="A1205" s="450">
        <v>550</v>
      </c>
      <c r="B1205" s="450">
        <v>14.42</v>
      </c>
      <c r="C1205" s="450">
        <v>13.71</v>
      </c>
      <c r="D1205" s="450">
        <v>13.36</v>
      </c>
      <c r="E1205" s="450">
        <v>13.01</v>
      </c>
      <c r="F1205" s="450">
        <v>12.66</v>
      </c>
      <c r="G1205" s="450">
        <v>12.31</v>
      </c>
      <c r="H1205" s="450">
        <v>11.61</v>
      </c>
      <c r="I1205" s="450">
        <v>10.91</v>
      </c>
      <c r="J1205" s="450"/>
      <c r="K1205" s="450"/>
      <c r="L1205" s="450">
        <v>1100</v>
      </c>
      <c r="M1205" s="450">
        <v>83.85</v>
      </c>
      <c r="N1205" s="450">
        <v>77.3</v>
      </c>
      <c r="O1205" s="450">
        <v>67.290000000000006</v>
      </c>
      <c r="P1205" s="450">
        <v>43.47</v>
      </c>
      <c r="Q1205" s="450">
        <v>0</v>
      </c>
      <c r="R1205" s="450">
        <v>-21.28</v>
      </c>
      <c r="S1205" s="450">
        <v>-42.57</v>
      </c>
      <c r="T1205" s="310">
        <v>-63.9</v>
      </c>
      <c r="U1205" s="11">
        <v>-85.3</v>
      </c>
    </row>
    <row r="1206" spans="1:25">
      <c r="A1206" s="450">
        <v>600</v>
      </c>
      <c r="B1206" s="450">
        <v>15.87</v>
      </c>
      <c r="C1206" s="450">
        <v>15.17</v>
      </c>
      <c r="D1206" s="450">
        <v>14.82</v>
      </c>
      <c r="E1206" s="450">
        <v>14.47</v>
      </c>
      <c r="F1206" s="450">
        <v>14.11</v>
      </c>
      <c r="G1206" s="450">
        <v>13.76</v>
      </c>
      <c r="H1206" s="450">
        <v>13.06</v>
      </c>
      <c r="I1206" s="450">
        <v>12.36</v>
      </c>
      <c r="J1206" s="450"/>
      <c r="K1206" s="450"/>
      <c r="L1206" s="450">
        <v>1200</v>
      </c>
      <c r="M1206" s="450">
        <v>85.66</v>
      </c>
      <c r="N1206" s="450">
        <v>64.2</v>
      </c>
      <c r="O1206" s="450">
        <v>42.78</v>
      </c>
      <c r="P1206" s="450">
        <v>21.38</v>
      </c>
      <c r="Q1206" s="450">
        <v>0</v>
      </c>
      <c r="R1206" s="450">
        <v>-3.14</v>
      </c>
      <c r="S1206" s="450">
        <v>-18</v>
      </c>
      <c r="T1206" s="310">
        <v>-51.3</v>
      </c>
      <c r="U1206" s="11">
        <v>-89.8</v>
      </c>
    </row>
    <row r="1207" spans="1:25">
      <c r="A1207" s="450">
        <v>650</v>
      </c>
      <c r="B1207" s="450">
        <v>17.32</v>
      </c>
      <c r="C1207" s="450">
        <v>16.62</v>
      </c>
      <c r="D1207" s="450">
        <v>16.27</v>
      </c>
      <c r="E1207" s="450">
        <v>15.92</v>
      </c>
      <c r="F1207" s="450">
        <v>15.57</v>
      </c>
      <c r="G1207" s="450">
        <v>15.22</v>
      </c>
      <c r="H1207" s="450">
        <v>14.51</v>
      </c>
      <c r="I1207" s="450">
        <v>13.81</v>
      </c>
      <c r="J1207" s="450"/>
      <c r="K1207" s="450"/>
      <c r="L1207" s="450">
        <v>1300</v>
      </c>
      <c r="M1207" s="450">
        <v>85.66</v>
      </c>
      <c r="N1207" s="450">
        <v>64.2</v>
      </c>
      <c r="O1207" s="450">
        <v>42.78</v>
      </c>
      <c r="P1207" s="450">
        <v>21.38</v>
      </c>
      <c r="Q1207" s="450">
        <v>0</v>
      </c>
      <c r="R1207" s="450">
        <v>-21.38</v>
      </c>
      <c r="S1207" s="450">
        <v>-42.78</v>
      </c>
      <c r="T1207" s="310">
        <v>-64.2</v>
      </c>
      <c r="U1207" s="11">
        <v>-100.7</v>
      </c>
    </row>
    <row r="1208" spans="1:25">
      <c r="A1208" s="450">
        <v>700</v>
      </c>
      <c r="B1208" s="450">
        <v>18.77</v>
      </c>
      <c r="C1208" s="450">
        <v>18.07</v>
      </c>
      <c r="D1208" s="450">
        <v>17.72</v>
      </c>
      <c r="E1208" s="450">
        <v>17.37</v>
      </c>
      <c r="F1208" s="450">
        <v>17.02</v>
      </c>
      <c r="G1208" s="450">
        <v>16.670000000000002</v>
      </c>
      <c r="H1208" s="450">
        <v>15.97</v>
      </c>
      <c r="I1208" s="450">
        <v>15.26</v>
      </c>
      <c r="J1208" s="450"/>
      <c r="K1208" s="450"/>
      <c r="L1208" s="450">
        <v>1400</v>
      </c>
      <c r="M1208" s="450">
        <v>85.66</v>
      </c>
      <c r="N1208" s="450">
        <v>64.2</v>
      </c>
      <c r="O1208" s="450">
        <v>42.78</v>
      </c>
      <c r="P1208" s="450">
        <v>21.38</v>
      </c>
      <c r="Q1208" s="450">
        <v>0</v>
      </c>
      <c r="R1208" s="450">
        <v>-21.38</v>
      </c>
      <c r="S1208" s="450">
        <v>-42.78</v>
      </c>
      <c r="T1208" s="310">
        <v>-64.2</v>
      </c>
      <c r="U1208" s="11">
        <v>-85.7</v>
      </c>
    </row>
    <row r="1209" spans="1:25">
      <c r="A1209" s="450">
        <v>750</v>
      </c>
      <c r="B1209" s="450">
        <v>20.23</v>
      </c>
      <c r="C1209" s="450">
        <v>19.52</v>
      </c>
      <c r="D1209" s="450">
        <v>19.170000000000002</v>
      </c>
      <c r="E1209" s="450">
        <v>18.82</v>
      </c>
      <c r="F1209" s="450">
        <v>18.47</v>
      </c>
      <c r="G1209" s="450">
        <v>18.12</v>
      </c>
      <c r="H1209" s="450">
        <v>17.420000000000002</v>
      </c>
      <c r="I1209" s="450">
        <v>16.72</v>
      </c>
      <c r="J1209" s="450"/>
      <c r="K1209" s="450"/>
      <c r="L1209" s="450">
        <v>1500</v>
      </c>
      <c r="M1209" s="450">
        <v>85.66</v>
      </c>
      <c r="N1209" s="450">
        <v>64.2</v>
      </c>
      <c r="O1209" s="450">
        <v>42.78</v>
      </c>
      <c r="P1209" s="450">
        <v>21.38</v>
      </c>
      <c r="Q1209" s="450">
        <v>0</v>
      </c>
      <c r="R1209" s="450">
        <v>-21.38</v>
      </c>
      <c r="S1209" s="450">
        <v>-42.78</v>
      </c>
      <c r="T1209" s="310">
        <v>-64.2</v>
      </c>
      <c r="U1209" s="11">
        <v>-85.7</v>
      </c>
    </row>
    <row r="1210" spans="1:25">
      <c r="A1210" s="450">
        <v>800</v>
      </c>
      <c r="B1210" s="450">
        <v>21.68</v>
      </c>
      <c r="C1210" s="450">
        <v>20.98</v>
      </c>
      <c r="D1210" s="450">
        <v>20.63</v>
      </c>
      <c r="E1210" s="450">
        <v>20.27</v>
      </c>
      <c r="F1210" s="450">
        <v>19.920000000000002</v>
      </c>
      <c r="G1210" s="450">
        <v>19.57</v>
      </c>
      <c r="H1210" s="450">
        <v>18.87</v>
      </c>
      <c r="I1210" s="450">
        <v>18.170000000000002</v>
      </c>
      <c r="J1210" s="450"/>
      <c r="K1210" s="450"/>
      <c r="L1210" s="450">
        <v>1600</v>
      </c>
      <c r="M1210" s="450">
        <v>85.66</v>
      </c>
      <c r="N1210" s="450">
        <v>64.2</v>
      </c>
      <c r="O1210" s="450">
        <v>42.78</v>
      </c>
      <c r="P1210" s="450">
        <v>21.38</v>
      </c>
      <c r="Q1210" s="450">
        <v>0</v>
      </c>
      <c r="R1210" s="450">
        <v>-21.38</v>
      </c>
      <c r="S1210" s="450">
        <v>-42.78</v>
      </c>
      <c r="T1210" s="310">
        <v>-64.2</v>
      </c>
      <c r="U1210" s="11">
        <v>-85.7</v>
      </c>
    </row>
    <row r="1211" spans="1:25">
      <c r="A1211" s="450">
        <v>850</v>
      </c>
      <c r="B1211" s="450">
        <v>23.13</v>
      </c>
      <c r="C1211" s="450">
        <v>22.43</v>
      </c>
      <c r="D1211" s="450">
        <v>22.08</v>
      </c>
      <c r="E1211" s="450">
        <v>21.73</v>
      </c>
      <c r="F1211" s="450">
        <v>21.38</v>
      </c>
      <c r="G1211" s="450">
        <v>21.03</v>
      </c>
      <c r="H1211" s="450">
        <v>20.32</v>
      </c>
      <c r="I1211" s="450">
        <v>19.62</v>
      </c>
      <c r="J1211" s="450"/>
      <c r="K1211" s="450"/>
      <c r="L1211" s="450">
        <v>1700</v>
      </c>
      <c r="M1211" s="450">
        <v>71.08</v>
      </c>
      <c r="N1211" s="450">
        <v>61.2</v>
      </c>
      <c r="O1211" s="450">
        <v>42.78</v>
      </c>
      <c r="P1211" s="450">
        <v>21.38</v>
      </c>
      <c r="Q1211" s="450">
        <v>0</v>
      </c>
      <c r="R1211" s="450">
        <v>-21.38</v>
      </c>
      <c r="S1211" s="450">
        <v>-42.78</v>
      </c>
      <c r="T1211" s="310">
        <v>-64.2</v>
      </c>
      <c r="U1211" s="11">
        <v>-85.7</v>
      </c>
    </row>
    <row r="1212" spans="1:25">
      <c r="A1212" s="450">
        <v>900</v>
      </c>
      <c r="B1212" s="450">
        <v>24.58</v>
      </c>
      <c r="C1212" s="450">
        <v>23.88</v>
      </c>
      <c r="D1212" s="450">
        <v>23.53</v>
      </c>
      <c r="E1212" s="450">
        <v>23.18</v>
      </c>
      <c r="F1212" s="450">
        <v>22.83</v>
      </c>
      <c r="G1212" s="450">
        <v>22.48</v>
      </c>
      <c r="H1212" s="450">
        <v>21.78</v>
      </c>
      <c r="I1212" s="450">
        <v>21.07</v>
      </c>
      <c r="J1212" s="450"/>
      <c r="K1212" s="450"/>
      <c r="L1212" s="450">
        <v>1800</v>
      </c>
      <c r="M1212" s="450">
        <v>91.86</v>
      </c>
      <c r="N1212" s="450">
        <v>92.07</v>
      </c>
      <c r="O1212" s="450">
        <v>91.93</v>
      </c>
      <c r="P1212" s="450">
        <v>89.96</v>
      </c>
      <c r="Q1212" s="450">
        <v>0</v>
      </c>
      <c r="R1212" s="450">
        <v>-21.38</v>
      </c>
      <c r="S1212" s="450">
        <v>-42.78</v>
      </c>
      <c r="T1212" s="310">
        <v>-64.2</v>
      </c>
      <c r="U1212" s="11">
        <v>-85.7</v>
      </c>
    </row>
    <row r="1213" spans="1:25">
      <c r="A1213" s="450">
        <v>950</v>
      </c>
      <c r="B1213" s="450">
        <v>26.03</v>
      </c>
      <c r="C1213" s="450">
        <v>25.33</v>
      </c>
      <c r="D1213" s="450">
        <v>24.98</v>
      </c>
      <c r="E1213" s="450">
        <v>24.63</v>
      </c>
      <c r="F1213" s="450">
        <v>24.28</v>
      </c>
      <c r="G1213" s="450">
        <v>23.93</v>
      </c>
      <c r="H1213" s="450">
        <v>23.23</v>
      </c>
      <c r="I1213" s="450">
        <v>22.53</v>
      </c>
      <c r="J1213" s="450"/>
      <c r="K1213" s="450"/>
      <c r="L1213" s="450">
        <v>1900</v>
      </c>
      <c r="M1213" s="450">
        <v>0</v>
      </c>
      <c r="N1213" s="450">
        <v>0</v>
      </c>
      <c r="O1213" s="450">
        <v>0</v>
      </c>
      <c r="P1213" s="450">
        <v>0</v>
      </c>
      <c r="Q1213" s="450">
        <v>0</v>
      </c>
      <c r="R1213" s="450">
        <v>0</v>
      </c>
      <c r="S1213" s="450">
        <v>0</v>
      </c>
      <c r="T1213" s="310">
        <v>-100.4</v>
      </c>
      <c r="U1213" s="11">
        <v>-103.8</v>
      </c>
    </row>
    <row r="1214" spans="1:25">
      <c r="A1214" s="450">
        <v>1000</v>
      </c>
      <c r="B1214" s="450">
        <v>27.48</v>
      </c>
      <c r="C1214" s="450">
        <v>26.78</v>
      </c>
      <c r="D1214" s="450">
        <v>26.43</v>
      </c>
      <c r="E1214" s="450">
        <v>26.08</v>
      </c>
      <c r="F1214" s="450">
        <v>25.73</v>
      </c>
      <c r="G1214" s="450">
        <v>25.37</v>
      </c>
      <c r="H1214" s="450">
        <v>24.67</v>
      </c>
      <c r="I1214" s="450">
        <v>23.97</v>
      </c>
      <c r="J1214" s="450"/>
      <c r="K1214" s="450"/>
      <c r="L1214" s="450">
        <v>2000</v>
      </c>
      <c r="M1214" s="450">
        <v>0</v>
      </c>
      <c r="N1214" s="450">
        <v>0</v>
      </c>
      <c r="O1214" s="450">
        <v>0</v>
      </c>
      <c r="P1214" s="450">
        <v>0</v>
      </c>
      <c r="Q1214" s="450">
        <v>0</v>
      </c>
      <c r="R1214" s="450">
        <v>0</v>
      </c>
      <c r="S1214" s="450">
        <v>0</v>
      </c>
      <c r="T1214" s="310">
        <v>0</v>
      </c>
      <c r="U1214" s="11">
        <v>0</v>
      </c>
    </row>
    <row r="1215" spans="1:25">
      <c r="A1215" s="450">
        <v>1050</v>
      </c>
      <c r="B1215" s="450">
        <v>28.92</v>
      </c>
      <c r="C1215" s="450">
        <v>28.22</v>
      </c>
      <c r="D1215" s="450">
        <v>27.87</v>
      </c>
      <c r="E1215" s="450">
        <v>27.52</v>
      </c>
      <c r="F1215" s="450">
        <v>27.17</v>
      </c>
      <c r="G1215" s="450">
        <v>26.82</v>
      </c>
      <c r="H1215" s="450">
        <v>26.12</v>
      </c>
      <c r="I1215" s="450">
        <v>25.42</v>
      </c>
      <c r="J1215" s="450"/>
      <c r="K1215" s="450"/>
      <c r="L1215" s="450">
        <v>2100</v>
      </c>
      <c r="M1215" s="450">
        <v>0</v>
      </c>
      <c r="N1215" s="450">
        <v>0</v>
      </c>
      <c r="O1215" s="450">
        <v>0</v>
      </c>
      <c r="P1215" s="450">
        <v>0</v>
      </c>
      <c r="Q1215" s="450">
        <v>0</v>
      </c>
      <c r="R1215" s="450">
        <v>0</v>
      </c>
      <c r="S1215" s="450">
        <v>0</v>
      </c>
      <c r="T1215" s="310">
        <v>0</v>
      </c>
      <c r="U1215" s="11">
        <v>0</v>
      </c>
    </row>
    <row r="1216" spans="1:25">
      <c r="A1216" s="450">
        <v>1100</v>
      </c>
      <c r="B1216" s="450">
        <v>30.36</v>
      </c>
      <c r="C1216" s="450">
        <v>29.67</v>
      </c>
      <c r="D1216" s="450">
        <v>29.32</v>
      </c>
      <c r="E1216" s="450">
        <v>28.97</v>
      </c>
      <c r="F1216" s="450">
        <v>28.61</v>
      </c>
      <c r="G1216" s="450">
        <v>28.26</v>
      </c>
      <c r="H1216" s="450">
        <v>27.56</v>
      </c>
      <c r="I1216" s="450">
        <v>26.86</v>
      </c>
      <c r="J1216" s="450"/>
      <c r="K1216" s="450"/>
      <c r="L1216" s="450">
        <v>4686</v>
      </c>
      <c r="M1216" s="450">
        <v>0</v>
      </c>
      <c r="N1216" s="450">
        <v>0</v>
      </c>
      <c r="O1216" s="450">
        <v>0</v>
      </c>
      <c r="P1216" s="450">
        <v>0</v>
      </c>
      <c r="Q1216" s="450">
        <v>0</v>
      </c>
      <c r="R1216" s="450">
        <v>0</v>
      </c>
      <c r="S1216" s="450">
        <v>0</v>
      </c>
      <c r="T1216" s="310">
        <v>0</v>
      </c>
      <c r="U1216" s="11">
        <v>0</v>
      </c>
    </row>
    <row r="1217" spans="1:23">
      <c r="A1217" s="450">
        <v>1150</v>
      </c>
      <c r="B1217" s="450">
        <v>30.98</v>
      </c>
      <c r="C1217" s="450">
        <v>30.98</v>
      </c>
      <c r="D1217" s="450">
        <v>30.75</v>
      </c>
      <c r="E1217" s="450">
        <v>30.41</v>
      </c>
      <c r="F1217" s="450">
        <v>30.06</v>
      </c>
      <c r="G1217" s="450">
        <v>29.71</v>
      </c>
      <c r="H1217" s="450">
        <v>29.01</v>
      </c>
      <c r="I1217" s="450">
        <v>28.31</v>
      </c>
      <c r="J1217" s="450"/>
      <c r="K1217" s="450"/>
      <c r="L1217" s="450"/>
      <c r="M1217" s="450"/>
      <c r="N1217" s="450"/>
      <c r="O1217" s="450"/>
      <c r="P1217" s="450"/>
      <c r="Q1217" s="450"/>
      <c r="R1217" s="450"/>
      <c r="S1217" s="450"/>
      <c r="T1217" s="450"/>
      <c r="U1217" s="450"/>
      <c r="V1217" s="310"/>
      <c r="W1217" s="11"/>
    </row>
    <row r="1218" spans="1:23">
      <c r="A1218" s="450">
        <v>1200</v>
      </c>
      <c r="B1218" s="450">
        <v>31.08</v>
      </c>
      <c r="C1218" s="450">
        <v>31.08</v>
      </c>
      <c r="D1218" s="450">
        <v>31.08</v>
      </c>
      <c r="E1218" s="450">
        <v>31.08</v>
      </c>
      <c r="F1218" s="450">
        <v>31.01</v>
      </c>
      <c r="G1218" s="450">
        <v>30.81</v>
      </c>
      <c r="H1218" s="450">
        <v>30.25</v>
      </c>
      <c r="I1218" s="450">
        <v>29.62</v>
      </c>
      <c r="J1218" s="450"/>
      <c r="K1218" s="450"/>
      <c r="L1218" s="450"/>
      <c r="M1218" s="450"/>
      <c r="N1218" s="450"/>
      <c r="O1218" s="450"/>
      <c r="P1218" s="450"/>
      <c r="Q1218" s="450"/>
      <c r="R1218" s="450"/>
      <c r="S1218" s="450"/>
      <c r="T1218" s="450"/>
      <c r="U1218" s="450"/>
      <c r="V1218" s="310"/>
      <c r="W1218" s="11"/>
    </row>
    <row r="1219" spans="1:23">
      <c r="A1219" s="450">
        <v>1250</v>
      </c>
      <c r="B1219" s="450">
        <v>31.19</v>
      </c>
      <c r="C1219" s="450">
        <v>31.18</v>
      </c>
      <c r="D1219" s="450">
        <v>31.18</v>
      </c>
      <c r="E1219" s="450">
        <v>31.18</v>
      </c>
      <c r="F1219" s="450">
        <v>31.18</v>
      </c>
      <c r="G1219" s="450">
        <v>31.18</v>
      </c>
      <c r="H1219" s="450">
        <v>31.01</v>
      </c>
      <c r="I1219" s="450">
        <v>30.57</v>
      </c>
      <c r="J1219" s="450"/>
      <c r="K1219" s="450"/>
      <c r="L1219" s="450"/>
      <c r="M1219" s="450"/>
      <c r="N1219" s="450"/>
      <c r="O1219" s="450"/>
      <c r="P1219" s="450"/>
      <c r="Q1219" s="450"/>
      <c r="R1219" s="450"/>
      <c r="S1219" s="450"/>
      <c r="T1219" s="450"/>
      <c r="U1219" s="450"/>
      <c r="V1219" s="310"/>
      <c r="W1219" s="11"/>
    </row>
    <row r="1220" spans="1:23">
      <c r="A1220" s="450">
        <v>1300</v>
      </c>
      <c r="B1220" s="450">
        <v>31.29</v>
      </c>
      <c r="C1220" s="450">
        <v>31.29</v>
      </c>
      <c r="D1220" s="450">
        <v>31.29</v>
      </c>
      <c r="E1220" s="450">
        <v>31.29</v>
      </c>
      <c r="F1220" s="450">
        <v>31.28</v>
      </c>
      <c r="G1220" s="450">
        <v>31.28</v>
      </c>
      <c r="H1220" s="450">
        <v>31.28</v>
      </c>
      <c r="I1220" s="450">
        <v>31.16</v>
      </c>
      <c r="J1220" s="450"/>
      <c r="K1220" s="450"/>
      <c r="L1220" s="450"/>
      <c r="M1220" s="450"/>
      <c r="N1220" s="450"/>
      <c r="O1220" s="450"/>
      <c r="P1220" s="450"/>
      <c r="Q1220" s="450"/>
      <c r="R1220" s="450"/>
      <c r="S1220" s="450"/>
      <c r="T1220" s="450"/>
      <c r="U1220" s="450"/>
      <c r="V1220" s="310"/>
      <c r="W1220" s="11"/>
    </row>
    <row r="1221" spans="1:23">
      <c r="A1221" s="450">
        <v>1350</v>
      </c>
      <c r="B1221" s="450">
        <v>31.39</v>
      </c>
      <c r="C1221" s="450">
        <v>31.39</v>
      </c>
      <c r="D1221" s="450">
        <v>31.39</v>
      </c>
      <c r="E1221" s="450">
        <v>31.39</v>
      </c>
      <c r="F1221" s="450">
        <v>31.39</v>
      </c>
      <c r="G1221" s="450">
        <v>31.39</v>
      </c>
      <c r="H1221" s="450">
        <v>31.39</v>
      </c>
      <c r="I1221" s="450">
        <v>31.38</v>
      </c>
      <c r="J1221" s="450"/>
      <c r="K1221" s="450"/>
      <c r="L1221" s="450"/>
      <c r="M1221" s="450"/>
      <c r="N1221" s="450"/>
      <c r="O1221" s="450"/>
      <c r="P1221" s="450"/>
      <c r="Q1221" s="450"/>
      <c r="R1221" s="450"/>
      <c r="S1221" s="450"/>
      <c r="T1221" s="450"/>
      <c r="U1221" s="450"/>
      <c r="V1221" s="310"/>
      <c r="W1221" s="11"/>
    </row>
    <row r="1222" spans="1:23">
      <c r="A1222" s="450">
        <v>1400</v>
      </c>
      <c r="B1222" s="450">
        <v>31.5</v>
      </c>
      <c r="C1222" s="450">
        <v>31.5</v>
      </c>
      <c r="D1222" s="450">
        <v>31.49</v>
      </c>
      <c r="E1222" s="450">
        <v>31.49</v>
      </c>
      <c r="F1222" s="450">
        <v>31.49</v>
      </c>
      <c r="G1222" s="450">
        <v>31.49</v>
      </c>
      <c r="H1222" s="450">
        <v>31.49</v>
      </c>
      <c r="I1222" s="450">
        <v>31.49</v>
      </c>
      <c r="J1222" s="450"/>
      <c r="K1222" s="450"/>
      <c r="L1222" s="450"/>
      <c r="M1222" s="450"/>
      <c r="N1222" s="450"/>
      <c r="O1222" s="450"/>
      <c r="P1222" s="450"/>
      <c r="Q1222" s="450"/>
      <c r="R1222" s="450"/>
      <c r="S1222" s="450"/>
      <c r="T1222" s="450"/>
      <c r="U1222" s="450"/>
      <c r="V1222" s="310"/>
      <c r="W1222" s="11"/>
    </row>
    <row r="1223" spans="1:23">
      <c r="A1223" s="11">
        <v>1450</v>
      </c>
      <c r="B1223" s="11">
        <v>31.6</v>
      </c>
      <c r="C1223" s="11">
        <v>31.6</v>
      </c>
      <c r="D1223" s="11">
        <v>31.6</v>
      </c>
      <c r="E1223" s="11">
        <v>31.6</v>
      </c>
      <c r="F1223" s="11">
        <v>31.6</v>
      </c>
      <c r="G1223" s="11">
        <v>31.6</v>
      </c>
      <c r="H1223" s="11">
        <v>31.6</v>
      </c>
      <c r="I1223" s="11">
        <v>31.6</v>
      </c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</row>
    <row r="1224" spans="1:23">
      <c r="A1224" s="11">
        <v>1500</v>
      </c>
      <c r="B1224" s="11">
        <v>31.7</v>
      </c>
      <c r="C1224" s="11">
        <v>31.7</v>
      </c>
      <c r="D1224" s="11">
        <v>31.7</v>
      </c>
      <c r="E1224" s="11">
        <v>31.7</v>
      </c>
      <c r="F1224" s="11">
        <v>31.7</v>
      </c>
      <c r="G1224" s="11">
        <v>31.7</v>
      </c>
      <c r="H1224" s="11">
        <v>31.7</v>
      </c>
      <c r="I1224" s="11">
        <v>31.7</v>
      </c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</row>
    <row r="1225" spans="1:23">
      <c r="A1225" s="11">
        <v>1550</v>
      </c>
      <c r="B1225" s="11">
        <v>31.8</v>
      </c>
      <c r="C1225" s="11">
        <v>31.8</v>
      </c>
      <c r="D1225" s="11">
        <v>31.8</v>
      </c>
      <c r="E1225" s="11">
        <v>31.8</v>
      </c>
      <c r="F1225" s="11">
        <v>31.8</v>
      </c>
      <c r="G1225" s="11">
        <v>31.8</v>
      </c>
      <c r="H1225" s="11">
        <v>31.8</v>
      </c>
      <c r="I1225" s="11">
        <v>31.8</v>
      </c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</row>
    <row r="1226" spans="1:23">
      <c r="A1226" s="11">
        <v>1600</v>
      </c>
      <c r="B1226" s="11">
        <v>31.9</v>
      </c>
      <c r="C1226" s="11">
        <v>31.9</v>
      </c>
      <c r="D1226" s="11">
        <v>31.9</v>
      </c>
      <c r="E1226" s="11">
        <v>31.9</v>
      </c>
      <c r="F1226" s="11">
        <v>31.9</v>
      </c>
      <c r="G1226" s="11">
        <v>31.9</v>
      </c>
      <c r="H1226" s="11">
        <v>31.9</v>
      </c>
      <c r="I1226" s="11">
        <v>31.9</v>
      </c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</row>
    <row r="1227" spans="1:23">
      <c r="A1227" s="11">
        <v>1650</v>
      </c>
      <c r="B1227" s="11">
        <v>32</v>
      </c>
      <c r="C1227" s="11">
        <v>32</v>
      </c>
      <c r="D1227" s="11">
        <v>32</v>
      </c>
      <c r="E1227" s="11">
        <v>32</v>
      </c>
      <c r="F1227" s="11">
        <v>32</v>
      </c>
      <c r="G1227" s="11">
        <v>32</v>
      </c>
      <c r="H1227" s="11">
        <v>32</v>
      </c>
      <c r="I1227" s="11">
        <v>32</v>
      </c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</row>
    <row r="1228" spans="1:23">
      <c r="A1228" s="11">
        <v>1700</v>
      </c>
      <c r="B1228" s="11">
        <v>32.1</v>
      </c>
      <c r="C1228" s="11">
        <v>32.1</v>
      </c>
      <c r="D1228" s="11">
        <v>32.1</v>
      </c>
      <c r="E1228" s="11">
        <v>32.1</v>
      </c>
      <c r="F1228" s="11">
        <v>32.1</v>
      </c>
      <c r="G1228" s="11">
        <v>32.1</v>
      </c>
      <c r="H1228" s="11">
        <v>32.1</v>
      </c>
      <c r="I1228" s="11">
        <v>32.1</v>
      </c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</row>
    <row r="1229" spans="1:23">
      <c r="A1229" s="11">
        <v>1750</v>
      </c>
      <c r="B1229" s="11">
        <v>32.200000000000003</v>
      </c>
      <c r="C1229" s="11">
        <v>32.200000000000003</v>
      </c>
      <c r="D1229" s="11">
        <v>32.200000000000003</v>
      </c>
      <c r="E1229" s="11">
        <v>32.200000000000003</v>
      </c>
      <c r="F1229" s="11">
        <v>32.200000000000003</v>
      </c>
      <c r="G1229" s="11">
        <v>32.200000000000003</v>
      </c>
      <c r="H1229" s="11">
        <v>32.200000000000003</v>
      </c>
      <c r="I1229" s="11">
        <v>32.200000000000003</v>
      </c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</row>
    <row r="1230" spans="1:23">
      <c r="A1230" s="11">
        <v>1800</v>
      </c>
      <c r="B1230" s="11">
        <v>32.299999999999997</v>
      </c>
      <c r="C1230" s="11">
        <v>32.299999999999997</v>
      </c>
      <c r="D1230" s="11">
        <v>32.299999999999997</v>
      </c>
      <c r="E1230" s="11">
        <v>32.299999999999997</v>
      </c>
      <c r="F1230" s="11">
        <v>32.299999999999997</v>
      </c>
      <c r="G1230" s="11">
        <v>32.299999999999997</v>
      </c>
      <c r="H1230" s="11">
        <v>32.299999999999997</v>
      </c>
      <c r="I1230" s="11">
        <v>32.299999999999997</v>
      </c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</row>
    <row r="1231" spans="1:23">
      <c r="A1231" s="11">
        <v>1850</v>
      </c>
      <c r="B1231" s="11">
        <v>32.299999999999997</v>
      </c>
      <c r="C1231" s="11">
        <v>32.299999999999997</v>
      </c>
      <c r="D1231" s="11">
        <v>32.299999999999997</v>
      </c>
      <c r="E1231" s="11">
        <v>32.299999999999997</v>
      </c>
      <c r="F1231" s="11">
        <v>32.299999999999997</v>
      </c>
      <c r="G1231" s="11">
        <v>32.299999999999997</v>
      </c>
      <c r="H1231" s="11">
        <v>32.299999999999997</v>
      </c>
      <c r="I1231" s="11">
        <v>32.299999999999997</v>
      </c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</row>
    <row r="1232" spans="1:23">
      <c r="A1232" s="11">
        <v>1900</v>
      </c>
      <c r="B1232" s="11">
        <v>32.299999999999997</v>
      </c>
      <c r="C1232" s="11">
        <v>32.299999999999997</v>
      </c>
      <c r="D1232" s="11">
        <v>32.299999999999997</v>
      </c>
      <c r="E1232" s="11">
        <v>32.299999999999997</v>
      </c>
      <c r="F1232" s="11">
        <v>32.299999999999997</v>
      </c>
      <c r="G1232" s="11">
        <v>32.299999999999997</v>
      </c>
      <c r="H1232" s="11">
        <v>32.299999999999997</v>
      </c>
      <c r="I1232" s="11">
        <v>32.299999999999997</v>
      </c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</row>
    <row r="1233" spans="1:23">
      <c r="A1233" s="11">
        <v>1950</v>
      </c>
      <c r="B1233" s="11">
        <v>32.299999999999997</v>
      </c>
      <c r="C1233" s="11">
        <v>32.299999999999997</v>
      </c>
      <c r="D1233" s="11">
        <v>32.299999999999997</v>
      </c>
      <c r="E1233" s="11">
        <v>32.299999999999997</v>
      </c>
      <c r="F1233" s="11">
        <v>32.299999999999997</v>
      </c>
      <c r="G1233" s="11">
        <v>32.299999999999997</v>
      </c>
      <c r="H1233" s="11">
        <v>32.299999999999997</v>
      </c>
      <c r="I1233" s="11">
        <v>32.299999999999997</v>
      </c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</row>
    <row r="1234" spans="1:23">
      <c r="A1234" s="11">
        <v>2000</v>
      </c>
      <c r="B1234" s="11">
        <v>32.299999999999997</v>
      </c>
      <c r="C1234" s="11">
        <v>32.299999999999997</v>
      </c>
      <c r="D1234" s="11">
        <v>32.299999999999997</v>
      </c>
      <c r="E1234" s="11">
        <v>32.299999999999997</v>
      </c>
      <c r="F1234" s="11">
        <v>32.299999999999997</v>
      </c>
      <c r="G1234" s="11">
        <v>32.299999999999997</v>
      </c>
      <c r="H1234" s="11">
        <v>32.299999999999997</v>
      </c>
      <c r="I1234" s="11">
        <v>32.299999999999997</v>
      </c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</row>
    <row r="1235" spans="1:23">
      <c r="A1235" s="11">
        <v>2050</v>
      </c>
      <c r="B1235" s="11">
        <v>32.299999999999997</v>
      </c>
      <c r="C1235" s="11">
        <v>32.299999999999997</v>
      </c>
      <c r="D1235" s="11">
        <v>32.299999999999997</v>
      </c>
      <c r="E1235" s="11">
        <v>32.299999999999997</v>
      </c>
      <c r="F1235" s="11">
        <v>32.299999999999997</v>
      </c>
      <c r="G1235" s="11">
        <v>32.299999999999997</v>
      </c>
      <c r="H1235" s="11">
        <v>32.299999999999997</v>
      </c>
      <c r="I1235" s="11">
        <v>32.299999999999997</v>
      </c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</row>
    <row r="1236" spans="1:23">
      <c r="A1236" s="11">
        <v>4686</v>
      </c>
      <c r="B1236" s="11">
        <v>32.299999999999997</v>
      </c>
      <c r="C1236" s="11">
        <v>32.299999999999997</v>
      </c>
      <c r="D1236" s="11">
        <v>32.299999999999997</v>
      </c>
      <c r="E1236" s="11">
        <v>32.299999999999997</v>
      </c>
      <c r="F1236" s="11">
        <v>32.299999999999997</v>
      </c>
      <c r="G1236" s="11">
        <v>32.299999999999997</v>
      </c>
      <c r="H1236" s="11">
        <v>32.299999999999997</v>
      </c>
      <c r="I1236" s="11">
        <v>32.299999999999997</v>
      </c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</row>
  </sheetData>
  <mergeCells count="11">
    <mergeCell ref="A772:V772"/>
    <mergeCell ref="A8:V8"/>
    <mergeCell ref="A128:V128"/>
    <mergeCell ref="A249:V249"/>
    <mergeCell ref="A396:V396"/>
    <mergeCell ref="A666:V666"/>
    <mergeCell ref="A896:V896"/>
    <mergeCell ref="A1015:V1015"/>
    <mergeCell ref="A1067:V1067"/>
    <mergeCell ref="A1119:V1119"/>
    <mergeCell ref="A1192:V119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AF43"/>
  <sheetViews>
    <sheetView showGridLines="0" showRuler="0" view="pageBreakPreview" topLeftCell="B1" zoomScaleNormal="100" zoomScaleSheetLayoutView="100" workbookViewId="0">
      <selection activeCell="V9" sqref="V9"/>
    </sheetView>
  </sheetViews>
  <sheetFormatPr defaultRowHeight="15"/>
  <cols>
    <col min="1" max="1" width="4" customWidth="1"/>
    <col min="2" max="17" width="9.7109375" customWidth="1"/>
    <col min="18" max="19" width="12.7109375" customWidth="1"/>
    <col min="20" max="20" width="9.140625" style="1"/>
    <col min="21" max="31" width="10.7109375" style="1" customWidth="1"/>
    <col min="32" max="32" width="9.140625" style="1"/>
  </cols>
  <sheetData>
    <row r="1" spans="1:31" ht="26.25">
      <c r="A1" s="928" t="s">
        <v>345</v>
      </c>
      <c r="B1" s="928"/>
      <c r="C1" s="928"/>
      <c r="D1" s="928"/>
      <c r="E1" s="928"/>
      <c r="F1" s="928"/>
      <c r="G1" s="928"/>
      <c r="H1" s="928"/>
      <c r="I1" s="928"/>
      <c r="J1" s="928"/>
      <c r="K1" s="928"/>
      <c r="L1" s="928"/>
      <c r="M1" s="928"/>
      <c r="N1" s="928"/>
      <c r="O1" s="928"/>
      <c r="P1" s="928"/>
      <c r="Q1" s="928"/>
      <c r="R1" s="928"/>
      <c r="S1" s="928"/>
      <c r="X1" s="1">
        <v>1</v>
      </c>
      <c r="Y1" s="1">
        <v>1</v>
      </c>
    </row>
    <row r="2" spans="1:31" ht="18.75">
      <c r="A2" s="960" t="s">
        <v>377</v>
      </c>
      <c r="B2" s="960"/>
      <c r="C2" s="960"/>
      <c r="D2" s="960"/>
      <c r="E2" s="960"/>
      <c r="F2" s="960"/>
      <c r="G2" s="960"/>
      <c r="H2" s="960"/>
      <c r="I2" s="960"/>
      <c r="J2" s="960"/>
      <c r="K2" s="960"/>
      <c r="L2" s="960"/>
      <c r="M2" s="960"/>
      <c r="N2" s="960"/>
      <c r="O2" s="960"/>
      <c r="P2" s="960"/>
      <c r="Q2" s="960"/>
      <c r="R2" s="960"/>
      <c r="S2" s="960"/>
      <c r="X2" s="1">
        <f>IF(Y1=1,9,IF(Y1=2,10,IF(Y1=3,11,IF(Y1=4,12,IF(Y1=5,13,IF(Y1=6,14,IF(Y1=7,15,IF(Y1=8,16,IF(Y1=9,17,IF(Y1=10,18,IF(Y1=11,19,IF(Y1=12,20,IF(Y1=13,21,IF(Y1=14,22,IF(Y1=15,23,IF(Y1=16,24,IF(Y1=17,25,IF(Y1=18,26,IF(Y1=19,27,IF(Y1=20,28,IF(Y1=21,29,IF(Y1=22,30,IF(Y1=23,31,IF(Y1=24,32,IF(Y1=25,33,IF(Y1=26,34,IF(Y1=27,35,IF(Y1=28,36,IF(Y1=29,37,IF(Y1=30,38,IF(Y1=31,39,)))))))))))))))))))))))))))))))</f>
        <v>9</v>
      </c>
      <c r="AA2" s="1" t="s">
        <v>496</v>
      </c>
      <c r="AB2" s="1">
        <v>2025</v>
      </c>
    </row>
    <row r="3" spans="1:31" ht="15.95" customHeight="1">
      <c r="A3" s="253"/>
      <c r="B3" s="253"/>
      <c r="C3" s="253"/>
      <c r="D3" s="253"/>
      <c r="E3" s="240"/>
      <c r="Q3" s="255"/>
      <c r="R3" s="255"/>
      <c r="S3" s="255"/>
    </row>
    <row r="4" spans="1:31" ht="15.95" customHeight="1" thickBot="1">
      <c r="B4" s="134"/>
      <c r="P4" s="280"/>
      <c r="Q4" s="280"/>
      <c r="R4" s="280"/>
      <c r="S4" s="280"/>
      <c r="Z4" s="1">
        <v>-2</v>
      </c>
    </row>
    <row r="5" spans="1:31" ht="18.75" customHeight="1" thickBot="1">
      <c r="A5" s="930" t="s">
        <v>311</v>
      </c>
      <c r="B5" s="931"/>
      <c r="C5" s="275" t="s">
        <v>310</v>
      </c>
      <c r="D5" s="932"/>
      <c r="E5" s="932"/>
      <c r="F5" s="275" t="s">
        <v>309</v>
      </c>
      <c r="G5" s="932"/>
      <c r="H5" s="932"/>
      <c r="I5" s="284" t="s">
        <v>308</v>
      </c>
      <c r="J5" s="971">
        <f>IFERROR(((oilDraftAft+oilDraftFwd)/2),"")</f>
        <v>0</v>
      </c>
      <c r="K5" s="971"/>
      <c r="L5" s="284" t="s">
        <v>307</v>
      </c>
      <c r="M5" s="932">
        <f>IFERROR(oilDraftFwd-oilDraftAft,"")</f>
        <v>0</v>
      </c>
      <c r="N5" s="932"/>
      <c r="O5" s="276" t="s">
        <v>306</v>
      </c>
      <c r="P5" s="932" t="str">
        <f>IF(Z4=-3,"3 Port",IF(Z4=-2,"2 Port",IF(Z4=-1,"1 Port",IF(Z4=0,"0",IF(Z4=1,"1 Stbd",IF(Z4=2,"2 Stbd",IF(Z4=3,"3 Stbd")))))))</f>
        <v>2 Port</v>
      </c>
      <c r="Q5" s="933"/>
      <c r="R5" s="942" t="str">
        <f>CONCATENATE(oilMonth," ",oilYear)</f>
        <v>MAY 2025</v>
      </c>
      <c r="S5" s="942"/>
      <c r="T5" s="1">
        <f>M5*1</f>
        <v>0</v>
      </c>
    </row>
    <row r="6" spans="1:31" ht="6" customHeight="1" thickBot="1">
      <c r="A6" s="241"/>
      <c r="B6" s="245"/>
      <c r="C6" s="241"/>
      <c r="D6" s="241"/>
      <c r="E6" s="245"/>
      <c r="F6" s="245"/>
      <c r="G6" s="8"/>
      <c r="H6" s="8"/>
      <c r="I6" s="189"/>
      <c r="J6" s="189"/>
      <c r="K6" s="189"/>
      <c r="L6" s="189"/>
      <c r="M6" s="8"/>
      <c r="N6" s="8"/>
      <c r="O6" s="8"/>
      <c r="P6" s="8"/>
      <c r="Q6" s="189"/>
      <c r="R6" s="189"/>
      <c r="S6" s="189"/>
      <c r="U6" s="193" t="s">
        <v>352</v>
      </c>
      <c r="V6" s="193" t="s">
        <v>495</v>
      </c>
      <c r="W6" s="193" t="s">
        <v>354</v>
      </c>
      <c r="X6" s="193" t="s">
        <v>354</v>
      </c>
      <c r="Y6" s="193" t="s">
        <v>352</v>
      </c>
      <c r="Z6" s="193" t="s">
        <v>495</v>
      </c>
      <c r="AA6" s="193" t="s">
        <v>352</v>
      </c>
      <c r="AB6" s="193"/>
      <c r="AC6" s="193"/>
    </row>
    <row r="7" spans="1:31" ht="15" customHeight="1">
      <c r="A7" s="939" t="s">
        <v>298</v>
      </c>
      <c r="B7" s="935" t="s">
        <v>346</v>
      </c>
      <c r="C7" s="936"/>
      <c r="D7" s="935" t="s">
        <v>347</v>
      </c>
      <c r="E7" s="936"/>
      <c r="F7" s="935" t="s">
        <v>349</v>
      </c>
      <c r="G7" s="936"/>
      <c r="H7" s="935" t="s">
        <v>348</v>
      </c>
      <c r="I7" s="936"/>
      <c r="J7" s="943" t="s">
        <v>350</v>
      </c>
      <c r="K7" s="944"/>
      <c r="L7" s="943" t="s">
        <v>351</v>
      </c>
      <c r="M7" s="944"/>
      <c r="N7" s="943" t="s">
        <v>416</v>
      </c>
      <c r="O7" s="944"/>
      <c r="P7" s="943"/>
      <c r="Q7" s="969"/>
      <c r="R7" s="277" t="s">
        <v>373</v>
      </c>
      <c r="S7" s="277" t="s">
        <v>318</v>
      </c>
      <c r="U7" s="193" t="s">
        <v>353</v>
      </c>
      <c r="V7" s="193" t="s">
        <v>353</v>
      </c>
      <c r="W7" s="193" t="s">
        <v>356</v>
      </c>
      <c r="X7" s="193" t="s">
        <v>355</v>
      </c>
      <c r="Y7" s="193" t="s">
        <v>357</v>
      </c>
      <c r="Z7" s="193" t="s">
        <v>357</v>
      </c>
      <c r="AA7" s="193" t="s">
        <v>358</v>
      </c>
      <c r="AB7" s="193"/>
      <c r="AC7" s="193"/>
      <c r="AD7" s="193"/>
      <c r="AE7" s="193"/>
    </row>
    <row r="8" spans="1:31" ht="15" customHeight="1">
      <c r="A8" s="940"/>
      <c r="B8" s="937"/>
      <c r="C8" s="938"/>
      <c r="D8" s="937"/>
      <c r="E8" s="938"/>
      <c r="F8" s="937"/>
      <c r="G8" s="938"/>
      <c r="H8" s="937"/>
      <c r="I8" s="938"/>
      <c r="J8" s="945"/>
      <c r="K8" s="946"/>
      <c r="L8" s="945"/>
      <c r="M8" s="946"/>
      <c r="N8" s="945"/>
      <c r="O8" s="946"/>
      <c r="P8" s="945"/>
      <c r="Q8" s="970"/>
      <c r="R8" s="278" t="s">
        <v>372</v>
      </c>
      <c r="S8" s="278" t="s">
        <v>372</v>
      </c>
      <c r="Z8" t="str">
        <f>ADDRESS(Y2+1,2,1,1)</f>
        <v>$B$1</v>
      </c>
      <c r="AA8" t="str">
        <f>ADDRESS(Y2+1,3,1,1)</f>
        <v>$C$1</v>
      </c>
      <c r="AD8" s="193"/>
      <c r="AE8" s="193"/>
    </row>
    <row r="9" spans="1:31" ht="15" customHeight="1" thickBot="1">
      <c r="A9" s="941"/>
      <c r="B9" s="256" t="s">
        <v>305</v>
      </c>
      <c r="C9" s="257" t="s">
        <v>60</v>
      </c>
      <c r="D9" s="256" t="s">
        <v>305</v>
      </c>
      <c r="E9" s="257" t="s">
        <v>60</v>
      </c>
      <c r="F9" s="256" t="s">
        <v>305</v>
      </c>
      <c r="G9" s="257" t="s">
        <v>60</v>
      </c>
      <c r="H9" s="256" t="s">
        <v>305</v>
      </c>
      <c r="I9" s="257" t="s">
        <v>60</v>
      </c>
      <c r="J9" s="256" t="s">
        <v>305</v>
      </c>
      <c r="K9" s="257" t="s">
        <v>60</v>
      </c>
      <c r="L9" s="256" t="s">
        <v>305</v>
      </c>
      <c r="M9" s="257" t="s">
        <v>60</v>
      </c>
      <c r="N9" s="256" t="s">
        <v>305</v>
      </c>
      <c r="O9" s="257" t="s">
        <v>60</v>
      </c>
      <c r="P9" s="258" t="s">
        <v>305</v>
      </c>
      <c r="Q9" s="281" t="s">
        <v>60</v>
      </c>
      <c r="R9" s="282" t="s">
        <v>60</v>
      </c>
      <c r="S9" s="282" t="s">
        <v>60</v>
      </c>
      <c r="Z9" t="str">
        <f>ADDRESS(Y2+1,4,1,1)</f>
        <v>$D$1</v>
      </c>
      <c r="AA9" t="str">
        <f>ADDRESS(Y2+1,5,1,1)</f>
        <v>$E$1</v>
      </c>
    </row>
    <row r="10" spans="1:31" ht="12.95" customHeight="1">
      <c r="A10" s="248">
        <v>1</v>
      </c>
      <c r="B10" s="336"/>
      <c r="C10" s="360"/>
      <c r="D10" s="336"/>
      <c r="E10" s="360"/>
      <c r="F10" s="336"/>
      <c r="G10" s="360"/>
      <c r="H10" s="319"/>
      <c r="I10" s="360"/>
      <c r="J10" s="319"/>
      <c r="K10" s="360"/>
      <c r="L10" s="319"/>
      <c r="M10" s="360"/>
      <c r="N10" s="319"/>
      <c r="O10" s="360"/>
      <c r="P10" s="319"/>
      <c r="Q10" s="361"/>
      <c r="R10" s="329" t="str">
        <f>IF(SUM(G10,I10)=0,"",SUM(G10,I10))</f>
        <v/>
      </c>
      <c r="S10" s="362" t="str">
        <f>IF(SUM(C10,E10,G10,I10,K10,M10,O10,Q10)=0,"",SUM(C10,E10,G10,I10,K10,M10,O10,Q10))</f>
        <v/>
      </c>
      <c r="Z10" t="str">
        <f>ADDRESS(Y2+1,6,1,1)</f>
        <v>$F$1</v>
      </c>
      <c r="AA10" t="str">
        <f>ADDRESS(Y2+1,7,1,1)</f>
        <v>$G$1</v>
      </c>
    </row>
    <row r="11" spans="1:31" ht="12.95" customHeight="1">
      <c r="A11" s="249">
        <v>2</v>
      </c>
      <c r="B11" s="337"/>
      <c r="C11" s="320"/>
      <c r="D11" s="321"/>
      <c r="E11" s="321"/>
      <c r="F11" s="321"/>
      <c r="G11" s="321"/>
      <c r="H11" s="320"/>
      <c r="I11" s="321"/>
      <c r="J11" s="320"/>
      <c r="K11" s="321"/>
      <c r="L11" s="320"/>
      <c r="M11" s="320"/>
      <c r="N11" s="320"/>
      <c r="O11" s="321"/>
      <c r="P11" s="320"/>
      <c r="Q11" s="322"/>
      <c r="R11" s="330" t="str">
        <f t="shared" ref="R11:R40" si="0">IF(SUM(G11,I11)=0,"",SUM(G11,I11))</f>
        <v/>
      </c>
      <c r="S11" s="331" t="str">
        <f t="shared" ref="S11:S40" si="1">IF(SUM(C11,E11,G11,I11,K11,M11)=0,"",SUM(C11,E11,G11,I11,K11,M11))</f>
        <v/>
      </c>
      <c r="Z11" t="str">
        <f>ADDRESS(Y2+1,8,1,1)</f>
        <v>$H$1</v>
      </c>
      <c r="AA11" t="str">
        <f>ADDRESS(Y2+1,9,1,1)</f>
        <v>$I$1</v>
      </c>
    </row>
    <row r="12" spans="1:31" ht="12.95" customHeight="1">
      <c r="A12" s="250">
        <v>3</v>
      </c>
      <c r="B12" s="338"/>
      <c r="C12" s="323"/>
      <c r="D12" s="324"/>
      <c r="E12" s="324"/>
      <c r="F12" s="324"/>
      <c r="G12" s="324"/>
      <c r="H12" s="323"/>
      <c r="I12" s="324"/>
      <c r="J12" s="323"/>
      <c r="K12" s="324"/>
      <c r="L12" s="323"/>
      <c r="M12" s="323"/>
      <c r="N12" s="323"/>
      <c r="O12" s="324"/>
      <c r="P12" s="323"/>
      <c r="Q12" s="325"/>
      <c r="R12" s="332" t="str">
        <f t="shared" si="0"/>
        <v/>
      </c>
      <c r="S12" s="333" t="str">
        <f t="shared" si="1"/>
        <v/>
      </c>
      <c r="Z12" t="str">
        <f>ADDRESS(Y2+1,10,1,1)</f>
        <v>$J$1</v>
      </c>
      <c r="AA12" t="str">
        <f>ADDRESS(Y2+1,11,1,1)</f>
        <v>$K$1</v>
      </c>
    </row>
    <row r="13" spans="1:31" ht="12.95" customHeight="1">
      <c r="A13" s="249">
        <v>4</v>
      </c>
      <c r="B13" s="337"/>
      <c r="C13" s="320"/>
      <c r="D13" s="321"/>
      <c r="E13" s="321"/>
      <c r="F13" s="321"/>
      <c r="G13" s="321"/>
      <c r="H13" s="320"/>
      <c r="I13" s="321"/>
      <c r="J13" s="320"/>
      <c r="K13" s="321"/>
      <c r="L13" s="320"/>
      <c r="M13" s="320"/>
      <c r="N13" s="320"/>
      <c r="O13" s="321"/>
      <c r="P13" s="320"/>
      <c r="Q13" s="322"/>
      <c r="R13" s="330" t="str">
        <f t="shared" si="0"/>
        <v/>
      </c>
      <c r="S13" s="331" t="str">
        <f t="shared" si="1"/>
        <v/>
      </c>
      <c r="Z13" t="str">
        <f>ADDRESS(Y2+1,12,1,1)</f>
        <v>$L$1</v>
      </c>
      <c r="AA13" t="str">
        <f>ADDRESS(Y2+1,13,1,1)</f>
        <v>$M$1</v>
      </c>
    </row>
    <row r="14" spans="1:31" ht="12.95" customHeight="1">
      <c r="A14" s="250">
        <v>5</v>
      </c>
      <c r="B14" s="338"/>
      <c r="C14" s="323"/>
      <c r="D14" s="324"/>
      <c r="E14" s="324"/>
      <c r="F14" s="324"/>
      <c r="G14" s="324"/>
      <c r="H14" s="323"/>
      <c r="I14" s="324"/>
      <c r="J14" s="323"/>
      <c r="K14" s="324"/>
      <c r="L14" s="323"/>
      <c r="M14" s="323"/>
      <c r="N14" s="323"/>
      <c r="O14" s="324"/>
      <c r="P14" s="323"/>
      <c r="Q14" s="325"/>
      <c r="R14" s="332" t="str">
        <f t="shared" si="0"/>
        <v/>
      </c>
      <c r="S14" s="333" t="str">
        <f t="shared" si="1"/>
        <v/>
      </c>
      <c r="Z14" t="str">
        <f>ADDRESS(Y2+1,14,1,1)</f>
        <v>$N$1</v>
      </c>
      <c r="AA14" t="str">
        <f>ADDRESS(Y2+1,15,1,1)</f>
        <v>$O$1</v>
      </c>
    </row>
    <row r="15" spans="1:31" ht="12.95" customHeight="1">
      <c r="A15" s="249">
        <v>6</v>
      </c>
      <c r="B15" s="337"/>
      <c r="C15" s="320"/>
      <c r="D15" s="321"/>
      <c r="E15" s="321"/>
      <c r="F15" s="321"/>
      <c r="G15" s="321"/>
      <c r="H15" s="320"/>
      <c r="I15" s="321"/>
      <c r="J15" s="320"/>
      <c r="K15" s="321"/>
      <c r="L15" s="320"/>
      <c r="M15" s="320"/>
      <c r="N15" s="320"/>
      <c r="O15" s="321"/>
      <c r="P15" s="320"/>
      <c r="Q15" s="322"/>
      <c r="R15" s="330" t="str">
        <f t="shared" si="0"/>
        <v/>
      </c>
      <c r="S15" s="331" t="str">
        <f t="shared" si="1"/>
        <v/>
      </c>
      <c r="Z15" t="str">
        <f>ADDRESS(Y2+1,16,1,1)</f>
        <v>$P$1</v>
      </c>
      <c r="AA15" t="str">
        <f>ADDRESS(Y2+1,17,1,1)</f>
        <v>$Q$1</v>
      </c>
    </row>
    <row r="16" spans="1:31" ht="12.95" customHeight="1">
      <c r="A16" s="250">
        <v>7</v>
      </c>
      <c r="B16" s="338"/>
      <c r="C16" s="323"/>
      <c r="D16" s="324"/>
      <c r="E16" s="324"/>
      <c r="F16" s="324"/>
      <c r="G16" s="324"/>
      <c r="H16" s="323"/>
      <c r="I16" s="324"/>
      <c r="J16" s="323"/>
      <c r="K16" s="324"/>
      <c r="L16" s="323"/>
      <c r="M16" s="323"/>
      <c r="N16" s="323"/>
      <c r="O16" s="324"/>
      <c r="P16" s="323"/>
      <c r="Q16" s="325"/>
      <c r="R16" s="332" t="str">
        <f t="shared" si="0"/>
        <v/>
      </c>
      <c r="S16" s="333" t="str">
        <f t="shared" si="1"/>
        <v/>
      </c>
      <c r="Z16" t="str">
        <f>ADDRESS(Y2+1,18,1,1)</f>
        <v>$R$1</v>
      </c>
      <c r="AA16" t="str">
        <f>ADDRESS(Y2+1,19,1,1)</f>
        <v>$S$1</v>
      </c>
    </row>
    <row r="17" spans="1:27" ht="12.95" customHeight="1">
      <c r="A17" s="249">
        <v>8</v>
      </c>
      <c r="B17" s="337"/>
      <c r="C17" s="320"/>
      <c r="D17" s="321"/>
      <c r="E17" s="321"/>
      <c r="F17" s="321"/>
      <c r="G17" s="321"/>
      <c r="H17" s="320"/>
      <c r="I17" s="321"/>
      <c r="J17" s="320"/>
      <c r="K17" s="321"/>
      <c r="L17" s="320"/>
      <c r="M17" s="320"/>
      <c r="N17" s="320"/>
      <c r="O17" s="321"/>
      <c r="P17" s="320"/>
      <c r="Q17" s="322"/>
      <c r="R17" s="330" t="str">
        <f t="shared" si="0"/>
        <v/>
      </c>
      <c r="S17" s="331" t="str">
        <f t="shared" si="1"/>
        <v/>
      </c>
      <c r="Z17" t="str">
        <f>ADDRESS(Y2+1,20,1,1)</f>
        <v>$T$1</v>
      </c>
      <c r="AA17" t="str">
        <f>ADDRESS(Y2+1,21,1,1)</f>
        <v>$U$1</v>
      </c>
    </row>
    <row r="18" spans="1:27" ht="12.95" customHeight="1">
      <c r="A18" s="250">
        <v>9</v>
      </c>
      <c r="B18" s="338"/>
      <c r="C18" s="323"/>
      <c r="D18" s="324"/>
      <c r="E18" s="324"/>
      <c r="F18" s="324"/>
      <c r="G18" s="324"/>
      <c r="H18" s="323"/>
      <c r="I18" s="324"/>
      <c r="J18" s="323"/>
      <c r="K18" s="324"/>
      <c r="L18" s="323"/>
      <c r="M18" s="323"/>
      <c r="N18" s="323"/>
      <c r="O18" s="324"/>
      <c r="P18" s="323"/>
      <c r="Q18" s="325"/>
      <c r="R18" s="332" t="str">
        <f t="shared" si="0"/>
        <v/>
      </c>
      <c r="S18" s="333" t="str">
        <f t="shared" si="1"/>
        <v/>
      </c>
      <c r="Z18" t="str">
        <f>ADDRESS(Y2+1,22,1,1)</f>
        <v>$V$1</v>
      </c>
      <c r="AA18" t="str">
        <f>ADDRESS(Y2+1,23,1,1)</f>
        <v>$W$1</v>
      </c>
    </row>
    <row r="19" spans="1:27" ht="12.95" customHeight="1">
      <c r="A19" s="249">
        <v>10</v>
      </c>
      <c r="B19" s="337"/>
      <c r="C19" s="320"/>
      <c r="D19" s="321"/>
      <c r="E19" s="321"/>
      <c r="F19" s="321"/>
      <c r="G19" s="321"/>
      <c r="H19" s="320"/>
      <c r="I19" s="321"/>
      <c r="J19" s="320"/>
      <c r="K19" s="321"/>
      <c r="L19" s="320"/>
      <c r="M19" s="320"/>
      <c r="N19" s="320"/>
      <c r="O19" s="321"/>
      <c r="P19" s="320"/>
      <c r="Q19" s="322"/>
      <c r="R19" s="330" t="str">
        <f t="shared" si="0"/>
        <v/>
      </c>
      <c r="S19" s="331" t="str">
        <f t="shared" si="1"/>
        <v/>
      </c>
    </row>
    <row r="20" spans="1:27" ht="12.95" customHeight="1">
      <c r="A20" s="250">
        <v>11</v>
      </c>
      <c r="B20" s="338"/>
      <c r="C20" s="323"/>
      <c r="D20" s="324"/>
      <c r="E20" s="324"/>
      <c r="F20" s="324"/>
      <c r="G20" s="324"/>
      <c r="H20" s="323"/>
      <c r="I20" s="324"/>
      <c r="J20" s="323"/>
      <c r="K20" s="324"/>
      <c r="L20" s="323"/>
      <c r="M20" s="323"/>
      <c r="N20" s="323"/>
      <c r="O20" s="324"/>
      <c r="P20" s="323"/>
      <c r="Q20" s="325"/>
      <c r="R20" s="332" t="str">
        <f t="shared" si="0"/>
        <v/>
      </c>
      <c r="S20" s="333" t="str">
        <f t="shared" si="1"/>
        <v/>
      </c>
    </row>
    <row r="21" spans="1:27" ht="12.95" customHeight="1">
      <c r="A21" s="249">
        <v>12</v>
      </c>
      <c r="B21" s="337"/>
      <c r="C21" s="320"/>
      <c r="D21" s="321"/>
      <c r="E21" s="321"/>
      <c r="F21" s="321"/>
      <c r="G21" s="321"/>
      <c r="H21" s="320"/>
      <c r="I21" s="321"/>
      <c r="J21" s="320"/>
      <c r="K21" s="321"/>
      <c r="L21" s="320"/>
      <c r="M21" s="320"/>
      <c r="N21" s="320"/>
      <c r="O21" s="321"/>
      <c r="P21" s="320"/>
      <c r="Q21" s="322"/>
      <c r="R21" s="330" t="str">
        <f t="shared" si="0"/>
        <v/>
      </c>
      <c r="S21" s="331" t="str">
        <f t="shared" si="1"/>
        <v/>
      </c>
    </row>
    <row r="22" spans="1:27" ht="12.95" customHeight="1">
      <c r="A22" s="250">
        <v>13</v>
      </c>
      <c r="B22" s="338"/>
      <c r="C22" s="323"/>
      <c r="D22" s="324"/>
      <c r="E22" s="324"/>
      <c r="F22" s="324"/>
      <c r="G22" s="324"/>
      <c r="H22" s="323"/>
      <c r="I22" s="324"/>
      <c r="J22" s="323"/>
      <c r="K22" s="324"/>
      <c r="L22" s="323"/>
      <c r="M22" s="323"/>
      <c r="N22" s="323"/>
      <c r="O22" s="324"/>
      <c r="P22" s="323"/>
      <c r="Q22" s="325"/>
      <c r="R22" s="332" t="str">
        <f t="shared" si="0"/>
        <v/>
      </c>
      <c r="S22" s="333" t="str">
        <f t="shared" si="1"/>
        <v/>
      </c>
    </row>
    <row r="23" spans="1:27" ht="12.95" customHeight="1">
      <c r="A23" s="249">
        <v>14</v>
      </c>
      <c r="B23" s="337"/>
      <c r="C23" s="320"/>
      <c r="D23" s="321"/>
      <c r="E23" s="321"/>
      <c r="F23" s="321"/>
      <c r="G23" s="321"/>
      <c r="H23" s="320"/>
      <c r="I23" s="321"/>
      <c r="J23" s="320"/>
      <c r="K23" s="321"/>
      <c r="L23" s="320"/>
      <c r="M23" s="320"/>
      <c r="N23" s="320"/>
      <c r="O23" s="321"/>
      <c r="P23" s="320"/>
      <c r="Q23" s="322"/>
      <c r="R23" s="330" t="str">
        <f t="shared" si="0"/>
        <v/>
      </c>
      <c r="S23" s="331" t="str">
        <f t="shared" si="1"/>
        <v/>
      </c>
    </row>
    <row r="24" spans="1:27" ht="12.95" customHeight="1">
      <c r="A24" s="250">
        <v>15</v>
      </c>
      <c r="B24" s="338"/>
      <c r="C24" s="323"/>
      <c r="D24" s="324"/>
      <c r="E24" s="324"/>
      <c r="F24" s="324"/>
      <c r="G24" s="324"/>
      <c r="H24" s="323"/>
      <c r="I24" s="324"/>
      <c r="J24" s="323"/>
      <c r="K24" s="324"/>
      <c r="L24" s="323"/>
      <c r="M24" s="323"/>
      <c r="N24" s="323"/>
      <c r="O24" s="324"/>
      <c r="P24" s="323"/>
      <c r="Q24" s="325"/>
      <c r="R24" s="332" t="str">
        <f t="shared" si="0"/>
        <v/>
      </c>
      <c r="S24" s="333" t="str">
        <f t="shared" si="1"/>
        <v/>
      </c>
    </row>
    <row r="25" spans="1:27" ht="12.95" customHeight="1">
      <c r="A25" s="249">
        <v>16</v>
      </c>
      <c r="B25" s="337"/>
      <c r="C25" s="320"/>
      <c r="D25" s="321"/>
      <c r="E25" s="321"/>
      <c r="F25" s="321"/>
      <c r="G25" s="321"/>
      <c r="H25" s="320"/>
      <c r="I25" s="321"/>
      <c r="J25" s="320"/>
      <c r="K25" s="321"/>
      <c r="L25" s="320"/>
      <c r="M25" s="320"/>
      <c r="N25" s="320"/>
      <c r="O25" s="321"/>
      <c r="P25" s="320"/>
      <c r="Q25" s="322"/>
      <c r="R25" s="330" t="str">
        <f t="shared" si="0"/>
        <v/>
      </c>
      <c r="S25" s="331" t="str">
        <f t="shared" si="1"/>
        <v/>
      </c>
    </row>
    <row r="26" spans="1:27" ht="12.95" customHeight="1">
      <c r="A26" s="250">
        <v>17</v>
      </c>
      <c r="B26" s="338"/>
      <c r="C26" s="323"/>
      <c r="D26" s="324"/>
      <c r="E26" s="324"/>
      <c r="F26" s="324"/>
      <c r="G26" s="324"/>
      <c r="H26" s="323"/>
      <c r="I26" s="324"/>
      <c r="J26" s="323"/>
      <c r="K26" s="324"/>
      <c r="L26" s="323"/>
      <c r="M26" s="323"/>
      <c r="N26" s="323"/>
      <c r="O26" s="324"/>
      <c r="P26" s="323"/>
      <c r="Q26" s="325"/>
      <c r="R26" s="332" t="str">
        <f t="shared" si="0"/>
        <v/>
      </c>
      <c r="S26" s="333" t="str">
        <f t="shared" si="1"/>
        <v/>
      </c>
    </row>
    <row r="27" spans="1:27" ht="12.95" customHeight="1">
      <c r="A27" s="249">
        <v>18</v>
      </c>
      <c r="B27" s="337"/>
      <c r="C27" s="320"/>
      <c r="D27" s="321"/>
      <c r="E27" s="321"/>
      <c r="F27" s="321"/>
      <c r="G27" s="321"/>
      <c r="H27" s="320"/>
      <c r="I27" s="321"/>
      <c r="J27" s="320"/>
      <c r="K27" s="321"/>
      <c r="L27" s="320"/>
      <c r="M27" s="320"/>
      <c r="N27" s="320"/>
      <c r="O27" s="321"/>
      <c r="P27" s="320"/>
      <c r="Q27" s="322"/>
      <c r="R27" s="330" t="str">
        <f t="shared" si="0"/>
        <v/>
      </c>
      <c r="S27" s="331" t="str">
        <f t="shared" si="1"/>
        <v/>
      </c>
    </row>
    <row r="28" spans="1:27" ht="12.95" customHeight="1">
      <c r="A28" s="250">
        <v>19</v>
      </c>
      <c r="B28" s="338"/>
      <c r="C28" s="323"/>
      <c r="D28" s="324"/>
      <c r="E28" s="324"/>
      <c r="F28" s="324"/>
      <c r="G28" s="324"/>
      <c r="H28" s="323"/>
      <c r="I28" s="324"/>
      <c r="J28" s="323"/>
      <c r="K28" s="324"/>
      <c r="L28" s="323"/>
      <c r="M28" s="323"/>
      <c r="N28" s="323"/>
      <c r="O28" s="324"/>
      <c r="P28" s="323"/>
      <c r="Q28" s="325"/>
      <c r="R28" s="332" t="str">
        <f t="shared" si="0"/>
        <v/>
      </c>
      <c r="S28" s="333" t="str">
        <f t="shared" si="1"/>
        <v/>
      </c>
    </row>
    <row r="29" spans="1:27" ht="12.95" customHeight="1">
      <c r="A29" s="249">
        <v>20</v>
      </c>
      <c r="B29" s="337"/>
      <c r="C29" s="320"/>
      <c r="D29" s="321"/>
      <c r="E29" s="321"/>
      <c r="F29" s="321"/>
      <c r="G29" s="321"/>
      <c r="H29" s="320"/>
      <c r="I29" s="321"/>
      <c r="J29" s="320"/>
      <c r="K29" s="321"/>
      <c r="L29" s="320"/>
      <c r="M29" s="320"/>
      <c r="N29" s="320"/>
      <c r="O29" s="321"/>
      <c r="P29" s="320"/>
      <c r="Q29" s="322"/>
      <c r="R29" s="330" t="str">
        <f t="shared" si="0"/>
        <v/>
      </c>
      <c r="S29" s="331" t="str">
        <f t="shared" si="1"/>
        <v/>
      </c>
    </row>
    <row r="30" spans="1:27" ht="12.95" customHeight="1">
      <c r="A30" s="250">
        <v>21</v>
      </c>
      <c r="B30" s="338"/>
      <c r="C30" s="323"/>
      <c r="D30" s="324"/>
      <c r="E30" s="324"/>
      <c r="F30" s="324"/>
      <c r="G30" s="324"/>
      <c r="H30" s="323"/>
      <c r="I30" s="324"/>
      <c r="J30" s="323"/>
      <c r="K30" s="324"/>
      <c r="L30" s="323"/>
      <c r="M30" s="323"/>
      <c r="N30" s="323"/>
      <c r="O30" s="324"/>
      <c r="P30" s="323"/>
      <c r="Q30" s="325"/>
      <c r="R30" s="332" t="str">
        <f t="shared" si="0"/>
        <v/>
      </c>
      <c r="S30" s="333" t="str">
        <f t="shared" si="1"/>
        <v/>
      </c>
    </row>
    <row r="31" spans="1:27" ht="12.95" customHeight="1">
      <c r="A31" s="249">
        <v>22</v>
      </c>
      <c r="B31" s="337"/>
      <c r="C31" s="320"/>
      <c r="D31" s="321"/>
      <c r="E31" s="321"/>
      <c r="F31" s="321"/>
      <c r="G31" s="321"/>
      <c r="H31" s="320"/>
      <c r="I31" s="321"/>
      <c r="J31" s="320"/>
      <c r="K31" s="321"/>
      <c r="L31" s="320"/>
      <c r="M31" s="320"/>
      <c r="N31" s="320"/>
      <c r="O31" s="321"/>
      <c r="P31" s="320"/>
      <c r="Q31" s="322"/>
      <c r="R31" s="330" t="str">
        <f t="shared" si="0"/>
        <v/>
      </c>
      <c r="S31" s="331" t="str">
        <f t="shared" si="1"/>
        <v/>
      </c>
    </row>
    <row r="32" spans="1:27" ht="12.95" customHeight="1">
      <c r="A32" s="250">
        <v>23</v>
      </c>
      <c r="B32" s="338"/>
      <c r="C32" s="323"/>
      <c r="D32" s="324"/>
      <c r="E32" s="324"/>
      <c r="F32" s="324"/>
      <c r="G32" s="324"/>
      <c r="H32" s="323"/>
      <c r="I32" s="324"/>
      <c r="J32" s="323"/>
      <c r="K32" s="324"/>
      <c r="L32" s="323"/>
      <c r="M32" s="323"/>
      <c r="N32" s="323"/>
      <c r="O32" s="324"/>
      <c r="P32" s="323"/>
      <c r="Q32" s="325"/>
      <c r="R32" s="332" t="str">
        <f t="shared" si="0"/>
        <v/>
      </c>
      <c r="S32" s="333" t="str">
        <f t="shared" si="1"/>
        <v/>
      </c>
    </row>
    <row r="33" spans="1:19" ht="12.95" customHeight="1">
      <c r="A33" s="249">
        <v>24</v>
      </c>
      <c r="B33" s="337"/>
      <c r="C33" s="320"/>
      <c r="D33" s="321"/>
      <c r="E33" s="321"/>
      <c r="F33" s="321"/>
      <c r="G33" s="321"/>
      <c r="H33" s="320"/>
      <c r="I33" s="321"/>
      <c r="J33" s="320"/>
      <c r="K33" s="321"/>
      <c r="L33" s="320"/>
      <c r="M33" s="320"/>
      <c r="N33" s="320"/>
      <c r="O33" s="321"/>
      <c r="P33" s="320"/>
      <c r="Q33" s="322"/>
      <c r="R33" s="330" t="str">
        <f t="shared" si="0"/>
        <v/>
      </c>
      <c r="S33" s="331" t="str">
        <f t="shared" si="1"/>
        <v/>
      </c>
    </row>
    <row r="34" spans="1:19" ht="12.95" customHeight="1">
      <c r="A34" s="250">
        <v>25</v>
      </c>
      <c r="B34" s="338"/>
      <c r="C34" s="323"/>
      <c r="D34" s="324"/>
      <c r="E34" s="324"/>
      <c r="F34" s="324"/>
      <c r="G34" s="324"/>
      <c r="H34" s="323"/>
      <c r="I34" s="324"/>
      <c r="J34" s="323"/>
      <c r="K34" s="324"/>
      <c r="L34" s="323"/>
      <c r="M34" s="323"/>
      <c r="N34" s="323"/>
      <c r="O34" s="324"/>
      <c r="P34" s="323"/>
      <c r="Q34" s="325"/>
      <c r="R34" s="332" t="str">
        <f t="shared" si="0"/>
        <v/>
      </c>
      <c r="S34" s="333" t="str">
        <f t="shared" si="1"/>
        <v/>
      </c>
    </row>
    <row r="35" spans="1:19" ht="12.95" customHeight="1">
      <c r="A35" s="249">
        <v>26</v>
      </c>
      <c r="B35" s="337"/>
      <c r="C35" s="320"/>
      <c r="D35" s="321"/>
      <c r="E35" s="321"/>
      <c r="F35" s="321"/>
      <c r="G35" s="321"/>
      <c r="H35" s="320"/>
      <c r="I35" s="321"/>
      <c r="J35" s="320"/>
      <c r="K35" s="321"/>
      <c r="L35" s="320"/>
      <c r="M35" s="320"/>
      <c r="N35" s="320"/>
      <c r="O35" s="321"/>
      <c r="P35" s="320"/>
      <c r="Q35" s="322"/>
      <c r="R35" s="330" t="str">
        <f t="shared" si="0"/>
        <v/>
      </c>
      <c r="S35" s="331" t="str">
        <f t="shared" si="1"/>
        <v/>
      </c>
    </row>
    <row r="36" spans="1:19" ht="12.95" customHeight="1">
      <c r="A36" s="250">
        <v>27</v>
      </c>
      <c r="B36" s="338"/>
      <c r="C36" s="323"/>
      <c r="D36" s="324"/>
      <c r="E36" s="324"/>
      <c r="F36" s="324"/>
      <c r="G36" s="324"/>
      <c r="H36" s="323"/>
      <c r="I36" s="324"/>
      <c r="J36" s="323"/>
      <c r="K36" s="324"/>
      <c r="L36" s="323"/>
      <c r="M36" s="323"/>
      <c r="N36" s="323"/>
      <c r="O36" s="324"/>
      <c r="P36" s="323"/>
      <c r="Q36" s="325"/>
      <c r="R36" s="332" t="str">
        <f t="shared" si="0"/>
        <v/>
      </c>
      <c r="S36" s="333" t="str">
        <f t="shared" si="1"/>
        <v/>
      </c>
    </row>
    <row r="37" spans="1:19" ht="12.95" customHeight="1">
      <c r="A37" s="249">
        <v>28</v>
      </c>
      <c r="B37" s="337"/>
      <c r="C37" s="320"/>
      <c r="D37" s="321"/>
      <c r="E37" s="321"/>
      <c r="F37" s="321"/>
      <c r="G37" s="321"/>
      <c r="H37" s="320"/>
      <c r="I37" s="321"/>
      <c r="J37" s="320"/>
      <c r="K37" s="321"/>
      <c r="L37" s="320"/>
      <c r="M37" s="320"/>
      <c r="N37" s="320"/>
      <c r="O37" s="321"/>
      <c r="P37" s="320"/>
      <c r="Q37" s="322"/>
      <c r="R37" s="330" t="str">
        <f t="shared" si="0"/>
        <v/>
      </c>
      <c r="S37" s="331" t="str">
        <f t="shared" si="1"/>
        <v/>
      </c>
    </row>
    <row r="38" spans="1:19" ht="12.95" customHeight="1">
      <c r="A38" s="250">
        <v>29</v>
      </c>
      <c r="B38" s="338"/>
      <c r="C38" s="323"/>
      <c r="D38" s="324"/>
      <c r="E38" s="324"/>
      <c r="F38" s="324"/>
      <c r="G38" s="324"/>
      <c r="H38" s="323"/>
      <c r="I38" s="324"/>
      <c r="J38" s="323"/>
      <c r="K38" s="324"/>
      <c r="L38" s="323"/>
      <c r="M38" s="323"/>
      <c r="N38" s="323"/>
      <c r="O38" s="324"/>
      <c r="P38" s="323"/>
      <c r="Q38" s="325"/>
      <c r="R38" s="332" t="str">
        <f t="shared" si="0"/>
        <v/>
      </c>
      <c r="S38" s="333" t="str">
        <f t="shared" si="1"/>
        <v/>
      </c>
    </row>
    <row r="39" spans="1:19" ht="12.95" customHeight="1">
      <c r="A39" s="249">
        <v>30</v>
      </c>
      <c r="B39" s="337"/>
      <c r="C39" s="320"/>
      <c r="D39" s="321"/>
      <c r="E39" s="321"/>
      <c r="F39" s="321"/>
      <c r="G39" s="321"/>
      <c r="H39" s="320"/>
      <c r="I39" s="321"/>
      <c r="J39" s="320"/>
      <c r="K39" s="321"/>
      <c r="L39" s="320"/>
      <c r="M39" s="320"/>
      <c r="N39" s="320"/>
      <c r="O39" s="321"/>
      <c r="P39" s="320"/>
      <c r="Q39" s="322"/>
      <c r="R39" s="330" t="str">
        <f t="shared" si="0"/>
        <v/>
      </c>
      <c r="S39" s="331" t="str">
        <f t="shared" si="1"/>
        <v/>
      </c>
    </row>
    <row r="40" spans="1:19" ht="12.95" customHeight="1" thickBot="1">
      <c r="A40" s="251">
        <v>31</v>
      </c>
      <c r="B40" s="339"/>
      <c r="C40" s="326"/>
      <c r="D40" s="327"/>
      <c r="E40" s="327"/>
      <c r="F40" s="327"/>
      <c r="G40" s="327"/>
      <c r="H40" s="326"/>
      <c r="I40" s="327"/>
      <c r="J40" s="326"/>
      <c r="K40" s="327"/>
      <c r="L40" s="326"/>
      <c r="M40" s="326"/>
      <c r="N40" s="326"/>
      <c r="O40" s="327"/>
      <c r="P40" s="326"/>
      <c r="Q40" s="328"/>
      <c r="R40" s="334" t="str">
        <f t="shared" si="0"/>
        <v/>
      </c>
      <c r="S40" s="335" t="str">
        <f t="shared" si="1"/>
        <v/>
      </c>
    </row>
    <row r="42" spans="1:19" ht="15.75" thickBot="1">
      <c r="O42" s="750" t="str">
        <f>Setup!G21</f>
        <v>MARVIN C. ENDOZO</v>
      </c>
      <c r="P42" s="750"/>
      <c r="Q42" s="750"/>
      <c r="R42" s="750"/>
      <c r="S42" s="750"/>
    </row>
    <row r="43" spans="1:19">
      <c r="O43" s="760" t="s">
        <v>67</v>
      </c>
      <c r="P43" s="751"/>
      <c r="Q43" s="751"/>
      <c r="R43" s="751"/>
      <c r="S43" s="751"/>
    </row>
  </sheetData>
  <mergeCells count="20">
    <mergeCell ref="O42:S42"/>
    <mergeCell ref="O43:S43"/>
    <mergeCell ref="R5:S5"/>
    <mergeCell ref="A5:B5"/>
    <mergeCell ref="P5:Q5"/>
    <mergeCell ref="D5:E5"/>
    <mergeCell ref="M5:N5"/>
    <mergeCell ref="G5:H5"/>
    <mergeCell ref="J5:K5"/>
    <mergeCell ref="A1:S1"/>
    <mergeCell ref="A2:S2"/>
    <mergeCell ref="J7:K8"/>
    <mergeCell ref="L7:M8"/>
    <mergeCell ref="N7:O8"/>
    <mergeCell ref="P7:Q8"/>
    <mergeCell ref="A7:A9"/>
    <mergeCell ref="B7:C8"/>
    <mergeCell ref="D7:E8"/>
    <mergeCell ref="F7:G8"/>
    <mergeCell ref="H7:I8"/>
  </mergeCells>
  <pageMargins left="0.25" right="0.25" top="0.75" bottom="0.75" header="0.3" footer="0.3"/>
  <pageSetup paperSize="9" scale="7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C528"/>
  <sheetViews>
    <sheetView showGridLines="0" showRuler="0" topLeftCell="B1" workbookViewId="0">
      <selection activeCell="Y26" sqref="Y26"/>
    </sheetView>
  </sheetViews>
  <sheetFormatPr defaultRowHeight="15"/>
  <cols>
    <col min="1" max="1" width="9.28515625" bestFit="1" customWidth="1"/>
    <col min="2" max="8" width="9.42578125" bestFit="1" customWidth="1"/>
    <col min="9" max="9" width="10.5703125" bestFit="1" customWidth="1"/>
  </cols>
  <sheetData>
    <row r="1" spans="1:29">
      <c r="A1" t="s">
        <v>257</v>
      </c>
    </row>
    <row r="2" spans="1:29">
      <c r="A2" t="s">
        <v>258</v>
      </c>
    </row>
    <row r="3" spans="1:29">
      <c r="A3" t="s">
        <v>259</v>
      </c>
    </row>
    <row r="4" spans="1:29">
      <c r="A4" t="s">
        <v>260</v>
      </c>
    </row>
    <row r="5" spans="1:29">
      <c r="A5" t="s">
        <v>261</v>
      </c>
    </row>
    <row r="6" spans="1:29">
      <c r="A6" t="s">
        <v>262</v>
      </c>
    </row>
    <row r="7" spans="1:29">
      <c r="A7" t="s">
        <v>263</v>
      </c>
    </row>
    <row r="8" spans="1:29">
      <c r="A8" t="s">
        <v>264</v>
      </c>
    </row>
    <row r="9" spans="1:29">
      <c r="A9" t="s">
        <v>265</v>
      </c>
    </row>
    <row r="10" spans="1:29">
      <c r="A10" t="s">
        <v>266</v>
      </c>
      <c r="B10">
        <v>-1</v>
      </c>
      <c r="C10">
        <v>0</v>
      </c>
      <c r="D10">
        <v>0.5</v>
      </c>
      <c r="E10">
        <v>1</v>
      </c>
      <c r="F10">
        <v>1.5</v>
      </c>
      <c r="G10">
        <v>2</v>
      </c>
      <c r="H10">
        <v>3</v>
      </c>
      <c r="I10">
        <v>4</v>
      </c>
      <c r="M10" t="s">
        <v>266</v>
      </c>
      <c r="N10">
        <v>-4</v>
      </c>
      <c r="O10">
        <v>-3</v>
      </c>
      <c r="P10">
        <v>-2</v>
      </c>
      <c r="Q10">
        <v>-1</v>
      </c>
      <c r="R10">
        <v>0</v>
      </c>
      <c r="S10">
        <v>1</v>
      </c>
      <c r="T10">
        <v>2</v>
      </c>
      <c r="U10">
        <v>3</v>
      </c>
      <c r="V10">
        <v>4</v>
      </c>
      <c r="W10" t="s">
        <v>231</v>
      </c>
      <c r="Z10" s="1">
        <f>heelDraft1</f>
        <v>0</v>
      </c>
      <c r="AA10" s="186">
        <v>100</v>
      </c>
      <c r="AB10" s="186">
        <f>IF((AA10+AA13)&lt;0,AA10,AA10+AA13)</f>
        <v>100</v>
      </c>
      <c r="AC10" s="42">
        <f>IF(AC12=AC11,AC11,Interp1(AB11:AB12,AC11:AC12,AB10))</f>
        <v>8.0389999999999997</v>
      </c>
    </row>
    <row r="11" spans="1:29">
      <c r="A11" s="451">
        <v>0</v>
      </c>
      <c r="B11" s="452">
        <v>3.323</v>
      </c>
      <c r="C11" s="452">
        <v>1.9039999999999999</v>
      </c>
      <c r="D11" s="452">
        <v>1.194</v>
      </c>
      <c r="E11" s="452">
        <v>0.59699999999999998</v>
      </c>
      <c r="F11" s="452">
        <v>0.34100000000000003</v>
      </c>
      <c r="G11" s="452">
        <v>0.26300000000000001</v>
      </c>
      <c r="H11" s="452">
        <v>0.185</v>
      </c>
      <c r="I11" s="452">
        <v>0.14699999999999999</v>
      </c>
      <c r="M11">
        <v>0</v>
      </c>
      <c r="N11">
        <v>41.305</v>
      </c>
      <c r="O11">
        <v>27.462</v>
      </c>
      <c r="P11">
        <v>13.986000000000001</v>
      </c>
      <c r="Q11">
        <v>1.835</v>
      </c>
      <c r="R11">
        <v>0</v>
      </c>
      <c r="S11">
        <v>6.61</v>
      </c>
      <c r="T11">
        <v>1.522</v>
      </c>
      <c r="U11">
        <v>37.652999999999999</v>
      </c>
      <c r="V11">
        <v>54.137</v>
      </c>
      <c r="Z11" s="1">
        <f>FLOOR(AA10,2)</f>
        <v>100</v>
      </c>
      <c r="AA11" s="1">
        <f>Interp2(Water1Heel1,Water1Heel2,Water1Heel3,Z11,Z10)</f>
        <v>0</v>
      </c>
      <c r="AB11" s="1">
        <f>FLOOR(AB10,2)</f>
        <v>100</v>
      </c>
      <c r="AC11" s="42">
        <f>IF(AA16=AA15,AA15,Interp1(Z15:Z16,AA15:AA16,Z14))</f>
        <v>8.0389999999999997</v>
      </c>
    </row>
    <row r="12" spans="1:29">
      <c r="A12" s="451">
        <v>50</v>
      </c>
      <c r="B12" s="452">
        <v>6.4969999999999999</v>
      </c>
      <c r="C12" s="452">
        <v>5.077</v>
      </c>
      <c r="D12" s="452">
        <v>4.367</v>
      </c>
      <c r="E12" s="452">
        <v>3.6579999999999999</v>
      </c>
      <c r="F12" s="452">
        <v>2.948</v>
      </c>
      <c r="G12" s="452">
        <v>2.2410000000000001</v>
      </c>
      <c r="H12" s="452">
        <v>1.345</v>
      </c>
      <c r="I12" s="452">
        <v>0.91</v>
      </c>
      <c r="M12">
        <v>100</v>
      </c>
      <c r="N12">
        <v>4.9749999999999996</v>
      </c>
      <c r="O12">
        <v>-3.1680000000000001</v>
      </c>
      <c r="P12">
        <v>-5.29</v>
      </c>
      <c r="Q12">
        <v>-2.653</v>
      </c>
      <c r="R12">
        <v>0</v>
      </c>
      <c r="S12">
        <v>2.67</v>
      </c>
      <c r="T12">
        <v>5.8609999999999998</v>
      </c>
      <c r="U12">
        <v>12.819000000000001</v>
      </c>
      <c r="V12">
        <v>24.315999999999999</v>
      </c>
      <c r="Z12" s="1">
        <f>IF(Z11=WaterSound1,Z11,CEILING(AA10,2))</f>
        <v>100</v>
      </c>
      <c r="AA12" s="1">
        <f>Interp2(Water1Heel1,Water1Heel2,Water1Heel3,Z12,Z10)</f>
        <v>0</v>
      </c>
      <c r="AB12" s="1">
        <f>CEILING(AB10,2)</f>
        <v>100</v>
      </c>
      <c r="AC12" s="42">
        <f>IF(AB16=AB15,AB15,Interp1(Z15:Z16,AB15:AB16,Z14))</f>
        <v>8.0389999999999997</v>
      </c>
    </row>
    <row r="13" spans="1:29">
      <c r="A13" s="451">
        <v>100</v>
      </c>
      <c r="B13" s="452">
        <v>9.673</v>
      </c>
      <c r="C13" s="452">
        <v>8.2520000000000007</v>
      </c>
      <c r="D13" s="452">
        <v>7.5419999999999998</v>
      </c>
      <c r="E13" s="452">
        <v>6.8319999999999999</v>
      </c>
      <c r="F13" s="452">
        <v>6.1219999999999999</v>
      </c>
      <c r="G13" s="452">
        <v>5.4119999999999999</v>
      </c>
      <c r="H13" s="452">
        <v>3.9929999999999999</v>
      </c>
      <c r="I13" s="452">
        <v>2.8679999999999999</v>
      </c>
      <c r="M13">
        <v>200</v>
      </c>
      <c r="N13">
        <v>-9.9540000000000006</v>
      </c>
      <c r="O13">
        <v>-7.8109999999999999</v>
      </c>
      <c r="P13">
        <v>-5.2169999999999996</v>
      </c>
      <c r="Q13">
        <v>-2.6150000000000002</v>
      </c>
      <c r="R13">
        <v>0</v>
      </c>
      <c r="S13">
        <v>2.6309999999999998</v>
      </c>
      <c r="T13">
        <v>5.2869999999999999</v>
      </c>
      <c r="U13">
        <v>8.0670000000000002</v>
      </c>
      <c r="V13">
        <v>12.625999999999999</v>
      </c>
      <c r="Z13" s="1"/>
      <c r="AA13" s="1">
        <f>IF(AA12=AA11,AA11,Interp1(Z11:Z12,AA11:AA12,AA10))</f>
        <v>0</v>
      </c>
      <c r="AB13" s="1"/>
      <c r="AC13" s="42"/>
    </row>
    <row r="14" spans="1:29">
      <c r="A14" s="451">
        <v>150</v>
      </c>
      <c r="B14" s="452">
        <v>12.85</v>
      </c>
      <c r="C14" s="452">
        <v>11.429</v>
      </c>
      <c r="D14" s="452">
        <v>10.718999999999999</v>
      </c>
      <c r="E14" s="452">
        <v>10.007999999999999</v>
      </c>
      <c r="F14" s="452">
        <v>9.298</v>
      </c>
      <c r="G14" s="452">
        <v>8.5879999999999992</v>
      </c>
      <c r="H14" s="452">
        <v>7.1680000000000001</v>
      </c>
      <c r="I14" s="452">
        <v>5.7480000000000002</v>
      </c>
      <c r="M14">
        <v>300</v>
      </c>
      <c r="N14">
        <v>-10.298999999999999</v>
      </c>
      <c r="O14">
        <v>-7.7350000000000003</v>
      </c>
      <c r="P14">
        <v>-5.1660000000000004</v>
      </c>
      <c r="Q14">
        <v>-2.5880000000000001</v>
      </c>
      <c r="R14">
        <v>0</v>
      </c>
      <c r="S14">
        <v>2.5990000000000002</v>
      </c>
      <c r="T14">
        <v>5.218</v>
      </c>
      <c r="U14">
        <v>7.8529999999999998</v>
      </c>
      <c r="V14">
        <v>10.522</v>
      </c>
      <c r="Z14" s="1">
        <f>trimDraft</f>
        <v>0.149999999999999</v>
      </c>
      <c r="AA14" s="1"/>
      <c r="AB14" s="1"/>
      <c r="AC14" s="1"/>
    </row>
    <row r="15" spans="1:29">
      <c r="A15" s="451">
        <v>200</v>
      </c>
      <c r="B15" s="452">
        <v>16.027000000000001</v>
      </c>
      <c r="C15" s="452">
        <v>14.606999999999999</v>
      </c>
      <c r="D15" s="452">
        <v>13.896000000000001</v>
      </c>
      <c r="E15" s="452">
        <v>13.186</v>
      </c>
      <c r="F15" s="452">
        <v>12.475</v>
      </c>
      <c r="G15" s="452">
        <v>11.765000000000001</v>
      </c>
      <c r="H15" s="452">
        <v>10.345000000000001</v>
      </c>
      <c r="I15" s="452">
        <v>8.9239999999999995</v>
      </c>
      <c r="M15">
        <v>400</v>
      </c>
      <c r="N15">
        <v>-10.224</v>
      </c>
      <c r="O15">
        <v>-7.6710000000000003</v>
      </c>
      <c r="P15">
        <v>-5.1189999999999998</v>
      </c>
      <c r="Q15">
        <v>-2.5630000000000002</v>
      </c>
      <c r="R15">
        <v>0</v>
      </c>
      <c r="S15">
        <v>2.5739999999999998</v>
      </c>
      <c r="T15">
        <v>5.1669999999999998</v>
      </c>
      <c r="U15">
        <v>7.7720000000000002</v>
      </c>
      <c r="V15">
        <v>10.398</v>
      </c>
      <c r="Z15" s="1">
        <f>INDEX(Water1Trim2,0,MATCH(Z14,Water1Trim2,1))</f>
        <v>0</v>
      </c>
      <c r="AA15" s="1">
        <f>Interp2(Water1Trim1,Water1Trim2,Water1Trim3,AB11,Z15)</f>
        <v>8.2520000000000007</v>
      </c>
      <c r="AB15" s="1">
        <f>Interp2(Water1Trim1,Water1Trim2,Water1Trim3,AB12,Z15)</f>
        <v>8.2520000000000007</v>
      </c>
      <c r="AC15" s="1"/>
    </row>
    <row r="16" spans="1:29">
      <c r="A16" s="451">
        <v>250</v>
      </c>
      <c r="B16" s="452">
        <v>19.207000000000001</v>
      </c>
      <c r="C16" s="452">
        <v>17.786000000000001</v>
      </c>
      <c r="D16" s="452">
        <v>17.074999999999999</v>
      </c>
      <c r="E16" s="452">
        <v>16.364000000000001</v>
      </c>
      <c r="F16" s="452">
        <v>15.654</v>
      </c>
      <c r="G16" s="452">
        <v>14.943</v>
      </c>
      <c r="H16" s="452">
        <v>13.523</v>
      </c>
      <c r="I16" s="452">
        <v>12.102</v>
      </c>
      <c r="M16">
        <v>500</v>
      </c>
      <c r="N16">
        <v>-10.172000000000001</v>
      </c>
      <c r="O16">
        <v>-7.63</v>
      </c>
      <c r="P16">
        <v>-5.0890000000000004</v>
      </c>
      <c r="Q16">
        <v>-2.5459999999999998</v>
      </c>
      <c r="R16">
        <v>0</v>
      </c>
      <c r="S16">
        <v>2.5510000000000002</v>
      </c>
      <c r="T16">
        <v>5.1180000000000003</v>
      </c>
      <c r="U16">
        <v>7.6989999999999998</v>
      </c>
      <c r="V16">
        <v>10.298</v>
      </c>
      <c r="Z16" s="1">
        <f>IF(Z15=Z14,Z14,INDEX(Water1Trim2,0,MATCH(Z14,Water1Trim2,1)+1))</f>
        <v>0.5</v>
      </c>
      <c r="AA16" s="1">
        <f>Interp2(Water1Trim1,Water1Trim2,Water1Trim3,AB11,Z16)</f>
        <v>7.5419999999999998</v>
      </c>
      <c r="AB16" s="1">
        <f>Interp2(Water1Trim1,Water1Trim2,Water1Trim3,AB12,Z16)</f>
        <v>7.5419999999999998</v>
      </c>
      <c r="AC16" s="1"/>
    </row>
    <row r="17" spans="1:22">
      <c r="A17" s="451">
        <v>300</v>
      </c>
      <c r="B17" s="452">
        <v>22.387</v>
      </c>
      <c r="C17" s="452">
        <v>20.966000000000001</v>
      </c>
      <c r="D17" s="452">
        <v>20.254999999999999</v>
      </c>
      <c r="E17" s="452">
        <v>19.544</v>
      </c>
      <c r="F17" s="452">
        <v>18.832999999999998</v>
      </c>
      <c r="G17" s="452">
        <v>18.123000000000001</v>
      </c>
      <c r="H17" s="452">
        <v>16.702000000000002</v>
      </c>
      <c r="I17" s="452">
        <v>15.28</v>
      </c>
      <c r="M17">
        <v>600</v>
      </c>
      <c r="N17">
        <v>-10.137</v>
      </c>
      <c r="O17">
        <v>-7.6</v>
      </c>
      <c r="P17">
        <v>-5.069</v>
      </c>
      <c r="Q17">
        <v>-2.5350000000000001</v>
      </c>
      <c r="R17">
        <v>0</v>
      </c>
      <c r="S17">
        <v>2.5390000000000001</v>
      </c>
      <c r="T17">
        <v>5.0869999999999997</v>
      </c>
      <c r="U17">
        <v>7.6440000000000001</v>
      </c>
      <c r="V17">
        <v>10.220000000000001</v>
      </c>
    </row>
    <row r="18" spans="1:22">
      <c r="A18" s="451">
        <v>350</v>
      </c>
      <c r="B18" s="452">
        <v>25.568000000000001</v>
      </c>
      <c r="C18" s="452">
        <v>24.146000000000001</v>
      </c>
      <c r="D18" s="452">
        <v>23.436</v>
      </c>
      <c r="E18" s="452">
        <v>22.725000000000001</v>
      </c>
      <c r="F18" s="452">
        <v>22.013999999999999</v>
      </c>
      <c r="G18" s="452">
        <v>21.303000000000001</v>
      </c>
      <c r="H18" s="452">
        <v>19.882000000000001</v>
      </c>
      <c r="I18" s="452">
        <v>18.46</v>
      </c>
      <c r="M18">
        <v>700</v>
      </c>
      <c r="N18">
        <v>-10.113</v>
      </c>
      <c r="O18">
        <v>-7.5810000000000004</v>
      </c>
      <c r="P18">
        <v>-5.0529999999999999</v>
      </c>
      <c r="Q18">
        <v>-2.5259999999999998</v>
      </c>
      <c r="R18">
        <v>0</v>
      </c>
      <c r="S18">
        <v>2.5289999999999999</v>
      </c>
      <c r="T18">
        <v>5.0670000000000002</v>
      </c>
      <c r="U18">
        <v>7.609</v>
      </c>
      <c r="V18">
        <v>10.166</v>
      </c>
    </row>
    <row r="19" spans="1:22">
      <c r="A19" s="451">
        <v>400</v>
      </c>
      <c r="B19" s="452">
        <v>28.75</v>
      </c>
      <c r="C19" s="452">
        <v>27.327999999999999</v>
      </c>
      <c r="D19" s="452">
        <v>26.617000000000001</v>
      </c>
      <c r="E19" s="452">
        <v>25.905999999999999</v>
      </c>
      <c r="F19" s="452">
        <v>25.195</v>
      </c>
      <c r="G19" s="452">
        <v>24.484000000000002</v>
      </c>
      <c r="H19" s="452">
        <v>23.062999999999999</v>
      </c>
      <c r="I19" s="452">
        <v>21.640999999999998</v>
      </c>
      <c r="M19">
        <v>800</v>
      </c>
      <c r="N19">
        <v>-10.103</v>
      </c>
      <c r="O19">
        <v>-7.5720000000000001</v>
      </c>
      <c r="P19">
        <v>-5.0469999999999997</v>
      </c>
      <c r="Q19">
        <v>-2.5230000000000001</v>
      </c>
      <c r="R19">
        <v>0</v>
      </c>
      <c r="S19">
        <v>2.5219999999999998</v>
      </c>
      <c r="T19">
        <v>5.0510000000000002</v>
      </c>
      <c r="U19">
        <v>7.5830000000000002</v>
      </c>
      <c r="V19">
        <v>10.128</v>
      </c>
    </row>
    <row r="20" spans="1:22">
      <c r="A20" s="451">
        <v>450</v>
      </c>
      <c r="B20" s="452">
        <v>31.933</v>
      </c>
      <c r="C20" s="452">
        <v>30.51</v>
      </c>
      <c r="D20" s="452">
        <v>29.798999999999999</v>
      </c>
      <c r="E20" s="452">
        <v>29.088000000000001</v>
      </c>
      <c r="F20" s="452">
        <v>28.376999999999999</v>
      </c>
      <c r="G20" s="452">
        <v>27.666</v>
      </c>
      <c r="H20" s="452">
        <v>26.244</v>
      </c>
      <c r="I20" s="452">
        <v>24.821999999999999</v>
      </c>
      <c r="M20">
        <v>900</v>
      </c>
      <c r="N20">
        <v>-10.099</v>
      </c>
      <c r="O20">
        <v>-7.5679999999999996</v>
      </c>
      <c r="P20">
        <v>-5.0439999999999996</v>
      </c>
      <c r="Q20">
        <v>-2.5209999999999999</v>
      </c>
      <c r="R20">
        <v>0</v>
      </c>
      <c r="S20">
        <v>2.5209999999999999</v>
      </c>
      <c r="T20">
        <v>5.0460000000000003</v>
      </c>
      <c r="U20">
        <v>7.5730000000000004</v>
      </c>
      <c r="V20">
        <v>10.108000000000001</v>
      </c>
    </row>
    <row r="21" spans="1:22">
      <c r="A21" s="451">
        <v>500</v>
      </c>
      <c r="B21" s="452">
        <v>35.116</v>
      </c>
      <c r="C21" s="452">
        <v>33.694000000000003</v>
      </c>
      <c r="D21" s="452">
        <v>32.981999999999999</v>
      </c>
      <c r="E21" s="452">
        <v>32.271000000000001</v>
      </c>
      <c r="F21" s="452">
        <v>31.56</v>
      </c>
      <c r="G21" s="452">
        <v>30.849</v>
      </c>
      <c r="H21" s="452">
        <v>29.427</v>
      </c>
      <c r="I21" s="452">
        <v>28.004999999999999</v>
      </c>
      <c r="M21">
        <v>1000</v>
      </c>
      <c r="N21">
        <v>-10.096</v>
      </c>
      <c r="O21">
        <v>-7.5670000000000002</v>
      </c>
      <c r="P21">
        <v>-5.0430000000000001</v>
      </c>
      <c r="Q21">
        <v>-2.52</v>
      </c>
      <c r="R21">
        <v>0</v>
      </c>
      <c r="S21">
        <v>2.5190000000000001</v>
      </c>
      <c r="T21">
        <v>5.0430000000000001</v>
      </c>
      <c r="U21">
        <v>7.5679999999999996</v>
      </c>
      <c r="V21">
        <v>10.102</v>
      </c>
    </row>
    <row r="22" spans="1:22">
      <c r="A22" s="451">
        <v>550</v>
      </c>
      <c r="B22" s="452">
        <v>38.299999999999997</v>
      </c>
      <c r="C22" s="452">
        <v>36.877000000000002</v>
      </c>
      <c r="D22" s="452">
        <v>36.165999999999997</v>
      </c>
      <c r="E22" s="452">
        <v>35.454999999999998</v>
      </c>
      <c r="F22" s="452">
        <v>34.743000000000002</v>
      </c>
      <c r="G22" s="452">
        <v>34.031999999999996</v>
      </c>
      <c r="H22" s="452">
        <v>32.61</v>
      </c>
      <c r="I22" s="452">
        <v>31.187999999999999</v>
      </c>
      <c r="M22">
        <v>1100</v>
      </c>
      <c r="N22">
        <v>-10.096</v>
      </c>
      <c r="O22">
        <v>-7.5659999999999998</v>
      </c>
      <c r="P22">
        <v>-5.0430000000000001</v>
      </c>
      <c r="Q22">
        <v>-2.52</v>
      </c>
      <c r="R22">
        <v>0</v>
      </c>
      <c r="S22">
        <v>2.5190000000000001</v>
      </c>
      <c r="T22">
        <v>5.0430000000000001</v>
      </c>
      <c r="U22">
        <v>7.5670000000000002</v>
      </c>
      <c r="V22">
        <v>10.098000000000001</v>
      </c>
    </row>
    <row r="23" spans="1:22">
      <c r="A23" s="451">
        <v>600</v>
      </c>
      <c r="B23" s="452">
        <v>41.484000000000002</v>
      </c>
      <c r="C23" s="452">
        <v>40.061</v>
      </c>
      <c r="D23" s="452">
        <v>39.35</v>
      </c>
      <c r="E23" s="452">
        <v>38.639000000000003</v>
      </c>
      <c r="F23" s="452">
        <v>37.927</v>
      </c>
      <c r="G23" s="452">
        <v>37.216000000000001</v>
      </c>
      <c r="H23" s="452">
        <v>35.793999999999997</v>
      </c>
      <c r="I23" s="452">
        <v>34.371000000000002</v>
      </c>
      <c r="M23">
        <v>1200</v>
      </c>
      <c r="N23">
        <v>-10.097</v>
      </c>
      <c r="O23">
        <v>-7.5659999999999998</v>
      </c>
      <c r="P23">
        <v>-5.0430000000000001</v>
      </c>
      <c r="Q23">
        <v>-2.52</v>
      </c>
      <c r="R23">
        <v>0</v>
      </c>
      <c r="S23">
        <v>2.5190000000000001</v>
      </c>
      <c r="T23">
        <v>5.0419999999999998</v>
      </c>
      <c r="U23">
        <v>7.5670000000000002</v>
      </c>
      <c r="V23">
        <v>10.096</v>
      </c>
    </row>
    <row r="24" spans="1:22">
      <c r="A24" s="451">
        <v>650</v>
      </c>
      <c r="B24" s="452">
        <v>44.667999999999999</v>
      </c>
      <c r="C24" s="452">
        <v>43.246000000000002</v>
      </c>
      <c r="D24" s="452">
        <v>42.533999999999999</v>
      </c>
      <c r="E24" s="452">
        <v>41.823</v>
      </c>
      <c r="F24" s="452">
        <v>41.112000000000002</v>
      </c>
      <c r="G24" s="452">
        <v>40.4</v>
      </c>
      <c r="H24" s="452">
        <v>38.978000000000002</v>
      </c>
      <c r="I24" s="452">
        <v>37.555</v>
      </c>
      <c r="M24">
        <v>1300</v>
      </c>
      <c r="N24">
        <v>-10.097</v>
      </c>
      <c r="O24">
        <v>-7.5659999999999998</v>
      </c>
      <c r="P24">
        <v>-5.0430000000000001</v>
      </c>
      <c r="Q24">
        <v>-2.52</v>
      </c>
      <c r="R24">
        <v>0</v>
      </c>
      <c r="S24">
        <v>2.5190000000000001</v>
      </c>
      <c r="T24">
        <v>5.0419999999999998</v>
      </c>
      <c r="U24">
        <v>7.5670000000000002</v>
      </c>
      <c r="V24">
        <v>10.096</v>
      </c>
    </row>
    <row r="25" spans="1:22">
      <c r="A25" s="451">
        <v>700</v>
      </c>
      <c r="B25" s="452">
        <v>47.853000000000002</v>
      </c>
      <c r="C25" s="452">
        <v>46.43</v>
      </c>
      <c r="D25" s="452">
        <v>45.719000000000001</v>
      </c>
      <c r="E25" s="452">
        <v>45.008000000000003</v>
      </c>
      <c r="F25" s="452">
        <v>44.295999999999999</v>
      </c>
      <c r="G25" s="452">
        <v>43.585000000000001</v>
      </c>
      <c r="H25" s="452">
        <v>42.161999999999999</v>
      </c>
      <c r="I25" s="452">
        <v>40.74</v>
      </c>
      <c r="M25">
        <v>1400</v>
      </c>
      <c r="N25">
        <v>-10.096</v>
      </c>
      <c r="O25">
        <v>-7.5659999999999998</v>
      </c>
      <c r="P25">
        <v>-5.0430000000000001</v>
      </c>
      <c r="Q25">
        <v>-2.52</v>
      </c>
      <c r="R25">
        <v>0</v>
      </c>
      <c r="S25">
        <v>2.5190000000000001</v>
      </c>
      <c r="T25">
        <v>5.0419999999999998</v>
      </c>
      <c r="U25">
        <v>7.5659999999999998</v>
      </c>
      <c r="V25">
        <v>10.097</v>
      </c>
    </row>
    <row r="26" spans="1:22">
      <c r="A26" s="451">
        <v>750</v>
      </c>
      <c r="B26" s="452">
        <v>51.037999999999997</v>
      </c>
      <c r="C26" s="452">
        <v>49.616</v>
      </c>
      <c r="D26" s="452">
        <v>48.904000000000003</v>
      </c>
      <c r="E26" s="452">
        <v>48.192999999999998</v>
      </c>
      <c r="F26" s="452">
        <v>47.481000000000002</v>
      </c>
      <c r="G26" s="452">
        <v>46.77</v>
      </c>
      <c r="H26" s="452">
        <v>45.347000000000001</v>
      </c>
      <c r="I26" s="452">
        <v>43.923999999999999</v>
      </c>
      <c r="M26">
        <v>1500</v>
      </c>
      <c r="N26">
        <v>-10.097</v>
      </c>
      <c r="O26">
        <v>-7.5670000000000002</v>
      </c>
      <c r="P26">
        <v>-5.0430000000000001</v>
      </c>
      <c r="Q26">
        <v>-2.52</v>
      </c>
      <c r="R26">
        <v>0</v>
      </c>
      <c r="S26">
        <v>2.5190000000000001</v>
      </c>
      <c r="T26">
        <v>5.0419999999999998</v>
      </c>
      <c r="U26">
        <v>7.5659999999999998</v>
      </c>
      <c r="V26">
        <v>10.096</v>
      </c>
    </row>
    <row r="27" spans="1:22">
      <c r="A27" s="451">
        <v>800</v>
      </c>
      <c r="B27" s="452">
        <v>54.223999999999997</v>
      </c>
      <c r="C27" s="452">
        <v>52.801000000000002</v>
      </c>
      <c r="D27" s="452">
        <v>-52.09</v>
      </c>
      <c r="E27" s="452">
        <v>51.378</v>
      </c>
      <c r="F27" s="452">
        <v>50.667000000000002</v>
      </c>
      <c r="G27" s="452">
        <v>49.954999999999998</v>
      </c>
      <c r="H27" s="452">
        <v>48.533000000000001</v>
      </c>
      <c r="I27" s="452">
        <v>47.11</v>
      </c>
      <c r="M27">
        <v>1600</v>
      </c>
      <c r="N27">
        <v>-10.097</v>
      </c>
      <c r="O27">
        <v>-7.5670000000000002</v>
      </c>
      <c r="P27">
        <v>-5.0430000000000001</v>
      </c>
      <c r="Q27">
        <v>-2.52</v>
      </c>
      <c r="R27">
        <v>0</v>
      </c>
      <c r="S27">
        <v>2.5190000000000001</v>
      </c>
      <c r="T27">
        <v>5.0419999999999998</v>
      </c>
      <c r="U27">
        <v>7.5659999999999998</v>
      </c>
      <c r="V27">
        <v>10.096</v>
      </c>
    </row>
    <row r="28" spans="1:22">
      <c r="A28" s="451">
        <v>850</v>
      </c>
      <c r="B28" s="452">
        <v>57.408999999999999</v>
      </c>
      <c r="C28" s="452">
        <v>55.985999999999997</v>
      </c>
      <c r="D28" s="452">
        <v>55.274999999999999</v>
      </c>
      <c r="E28" s="452">
        <v>54.564</v>
      </c>
      <c r="F28" s="452">
        <v>53.851999999999997</v>
      </c>
      <c r="G28" s="452">
        <v>53.140999999999998</v>
      </c>
      <c r="H28" s="452">
        <v>51.718000000000004</v>
      </c>
      <c r="I28" s="452">
        <v>50.295000000000002</v>
      </c>
      <c r="M28">
        <v>1700</v>
      </c>
      <c r="N28">
        <v>-10.096</v>
      </c>
      <c r="O28">
        <v>-7.5670000000000002</v>
      </c>
      <c r="P28">
        <v>-5.0430000000000001</v>
      </c>
      <c r="Q28">
        <v>-2.52</v>
      </c>
      <c r="R28">
        <v>0</v>
      </c>
      <c r="S28">
        <v>2.5190000000000001</v>
      </c>
      <c r="T28">
        <v>5.0419999999999998</v>
      </c>
      <c r="U28">
        <v>7.5650000000000004</v>
      </c>
      <c r="V28">
        <v>10.097</v>
      </c>
    </row>
    <row r="29" spans="1:22">
      <c r="A29" s="451">
        <v>900</v>
      </c>
      <c r="B29" s="452">
        <v>60.594999999999999</v>
      </c>
      <c r="C29" s="452">
        <v>59.171999999999997</v>
      </c>
      <c r="D29" s="452">
        <v>58.46</v>
      </c>
      <c r="E29" s="452">
        <v>57.749000000000002</v>
      </c>
      <c r="F29" s="452">
        <v>57.037999999999997</v>
      </c>
      <c r="G29" s="452">
        <v>56.326000000000001</v>
      </c>
      <c r="H29" s="452">
        <v>54.902999999999999</v>
      </c>
      <c r="I29" s="452">
        <v>53.481000000000002</v>
      </c>
      <c r="M29">
        <v>1800</v>
      </c>
      <c r="N29">
        <v>-10.096</v>
      </c>
      <c r="O29">
        <v>-7.5659999999999998</v>
      </c>
      <c r="P29">
        <v>-5.0419999999999998</v>
      </c>
      <c r="Q29">
        <v>-2.52</v>
      </c>
      <c r="R29">
        <v>0</v>
      </c>
      <c r="S29">
        <v>2.5190000000000001</v>
      </c>
      <c r="T29">
        <v>5.0430000000000001</v>
      </c>
      <c r="U29">
        <v>7.5670000000000002</v>
      </c>
      <c r="V29">
        <v>10.097</v>
      </c>
    </row>
    <row r="30" spans="1:22">
      <c r="A30" s="451">
        <v>950</v>
      </c>
      <c r="B30" s="452">
        <v>63.78</v>
      </c>
      <c r="C30" s="452">
        <v>62.356999999999999</v>
      </c>
      <c r="D30" s="452">
        <v>61.646000000000001</v>
      </c>
      <c r="E30" s="452">
        <v>60.933999999999997</v>
      </c>
      <c r="F30" s="452">
        <v>60.222999999999999</v>
      </c>
      <c r="G30" s="452">
        <v>59.512</v>
      </c>
      <c r="H30" s="452">
        <v>58.088999999999999</v>
      </c>
      <c r="I30" s="452">
        <v>56.665999999999997</v>
      </c>
      <c r="M30">
        <v>1900</v>
      </c>
      <c r="N30">
        <v>-10.097</v>
      </c>
      <c r="O30">
        <v>-7.5659999999999998</v>
      </c>
      <c r="P30">
        <v>-5.0419999999999998</v>
      </c>
      <c r="Q30">
        <v>-2.52</v>
      </c>
      <c r="R30">
        <v>0</v>
      </c>
      <c r="S30">
        <v>2.5190000000000001</v>
      </c>
      <c r="T30">
        <v>5.0430000000000001</v>
      </c>
      <c r="U30">
        <v>7.5670000000000002</v>
      </c>
      <c r="V30">
        <v>10.096</v>
      </c>
    </row>
    <row r="31" spans="1:22">
      <c r="A31" s="451">
        <v>1000</v>
      </c>
      <c r="B31" s="452">
        <v>66.965999999999994</v>
      </c>
      <c r="C31" s="452">
        <v>65.543000000000006</v>
      </c>
      <c r="D31" s="452">
        <v>64.831000000000003</v>
      </c>
      <c r="E31" s="452">
        <v>64.12</v>
      </c>
      <c r="F31" s="452">
        <v>63.408999999999999</v>
      </c>
      <c r="G31" s="452">
        <v>62.697000000000003</v>
      </c>
      <c r="H31" s="452">
        <v>61.274000000000001</v>
      </c>
      <c r="I31" s="452">
        <v>59.851999999999997</v>
      </c>
      <c r="M31">
        <v>2000</v>
      </c>
      <c r="N31">
        <v>-10.097</v>
      </c>
      <c r="O31">
        <v>-7.5659999999999998</v>
      </c>
      <c r="P31">
        <v>-5.0419999999999998</v>
      </c>
      <c r="Q31">
        <v>-2.52</v>
      </c>
      <c r="R31">
        <v>0</v>
      </c>
      <c r="S31">
        <v>2.5190000000000001</v>
      </c>
      <c r="T31">
        <v>5.0430000000000001</v>
      </c>
      <c r="U31">
        <v>7.5670000000000002</v>
      </c>
      <c r="V31">
        <v>10.096</v>
      </c>
    </row>
    <row r="32" spans="1:22">
      <c r="A32" s="451">
        <v>1050</v>
      </c>
      <c r="B32" s="452">
        <v>70.150999999999996</v>
      </c>
      <c r="C32" s="452">
        <v>68.727999999999994</v>
      </c>
      <c r="D32" s="452">
        <v>68.016999999999996</v>
      </c>
      <c r="E32" s="452">
        <v>67.305999999999997</v>
      </c>
      <c r="F32" s="452">
        <v>66.593999999999994</v>
      </c>
      <c r="G32" s="452">
        <v>65.882999999999996</v>
      </c>
      <c r="H32" s="452">
        <v>64.459999999999994</v>
      </c>
      <c r="I32" s="452">
        <v>63.036999999999999</v>
      </c>
      <c r="M32">
        <v>2100</v>
      </c>
      <c r="N32">
        <v>-10.096</v>
      </c>
      <c r="O32">
        <v>-7.5659999999999998</v>
      </c>
      <c r="P32">
        <v>-5.0419999999999998</v>
      </c>
      <c r="Q32">
        <v>-2.52</v>
      </c>
      <c r="R32">
        <v>0</v>
      </c>
      <c r="S32">
        <v>2.5190000000000001</v>
      </c>
      <c r="T32">
        <v>5.0430000000000001</v>
      </c>
      <c r="U32">
        <v>7.5659999999999998</v>
      </c>
      <c r="V32">
        <v>10.097</v>
      </c>
    </row>
    <row r="33" spans="1:22">
      <c r="A33" s="451">
        <v>1100</v>
      </c>
      <c r="B33" s="452">
        <v>73.337000000000003</v>
      </c>
      <c r="C33" s="452">
        <v>71.914000000000001</v>
      </c>
      <c r="D33" s="452">
        <v>71.203000000000003</v>
      </c>
      <c r="E33" s="452">
        <v>70.491</v>
      </c>
      <c r="F33" s="452">
        <v>69.78</v>
      </c>
      <c r="G33" s="452">
        <v>69.069000000000003</v>
      </c>
      <c r="H33" s="452">
        <v>67.646000000000001</v>
      </c>
      <c r="I33" s="452">
        <v>66.222999999999999</v>
      </c>
      <c r="M33">
        <v>2200</v>
      </c>
      <c r="N33">
        <v>-10.096</v>
      </c>
      <c r="O33">
        <v>-7.5670000000000002</v>
      </c>
      <c r="P33">
        <v>-5.0419999999999998</v>
      </c>
      <c r="Q33">
        <v>-2.52</v>
      </c>
      <c r="R33">
        <v>0</v>
      </c>
      <c r="S33">
        <v>2.5190000000000001</v>
      </c>
      <c r="T33">
        <v>5.0430000000000001</v>
      </c>
      <c r="U33">
        <v>7.5659999999999998</v>
      </c>
      <c r="V33">
        <v>10.097</v>
      </c>
    </row>
    <row r="34" spans="1:22">
      <c r="A34" s="451">
        <v>1150</v>
      </c>
      <c r="B34" s="452">
        <v>76.522000000000006</v>
      </c>
      <c r="C34" s="452">
        <v>75.099999999999994</v>
      </c>
      <c r="D34" s="452">
        <v>74.388000000000005</v>
      </c>
      <c r="E34" s="452">
        <v>73.677000000000007</v>
      </c>
      <c r="F34" s="452">
        <v>72.965000000000003</v>
      </c>
      <c r="G34" s="452">
        <v>72.254000000000005</v>
      </c>
      <c r="H34" s="452">
        <v>70.831000000000003</v>
      </c>
      <c r="I34" s="452">
        <v>69.408000000000001</v>
      </c>
      <c r="M34">
        <v>2300</v>
      </c>
      <c r="N34">
        <v>-10.097</v>
      </c>
      <c r="O34">
        <v>-7.5670000000000002</v>
      </c>
      <c r="P34">
        <v>-5.0430000000000001</v>
      </c>
      <c r="Q34">
        <v>-2.5209999999999999</v>
      </c>
      <c r="R34">
        <v>0</v>
      </c>
      <c r="S34">
        <v>2.5179999999999998</v>
      </c>
      <c r="T34">
        <v>5.0430000000000001</v>
      </c>
      <c r="U34">
        <v>7.5650000000000004</v>
      </c>
      <c r="V34">
        <v>10.096</v>
      </c>
    </row>
    <row r="35" spans="1:22">
      <c r="A35" s="451">
        <v>1200</v>
      </c>
      <c r="B35" s="452">
        <v>79.707999999999998</v>
      </c>
      <c r="C35" s="452">
        <v>78.284999999999997</v>
      </c>
      <c r="D35" s="452">
        <v>77.573999999999998</v>
      </c>
      <c r="E35" s="452">
        <v>76.861999999999995</v>
      </c>
      <c r="F35" s="452">
        <v>76.150999999999996</v>
      </c>
      <c r="G35" s="452">
        <v>75.44</v>
      </c>
      <c r="H35" s="452">
        <v>74.016999999999996</v>
      </c>
      <c r="I35" s="452">
        <v>72.593999999999994</v>
      </c>
      <c r="M35">
        <v>2400</v>
      </c>
      <c r="N35">
        <v>-10.096</v>
      </c>
      <c r="O35">
        <v>-7.5670000000000002</v>
      </c>
      <c r="P35">
        <v>-5.0419999999999998</v>
      </c>
      <c r="Q35">
        <v>-2.5209999999999999</v>
      </c>
      <c r="R35">
        <v>0</v>
      </c>
      <c r="S35">
        <v>2.5190000000000001</v>
      </c>
      <c r="T35">
        <v>5.0430000000000001</v>
      </c>
      <c r="U35">
        <v>7.5659999999999998</v>
      </c>
      <c r="V35">
        <v>10.097</v>
      </c>
    </row>
    <row r="36" spans="1:22">
      <c r="A36" s="451">
        <v>1250</v>
      </c>
      <c r="B36" s="452">
        <v>82.894000000000005</v>
      </c>
      <c r="C36" s="452">
        <v>81.471000000000004</v>
      </c>
      <c r="D36" s="452">
        <v>80.760000000000005</v>
      </c>
      <c r="E36" s="452">
        <v>80.048000000000002</v>
      </c>
      <c r="F36" s="452">
        <v>79.337000000000003</v>
      </c>
      <c r="G36" s="452">
        <v>78.625</v>
      </c>
      <c r="H36" s="452">
        <v>77.201999999999998</v>
      </c>
      <c r="I36" s="452">
        <v>75.78</v>
      </c>
      <c r="M36">
        <v>2500</v>
      </c>
      <c r="N36">
        <v>-10.096</v>
      </c>
      <c r="O36">
        <v>-7.5659999999999998</v>
      </c>
      <c r="P36">
        <v>-5.0430000000000001</v>
      </c>
      <c r="Q36">
        <v>-2.52</v>
      </c>
      <c r="R36">
        <v>0</v>
      </c>
      <c r="S36">
        <v>2.5190000000000001</v>
      </c>
      <c r="T36">
        <v>5.0430000000000001</v>
      </c>
      <c r="U36">
        <v>7.5670000000000002</v>
      </c>
      <c r="V36">
        <v>10.097</v>
      </c>
    </row>
    <row r="37" spans="1:22">
      <c r="A37" s="451">
        <v>1300</v>
      </c>
      <c r="B37" s="452">
        <v>86.078999999999994</v>
      </c>
      <c r="C37" s="452">
        <v>84.656000000000006</v>
      </c>
      <c r="D37" s="452">
        <v>83.944999999999993</v>
      </c>
      <c r="E37" s="452" t="s">
        <v>474</v>
      </c>
      <c r="F37" s="452">
        <v>82.522000000000006</v>
      </c>
      <c r="G37" s="452">
        <v>81.811000000000007</v>
      </c>
      <c r="H37" s="452">
        <v>80.388000000000005</v>
      </c>
      <c r="I37" s="452">
        <v>78.965000000000003</v>
      </c>
      <c r="M37">
        <v>2600</v>
      </c>
      <c r="N37">
        <v>-10.097</v>
      </c>
      <c r="O37">
        <v>-7.5659999999999998</v>
      </c>
      <c r="P37">
        <v>-5.0430000000000001</v>
      </c>
      <c r="Q37">
        <v>-2.5179999999999998</v>
      </c>
      <c r="R37">
        <v>0</v>
      </c>
      <c r="S37">
        <v>2.5209999999999999</v>
      </c>
      <c r="T37">
        <v>5.0430000000000001</v>
      </c>
      <c r="U37">
        <v>7.5670000000000002</v>
      </c>
      <c r="V37">
        <v>10.096</v>
      </c>
    </row>
    <row r="38" spans="1:22">
      <c r="A38" s="451">
        <v>1350</v>
      </c>
      <c r="B38" s="452">
        <v>89.265000000000001</v>
      </c>
      <c r="C38" s="452">
        <v>87.841999999999999</v>
      </c>
      <c r="D38" s="452">
        <v>87.131</v>
      </c>
      <c r="E38" s="452">
        <v>86.418999999999997</v>
      </c>
      <c r="F38" s="452">
        <v>85.707999999999998</v>
      </c>
      <c r="G38" s="452">
        <v>84.997</v>
      </c>
      <c r="H38" s="452">
        <v>83.572999999999993</v>
      </c>
      <c r="I38" s="452">
        <v>82.150999999999996</v>
      </c>
      <c r="M38">
        <v>2700</v>
      </c>
      <c r="N38">
        <v>-10.097</v>
      </c>
      <c r="O38">
        <v>-7.5659999999999998</v>
      </c>
      <c r="P38">
        <v>-5.0419999999999998</v>
      </c>
      <c r="Q38">
        <v>-2.5179999999999998</v>
      </c>
      <c r="R38">
        <v>0</v>
      </c>
      <c r="S38">
        <v>2.5209999999999999</v>
      </c>
      <c r="T38">
        <v>5.0430000000000001</v>
      </c>
      <c r="U38">
        <v>7.5659999999999998</v>
      </c>
      <c r="V38">
        <v>10.096</v>
      </c>
    </row>
    <row r="39" spans="1:22">
      <c r="A39" s="451">
        <v>1400</v>
      </c>
      <c r="B39" s="452">
        <v>92.45</v>
      </c>
      <c r="C39" s="452">
        <v>91.028000000000006</v>
      </c>
      <c r="D39" s="452">
        <v>90.316000000000003</v>
      </c>
      <c r="E39" s="452">
        <v>89.605000000000004</v>
      </c>
      <c r="F39" s="452">
        <v>88.893000000000001</v>
      </c>
      <c r="G39" s="452">
        <v>88.182000000000002</v>
      </c>
      <c r="H39" s="452">
        <v>86.759</v>
      </c>
      <c r="I39" s="452">
        <v>85.335999999999999</v>
      </c>
      <c r="M39">
        <v>2800</v>
      </c>
      <c r="N39">
        <v>-10.096</v>
      </c>
      <c r="O39">
        <v>-7.5659999999999998</v>
      </c>
      <c r="P39">
        <v>-5.0430000000000001</v>
      </c>
      <c r="Q39">
        <v>-2.5190000000000001</v>
      </c>
      <c r="R39">
        <v>0</v>
      </c>
      <c r="S39">
        <v>2.52</v>
      </c>
      <c r="T39">
        <v>5.0419999999999998</v>
      </c>
      <c r="U39">
        <v>7.5659999999999998</v>
      </c>
      <c r="V39">
        <v>10.097</v>
      </c>
    </row>
    <row r="40" spans="1:22">
      <c r="A40" s="451">
        <v>1450</v>
      </c>
      <c r="B40" s="452">
        <v>95.635999999999996</v>
      </c>
      <c r="C40" s="452">
        <v>94.212999999999994</v>
      </c>
      <c r="D40" s="452">
        <v>93.501999999999995</v>
      </c>
      <c r="E40" s="452">
        <v>92.790999999999997</v>
      </c>
      <c r="F40" s="452">
        <v>92.078999999999994</v>
      </c>
      <c r="G40" s="452">
        <v>91.367999999999995</v>
      </c>
      <c r="H40" s="452">
        <v>89.944999999999993</v>
      </c>
      <c r="I40" s="452">
        <v>88.522000000000006</v>
      </c>
      <c r="M40">
        <v>2900</v>
      </c>
      <c r="N40">
        <v>-10.096</v>
      </c>
      <c r="O40">
        <v>-7.5670000000000002</v>
      </c>
      <c r="P40">
        <v>-5.0430000000000001</v>
      </c>
      <c r="Q40">
        <v>-2.5190000000000001</v>
      </c>
      <c r="R40">
        <v>0</v>
      </c>
      <c r="S40">
        <v>2.52</v>
      </c>
      <c r="T40">
        <v>5.0419999999999998</v>
      </c>
      <c r="U40">
        <v>7.5659999999999998</v>
      </c>
      <c r="V40">
        <v>10.097</v>
      </c>
    </row>
    <row r="41" spans="1:22">
      <c r="A41" s="451">
        <v>1500</v>
      </c>
      <c r="B41" s="452">
        <v>98.822000000000003</v>
      </c>
      <c r="C41" s="452">
        <v>97.399000000000001</v>
      </c>
      <c r="D41" s="452">
        <v>96.686999999999998</v>
      </c>
      <c r="E41" s="452">
        <v>95.975999999999999</v>
      </c>
      <c r="F41" s="452" t="s">
        <v>475</v>
      </c>
      <c r="G41" s="452">
        <v>94.552999999999997</v>
      </c>
      <c r="H41" s="452">
        <v>93.13</v>
      </c>
      <c r="I41" s="452">
        <v>91.706999999999994</v>
      </c>
      <c r="M41">
        <v>3000</v>
      </c>
      <c r="N41">
        <v>-10.097</v>
      </c>
      <c r="O41">
        <v>-7.5670000000000002</v>
      </c>
      <c r="P41">
        <v>-5.0430000000000001</v>
      </c>
      <c r="Q41">
        <v>-2.5190000000000001</v>
      </c>
      <c r="R41">
        <v>0</v>
      </c>
      <c r="S41">
        <v>2.5209999999999999</v>
      </c>
      <c r="T41">
        <v>5.0419999999999998</v>
      </c>
      <c r="U41">
        <v>7.5659999999999998</v>
      </c>
      <c r="V41">
        <v>10.096</v>
      </c>
    </row>
    <row r="42" spans="1:22">
      <c r="A42" s="451">
        <v>1550</v>
      </c>
      <c r="B42" s="452">
        <v>102.00700000000001</v>
      </c>
      <c r="C42" s="452">
        <v>100.58499999999999</v>
      </c>
      <c r="D42" s="452">
        <v>99.873000000000005</v>
      </c>
      <c r="E42" s="452">
        <v>99.162000000000006</v>
      </c>
      <c r="F42" s="452">
        <v>98.45</v>
      </c>
      <c r="G42" s="452">
        <v>97.739000000000004</v>
      </c>
      <c r="H42" s="452">
        <v>96.316000000000003</v>
      </c>
      <c r="I42" s="452">
        <v>94.893000000000001</v>
      </c>
      <c r="M42">
        <v>3100</v>
      </c>
      <c r="N42">
        <v>-10.095000000000001</v>
      </c>
      <c r="O42">
        <v>-7.5679999999999996</v>
      </c>
      <c r="P42">
        <v>-5.0439999999999996</v>
      </c>
      <c r="Q42">
        <v>-2.5190000000000001</v>
      </c>
      <c r="R42">
        <v>0</v>
      </c>
      <c r="S42">
        <v>2.5249999999999999</v>
      </c>
      <c r="T42">
        <v>5.0419999999999998</v>
      </c>
      <c r="U42">
        <v>7.5659999999999998</v>
      </c>
      <c r="V42">
        <v>10.098000000000001</v>
      </c>
    </row>
    <row r="43" spans="1:22">
      <c r="A43" s="451">
        <v>1600</v>
      </c>
      <c r="B43" s="452">
        <v>105.193</v>
      </c>
      <c r="C43" s="452">
        <v>103.77</v>
      </c>
      <c r="D43" s="452">
        <v>103.059</v>
      </c>
      <c r="E43" s="452">
        <v>102.34699999999999</v>
      </c>
      <c r="F43" s="452">
        <v>101.636</v>
      </c>
      <c r="G43" s="452">
        <v>100.92400000000001</v>
      </c>
      <c r="H43" s="452">
        <v>99.501999999999995</v>
      </c>
      <c r="I43" s="452">
        <v>98.078999999999994</v>
      </c>
      <c r="M43">
        <v>3200</v>
      </c>
      <c r="N43">
        <v>-10.096</v>
      </c>
      <c r="O43">
        <v>-7.5659999999999998</v>
      </c>
      <c r="P43">
        <v>-5.0430000000000001</v>
      </c>
      <c r="Q43">
        <v>-2.5179999999999998</v>
      </c>
      <c r="R43">
        <v>0</v>
      </c>
      <c r="S43">
        <v>2.5209999999999999</v>
      </c>
      <c r="T43">
        <v>5.0419999999999998</v>
      </c>
      <c r="U43">
        <v>7.5670000000000002</v>
      </c>
      <c r="V43">
        <v>10.097</v>
      </c>
    </row>
    <row r="44" spans="1:22">
      <c r="A44" s="451">
        <v>1650</v>
      </c>
      <c r="B44" s="452">
        <v>108.378</v>
      </c>
      <c r="C44" s="452">
        <v>106.956</v>
      </c>
      <c r="D44" s="452">
        <v>106.244</v>
      </c>
      <c r="E44" s="452">
        <v>105.533</v>
      </c>
      <c r="F44" s="452">
        <v>104.821</v>
      </c>
      <c r="G44" s="452">
        <v>104.11</v>
      </c>
      <c r="H44" s="452">
        <v>102.687</v>
      </c>
      <c r="I44" s="452">
        <v>101.264</v>
      </c>
      <c r="M44">
        <v>3300</v>
      </c>
      <c r="N44">
        <v>-10.096</v>
      </c>
      <c r="O44">
        <v>-7.5659999999999998</v>
      </c>
      <c r="P44">
        <v>-5.0430000000000001</v>
      </c>
      <c r="Q44">
        <v>-2.5190000000000001</v>
      </c>
      <c r="R44">
        <v>0</v>
      </c>
      <c r="S44">
        <v>2.52</v>
      </c>
      <c r="T44">
        <v>5.0410000000000004</v>
      </c>
      <c r="U44">
        <v>7.5659999999999998</v>
      </c>
      <c r="V44">
        <v>10.097</v>
      </c>
    </row>
    <row r="45" spans="1:22">
      <c r="A45" s="451">
        <v>1700</v>
      </c>
      <c r="B45" s="452">
        <v>111.56399999999999</v>
      </c>
      <c r="C45" s="452">
        <v>110.14100000000001</v>
      </c>
      <c r="D45" s="452">
        <v>109.43</v>
      </c>
      <c r="E45" s="452">
        <v>108.718</v>
      </c>
      <c r="F45" s="452">
        <v>108.00700000000001</v>
      </c>
      <c r="G45" s="452">
        <v>107.295</v>
      </c>
      <c r="H45" s="452">
        <v>105.873</v>
      </c>
      <c r="I45" s="452">
        <v>104.45</v>
      </c>
      <c r="M45">
        <v>3400</v>
      </c>
      <c r="N45">
        <v>-10.098000000000001</v>
      </c>
      <c r="O45">
        <v>-7.5659999999999998</v>
      </c>
      <c r="P45">
        <v>-5.0419999999999998</v>
      </c>
      <c r="Q45">
        <v>-2.5190000000000001</v>
      </c>
      <c r="R45">
        <v>0</v>
      </c>
      <c r="S45">
        <v>2.52</v>
      </c>
      <c r="T45">
        <v>5.0439999999999996</v>
      </c>
      <c r="U45">
        <v>7.5659999999999998</v>
      </c>
      <c r="V45">
        <v>10.095000000000001</v>
      </c>
    </row>
    <row r="46" spans="1:22">
      <c r="A46" s="451">
        <v>1750</v>
      </c>
      <c r="B46" s="452">
        <v>114.75</v>
      </c>
      <c r="C46" s="452">
        <v>113.327</v>
      </c>
      <c r="D46" s="452">
        <v>112.61499999999999</v>
      </c>
      <c r="E46" s="452">
        <v>111.904</v>
      </c>
      <c r="F46" s="452">
        <v>111.193</v>
      </c>
      <c r="G46" s="452">
        <v>110.48099999999999</v>
      </c>
      <c r="H46" s="452">
        <v>109.05800000000001</v>
      </c>
      <c r="I46" s="452">
        <v>107.63500000000001</v>
      </c>
      <c r="M46">
        <v>3500</v>
      </c>
      <c r="N46">
        <v>-10.096</v>
      </c>
      <c r="O46">
        <v>-7.5670000000000002</v>
      </c>
      <c r="P46">
        <v>-5.0419999999999998</v>
      </c>
      <c r="Q46">
        <v>-2.5190000000000001</v>
      </c>
      <c r="R46">
        <v>0</v>
      </c>
      <c r="S46">
        <v>2.52</v>
      </c>
      <c r="T46">
        <v>5.0430000000000001</v>
      </c>
      <c r="U46">
        <v>7.5659999999999998</v>
      </c>
      <c r="V46">
        <v>10.097</v>
      </c>
    </row>
    <row r="47" spans="1:22">
      <c r="A47" s="451">
        <v>1800</v>
      </c>
      <c r="B47" s="452">
        <v>117.935</v>
      </c>
      <c r="C47" s="452">
        <v>116.512</v>
      </c>
      <c r="D47" s="452">
        <v>115.801</v>
      </c>
      <c r="E47" s="452">
        <v>115.09</v>
      </c>
      <c r="F47" s="452">
        <v>114.378</v>
      </c>
      <c r="G47" s="452">
        <v>113.667</v>
      </c>
      <c r="H47" s="452">
        <v>112.244</v>
      </c>
      <c r="I47" s="452">
        <v>110.821</v>
      </c>
      <c r="M47">
        <v>3600</v>
      </c>
      <c r="N47">
        <v>-10.096</v>
      </c>
      <c r="O47">
        <v>-7.5659999999999998</v>
      </c>
      <c r="P47">
        <v>-5.0419999999999998</v>
      </c>
      <c r="Q47">
        <v>-2.5179999999999998</v>
      </c>
      <c r="R47">
        <v>0</v>
      </c>
      <c r="S47">
        <v>2.5209999999999999</v>
      </c>
      <c r="T47">
        <v>5.0439999999999996</v>
      </c>
      <c r="U47">
        <v>7.5659999999999998</v>
      </c>
      <c r="V47">
        <v>10.097</v>
      </c>
    </row>
    <row r="48" spans="1:22">
      <c r="A48" s="451">
        <v>1850</v>
      </c>
      <c r="B48" s="452">
        <v>121.121</v>
      </c>
      <c r="C48" s="452">
        <v>119.69799999999999</v>
      </c>
      <c r="D48" s="452">
        <v>118.98699999999999</v>
      </c>
      <c r="E48" s="452">
        <v>118.27500000000001</v>
      </c>
      <c r="F48" s="452">
        <v>117.56399999999999</v>
      </c>
      <c r="G48" s="452">
        <v>116.852</v>
      </c>
      <c r="H48" s="452">
        <v>115.429</v>
      </c>
      <c r="I48" s="452">
        <v>114.00700000000001</v>
      </c>
      <c r="M48">
        <v>3700</v>
      </c>
      <c r="N48">
        <v>-10.097</v>
      </c>
      <c r="O48">
        <v>-7.5670000000000002</v>
      </c>
      <c r="P48">
        <v>-5.0419999999999998</v>
      </c>
      <c r="Q48">
        <v>-2.5190000000000001</v>
      </c>
      <c r="R48">
        <v>0</v>
      </c>
      <c r="S48">
        <v>2.5209999999999999</v>
      </c>
      <c r="T48">
        <v>5.0430000000000001</v>
      </c>
      <c r="U48">
        <v>7.5650000000000004</v>
      </c>
      <c r="V48">
        <v>10.096</v>
      </c>
    </row>
    <row r="49" spans="1:22">
      <c r="A49" s="451">
        <v>1900</v>
      </c>
      <c r="B49" s="452">
        <v>124.306</v>
      </c>
      <c r="C49" s="452">
        <v>122.884</v>
      </c>
      <c r="D49" s="452">
        <v>122.172</v>
      </c>
      <c r="E49" s="452">
        <v>121.461</v>
      </c>
      <c r="F49" s="452">
        <v>120.749</v>
      </c>
      <c r="G49" s="452">
        <v>120.038</v>
      </c>
      <c r="H49" s="452">
        <v>118.61499999999999</v>
      </c>
      <c r="I49" s="452">
        <v>117.19199999999999</v>
      </c>
      <c r="M49">
        <v>3800</v>
      </c>
      <c r="N49">
        <v>-10.095000000000001</v>
      </c>
      <c r="O49">
        <v>-7.5650000000000004</v>
      </c>
      <c r="P49">
        <v>-5.0419999999999998</v>
      </c>
      <c r="Q49">
        <v>-2.5190000000000001</v>
      </c>
      <c r="R49">
        <v>0</v>
      </c>
      <c r="S49">
        <v>2.52</v>
      </c>
      <c r="T49">
        <v>5.0430000000000001</v>
      </c>
      <c r="U49">
        <v>7.5670000000000002</v>
      </c>
      <c r="V49">
        <v>10.098000000000001</v>
      </c>
    </row>
    <row r="50" spans="1:22">
      <c r="A50" s="451">
        <v>1950</v>
      </c>
      <c r="B50" s="452">
        <v>127.492</v>
      </c>
      <c r="C50" s="452">
        <v>126.069</v>
      </c>
      <c r="D50" s="452">
        <v>125.358</v>
      </c>
      <c r="E50" s="452">
        <v>124.646</v>
      </c>
      <c r="F50" s="452">
        <v>123.935</v>
      </c>
      <c r="G50" s="452">
        <v>123.223</v>
      </c>
      <c r="H50" s="452">
        <v>121.801</v>
      </c>
      <c r="I50" s="452">
        <v>120.378</v>
      </c>
      <c r="M50">
        <v>3900</v>
      </c>
      <c r="N50">
        <v>-10.096</v>
      </c>
      <c r="O50">
        <v>-7.5659999999999998</v>
      </c>
      <c r="P50">
        <v>-5.0419999999999998</v>
      </c>
      <c r="Q50">
        <v>-2.5190000000000001</v>
      </c>
      <c r="R50">
        <v>0</v>
      </c>
      <c r="S50">
        <v>2.52</v>
      </c>
      <c r="T50">
        <v>5.0430000000000001</v>
      </c>
      <c r="U50">
        <v>7.5659999999999998</v>
      </c>
      <c r="V50">
        <v>10.097</v>
      </c>
    </row>
    <row r="51" spans="1:22">
      <c r="A51" s="451">
        <v>2000</v>
      </c>
      <c r="B51" s="452">
        <v>130.678</v>
      </c>
      <c r="C51" s="452">
        <v>129.255</v>
      </c>
      <c r="D51" s="452">
        <v>128.54300000000001</v>
      </c>
      <c r="E51" s="452">
        <v>127.83199999999999</v>
      </c>
      <c r="F51" s="452">
        <v>127.12</v>
      </c>
      <c r="G51" s="452">
        <v>126.40900000000001</v>
      </c>
      <c r="H51" s="452">
        <v>124.986</v>
      </c>
      <c r="I51" s="452">
        <v>123.563</v>
      </c>
      <c r="M51">
        <v>4000</v>
      </c>
      <c r="N51">
        <v>-10.098000000000001</v>
      </c>
      <c r="O51">
        <v>-7.5659999999999998</v>
      </c>
      <c r="P51">
        <v>-5.0419999999999998</v>
      </c>
      <c r="Q51">
        <v>-2.5190000000000001</v>
      </c>
      <c r="R51">
        <v>0</v>
      </c>
      <c r="S51">
        <v>2.52</v>
      </c>
      <c r="T51">
        <v>5.0430000000000001</v>
      </c>
      <c r="U51">
        <v>7.5670000000000002</v>
      </c>
      <c r="V51">
        <v>10.096</v>
      </c>
    </row>
    <row r="52" spans="1:22">
      <c r="A52" s="451">
        <v>2050</v>
      </c>
      <c r="B52" s="452">
        <v>133.863</v>
      </c>
      <c r="C52" s="452">
        <v>132.44</v>
      </c>
      <c r="D52" s="452">
        <v>131.72900000000001</v>
      </c>
      <c r="E52" s="452">
        <v>131.018</v>
      </c>
      <c r="F52" s="452">
        <v>130.30600000000001</v>
      </c>
      <c r="G52" s="452">
        <v>129.595</v>
      </c>
      <c r="H52" s="452">
        <v>128.172</v>
      </c>
      <c r="I52" s="452">
        <v>126.749</v>
      </c>
      <c r="M52">
        <v>4100</v>
      </c>
      <c r="N52">
        <v>-11.12</v>
      </c>
      <c r="O52">
        <v>-7.6070000000000002</v>
      </c>
      <c r="P52">
        <v>-5.0430000000000001</v>
      </c>
      <c r="Q52">
        <v>-2.5190000000000001</v>
      </c>
      <c r="R52">
        <v>0</v>
      </c>
      <c r="S52">
        <v>2.5209999999999999</v>
      </c>
      <c r="T52">
        <v>5.0430000000000001</v>
      </c>
      <c r="U52">
        <v>7.5659999999999998</v>
      </c>
      <c r="V52">
        <v>10.096</v>
      </c>
    </row>
    <row r="53" spans="1:22">
      <c r="A53" s="451">
        <v>2100</v>
      </c>
      <c r="B53" s="452">
        <v>137.04900000000001</v>
      </c>
      <c r="C53" s="452">
        <v>135.626</v>
      </c>
      <c r="D53" s="452">
        <v>134.91499999999999</v>
      </c>
      <c r="E53" s="452">
        <v>134.203</v>
      </c>
      <c r="F53" s="452">
        <v>133.49199999999999</v>
      </c>
      <c r="G53" s="452">
        <v>132.78</v>
      </c>
      <c r="H53" s="452">
        <v>131.358</v>
      </c>
      <c r="I53" s="452">
        <v>129.935</v>
      </c>
      <c r="M53">
        <v>4200</v>
      </c>
      <c r="N53">
        <v>-14.058999999999999</v>
      </c>
      <c r="O53">
        <v>-9.141</v>
      </c>
      <c r="P53">
        <v>-5.2050000000000001</v>
      </c>
      <c r="Q53">
        <v>-2.5190000000000001</v>
      </c>
      <c r="R53">
        <v>0</v>
      </c>
      <c r="S53">
        <v>2.52</v>
      </c>
      <c r="T53">
        <v>5.0430000000000001</v>
      </c>
      <c r="U53">
        <v>7.5659999999999998</v>
      </c>
      <c r="V53">
        <v>10.098000000000001</v>
      </c>
    </row>
    <row r="54" spans="1:22">
      <c r="A54" s="451">
        <v>2150</v>
      </c>
      <c r="B54" s="452">
        <v>140.23400000000001</v>
      </c>
      <c r="C54" s="452">
        <v>138.81200000000001</v>
      </c>
      <c r="D54" s="452">
        <v>138.1</v>
      </c>
      <c r="E54" s="452">
        <v>137.38900000000001</v>
      </c>
      <c r="F54" s="452">
        <v>136.67699999999999</v>
      </c>
      <c r="G54" s="452">
        <v>135.96600000000001</v>
      </c>
      <c r="H54" s="452">
        <v>134.54300000000001</v>
      </c>
      <c r="I54" s="452">
        <v>133.12</v>
      </c>
      <c r="M54">
        <v>4300</v>
      </c>
      <c r="N54">
        <v>-22.422999999999998</v>
      </c>
      <c r="O54">
        <v>-13.587</v>
      </c>
      <c r="P54">
        <v>-7.4429999999999996</v>
      </c>
      <c r="Q54">
        <v>-2.9430000000000001</v>
      </c>
      <c r="R54">
        <v>0</v>
      </c>
      <c r="S54">
        <v>2.544</v>
      </c>
      <c r="T54">
        <v>5.0910000000000002</v>
      </c>
      <c r="U54">
        <v>7.6379999999999999</v>
      </c>
      <c r="V54">
        <v>10.193</v>
      </c>
    </row>
    <row r="55" spans="1:22">
      <c r="A55" s="451">
        <v>2200</v>
      </c>
      <c r="B55" s="452">
        <v>143.41999999999999</v>
      </c>
      <c r="C55" s="452">
        <v>141.99700000000001</v>
      </c>
      <c r="D55" s="452">
        <v>141.286</v>
      </c>
      <c r="E55" s="452">
        <v>140.57400000000001</v>
      </c>
      <c r="F55" s="452">
        <v>139.863</v>
      </c>
      <c r="G55" s="452">
        <v>139.15199999999999</v>
      </c>
      <c r="H55" s="452">
        <v>137.72900000000001</v>
      </c>
      <c r="I55" s="452">
        <v>136.30600000000001</v>
      </c>
      <c r="M55">
        <v>4400</v>
      </c>
      <c r="N55">
        <v>-39.805999999999997</v>
      </c>
      <c r="O55">
        <v>-26.814</v>
      </c>
      <c r="P55">
        <v>-15.183</v>
      </c>
      <c r="Q55">
        <v>-5.8129999999999997</v>
      </c>
      <c r="R55">
        <v>0</v>
      </c>
      <c r="S55">
        <v>3.8210000000000002</v>
      </c>
      <c r="T55">
        <v>6.5990000000000002</v>
      </c>
      <c r="U55">
        <v>9.3780000000000001</v>
      </c>
      <c r="V55">
        <v>12.166</v>
      </c>
    </row>
    <row r="56" spans="1:22">
      <c r="A56" s="451">
        <v>2250</v>
      </c>
      <c r="B56" s="452">
        <v>146.60599999999999</v>
      </c>
      <c r="C56" s="452">
        <v>145.18299999999999</v>
      </c>
      <c r="D56" s="452">
        <v>144.471</v>
      </c>
      <c r="E56" s="452">
        <v>143.76</v>
      </c>
      <c r="F56" s="452">
        <v>143.048</v>
      </c>
      <c r="G56" s="452">
        <v>142.33699999999999</v>
      </c>
      <c r="H56" s="452">
        <v>140.91399999999999</v>
      </c>
      <c r="I56" s="452">
        <v>139.49100000000001</v>
      </c>
      <c r="M56">
        <v>4500</v>
      </c>
      <c r="N56">
        <v>-63.725000000000001</v>
      </c>
      <c r="O56">
        <v>-46.676000000000002</v>
      </c>
      <c r="P56">
        <v>-30.161000000000001</v>
      </c>
      <c r="Q56">
        <v>-14.398</v>
      </c>
      <c r="R56">
        <v>0</v>
      </c>
      <c r="S56">
        <v>14.72</v>
      </c>
      <c r="T56">
        <v>21.699000000000002</v>
      </c>
      <c r="U56">
        <v>25.303000000000001</v>
      </c>
      <c r="V56">
        <v>28.914999999999999</v>
      </c>
    </row>
    <row r="57" spans="1:22">
      <c r="A57" s="451">
        <v>2300</v>
      </c>
      <c r="B57" s="452">
        <v>149.791</v>
      </c>
      <c r="C57" s="452">
        <v>148.36799999999999</v>
      </c>
      <c r="D57" s="452">
        <v>147.65700000000001</v>
      </c>
      <c r="E57" s="452">
        <v>146.946</v>
      </c>
      <c r="F57" s="452">
        <v>146.23400000000001</v>
      </c>
      <c r="G57" s="452">
        <v>145.523</v>
      </c>
      <c r="H57" s="452">
        <v>144.1</v>
      </c>
      <c r="I57" s="452">
        <v>142.67699999999999</v>
      </c>
      <c r="M57">
        <v>4600</v>
      </c>
      <c r="N57">
        <v>-95.067999999999998</v>
      </c>
      <c r="O57">
        <v>-71.209999999999994</v>
      </c>
      <c r="P57">
        <v>-47.414999999999999</v>
      </c>
      <c r="Q57">
        <v>-23.673999999999999</v>
      </c>
      <c r="R57">
        <v>0</v>
      </c>
      <c r="S57">
        <v>36.228999999999999</v>
      </c>
      <c r="T57">
        <v>71.918999999999997</v>
      </c>
      <c r="U57">
        <v>106.496</v>
      </c>
      <c r="V57">
        <v>94.28</v>
      </c>
    </row>
    <row r="58" spans="1:22">
      <c r="A58" s="451">
        <v>2350</v>
      </c>
      <c r="B58" s="452">
        <v>152.977</v>
      </c>
      <c r="C58" s="452">
        <v>151.554</v>
      </c>
      <c r="D58" s="452">
        <v>150.84299999999999</v>
      </c>
      <c r="E58" s="452">
        <v>150.131</v>
      </c>
      <c r="F58" s="452">
        <v>149.41999999999999</v>
      </c>
      <c r="G58" s="452">
        <v>148.708</v>
      </c>
      <c r="H58" s="452">
        <v>147.285</v>
      </c>
      <c r="I58" s="452">
        <v>145.863</v>
      </c>
      <c r="M58">
        <v>4700</v>
      </c>
      <c r="N58">
        <v>-124</v>
      </c>
      <c r="O58">
        <v>-100.947</v>
      </c>
      <c r="P58">
        <v>-66.555999999999997</v>
      </c>
      <c r="Q58">
        <v>-32.506</v>
      </c>
      <c r="R58">
        <v>0</v>
      </c>
      <c r="S58">
        <v>77.992000000000004</v>
      </c>
      <c r="T58">
        <v>100</v>
      </c>
      <c r="U58">
        <v>100</v>
      </c>
      <c r="V58">
        <v>100</v>
      </c>
    </row>
    <row r="59" spans="1:22">
      <c r="A59" s="451">
        <v>2400</v>
      </c>
      <c r="B59" s="452">
        <v>156.16200000000001</v>
      </c>
      <c r="C59" s="452">
        <v>154.74</v>
      </c>
      <c r="D59" s="452">
        <v>154.02799999999999</v>
      </c>
      <c r="E59" s="452">
        <v>153.31700000000001</v>
      </c>
      <c r="F59" s="452">
        <v>152.60499999999999</v>
      </c>
      <c r="G59" s="452">
        <v>151.89400000000001</v>
      </c>
      <c r="H59" s="452">
        <v>150.471</v>
      </c>
      <c r="I59" s="452">
        <v>149.048</v>
      </c>
      <c r="M59">
        <v>4800</v>
      </c>
      <c r="N59">
        <v>-152.89400000000001</v>
      </c>
      <c r="O59">
        <v>-122.63800000000001</v>
      </c>
      <c r="P59">
        <v>-86.171000000000006</v>
      </c>
      <c r="Q59">
        <v>-22.545999999999999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>
      <c r="A60" s="451">
        <v>2450</v>
      </c>
      <c r="B60" s="452">
        <v>159.34800000000001</v>
      </c>
      <c r="C60" s="452">
        <v>157.92500000000001</v>
      </c>
      <c r="D60" s="452">
        <v>157.214</v>
      </c>
      <c r="E60" s="452">
        <v>156.50200000000001</v>
      </c>
      <c r="F60" s="452">
        <v>155.791</v>
      </c>
      <c r="G60" s="452">
        <v>155.08000000000001</v>
      </c>
      <c r="H60" s="452">
        <v>153.65600000000001</v>
      </c>
      <c r="I60" s="452">
        <v>152.23400000000001</v>
      </c>
      <c r="M60">
        <v>4900</v>
      </c>
      <c r="N60">
        <v>-184.351</v>
      </c>
      <c r="O60">
        <v>-127.77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>
      <c r="A61" s="451">
        <v>2500</v>
      </c>
      <c r="B61" s="452">
        <v>162.53399999999999</v>
      </c>
      <c r="C61" s="452">
        <v>161.11099999999999</v>
      </c>
      <c r="D61" s="452">
        <v>160.399</v>
      </c>
      <c r="E61" s="452">
        <v>159.68799999999999</v>
      </c>
      <c r="F61" s="452">
        <v>158.976</v>
      </c>
      <c r="G61" s="452">
        <v>158.26499999999999</v>
      </c>
      <c r="H61" s="452">
        <v>156.84200000000001</v>
      </c>
      <c r="I61" s="452">
        <v>155.41999999999999</v>
      </c>
      <c r="M61">
        <v>4965</v>
      </c>
      <c r="N61">
        <v>-184.22300000000001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>
      <c r="A62" s="451">
        <v>2550</v>
      </c>
      <c r="B62" s="452">
        <v>165.71899999999999</v>
      </c>
      <c r="C62" s="452">
        <v>164.29599999999999</v>
      </c>
      <c r="D62" s="452">
        <v>163.58500000000001</v>
      </c>
      <c r="E62" s="452">
        <v>162.874</v>
      </c>
      <c r="F62" s="452">
        <v>162.16200000000001</v>
      </c>
      <c r="G62" s="452">
        <v>161.45099999999999</v>
      </c>
      <c r="H62" s="452">
        <v>160.02799999999999</v>
      </c>
      <c r="I62" s="452">
        <v>158.60499999999999</v>
      </c>
    </row>
    <row r="63" spans="1:22">
      <c r="A63" s="451">
        <v>2600</v>
      </c>
      <c r="B63" s="452">
        <v>168.905</v>
      </c>
      <c r="C63" s="452">
        <v>167.482</v>
      </c>
      <c r="D63" s="452">
        <v>166.77099999999999</v>
      </c>
      <c r="E63" s="452">
        <v>166.059</v>
      </c>
      <c r="F63" s="452">
        <v>165.34800000000001</v>
      </c>
      <c r="G63" s="452">
        <v>164.636</v>
      </c>
      <c r="H63" s="452">
        <v>163.21299999999999</v>
      </c>
      <c r="I63" s="452">
        <v>161.791</v>
      </c>
    </row>
    <row r="64" spans="1:22">
      <c r="A64" s="451">
        <v>2650</v>
      </c>
      <c r="B64" s="452">
        <v>172.09</v>
      </c>
      <c r="C64" s="452">
        <v>170.66800000000001</v>
      </c>
      <c r="D64" s="452">
        <v>169.95599999999999</v>
      </c>
      <c r="E64" s="452">
        <v>169.245</v>
      </c>
      <c r="F64" s="452">
        <v>168.53299999999999</v>
      </c>
      <c r="G64" s="452">
        <v>167.822</v>
      </c>
      <c r="H64" s="452">
        <v>166.399</v>
      </c>
      <c r="I64" s="452">
        <v>164.976</v>
      </c>
    </row>
    <row r="65" spans="1:9">
      <c r="A65" s="451">
        <v>2700</v>
      </c>
      <c r="B65" s="452">
        <v>175.27600000000001</v>
      </c>
      <c r="C65" s="452">
        <v>173.85300000000001</v>
      </c>
      <c r="D65" s="452">
        <v>173.142</v>
      </c>
      <c r="E65" s="452">
        <v>172.43</v>
      </c>
      <c r="F65" s="452">
        <v>171.71899999999999</v>
      </c>
      <c r="G65" s="452">
        <v>171.00800000000001</v>
      </c>
      <c r="H65" s="452">
        <v>169.58500000000001</v>
      </c>
      <c r="I65" s="452">
        <v>168.16200000000001</v>
      </c>
    </row>
    <row r="66" spans="1:9">
      <c r="A66" s="451">
        <v>2750</v>
      </c>
      <c r="B66" s="452">
        <v>178.46100000000001</v>
      </c>
      <c r="C66" s="452">
        <v>177.03899999999999</v>
      </c>
      <c r="D66" s="452">
        <v>176.327</v>
      </c>
      <c r="E66" s="452">
        <v>175.61600000000001</v>
      </c>
      <c r="F66" s="452">
        <v>174.904</v>
      </c>
      <c r="G66" s="452">
        <v>174.19300000000001</v>
      </c>
      <c r="H66" s="452">
        <v>172.77</v>
      </c>
      <c r="I66" s="452">
        <v>171.34700000000001</v>
      </c>
    </row>
    <row r="67" spans="1:9">
      <c r="A67" s="451">
        <v>2800</v>
      </c>
      <c r="B67" s="452">
        <v>181.64699999999999</v>
      </c>
      <c r="C67" s="452">
        <v>180.22399999999999</v>
      </c>
      <c r="D67" s="452">
        <v>179.51300000000001</v>
      </c>
      <c r="E67" s="452">
        <v>178.80199999999999</v>
      </c>
      <c r="F67" s="452">
        <v>178.09</v>
      </c>
      <c r="G67" s="452">
        <v>177.37899999999999</v>
      </c>
      <c r="H67" s="452">
        <v>175.95599999999999</v>
      </c>
      <c r="I67" s="452">
        <v>174.53299999999999</v>
      </c>
    </row>
    <row r="68" spans="1:9">
      <c r="A68" s="451">
        <v>2850</v>
      </c>
      <c r="B68" s="452">
        <v>184.833</v>
      </c>
      <c r="C68" s="452">
        <v>183.41</v>
      </c>
      <c r="D68" s="452">
        <v>182.69900000000001</v>
      </c>
      <c r="E68" s="452">
        <v>181.98699999999999</v>
      </c>
      <c r="F68" s="452">
        <v>181.27600000000001</v>
      </c>
      <c r="G68" s="452">
        <v>180.56399999999999</v>
      </c>
      <c r="H68" s="452">
        <v>179.14099999999999</v>
      </c>
      <c r="I68" s="452">
        <v>177.71899999999999</v>
      </c>
    </row>
    <row r="69" spans="1:9">
      <c r="A69" s="451">
        <v>2900</v>
      </c>
      <c r="B69" s="452">
        <v>188.018</v>
      </c>
      <c r="C69" s="452">
        <v>186.596</v>
      </c>
      <c r="D69" s="452">
        <v>185.88399999999999</v>
      </c>
      <c r="E69" s="452">
        <v>185.173</v>
      </c>
      <c r="F69" s="452">
        <v>184.46100000000001</v>
      </c>
      <c r="G69" s="452">
        <v>183.75</v>
      </c>
      <c r="H69" s="452">
        <v>182.327</v>
      </c>
      <c r="I69" s="452">
        <v>180.904</v>
      </c>
    </row>
    <row r="70" spans="1:9">
      <c r="A70" s="451">
        <v>2950</v>
      </c>
      <c r="B70" s="452">
        <v>191.20400000000001</v>
      </c>
      <c r="C70" s="452">
        <v>189.78100000000001</v>
      </c>
      <c r="D70" s="452">
        <v>189.07</v>
      </c>
      <c r="E70" s="452">
        <v>188.358</v>
      </c>
      <c r="F70" s="452">
        <v>187.64699999999999</v>
      </c>
      <c r="G70" s="452">
        <v>186.93600000000001</v>
      </c>
      <c r="H70" s="452">
        <v>185.512</v>
      </c>
      <c r="I70" s="452">
        <v>184.09</v>
      </c>
    </row>
    <row r="71" spans="1:9">
      <c r="A71" s="451">
        <v>3000</v>
      </c>
      <c r="B71" s="452">
        <v>194.39</v>
      </c>
      <c r="C71" s="452">
        <v>192.96700000000001</v>
      </c>
      <c r="D71" s="452">
        <v>192.255</v>
      </c>
      <c r="E71" s="452">
        <v>191.54400000000001</v>
      </c>
      <c r="F71" s="452">
        <v>190.83199999999999</v>
      </c>
      <c r="G71" s="452" t="s">
        <v>476</v>
      </c>
      <c r="H71" s="452">
        <v>188.69800000000001</v>
      </c>
      <c r="I71" s="452">
        <v>187.27600000000001</v>
      </c>
    </row>
    <row r="72" spans="1:9">
      <c r="A72" s="451">
        <v>3050</v>
      </c>
      <c r="B72" s="452">
        <v>197.57499999999999</v>
      </c>
      <c r="C72" s="452">
        <v>196.15199999999999</v>
      </c>
      <c r="D72" s="452">
        <v>195.441</v>
      </c>
      <c r="E72" s="452">
        <v>194.73</v>
      </c>
      <c r="F72" s="452">
        <v>194.018</v>
      </c>
      <c r="G72" s="452">
        <v>193.30699999999999</v>
      </c>
      <c r="H72" s="452">
        <v>191.88399999999999</v>
      </c>
      <c r="I72" s="452">
        <v>190.46100000000001</v>
      </c>
    </row>
    <row r="73" spans="1:9">
      <c r="A73" s="451">
        <v>3100</v>
      </c>
      <c r="B73" s="452">
        <v>200.761</v>
      </c>
      <c r="C73" s="452">
        <v>199.33799999999999</v>
      </c>
      <c r="D73" s="452">
        <v>198.626</v>
      </c>
      <c r="E73" s="452">
        <v>197.91499999999999</v>
      </c>
      <c r="F73" s="452">
        <v>197.20400000000001</v>
      </c>
      <c r="G73" s="452">
        <v>196.49199999999999</v>
      </c>
      <c r="H73" s="452">
        <v>195.06899999999999</v>
      </c>
      <c r="I73" s="452">
        <v>193.64699999999999</v>
      </c>
    </row>
    <row r="74" spans="1:9">
      <c r="A74" s="451">
        <v>3150</v>
      </c>
      <c r="B74" s="452">
        <v>203.946</v>
      </c>
      <c r="C74" s="452">
        <v>202.524</v>
      </c>
      <c r="D74" s="452">
        <v>201.81200000000001</v>
      </c>
      <c r="E74" s="452">
        <v>201.101</v>
      </c>
      <c r="F74" s="452">
        <v>200.38900000000001</v>
      </c>
      <c r="G74" s="452">
        <v>199.678</v>
      </c>
      <c r="H74" s="452">
        <v>198.255</v>
      </c>
      <c r="I74" s="452">
        <v>196.83199999999999</v>
      </c>
    </row>
    <row r="75" spans="1:9">
      <c r="A75" s="451">
        <v>3200</v>
      </c>
      <c r="B75" s="452">
        <v>207.13200000000001</v>
      </c>
      <c r="C75" s="452">
        <v>205.709</v>
      </c>
      <c r="D75" s="452">
        <v>204.99799999999999</v>
      </c>
      <c r="E75" s="452">
        <v>204.286</v>
      </c>
      <c r="F75" s="452">
        <v>203.57499999999999</v>
      </c>
      <c r="G75" s="452">
        <v>202.863</v>
      </c>
      <c r="H75" s="452">
        <v>201.441</v>
      </c>
      <c r="I75" s="452">
        <v>200.018</v>
      </c>
    </row>
    <row r="76" spans="1:9">
      <c r="A76" s="451">
        <v>3250</v>
      </c>
      <c r="B76" s="452">
        <v>210.31800000000001</v>
      </c>
      <c r="C76" s="452">
        <v>208.89500000000001</v>
      </c>
      <c r="D76" s="452">
        <v>208.18299999999999</v>
      </c>
      <c r="E76" s="452">
        <v>207.47200000000001</v>
      </c>
      <c r="F76" s="452">
        <v>206.76</v>
      </c>
      <c r="G76" s="452">
        <v>206.04900000000001</v>
      </c>
      <c r="H76" s="452">
        <v>204.626</v>
      </c>
      <c r="I76" s="452">
        <v>203.203</v>
      </c>
    </row>
    <row r="77" spans="1:9">
      <c r="A77" s="451">
        <v>3300</v>
      </c>
      <c r="B77" s="452">
        <v>213.50299999999999</v>
      </c>
      <c r="C77" s="452">
        <v>212.08</v>
      </c>
      <c r="D77" s="452">
        <v>211.369</v>
      </c>
      <c r="E77" s="452">
        <v>210.65700000000001</v>
      </c>
      <c r="F77" s="452">
        <v>209.946</v>
      </c>
      <c r="G77" s="452">
        <v>209.23500000000001</v>
      </c>
      <c r="H77" s="452">
        <v>207.81200000000001</v>
      </c>
      <c r="I77" s="452">
        <v>206.38900000000001</v>
      </c>
    </row>
    <row r="78" spans="1:9">
      <c r="A78" s="451">
        <v>3350</v>
      </c>
      <c r="B78" s="452">
        <v>216.68899999999999</v>
      </c>
      <c r="C78" s="452">
        <v>215.26599999999999</v>
      </c>
      <c r="D78" s="452">
        <v>214.55500000000001</v>
      </c>
      <c r="E78" s="452">
        <v>213.84299999999999</v>
      </c>
      <c r="F78" s="452">
        <v>213.13200000000001</v>
      </c>
      <c r="G78" s="452">
        <v>212.42</v>
      </c>
      <c r="H78" s="452">
        <v>210.99700000000001</v>
      </c>
      <c r="I78" s="452">
        <v>209.57499999999999</v>
      </c>
    </row>
    <row r="79" spans="1:9">
      <c r="A79" s="451">
        <v>3400</v>
      </c>
      <c r="B79" s="452">
        <v>219.874</v>
      </c>
      <c r="C79" s="452">
        <v>218.452</v>
      </c>
      <c r="D79" s="452">
        <v>217.74</v>
      </c>
      <c r="E79" s="452">
        <v>217.029</v>
      </c>
      <c r="F79" s="452">
        <v>216.31700000000001</v>
      </c>
      <c r="G79" s="452">
        <v>215.60599999999999</v>
      </c>
      <c r="H79" s="452">
        <v>214.18299999999999</v>
      </c>
      <c r="I79" s="452">
        <v>212.76</v>
      </c>
    </row>
    <row r="80" spans="1:9">
      <c r="A80" s="451">
        <v>3450</v>
      </c>
      <c r="B80" s="452">
        <v>223.06</v>
      </c>
      <c r="C80" s="452">
        <v>221.637</v>
      </c>
      <c r="D80" s="452">
        <v>220.92599999999999</v>
      </c>
      <c r="E80" s="452">
        <v>220.214</v>
      </c>
      <c r="F80" s="452">
        <v>219.50299999999999</v>
      </c>
      <c r="G80" s="452">
        <v>218.792</v>
      </c>
      <c r="H80" s="452">
        <v>217.369</v>
      </c>
      <c r="I80" s="452">
        <v>215.946</v>
      </c>
    </row>
    <row r="81" spans="1:9">
      <c r="A81" s="451">
        <v>3500</v>
      </c>
      <c r="B81" s="452">
        <v>226.245</v>
      </c>
      <c r="C81" s="452">
        <v>224.82300000000001</v>
      </c>
      <c r="D81" s="452">
        <v>224.11099999999999</v>
      </c>
      <c r="E81" s="452">
        <v>223.4</v>
      </c>
      <c r="F81" s="452">
        <v>222.68899999999999</v>
      </c>
      <c r="G81" s="452">
        <v>221.977</v>
      </c>
      <c r="H81" s="452">
        <v>220.554</v>
      </c>
      <c r="I81" s="452">
        <v>219.131</v>
      </c>
    </row>
    <row r="82" spans="1:9">
      <c r="A82" s="451">
        <v>3550</v>
      </c>
      <c r="B82" s="452">
        <v>229.43100000000001</v>
      </c>
      <c r="C82" s="452">
        <v>228.00800000000001</v>
      </c>
      <c r="D82" s="452">
        <v>227.297</v>
      </c>
      <c r="E82" s="452">
        <v>226.58500000000001</v>
      </c>
      <c r="F82" s="452">
        <v>225.874</v>
      </c>
      <c r="G82" s="452">
        <v>225.16300000000001</v>
      </c>
      <c r="H82" s="452">
        <v>223.74</v>
      </c>
      <c r="I82" s="452">
        <v>222.31700000000001</v>
      </c>
    </row>
    <row r="83" spans="1:9">
      <c r="A83" s="451">
        <v>3600</v>
      </c>
      <c r="B83" s="452">
        <v>232.61699999999999</v>
      </c>
      <c r="C83" s="452">
        <v>231.19399999999999</v>
      </c>
      <c r="D83" s="452">
        <v>230.483</v>
      </c>
      <c r="E83" s="452">
        <v>229.77099999999999</v>
      </c>
      <c r="F83" s="452">
        <v>229.06</v>
      </c>
      <c r="G83" s="452">
        <v>228.34800000000001</v>
      </c>
      <c r="H83" s="452">
        <v>226.92500000000001</v>
      </c>
      <c r="I83" s="452">
        <v>225.50299999999999</v>
      </c>
    </row>
    <row r="84" spans="1:9">
      <c r="A84" s="451">
        <v>3650</v>
      </c>
      <c r="B84" s="452">
        <v>235.80199999999999</v>
      </c>
      <c r="C84" s="452">
        <v>234.37899999999999</v>
      </c>
      <c r="D84" s="452">
        <v>233.66800000000001</v>
      </c>
      <c r="E84" s="452">
        <v>232.95699999999999</v>
      </c>
      <c r="F84" s="452">
        <v>232.245</v>
      </c>
      <c r="G84" s="452">
        <v>231.53399999999999</v>
      </c>
      <c r="H84" s="452">
        <v>230.11099999999999</v>
      </c>
      <c r="I84" s="452">
        <v>228.68799999999999</v>
      </c>
    </row>
    <row r="85" spans="1:9">
      <c r="A85" s="451">
        <v>3700</v>
      </c>
      <c r="B85" s="452">
        <v>238.988</v>
      </c>
      <c r="C85" s="452">
        <v>237.565</v>
      </c>
      <c r="D85" s="452">
        <v>236.85400000000001</v>
      </c>
      <c r="E85" s="452">
        <v>236.142</v>
      </c>
      <c r="F85" s="452" t="s">
        <v>477</v>
      </c>
      <c r="G85" s="452">
        <v>234.71899999999999</v>
      </c>
      <c r="H85" s="452">
        <v>233.29599999999999</v>
      </c>
      <c r="I85" s="452">
        <v>231.874</v>
      </c>
    </row>
    <row r="86" spans="1:9">
      <c r="A86" s="451">
        <v>3750</v>
      </c>
      <c r="B86" s="452">
        <v>242.17400000000001</v>
      </c>
      <c r="C86" s="452">
        <v>240.751</v>
      </c>
      <c r="D86" s="452">
        <v>240.03899999999999</v>
      </c>
      <c r="E86" s="452">
        <v>239.328</v>
      </c>
      <c r="F86" s="452">
        <v>238.61699999999999</v>
      </c>
      <c r="G86" s="452">
        <v>237.905</v>
      </c>
      <c r="H86" s="452">
        <v>236.482</v>
      </c>
      <c r="I86" s="452">
        <v>235.059</v>
      </c>
    </row>
    <row r="87" spans="1:9">
      <c r="A87" s="451">
        <v>3800</v>
      </c>
      <c r="B87" s="452">
        <v>245.35900000000001</v>
      </c>
      <c r="C87" s="452">
        <v>243.93600000000001</v>
      </c>
      <c r="D87" s="452">
        <v>243.22499999999999</v>
      </c>
      <c r="E87" s="452">
        <v>242.51400000000001</v>
      </c>
      <c r="F87" s="452">
        <v>241.80199999999999</v>
      </c>
      <c r="G87" s="452">
        <v>241.09100000000001</v>
      </c>
      <c r="H87" s="452">
        <v>239.66800000000001</v>
      </c>
      <c r="I87" s="452">
        <v>238.245</v>
      </c>
    </row>
    <row r="88" spans="1:9">
      <c r="A88" s="451">
        <v>3850</v>
      </c>
      <c r="B88" s="452">
        <v>248.54499999999999</v>
      </c>
      <c r="C88" s="452">
        <v>247.12200000000001</v>
      </c>
      <c r="D88" s="452">
        <v>246.411</v>
      </c>
      <c r="E88" s="452">
        <v>245.69900000000001</v>
      </c>
      <c r="F88" s="452">
        <v>244.988</v>
      </c>
      <c r="G88" s="452">
        <v>244.27600000000001</v>
      </c>
      <c r="H88" s="452">
        <v>242.85300000000001</v>
      </c>
      <c r="I88" s="452">
        <v>241.43100000000001</v>
      </c>
    </row>
    <row r="89" spans="1:9">
      <c r="A89" s="451">
        <v>3900</v>
      </c>
      <c r="B89" s="452">
        <v>251.73</v>
      </c>
      <c r="C89" s="452">
        <v>250.30699999999999</v>
      </c>
      <c r="D89" s="452">
        <v>249.596</v>
      </c>
      <c r="E89" s="452">
        <v>248.88499999999999</v>
      </c>
      <c r="F89" s="452">
        <v>248.173</v>
      </c>
      <c r="G89" s="452">
        <v>247.46199999999999</v>
      </c>
      <c r="H89" s="452">
        <v>246.03899999999999</v>
      </c>
      <c r="I89" s="452">
        <v>244.61600000000001</v>
      </c>
    </row>
    <row r="90" spans="1:9">
      <c r="A90" s="451">
        <v>3950</v>
      </c>
      <c r="B90" s="452">
        <v>254.916</v>
      </c>
      <c r="C90" s="452">
        <v>253.49299999999999</v>
      </c>
      <c r="D90" s="452">
        <v>252.78200000000001</v>
      </c>
      <c r="E90" s="452">
        <v>252.07</v>
      </c>
      <c r="F90" s="452">
        <v>251.35900000000001</v>
      </c>
      <c r="G90" s="452">
        <v>250.64699999999999</v>
      </c>
      <c r="H90" s="452">
        <v>249.22499999999999</v>
      </c>
      <c r="I90" s="452">
        <v>247.80199999999999</v>
      </c>
    </row>
    <row r="91" spans="1:9">
      <c r="A91" s="451">
        <v>4000</v>
      </c>
      <c r="B91" s="452">
        <v>258.10199999999998</v>
      </c>
      <c r="C91" s="452">
        <v>256.67899999999997</v>
      </c>
      <c r="D91" s="452">
        <v>255.96700000000001</v>
      </c>
      <c r="E91" s="452">
        <v>255.256</v>
      </c>
      <c r="F91" s="452">
        <v>254.54400000000001</v>
      </c>
      <c r="G91" s="452">
        <v>253.833</v>
      </c>
      <c r="H91" s="452">
        <v>252.41</v>
      </c>
      <c r="I91" s="452">
        <v>250.98699999999999</v>
      </c>
    </row>
    <row r="92" spans="1:9">
      <c r="A92" s="451">
        <v>4050</v>
      </c>
      <c r="B92" s="452">
        <v>261.28699999999998</v>
      </c>
      <c r="C92" s="452">
        <v>259.86399999999998</v>
      </c>
      <c r="D92" s="452">
        <v>259.15300000000002</v>
      </c>
      <c r="E92" s="452">
        <v>258.44200000000001</v>
      </c>
      <c r="F92" s="452">
        <v>257.73</v>
      </c>
      <c r="G92" s="452">
        <v>257.01900000000001</v>
      </c>
      <c r="H92" s="452">
        <v>255.596</v>
      </c>
      <c r="I92" s="452">
        <v>254.173</v>
      </c>
    </row>
    <row r="93" spans="1:9">
      <c r="A93" s="451">
        <v>4100</v>
      </c>
      <c r="B93" s="452">
        <v>264.47300000000001</v>
      </c>
      <c r="C93" s="452">
        <v>263.05</v>
      </c>
      <c r="D93" s="452" t="s">
        <v>478</v>
      </c>
      <c r="E93" s="452">
        <v>261.62700000000001</v>
      </c>
      <c r="F93" s="452">
        <v>260.916</v>
      </c>
      <c r="G93" s="452">
        <v>260.20400000000001</v>
      </c>
      <c r="H93" s="452">
        <v>258.78100000000001</v>
      </c>
      <c r="I93" s="452">
        <v>257.358</v>
      </c>
    </row>
    <row r="94" spans="1:9">
      <c r="A94" s="451">
        <v>4150</v>
      </c>
      <c r="B94" s="452">
        <v>267.65800000000002</v>
      </c>
      <c r="C94" s="452">
        <v>266.23500000000001</v>
      </c>
      <c r="D94" s="452">
        <v>265.524</v>
      </c>
      <c r="E94" s="452">
        <v>264.81299999999999</v>
      </c>
      <c r="F94" s="452">
        <v>264.101</v>
      </c>
      <c r="G94" s="452">
        <v>263.39</v>
      </c>
      <c r="H94" s="452">
        <v>261.96699999999998</v>
      </c>
      <c r="I94" s="452">
        <v>260.54399999999998</v>
      </c>
    </row>
    <row r="95" spans="1:9">
      <c r="A95" s="451">
        <v>4200</v>
      </c>
      <c r="B95" s="452">
        <v>270.84399999999999</v>
      </c>
      <c r="C95" s="452">
        <v>269.42099999999999</v>
      </c>
      <c r="D95" s="452">
        <v>268.70999999999998</v>
      </c>
      <c r="E95" s="452">
        <v>267.99799999999999</v>
      </c>
      <c r="F95" s="452">
        <v>267.28699999999998</v>
      </c>
      <c r="G95" s="452">
        <v>266.57600000000002</v>
      </c>
      <c r="H95" s="452">
        <v>265.15199999999999</v>
      </c>
      <c r="I95" s="452">
        <v>263.73</v>
      </c>
    </row>
    <row r="96" spans="1:9">
      <c r="A96" s="451">
        <v>4250</v>
      </c>
      <c r="B96" s="452">
        <v>274.029</v>
      </c>
      <c r="C96" s="452">
        <v>272.60700000000003</v>
      </c>
      <c r="D96" s="452">
        <v>271.89499999999998</v>
      </c>
      <c r="E96" s="452">
        <v>271.18400000000003</v>
      </c>
      <c r="F96" s="452">
        <v>270.47199999999998</v>
      </c>
      <c r="G96" s="452">
        <v>269.76100000000002</v>
      </c>
      <c r="H96" s="452">
        <v>268.33800000000002</v>
      </c>
      <c r="I96" s="452">
        <v>266.91500000000002</v>
      </c>
    </row>
    <row r="97" spans="1:9">
      <c r="A97" s="451">
        <v>4300</v>
      </c>
      <c r="B97" s="452">
        <v>277.214</v>
      </c>
      <c r="C97" s="452">
        <v>275.79199999999997</v>
      </c>
      <c r="D97" s="452">
        <v>275.08100000000002</v>
      </c>
      <c r="E97" s="452">
        <v>274.36900000000003</v>
      </c>
      <c r="F97" s="452">
        <v>273.65800000000002</v>
      </c>
      <c r="G97" s="452">
        <v>272.947</v>
      </c>
      <c r="H97" s="452">
        <v>271.524</v>
      </c>
      <c r="I97" s="452">
        <v>270.101</v>
      </c>
    </row>
    <row r="98" spans="1:9">
      <c r="A98" s="451">
        <v>4350</v>
      </c>
      <c r="B98" s="452">
        <v>280.35399999999998</v>
      </c>
      <c r="C98" s="452">
        <v>278.97399999999999</v>
      </c>
      <c r="D98" s="452">
        <v>278.267</v>
      </c>
      <c r="E98" s="452">
        <v>277.55500000000001</v>
      </c>
      <c r="F98" s="452">
        <v>276.84399999999999</v>
      </c>
      <c r="G98" s="452">
        <v>276.13200000000001</v>
      </c>
      <c r="H98" s="452">
        <v>274.709</v>
      </c>
      <c r="I98" s="452">
        <v>273.28699999999998</v>
      </c>
    </row>
    <row r="99" spans="1:9">
      <c r="A99" s="451">
        <v>4400</v>
      </c>
      <c r="B99" s="452">
        <v>283.428</v>
      </c>
      <c r="C99" s="452">
        <v>282.10300000000001</v>
      </c>
      <c r="D99" s="452">
        <v>281.423</v>
      </c>
      <c r="E99" s="452">
        <v>280.73200000000003</v>
      </c>
      <c r="F99" s="452">
        <v>280.029</v>
      </c>
      <c r="G99" s="452">
        <v>279.31799999999998</v>
      </c>
      <c r="H99" s="452">
        <v>277.89499999999998</v>
      </c>
      <c r="I99" s="452">
        <v>276.47199999999998</v>
      </c>
    </row>
    <row r="100" spans="1:9">
      <c r="A100" s="451">
        <v>4450</v>
      </c>
      <c r="B100" s="452">
        <v>286.33999999999997</v>
      </c>
      <c r="C100" s="452">
        <v>285.14</v>
      </c>
      <c r="D100" s="452">
        <v>284.50599999999997</v>
      </c>
      <c r="E100" s="452">
        <v>283.85000000000002</v>
      </c>
      <c r="F100" s="452">
        <v>283.17500000000001</v>
      </c>
      <c r="G100" s="452">
        <v>282.488</v>
      </c>
      <c r="H100" s="452">
        <v>281.08</v>
      </c>
      <c r="I100" s="452">
        <v>279.65800000000002</v>
      </c>
    </row>
    <row r="101" spans="1:9">
      <c r="A101" s="451">
        <v>4500</v>
      </c>
      <c r="B101" s="452">
        <v>288.923</v>
      </c>
      <c r="C101" s="452">
        <v>287.887</v>
      </c>
      <c r="D101" s="452">
        <v>287.33499999999998</v>
      </c>
      <c r="E101" s="452">
        <v>286.76100000000002</v>
      </c>
      <c r="F101" s="452">
        <v>286.16300000000001</v>
      </c>
      <c r="G101" s="452">
        <v>285.54399999999998</v>
      </c>
      <c r="H101" s="452">
        <v>284.23599999999999</v>
      </c>
      <c r="I101" s="452">
        <v>282.84300000000002</v>
      </c>
    </row>
    <row r="102" spans="1:9">
      <c r="A102" s="451">
        <v>4550</v>
      </c>
      <c r="B102" s="452">
        <v>291.17399999999998</v>
      </c>
      <c r="C102" s="452">
        <v>290.30200000000002</v>
      </c>
      <c r="D102" s="452">
        <v>289.83199999999999</v>
      </c>
      <c r="E102" s="452">
        <v>289.339</v>
      </c>
      <c r="F102" s="452">
        <v>288.82400000000001</v>
      </c>
      <c r="G102" s="452">
        <v>288.286</v>
      </c>
      <c r="H102" s="452">
        <v>287.142</v>
      </c>
      <c r="I102" s="452">
        <v>285.90800000000002</v>
      </c>
    </row>
    <row r="103" spans="1:9">
      <c r="A103" s="451">
        <v>4600</v>
      </c>
      <c r="B103" s="452">
        <v>293.06099999999998</v>
      </c>
      <c r="C103" s="452">
        <v>292.351</v>
      </c>
      <c r="D103" s="452">
        <v>291.96300000000002</v>
      </c>
      <c r="E103" s="452">
        <v>291.55099999999999</v>
      </c>
      <c r="F103" s="452">
        <v>291.11700000000002</v>
      </c>
      <c r="G103" s="452">
        <v>290.661</v>
      </c>
      <c r="H103" s="452">
        <v>289.68</v>
      </c>
      <c r="I103" s="452">
        <v>288.608</v>
      </c>
    </row>
    <row r="104" spans="1:9">
      <c r="A104" s="451">
        <v>4650</v>
      </c>
      <c r="B104" s="452">
        <v>294.54899999999998</v>
      </c>
      <c r="C104" s="452">
        <v>294.00200000000001</v>
      </c>
      <c r="D104" s="452">
        <v>293.69499999999999</v>
      </c>
      <c r="E104" s="452">
        <v>293.36500000000001</v>
      </c>
      <c r="F104" s="452">
        <v>293.012</v>
      </c>
      <c r="G104" s="452">
        <v>292.637</v>
      </c>
      <c r="H104" s="452">
        <v>291.81799999999998</v>
      </c>
      <c r="I104" s="452">
        <v>290.91000000000003</v>
      </c>
    </row>
    <row r="105" spans="1:9">
      <c r="A105" s="451">
        <v>4700</v>
      </c>
      <c r="B105" s="452">
        <v>295.63799999999998</v>
      </c>
      <c r="C105" s="452">
        <v>295.25400000000002</v>
      </c>
      <c r="D105" s="452">
        <v>295.02800000000002</v>
      </c>
      <c r="E105" s="452">
        <v>294.779</v>
      </c>
      <c r="F105" s="452">
        <v>294.50799999999998</v>
      </c>
      <c r="G105" s="452">
        <v>294.214</v>
      </c>
      <c r="H105" s="452">
        <v>293.55900000000003</v>
      </c>
      <c r="I105" s="452">
        <v>292.81200000000001</v>
      </c>
    </row>
    <row r="106" spans="1:9">
      <c r="A106" s="451">
        <v>4750</v>
      </c>
      <c r="B106" s="452">
        <v>294.53800000000001</v>
      </c>
      <c r="C106" s="452">
        <v>296.10700000000003</v>
      </c>
      <c r="D106" s="452">
        <v>295.96199999999999</v>
      </c>
      <c r="E106" s="452">
        <v>295.79500000000002</v>
      </c>
      <c r="F106" s="452">
        <v>295.60500000000002</v>
      </c>
      <c r="G106" s="452">
        <v>295.392</v>
      </c>
      <c r="H106" s="452">
        <v>294.89999999999998</v>
      </c>
      <c r="I106" s="452">
        <v>294.31599999999997</v>
      </c>
    </row>
    <row r="107" spans="1:9">
      <c r="A107" s="451">
        <v>4800</v>
      </c>
      <c r="B107" s="452">
        <v>296.33699999999999</v>
      </c>
      <c r="C107" s="452">
        <v>296.33699999999999</v>
      </c>
      <c r="D107" s="452">
        <v>296.33699999999999</v>
      </c>
      <c r="E107" s="452">
        <v>295.64499999999998</v>
      </c>
      <c r="F107" s="452">
        <v>294.495</v>
      </c>
      <c r="G107" s="452">
        <v>294.73599999999999</v>
      </c>
      <c r="H107" s="452">
        <v>295.31200000000001</v>
      </c>
      <c r="I107" s="452">
        <v>294.97899999999998</v>
      </c>
    </row>
    <row r="108" spans="1:9">
      <c r="A108" s="451">
        <v>4850</v>
      </c>
      <c r="B108" s="452">
        <v>296.33699999999999</v>
      </c>
      <c r="C108" s="452">
        <v>296.33699999999999</v>
      </c>
      <c r="D108" s="452">
        <v>296.33699999999999</v>
      </c>
      <c r="E108" s="452">
        <v>296.33699999999999</v>
      </c>
      <c r="F108" s="452">
        <v>296.33699999999999</v>
      </c>
      <c r="G108" s="452">
        <v>296.209</v>
      </c>
      <c r="H108" s="452">
        <v>294.96600000000001</v>
      </c>
      <c r="I108" s="452">
        <v>294.22899999999998</v>
      </c>
    </row>
    <row r="109" spans="1:9">
      <c r="A109" s="451">
        <v>4900</v>
      </c>
      <c r="B109" s="452">
        <v>296.33699999999999</v>
      </c>
      <c r="C109" s="452">
        <v>296.33699999999999</v>
      </c>
      <c r="D109" s="452">
        <v>296.33699999999999</v>
      </c>
      <c r="E109" s="452">
        <v>296.33699999999999</v>
      </c>
      <c r="F109" s="452">
        <v>296.33699999999999</v>
      </c>
      <c r="G109" s="452">
        <v>296.33699999999999</v>
      </c>
      <c r="H109" s="452">
        <v>296.33699999999999</v>
      </c>
      <c r="I109" s="452">
        <v>295.85899999999998</v>
      </c>
    </row>
    <row r="110" spans="1:9">
      <c r="A110" s="451">
        <v>4950</v>
      </c>
      <c r="B110" s="452">
        <v>296.33699999999999</v>
      </c>
      <c r="C110" s="452">
        <v>296.33699999999999</v>
      </c>
      <c r="D110" s="452">
        <v>296.33699999999999</v>
      </c>
      <c r="E110" s="452">
        <v>296.33699999999999</v>
      </c>
      <c r="F110" s="452">
        <v>296.33699999999999</v>
      </c>
      <c r="G110" s="452">
        <v>296.33699999999999</v>
      </c>
      <c r="H110" s="452">
        <v>296.33699999999999</v>
      </c>
      <c r="I110" s="452">
        <v>296.33699999999999</v>
      </c>
    </row>
    <row r="111" spans="1:9">
      <c r="A111" s="451">
        <v>4965</v>
      </c>
      <c r="B111" s="452">
        <v>296.33699999999999</v>
      </c>
      <c r="C111" s="452">
        <v>296.33699999999999</v>
      </c>
      <c r="D111" s="452">
        <v>296.33699999999999</v>
      </c>
      <c r="E111" s="452">
        <v>296.33699999999999</v>
      </c>
      <c r="F111" s="452">
        <v>296.33699999999999</v>
      </c>
      <c r="G111" s="452">
        <v>296.33699999999999</v>
      </c>
      <c r="H111" s="452">
        <v>296.33699999999999</v>
      </c>
      <c r="I111" s="452">
        <v>296.33699999999999</v>
      </c>
    </row>
    <row r="112" spans="1:9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spans="1:29" hidden="1"/>
    <row r="130" spans="1:29" hidden="1"/>
    <row r="131" spans="1:29" hidden="1"/>
    <row r="132" spans="1:29" hidden="1"/>
    <row r="134" spans="1:29">
      <c r="A134" t="s">
        <v>267</v>
      </c>
    </row>
    <row r="135" spans="1:29">
      <c r="A135" t="s">
        <v>259</v>
      </c>
    </row>
    <row r="136" spans="1:29">
      <c r="A136" t="s">
        <v>260</v>
      </c>
    </row>
    <row r="137" spans="1:29">
      <c r="A137" t="s">
        <v>261</v>
      </c>
    </row>
    <row r="138" spans="1:29">
      <c r="A138" t="s">
        <v>262</v>
      </c>
    </row>
    <row r="139" spans="1:29">
      <c r="A139" t="s">
        <v>268</v>
      </c>
    </row>
    <row r="140" spans="1:29">
      <c r="A140" t="s">
        <v>264</v>
      </c>
    </row>
    <row r="141" spans="1:29">
      <c r="A141" t="s">
        <v>269</v>
      </c>
    </row>
    <row r="142" spans="1:29">
      <c r="A142" t="s">
        <v>266</v>
      </c>
      <c r="B142">
        <v>-1</v>
      </c>
      <c r="C142">
        <v>0</v>
      </c>
      <c r="D142">
        <v>0.5</v>
      </c>
      <c r="E142">
        <v>1</v>
      </c>
      <c r="F142">
        <v>1.5</v>
      </c>
      <c r="G142">
        <v>2</v>
      </c>
      <c r="H142">
        <v>3</v>
      </c>
      <c r="I142">
        <v>4</v>
      </c>
      <c r="M142" t="s">
        <v>266</v>
      </c>
      <c r="N142">
        <v>-4</v>
      </c>
      <c r="O142">
        <v>-3</v>
      </c>
      <c r="P142">
        <v>-2</v>
      </c>
      <c r="Q142">
        <v>-1</v>
      </c>
      <c r="R142">
        <v>0</v>
      </c>
      <c r="S142">
        <v>1</v>
      </c>
      <c r="T142">
        <v>2</v>
      </c>
      <c r="U142">
        <v>3</v>
      </c>
      <c r="V142">
        <v>4</v>
      </c>
      <c r="W142" t="s">
        <v>231</v>
      </c>
      <c r="Z142" s="1">
        <f>heeling</f>
        <v>0</v>
      </c>
      <c r="AA142" s="186"/>
      <c r="AB142" s="186">
        <f>IF((AA142+AA145)&lt;0,AA142,AA142+AA145)</f>
        <v>0</v>
      </c>
      <c r="AC142" s="42">
        <f>IF(AC144=AC143,AC143,Interp1(AB143:AB144,AC143:AC144,AB142))</f>
        <v>0.85599999999999998</v>
      </c>
    </row>
    <row r="143" spans="1:29">
      <c r="A143">
        <v>0</v>
      </c>
      <c r="B143">
        <v>1.587</v>
      </c>
      <c r="C143">
        <v>1.181</v>
      </c>
      <c r="D143">
        <v>0.97799999999999998</v>
      </c>
      <c r="E143">
        <v>0.77500000000000002</v>
      </c>
      <c r="F143">
        <v>0.57199999999999995</v>
      </c>
      <c r="G143">
        <v>0.42299999999999999</v>
      </c>
      <c r="H143">
        <v>0.26200000000000001</v>
      </c>
      <c r="I143">
        <v>0.20399999999999999</v>
      </c>
      <c r="M143">
        <v>0</v>
      </c>
      <c r="N143">
        <v>63.011000000000003</v>
      </c>
      <c r="O143">
        <v>44.58</v>
      </c>
      <c r="P143">
        <v>26.706</v>
      </c>
      <c r="Q143">
        <v>10.709</v>
      </c>
      <c r="R143">
        <v>0</v>
      </c>
      <c r="S143">
        <v>0</v>
      </c>
      <c r="T143">
        <v>0</v>
      </c>
      <c r="U143">
        <v>6.73</v>
      </c>
      <c r="V143">
        <v>15.07</v>
      </c>
      <c r="Z143" s="1">
        <f>FLOOR(AA142,2)</f>
        <v>0</v>
      </c>
      <c r="AA143" s="1">
        <f>Interp2(Water2Heel1,Water2Heel2,Water2Heel3,Z143,Z142)</f>
        <v>0</v>
      </c>
      <c r="AB143" s="1">
        <f>FLOOR(AB142,2)</f>
        <v>0</v>
      </c>
      <c r="AC143" s="42">
        <f>IF(AA148=AA147,AA147,Interp1(Z147:Z148,AA147:AA148,Z146))</f>
        <v>0.85599999999999998</v>
      </c>
    </row>
    <row r="144" spans="1:29">
      <c r="A144">
        <v>50</v>
      </c>
      <c r="B144">
        <v>3.2280000000000002</v>
      </c>
      <c r="C144">
        <v>2.8220000000000001</v>
      </c>
      <c r="D144">
        <v>2.6190000000000002</v>
      </c>
      <c r="E144">
        <v>2.4169999999999998</v>
      </c>
      <c r="F144">
        <v>2.214</v>
      </c>
      <c r="G144">
        <v>2.0110000000000001</v>
      </c>
      <c r="H144">
        <v>1.605</v>
      </c>
      <c r="I144">
        <v>1.2170000000000001</v>
      </c>
      <c r="M144">
        <v>100</v>
      </c>
      <c r="N144">
        <v>43.444000000000003</v>
      </c>
      <c r="O144">
        <v>30.864000000000001</v>
      </c>
      <c r="P144">
        <v>20.170000000000002</v>
      </c>
      <c r="Q144">
        <v>10.071999999999999</v>
      </c>
      <c r="R144">
        <v>0</v>
      </c>
      <c r="S144">
        <v>-10.064</v>
      </c>
      <c r="T144">
        <v>-20.117000000000001</v>
      </c>
      <c r="U144">
        <v>-25.872</v>
      </c>
      <c r="V144">
        <v>-24.428000000000001</v>
      </c>
      <c r="Z144" s="1">
        <f>IF(Z143=WaterSound2,Z143,CEILING(AA142,2))</f>
        <v>0</v>
      </c>
      <c r="AA144" s="1">
        <f>Interp2(Water2Heel1,Water2Heel2,Water2Heel3,Z144,Z142)</f>
        <v>0</v>
      </c>
      <c r="AB144" s="1">
        <f>CEILING(AB142,2)</f>
        <v>0</v>
      </c>
      <c r="AC144" s="42">
        <f>IF(AB148=AB147,AB147,Interp1(Z147:Z148,AB147:AB148,Z146))</f>
        <v>0.85599999999999998</v>
      </c>
    </row>
    <row r="145" spans="1:29">
      <c r="A145">
        <v>100</v>
      </c>
      <c r="B145">
        <v>4.8710000000000004</v>
      </c>
      <c r="C145">
        <v>4.4649999999999999</v>
      </c>
      <c r="D145">
        <v>4.2619999999999996</v>
      </c>
      <c r="E145">
        <v>4.0590000000000002</v>
      </c>
      <c r="F145">
        <v>3.8559999999999999</v>
      </c>
      <c r="G145">
        <v>3.653</v>
      </c>
      <c r="H145">
        <v>3.2469999999999999</v>
      </c>
      <c r="I145">
        <v>2.8410000000000002</v>
      </c>
      <c r="M145">
        <v>200</v>
      </c>
      <c r="N145">
        <v>40.243000000000002</v>
      </c>
      <c r="O145">
        <v>30.125</v>
      </c>
      <c r="P145">
        <v>20.056000000000001</v>
      </c>
      <c r="Q145">
        <v>10.015000000000001</v>
      </c>
      <c r="R145">
        <v>0</v>
      </c>
      <c r="S145">
        <v>-10.007</v>
      </c>
      <c r="T145">
        <v>-20.001999999999999</v>
      </c>
      <c r="U145">
        <v>-29.995999999999999</v>
      </c>
      <c r="V145">
        <v>-39.75</v>
      </c>
      <c r="Z145" s="1"/>
      <c r="AA145" s="1">
        <f>IF(AA144=AA143,AA143,Interp1(Z143:Z144,AA143:AA144,AA142))</f>
        <v>0</v>
      </c>
      <c r="AB145" s="1"/>
      <c r="AC145" s="42"/>
    </row>
    <row r="146" spans="1:29">
      <c r="A146">
        <v>150</v>
      </c>
      <c r="B146">
        <v>6.5140000000000002</v>
      </c>
      <c r="C146">
        <v>6.1079999999999997</v>
      </c>
      <c r="D146">
        <v>5.9050000000000002</v>
      </c>
      <c r="E146">
        <v>5.702</v>
      </c>
      <c r="F146">
        <v>5.4989999999999997</v>
      </c>
      <c r="G146">
        <v>5.2960000000000003</v>
      </c>
      <c r="H146">
        <v>4.8890000000000002</v>
      </c>
      <c r="I146">
        <v>4.4829999999999997</v>
      </c>
      <c r="M146">
        <v>300</v>
      </c>
      <c r="N146">
        <v>40.024000000000001</v>
      </c>
      <c r="O146">
        <v>29.969000000000001</v>
      </c>
      <c r="P146">
        <v>19.952999999999999</v>
      </c>
      <c r="Q146">
        <v>9.9640000000000004</v>
      </c>
      <c r="R146">
        <v>0</v>
      </c>
      <c r="S146">
        <v>-9.9580000000000002</v>
      </c>
      <c r="T146">
        <v>-19.916</v>
      </c>
      <c r="U146">
        <v>-29.876000000000001</v>
      </c>
      <c r="V146">
        <v>-39.845999999999997</v>
      </c>
      <c r="Z146" s="1">
        <v>0.8</v>
      </c>
      <c r="AA146" s="1"/>
      <c r="AB146" s="1"/>
      <c r="AC146" s="1"/>
    </row>
    <row r="147" spans="1:29">
      <c r="A147">
        <v>200</v>
      </c>
      <c r="B147">
        <v>8.1590000000000007</v>
      </c>
      <c r="C147">
        <v>7.7519999999999998</v>
      </c>
      <c r="D147">
        <v>7.5490000000000004</v>
      </c>
      <c r="E147">
        <v>7.3460000000000001</v>
      </c>
      <c r="F147">
        <v>7.1429999999999998</v>
      </c>
      <c r="G147">
        <v>6.94</v>
      </c>
      <c r="H147">
        <v>6.5330000000000004</v>
      </c>
      <c r="I147">
        <v>6.1269999999999998</v>
      </c>
      <c r="M147">
        <v>400</v>
      </c>
      <c r="N147">
        <v>39.856999999999999</v>
      </c>
      <c r="O147">
        <v>29.850999999999999</v>
      </c>
      <c r="P147">
        <v>19.882000000000001</v>
      </c>
      <c r="Q147">
        <v>9.9320000000000004</v>
      </c>
      <c r="R147">
        <v>0</v>
      </c>
      <c r="S147">
        <v>-9.9290000000000003</v>
      </c>
      <c r="T147">
        <v>-19.859000000000002</v>
      </c>
      <c r="U147">
        <v>-29.792000000000002</v>
      </c>
      <c r="V147">
        <v>-39.734999999999999</v>
      </c>
      <c r="Z147" s="1">
        <f>INDEX(Water2Trim2,0,MATCH(Z146,Water2Trim2,1))</f>
        <v>0.5</v>
      </c>
      <c r="AA147" s="1">
        <f>Interp2(Water2Trim1,Water2Trim2,Water2Trim3,AB143,Z147)</f>
        <v>0.97799999999999998</v>
      </c>
      <c r="AB147" s="1">
        <f>Interp2(Water2Trim1,Water2Trim2,Water2Trim3,AB144,Z147)</f>
        <v>0.97799999999999998</v>
      </c>
      <c r="AC147" s="1"/>
    </row>
    <row r="148" spans="1:29">
      <c r="A148">
        <v>250</v>
      </c>
      <c r="B148">
        <v>9.8040000000000003</v>
      </c>
      <c r="C148">
        <v>9.3979999999999997</v>
      </c>
      <c r="D148">
        <v>9.1940000000000008</v>
      </c>
      <c r="E148">
        <v>8.9909999999999997</v>
      </c>
      <c r="F148">
        <v>8.7880000000000003</v>
      </c>
      <c r="G148">
        <v>8.5839999999999996</v>
      </c>
      <c r="H148">
        <v>8.1780000000000008</v>
      </c>
      <c r="I148">
        <v>7.7709999999999999</v>
      </c>
      <c r="M148">
        <v>500</v>
      </c>
      <c r="N148">
        <v>39.738999999999997</v>
      </c>
      <c r="O148">
        <v>29.768000000000001</v>
      </c>
      <c r="P148">
        <v>19.829000000000001</v>
      </c>
      <c r="Q148">
        <v>9.907</v>
      </c>
      <c r="R148">
        <v>0</v>
      </c>
      <c r="S148">
        <v>-9.9039999999999999</v>
      </c>
      <c r="T148">
        <v>-19.809000000000001</v>
      </c>
      <c r="U148">
        <v>-29.716999999999999</v>
      </c>
      <c r="V148">
        <v>-39.64</v>
      </c>
      <c r="Z148" s="1">
        <f>IF(Z147=Z146,Z146,INDEX(Water2Trim2,0,MATCH(Z146,Water2Trim2,1)+1))</f>
        <v>1</v>
      </c>
      <c r="AA148" s="1">
        <f>Interp2(Water2Trim1,Water2Trim2,Water2Trim3,AB143,Z148)</f>
        <v>0.77500000000000002</v>
      </c>
      <c r="AB148" s="1">
        <f>Interp2(Water2Trim1,Water2Trim2,Water2Trim3,AB144,Z148)</f>
        <v>0.77500000000000002</v>
      </c>
      <c r="AC148" s="1"/>
    </row>
    <row r="149" spans="1:29">
      <c r="A149">
        <v>300</v>
      </c>
      <c r="B149">
        <v>11.451000000000001</v>
      </c>
      <c r="C149">
        <v>11.044</v>
      </c>
      <c r="D149">
        <v>10.840999999999999</v>
      </c>
      <c r="E149">
        <v>10.637</v>
      </c>
      <c r="F149">
        <v>10.433999999999999</v>
      </c>
      <c r="G149">
        <v>10.23</v>
      </c>
      <c r="H149">
        <v>9.8239999999999998</v>
      </c>
      <c r="I149">
        <v>9.4169999999999998</v>
      </c>
      <c r="M149">
        <v>600</v>
      </c>
      <c r="N149">
        <v>39.646999999999998</v>
      </c>
      <c r="O149">
        <v>29.702999999999999</v>
      </c>
      <c r="P149">
        <v>19.785</v>
      </c>
      <c r="Q149">
        <v>9.8849999999999998</v>
      </c>
      <c r="R149">
        <v>0</v>
      </c>
      <c r="S149">
        <v>-9.8819999999999997</v>
      </c>
      <c r="T149">
        <v>-19.77</v>
      </c>
      <c r="U149">
        <v>-29.663</v>
      </c>
      <c r="V149">
        <v>-39.573999999999998</v>
      </c>
    </row>
    <row r="150" spans="1:29">
      <c r="A150">
        <v>350</v>
      </c>
      <c r="B150">
        <v>13.098000000000001</v>
      </c>
      <c r="C150">
        <v>12.691000000000001</v>
      </c>
      <c r="D150">
        <v>12.487</v>
      </c>
      <c r="E150">
        <v>12.284000000000001</v>
      </c>
      <c r="F150">
        <v>12.08</v>
      </c>
      <c r="G150">
        <v>11.877000000000001</v>
      </c>
      <c r="H150">
        <v>11.47</v>
      </c>
      <c r="I150">
        <v>11.063000000000001</v>
      </c>
      <c r="M150">
        <v>700</v>
      </c>
      <c r="N150">
        <v>39.576999999999998</v>
      </c>
      <c r="O150">
        <v>29.652999999999999</v>
      </c>
      <c r="P150">
        <v>19.754999999999999</v>
      </c>
      <c r="Q150">
        <v>9.8729999999999993</v>
      </c>
      <c r="R150">
        <v>0</v>
      </c>
      <c r="S150">
        <v>-9.8710000000000004</v>
      </c>
      <c r="T150">
        <v>-19.747</v>
      </c>
      <c r="U150">
        <v>-29.631</v>
      </c>
      <c r="V150">
        <v>-39.533000000000001</v>
      </c>
    </row>
    <row r="151" spans="1:29">
      <c r="A151">
        <v>400</v>
      </c>
      <c r="B151">
        <v>14.744999999999999</v>
      </c>
      <c r="C151">
        <v>14.337999999999999</v>
      </c>
      <c r="D151">
        <v>14.135</v>
      </c>
      <c r="E151">
        <v>13.930999999999999</v>
      </c>
      <c r="F151">
        <v>13.728</v>
      </c>
      <c r="G151">
        <v>13.523999999999999</v>
      </c>
      <c r="H151">
        <v>13.117000000000001</v>
      </c>
      <c r="I151">
        <v>12.71</v>
      </c>
      <c r="M151">
        <v>800</v>
      </c>
      <c r="N151">
        <v>39.533999999999999</v>
      </c>
      <c r="O151">
        <v>29.625</v>
      </c>
      <c r="P151">
        <v>19.738</v>
      </c>
      <c r="Q151">
        <v>9.8640000000000008</v>
      </c>
      <c r="R151">
        <v>0</v>
      </c>
      <c r="S151">
        <v>-9.8629999999999995</v>
      </c>
      <c r="T151">
        <v>-19.731999999999999</v>
      </c>
      <c r="U151">
        <v>-29.609000000000002</v>
      </c>
      <c r="V151">
        <v>-39.506999999999998</v>
      </c>
    </row>
    <row r="152" spans="1:29">
      <c r="A152">
        <v>450</v>
      </c>
      <c r="B152">
        <v>16.393000000000001</v>
      </c>
      <c r="C152">
        <v>15.986000000000001</v>
      </c>
      <c r="D152">
        <v>15.782</v>
      </c>
      <c r="E152">
        <v>15.579000000000001</v>
      </c>
      <c r="F152">
        <v>15.375</v>
      </c>
      <c r="G152">
        <v>15.172000000000001</v>
      </c>
      <c r="H152">
        <v>14.765000000000001</v>
      </c>
      <c r="I152">
        <v>14.358000000000001</v>
      </c>
      <c r="M152">
        <v>900</v>
      </c>
      <c r="N152">
        <v>39.509</v>
      </c>
      <c r="O152">
        <v>29.606000000000002</v>
      </c>
      <c r="P152">
        <v>19.725999999999999</v>
      </c>
      <c r="Q152">
        <v>9.859</v>
      </c>
      <c r="R152">
        <v>0</v>
      </c>
      <c r="S152">
        <v>-9.8569999999999993</v>
      </c>
      <c r="T152">
        <v>-19.724</v>
      </c>
      <c r="U152">
        <v>-29.599</v>
      </c>
      <c r="V152">
        <v>-39.494</v>
      </c>
    </row>
    <row r="153" spans="1:29">
      <c r="A153">
        <v>500</v>
      </c>
      <c r="B153">
        <v>18.041</v>
      </c>
      <c r="C153">
        <v>17.634</v>
      </c>
      <c r="D153">
        <v>17.431000000000001</v>
      </c>
      <c r="E153">
        <v>17.227</v>
      </c>
      <c r="F153">
        <v>17.023</v>
      </c>
      <c r="G153">
        <v>16.82</v>
      </c>
      <c r="H153">
        <v>16.413</v>
      </c>
      <c r="I153">
        <v>16.006</v>
      </c>
      <c r="M153">
        <v>1000</v>
      </c>
      <c r="N153">
        <v>39.493000000000002</v>
      </c>
      <c r="O153">
        <v>29.596</v>
      </c>
      <c r="P153">
        <v>19.721</v>
      </c>
      <c r="Q153">
        <v>9.8580000000000005</v>
      </c>
      <c r="R153">
        <v>0</v>
      </c>
      <c r="S153">
        <v>-9.8569999999999993</v>
      </c>
      <c r="T153">
        <v>-19.722000000000001</v>
      </c>
      <c r="U153">
        <v>-29.597000000000001</v>
      </c>
      <c r="V153">
        <v>-39.491</v>
      </c>
    </row>
    <row r="154" spans="1:29">
      <c r="A154">
        <v>550</v>
      </c>
      <c r="B154">
        <v>19.690000000000001</v>
      </c>
      <c r="C154">
        <v>19.283000000000001</v>
      </c>
      <c r="D154">
        <v>19.079000000000001</v>
      </c>
      <c r="E154">
        <v>18.876000000000001</v>
      </c>
      <c r="F154">
        <v>18.611999999999998</v>
      </c>
      <c r="G154">
        <v>18.468</v>
      </c>
      <c r="H154">
        <v>18.061</v>
      </c>
      <c r="I154">
        <v>17.654</v>
      </c>
      <c r="M154">
        <v>1000</v>
      </c>
      <c r="N154">
        <v>39.491999999999997</v>
      </c>
      <c r="O154">
        <v>29.597000000000001</v>
      </c>
      <c r="P154">
        <v>19.722000000000001</v>
      </c>
      <c r="Q154">
        <v>9.8580000000000005</v>
      </c>
      <c r="R154">
        <v>0</v>
      </c>
      <c r="S154">
        <v>-9.8569999999999993</v>
      </c>
      <c r="T154">
        <v>-19.722000000000001</v>
      </c>
      <c r="U154">
        <v>-29.597999999999999</v>
      </c>
      <c r="V154">
        <v>-39.491999999999997</v>
      </c>
    </row>
    <row r="155" spans="1:29">
      <c r="A155">
        <v>600</v>
      </c>
      <c r="B155">
        <v>21.338999999999999</v>
      </c>
      <c r="C155">
        <v>20.931999999999999</v>
      </c>
      <c r="D155">
        <v>20.728000000000002</v>
      </c>
      <c r="E155">
        <v>20.524999999999999</v>
      </c>
      <c r="F155">
        <v>20.321000000000002</v>
      </c>
      <c r="G155">
        <v>20.117000000000001</v>
      </c>
      <c r="H155">
        <v>19.71</v>
      </c>
      <c r="I155">
        <v>19.303000000000001</v>
      </c>
      <c r="M155">
        <v>1200</v>
      </c>
      <c r="N155">
        <v>39.491</v>
      </c>
      <c r="O155">
        <v>29.596</v>
      </c>
      <c r="P155">
        <v>19.722000000000001</v>
      </c>
      <c r="Q155">
        <v>9.8580000000000005</v>
      </c>
      <c r="R155">
        <v>0</v>
      </c>
      <c r="S155">
        <v>-9.8569999999999993</v>
      </c>
      <c r="T155">
        <v>-19.722999999999999</v>
      </c>
      <c r="U155">
        <v>-29.597999999999999</v>
      </c>
      <c r="V155">
        <v>-39.493000000000002</v>
      </c>
    </row>
    <row r="156" spans="1:29">
      <c r="A156">
        <v>650</v>
      </c>
      <c r="B156">
        <v>22.989000000000001</v>
      </c>
      <c r="C156">
        <v>22.581</v>
      </c>
      <c r="D156">
        <v>22.378</v>
      </c>
      <c r="E156">
        <v>22.173999999999999</v>
      </c>
      <c r="F156">
        <v>21.91</v>
      </c>
      <c r="G156">
        <v>21.766999999999999</v>
      </c>
      <c r="H156">
        <v>21.359000000000002</v>
      </c>
      <c r="I156">
        <v>20.952000000000002</v>
      </c>
      <c r="M156">
        <v>1300</v>
      </c>
      <c r="N156">
        <v>39.491999999999997</v>
      </c>
      <c r="O156">
        <v>29.597999999999999</v>
      </c>
      <c r="P156">
        <v>19.722000000000001</v>
      </c>
      <c r="Q156">
        <v>9.8580000000000005</v>
      </c>
      <c r="R156">
        <v>0</v>
      </c>
      <c r="S156">
        <v>-9.8569999999999993</v>
      </c>
      <c r="T156">
        <v>-19.722999999999999</v>
      </c>
      <c r="U156">
        <v>-29.596</v>
      </c>
      <c r="V156">
        <v>-39.491</v>
      </c>
    </row>
    <row r="157" spans="1:29">
      <c r="A157">
        <v>700</v>
      </c>
      <c r="B157">
        <v>24.638000000000002</v>
      </c>
      <c r="C157">
        <v>24.231000000000002</v>
      </c>
      <c r="D157">
        <v>24.027000000000001</v>
      </c>
      <c r="E157">
        <v>23.824000000000002</v>
      </c>
      <c r="F157">
        <v>23.62</v>
      </c>
      <c r="G157">
        <v>23.416</v>
      </c>
      <c r="H157">
        <v>23.009</v>
      </c>
      <c r="I157">
        <v>22.602</v>
      </c>
      <c r="M157">
        <v>1400</v>
      </c>
      <c r="N157">
        <v>39.491999999999997</v>
      </c>
      <c r="O157">
        <v>29.597999999999999</v>
      </c>
      <c r="P157">
        <v>19.722000000000001</v>
      </c>
      <c r="Q157">
        <v>9.8580000000000005</v>
      </c>
      <c r="R157">
        <v>0</v>
      </c>
      <c r="S157">
        <v>-9.8569999999999993</v>
      </c>
      <c r="T157">
        <v>-19.722999999999999</v>
      </c>
      <c r="U157">
        <v>-29.596</v>
      </c>
      <c r="V157">
        <v>-39.491999999999997</v>
      </c>
    </row>
    <row r="158" spans="1:29">
      <c r="A158">
        <v>750</v>
      </c>
      <c r="B158">
        <v>26.288</v>
      </c>
      <c r="C158">
        <v>25.881</v>
      </c>
      <c r="D158">
        <v>25.677</v>
      </c>
      <c r="E158">
        <v>25.472999999999999</v>
      </c>
      <c r="F158">
        <v>25.27</v>
      </c>
      <c r="G158">
        <v>25.065999999999999</v>
      </c>
      <c r="H158">
        <v>24.658999999999999</v>
      </c>
      <c r="I158">
        <v>24.251000000000001</v>
      </c>
      <c r="M158">
        <v>1500</v>
      </c>
      <c r="N158">
        <v>39.491</v>
      </c>
      <c r="O158">
        <v>29.597000000000001</v>
      </c>
      <c r="P158">
        <v>19.721</v>
      </c>
      <c r="Q158">
        <v>9.8580000000000005</v>
      </c>
      <c r="R158">
        <v>0</v>
      </c>
      <c r="S158">
        <v>-9.8569999999999993</v>
      </c>
      <c r="T158">
        <v>-19.722999999999999</v>
      </c>
      <c r="U158">
        <v>-29.597000000000001</v>
      </c>
      <c r="V158">
        <v>-39.491999999999997</v>
      </c>
    </row>
    <row r="159" spans="1:29">
      <c r="A159">
        <v>800</v>
      </c>
      <c r="B159">
        <v>27.937999999999999</v>
      </c>
      <c r="C159">
        <v>27.530999999999999</v>
      </c>
      <c r="D159">
        <v>27.327000000000002</v>
      </c>
      <c r="E159">
        <v>27.123000000000001</v>
      </c>
      <c r="F159">
        <v>26.92</v>
      </c>
      <c r="G159">
        <v>26.716000000000001</v>
      </c>
      <c r="H159">
        <v>26.309000000000001</v>
      </c>
      <c r="I159">
        <v>25.901</v>
      </c>
      <c r="M159">
        <v>1600</v>
      </c>
      <c r="N159">
        <v>39.493000000000002</v>
      </c>
      <c r="O159">
        <v>29.597000000000001</v>
      </c>
      <c r="P159">
        <v>19.722999999999999</v>
      </c>
      <c r="Q159">
        <v>9.8580000000000005</v>
      </c>
      <c r="R159">
        <v>0</v>
      </c>
      <c r="S159">
        <v>-9.8569999999999993</v>
      </c>
      <c r="T159">
        <v>-19.721</v>
      </c>
      <c r="U159">
        <v>-29.597000000000001</v>
      </c>
      <c r="V159">
        <v>-39.49</v>
      </c>
    </row>
    <row r="160" spans="1:29">
      <c r="A160">
        <v>850</v>
      </c>
      <c r="B160">
        <v>29.588000000000001</v>
      </c>
      <c r="C160">
        <v>29.181000000000001</v>
      </c>
      <c r="D160">
        <v>28.977</v>
      </c>
      <c r="E160">
        <v>28.773</v>
      </c>
      <c r="F160">
        <v>28.57</v>
      </c>
      <c r="G160">
        <v>28.366</v>
      </c>
      <c r="H160">
        <v>27.959</v>
      </c>
      <c r="I160">
        <v>27.550999999999998</v>
      </c>
      <c r="M160">
        <v>1700</v>
      </c>
      <c r="N160">
        <v>39.493000000000002</v>
      </c>
      <c r="O160">
        <v>29.597000000000001</v>
      </c>
      <c r="P160">
        <v>19.724</v>
      </c>
      <c r="Q160">
        <v>9.8580000000000005</v>
      </c>
      <c r="R160">
        <v>0</v>
      </c>
      <c r="S160">
        <v>-9.8569999999999993</v>
      </c>
      <c r="T160">
        <v>-19.721</v>
      </c>
      <c r="U160">
        <v>-29.597999999999999</v>
      </c>
      <c r="V160">
        <v>-39.491</v>
      </c>
    </row>
    <row r="161" spans="1:22">
      <c r="A161">
        <v>900</v>
      </c>
      <c r="B161">
        <v>31.239000000000001</v>
      </c>
      <c r="C161">
        <v>30.831</v>
      </c>
      <c r="D161">
        <v>30.626999999999999</v>
      </c>
      <c r="E161">
        <v>30.423999999999999</v>
      </c>
      <c r="F161">
        <v>30.22</v>
      </c>
      <c r="G161">
        <v>30.015999999999998</v>
      </c>
      <c r="H161">
        <v>29.609000000000002</v>
      </c>
      <c r="I161">
        <v>29.201000000000001</v>
      </c>
      <c r="M161">
        <v>1800</v>
      </c>
      <c r="N161">
        <v>39.491</v>
      </c>
      <c r="O161">
        <v>29.596</v>
      </c>
      <c r="P161">
        <v>19.722999999999999</v>
      </c>
      <c r="Q161">
        <v>9.8580000000000005</v>
      </c>
      <c r="R161">
        <v>0</v>
      </c>
      <c r="S161">
        <v>-9.8569999999999993</v>
      </c>
      <c r="T161">
        <v>-19.722000000000001</v>
      </c>
      <c r="U161">
        <v>-29.597999999999999</v>
      </c>
      <c r="V161">
        <v>-39.493000000000002</v>
      </c>
    </row>
    <row r="162" spans="1:22">
      <c r="A162">
        <v>950</v>
      </c>
      <c r="B162">
        <v>32.889000000000003</v>
      </c>
      <c r="C162">
        <v>32.481000000000002</v>
      </c>
      <c r="D162">
        <v>32.277999999999999</v>
      </c>
      <c r="E162">
        <v>32.073999999999998</v>
      </c>
      <c r="F162">
        <v>31.87</v>
      </c>
      <c r="G162">
        <v>31.666</v>
      </c>
      <c r="H162">
        <v>31.259</v>
      </c>
      <c r="I162">
        <v>30.850999999999999</v>
      </c>
      <c r="M162">
        <v>1900</v>
      </c>
      <c r="N162">
        <v>39.491</v>
      </c>
      <c r="O162">
        <v>29.596</v>
      </c>
      <c r="P162">
        <v>19.722999999999999</v>
      </c>
      <c r="Q162">
        <v>9.8569999999999993</v>
      </c>
      <c r="R162">
        <v>0</v>
      </c>
      <c r="S162">
        <v>-9.8569999999999993</v>
      </c>
      <c r="T162">
        <v>-19.722000000000001</v>
      </c>
      <c r="U162">
        <v>-29.597999999999999</v>
      </c>
      <c r="V162">
        <v>-39.491999999999997</v>
      </c>
    </row>
    <row r="163" spans="1:22">
      <c r="A163">
        <v>1000</v>
      </c>
      <c r="B163">
        <v>34.539000000000001</v>
      </c>
      <c r="C163">
        <v>34.131999999999998</v>
      </c>
      <c r="D163">
        <v>33.927999999999997</v>
      </c>
      <c r="E163">
        <v>33.723999999999997</v>
      </c>
      <c r="F163">
        <v>33.520000000000003</v>
      </c>
      <c r="G163">
        <v>33.317</v>
      </c>
      <c r="H163">
        <v>32.908999999999999</v>
      </c>
      <c r="I163">
        <v>32.502000000000002</v>
      </c>
      <c r="M163">
        <v>2000</v>
      </c>
      <c r="N163">
        <v>39.493000000000002</v>
      </c>
      <c r="O163">
        <v>29.597999999999999</v>
      </c>
      <c r="P163">
        <v>19.722999999999999</v>
      </c>
      <c r="Q163">
        <v>9.8569999999999993</v>
      </c>
      <c r="R163">
        <v>0</v>
      </c>
      <c r="S163">
        <v>-9.8569999999999993</v>
      </c>
      <c r="T163">
        <v>-19.722000000000001</v>
      </c>
      <c r="U163">
        <v>-29.596</v>
      </c>
      <c r="V163">
        <v>-39.491</v>
      </c>
    </row>
    <row r="164" spans="1:22">
      <c r="A164">
        <v>1050</v>
      </c>
      <c r="B164">
        <v>36.189</v>
      </c>
      <c r="C164">
        <v>35.781999999999996</v>
      </c>
      <c r="D164">
        <v>35.578000000000003</v>
      </c>
      <c r="E164">
        <v>35.374000000000002</v>
      </c>
      <c r="F164">
        <v>35.170999999999999</v>
      </c>
      <c r="G164">
        <v>34.966999999999999</v>
      </c>
      <c r="H164">
        <v>34.558999999999997</v>
      </c>
      <c r="I164">
        <v>34.152000000000001</v>
      </c>
      <c r="M164">
        <v>2100</v>
      </c>
      <c r="N164">
        <v>39.491999999999997</v>
      </c>
      <c r="O164">
        <v>29.597999999999999</v>
      </c>
      <c r="P164">
        <v>19.722000000000001</v>
      </c>
      <c r="Q164">
        <v>9.8569999999999993</v>
      </c>
      <c r="R164">
        <v>0</v>
      </c>
      <c r="S164">
        <v>-9.8569999999999993</v>
      </c>
      <c r="T164">
        <v>-19.722000000000001</v>
      </c>
      <c r="U164">
        <v>-29.597000000000001</v>
      </c>
      <c r="V164">
        <v>-39.491999999999997</v>
      </c>
    </row>
    <row r="165" spans="1:22">
      <c r="A165">
        <v>1100</v>
      </c>
      <c r="B165">
        <v>37.840000000000003</v>
      </c>
      <c r="C165">
        <v>37.432000000000002</v>
      </c>
      <c r="D165">
        <v>37.228000000000002</v>
      </c>
      <c r="E165">
        <v>37.024999999999999</v>
      </c>
      <c r="F165">
        <v>36.820999999999998</v>
      </c>
      <c r="G165">
        <v>36.616999999999997</v>
      </c>
      <c r="H165">
        <v>36.21</v>
      </c>
      <c r="I165">
        <v>35.802</v>
      </c>
      <c r="M165">
        <v>2200</v>
      </c>
      <c r="N165">
        <v>39.491</v>
      </c>
      <c r="O165">
        <v>29.597000000000001</v>
      </c>
      <c r="P165">
        <v>19.722999999999999</v>
      </c>
      <c r="Q165">
        <v>9.8569999999999993</v>
      </c>
      <c r="R165">
        <v>0</v>
      </c>
      <c r="S165">
        <v>-9.8569999999999993</v>
      </c>
      <c r="T165">
        <v>-19.722000000000001</v>
      </c>
      <c r="U165">
        <v>-29.597000000000001</v>
      </c>
      <c r="V165">
        <v>-39.491999999999997</v>
      </c>
    </row>
    <row r="166" spans="1:22">
      <c r="A166">
        <v>1150</v>
      </c>
      <c r="B166">
        <v>39.49</v>
      </c>
      <c r="C166">
        <v>39.082000000000001</v>
      </c>
      <c r="D166">
        <v>38.878999999999998</v>
      </c>
      <c r="E166">
        <v>38.674999999999997</v>
      </c>
      <c r="F166">
        <v>38.470999999999997</v>
      </c>
      <c r="G166">
        <v>38.267000000000003</v>
      </c>
      <c r="H166">
        <v>37.86</v>
      </c>
      <c r="I166">
        <v>37.451999999999998</v>
      </c>
      <c r="M166">
        <v>2300</v>
      </c>
      <c r="N166">
        <v>39.493000000000002</v>
      </c>
      <c r="O166">
        <v>29.597000000000001</v>
      </c>
      <c r="P166">
        <v>19.722999999999999</v>
      </c>
      <c r="Q166">
        <v>9.8569999999999993</v>
      </c>
      <c r="R166">
        <v>0</v>
      </c>
      <c r="S166">
        <v>-9.8569999999999993</v>
      </c>
      <c r="T166">
        <v>-19.722000000000001</v>
      </c>
      <c r="U166">
        <v>-29.597000000000001</v>
      </c>
      <c r="V166">
        <v>-39.49</v>
      </c>
    </row>
    <row r="167" spans="1:22">
      <c r="A167">
        <v>1200</v>
      </c>
      <c r="B167">
        <v>41.14</v>
      </c>
      <c r="C167">
        <v>40.731999999999999</v>
      </c>
      <c r="D167">
        <v>40.529000000000003</v>
      </c>
      <c r="E167">
        <v>40.325000000000003</v>
      </c>
      <c r="F167">
        <v>40.121000000000002</v>
      </c>
      <c r="G167">
        <v>39.917999999999999</v>
      </c>
      <c r="H167">
        <v>39.51</v>
      </c>
      <c r="I167">
        <v>39.103000000000002</v>
      </c>
      <c r="M167">
        <v>2400</v>
      </c>
      <c r="N167">
        <v>39.491999999999997</v>
      </c>
      <c r="O167">
        <v>29.597000000000001</v>
      </c>
      <c r="P167">
        <v>19.722000000000001</v>
      </c>
      <c r="Q167">
        <v>9.8569999999999993</v>
      </c>
      <c r="R167">
        <v>0</v>
      </c>
      <c r="S167">
        <v>-9.8569999999999993</v>
      </c>
      <c r="T167">
        <v>-19.722000000000001</v>
      </c>
      <c r="U167">
        <v>-29.597999999999999</v>
      </c>
      <c r="V167">
        <v>-39.491</v>
      </c>
    </row>
    <row r="168" spans="1:22">
      <c r="A168">
        <v>1250</v>
      </c>
      <c r="B168">
        <v>42.79</v>
      </c>
      <c r="C168">
        <v>42.383000000000003</v>
      </c>
      <c r="D168">
        <v>42.179000000000002</v>
      </c>
      <c r="E168">
        <v>41.975000000000001</v>
      </c>
      <c r="F168">
        <v>41.771999999999998</v>
      </c>
      <c r="G168">
        <v>41.567999999999998</v>
      </c>
      <c r="H168">
        <v>41.16</v>
      </c>
      <c r="I168">
        <v>40.753</v>
      </c>
      <c r="M168">
        <v>2500</v>
      </c>
      <c r="N168">
        <v>39.491</v>
      </c>
      <c r="O168">
        <v>29.597000000000001</v>
      </c>
      <c r="P168">
        <v>19.722000000000001</v>
      </c>
      <c r="Q168">
        <v>9.8569999999999993</v>
      </c>
      <c r="R168">
        <v>0</v>
      </c>
      <c r="S168">
        <v>-9.8569999999999993</v>
      </c>
      <c r="T168">
        <v>-19.722000000000001</v>
      </c>
      <c r="U168">
        <v>-29.597999999999999</v>
      </c>
      <c r="V168">
        <v>-39.491999999999997</v>
      </c>
    </row>
    <row r="169" spans="1:22">
      <c r="A169">
        <v>1300</v>
      </c>
      <c r="B169">
        <v>44.44</v>
      </c>
      <c r="C169">
        <v>44.033000000000001</v>
      </c>
      <c r="D169">
        <v>43.829000000000001</v>
      </c>
      <c r="E169">
        <v>43.625999999999998</v>
      </c>
      <c r="F169">
        <v>43.421999999999997</v>
      </c>
      <c r="G169">
        <v>43.218000000000004</v>
      </c>
      <c r="H169">
        <v>42.811</v>
      </c>
      <c r="I169">
        <v>42.402999999999999</v>
      </c>
      <c r="M169">
        <v>2600</v>
      </c>
      <c r="N169">
        <v>39.491</v>
      </c>
      <c r="O169">
        <v>29.596</v>
      </c>
      <c r="P169">
        <v>19.722000000000001</v>
      </c>
      <c r="Q169">
        <v>9.8569999999999993</v>
      </c>
      <c r="R169">
        <v>0</v>
      </c>
      <c r="S169">
        <v>-9.8569999999999993</v>
      </c>
      <c r="T169">
        <v>-19.722000000000001</v>
      </c>
      <c r="U169">
        <v>-29.597999999999999</v>
      </c>
      <c r="V169">
        <v>-39.491999999999997</v>
      </c>
    </row>
    <row r="170" spans="1:22">
      <c r="A170">
        <v>1350</v>
      </c>
      <c r="B170">
        <v>46.091000000000001</v>
      </c>
      <c r="C170">
        <v>45.683</v>
      </c>
      <c r="D170">
        <v>45.48</v>
      </c>
      <c r="E170">
        <v>45.276000000000003</v>
      </c>
      <c r="F170">
        <v>45.072000000000003</v>
      </c>
      <c r="G170">
        <v>44.868000000000002</v>
      </c>
      <c r="H170">
        <v>44.460999999999999</v>
      </c>
      <c r="I170">
        <v>44.052999999999997</v>
      </c>
      <c r="M170">
        <v>2700</v>
      </c>
      <c r="N170">
        <v>39.493000000000002</v>
      </c>
      <c r="O170">
        <v>29.597999999999999</v>
      </c>
      <c r="P170">
        <v>19.722000000000001</v>
      </c>
      <c r="Q170">
        <v>9.8569999999999993</v>
      </c>
      <c r="R170">
        <v>0</v>
      </c>
      <c r="S170">
        <v>-9.8569999999999993</v>
      </c>
      <c r="T170">
        <v>-19.722000000000001</v>
      </c>
      <c r="U170">
        <v>-29.596</v>
      </c>
      <c r="V170">
        <v>-39.491</v>
      </c>
    </row>
    <row r="171" spans="1:22">
      <c r="A171">
        <v>1400</v>
      </c>
      <c r="B171">
        <v>47.741</v>
      </c>
      <c r="C171">
        <v>47.332999999999998</v>
      </c>
      <c r="D171">
        <v>47.13</v>
      </c>
      <c r="E171">
        <v>46.926000000000002</v>
      </c>
      <c r="F171">
        <v>46.722000000000001</v>
      </c>
      <c r="G171">
        <v>46.518999999999998</v>
      </c>
      <c r="H171">
        <v>46.110999999999997</v>
      </c>
      <c r="I171">
        <v>45.704000000000001</v>
      </c>
      <c r="M171">
        <v>2800</v>
      </c>
      <c r="N171">
        <v>39.491999999999997</v>
      </c>
      <c r="O171">
        <v>29.597000000000001</v>
      </c>
      <c r="P171">
        <v>19.722000000000001</v>
      </c>
      <c r="Q171">
        <v>9.8569999999999993</v>
      </c>
      <c r="R171">
        <v>0</v>
      </c>
      <c r="S171">
        <v>-9.8580000000000005</v>
      </c>
      <c r="T171">
        <v>-19.722999999999999</v>
      </c>
      <c r="U171">
        <v>-29.597000000000001</v>
      </c>
      <c r="V171">
        <v>-39.491999999999997</v>
      </c>
    </row>
    <row r="172" spans="1:22">
      <c r="A172">
        <v>1450</v>
      </c>
      <c r="B172">
        <v>49.390999999999998</v>
      </c>
      <c r="C172">
        <v>48.984000000000002</v>
      </c>
      <c r="D172">
        <v>48.78</v>
      </c>
      <c r="E172">
        <v>48.576000000000001</v>
      </c>
      <c r="F172">
        <v>48.372</v>
      </c>
      <c r="G172">
        <v>48.168999999999997</v>
      </c>
      <c r="H172">
        <v>47.761000000000003</v>
      </c>
      <c r="I172">
        <v>47.353999999999999</v>
      </c>
      <c r="M172">
        <v>2900</v>
      </c>
      <c r="N172">
        <v>39.491</v>
      </c>
      <c r="O172">
        <v>29.597000000000001</v>
      </c>
      <c r="P172">
        <v>19.722000000000001</v>
      </c>
      <c r="Q172">
        <v>9.8569999999999993</v>
      </c>
      <c r="R172">
        <v>0</v>
      </c>
      <c r="S172">
        <v>-9.8569999999999993</v>
      </c>
      <c r="T172">
        <v>-19.722000000000001</v>
      </c>
      <c r="U172">
        <v>-29.597000000000001</v>
      </c>
      <c r="V172">
        <v>-39.491999999999997</v>
      </c>
    </row>
    <row r="173" spans="1:22">
      <c r="A173">
        <v>1500</v>
      </c>
      <c r="B173">
        <v>51.040999999999997</v>
      </c>
      <c r="C173">
        <v>50.634</v>
      </c>
      <c r="D173">
        <v>50.43</v>
      </c>
      <c r="E173">
        <v>50.226999999999997</v>
      </c>
      <c r="F173">
        <v>50.023000000000003</v>
      </c>
      <c r="G173">
        <v>49.819000000000003</v>
      </c>
      <c r="H173">
        <v>49.411000000000001</v>
      </c>
      <c r="I173">
        <v>49.003999999999998</v>
      </c>
      <c r="M173">
        <v>3000</v>
      </c>
      <c r="N173">
        <v>39.491999999999997</v>
      </c>
      <c r="O173">
        <v>29.597000000000001</v>
      </c>
      <c r="P173">
        <v>19.721</v>
      </c>
      <c r="Q173">
        <v>9.8569999999999993</v>
      </c>
      <c r="R173">
        <v>0</v>
      </c>
      <c r="S173">
        <v>-9.8580000000000005</v>
      </c>
      <c r="T173">
        <v>-19.722999999999999</v>
      </c>
      <c r="U173">
        <v>-29.597999999999999</v>
      </c>
      <c r="V173">
        <v>-39.49</v>
      </c>
    </row>
    <row r="174" spans="1:22">
      <c r="A174">
        <v>1550</v>
      </c>
      <c r="B174">
        <v>52.692</v>
      </c>
      <c r="C174">
        <v>52.283999999999999</v>
      </c>
      <c r="D174">
        <v>52.08</v>
      </c>
      <c r="E174">
        <v>51.877000000000002</v>
      </c>
      <c r="F174">
        <v>51.673000000000002</v>
      </c>
      <c r="G174">
        <v>51.469000000000001</v>
      </c>
      <c r="H174">
        <v>51.061999999999998</v>
      </c>
      <c r="I174">
        <v>50.654000000000003</v>
      </c>
      <c r="M174">
        <v>3100</v>
      </c>
      <c r="N174">
        <v>39.491999999999997</v>
      </c>
      <c r="O174">
        <v>29.597000000000001</v>
      </c>
      <c r="P174">
        <v>19.722000000000001</v>
      </c>
      <c r="Q174">
        <v>9.8569999999999993</v>
      </c>
      <c r="R174">
        <v>0</v>
      </c>
      <c r="S174">
        <v>-9.8569999999999993</v>
      </c>
      <c r="T174">
        <v>-19.722999999999999</v>
      </c>
      <c r="U174">
        <v>-29.597999999999999</v>
      </c>
      <c r="V174">
        <v>-39.491999999999997</v>
      </c>
    </row>
    <row r="175" spans="1:22">
      <c r="A175">
        <v>1600</v>
      </c>
      <c r="B175">
        <v>54.341999999999999</v>
      </c>
      <c r="C175">
        <v>53.933999999999997</v>
      </c>
      <c r="D175">
        <v>53.731000000000002</v>
      </c>
      <c r="E175">
        <v>53.527000000000001</v>
      </c>
      <c r="F175">
        <v>53.323</v>
      </c>
      <c r="G175">
        <v>53.119</v>
      </c>
      <c r="H175">
        <v>52.712000000000003</v>
      </c>
      <c r="I175">
        <v>52.305</v>
      </c>
      <c r="M175">
        <v>3200</v>
      </c>
      <c r="N175">
        <v>39.491</v>
      </c>
      <c r="O175">
        <v>29.596</v>
      </c>
      <c r="P175">
        <v>19.722999999999999</v>
      </c>
      <c r="Q175">
        <v>9.8569999999999993</v>
      </c>
      <c r="R175">
        <v>0</v>
      </c>
      <c r="S175">
        <v>-9.8569999999999993</v>
      </c>
      <c r="T175">
        <v>-19.721</v>
      </c>
      <c r="U175">
        <v>-29.597999999999999</v>
      </c>
      <c r="V175">
        <v>-39.491999999999997</v>
      </c>
    </row>
    <row r="176" spans="1:22">
      <c r="A176">
        <v>1650</v>
      </c>
      <c r="B176">
        <v>55.991999999999997</v>
      </c>
      <c r="C176">
        <v>55.585000000000001</v>
      </c>
      <c r="D176">
        <v>55.381</v>
      </c>
      <c r="E176">
        <v>55.177</v>
      </c>
      <c r="F176">
        <v>54.972999999999999</v>
      </c>
      <c r="G176">
        <v>54.77</v>
      </c>
      <c r="H176">
        <v>54.362000000000002</v>
      </c>
      <c r="I176">
        <v>53.954999999999998</v>
      </c>
      <c r="M176">
        <v>3300</v>
      </c>
      <c r="N176">
        <v>39.493000000000002</v>
      </c>
      <c r="O176">
        <v>29.596</v>
      </c>
      <c r="P176">
        <v>19.722999999999999</v>
      </c>
      <c r="Q176">
        <v>9.8569999999999993</v>
      </c>
      <c r="R176">
        <v>0</v>
      </c>
      <c r="S176">
        <v>-9.8580000000000005</v>
      </c>
      <c r="T176">
        <v>-19.721</v>
      </c>
      <c r="U176">
        <v>-29.597999999999999</v>
      </c>
      <c r="V176">
        <v>-39.49</v>
      </c>
    </row>
    <row r="177" spans="1:22">
      <c r="A177">
        <v>1700</v>
      </c>
      <c r="B177">
        <v>57.642000000000003</v>
      </c>
      <c r="C177">
        <v>57.234999999999999</v>
      </c>
      <c r="D177">
        <v>57.030999999999999</v>
      </c>
      <c r="E177">
        <v>56.826999999999998</v>
      </c>
      <c r="F177">
        <v>56.624000000000002</v>
      </c>
      <c r="G177">
        <v>56.42</v>
      </c>
      <c r="H177">
        <v>56.012999999999998</v>
      </c>
      <c r="I177">
        <v>55.604999999999997</v>
      </c>
      <c r="M177">
        <v>3400</v>
      </c>
      <c r="N177">
        <v>39.491999999999997</v>
      </c>
      <c r="O177">
        <v>29.597999999999999</v>
      </c>
      <c r="P177">
        <v>19.722999999999999</v>
      </c>
      <c r="Q177">
        <v>9.8569999999999993</v>
      </c>
      <c r="R177">
        <v>0</v>
      </c>
      <c r="S177">
        <v>-9.8569999999999993</v>
      </c>
      <c r="T177">
        <v>-19.721</v>
      </c>
      <c r="U177">
        <v>-29.596</v>
      </c>
      <c r="V177">
        <v>-39.491</v>
      </c>
    </row>
    <row r="178" spans="1:22">
      <c r="A178">
        <v>1750</v>
      </c>
      <c r="B178">
        <v>59.292000000000002</v>
      </c>
      <c r="C178">
        <v>58.884999999999998</v>
      </c>
      <c r="D178">
        <v>58.680999999999997</v>
      </c>
      <c r="E178">
        <v>58.478000000000002</v>
      </c>
      <c r="F178">
        <v>58.274000000000001</v>
      </c>
      <c r="G178">
        <v>58.07</v>
      </c>
      <c r="H178">
        <v>57.662999999999997</v>
      </c>
      <c r="I178">
        <v>57.250999999999998</v>
      </c>
      <c r="M178">
        <v>3500</v>
      </c>
      <c r="N178">
        <v>39.491999999999997</v>
      </c>
      <c r="O178">
        <v>29.597000000000001</v>
      </c>
      <c r="P178">
        <v>19.722999999999999</v>
      </c>
      <c r="Q178">
        <v>9.8569999999999993</v>
      </c>
      <c r="R178">
        <v>0</v>
      </c>
      <c r="S178">
        <v>-9.8580000000000005</v>
      </c>
      <c r="T178">
        <v>-19.722000000000001</v>
      </c>
      <c r="U178">
        <v>-29.597000000000001</v>
      </c>
      <c r="V178">
        <v>-39.491</v>
      </c>
    </row>
    <row r="179" spans="1:22">
      <c r="A179">
        <v>1800</v>
      </c>
      <c r="B179">
        <v>60.942999999999998</v>
      </c>
      <c r="C179">
        <v>60.534999999999997</v>
      </c>
      <c r="D179">
        <v>60.332000000000001</v>
      </c>
      <c r="E179">
        <v>60.128</v>
      </c>
      <c r="F179">
        <v>59.923999999999999</v>
      </c>
      <c r="G179">
        <v>59.72</v>
      </c>
      <c r="H179">
        <v>59.313000000000002</v>
      </c>
      <c r="I179">
        <v>58.905000000000001</v>
      </c>
      <c r="M179">
        <v>3600</v>
      </c>
      <c r="N179">
        <v>39.491</v>
      </c>
      <c r="O179">
        <v>29.597000000000001</v>
      </c>
      <c r="P179">
        <v>19.722999999999999</v>
      </c>
      <c r="Q179">
        <v>9.8569999999999993</v>
      </c>
      <c r="R179">
        <v>0</v>
      </c>
      <c r="S179">
        <v>-9.8580000000000005</v>
      </c>
      <c r="T179">
        <v>-19.722000000000001</v>
      </c>
      <c r="U179">
        <v>-29.597000000000001</v>
      </c>
      <c r="V179">
        <v>-39.491999999999997</v>
      </c>
    </row>
    <row r="180" spans="1:22">
      <c r="A180">
        <v>1850</v>
      </c>
      <c r="B180">
        <v>62.593000000000004</v>
      </c>
      <c r="C180">
        <v>62.186</v>
      </c>
      <c r="D180">
        <v>61.981999999999999</v>
      </c>
      <c r="E180">
        <v>61.777999999999999</v>
      </c>
      <c r="F180">
        <v>61.573999999999998</v>
      </c>
      <c r="G180">
        <v>61.371000000000002</v>
      </c>
      <c r="H180">
        <v>60.963000000000001</v>
      </c>
      <c r="I180">
        <v>60.555999999999997</v>
      </c>
      <c r="M180">
        <v>3700</v>
      </c>
      <c r="N180">
        <v>39.493000000000002</v>
      </c>
      <c r="O180">
        <v>29.597000000000001</v>
      </c>
      <c r="P180">
        <v>19.722999999999999</v>
      </c>
      <c r="Q180">
        <v>9.8569999999999993</v>
      </c>
      <c r="R180">
        <v>0</v>
      </c>
      <c r="S180">
        <v>-9.8580000000000005</v>
      </c>
      <c r="T180">
        <v>-19.722000000000001</v>
      </c>
      <c r="U180">
        <v>-29.597000000000001</v>
      </c>
      <c r="V180">
        <v>-39.491</v>
      </c>
    </row>
    <row r="181" spans="1:22">
      <c r="A181">
        <v>1900</v>
      </c>
      <c r="B181">
        <v>64.242999999999995</v>
      </c>
      <c r="C181">
        <v>63.835999999999999</v>
      </c>
      <c r="D181">
        <v>63.631999999999998</v>
      </c>
      <c r="E181">
        <v>63.427999999999997</v>
      </c>
      <c r="F181">
        <v>63.225000000000001</v>
      </c>
      <c r="G181">
        <v>63.021000000000001</v>
      </c>
      <c r="H181">
        <v>62.613</v>
      </c>
      <c r="I181">
        <v>62.206000000000003</v>
      </c>
      <c r="M181">
        <v>3800</v>
      </c>
      <c r="N181">
        <v>39.491999999999997</v>
      </c>
      <c r="O181">
        <v>29.596</v>
      </c>
      <c r="P181">
        <v>19.722000000000001</v>
      </c>
      <c r="Q181">
        <v>9.8569999999999993</v>
      </c>
      <c r="R181">
        <v>0</v>
      </c>
      <c r="S181">
        <v>-9.8580000000000005</v>
      </c>
      <c r="T181">
        <v>-19.722000000000001</v>
      </c>
      <c r="U181">
        <v>-29.597999999999999</v>
      </c>
      <c r="V181">
        <v>-39.491999999999997</v>
      </c>
    </row>
    <row r="182" spans="1:22">
      <c r="A182">
        <v>1950</v>
      </c>
      <c r="B182">
        <v>65.893000000000001</v>
      </c>
      <c r="C182">
        <v>65.486000000000004</v>
      </c>
      <c r="D182">
        <v>65.281999999999996</v>
      </c>
      <c r="E182">
        <v>65.078999999999994</v>
      </c>
      <c r="F182">
        <v>64.875</v>
      </c>
      <c r="G182">
        <v>64.671000000000006</v>
      </c>
      <c r="H182">
        <v>64.263999999999996</v>
      </c>
      <c r="I182">
        <v>63.856000000000002</v>
      </c>
      <c r="M182">
        <v>3900</v>
      </c>
      <c r="N182">
        <v>39.491</v>
      </c>
      <c r="O182">
        <v>29.596</v>
      </c>
      <c r="P182">
        <v>19.722999999999999</v>
      </c>
      <c r="Q182">
        <v>9.8580000000000005</v>
      </c>
      <c r="R182">
        <v>0</v>
      </c>
      <c r="S182">
        <v>-9.8569999999999993</v>
      </c>
      <c r="T182">
        <v>-19.722000000000001</v>
      </c>
      <c r="U182">
        <v>-29.597999999999999</v>
      </c>
      <c r="V182">
        <v>-39.491999999999997</v>
      </c>
    </row>
    <row r="183" spans="1:22">
      <c r="A183">
        <v>2000</v>
      </c>
      <c r="B183">
        <v>67.543999999999997</v>
      </c>
      <c r="C183">
        <v>67.135999999999996</v>
      </c>
      <c r="D183">
        <v>66.933000000000007</v>
      </c>
      <c r="E183">
        <v>66.728999999999999</v>
      </c>
      <c r="F183">
        <v>66.525000000000006</v>
      </c>
      <c r="G183">
        <v>66.320999999999998</v>
      </c>
      <c r="H183">
        <v>65.914000000000001</v>
      </c>
      <c r="I183">
        <v>65.507000000000005</v>
      </c>
      <c r="M183">
        <v>4000</v>
      </c>
      <c r="N183">
        <v>39.494</v>
      </c>
      <c r="O183">
        <v>29.597999999999999</v>
      </c>
      <c r="P183">
        <v>19.722000000000001</v>
      </c>
      <c r="Q183">
        <v>9.8569999999999993</v>
      </c>
      <c r="R183">
        <v>0</v>
      </c>
      <c r="S183">
        <v>-9.8580000000000005</v>
      </c>
      <c r="T183">
        <v>-19.722000000000001</v>
      </c>
      <c r="U183">
        <v>-29.596</v>
      </c>
      <c r="V183">
        <v>-39.49</v>
      </c>
    </row>
    <row r="184" spans="1:22">
      <c r="A184">
        <v>2050</v>
      </c>
      <c r="B184">
        <v>69.194000000000003</v>
      </c>
      <c r="C184">
        <v>68.786000000000001</v>
      </c>
      <c r="D184">
        <v>68.582999999999998</v>
      </c>
      <c r="E184">
        <v>68.379000000000005</v>
      </c>
      <c r="F184">
        <v>68.174999999999997</v>
      </c>
      <c r="G184">
        <v>67.971999999999994</v>
      </c>
      <c r="H184">
        <v>67.563999999999993</v>
      </c>
      <c r="I184">
        <v>67.156999999999996</v>
      </c>
      <c r="M184">
        <v>4100</v>
      </c>
      <c r="N184">
        <v>39.491999999999997</v>
      </c>
      <c r="O184">
        <v>29.597000000000001</v>
      </c>
      <c r="P184">
        <v>19.722000000000001</v>
      </c>
      <c r="Q184">
        <v>9.8569999999999993</v>
      </c>
      <c r="R184">
        <v>0</v>
      </c>
      <c r="S184">
        <v>-9.8580000000000005</v>
      </c>
      <c r="T184">
        <v>-19.722999999999999</v>
      </c>
      <c r="U184">
        <v>-29.597999999999999</v>
      </c>
      <c r="V184">
        <v>-39.491999999999997</v>
      </c>
    </row>
    <row r="185" spans="1:22">
      <c r="A185">
        <v>2100</v>
      </c>
      <c r="B185">
        <v>70.843999999999994</v>
      </c>
      <c r="C185">
        <v>70.436999999999998</v>
      </c>
      <c r="D185">
        <v>70.233000000000004</v>
      </c>
      <c r="E185">
        <v>70.028999999999996</v>
      </c>
      <c r="F185">
        <v>69.825999999999993</v>
      </c>
      <c r="G185">
        <v>69.622</v>
      </c>
      <c r="H185">
        <v>69.213999999999999</v>
      </c>
      <c r="I185">
        <v>68.807000000000002</v>
      </c>
      <c r="M185">
        <v>4200</v>
      </c>
      <c r="N185">
        <v>39.491999999999997</v>
      </c>
      <c r="O185">
        <v>29.597000000000001</v>
      </c>
      <c r="P185">
        <v>19.722000000000001</v>
      </c>
      <c r="Q185">
        <v>9.8559999999999999</v>
      </c>
      <c r="R185">
        <v>0</v>
      </c>
      <c r="S185">
        <v>-9.8580000000000005</v>
      </c>
      <c r="T185">
        <v>-19.722999999999999</v>
      </c>
      <c r="U185">
        <v>-29.597000000000001</v>
      </c>
      <c r="V185">
        <v>-39.664000000000001</v>
      </c>
    </row>
    <row r="186" spans="1:22">
      <c r="A186">
        <v>2150</v>
      </c>
      <c r="B186">
        <v>72.494</v>
      </c>
      <c r="C186">
        <v>72.087000000000003</v>
      </c>
      <c r="D186">
        <v>71.882999999999996</v>
      </c>
      <c r="E186">
        <v>71.680000000000007</v>
      </c>
      <c r="F186">
        <v>71.475999999999999</v>
      </c>
      <c r="G186">
        <v>71.272000000000006</v>
      </c>
      <c r="H186">
        <v>70.864999999999995</v>
      </c>
      <c r="I186">
        <v>70.456999999999994</v>
      </c>
      <c r="M186">
        <v>4300</v>
      </c>
      <c r="N186">
        <v>39.491</v>
      </c>
      <c r="O186">
        <v>29.597000000000001</v>
      </c>
      <c r="P186">
        <v>19.722000000000001</v>
      </c>
      <c r="Q186">
        <v>9.8569999999999993</v>
      </c>
      <c r="R186">
        <v>0</v>
      </c>
      <c r="S186">
        <v>-9.8580000000000005</v>
      </c>
      <c r="T186">
        <v>-19.768000000000001</v>
      </c>
      <c r="U186">
        <v>-30.370999999999999</v>
      </c>
      <c r="V186">
        <v>-41.607999999999997</v>
      </c>
    </row>
    <row r="187" spans="1:22">
      <c r="A187">
        <v>2200</v>
      </c>
      <c r="B187">
        <v>74.144999999999996</v>
      </c>
      <c r="C187">
        <v>73.736999999999995</v>
      </c>
      <c r="D187">
        <v>73.533000000000001</v>
      </c>
      <c r="E187">
        <v>73.33</v>
      </c>
      <c r="F187">
        <v>73.126000000000005</v>
      </c>
      <c r="G187">
        <v>72.921999999999997</v>
      </c>
      <c r="H187">
        <v>72.515000000000001</v>
      </c>
      <c r="I187">
        <v>72.106999999999999</v>
      </c>
      <c r="M187">
        <v>4400</v>
      </c>
      <c r="N187">
        <v>40.716999999999999</v>
      </c>
      <c r="O187">
        <v>30.513999999999999</v>
      </c>
      <c r="P187">
        <v>20.332999999999998</v>
      </c>
      <c r="Q187">
        <v>10.162000000000001</v>
      </c>
      <c r="R187">
        <v>0</v>
      </c>
      <c r="S187">
        <v>-10.439</v>
      </c>
      <c r="T187">
        <v>-21.888000000000002</v>
      </c>
      <c r="U187">
        <v>-35.158000000000001</v>
      </c>
      <c r="V187">
        <v>-49.869</v>
      </c>
    </row>
    <row r="188" spans="1:22">
      <c r="A188">
        <v>2.25</v>
      </c>
      <c r="B188">
        <v>75.795000000000002</v>
      </c>
      <c r="C188">
        <v>75.387</v>
      </c>
      <c r="D188">
        <v>75.183999999999997</v>
      </c>
      <c r="E188">
        <v>74.98</v>
      </c>
      <c r="F188">
        <v>74.775999999999996</v>
      </c>
      <c r="G188">
        <v>74.572999999999993</v>
      </c>
      <c r="H188">
        <v>74.165000000000006</v>
      </c>
      <c r="I188">
        <v>73.757999999999996</v>
      </c>
      <c r="M188">
        <v>4500</v>
      </c>
      <c r="N188">
        <v>54.951000000000001</v>
      </c>
      <c r="O188">
        <v>42.155999999999999</v>
      </c>
      <c r="P188">
        <v>29.388999999999999</v>
      </c>
      <c r="Q188">
        <v>16.12</v>
      </c>
      <c r="R188">
        <v>0</v>
      </c>
      <c r="S188">
        <v>-15.555999999999999</v>
      </c>
      <c r="T188">
        <v>-32.411000000000001</v>
      </c>
      <c r="U188">
        <v>-50.003999999999998</v>
      </c>
      <c r="V188">
        <v>-68.119</v>
      </c>
    </row>
    <row r="189" spans="1:22">
      <c r="A189">
        <v>2300</v>
      </c>
      <c r="B189">
        <v>77.444999999999993</v>
      </c>
      <c r="C189">
        <v>77.037999999999997</v>
      </c>
      <c r="D189">
        <v>76.834000000000003</v>
      </c>
      <c r="E189">
        <v>76.63</v>
      </c>
      <c r="F189">
        <v>76.426000000000002</v>
      </c>
      <c r="G189">
        <v>76.222999999999999</v>
      </c>
      <c r="H189">
        <v>75.814999999999998</v>
      </c>
      <c r="I189">
        <v>75.408000000000001</v>
      </c>
      <c r="M189">
        <v>4600</v>
      </c>
      <c r="N189">
        <v>131.34200000000001</v>
      </c>
      <c r="O189">
        <v>125.35</v>
      </c>
      <c r="P189">
        <v>75.13</v>
      </c>
      <c r="Q189">
        <v>37.686</v>
      </c>
      <c r="R189">
        <v>0</v>
      </c>
      <c r="S189">
        <v>-24.228000000000002</v>
      </c>
      <c r="T189">
        <v>-48.494999999999997</v>
      </c>
      <c r="U189">
        <v>-72.805000000000007</v>
      </c>
      <c r="V189">
        <v>-97.167000000000002</v>
      </c>
    </row>
    <row r="190" spans="1:22">
      <c r="A190">
        <v>2350</v>
      </c>
      <c r="B190">
        <v>79.094999999999999</v>
      </c>
      <c r="C190">
        <v>78.688000000000002</v>
      </c>
      <c r="D190">
        <v>78.483999999999995</v>
      </c>
      <c r="E190">
        <v>78.28</v>
      </c>
      <c r="F190">
        <v>78.076999999999998</v>
      </c>
      <c r="G190">
        <v>77.873000000000005</v>
      </c>
      <c r="H190">
        <v>77.465000000000003</v>
      </c>
      <c r="I190">
        <v>77.058000000000007</v>
      </c>
      <c r="M190">
        <v>4700</v>
      </c>
      <c r="N190">
        <v>100</v>
      </c>
      <c r="O190">
        <v>100</v>
      </c>
      <c r="P190">
        <v>100</v>
      </c>
      <c r="Q190">
        <v>84.534999999999997</v>
      </c>
      <c r="R190">
        <v>0</v>
      </c>
      <c r="S190">
        <v>-32.963000000000001</v>
      </c>
      <c r="T190">
        <v>-67.763000000000005</v>
      </c>
      <c r="U190">
        <v>-102.292</v>
      </c>
      <c r="V190">
        <v>-125.67400000000001</v>
      </c>
    </row>
    <row r="191" spans="1:22">
      <c r="A191">
        <v>2400</v>
      </c>
      <c r="B191">
        <v>80.745999999999995</v>
      </c>
      <c r="C191">
        <v>80.337999999999994</v>
      </c>
      <c r="D191">
        <v>80.134</v>
      </c>
      <c r="E191">
        <v>79.930999999999997</v>
      </c>
      <c r="F191">
        <v>79.727000000000004</v>
      </c>
      <c r="G191">
        <v>79.522999999999996</v>
      </c>
      <c r="H191">
        <v>79.116</v>
      </c>
      <c r="I191">
        <v>78.707999999999998</v>
      </c>
      <c r="M191">
        <v>4800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-18.396000000000001</v>
      </c>
      <c r="T191">
        <v>-87.57</v>
      </c>
      <c r="U191">
        <v>-123.878</v>
      </c>
      <c r="V191">
        <v>-154.71600000000001</v>
      </c>
    </row>
    <row r="192" spans="1:22">
      <c r="A192">
        <v>2450</v>
      </c>
      <c r="B192">
        <v>82.396000000000001</v>
      </c>
      <c r="C192">
        <v>81.988</v>
      </c>
      <c r="D192">
        <v>81.784999999999997</v>
      </c>
      <c r="E192">
        <v>81.581000000000003</v>
      </c>
      <c r="F192">
        <v>81.376999999999995</v>
      </c>
      <c r="G192">
        <v>81.174000000000007</v>
      </c>
      <c r="H192">
        <v>80.766000000000005</v>
      </c>
      <c r="I192">
        <v>80.358999999999995</v>
      </c>
      <c r="M192">
        <v>4900</v>
      </c>
      <c r="N192">
        <v>0</v>
      </c>
      <c r="O192">
        <v>0</v>
      </c>
      <c r="P192">
        <v>0</v>
      </c>
      <c r="Q192">
        <v>0</v>
      </c>
      <c r="R192">
        <v>0</v>
      </c>
      <c r="U192">
        <v>-125.196</v>
      </c>
      <c r="V192">
        <v>-186.97300000000001</v>
      </c>
    </row>
    <row r="193" spans="1:22">
      <c r="A193">
        <v>2500</v>
      </c>
      <c r="B193">
        <v>84.046000000000006</v>
      </c>
      <c r="C193">
        <v>83.638999999999996</v>
      </c>
      <c r="D193">
        <v>83.435000000000002</v>
      </c>
      <c r="E193">
        <v>83.230999999999995</v>
      </c>
      <c r="F193">
        <v>83.027000000000001</v>
      </c>
      <c r="G193">
        <v>82.823999999999998</v>
      </c>
      <c r="H193">
        <v>82.415999999999997</v>
      </c>
      <c r="I193">
        <v>82.009</v>
      </c>
      <c r="M193">
        <v>4960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-180.923</v>
      </c>
    </row>
    <row r="194" spans="1:22">
      <c r="A194">
        <v>2550</v>
      </c>
      <c r="B194">
        <v>85.695999999999998</v>
      </c>
      <c r="C194">
        <v>85.289000000000001</v>
      </c>
      <c r="D194">
        <v>85.084999999999994</v>
      </c>
      <c r="E194">
        <v>84.881</v>
      </c>
      <c r="F194">
        <v>84.677999999999997</v>
      </c>
      <c r="G194">
        <v>84.474000000000004</v>
      </c>
      <c r="H194">
        <v>84.066000000000003</v>
      </c>
      <c r="I194">
        <v>83.659000000000006</v>
      </c>
    </row>
    <row r="195" spans="1:22">
      <c r="A195">
        <v>2600</v>
      </c>
      <c r="B195">
        <v>87.346999999999994</v>
      </c>
      <c r="C195">
        <v>86.938999999999993</v>
      </c>
      <c r="D195">
        <v>86.734999999999999</v>
      </c>
      <c r="E195">
        <v>86.531999999999996</v>
      </c>
      <c r="F195">
        <v>86.328000000000003</v>
      </c>
      <c r="G195">
        <v>86.123999999999995</v>
      </c>
      <c r="H195">
        <v>85.716999999999999</v>
      </c>
      <c r="I195">
        <v>85.308999999999997</v>
      </c>
    </row>
    <row r="196" spans="1:22">
      <c r="A196">
        <v>2650</v>
      </c>
      <c r="B196">
        <v>88.997</v>
      </c>
      <c r="C196">
        <v>88.588999999999999</v>
      </c>
      <c r="D196">
        <v>88.385999999999996</v>
      </c>
      <c r="E196">
        <v>88.182000000000002</v>
      </c>
      <c r="F196">
        <v>87.977999999999994</v>
      </c>
      <c r="G196">
        <v>87.774000000000001</v>
      </c>
      <c r="H196">
        <v>87.367000000000004</v>
      </c>
      <c r="I196">
        <v>86.959000000000003</v>
      </c>
    </row>
    <row r="197" spans="1:22">
      <c r="A197">
        <v>2700</v>
      </c>
      <c r="B197">
        <v>90.647000000000006</v>
      </c>
      <c r="C197">
        <v>90.24</v>
      </c>
      <c r="D197">
        <v>90.036000000000001</v>
      </c>
      <c r="E197">
        <v>89.831999999999994</v>
      </c>
      <c r="F197">
        <v>89.628</v>
      </c>
      <c r="G197">
        <v>89.424999999999997</v>
      </c>
      <c r="H197">
        <v>89.016999999999996</v>
      </c>
      <c r="I197">
        <v>88.61</v>
      </c>
    </row>
    <row r="198" spans="1:22">
      <c r="A198">
        <v>2750</v>
      </c>
      <c r="B198">
        <v>92.296999999999997</v>
      </c>
      <c r="C198">
        <v>91.89</v>
      </c>
      <c r="D198">
        <v>91.686000000000007</v>
      </c>
      <c r="E198">
        <v>91.481999999999999</v>
      </c>
      <c r="F198">
        <v>91.278999999999996</v>
      </c>
      <c r="G198">
        <v>91.075000000000003</v>
      </c>
      <c r="H198">
        <v>90.667000000000002</v>
      </c>
      <c r="I198">
        <v>90.26</v>
      </c>
    </row>
    <row r="199" spans="1:22">
      <c r="A199">
        <v>2800</v>
      </c>
      <c r="B199">
        <v>93.947000000000003</v>
      </c>
      <c r="C199">
        <v>93.54</v>
      </c>
      <c r="D199">
        <v>93.335999999999999</v>
      </c>
      <c r="E199">
        <v>93.132999999999996</v>
      </c>
      <c r="F199">
        <v>92.929000000000002</v>
      </c>
      <c r="G199">
        <v>92.724999999999994</v>
      </c>
      <c r="H199">
        <v>92.317999999999998</v>
      </c>
      <c r="I199">
        <v>91.91</v>
      </c>
    </row>
    <row r="200" spans="1:22">
      <c r="A200">
        <v>2850</v>
      </c>
      <c r="B200">
        <v>95.597999999999999</v>
      </c>
      <c r="C200">
        <v>95.19</v>
      </c>
      <c r="D200">
        <v>94.986999999999995</v>
      </c>
      <c r="E200">
        <v>94.783000000000001</v>
      </c>
      <c r="F200">
        <v>94.578999999999994</v>
      </c>
      <c r="G200">
        <v>94.375</v>
      </c>
      <c r="H200">
        <v>93.968000000000004</v>
      </c>
      <c r="I200">
        <v>93.56</v>
      </c>
    </row>
    <row r="201" spans="1:22">
      <c r="A201">
        <v>2900</v>
      </c>
      <c r="B201">
        <v>97.248000000000005</v>
      </c>
      <c r="C201">
        <v>96.84</v>
      </c>
      <c r="D201">
        <v>96.637</v>
      </c>
      <c r="E201">
        <v>96.433000000000007</v>
      </c>
      <c r="F201">
        <v>96.228999999999999</v>
      </c>
      <c r="G201">
        <v>96.025999999999996</v>
      </c>
      <c r="H201">
        <v>95.617999999999995</v>
      </c>
      <c r="I201">
        <v>95.210999999999999</v>
      </c>
    </row>
    <row r="202" spans="1:22">
      <c r="A202">
        <v>2950</v>
      </c>
      <c r="B202">
        <v>98.897999999999996</v>
      </c>
      <c r="C202">
        <v>98.491</v>
      </c>
      <c r="D202">
        <v>98.287000000000006</v>
      </c>
      <c r="E202">
        <v>98.082999999999998</v>
      </c>
      <c r="F202">
        <v>97.88</v>
      </c>
      <c r="G202">
        <v>97.676000000000002</v>
      </c>
      <c r="H202">
        <v>97.268000000000001</v>
      </c>
      <c r="I202">
        <v>96.861000000000004</v>
      </c>
    </row>
    <row r="203" spans="1:22">
      <c r="A203">
        <v>3000</v>
      </c>
      <c r="B203">
        <v>100.548</v>
      </c>
      <c r="C203">
        <v>100.14100000000001</v>
      </c>
      <c r="D203">
        <v>99.936999999999998</v>
      </c>
      <c r="E203">
        <v>99.733999999999995</v>
      </c>
      <c r="F203">
        <v>99.53</v>
      </c>
      <c r="G203">
        <v>99.325999999999993</v>
      </c>
      <c r="H203">
        <v>98.918999999999997</v>
      </c>
      <c r="I203">
        <v>98.510999999999996</v>
      </c>
    </row>
    <row r="204" spans="1:22">
      <c r="A204">
        <v>3050</v>
      </c>
      <c r="B204">
        <v>102.199</v>
      </c>
      <c r="C204">
        <v>101.791</v>
      </c>
      <c r="D204">
        <v>101.58799999999999</v>
      </c>
      <c r="E204">
        <v>101.384</v>
      </c>
      <c r="F204">
        <v>101.18</v>
      </c>
      <c r="G204">
        <v>100.976</v>
      </c>
      <c r="H204">
        <v>100.569</v>
      </c>
      <c r="I204">
        <v>100.161</v>
      </c>
    </row>
    <row r="205" spans="1:22">
      <c r="A205">
        <v>3100</v>
      </c>
      <c r="B205">
        <v>103.849</v>
      </c>
      <c r="C205">
        <v>103.441</v>
      </c>
      <c r="D205">
        <v>103.238</v>
      </c>
      <c r="E205">
        <v>103.03400000000001</v>
      </c>
      <c r="F205">
        <v>102.83</v>
      </c>
      <c r="G205">
        <v>102.627</v>
      </c>
      <c r="H205">
        <v>102.21899999999999</v>
      </c>
      <c r="I205">
        <v>101.812</v>
      </c>
    </row>
    <row r="206" spans="1:22">
      <c r="A206">
        <v>3150</v>
      </c>
      <c r="B206">
        <v>105.499</v>
      </c>
      <c r="C206">
        <v>105.092</v>
      </c>
      <c r="D206">
        <v>104.88800000000001</v>
      </c>
      <c r="E206">
        <v>104.684</v>
      </c>
      <c r="F206">
        <v>104.48099999999999</v>
      </c>
      <c r="G206">
        <v>104.277</v>
      </c>
      <c r="H206">
        <v>103.869</v>
      </c>
      <c r="I206">
        <v>103.462</v>
      </c>
    </row>
    <row r="207" spans="1:22">
      <c r="A207">
        <v>3200</v>
      </c>
      <c r="B207">
        <v>107.149</v>
      </c>
      <c r="C207">
        <v>106.742</v>
      </c>
      <c r="D207">
        <v>106.538</v>
      </c>
      <c r="E207">
        <v>106.33499999999999</v>
      </c>
      <c r="F207">
        <v>106.131</v>
      </c>
      <c r="G207">
        <v>105.92700000000001</v>
      </c>
      <c r="H207">
        <v>105.51900000000001</v>
      </c>
      <c r="I207">
        <v>105.11199999999999</v>
      </c>
    </row>
    <row r="208" spans="1:22">
      <c r="A208">
        <v>3250</v>
      </c>
      <c r="B208">
        <v>108.8</v>
      </c>
      <c r="C208">
        <v>108.392</v>
      </c>
      <c r="D208">
        <v>108.188</v>
      </c>
      <c r="E208">
        <v>107.985</v>
      </c>
      <c r="F208">
        <v>107.78100000000001</v>
      </c>
      <c r="G208">
        <v>107.577</v>
      </c>
      <c r="H208">
        <v>107.17</v>
      </c>
      <c r="I208">
        <v>106.762</v>
      </c>
    </row>
    <row r="209" spans="1:9">
      <c r="A209">
        <v>3300</v>
      </c>
      <c r="B209">
        <v>110.45</v>
      </c>
      <c r="C209">
        <v>110.042</v>
      </c>
      <c r="D209">
        <v>109.839</v>
      </c>
      <c r="E209">
        <v>109.63500000000001</v>
      </c>
      <c r="F209">
        <v>109.431</v>
      </c>
      <c r="G209">
        <v>109.227</v>
      </c>
      <c r="H209">
        <v>108.82</v>
      </c>
      <c r="I209">
        <v>108.413</v>
      </c>
    </row>
    <row r="210" spans="1:9">
      <c r="A210">
        <v>3350</v>
      </c>
      <c r="B210">
        <v>112.1</v>
      </c>
      <c r="C210">
        <v>111.693</v>
      </c>
      <c r="D210">
        <v>111.489</v>
      </c>
      <c r="E210">
        <v>111.285</v>
      </c>
      <c r="F210">
        <v>111.081</v>
      </c>
      <c r="G210">
        <v>110.878</v>
      </c>
      <c r="H210">
        <v>110.47</v>
      </c>
      <c r="I210">
        <v>110.063</v>
      </c>
    </row>
    <row r="211" spans="1:9">
      <c r="A211">
        <v>3400</v>
      </c>
      <c r="B211">
        <v>113.75</v>
      </c>
      <c r="C211">
        <v>113.343</v>
      </c>
      <c r="D211">
        <v>113.139</v>
      </c>
      <c r="E211">
        <v>112.935</v>
      </c>
      <c r="F211">
        <v>112.732</v>
      </c>
      <c r="G211">
        <v>112.52800000000001</v>
      </c>
      <c r="H211">
        <v>112.12</v>
      </c>
      <c r="I211">
        <v>111.71299999999999</v>
      </c>
    </row>
    <row r="212" spans="1:9">
      <c r="A212">
        <v>3450</v>
      </c>
      <c r="B212">
        <v>115.401</v>
      </c>
      <c r="C212">
        <v>114.99299999999999</v>
      </c>
      <c r="D212">
        <v>114.789</v>
      </c>
      <c r="E212">
        <v>114.586</v>
      </c>
      <c r="F212">
        <v>114.38200000000001</v>
      </c>
      <c r="G212">
        <v>114.178</v>
      </c>
      <c r="H212">
        <v>113.771</v>
      </c>
      <c r="I212">
        <v>113.363</v>
      </c>
    </row>
    <row r="213" spans="1:9">
      <c r="A213">
        <v>3500</v>
      </c>
      <c r="B213">
        <v>117.051</v>
      </c>
      <c r="C213">
        <v>116.643</v>
      </c>
      <c r="D213">
        <v>116.44</v>
      </c>
      <c r="E213">
        <v>116.236</v>
      </c>
      <c r="F213">
        <v>116.032</v>
      </c>
      <c r="G213">
        <v>115.828</v>
      </c>
      <c r="H213">
        <v>115.42100000000001</v>
      </c>
      <c r="I213">
        <v>115.014</v>
      </c>
    </row>
    <row r="214" spans="1:9">
      <c r="A214">
        <v>3550</v>
      </c>
      <c r="B214">
        <v>118.70099999999999</v>
      </c>
      <c r="C214">
        <v>118.294</v>
      </c>
      <c r="D214">
        <v>118.09</v>
      </c>
      <c r="E214">
        <v>117.886</v>
      </c>
      <c r="F214">
        <v>117.682</v>
      </c>
      <c r="G214">
        <v>117.479</v>
      </c>
      <c r="H214">
        <v>117.071</v>
      </c>
      <c r="I214">
        <v>116.664</v>
      </c>
    </row>
    <row r="215" spans="1:9">
      <c r="A215">
        <v>3600</v>
      </c>
      <c r="B215">
        <v>120.351</v>
      </c>
      <c r="C215">
        <v>119.944</v>
      </c>
      <c r="D215">
        <v>119.74</v>
      </c>
      <c r="E215">
        <v>119.536</v>
      </c>
      <c r="F215">
        <v>119.333</v>
      </c>
      <c r="G215">
        <v>119.129</v>
      </c>
      <c r="H215">
        <v>118.721</v>
      </c>
      <c r="I215">
        <v>118.31399999999999</v>
      </c>
    </row>
    <row r="216" spans="1:9">
      <c r="A216">
        <v>3650</v>
      </c>
      <c r="B216">
        <v>122.001</v>
      </c>
      <c r="C216">
        <v>121.59399999999999</v>
      </c>
      <c r="D216">
        <v>121.39</v>
      </c>
      <c r="E216">
        <v>121.187</v>
      </c>
      <c r="F216">
        <v>120.983</v>
      </c>
      <c r="G216">
        <v>120.779</v>
      </c>
      <c r="H216">
        <v>120.372</v>
      </c>
      <c r="I216">
        <v>119.964</v>
      </c>
    </row>
    <row r="217" spans="1:9">
      <c r="A217">
        <v>3700</v>
      </c>
      <c r="B217">
        <v>123.652</v>
      </c>
      <c r="C217">
        <v>123.244</v>
      </c>
      <c r="D217">
        <v>123.041</v>
      </c>
      <c r="E217">
        <v>122.837</v>
      </c>
      <c r="F217">
        <v>122.633</v>
      </c>
      <c r="G217">
        <v>122.429</v>
      </c>
      <c r="H217">
        <v>122.02200000000001</v>
      </c>
      <c r="I217">
        <v>121.614</v>
      </c>
    </row>
    <row r="218" spans="1:9">
      <c r="A218">
        <v>3750</v>
      </c>
      <c r="B218">
        <v>125.30200000000001</v>
      </c>
      <c r="C218">
        <v>124.895</v>
      </c>
      <c r="D218">
        <v>124.691</v>
      </c>
      <c r="E218">
        <v>124.48699999999999</v>
      </c>
      <c r="F218">
        <v>124.283</v>
      </c>
      <c r="G218">
        <v>124.08</v>
      </c>
      <c r="H218">
        <v>123.672</v>
      </c>
      <c r="I218">
        <v>123.265</v>
      </c>
    </row>
    <row r="219" spans="1:9">
      <c r="A219">
        <v>3800</v>
      </c>
      <c r="B219">
        <v>126.952</v>
      </c>
      <c r="C219">
        <v>126.545</v>
      </c>
      <c r="D219">
        <v>126.34099999999999</v>
      </c>
      <c r="E219">
        <v>126.137</v>
      </c>
      <c r="F219">
        <v>125.934</v>
      </c>
      <c r="G219">
        <v>125.73</v>
      </c>
      <c r="H219">
        <v>125.322</v>
      </c>
      <c r="I219">
        <v>124.91500000000001</v>
      </c>
    </row>
    <row r="220" spans="1:9">
      <c r="A220">
        <v>3850</v>
      </c>
      <c r="B220">
        <v>128.602</v>
      </c>
      <c r="C220">
        <v>128.19499999999999</v>
      </c>
      <c r="D220">
        <v>127.991</v>
      </c>
      <c r="E220">
        <v>127.78700000000001</v>
      </c>
      <c r="F220">
        <v>127.584</v>
      </c>
      <c r="G220">
        <v>127.38</v>
      </c>
      <c r="H220">
        <v>126.973</v>
      </c>
      <c r="I220">
        <v>126.565</v>
      </c>
    </row>
    <row r="221" spans="1:9">
      <c r="A221">
        <v>3900</v>
      </c>
      <c r="B221">
        <v>130.25299999999999</v>
      </c>
      <c r="C221">
        <v>129.845</v>
      </c>
      <c r="D221">
        <v>129.64099999999999</v>
      </c>
      <c r="E221">
        <v>129.43799999999999</v>
      </c>
      <c r="F221">
        <v>129.23400000000001</v>
      </c>
      <c r="G221">
        <v>129.03</v>
      </c>
      <c r="H221">
        <v>128.62299999999999</v>
      </c>
      <c r="I221">
        <v>128.215</v>
      </c>
    </row>
    <row r="222" spans="1:9">
      <c r="A222">
        <v>3950</v>
      </c>
      <c r="B222">
        <v>131.90299999999999</v>
      </c>
      <c r="C222">
        <v>131.495</v>
      </c>
      <c r="D222">
        <v>131.292</v>
      </c>
      <c r="E222">
        <v>131.08799999999999</v>
      </c>
      <c r="F222">
        <v>130.88399999999999</v>
      </c>
      <c r="G222">
        <v>130.68100000000001</v>
      </c>
      <c r="H222">
        <v>130.273</v>
      </c>
      <c r="I222">
        <v>129.86600000000001</v>
      </c>
    </row>
    <row r="223" spans="1:9">
      <c r="A223">
        <v>4000</v>
      </c>
      <c r="B223">
        <v>133.553</v>
      </c>
      <c r="C223">
        <v>133.14599999999999</v>
      </c>
      <c r="D223">
        <v>132.94200000000001</v>
      </c>
      <c r="E223">
        <v>132.738</v>
      </c>
      <c r="F223">
        <v>132.535</v>
      </c>
      <c r="G223">
        <v>132.33099999999999</v>
      </c>
      <c r="H223">
        <v>131.923</v>
      </c>
      <c r="I223">
        <v>131.51599999999999</v>
      </c>
    </row>
    <row r="224" spans="1:9">
      <c r="A224">
        <v>4050</v>
      </c>
      <c r="B224">
        <v>135.203</v>
      </c>
      <c r="C224">
        <v>134.79599999999999</v>
      </c>
      <c r="D224">
        <v>134.59200000000001</v>
      </c>
      <c r="E224">
        <v>134.38800000000001</v>
      </c>
      <c r="F224">
        <v>134.185</v>
      </c>
      <c r="G224">
        <v>133.98099999999999</v>
      </c>
      <c r="H224">
        <v>133.57400000000001</v>
      </c>
      <c r="I224">
        <v>133.166</v>
      </c>
    </row>
    <row r="225" spans="1:9">
      <c r="A225">
        <v>4100</v>
      </c>
      <c r="B225">
        <v>136.85400000000001</v>
      </c>
      <c r="C225">
        <v>136.446</v>
      </c>
      <c r="D225">
        <v>136.24199999999999</v>
      </c>
      <c r="E225">
        <v>136.03899999999999</v>
      </c>
      <c r="F225">
        <v>135.83500000000001</v>
      </c>
      <c r="G225">
        <v>135.631</v>
      </c>
      <c r="H225">
        <v>135.22399999999999</v>
      </c>
      <c r="I225">
        <v>134.816</v>
      </c>
    </row>
    <row r="226" spans="1:9">
      <c r="A226">
        <v>4150</v>
      </c>
      <c r="B226">
        <v>138.50399999999999</v>
      </c>
      <c r="C226">
        <v>138.096</v>
      </c>
      <c r="D226">
        <v>137.893</v>
      </c>
      <c r="E226">
        <v>137.68899999999999</v>
      </c>
      <c r="F226">
        <v>137.48500000000001</v>
      </c>
      <c r="G226">
        <v>137.28200000000001</v>
      </c>
      <c r="H226">
        <v>136.874</v>
      </c>
      <c r="I226">
        <v>136.46700000000001</v>
      </c>
    </row>
    <row r="227" spans="1:9">
      <c r="A227">
        <v>4200</v>
      </c>
      <c r="B227">
        <v>140.154</v>
      </c>
      <c r="C227">
        <v>139.74700000000001</v>
      </c>
      <c r="D227">
        <v>139.54300000000001</v>
      </c>
      <c r="E227">
        <v>139.339</v>
      </c>
      <c r="F227">
        <v>139.13499999999999</v>
      </c>
      <c r="G227">
        <v>138.93199999999999</v>
      </c>
      <c r="H227">
        <v>138.524</v>
      </c>
      <c r="I227">
        <v>138.11699999999999</v>
      </c>
    </row>
    <row r="228" spans="1:9">
      <c r="A228">
        <v>4250</v>
      </c>
      <c r="B228">
        <v>141.804</v>
      </c>
      <c r="C228">
        <v>141.39699999999999</v>
      </c>
      <c r="D228">
        <v>141.19300000000001</v>
      </c>
      <c r="E228">
        <v>140.989</v>
      </c>
      <c r="F228">
        <v>140.786</v>
      </c>
      <c r="G228">
        <v>140.58199999999999</v>
      </c>
      <c r="H228">
        <v>140.17400000000001</v>
      </c>
      <c r="I228">
        <v>139.767</v>
      </c>
    </row>
    <row r="229" spans="1:9">
      <c r="A229">
        <v>4300</v>
      </c>
      <c r="B229">
        <v>143.45400000000001</v>
      </c>
      <c r="C229">
        <v>143.047</v>
      </c>
      <c r="D229">
        <v>142.84299999999999</v>
      </c>
      <c r="E229">
        <v>142.63999999999999</v>
      </c>
      <c r="F229">
        <v>142.43600000000001</v>
      </c>
      <c r="G229">
        <v>142.232</v>
      </c>
      <c r="H229">
        <v>141.82499999999999</v>
      </c>
      <c r="I229">
        <v>141.417</v>
      </c>
    </row>
    <row r="230" spans="1:9">
      <c r="A230">
        <v>4350</v>
      </c>
      <c r="B230">
        <v>145.10499999999999</v>
      </c>
      <c r="C230">
        <v>144.697</v>
      </c>
      <c r="D230">
        <v>144.494</v>
      </c>
      <c r="E230">
        <v>144.29</v>
      </c>
      <c r="F230">
        <v>144.08600000000001</v>
      </c>
      <c r="G230">
        <v>143.88300000000001</v>
      </c>
      <c r="H230">
        <v>143.47499999999999</v>
      </c>
      <c r="I230">
        <v>143.06800000000001</v>
      </c>
    </row>
    <row r="231" spans="1:9">
      <c r="A231">
        <v>4400</v>
      </c>
      <c r="B231">
        <v>146.75200000000001</v>
      </c>
      <c r="C231">
        <v>146.34800000000001</v>
      </c>
      <c r="D231">
        <v>146.14400000000001</v>
      </c>
      <c r="E231">
        <v>145.94</v>
      </c>
      <c r="F231">
        <v>145.73599999999999</v>
      </c>
      <c r="G231">
        <v>145.53299999999999</v>
      </c>
      <c r="H231">
        <v>145.125</v>
      </c>
      <c r="I231">
        <v>144.71799999999999</v>
      </c>
    </row>
    <row r="232" spans="1:9">
      <c r="A232">
        <v>4450</v>
      </c>
      <c r="B232">
        <v>148.36799999999999</v>
      </c>
      <c r="C232">
        <v>147.982</v>
      </c>
      <c r="D232">
        <v>147.785</v>
      </c>
      <c r="E232">
        <v>147.58699999999999</v>
      </c>
      <c r="F232">
        <v>147.386</v>
      </c>
      <c r="G232">
        <v>147.18299999999999</v>
      </c>
      <c r="H232">
        <v>146.77500000000001</v>
      </c>
      <c r="I232">
        <v>146.36799999999999</v>
      </c>
    </row>
    <row r="233" spans="1:9">
      <c r="A233">
        <v>4500</v>
      </c>
      <c r="B233">
        <v>149.89099999999999</v>
      </c>
      <c r="C233">
        <v>149.54900000000001</v>
      </c>
      <c r="D233">
        <v>149.37200000000001</v>
      </c>
      <c r="E233">
        <v>149.19</v>
      </c>
      <c r="F233">
        <v>149.00399999999999</v>
      </c>
      <c r="G233">
        <v>148.81399999999999</v>
      </c>
      <c r="H233">
        <v>148.42099999999999</v>
      </c>
      <c r="I233">
        <v>148.018</v>
      </c>
    </row>
    <row r="234" spans="1:9">
      <c r="A234">
        <v>4550</v>
      </c>
      <c r="B234">
        <v>151.221</v>
      </c>
      <c r="C234">
        <v>150.934</v>
      </c>
      <c r="D234">
        <v>150.78399999999999</v>
      </c>
      <c r="E234">
        <v>150.62899999999999</v>
      </c>
      <c r="F234">
        <v>150.47</v>
      </c>
      <c r="G234">
        <v>150.30699999999999</v>
      </c>
      <c r="H234">
        <v>149.96799999999999</v>
      </c>
      <c r="I234">
        <v>149.61199999999999</v>
      </c>
    </row>
    <row r="235" spans="1:9">
      <c r="A235">
        <v>4600</v>
      </c>
      <c r="B235">
        <v>152.33500000000001</v>
      </c>
      <c r="C235">
        <v>152.101</v>
      </c>
      <c r="D235">
        <v>151.97800000000001</v>
      </c>
      <c r="E235">
        <v>151.85</v>
      </c>
      <c r="F235">
        <v>151.71899999999999</v>
      </c>
      <c r="G235">
        <v>151.58199999999999</v>
      </c>
      <c r="H235">
        <v>151.297</v>
      </c>
      <c r="I235">
        <v>150.995</v>
      </c>
    </row>
    <row r="236" spans="1:9">
      <c r="A236">
        <v>4650</v>
      </c>
      <c r="B236">
        <v>153.21700000000001</v>
      </c>
      <c r="C236">
        <v>153.036</v>
      </c>
      <c r="D236">
        <v>152.94</v>
      </c>
      <c r="E236">
        <v>152.839</v>
      </c>
      <c r="F236">
        <v>152.73400000000001</v>
      </c>
      <c r="G236">
        <v>152.624</v>
      </c>
      <c r="H236">
        <v>152.393</v>
      </c>
      <c r="I236">
        <v>152.14400000000001</v>
      </c>
    </row>
    <row r="237" spans="1:9">
      <c r="A237">
        <v>4700</v>
      </c>
      <c r="B237">
        <v>153.86500000000001</v>
      </c>
      <c r="C237">
        <v>153.739</v>
      </c>
      <c r="D237">
        <v>153.66900000000001</v>
      </c>
      <c r="E237">
        <v>153.595</v>
      </c>
      <c r="F237">
        <v>153.517</v>
      </c>
      <c r="G237">
        <v>153.434</v>
      </c>
      <c r="H237">
        <v>153.256</v>
      </c>
      <c r="I237">
        <v>153.06100000000001</v>
      </c>
    </row>
    <row r="238" spans="1:9">
      <c r="A238">
        <v>4750</v>
      </c>
      <c r="B238">
        <v>153.95500000000001</v>
      </c>
      <c r="C238">
        <v>154.208</v>
      </c>
      <c r="D238">
        <v>154.166</v>
      </c>
      <c r="E238">
        <v>154.11799999999999</v>
      </c>
      <c r="F238">
        <v>154.06700000000001</v>
      </c>
      <c r="G238">
        <v>154.011</v>
      </c>
      <c r="H238">
        <v>153.887</v>
      </c>
      <c r="I238">
        <v>153.745</v>
      </c>
    </row>
    <row r="239" spans="1:9">
      <c r="A239">
        <v>4800</v>
      </c>
      <c r="B239">
        <v>154.298</v>
      </c>
      <c r="C239">
        <v>154.298</v>
      </c>
      <c r="D239">
        <v>154.298</v>
      </c>
      <c r="E239">
        <v>154.298</v>
      </c>
      <c r="F239">
        <v>154.298</v>
      </c>
      <c r="G239">
        <v>154.26900000000001</v>
      </c>
      <c r="H239">
        <v>153.89099999999999</v>
      </c>
      <c r="I239">
        <v>153.90799999999999</v>
      </c>
    </row>
    <row r="240" spans="1:9">
      <c r="A240">
        <v>4850</v>
      </c>
      <c r="B240">
        <v>154.298</v>
      </c>
      <c r="C240">
        <v>154.298</v>
      </c>
      <c r="D240">
        <v>154.298</v>
      </c>
      <c r="E240">
        <v>154.298</v>
      </c>
      <c r="F240">
        <v>154.298</v>
      </c>
      <c r="G240">
        <v>154.298</v>
      </c>
      <c r="H240">
        <v>154.298</v>
      </c>
      <c r="I240">
        <v>154.29400000000001</v>
      </c>
    </row>
    <row r="241" spans="1:9">
      <c r="A241">
        <v>4900</v>
      </c>
      <c r="B241">
        <v>154.298</v>
      </c>
      <c r="C241">
        <v>154.298</v>
      </c>
      <c r="D241">
        <v>154.298</v>
      </c>
      <c r="E241">
        <v>154.298</v>
      </c>
      <c r="F241">
        <v>154.298</v>
      </c>
      <c r="G241">
        <v>154.298</v>
      </c>
      <c r="H241">
        <v>154.298</v>
      </c>
      <c r="I241">
        <v>154.298</v>
      </c>
    </row>
    <row r="242" spans="1:9">
      <c r="A242">
        <v>4960</v>
      </c>
      <c r="B242">
        <v>154.298</v>
      </c>
      <c r="C242">
        <v>154.298</v>
      </c>
      <c r="D242">
        <v>154.298</v>
      </c>
      <c r="E242">
        <v>154.298</v>
      </c>
      <c r="F242">
        <v>154.298</v>
      </c>
      <c r="G242">
        <v>154.298</v>
      </c>
      <c r="H242">
        <v>154.298</v>
      </c>
      <c r="I242">
        <v>154.298</v>
      </c>
    </row>
    <row r="265" spans="1:1">
      <c r="A265" t="s">
        <v>270</v>
      </c>
    </row>
    <row r="266" spans="1:1">
      <c r="A266" t="s">
        <v>271</v>
      </c>
    </row>
    <row r="267" spans="1:1">
      <c r="A267" t="s">
        <v>259</v>
      </c>
    </row>
    <row r="268" spans="1:1">
      <c r="A268" t="s">
        <v>272</v>
      </c>
    </row>
    <row r="269" spans="1:1">
      <c r="A269" t="s">
        <v>273</v>
      </c>
    </row>
    <row r="270" spans="1:1">
      <c r="A270" t="s">
        <v>262</v>
      </c>
    </row>
    <row r="271" spans="1:1">
      <c r="A271" t="s">
        <v>274</v>
      </c>
    </row>
    <row r="272" spans="1:1">
      <c r="A272" t="s">
        <v>264</v>
      </c>
    </row>
    <row r="273" spans="1:29">
      <c r="A273" t="s">
        <v>275</v>
      </c>
    </row>
    <row r="274" spans="1:29">
      <c r="A274" t="s">
        <v>266</v>
      </c>
      <c r="B274">
        <v>-4</v>
      </c>
      <c r="C274">
        <v>-3.5</v>
      </c>
      <c r="D274">
        <v>-3</v>
      </c>
      <c r="E274">
        <v>-2.5</v>
      </c>
      <c r="F274">
        <v>-2</v>
      </c>
      <c r="G274">
        <v>-1.5</v>
      </c>
      <c r="H274">
        <v>-1</v>
      </c>
      <c r="I274">
        <v>-0.5</v>
      </c>
      <c r="J274">
        <v>0</v>
      </c>
      <c r="K274">
        <v>0.5</v>
      </c>
      <c r="L274">
        <v>1</v>
      </c>
      <c r="M274" t="s">
        <v>266</v>
      </c>
      <c r="O274">
        <v>-3</v>
      </c>
      <c r="P274">
        <v>-2</v>
      </c>
      <c r="Q274">
        <v>-1</v>
      </c>
      <c r="R274">
        <v>0</v>
      </c>
      <c r="S274">
        <v>1</v>
      </c>
      <c r="T274">
        <v>2</v>
      </c>
      <c r="U274">
        <v>3</v>
      </c>
      <c r="W274" t="s">
        <v>231</v>
      </c>
      <c r="Z274" s="1">
        <f>heeling</f>
        <v>0</v>
      </c>
      <c r="AA274" s="186"/>
      <c r="AB274" s="186">
        <f>IF((AA274+AA277)&lt;0,AA274,AA274+AA277)</f>
        <v>0</v>
      </c>
      <c r="AC274" s="42">
        <f>IF(AC276=AC275,AC275,Interp1(AB275:AB276,AC275:AC276,AB274))</f>
        <v>1.6679999999999999</v>
      </c>
    </row>
    <row r="275" spans="1:29">
      <c r="A275">
        <v>0</v>
      </c>
      <c r="B275">
        <v>1.87</v>
      </c>
      <c r="C275">
        <v>1.85</v>
      </c>
      <c r="D275">
        <v>1.83</v>
      </c>
      <c r="E275">
        <v>1.81</v>
      </c>
      <c r="F275">
        <v>1.79</v>
      </c>
      <c r="G275">
        <v>1.77</v>
      </c>
      <c r="H275">
        <v>1.74</v>
      </c>
      <c r="I275">
        <v>1.72</v>
      </c>
      <c r="J275">
        <v>1.7</v>
      </c>
      <c r="K275">
        <v>1.68</v>
      </c>
      <c r="L275">
        <v>1.66</v>
      </c>
      <c r="M275">
        <v>0</v>
      </c>
      <c r="O275">
        <v>-1.49</v>
      </c>
      <c r="P275">
        <v>-1.38</v>
      </c>
      <c r="Q275">
        <v>-1.06</v>
      </c>
      <c r="R275">
        <v>0</v>
      </c>
      <c r="S275">
        <v>1.1299999999999999</v>
      </c>
      <c r="T275">
        <v>2.27</v>
      </c>
      <c r="U275">
        <v>3.43</v>
      </c>
      <c r="W275">
        <v>1.9</v>
      </c>
      <c r="Z275" s="1">
        <f>FLOOR(AA274,2)</f>
        <v>0</v>
      </c>
      <c r="AA275" s="1">
        <f>Interp2(Water3Heel1,Water3Heel2,Water3Heel3,Z275,Z274)</f>
        <v>0</v>
      </c>
      <c r="AB275" s="1">
        <f>FLOOR(AB274,2)</f>
        <v>0</v>
      </c>
      <c r="AC275" s="42">
        <f>IF(AA280=AA279,AA279,Interp1(Z279:Z280,AA279:AA280,Z278))</f>
        <v>1.6679999999999999</v>
      </c>
    </row>
    <row r="276" spans="1:29">
      <c r="A276">
        <v>5</v>
      </c>
      <c r="B276">
        <v>2.58</v>
      </c>
      <c r="C276">
        <v>2.56</v>
      </c>
      <c r="D276">
        <v>2.54</v>
      </c>
      <c r="E276">
        <v>2.52</v>
      </c>
      <c r="F276">
        <v>2.5</v>
      </c>
      <c r="G276">
        <v>2.48</v>
      </c>
      <c r="H276">
        <v>2.4500000000000002</v>
      </c>
      <c r="I276">
        <v>2.4300000000000002</v>
      </c>
      <c r="J276">
        <v>2.41</v>
      </c>
      <c r="K276">
        <v>2.39</v>
      </c>
      <c r="L276">
        <v>2.37</v>
      </c>
      <c r="M276">
        <v>5</v>
      </c>
      <c r="O276">
        <v>-1.98</v>
      </c>
      <c r="P276">
        <v>-1.76</v>
      </c>
      <c r="Q276">
        <v>-1.1200000000000001</v>
      </c>
      <c r="R276">
        <v>0</v>
      </c>
      <c r="S276">
        <v>1.1299999999999999</v>
      </c>
      <c r="T276">
        <v>2.2799999999999998</v>
      </c>
      <c r="U276">
        <v>3.44</v>
      </c>
      <c r="W276">
        <v>2.8</v>
      </c>
      <c r="Z276" s="1">
        <f>IF(Z275=WaterSound3,Z275,CEILING(AA274,2))</f>
        <v>0</v>
      </c>
      <c r="AA276" s="1">
        <f>Interp2(Water3Heel1,Water3Heel2,Water3Heel3,Z276,Z274)</f>
        <v>0</v>
      </c>
      <c r="AB276" s="1">
        <f>CEILING(AB274,2)</f>
        <v>0</v>
      </c>
      <c r="AC276" s="42">
        <f>IF(AB280=AB279,AB279,Interp1(Z279:Z280,AB279:AB280,Z278))</f>
        <v>1.6679999999999999</v>
      </c>
    </row>
    <row r="277" spans="1:29">
      <c r="A277">
        <v>10</v>
      </c>
      <c r="B277">
        <v>3.3</v>
      </c>
      <c r="C277">
        <v>3.27</v>
      </c>
      <c r="D277">
        <v>3.25</v>
      </c>
      <c r="E277">
        <v>3.23</v>
      </c>
      <c r="F277">
        <v>3.21</v>
      </c>
      <c r="G277">
        <v>3.19</v>
      </c>
      <c r="H277">
        <v>3.17</v>
      </c>
      <c r="I277">
        <v>3.14</v>
      </c>
      <c r="J277">
        <v>3.12</v>
      </c>
      <c r="K277">
        <v>3.1</v>
      </c>
      <c r="L277">
        <v>3.08</v>
      </c>
      <c r="M277">
        <v>10</v>
      </c>
      <c r="O277">
        <v>-2.4</v>
      </c>
      <c r="P277">
        <v>-2.04</v>
      </c>
      <c r="Q277">
        <v>-1.1299999999999999</v>
      </c>
      <c r="R277">
        <v>0</v>
      </c>
      <c r="S277">
        <v>1.1399999999999999</v>
      </c>
      <c r="T277">
        <v>2.29</v>
      </c>
      <c r="U277">
        <v>3.45</v>
      </c>
      <c r="W277">
        <v>3.6</v>
      </c>
      <c r="Z277" s="1"/>
      <c r="AA277" s="1">
        <f>IF(AA276=AA275,AA275,Interp1(Z275:Z276,AA275:AA276,AA274))</f>
        <v>0</v>
      </c>
      <c r="AB277" s="1"/>
      <c r="AC277" s="42"/>
    </row>
    <row r="278" spans="1:29">
      <c r="A278">
        <v>15</v>
      </c>
      <c r="B278">
        <v>4.01</v>
      </c>
      <c r="C278">
        <v>3.99</v>
      </c>
      <c r="D278">
        <v>3.96</v>
      </c>
      <c r="E278">
        <v>3.94</v>
      </c>
      <c r="F278">
        <v>3.92</v>
      </c>
      <c r="G278">
        <v>3.9</v>
      </c>
      <c r="H278">
        <v>3.88</v>
      </c>
      <c r="I278">
        <v>3.86</v>
      </c>
      <c r="J278">
        <v>3.83</v>
      </c>
      <c r="K278">
        <v>3.81</v>
      </c>
      <c r="L278">
        <v>3.79</v>
      </c>
      <c r="M278">
        <v>15</v>
      </c>
      <c r="O278">
        <v>-2.75</v>
      </c>
      <c r="P278">
        <v>-2.2000000000000002</v>
      </c>
      <c r="Q278">
        <v>-1.1299999999999999</v>
      </c>
      <c r="R278">
        <v>0</v>
      </c>
      <c r="S278">
        <v>1.1399999999999999</v>
      </c>
      <c r="T278">
        <v>2.29</v>
      </c>
      <c r="U278">
        <v>3.46</v>
      </c>
      <c r="W278">
        <v>4.4000000000000004</v>
      </c>
      <c r="Z278" s="1">
        <v>0.8</v>
      </c>
      <c r="AA278" s="1"/>
      <c r="AB278" s="1"/>
      <c r="AC278" s="1"/>
    </row>
    <row r="279" spans="1:29">
      <c r="A279">
        <v>20</v>
      </c>
      <c r="B279">
        <v>4.72</v>
      </c>
      <c r="C279">
        <v>4.7</v>
      </c>
      <c r="D279">
        <v>4.68</v>
      </c>
      <c r="E279">
        <v>4.66</v>
      </c>
      <c r="F279">
        <v>4.63</v>
      </c>
      <c r="G279">
        <v>4.6100000000000003</v>
      </c>
      <c r="H279">
        <v>4.59</v>
      </c>
      <c r="I279">
        <v>4.57</v>
      </c>
      <c r="J279">
        <v>4.55</v>
      </c>
      <c r="K279">
        <v>4.5199999999999996</v>
      </c>
      <c r="L279">
        <v>4.5</v>
      </c>
      <c r="M279">
        <v>20</v>
      </c>
      <c r="O279">
        <v>-3.02</v>
      </c>
      <c r="P279">
        <v>-2.2599999999999998</v>
      </c>
      <c r="Q279">
        <v>-1.1299999999999999</v>
      </c>
      <c r="R279">
        <v>0</v>
      </c>
      <c r="S279">
        <v>1.1399999999999999</v>
      </c>
      <c r="T279">
        <v>2.2999999999999998</v>
      </c>
      <c r="U279">
        <v>3.46</v>
      </c>
      <c r="W279">
        <v>5.2</v>
      </c>
      <c r="Z279" s="1">
        <f>INDEX(Water3Trim2,0,MATCH(Z278,Water3Trim2,1))</f>
        <v>0.5</v>
      </c>
      <c r="AA279" s="1">
        <f>Interp2(Water3Trim1,Water3Trim2,Water3Trim3,AB275,Z279)</f>
        <v>1.68</v>
      </c>
      <c r="AB279" s="1">
        <f>Interp2(Water3Trim1,Water3Trim2,Water3Trim3,AB276,Z279)</f>
        <v>1.68</v>
      </c>
      <c r="AC279" s="1"/>
    </row>
    <row r="280" spans="1:29">
      <c r="A280">
        <v>25</v>
      </c>
      <c r="B280">
        <v>5.44</v>
      </c>
      <c r="C280">
        <v>5.41</v>
      </c>
      <c r="D280">
        <v>5.39</v>
      </c>
      <c r="E280">
        <v>5.37</v>
      </c>
      <c r="F280">
        <v>5.35</v>
      </c>
      <c r="G280">
        <v>5.33</v>
      </c>
      <c r="H280">
        <v>5.3</v>
      </c>
      <c r="I280">
        <v>5.28</v>
      </c>
      <c r="J280">
        <v>5.26</v>
      </c>
      <c r="K280">
        <v>5.24</v>
      </c>
      <c r="L280">
        <v>5.22</v>
      </c>
      <c r="M280">
        <v>25</v>
      </c>
      <c r="O280">
        <v>-3.22</v>
      </c>
      <c r="P280">
        <v>-2.2599999999999998</v>
      </c>
      <c r="Q280">
        <v>-1.1399999999999999</v>
      </c>
      <c r="R280">
        <v>0</v>
      </c>
      <c r="S280">
        <v>1.1499999999999999</v>
      </c>
      <c r="T280">
        <v>2.2999999999999998</v>
      </c>
      <c r="U280">
        <v>3.47</v>
      </c>
      <c r="W280">
        <v>6</v>
      </c>
      <c r="Z280" s="1">
        <f>IF(Z279=Z278,Z278,INDEX(Water3Trim2,0,MATCH(Z278,Water3Trim2,1)+1))</f>
        <v>1</v>
      </c>
      <c r="AA280" s="1">
        <f>Interp2(Water3Trim1,Water3Trim2,Water3Trim3,AB275,Z280)</f>
        <v>1.66</v>
      </c>
      <c r="AB280" s="1">
        <f>Interp2(Water3Trim1,Water3Trim2,Water3Trim3,AB276,Z280)</f>
        <v>1.66</v>
      </c>
      <c r="AC280" s="1"/>
    </row>
    <row r="281" spans="1:29">
      <c r="A281">
        <v>30</v>
      </c>
      <c r="B281">
        <v>6.15</v>
      </c>
      <c r="C281">
        <v>6.13</v>
      </c>
      <c r="D281">
        <v>6.11</v>
      </c>
      <c r="E281">
        <v>6.08</v>
      </c>
      <c r="F281">
        <v>6.06</v>
      </c>
      <c r="G281">
        <v>6.04</v>
      </c>
      <c r="H281">
        <v>6.02</v>
      </c>
      <c r="I281">
        <v>6</v>
      </c>
      <c r="J281">
        <v>5.97</v>
      </c>
      <c r="K281">
        <v>5.95</v>
      </c>
      <c r="L281">
        <v>5.93</v>
      </c>
      <c r="M281">
        <v>30</v>
      </c>
      <c r="O281">
        <v>-3.34</v>
      </c>
      <c r="P281">
        <v>-2.27</v>
      </c>
      <c r="Q281">
        <v>-1.1399999999999999</v>
      </c>
      <c r="R281">
        <v>0</v>
      </c>
      <c r="S281">
        <v>1.1499999999999999</v>
      </c>
      <c r="T281">
        <v>2.31</v>
      </c>
      <c r="U281">
        <v>3.48</v>
      </c>
      <c r="W281">
        <v>6.8</v>
      </c>
    </row>
    <row r="282" spans="1:29">
      <c r="A282">
        <v>35</v>
      </c>
      <c r="B282">
        <v>6.87</v>
      </c>
      <c r="C282">
        <v>6.84</v>
      </c>
      <c r="D282">
        <v>6.82</v>
      </c>
      <c r="E282">
        <v>6.8</v>
      </c>
      <c r="F282">
        <v>6.78</v>
      </c>
      <c r="G282">
        <v>6.76</v>
      </c>
      <c r="H282">
        <v>6.73</v>
      </c>
      <c r="I282">
        <v>6.71</v>
      </c>
      <c r="J282">
        <v>6.69</v>
      </c>
      <c r="K282">
        <v>6.67</v>
      </c>
      <c r="L282">
        <v>6.65</v>
      </c>
      <c r="M282">
        <v>35</v>
      </c>
      <c r="O282">
        <v>-3.4</v>
      </c>
      <c r="P282">
        <v>-2.27</v>
      </c>
      <c r="Q282">
        <v>-1.1399999999999999</v>
      </c>
      <c r="R282">
        <v>0</v>
      </c>
      <c r="S282">
        <v>1.1499999999999999</v>
      </c>
      <c r="T282">
        <v>2.3199999999999998</v>
      </c>
      <c r="U282">
        <v>3.49</v>
      </c>
      <c r="W282">
        <v>7.6</v>
      </c>
    </row>
    <row r="283" spans="1:29">
      <c r="A283">
        <v>40</v>
      </c>
      <c r="B283">
        <v>7.58</v>
      </c>
      <c r="C283">
        <v>7.56</v>
      </c>
      <c r="D283">
        <v>7.54</v>
      </c>
      <c r="E283">
        <v>7.52</v>
      </c>
      <c r="F283">
        <v>7.5</v>
      </c>
      <c r="G283">
        <v>7.47</v>
      </c>
      <c r="H283">
        <v>7.45</v>
      </c>
      <c r="I283">
        <v>7.43</v>
      </c>
      <c r="J283">
        <v>7.41</v>
      </c>
      <c r="K283">
        <v>7.39</v>
      </c>
      <c r="L283">
        <v>7.36</v>
      </c>
      <c r="M283">
        <v>40</v>
      </c>
      <c r="O283">
        <v>-3.4</v>
      </c>
      <c r="P283">
        <v>-2.2799999999999998</v>
      </c>
      <c r="Q283">
        <v>-1.1399999999999999</v>
      </c>
      <c r="R283">
        <v>0</v>
      </c>
      <c r="S283">
        <v>1.1599999999999999</v>
      </c>
      <c r="T283">
        <v>2.3199999999999998</v>
      </c>
      <c r="U283">
        <v>3.5</v>
      </c>
      <c r="W283">
        <v>8.5</v>
      </c>
    </row>
    <row r="284" spans="1:29">
      <c r="A284">
        <v>45</v>
      </c>
      <c r="B284">
        <v>8.3000000000000007</v>
      </c>
      <c r="C284">
        <v>8.2799999999999994</v>
      </c>
      <c r="D284">
        <v>8.26</v>
      </c>
      <c r="E284">
        <v>8.24</v>
      </c>
      <c r="F284">
        <v>8.2100000000000009</v>
      </c>
      <c r="G284">
        <v>8.19</v>
      </c>
      <c r="H284">
        <v>8.17</v>
      </c>
      <c r="I284">
        <v>8.15</v>
      </c>
      <c r="J284">
        <v>8.1199999999999992</v>
      </c>
      <c r="K284">
        <v>8.1</v>
      </c>
      <c r="L284">
        <v>8.08</v>
      </c>
      <c r="M284">
        <v>45</v>
      </c>
      <c r="O284">
        <v>-3.41</v>
      </c>
      <c r="P284">
        <v>-2.2799999999999998</v>
      </c>
      <c r="Q284">
        <v>-1.1499999999999999</v>
      </c>
      <c r="R284">
        <v>0</v>
      </c>
      <c r="S284">
        <v>1.1599999999999999</v>
      </c>
      <c r="T284">
        <v>2.33</v>
      </c>
      <c r="U284">
        <v>3.51</v>
      </c>
      <c r="W284">
        <v>9.3000000000000007</v>
      </c>
    </row>
    <row r="285" spans="1:29">
      <c r="A285">
        <v>50</v>
      </c>
      <c r="B285">
        <v>9.02</v>
      </c>
      <c r="C285">
        <v>9</v>
      </c>
      <c r="D285">
        <v>8.98</v>
      </c>
      <c r="E285">
        <v>8.9499999999999993</v>
      </c>
      <c r="F285">
        <v>8.93</v>
      </c>
      <c r="G285">
        <v>8.91</v>
      </c>
      <c r="H285">
        <v>8.89</v>
      </c>
      <c r="I285">
        <v>8.86</v>
      </c>
      <c r="J285">
        <v>8.84</v>
      </c>
      <c r="K285">
        <v>8.82</v>
      </c>
      <c r="L285">
        <v>8.8000000000000007</v>
      </c>
      <c r="M285">
        <v>50</v>
      </c>
      <c r="O285">
        <v>-3.42</v>
      </c>
      <c r="P285">
        <v>-2.29</v>
      </c>
      <c r="Q285">
        <v>-1.1499999999999999</v>
      </c>
      <c r="R285">
        <v>0</v>
      </c>
      <c r="S285">
        <v>1.1599999999999999</v>
      </c>
      <c r="T285">
        <v>2.33</v>
      </c>
      <c r="U285">
        <v>3.52</v>
      </c>
      <c r="W285">
        <v>10.1</v>
      </c>
    </row>
    <row r="286" spans="1:29">
      <c r="A286">
        <v>55</v>
      </c>
      <c r="B286">
        <v>9.74</v>
      </c>
      <c r="C286">
        <v>9.7200000000000006</v>
      </c>
      <c r="D286">
        <v>9.6999999999999993</v>
      </c>
      <c r="E286">
        <v>9.67</v>
      </c>
      <c r="F286">
        <v>9.65</v>
      </c>
      <c r="G286">
        <v>9.6300000000000008</v>
      </c>
      <c r="H286">
        <v>9.61</v>
      </c>
      <c r="I286">
        <v>9.58</v>
      </c>
      <c r="J286">
        <v>9.56</v>
      </c>
      <c r="K286">
        <v>9.5399999999999991</v>
      </c>
      <c r="L286">
        <v>9.52</v>
      </c>
      <c r="M286">
        <v>55</v>
      </c>
      <c r="O286">
        <v>-3.43</v>
      </c>
      <c r="P286">
        <v>-2.2999999999999998</v>
      </c>
      <c r="Q286">
        <v>-1.1499999999999999</v>
      </c>
      <c r="R286">
        <v>0</v>
      </c>
      <c r="S286">
        <v>1.1599999999999999</v>
      </c>
      <c r="T286">
        <v>2.34</v>
      </c>
      <c r="U286">
        <v>3.53</v>
      </c>
      <c r="W286">
        <v>10.9</v>
      </c>
    </row>
    <row r="287" spans="1:29">
      <c r="A287">
        <v>60</v>
      </c>
      <c r="B287">
        <v>10.46</v>
      </c>
      <c r="C287">
        <v>10.44</v>
      </c>
      <c r="D287">
        <v>10.42</v>
      </c>
      <c r="E287">
        <v>10.39</v>
      </c>
      <c r="F287">
        <v>10.37</v>
      </c>
      <c r="G287">
        <v>10.35</v>
      </c>
      <c r="H287">
        <v>10.33</v>
      </c>
      <c r="I287">
        <v>10.3</v>
      </c>
      <c r="J287">
        <v>10.28</v>
      </c>
      <c r="K287">
        <v>10.26</v>
      </c>
      <c r="L287">
        <v>10.24</v>
      </c>
      <c r="M287">
        <v>60</v>
      </c>
      <c r="O287">
        <v>-3.44</v>
      </c>
      <c r="P287">
        <v>-2.2999999999999998</v>
      </c>
      <c r="Q287">
        <v>-1.1599999999999999</v>
      </c>
      <c r="R287">
        <v>0</v>
      </c>
      <c r="S287">
        <v>1.17</v>
      </c>
      <c r="T287">
        <v>2.35</v>
      </c>
      <c r="U287">
        <v>3.54</v>
      </c>
      <c r="W287">
        <v>11.7</v>
      </c>
    </row>
    <row r="288" spans="1:29">
      <c r="A288">
        <v>65</v>
      </c>
      <c r="B288">
        <v>11.18</v>
      </c>
      <c r="C288">
        <v>11.16</v>
      </c>
      <c r="D288">
        <v>11.14</v>
      </c>
      <c r="E288">
        <v>11.11</v>
      </c>
      <c r="F288">
        <v>11.09</v>
      </c>
      <c r="G288">
        <v>11.07</v>
      </c>
      <c r="H288">
        <v>11.05</v>
      </c>
      <c r="I288">
        <v>11.03</v>
      </c>
      <c r="J288">
        <v>11</v>
      </c>
      <c r="K288">
        <v>10.98</v>
      </c>
      <c r="L288">
        <v>10.96</v>
      </c>
      <c r="M288">
        <v>65</v>
      </c>
      <c r="O288">
        <v>-3.44</v>
      </c>
      <c r="P288">
        <v>-2.31</v>
      </c>
      <c r="Q288">
        <v>-1.1599999999999999</v>
      </c>
      <c r="R288">
        <v>0</v>
      </c>
      <c r="S288">
        <v>1.17</v>
      </c>
      <c r="T288">
        <v>2.35</v>
      </c>
      <c r="U288">
        <v>3.55</v>
      </c>
      <c r="W288">
        <v>12.6</v>
      </c>
    </row>
    <row r="289" spans="1:23">
      <c r="A289">
        <v>70</v>
      </c>
      <c r="B289">
        <v>11.9</v>
      </c>
      <c r="C289">
        <v>11.88</v>
      </c>
      <c r="D289">
        <v>11.86</v>
      </c>
      <c r="E289">
        <v>11.84</v>
      </c>
      <c r="F289">
        <v>11.81</v>
      </c>
      <c r="G289">
        <v>11.79</v>
      </c>
      <c r="H289">
        <v>11.77</v>
      </c>
      <c r="I289">
        <v>11.75</v>
      </c>
      <c r="J289">
        <v>11.72</v>
      </c>
      <c r="K289">
        <v>11.7</v>
      </c>
      <c r="L289">
        <v>11.68</v>
      </c>
      <c r="M289">
        <v>70</v>
      </c>
      <c r="O289">
        <v>-3.45</v>
      </c>
      <c r="P289">
        <v>-2.31</v>
      </c>
      <c r="Q289">
        <v>-1.1599999999999999</v>
      </c>
      <c r="R289">
        <v>0</v>
      </c>
      <c r="S289">
        <v>1.17</v>
      </c>
      <c r="T289">
        <v>2.36</v>
      </c>
      <c r="U289">
        <v>3.56</v>
      </c>
      <c r="W289">
        <v>13.4</v>
      </c>
    </row>
    <row r="290" spans="1:23">
      <c r="A290">
        <v>75</v>
      </c>
      <c r="B290">
        <v>12.63</v>
      </c>
      <c r="C290">
        <v>12.6</v>
      </c>
      <c r="D290">
        <v>12.58</v>
      </c>
      <c r="E290">
        <v>12.56</v>
      </c>
      <c r="F290">
        <v>12.54</v>
      </c>
      <c r="G290">
        <v>12.51</v>
      </c>
      <c r="H290">
        <v>12.49</v>
      </c>
      <c r="I290">
        <v>12.47</v>
      </c>
      <c r="J290">
        <v>12.45</v>
      </c>
      <c r="K290">
        <v>12.43</v>
      </c>
      <c r="L290">
        <v>12.4</v>
      </c>
      <c r="M290">
        <v>75</v>
      </c>
      <c r="O290">
        <v>-3.46</v>
      </c>
      <c r="P290">
        <v>-2.3199999999999998</v>
      </c>
      <c r="Q290">
        <v>-1.1599999999999999</v>
      </c>
      <c r="R290">
        <v>0</v>
      </c>
      <c r="S290">
        <v>1.18</v>
      </c>
      <c r="T290">
        <v>2.36</v>
      </c>
      <c r="U290">
        <v>3.57</v>
      </c>
      <c r="W290">
        <v>14.2</v>
      </c>
    </row>
    <row r="291" spans="1:23">
      <c r="A291">
        <v>80</v>
      </c>
      <c r="B291">
        <v>13.35</v>
      </c>
      <c r="C291">
        <v>13.33</v>
      </c>
      <c r="D291">
        <v>13.31</v>
      </c>
      <c r="E291">
        <v>13.28</v>
      </c>
      <c r="F291">
        <v>13.26</v>
      </c>
      <c r="G291">
        <v>13.24</v>
      </c>
      <c r="H291">
        <v>13.22</v>
      </c>
      <c r="I291">
        <v>13.19</v>
      </c>
      <c r="J291">
        <v>13.17</v>
      </c>
      <c r="K291">
        <v>13.15</v>
      </c>
      <c r="L291">
        <v>13.13</v>
      </c>
      <c r="M291">
        <v>80</v>
      </c>
      <c r="O291">
        <v>-3.46</v>
      </c>
      <c r="P291">
        <v>-2.3199999999999998</v>
      </c>
      <c r="Q291">
        <v>-1.17</v>
      </c>
      <c r="R291">
        <v>0</v>
      </c>
      <c r="S291">
        <v>1.18</v>
      </c>
      <c r="T291">
        <v>2.37</v>
      </c>
      <c r="U291">
        <v>3.58</v>
      </c>
      <c r="W291">
        <v>15</v>
      </c>
    </row>
    <row r="292" spans="1:23">
      <c r="A292">
        <v>85</v>
      </c>
      <c r="B292">
        <v>14.07</v>
      </c>
      <c r="C292">
        <v>14.05</v>
      </c>
      <c r="D292">
        <v>14.03</v>
      </c>
      <c r="E292">
        <v>14.01</v>
      </c>
      <c r="F292">
        <v>13.98</v>
      </c>
      <c r="G292">
        <v>13.96</v>
      </c>
      <c r="H292">
        <v>13.94</v>
      </c>
      <c r="I292">
        <v>13.92</v>
      </c>
      <c r="J292">
        <v>13.89</v>
      </c>
      <c r="K292">
        <v>13.87</v>
      </c>
      <c r="L292">
        <v>13.85</v>
      </c>
      <c r="M292">
        <v>85</v>
      </c>
      <c r="O292">
        <v>-3.47</v>
      </c>
      <c r="P292">
        <v>-2.33</v>
      </c>
      <c r="Q292">
        <v>-1.17</v>
      </c>
      <c r="R292">
        <v>0</v>
      </c>
      <c r="S292">
        <v>1.18</v>
      </c>
      <c r="T292">
        <v>2.38</v>
      </c>
      <c r="U292">
        <v>3.58</v>
      </c>
      <c r="W292">
        <v>15.9</v>
      </c>
    </row>
    <row r="293" spans="1:23">
      <c r="A293">
        <v>90</v>
      </c>
      <c r="B293">
        <v>14.8</v>
      </c>
      <c r="C293">
        <v>14.78</v>
      </c>
      <c r="D293">
        <v>14.75</v>
      </c>
      <c r="E293">
        <v>14.73</v>
      </c>
      <c r="F293">
        <v>14.71</v>
      </c>
      <c r="G293">
        <v>14.69</v>
      </c>
      <c r="H293">
        <v>14.66</v>
      </c>
      <c r="I293">
        <v>14.64</v>
      </c>
      <c r="J293">
        <v>14.62</v>
      </c>
      <c r="K293">
        <v>14.6</v>
      </c>
      <c r="L293">
        <v>14.58</v>
      </c>
      <c r="M293">
        <v>90</v>
      </c>
      <c r="O293">
        <v>-3.48</v>
      </c>
      <c r="P293">
        <v>-2.33</v>
      </c>
      <c r="Q293">
        <v>-1.17</v>
      </c>
      <c r="R293">
        <v>0</v>
      </c>
      <c r="S293">
        <v>1.18</v>
      </c>
      <c r="T293">
        <v>2.38</v>
      </c>
      <c r="U293">
        <v>3.59</v>
      </c>
      <c r="W293">
        <v>16.7</v>
      </c>
    </row>
    <row r="294" spans="1:23">
      <c r="A294">
        <v>95</v>
      </c>
      <c r="B294">
        <v>15.53</v>
      </c>
      <c r="C294">
        <v>15.5</v>
      </c>
      <c r="D294">
        <v>15.48</v>
      </c>
      <c r="E294">
        <v>15.46</v>
      </c>
      <c r="F294">
        <v>15.44</v>
      </c>
      <c r="G294">
        <v>15.41</v>
      </c>
      <c r="H294">
        <v>15.39</v>
      </c>
      <c r="I294">
        <v>15.37</v>
      </c>
      <c r="J294">
        <v>15.35</v>
      </c>
      <c r="K294">
        <v>15.32</v>
      </c>
      <c r="L294">
        <v>15.3</v>
      </c>
      <c r="M294">
        <v>95</v>
      </c>
      <c r="O294">
        <v>-3.49</v>
      </c>
      <c r="P294">
        <v>-2.34</v>
      </c>
      <c r="Q294">
        <v>-1.17</v>
      </c>
      <c r="R294">
        <v>0</v>
      </c>
      <c r="S294">
        <v>1.19</v>
      </c>
      <c r="T294">
        <v>2.39</v>
      </c>
      <c r="U294">
        <v>3.6</v>
      </c>
      <c r="W294">
        <v>17.5</v>
      </c>
    </row>
    <row r="295" spans="1:23">
      <c r="A295">
        <v>100</v>
      </c>
      <c r="B295">
        <v>16.25</v>
      </c>
      <c r="C295">
        <v>16.23</v>
      </c>
      <c r="D295">
        <v>16.21</v>
      </c>
      <c r="E295">
        <v>16.190000000000001</v>
      </c>
      <c r="F295">
        <v>16.16</v>
      </c>
      <c r="G295">
        <v>16.14</v>
      </c>
      <c r="H295">
        <v>16.12</v>
      </c>
      <c r="I295">
        <v>16.09</v>
      </c>
      <c r="J295">
        <v>16.07</v>
      </c>
      <c r="K295">
        <v>16.05</v>
      </c>
      <c r="L295">
        <v>16.03</v>
      </c>
      <c r="M295">
        <v>100</v>
      </c>
      <c r="O295">
        <v>-3.49</v>
      </c>
      <c r="P295">
        <v>-2.34</v>
      </c>
      <c r="Q295">
        <v>-1.18</v>
      </c>
      <c r="R295">
        <v>0</v>
      </c>
      <c r="S295">
        <v>1.19</v>
      </c>
      <c r="T295">
        <v>2.39</v>
      </c>
      <c r="U295">
        <v>3.61</v>
      </c>
      <c r="W295">
        <v>18.3</v>
      </c>
    </row>
    <row r="296" spans="1:23">
      <c r="A296">
        <v>105</v>
      </c>
      <c r="B296">
        <v>16.98</v>
      </c>
      <c r="C296">
        <v>16.96</v>
      </c>
      <c r="D296">
        <v>16.940000000000001</v>
      </c>
      <c r="E296">
        <v>16.91</v>
      </c>
      <c r="F296">
        <v>16.89</v>
      </c>
      <c r="G296">
        <v>16.87</v>
      </c>
      <c r="H296">
        <v>16.84</v>
      </c>
      <c r="I296">
        <v>16.82</v>
      </c>
      <c r="J296">
        <v>16.8</v>
      </c>
      <c r="K296">
        <v>16.78</v>
      </c>
      <c r="L296">
        <v>16.760000000000002</v>
      </c>
      <c r="M296">
        <v>105</v>
      </c>
      <c r="O296">
        <v>-3.5</v>
      </c>
      <c r="P296">
        <v>-2.35</v>
      </c>
      <c r="Q296">
        <v>-1.18</v>
      </c>
      <c r="R296">
        <v>0</v>
      </c>
      <c r="S296">
        <v>1.19</v>
      </c>
      <c r="T296">
        <v>2.4</v>
      </c>
      <c r="U296">
        <v>3.62</v>
      </c>
      <c r="W296">
        <v>19.2</v>
      </c>
    </row>
    <row r="297" spans="1:23">
      <c r="A297">
        <v>110</v>
      </c>
      <c r="B297">
        <v>17.71</v>
      </c>
      <c r="C297">
        <v>17.690000000000001</v>
      </c>
      <c r="D297">
        <v>17.66</v>
      </c>
      <c r="E297">
        <v>17.64</v>
      </c>
      <c r="F297">
        <v>17.62</v>
      </c>
      <c r="G297">
        <v>17.600000000000001</v>
      </c>
      <c r="H297">
        <v>17.57</v>
      </c>
      <c r="I297">
        <v>17.55</v>
      </c>
      <c r="J297">
        <v>17.53</v>
      </c>
      <c r="K297">
        <v>17.510000000000002</v>
      </c>
      <c r="L297">
        <v>17.48</v>
      </c>
      <c r="M297">
        <v>110</v>
      </c>
      <c r="O297">
        <v>-3.51</v>
      </c>
      <c r="P297">
        <v>-2.35</v>
      </c>
      <c r="Q297">
        <v>-1.18</v>
      </c>
      <c r="R297">
        <v>0</v>
      </c>
      <c r="S297">
        <v>1.2</v>
      </c>
      <c r="T297">
        <v>2.4</v>
      </c>
      <c r="U297">
        <v>3.63</v>
      </c>
      <c r="W297">
        <v>20</v>
      </c>
    </row>
    <row r="298" spans="1:23">
      <c r="A298">
        <v>115</v>
      </c>
      <c r="B298">
        <v>18.440000000000001</v>
      </c>
      <c r="C298">
        <v>18.420000000000002</v>
      </c>
      <c r="D298">
        <v>18.39</v>
      </c>
      <c r="E298">
        <v>18.37</v>
      </c>
      <c r="F298">
        <v>18.350000000000001</v>
      </c>
      <c r="G298">
        <v>18.329999999999998</v>
      </c>
      <c r="H298">
        <v>18.3</v>
      </c>
      <c r="I298">
        <v>18.28</v>
      </c>
      <c r="J298">
        <v>18.260000000000002</v>
      </c>
      <c r="K298">
        <v>18.239999999999998</v>
      </c>
      <c r="L298">
        <v>18.21</v>
      </c>
      <c r="M298">
        <v>115</v>
      </c>
      <c r="O298">
        <v>-3.51</v>
      </c>
      <c r="P298">
        <v>-2.36</v>
      </c>
      <c r="Q298">
        <v>-1.18</v>
      </c>
      <c r="R298">
        <v>0</v>
      </c>
      <c r="S298">
        <v>1.2</v>
      </c>
      <c r="T298">
        <v>2.41</v>
      </c>
      <c r="U298">
        <v>3.64</v>
      </c>
      <c r="W298">
        <v>20.8</v>
      </c>
    </row>
    <row r="299" spans="1:23">
      <c r="A299">
        <v>120</v>
      </c>
      <c r="B299">
        <v>19.170000000000002</v>
      </c>
      <c r="C299">
        <v>19.149999999999999</v>
      </c>
      <c r="D299">
        <v>19.12</v>
      </c>
      <c r="E299">
        <v>19.100000000000001</v>
      </c>
      <c r="F299">
        <v>19.079999999999998</v>
      </c>
      <c r="G299">
        <v>19.059999999999999</v>
      </c>
      <c r="H299">
        <v>19.03</v>
      </c>
      <c r="I299">
        <v>19.010000000000002</v>
      </c>
      <c r="J299">
        <v>18.989999999999998</v>
      </c>
      <c r="K299">
        <v>18.97</v>
      </c>
      <c r="L299">
        <v>18.940000000000001</v>
      </c>
      <c r="M299">
        <v>120</v>
      </c>
      <c r="O299">
        <v>-3.52</v>
      </c>
      <c r="P299">
        <v>-2.36</v>
      </c>
      <c r="Q299">
        <v>-1.19</v>
      </c>
      <c r="R299">
        <v>0</v>
      </c>
      <c r="S299">
        <v>1.2</v>
      </c>
      <c r="T299">
        <v>2.42</v>
      </c>
      <c r="U299">
        <v>3.65</v>
      </c>
      <c r="W299">
        <v>21.7</v>
      </c>
    </row>
    <row r="300" spans="1:23">
      <c r="A300">
        <v>125</v>
      </c>
      <c r="B300">
        <v>19.899999999999999</v>
      </c>
      <c r="C300">
        <v>19.88</v>
      </c>
      <c r="D300">
        <v>19.850000000000001</v>
      </c>
      <c r="E300">
        <v>19.829999999999998</v>
      </c>
      <c r="F300">
        <v>19.809999999999999</v>
      </c>
      <c r="G300">
        <v>19.79</v>
      </c>
      <c r="H300">
        <v>19.760000000000002</v>
      </c>
      <c r="I300">
        <v>19.739999999999998</v>
      </c>
      <c r="J300">
        <v>19.72</v>
      </c>
      <c r="K300">
        <v>19.7</v>
      </c>
      <c r="L300">
        <v>19.670000000000002</v>
      </c>
      <c r="M300">
        <v>125</v>
      </c>
      <c r="O300">
        <v>-3.53</v>
      </c>
      <c r="P300">
        <v>-2.37</v>
      </c>
      <c r="Q300">
        <v>-1.19</v>
      </c>
      <c r="R300">
        <v>0</v>
      </c>
      <c r="S300">
        <v>1.2</v>
      </c>
      <c r="T300">
        <v>2.42</v>
      </c>
      <c r="U300">
        <v>3.65</v>
      </c>
      <c r="W300">
        <v>22.5</v>
      </c>
    </row>
    <row r="301" spans="1:23">
      <c r="A301">
        <v>130</v>
      </c>
      <c r="B301">
        <v>20.63</v>
      </c>
      <c r="C301">
        <v>20.61</v>
      </c>
      <c r="D301">
        <v>20.59</v>
      </c>
      <c r="E301">
        <v>20.56</v>
      </c>
      <c r="F301">
        <v>20.54</v>
      </c>
      <c r="G301">
        <v>20.52</v>
      </c>
      <c r="H301">
        <v>20.49</v>
      </c>
      <c r="I301">
        <v>20.47</v>
      </c>
      <c r="J301">
        <v>20.45</v>
      </c>
      <c r="K301">
        <v>20.43</v>
      </c>
      <c r="L301">
        <v>20.41</v>
      </c>
      <c r="M301">
        <v>130</v>
      </c>
      <c r="O301">
        <v>-3.54</v>
      </c>
      <c r="P301">
        <v>-2.37</v>
      </c>
      <c r="Q301">
        <v>-1.19</v>
      </c>
      <c r="R301">
        <v>0</v>
      </c>
      <c r="S301">
        <v>1.21</v>
      </c>
      <c r="T301">
        <v>2.4300000000000002</v>
      </c>
      <c r="U301">
        <v>3.66</v>
      </c>
      <c r="W301">
        <v>23.3</v>
      </c>
    </row>
    <row r="302" spans="1:23">
      <c r="A302">
        <v>135</v>
      </c>
      <c r="B302">
        <v>21.36</v>
      </c>
      <c r="C302">
        <v>21.34</v>
      </c>
      <c r="D302">
        <v>21.32</v>
      </c>
      <c r="E302">
        <v>21.3</v>
      </c>
      <c r="F302">
        <v>21.27</v>
      </c>
      <c r="G302">
        <v>21.25</v>
      </c>
      <c r="H302">
        <v>21.23</v>
      </c>
      <c r="I302">
        <v>21.2</v>
      </c>
      <c r="J302">
        <v>21.18</v>
      </c>
      <c r="K302">
        <v>21.16</v>
      </c>
      <c r="L302">
        <v>21.14</v>
      </c>
      <c r="M302">
        <v>135</v>
      </c>
      <c r="O302">
        <v>-3.54</v>
      </c>
      <c r="P302">
        <v>-2.37</v>
      </c>
      <c r="Q302">
        <v>-1.19</v>
      </c>
      <c r="R302">
        <v>0</v>
      </c>
      <c r="S302">
        <v>1.21</v>
      </c>
      <c r="T302">
        <v>2.4300000000000002</v>
      </c>
      <c r="U302">
        <v>3.67</v>
      </c>
      <c r="W302">
        <v>24.2</v>
      </c>
    </row>
    <row r="303" spans="1:23">
      <c r="A303">
        <v>140</v>
      </c>
      <c r="B303">
        <v>22.1</v>
      </c>
      <c r="C303">
        <v>22.08</v>
      </c>
      <c r="D303">
        <v>22.05</v>
      </c>
      <c r="E303">
        <v>22.03</v>
      </c>
      <c r="F303">
        <v>22.01</v>
      </c>
      <c r="G303">
        <v>21.98</v>
      </c>
      <c r="H303">
        <v>21.96</v>
      </c>
      <c r="I303">
        <v>21.94</v>
      </c>
      <c r="J303">
        <v>21.92</v>
      </c>
      <c r="K303">
        <v>21.89</v>
      </c>
      <c r="L303">
        <v>21.87</v>
      </c>
      <c r="M303">
        <v>140</v>
      </c>
      <c r="O303">
        <v>-3.55</v>
      </c>
      <c r="P303">
        <v>-2.38</v>
      </c>
      <c r="Q303">
        <v>-1.2</v>
      </c>
      <c r="R303">
        <v>0</v>
      </c>
      <c r="S303">
        <v>1.21</v>
      </c>
      <c r="T303">
        <v>2.44</v>
      </c>
      <c r="U303">
        <v>3.68</v>
      </c>
      <c r="W303">
        <v>25</v>
      </c>
    </row>
    <row r="304" spans="1:23">
      <c r="A304">
        <v>145</v>
      </c>
      <c r="B304">
        <v>22.83</v>
      </c>
      <c r="C304">
        <v>22.81</v>
      </c>
      <c r="D304">
        <v>22.79</v>
      </c>
      <c r="E304">
        <v>22.76</v>
      </c>
      <c r="F304">
        <v>22.74</v>
      </c>
      <c r="G304">
        <v>22.72</v>
      </c>
      <c r="H304">
        <v>22.69</v>
      </c>
      <c r="I304">
        <v>22.67</v>
      </c>
      <c r="J304">
        <v>22.65</v>
      </c>
      <c r="K304">
        <v>22.63</v>
      </c>
      <c r="L304">
        <v>22.6</v>
      </c>
      <c r="M304">
        <v>145</v>
      </c>
      <c r="O304">
        <v>-3.56</v>
      </c>
      <c r="P304">
        <v>-2.38</v>
      </c>
      <c r="Q304">
        <v>-1.2</v>
      </c>
      <c r="R304">
        <v>0</v>
      </c>
      <c r="S304">
        <v>1.21</v>
      </c>
      <c r="T304">
        <v>2.44</v>
      </c>
      <c r="U304">
        <v>3.69</v>
      </c>
      <c r="W304">
        <v>25.9</v>
      </c>
    </row>
    <row r="305" spans="1:23">
      <c r="A305">
        <v>150</v>
      </c>
      <c r="B305">
        <v>23.57</v>
      </c>
      <c r="C305">
        <v>23.54</v>
      </c>
      <c r="D305">
        <v>23.52</v>
      </c>
      <c r="E305">
        <v>23.5</v>
      </c>
      <c r="F305">
        <v>23.47</v>
      </c>
      <c r="G305">
        <v>23.45</v>
      </c>
      <c r="H305">
        <v>23.43</v>
      </c>
      <c r="I305">
        <v>23.41</v>
      </c>
      <c r="J305">
        <v>23.38</v>
      </c>
      <c r="K305">
        <v>23.36</v>
      </c>
      <c r="L305">
        <v>23.34</v>
      </c>
      <c r="M305">
        <v>150</v>
      </c>
      <c r="O305">
        <v>-3.56</v>
      </c>
      <c r="P305">
        <v>-2.39</v>
      </c>
      <c r="Q305">
        <v>-1.2</v>
      </c>
      <c r="R305">
        <v>0</v>
      </c>
      <c r="S305">
        <v>1.22</v>
      </c>
      <c r="T305">
        <v>2.4500000000000002</v>
      </c>
      <c r="U305">
        <v>3.7</v>
      </c>
      <c r="W305">
        <v>26.7</v>
      </c>
    </row>
    <row r="306" spans="1:23">
      <c r="A306">
        <v>155</v>
      </c>
      <c r="B306">
        <v>24.3</v>
      </c>
      <c r="C306">
        <v>24.28</v>
      </c>
      <c r="D306">
        <v>24.26</v>
      </c>
      <c r="E306">
        <v>24.23</v>
      </c>
      <c r="F306">
        <v>24.21</v>
      </c>
      <c r="G306">
        <v>24.19</v>
      </c>
      <c r="H306">
        <v>24.16</v>
      </c>
      <c r="I306">
        <v>24.14</v>
      </c>
      <c r="J306">
        <v>24.12</v>
      </c>
      <c r="K306">
        <v>24.1</v>
      </c>
      <c r="L306">
        <v>24.07</v>
      </c>
      <c r="M306">
        <v>155</v>
      </c>
      <c r="O306">
        <v>-3.57</v>
      </c>
      <c r="P306">
        <v>-2.39</v>
      </c>
      <c r="Q306">
        <v>-1.2</v>
      </c>
      <c r="R306">
        <v>0</v>
      </c>
      <c r="S306">
        <v>1.22</v>
      </c>
      <c r="T306">
        <v>2.4500000000000002</v>
      </c>
      <c r="U306">
        <v>3.7</v>
      </c>
      <c r="W306">
        <v>27.5</v>
      </c>
    </row>
    <row r="307" spans="1:23">
      <c r="A307">
        <v>160</v>
      </c>
      <c r="B307">
        <v>25.04</v>
      </c>
      <c r="C307">
        <v>25.02</v>
      </c>
      <c r="D307">
        <v>24.99</v>
      </c>
      <c r="E307">
        <v>24.97</v>
      </c>
      <c r="F307">
        <v>24.95</v>
      </c>
      <c r="G307">
        <v>24.92</v>
      </c>
      <c r="H307">
        <v>24.9</v>
      </c>
      <c r="I307">
        <v>24.88</v>
      </c>
      <c r="J307">
        <v>24.85</v>
      </c>
      <c r="K307">
        <v>24.83</v>
      </c>
      <c r="L307">
        <v>24.81</v>
      </c>
      <c r="M307">
        <v>160</v>
      </c>
      <c r="O307">
        <v>-3.57</v>
      </c>
      <c r="P307">
        <v>-2.4</v>
      </c>
      <c r="Q307">
        <v>-1.21</v>
      </c>
      <c r="R307">
        <v>0</v>
      </c>
      <c r="S307">
        <v>1.22</v>
      </c>
      <c r="T307">
        <v>2.46</v>
      </c>
      <c r="U307">
        <v>3.71</v>
      </c>
      <c r="W307">
        <v>28.4</v>
      </c>
    </row>
    <row r="308" spans="1:23">
      <c r="A308">
        <v>165</v>
      </c>
      <c r="B308">
        <v>25.78</v>
      </c>
      <c r="C308">
        <v>25.75</v>
      </c>
      <c r="D308">
        <v>25.73</v>
      </c>
      <c r="E308">
        <v>25.71</v>
      </c>
      <c r="F308">
        <v>25.68</v>
      </c>
      <c r="G308">
        <v>25.66</v>
      </c>
      <c r="H308">
        <v>25.64</v>
      </c>
      <c r="I308">
        <v>25.61</v>
      </c>
      <c r="J308">
        <v>25.59</v>
      </c>
      <c r="K308">
        <v>25.57</v>
      </c>
      <c r="L308">
        <v>25.55</v>
      </c>
      <c r="M308">
        <v>165</v>
      </c>
      <c r="O308">
        <v>-3.58</v>
      </c>
      <c r="P308">
        <v>-2.4</v>
      </c>
      <c r="Q308">
        <v>-1.21</v>
      </c>
      <c r="R308">
        <v>0</v>
      </c>
      <c r="S308">
        <v>1.22</v>
      </c>
      <c r="T308">
        <v>2.46</v>
      </c>
      <c r="U308">
        <v>3.72</v>
      </c>
      <c r="W308">
        <v>29.2</v>
      </c>
    </row>
    <row r="309" spans="1:23">
      <c r="A309">
        <v>170</v>
      </c>
      <c r="B309">
        <v>26.51</v>
      </c>
      <c r="C309">
        <v>26.49</v>
      </c>
      <c r="D309">
        <v>26.47</v>
      </c>
      <c r="E309">
        <v>26.44</v>
      </c>
      <c r="F309">
        <v>26.42</v>
      </c>
      <c r="G309">
        <v>26.4</v>
      </c>
      <c r="H309">
        <v>26.37</v>
      </c>
      <c r="I309">
        <v>26.35</v>
      </c>
      <c r="J309">
        <v>26.33</v>
      </c>
      <c r="K309">
        <v>26.31</v>
      </c>
      <c r="L309">
        <v>26.28</v>
      </c>
      <c r="M309">
        <v>170</v>
      </c>
      <c r="O309">
        <v>-3.59</v>
      </c>
      <c r="P309">
        <v>-2.41</v>
      </c>
      <c r="Q309">
        <v>-1.21</v>
      </c>
      <c r="R309">
        <v>0</v>
      </c>
      <c r="S309">
        <v>1.23</v>
      </c>
      <c r="T309">
        <v>2.4700000000000002</v>
      </c>
      <c r="U309">
        <v>3.73</v>
      </c>
      <c r="W309">
        <v>30.1</v>
      </c>
    </row>
    <row r="310" spans="1:23">
      <c r="A310">
        <v>175</v>
      </c>
      <c r="B310">
        <v>27.25</v>
      </c>
      <c r="C310">
        <v>27.23</v>
      </c>
      <c r="D310">
        <v>27.21</v>
      </c>
      <c r="E310">
        <v>27.18</v>
      </c>
      <c r="F310">
        <v>27.16</v>
      </c>
      <c r="G310">
        <v>27.14</v>
      </c>
      <c r="H310">
        <v>27.11</v>
      </c>
      <c r="I310">
        <v>27.09</v>
      </c>
      <c r="J310">
        <v>27.07</v>
      </c>
      <c r="K310">
        <v>27.04</v>
      </c>
      <c r="L310">
        <v>27.02</v>
      </c>
      <c r="M310">
        <v>175</v>
      </c>
      <c r="O310">
        <v>-3.59</v>
      </c>
      <c r="P310">
        <v>-2.41</v>
      </c>
      <c r="Q310">
        <v>-1.21</v>
      </c>
      <c r="R310">
        <v>0</v>
      </c>
      <c r="S310">
        <v>1.23</v>
      </c>
      <c r="T310">
        <v>2.4700000000000002</v>
      </c>
      <c r="U310">
        <v>3.74</v>
      </c>
      <c r="W310">
        <v>30.9</v>
      </c>
    </row>
    <row r="311" spans="1:23">
      <c r="A311">
        <v>180</v>
      </c>
      <c r="B311">
        <v>27.99</v>
      </c>
      <c r="C311">
        <v>27.97</v>
      </c>
      <c r="D311">
        <v>27.94</v>
      </c>
      <c r="E311">
        <v>27.92</v>
      </c>
      <c r="F311">
        <v>27.9</v>
      </c>
      <c r="G311">
        <v>27.87</v>
      </c>
      <c r="H311">
        <v>27.85</v>
      </c>
      <c r="I311">
        <v>27.83</v>
      </c>
      <c r="J311">
        <v>27.81</v>
      </c>
      <c r="K311">
        <v>27.78</v>
      </c>
      <c r="L311">
        <v>27.76</v>
      </c>
      <c r="M311">
        <v>180</v>
      </c>
      <c r="O311">
        <v>-3.6</v>
      </c>
      <c r="P311">
        <v>-2.42</v>
      </c>
      <c r="Q311">
        <v>-1.22</v>
      </c>
      <c r="R311">
        <v>0</v>
      </c>
      <c r="S311">
        <v>1.23</v>
      </c>
      <c r="T311">
        <v>2.48</v>
      </c>
      <c r="U311">
        <v>3.74</v>
      </c>
      <c r="W311">
        <v>31.7</v>
      </c>
    </row>
    <row r="312" spans="1:23">
      <c r="A312">
        <v>185</v>
      </c>
      <c r="B312">
        <v>28.73</v>
      </c>
      <c r="C312">
        <v>28.71</v>
      </c>
      <c r="D312">
        <v>28.68</v>
      </c>
      <c r="E312">
        <v>28.66</v>
      </c>
      <c r="F312">
        <v>28.64</v>
      </c>
      <c r="G312">
        <v>28.61</v>
      </c>
      <c r="H312">
        <v>28.59</v>
      </c>
      <c r="I312">
        <v>28.57</v>
      </c>
      <c r="J312">
        <v>28.55</v>
      </c>
      <c r="K312">
        <v>28.52</v>
      </c>
      <c r="L312">
        <v>28.5</v>
      </c>
      <c r="M312">
        <v>185</v>
      </c>
      <c r="O312">
        <v>-3.61</v>
      </c>
      <c r="P312">
        <v>-2.42</v>
      </c>
      <c r="Q312">
        <v>-1.22</v>
      </c>
      <c r="R312">
        <v>0</v>
      </c>
      <c r="S312">
        <v>1.23</v>
      </c>
      <c r="T312">
        <v>2.48</v>
      </c>
      <c r="U312">
        <v>3.75</v>
      </c>
      <c r="W312">
        <v>32.6</v>
      </c>
    </row>
    <row r="313" spans="1:23">
      <c r="A313">
        <v>190</v>
      </c>
      <c r="B313">
        <v>29.47</v>
      </c>
      <c r="C313">
        <v>29.45</v>
      </c>
      <c r="D313">
        <v>29.43</v>
      </c>
      <c r="E313">
        <v>29.4</v>
      </c>
      <c r="F313">
        <v>29.38</v>
      </c>
      <c r="G313">
        <v>29.36</v>
      </c>
      <c r="H313">
        <v>29.33</v>
      </c>
      <c r="I313">
        <v>29.31</v>
      </c>
      <c r="J313">
        <v>29.29</v>
      </c>
      <c r="K313">
        <v>29.26</v>
      </c>
      <c r="L313">
        <v>29.24</v>
      </c>
      <c r="M313">
        <v>190</v>
      </c>
      <c r="O313">
        <v>-3.61</v>
      </c>
      <c r="P313">
        <v>-2.42</v>
      </c>
      <c r="Q313">
        <v>-1.22</v>
      </c>
      <c r="R313">
        <v>0</v>
      </c>
      <c r="S313">
        <v>1.24</v>
      </c>
      <c r="T313">
        <v>2.4900000000000002</v>
      </c>
      <c r="U313">
        <v>3.76</v>
      </c>
      <c r="W313">
        <v>33.4</v>
      </c>
    </row>
    <row r="314" spans="1:23">
      <c r="A314">
        <v>195</v>
      </c>
      <c r="B314">
        <v>30.21</v>
      </c>
      <c r="C314">
        <v>30.19</v>
      </c>
      <c r="D314">
        <v>30.17</v>
      </c>
      <c r="E314">
        <v>30.14</v>
      </c>
      <c r="F314">
        <v>30.12</v>
      </c>
      <c r="G314">
        <v>30.1</v>
      </c>
      <c r="H314">
        <v>30.07</v>
      </c>
      <c r="I314">
        <v>30.05</v>
      </c>
      <c r="J314">
        <v>30.03</v>
      </c>
      <c r="K314">
        <v>30</v>
      </c>
      <c r="L314">
        <v>29.98</v>
      </c>
      <c r="M314">
        <v>195</v>
      </c>
      <c r="O314">
        <v>-3.62</v>
      </c>
      <c r="P314">
        <v>-2.4300000000000002</v>
      </c>
      <c r="Q314">
        <v>-1.22</v>
      </c>
      <c r="R314">
        <v>0</v>
      </c>
      <c r="S314">
        <v>1.24</v>
      </c>
      <c r="T314">
        <v>2.4900000000000002</v>
      </c>
      <c r="U314">
        <v>3.77</v>
      </c>
      <c r="W314">
        <v>34.299999999999997</v>
      </c>
    </row>
    <row r="315" spans="1:23">
      <c r="A315">
        <v>200</v>
      </c>
      <c r="B315">
        <v>30.96</v>
      </c>
      <c r="C315">
        <v>30.93</v>
      </c>
      <c r="D315">
        <v>30.91</v>
      </c>
      <c r="E315">
        <v>30.88</v>
      </c>
      <c r="F315">
        <v>30.86</v>
      </c>
      <c r="G315">
        <v>30.84</v>
      </c>
      <c r="H315">
        <v>30.82</v>
      </c>
      <c r="I315">
        <v>30.79</v>
      </c>
      <c r="J315">
        <v>30.77</v>
      </c>
      <c r="K315">
        <v>30.75</v>
      </c>
      <c r="L315">
        <v>30.72</v>
      </c>
      <c r="M315">
        <v>200</v>
      </c>
      <c r="O315">
        <v>-3.63</v>
      </c>
      <c r="P315">
        <v>-2.4300000000000002</v>
      </c>
      <c r="Q315">
        <v>-1.22</v>
      </c>
      <c r="R315">
        <v>0</v>
      </c>
      <c r="S315">
        <v>1.24</v>
      </c>
      <c r="T315">
        <v>2.5</v>
      </c>
      <c r="U315">
        <v>3.78</v>
      </c>
      <c r="W315">
        <v>35.1</v>
      </c>
    </row>
    <row r="316" spans="1:23">
      <c r="A316">
        <v>205</v>
      </c>
      <c r="B316">
        <v>31.7</v>
      </c>
      <c r="C316">
        <v>31.67</v>
      </c>
      <c r="D316">
        <v>31.65</v>
      </c>
      <c r="E316">
        <v>31.63</v>
      </c>
      <c r="F316">
        <v>31.6</v>
      </c>
      <c r="G316">
        <v>31.58</v>
      </c>
      <c r="H316">
        <v>31.56</v>
      </c>
      <c r="I316">
        <v>31.53</v>
      </c>
      <c r="J316">
        <v>31.51</v>
      </c>
      <c r="K316">
        <v>31.49</v>
      </c>
      <c r="L316">
        <v>31.47</v>
      </c>
      <c r="M316">
        <v>205</v>
      </c>
      <c r="O316">
        <v>-3.63</v>
      </c>
      <c r="P316">
        <v>-2.44</v>
      </c>
      <c r="Q316">
        <v>-1.23</v>
      </c>
      <c r="R316">
        <v>0</v>
      </c>
      <c r="S316">
        <v>1.24</v>
      </c>
      <c r="T316">
        <v>2.5</v>
      </c>
      <c r="U316">
        <v>3.78</v>
      </c>
      <c r="W316">
        <v>36</v>
      </c>
    </row>
    <row r="317" spans="1:23">
      <c r="A317">
        <v>210</v>
      </c>
      <c r="B317">
        <v>32.44</v>
      </c>
      <c r="C317">
        <v>32.42</v>
      </c>
      <c r="D317">
        <v>32.39</v>
      </c>
      <c r="E317">
        <v>32.369999999999997</v>
      </c>
      <c r="F317">
        <v>32.35</v>
      </c>
      <c r="G317">
        <v>32.32</v>
      </c>
      <c r="H317">
        <v>32.299999999999997</v>
      </c>
      <c r="I317">
        <v>32.28</v>
      </c>
      <c r="J317">
        <v>32.25</v>
      </c>
      <c r="K317">
        <v>32.229999999999997</v>
      </c>
      <c r="L317">
        <v>32.21</v>
      </c>
      <c r="M317">
        <v>210</v>
      </c>
      <c r="O317">
        <v>-3.64</v>
      </c>
      <c r="P317">
        <v>-2.44</v>
      </c>
      <c r="Q317">
        <v>-1.23</v>
      </c>
      <c r="R317">
        <v>0</v>
      </c>
      <c r="S317">
        <v>1.25</v>
      </c>
      <c r="T317">
        <v>2.5099999999999998</v>
      </c>
      <c r="U317">
        <v>3.79</v>
      </c>
      <c r="W317">
        <v>36.799999999999997</v>
      </c>
    </row>
    <row r="318" spans="1:23">
      <c r="A318">
        <v>215</v>
      </c>
      <c r="B318">
        <v>33.19</v>
      </c>
      <c r="C318">
        <v>33.159999999999997</v>
      </c>
      <c r="D318">
        <v>33.14</v>
      </c>
      <c r="E318">
        <v>33.11</v>
      </c>
      <c r="F318">
        <v>33.090000000000003</v>
      </c>
      <c r="G318">
        <v>33.07</v>
      </c>
      <c r="H318">
        <v>33.04</v>
      </c>
      <c r="I318">
        <v>33.020000000000003</v>
      </c>
      <c r="J318">
        <v>33</v>
      </c>
      <c r="K318">
        <v>32.979999999999997</v>
      </c>
      <c r="L318">
        <v>32.950000000000003</v>
      </c>
      <c r="M318">
        <v>215</v>
      </c>
      <c r="O318">
        <v>-3.64</v>
      </c>
      <c r="P318">
        <v>-2.44</v>
      </c>
      <c r="Q318">
        <v>-1.23</v>
      </c>
      <c r="R318">
        <v>0</v>
      </c>
      <c r="S318">
        <v>1.25</v>
      </c>
      <c r="T318">
        <v>2.5099999999999998</v>
      </c>
      <c r="U318">
        <v>3.8</v>
      </c>
      <c r="W318">
        <v>37.700000000000003</v>
      </c>
    </row>
    <row r="319" spans="1:23">
      <c r="A319">
        <v>220</v>
      </c>
      <c r="B319">
        <v>33.93</v>
      </c>
      <c r="C319">
        <v>33.909999999999997</v>
      </c>
      <c r="D319">
        <v>33.880000000000003</v>
      </c>
      <c r="E319">
        <v>33.86</v>
      </c>
      <c r="F319">
        <v>33.840000000000003</v>
      </c>
      <c r="G319">
        <v>33.81</v>
      </c>
      <c r="H319">
        <v>33.79</v>
      </c>
      <c r="I319">
        <v>33.770000000000003</v>
      </c>
      <c r="J319">
        <v>33.74</v>
      </c>
      <c r="K319">
        <v>33.72</v>
      </c>
      <c r="L319">
        <v>33.700000000000003</v>
      </c>
      <c r="M319">
        <v>220</v>
      </c>
      <c r="O319">
        <v>-3.65</v>
      </c>
      <c r="P319">
        <v>-2.4500000000000002</v>
      </c>
      <c r="Q319">
        <v>-1.23</v>
      </c>
      <c r="R319">
        <v>0</v>
      </c>
      <c r="S319">
        <v>1.25</v>
      </c>
      <c r="T319">
        <v>2.52</v>
      </c>
      <c r="U319">
        <v>3.81</v>
      </c>
      <c r="W319">
        <v>38.5</v>
      </c>
    </row>
    <row r="320" spans="1:23">
      <c r="A320">
        <v>225</v>
      </c>
      <c r="B320">
        <v>34.68</v>
      </c>
      <c r="C320">
        <v>34.65</v>
      </c>
      <c r="D320">
        <v>34.630000000000003</v>
      </c>
      <c r="E320">
        <v>34.61</v>
      </c>
      <c r="F320">
        <v>34.58</v>
      </c>
      <c r="G320">
        <v>34.56</v>
      </c>
      <c r="H320">
        <v>34.53</v>
      </c>
      <c r="I320">
        <v>34.51</v>
      </c>
      <c r="J320">
        <v>34.49</v>
      </c>
      <c r="K320">
        <v>34.47</v>
      </c>
      <c r="L320">
        <v>34.44</v>
      </c>
      <c r="M320">
        <v>225</v>
      </c>
      <c r="O320">
        <v>-3.66</v>
      </c>
      <c r="P320">
        <v>-2.4500000000000002</v>
      </c>
      <c r="Q320">
        <v>-1.24</v>
      </c>
      <c r="R320">
        <v>0</v>
      </c>
      <c r="S320">
        <v>1.25</v>
      </c>
      <c r="T320">
        <v>2.52</v>
      </c>
      <c r="U320">
        <v>3.81</v>
      </c>
      <c r="W320">
        <v>39.4</v>
      </c>
    </row>
    <row r="321" spans="1:23">
      <c r="A321">
        <v>230</v>
      </c>
      <c r="B321">
        <v>35.42</v>
      </c>
      <c r="C321">
        <v>35.4</v>
      </c>
      <c r="D321">
        <v>35.380000000000003</v>
      </c>
      <c r="E321">
        <v>35.35</v>
      </c>
      <c r="F321">
        <v>35.33</v>
      </c>
      <c r="G321">
        <v>35.299999999999997</v>
      </c>
      <c r="H321">
        <v>35.28</v>
      </c>
      <c r="I321">
        <v>35.26</v>
      </c>
      <c r="J321">
        <v>35.229999999999997</v>
      </c>
      <c r="K321">
        <v>35.21</v>
      </c>
      <c r="L321">
        <v>35.19</v>
      </c>
      <c r="M321">
        <v>230</v>
      </c>
      <c r="O321">
        <v>-3.66</v>
      </c>
      <c r="P321">
        <v>-2.46</v>
      </c>
      <c r="Q321">
        <v>-1.24</v>
      </c>
      <c r="R321">
        <v>0</v>
      </c>
      <c r="S321">
        <v>1.26</v>
      </c>
      <c r="T321">
        <v>2.5299999999999998</v>
      </c>
      <c r="U321">
        <v>3.82</v>
      </c>
      <c r="W321">
        <v>40.200000000000003</v>
      </c>
    </row>
    <row r="322" spans="1:23">
      <c r="A322">
        <v>235</v>
      </c>
      <c r="B322">
        <v>36.17</v>
      </c>
      <c r="C322">
        <v>36.15</v>
      </c>
      <c r="D322">
        <v>36.119999999999997</v>
      </c>
      <c r="E322">
        <v>36.1</v>
      </c>
      <c r="F322">
        <v>36.07</v>
      </c>
      <c r="G322">
        <v>36.049999999999997</v>
      </c>
      <c r="H322">
        <v>36.03</v>
      </c>
      <c r="I322">
        <v>36</v>
      </c>
      <c r="J322">
        <v>35.979999999999997</v>
      </c>
      <c r="K322">
        <v>35.96</v>
      </c>
      <c r="L322">
        <v>35.94</v>
      </c>
      <c r="M322">
        <v>235</v>
      </c>
      <c r="O322">
        <v>-3.67</v>
      </c>
      <c r="P322">
        <v>-2.46</v>
      </c>
      <c r="Q322">
        <v>-1.24</v>
      </c>
      <c r="R322">
        <v>0</v>
      </c>
      <c r="S322">
        <v>1.26</v>
      </c>
      <c r="T322">
        <v>2.5299999999999998</v>
      </c>
      <c r="U322">
        <v>3.83</v>
      </c>
      <c r="W322">
        <v>41.1</v>
      </c>
    </row>
    <row r="323" spans="1:23">
      <c r="A323">
        <v>240</v>
      </c>
      <c r="B323">
        <v>36.92</v>
      </c>
      <c r="C323">
        <v>36.89</v>
      </c>
      <c r="D323">
        <v>36.869999999999997</v>
      </c>
      <c r="E323">
        <v>36.85</v>
      </c>
      <c r="F323">
        <v>36.82</v>
      </c>
      <c r="G323">
        <v>36.799999999999997</v>
      </c>
      <c r="H323">
        <v>36.770000000000003</v>
      </c>
      <c r="I323">
        <v>36.75</v>
      </c>
      <c r="J323">
        <v>36.729999999999997</v>
      </c>
      <c r="K323">
        <v>36.71</v>
      </c>
      <c r="L323">
        <v>36.68</v>
      </c>
      <c r="M323">
        <v>240</v>
      </c>
      <c r="O323">
        <v>-3.67</v>
      </c>
      <c r="P323">
        <v>-2.4700000000000002</v>
      </c>
      <c r="Q323">
        <v>-1.24</v>
      </c>
      <c r="R323">
        <v>0</v>
      </c>
      <c r="S323">
        <v>1.26</v>
      </c>
      <c r="T323">
        <v>2.54</v>
      </c>
      <c r="U323">
        <v>3.84</v>
      </c>
      <c r="W323">
        <v>41.9</v>
      </c>
    </row>
    <row r="324" spans="1:23">
      <c r="A324">
        <v>245</v>
      </c>
      <c r="B324">
        <v>37.67</v>
      </c>
      <c r="C324">
        <v>37.64</v>
      </c>
      <c r="D324">
        <v>37.619999999999997</v>
      </c>
      <c r="E324">
        <v>37.590000000000003</v>
      </c>
      <c r="F324">
        <v>37.57</v>
      </c>
      <c r="G324">
        <v>37.549999999999997</v>
      </c>
      <c r="H324">
        <v>37.520000000000003</v>
      </c>
      <c r="I324">
        <v>37.5</v>
      </c>
      <c r="J324">
        <v>37.479999999999997</v>
      </c>
      <c r="K324">
        <v>37.450000000000003</v>
      </c>
      <c r="L324">
        <v>37.43</v>
      </c>
      <c r="M324">
        <v>245</v>
      </c>
      <c r="O324">
        <v>-3.68</v>
      </c>
      <c r="P324">
        <v>-2.4700000000000002</v>
      </c>
      <c r="Q324">
        <v>-1.24</v>
      </c>
      <c r="R324">
        <v>0</v>
      </c>
      <c r="S324">
        <v>1.26</v>
      </c>
      <c r="T324">
        <v>2.54</v>
      </c>
      <c r="U324">
        <v>3.84</v>
      </c>
      <c r="W324">
        <v>42.8</v>
      </c>
    </row>
    <row r="325" spans="1:23">
      <c r="A325">
        <v>250</v>
      </c>
      <c r="B325">
        <v>38.409999999999997</v>
      </c>
      <c r="C325">
        <v>38.39</v>
      </c>
      <c r="D325">
        <v>38.369999999999997</v>
      </c>
      <c r="E325">
        <v>38.340000000000003</v>
      </c>
      <c r="F325">
        <v>38.32</v>
      </c>
      <c r="G325">
        <v>38.29</v>
      </c>
      <c r="H325">
        <v>38.270000000000003</v>
      </c>
      <c r="I325">
        <v>38.25</v>
      </c>
      <c r="J325">
        <v>38.22</v>
      </c>
      <c r="K325">
        <v>38.200000000000003</v>
      </c>
      <c r="L325">
        <v>38.18</v>
      </c>
      <c r="M325">
        <v>250</v>
      </c>
      <c r="O325">
        <v>-3.68</v>
      </c>
      <c r="P325">
        <v>-2.4700000000000002</v>
      </c>
      <c r="Q325">
        <v>-1.25</v>
      </c>
      <c r="R325">
        <v>0</v>
      </c>
      <c r="S325">
        <v>1.26</v>
      </c>
      <c r="T325">
        <v>2.5499999999999998</v>
      </c>
      <c r="U325">
        <v>3.85</v>
      </c>
      <c r="W325">
        <v>43.6</v>
      </c>
    </row>
    <row r="326" spans="1:23">
      <c r="A326">
        <v>255</v>
      </c>
      <c r="B326">
        <v>39.159999999999997</v>
      </c>
      <c r="C326">
        <v>39.14</v>
      </c>
      <c r="D326">
        <v>39.119999999999997</v>
      </c>
      <c r="E326">
        <v>39.090000000000003</v>
      </c>
      <c r="F326">
        <v>39.07</v>
      </c>
      <c r="G326">
        <v>39.04</v>
      </c>
      <c r="H326">
        <v>39.020000000000003</v>
      </c>
      <c r="I326">
        <v>39</v>
      </c>
      <c r="J326">
        <v>38.97</v>
      </c>
      <c r="K326">
        <v>38.950000000000003</v>
      </c>
      <c r="L326">
        <v>38.93</v>
      </c>
      <c r="M326">
        <v>255</v>
      </c>
      <c r="O326">
        <v>-3.69</v>
      </c>
      <c r="P326">
        <v>-2.48</v>
      </c>
      <c r="Q326">
        <v>-1.25</v>
      </c>
      <c r="R326">
        <v>0</v>
      </c>
      <c r="S326">
        <v>1.27</v>
      </c>
      <c r="T326">
        <v>2.5499999999999998</v>
      </c>
      <c r="U326">
        <v>3.86</v>
      </c>
      <c r="W326">
        <v>44.5</v>
      </c>
    </row>
    <row r="327" spans="1:23">
      <c r="A327">
        <v>260</v>
      </c>
      <c r="B327">
        <v>39.909999999999997</v>
      </c>
      <c r="C327">
        <v>39.89</v>
      </c>
      <c r="D327">
        <v>39.869999999999997</v>
      </c>
      <c r="E327">
        <v>39.840000000000003</v>
      </c>
      <c r="F327">
        <v>39.82</v>
      </c>
      <c r="G327">
        <v>39.79</v>
      </c>
      <c r="H327">
        <v>39.770000000000003</v>
      </c>
      <c r="I327">
        <v>39.75</v>
      </c>
      <c r="J327">
        <v>39.72</v>
      </c>
      <c r="K327">
        <v>39.700000000000003</v>
      </c>
      <c r="L327">
        <v>39.68</v>
      </c>
      <c r="M327">
        <v>260</v>
      </c>
      <c r="O327">
        <v>-3.69</v>
      </c>
      <c r="P327">
        <v>-2.48</v>
      </c>
      <c r="Q327">
        <v>-1.25</v>
      </c>
      <c r="R327">
        <v>0</v>
      </c>
      <c r="S327">
        <v>1.27</v>
      </c>
      <c r="T327">
        <v>2.56</v>
      </c>
      <c r="U327">
        <v>3.87</v>
      </c>
      <c r="W327">
        <v>45.3</v>
      </c>
    </row>
    <row r="328" spans="1:23">
      <c r="A328">
        <v>265</v>
      </c>
      <c r="B328">
        <v>40.67</v>
      </c>
      <c r="C328">
        <v>40.64</v>
      </c>
      <c r="D328">
        <v>40.619999999999997</v>
      </c>
      <c r="E328">
        <v>40.590000000000003</v>
      </c>
      <c r="F328">
        <v>40.57</v>
      </c>
      <c r="G328">
        <v>40.54</v>
      </c>
      <c r="H328">
        <v>40.520000000000003</v>
      </c>
      <c r="I328">
        <v>40.5</v>
      </c>
      <c r="J328">
        <v>40.47</v>
      </c>
      <c r="K328">
        <v>40.450000000000003</v>
      </c>
      <c r="L328">
        <v>40.43</v>
      </c>
      <c r="M328">
        <v>265</v>
      </c>
      <c r="O328">
        <v>-3.7</v>
      </c>
      <c r="P328">
        <v>-2.4900000000000002</v>
      </c>
      <c r="Q328">
        <v>-1.25</v>
      </c>
      <c r="R328">
        <v>0</v>
      </c>
      <c r="S328">
        <v>1.27</v>
      </c>
      <c r="T328">
        <v>2.56</v>
      </c>
      <c r="U328">
        <v>3.87</v>
      </c>
      <c r="W328">
        <v>46.2</v>
      </c>
    </row>
    <row r="329" spans="1:23">
      <c r="A329">
        <v>270</v>
      </c>
      <c r="B329">
        <v>41.42</v>
      </c>
      <c r="C329">
        <v>41.39</v>
      </c>
      <c r="D329">
        <v>41.37</v>
      </c>
      <c r="E329">
        <v>41.34</v>
      </c>
      <c r="F329">
        <v>41.32</v>
      </c>
      <c r="G329">
        <v>41.3</v>
      </c>
      <c r="H329">
        <v>41.27</v>
      </c>
      <c r="I329">
        <v>41.25</v>
      </c>
      <c r="J329">
        <v>41.23</v>
      </c>
      <c r="K329">
        <v>41.2</v>
      </c>
      <c r="L329">
        <v>41.18</v>
      </c>
      <c r="M329">
        <v>270</v>
      </c>
      <c r="O329">
        <v>-3.71</v>
      </c>
      <c r="P329">
        <v>-2.4900000000000002</v>
      </c>
      <c r="Q329">
        <v>-1.25</v>
      </c>
      <c r="R329">
        <v>0</v>
      </c>
      <c r="S329">
        <v>1.27</v>
      </c>
      <c r="T329">
        <v>2.57</v>
      </c>
      <c r="U329">
        <v>3.88</v>
      </c>
      <c r="W329">
        <v>47.1</v>
      </c>
    </row>
    <row r="330" spans="1:23">
      <c r="A330">
        <v>275</v>
      </c>
      <c r="B330">
        <v>42.17</v>
      </c>
      <c r="C330">
        <v>42.14</v>
      </c>
      <c r="D330">
        <v>42.12</v>
      </c>
      <c r="E330">
        <v>42.1</v>
      </c>
      <c r="F330">
        <v>42.07</v>
      </c>
      <c r="G330">
        <v>42.05</v>
      </c>
      <c r="H330">
        <v>42.02</v>
      </c>
      <c r="I330">
        <v>42</v>
      </c>
      <c r="J330">
        <v>41.98</v>
      </c>
      <c r="K330">
        <v>41.95</v>
      </c>
      <c r="L330">
        <v>41.93</v>
      </c>
      <c r="M330">
        <v>275</v>
      </c>
      <c r="O330">
        <v>-3.71</v>
      </c>
      <c r="P330">
        <v>-2.4900000000000002</v>
      </c>
      <c r="Q330">
        <v>-1.26</v>
      </c>
      <c r="R330">
        <v>0</v>
      </c>
      <c r="S330">
        <v>1.28</v>
      </c>
      <c r="T330">
        <v>2.57</v>
      </c>
      <c r="U330">
        <v>3.89</v>
      </c>
      <c r="W330">
        <v>47.9</v>
      </c>
    </row>
    <row r="331" spans="1:23">
      <c r="A331">
        <v>280</v>
      </c>
      <c r="B331">
        <v>42.92</v>
      </c>
      <c r="C331">
        <v>42.9</v>
      </c>
      <c r="D331">
        <v>42.87</v>
      </c>
      <c r="E331">
        <v>42.85</v>
      </c>
      <c r="F331">
        <v>42.82</v>
      </c>
      <c r="G331">
        <v>42.8</v>
      </c>
      <c r="H331">
        <v>42.78</v>
      </c>
      <c r="I331">
        <v>42.75</v>
      </c>
      <c r="J331">
        <v>42.73</v>
      </c>
      <c r="K331">
        <v>42.71</v>
      </c>
      <c r="L331">
        <v>42.68</v>
      </c>
      <c r="M331">
        <v>280</v>
      </c>
      <c r="O331">
        <v>-3.72</v>
      </c>
      <c r="P331">
        <v>-2.5</v>
      </c>
      <c r="Q331">
        <v>-1.26</v>
      </c>
      <c r="R331">
        <v>0</v>
      </c>
      <c r="S331">
        <v>1.28</v>
      </c>
      <c r="T331">
        <v>2.58</v>
      </c>
      <c r="U331">
        <v>3.9</v>
      </c>
      <c r="W331">
        <v>48.8</v>
      </c>
    </row>
    <row r="332" spans="1:23">
      <c r="A332">
        <v>285</v>
      </c>
      <c r="B332">
        <v>43.67</v>
      </c>
      <c r="C332">
        <v>43.65</v>
      </c>
      <c r="D332">
        <v>43.63</v>
      </c>
      <c r="E332">
        <v>43.6</v>
      </c>
      <c r="F332">
        <v>43.58</v>
      </c>
      <c r="G332">
        <v>43.55</v>
      </c>
      <c r="H332">
        <v>43.53</v>
      </c>
      <c r="I332">
        <v>43.51</v>
      </c>
      <c r="J332">
        <v>43.48</v>
      </c>
      <c r="K332">
        <v>43.46</v>
      </c>
      <c r="L332">
        <v>43.44</v>
      </c>
      <c r="M332">
        <v>285</v>
      </c>
      <c r="O332">
        <v>-3.72</v>
      </c>
      <c r="P332">
        <v>-2.5</v>
      </c>
      <c r="Q332">
        <v>-1.26</v>
      </c>
      <c r="R332">
        <v>0</v>
      </c>
      <c r="S332">
        <v>1.28</v>
      </c>
      <c r="T332">
        <v>2.58</v>
      </c>
      <c r="U332">
        <v>3.9</v>
      </c>
      <c r="W332">
        <v>49.6</v>
      </c>
    </row>
    <row r="333" spans="1:23">
      <c r="A333">
        <v>290</v>
      </c>
      <c r="B333">
        <v>44.43</v>
      </c>
      <c r="C333">
        <v>44.4</v>
      </c>
      <c r="D333">
        <v>44.38</v>
      </c>
      <c r="E333">
        <v>44.35</v>
      </c>
      <c r="F333">
        <v>44.33</v>
      </c>
      <c r="G333">
        <v>44.31</v>
      </c>
      <c r="H333">
        <v>44.28</v>
      </c>
      <c r="I333">
        <v>44.26</v>
      </c>
      <c r="J333">
        <v>44.24</v>
      </c>
      <c r="K333">
        <v>44.21</v>
      </c>
      <c r="L333">
        <v>44.19</v>
      </c>
      <c r="M333">
        <v>290</v>
      </c>
      <c r="O333">
        <v>-3.73</v>
      </c>
      <c r="P333">
        <v>-2.5</v>
      </c>
      <c r="Q333">
        <v>-1.26</v>
      </c>
      <c r="R333">
        <v>0</v>
      </c>
      <c r="S333">
        <v>1.28</v>
      </c>
      <c r="T333">
        <v>2.59</v>
      </c>
      <c r="U333">
        <v>3.91</v>
      </c>
      <c r="W333">
        <v>50.5</v>
      </c>
    </row>
    <row r="334" spans="1:23">
      <c r="A334">
        <v>295</v>
      </c>
      <c r="B334">
        <v>45.18</v>
      </c>
      <c r="C334">
        <v>45.16</v>
      </c>
      <c r="D334">
        <v>45.13</v>
      </c>
      <c r="E334">
        <v>45.11</v>
      </c>
      <c r="F334">
        <v>45.09</v>
      </c>
      <c r="G334">
        <v>45.06</v>
      </c>
      <c r="H334">
        <v>45.04</v>
      </c>
      <c r="I334">
        <v>45.01</v>
      </c>
      <c r="J334">
        <v>44.99</v>
      </c>
      <c r="K334">
        <v>44.97</v>
      </c>
      <c r="L334">
        <v>44.94</v>
      </c>
      <c r="M334">
        <v>295</v>
      </c>
      <c r="O334">
        <v>-3.73</v>
      </c>
      <c r="P334">
        <v>-2.5099999999999998</v>
      </c>
      <c r="Q334">
        <v>-1.26</v>
      </c>
      <c r="R334">
        <v>0</v>
      </c>
      <c r="S334">
        <v>1.28</v>
      </c>
      <c r="T334">
        <v>2.59</v>
      </c>
      <c r="U334">
        <v>3.92</v>
      </c>
      <c r="W334">
        <v>51.3</v>
      </c>
    </row>
    <row r="335" spans="1:23">
      <c r="A335">
        <v>300</v>
      </c>
      <c r="B335">
        <v>45.94</v>
      </c>
      <c r="C335">
        <v>45.91</v>
      </c>
      <c r="D335">
        <v>45.89</v>
      </c>
      <c r="E335">
        <v>45.86</v>
      </c>
      <c r="F335">
        <v>45.84</v>
      </c>
      <c r="G335">
        <v>45.82</v>
      </c>
      <c r="H335">
        <v>45.79</v>
      </c>
      <c r="I335">
        <v>45.77</v>
      </c>
      <c r="J335">
        <v>45.75</v>
      </c>
      <c r="K335">
        <v>45.72</v>
      </c>
      <c r="L335">
        <v>45.7</v>
      </c>
      <c r="M335">
        <v>300</v>
      </c>
      <c r="O335">
        <v>-3.74</v>
      </c>
      <c r="P335">
        <v>-2.5099999999999998</v>
      </c>
      <c r="Q335">
        <v>-1.27</v>
      </c>
      <c r="R335">
        <v>0</v>
      </c>
      <c r="S335">
        <v>1.29</v>
      </c>
      <c r="T335">
        <v>2.59</v>
      </c>
      <c r="U335">
        <v>3.92</v>
      </c>
      <c r="W335">
        <v>52.2</v>
      </c>
    </row>
    <row r="336" spans="1:23">
      <c r="A336">
        <v>305</v>
      </c>
      <c r="B336">
        <v>46.69</v>
      </c>
      <c r="C336">
        <v>46.67</v>
      </c>
      <c r="D336">
        <v>46.64</v>
      </c>
      <c r="E336">
        <v>46.62</v>
      </c>
      <c r="F336">
        <v>46.6</v>
      </c>
      <c r="G336">
        <v>46.57</v>
      </c>
      <c r="H336">
        <v>46.55</v>
      </c>
      <c r="I336">
        <v>46.52</v>
      </c>
      <c r="J336">
        <v>46.5</v>
      </c>
      <c r="K336">
        <v>46.48</v>
      </c>
      <c r="L336">
        <v>46.45</v>
      </c>
      <c r="M336">
        <v>305</v>
      </c>
      <c r="O336">
        <v>-3.74</v>
      </c>
      <c r="P336">
        <v>-2.52</v>
      </c>
      <c r="Q336">
        <v>-1.27</v>
      </c>
      <c r="R336">
        <v>0</v>
      </c>
      <c r="S336">
        <v>1.29</v>
      </c>
      <c r="T336">
        <v>2.6</v>
      </c>
      <c r="U336">
        <v>3.93</v>
      </c>
      <c r="W336">
        <v>53.1</v>
      </c>
    </row>
    <row r="337" spans="1:23">
      <c r="A337">
        <v>310</v>
      </c>
      <c r="B337">
        <v>47.45</v>
      </c>
      <c r="C337">
        <v>47.43</v>
      </c>
      <c r="D337">
        <v>47.4</v>
      </c>
      <c r="E337">
        <v>47.38</v>
      </c>
      <c r="F337">
        <v>47.35</v>
      </c>
      <c r="G337">
        <v>47.33</v>
      </c>
      <c r="H337">
        <v>47.3</v>
      </c>
      <c r="I337">
        <v>47.28</v>
      </c>
      <c r="J337">
        <v>47.26</v>
      </c>
      <c r="K337">
        <v>47.23</v>
      </c>
      <c r="L337">
        <v>47.21</v>
      </c>
      <c r="M337">
        <v>310</v>
      </c>
      <c r="O337">
        <v>-3.75</v>
      </c>
      <c r="P337">
        <v>-2.52</v>
      </c>
      <c r="Q337">
        <v>-1.27</v>
      </c>
      <c r="R337">
        <v>0</v>
      </c>
      <c r="S337">
        <v>1.29</v>
      </c>
      <c r="T337">
        <v>2.6</v>
      </c>
      <c r="U337">
        <v>3.94</v>
      </c>
      <c r="W337">
        <v>53.9</v>
      </c>
    </row>
    <row r="338" spans="1:23">
      <c r="A338">
        <v>315</v>
      </c>
      <c r="B338">
        <v>48.21</v>
      </c>
      <c r="C338">
        <v>48.18</v>
      </c>
      <c r="D338">
        <v>48.16</v>
      </c>
      <c r="E338">
        <v>48.13</v>
      </c>
      <c r="F338">
        <v>48.11</v>
      </c>
      <c r="G338">
        <v>48.08</v>
      </c>
      <c r="H338">
        <v>48.06</v>
      </c>
      <c r="I338">
        <v>48.04</v>
      </c>
      <c r="J338">
        <v>48.01</v>
      </c>
      <c r="K338">
        <v>47.99</v>
      </c>
      <c r="L338">
        <v>47.97</v>
      </c>
      <c r="M338">
        <v>315</v>
      </c>
      <c r="O338">
        <v>-3.75</v>
      </c>
      <c r="P338">
        <v>-2.52</v>
      </c>
      <c r="Q338">
        <v>-1.27</v>
      </c>
      <c r="R338">
        <v>0</v>
      </c>
      <c r="S338">
        <v>1.29</v>
      </c>
      <c r="T338">
        <v>2.61</v>
      </c>
      <c r="U338">
        <v>3.94</v>
      </c>
      <c r="W338">
        <v>54.8</v>
      </c>
    </row>
    <row r="339" spans="1:23">
      <c r="A339">
        <v>320</v>
      </c>
      <c r="B339">
        <v>48.96</v>
      </c>
      <c r="C339">
        <v>48.94</v>
      </c>
      <c r="D339">
        <v>48.91</v>
      </c>
      <c r="E339">
        <v>48.89</v>
      </c>
      <c r="F339">
        <v>48.87</v>
      </c>
      <c r="G339">
        <v>48.84</v>
      </c>
      <c r="H339">
        <v>48.82</v>
      </c>
      <c r="I339">
        <v>48.79</v>
      </c>
      <c r="J339">
        <v>48.77</v>
      </c>
      <c r="K339">
        <v>48.75</v>
      </c>
      <c r="L339">
        <v>48.72</v>
      </c>
      <c r="M339">
        <v>320</v>
      </c>
      <c r="O339">
        <v>-3.76</v>
      </c>
      <c r="P339">
        <v>-2.5299999999999998</v>
      </c>
      <c r="Q339">
        <v>-1.27</v>
      </c>
      <c r="R339">
        <v>0</v>
      </c>
      <c r="S339">
        <v>1.29</v>
      </c>
      <c r="T339">
        <v>2.61</v>
      </c>
      <c r="U339">
        <v>3.95</v>
      </c>
      <c r="W339">
        <v>55.7</v>
      </c>
    </row>
    <row r="340" spans="1:23">
      <c r="A340">
        <v>325</v>
      </c>
      <c r="B340">
        <v>49.72</v>
      </c>
      <c r="C340">
        <v>49.7</v>
      </c>
      <c r="D340">
        <v>49.67</v>
      </c>
      <c r="E340">
        <v>49.65</v>
      </c>
      <c r="F340">
        <v>49.62</v>
      </c>
      <c r="G340">
        <v>49.6</v>
      </c>
      <c r="H340">
        <v>49.58</v>
      </c>
      <c r="I340">
        <v>49.55</v>
      </c>
      <c r="J340">
        <v>49.53</v>
      </c>
      <c r="K340">
        <v>49.51</v>
      </c>
      <c r="L340">
        <v>49.48</v>
      </c>
      <c r="M340">
        <v>325</v>
      </c>
      <c r="O340">
        <v>-3.76</v>
      </c>
      <c r="P340">
        <v>-2.5299999999999998</v>
      </c>
      <c r="Q340">
        <v>-1.28</v>
      </c>
      <c r="R340">
        <v>0</v>
      </c>
      <c r="S340">
        <v>1.3</v>
      </c>
      <c r="T340">
        <v>2.62</v>
      </c>
      <c r="U340">
        <v>3.96</v>
      </c>
      <c r="W340">
        <v>56.5</v>
      </c>
    </row>
    <row r="341" spans="1:23">
      <c r="A341">
        <v>330</v>
      </c>
      <c r="B341">
        <v>50.48</v>
      </c>
      <c r="C341">
        <v>50.46</v>
      </c>
      <c r="D341">
        <v>50.43</v>
      </c>
      <c r="E341">
        <v>50.41</v>
      </c>
      <c r="F341">
        <v>50.38</v>
      </c>
      <c r="G341">
        <v>50.36</v>
      </c>
      <c r="H341">
        <v>50.33</v>
      </c>
      <c r="I341">
        <v>50.31</v>
      </c>
      <c r="J341">
        <v>50.29</v>
      </c>
      <c r="K341">
        <v>50.26</v>
      </c>
      <c r="L341">
        <v>50.24</v>
      </c>
      <c r="M341">
        <v>330</v>
      </c>
      <c r="O341">
        <v>-3.77</v>
      </c>
      <c r="P341">
        <v>-2.5299999999999998</v>
      </c>
      <c r="Q341">
        <v>-1.28</v>
      </c>
      <c r="R341">
        <v>0</v>
      </c>
      <c r="S341">
        <v>1.3</v>
      </c>
      <c r="T341">
        <v>2.62</v>
      </c>
      <c r="U341">
        <v>3.96</v>
      </c>
      <c r="W341">
        <v>57.4</v>
      </c>
    </row>
    <row r="342" spans="1:23">
      <c r="A342">
        <v>335</v>
      </c>
      <c r="B342">
        <v>51.24</v>
      </c>
      <c r="C342">
        <v>51.21</v>
      </c>
      <c r="D342">
        <v>51.19</v>
      </c>
      <c r="E342">
        <v>51.17</v>
      </c>
      <c r="F342">
        <v>51.14</v>
      </c>
      <c r="G342">
        <v>51.12</v>
      </c>
      <c r="H342">
        <v>51.09</v>
      </c>
      <c r="I342">
        <v>51.07</v>
      </c>
      <c r="J342">
        <v>51.05</v>
      </c>
      <c r="K342">
        <v>51.02</v>
      </c>
      <c r="L342">
        <v>51</v>
      </c>
      <c r="M342">
        <v>335</v>
      </c>
      <c r="O342">
        <v>-3.77</v>
      </c>
      <c r="P342">
        <v>-2.54</v>
      </c>
      <c r="Q342">
        <v>-1.28</v>
      </c>
      <c r="R342">
        <v>0</v>
      </c>
      <c r="S342">
        <v>1.3</v>
      </c>
      <c r="T342">
        <v>2.62</v>
      </c>
      <c r="U342">
        <v>3.97</v>
      </c>
      <c r="W342">
        <v>58.3</v>
      </c>
    </row>
    <row r="343" spans="1:23">
      <c r="A343">
        <v>340</v>
      </c>
      <c r="B343">
        <v>52</v>
      </c>
      <c r="C343">
        <v>51.97</v>
      </c>
      <c r="D343">
        <v>51.95</v>
      </c>
      <c r="E343">
        <v>51.92</v>
      </c>
      <c r="F343">
        <v>51.9</v>
      </c>
      <c r="G343">
        <v>51.88</v>
      </c>
      <c r="H343">
        <v>51.85</v>
      </c>
      <c r="I343">
        <v>51.83</v>
      </c>
      <c r="J343">
        <v>51.8</v>
      </c>
      <c r="K343">
        <v>51.78</v>
      </c>
      <c r="L343">
        <v>51.76</v>
      </c>
      <c r="M343">
        <v>340</v>
      </c>
      <c r="O343">
        <v>-3.78</v>
      </c>
      <c r="P343">
        <v>-2.54</v>
      </c>
      <c r="Q343">
        <v>-1.28</v>
      </c>
      <c r="R343">
        <v>0</v>
      </c>
      <c r="S343">
        <v>1.3</v>
      </c>
      <c r="T343">
        <v>2.63</v>
      </c>
      <c r="U343">
        <v>3.98</v>
      </c>
      <c r="W343">
        <v>59.1</v>
      </c>
    </row>
    <row r="344" spans="1:23">
      <c r="A344">
        <v>345</v>
      </c>
      <c r="B344">
        <v>52.76</v>
      </c>
      <c r="C344">
        <v>52.73</v>
      </c>
      <c r="D344">
        <v>52.71</v>
      </c>
      <c r="E344">
        <v>52.68</v>
      </c>
      <c r="F344">
        <v>52.66</v>
      </c>
      <c r="G344">
        <v>52.64</v>
      </c>
      <c r="H344">
        <v>52.61</v>
      </c>
      <c r="I344">
        <v>52.59</v>
      </c>
      <c r="J344">
        <v>52.56</v>
      </c>
      <c r="K344">
        <v>52.54</v>
      </c>
      <c r="L344">
        <v>52.52</v>
      </c>
      <c r="M344">
        <v>345</v>
      </c>
      <c r="O344">
        <v>-3.78</v>
      </c>
      <c r="P344">
        <v>-2.54</v>
      </c>
      <c r="Q344">
        <v>-1.28</v>
      </c>
      <c r="R344">
        <v>0</v>
      </c>
      <c r="S344">
        <v>1.3</v>
      </c>
      <c r="T344">
        <v>2.63</v>
      </c>
      <c r="U344">
        <v>3.98</v>
      </c>
      <c r="W344">
        <v>60</v>
      </c>
    </row>
    <row r="345" spans="1:23">
      <c r="A345">
        <v>350</v>
      </c>
      <c r="B345">
        <v>53.52</v>
      </c>
      <c r="C345">
        <v>53.5</v>
      </c>
      <c r="D345">
        <v>53.47</v>
      </c>
      <c r="E345">
        <v>53.45</v>
      </c>
      <c r="F345">
        <v>53.42</v>
      </c>
      <c r="G345">
        <v>53.4</v>
      </c>
      <c r="H345">
        <v>53.37</v>
      </c>
      <c r="I345">
        <v>53.35</v>
      </c>
      <c r="J345">
        <v>53.33</v>
      </c>
      <c r="K345">
        <v>53.3</v>
      </c>
      <c r="L345">
        <v>53.28</v>
      </c>
      <c r="M345">
        <v>350</v>
      </c>
      <c r="O345">
        <v>-3.79</v>
      </c>
      <c r="P345">
        <v>-2.5499999999999998</v>
      </c>
      <c r="Q345">
        <v>-1.28</v>
      </c>
      <c r="R345">
        <v>0</v>
      </c>
      <c r="S345">
        <v>1.31</v>
      </c>
      <c r="T345">
        <v>2.63</v>
      </c>
      <c r="U345">
        <v>3.99</v>
      </c>
      <c r="W345">
        <v>60.9</v>
      </c>
    </row>
    <row r="346" spans="1:23">
      <c r="A346">
        <v>355</v>
      </c>
      <c r="B346">
        <v>54.28</v>
      </c>
      <c r="C346">
        <v>54.26</v>
      </c>
      <c r="D346">
        <v>54.23</v>
      </c>
      <c r="E346">
        <v>54.21</v>
      </c>
      <c r="F346">
        <v>54.18</v>
      </c>
      <c r="G346">
        <v>54.16</v>
      </c>
      <c r="H346">
        <v>54.13</v>
      </c>
      <c r="I346">
        <v>54.11</v>
      </c>
      <c r="J346">
        <v>54.09</v>
      </c>
      <c r="K346">
        <v>54.06</v>
      </c>
      <c r="L346">
        <v>54.04</v>
      </c>
      <c r="M346">
        <v>355</v>
      </c>
      <c r="O346">
        <v>-3.79</v>
      </c>
      <c r="P346">
        <v>-2.5499999999999998</v>
      </c>
      <c r="Q346">
        <v>-1.29</v>
      </c>
      <c r="R346">
        <v>0</v>
      </c>
      <c r="S346">
        <v>1.31</v>
      </c>
      <c r="T346">
        <v>2.64</v>
      </c>
      <c r="U346">
        <v>3.99</v>
      </c>
      <c r="W346">
        <v>61.7</v>
      </c>
    </row>
    <row r="347" spans="1:23">
      <c r="A347">
        <v>360</v>
      </c>
      <c r="B347">
        <v>55.04</v>
      </c>
      <c r="C347">
        <v>55.02</v>
      </c>
      <c r="D347">
        <v>54.99</v>
      </c>
      <c r="E347">
        <v>54.97</v>
      </c>
      <c r="F347">
        <v>54.94</v>
      </c>
      <c r="G347">
        <v>54.92</v>
      </c>
      <c r="H347">
        <v>54.9</v>
      </c>
      <c r="I347">
        <v>54.87</v>
      </c>
      <c r="J347">
        <v>54.85</v>
      </c>
      <c r="K347">
        <v>54.82</v>
      </c>
      <c r="L347">
        <v>54.8</v>
      </c>
      <c r="M347">
        <v>360</v>
      </c>
      <c r="O347">
        <v>-3.8</v>
      </c>
      <c r="P347">
        <v>-2.5499999999999998</v>
      </c>
      <c r="Q347">
        <v>-1.29</v>
      </c>
      <c r="R347">
        <v>0</v>
      </c>
      <c r="S347">
        <v>1.31</v>
      </c>
      <c r="T347">
        <v>2.64</v>
      </c>
      <c r="U347">
        <v>4</v>
      </c>
      <c r="W347">
        <v>62.6</v>
      </c>
    </row>
    <row r="348" spans="1:23">
      <c r="A348">
        <v>365</v>
      </c>
      <c r="B348">
        <v>55.81</v>
      </c>
      <c r="C348">
        <v>55.78</v>
      </c>
      <c r="D348">
        <v>55.76</v>
      </c>
      <c r="E348">
        <v>55.73</v>
      </c>
      <c r="F348">
        <v>55.71</v>
      </c>
      <c r="G348">
        <v>55.68</v>
      </c>
      <c r="H348">
        <v>55.66</v>
      </c>
      <c r="I348">
        <v>55.63</v>
      </c>
      <c r="J348">
        <v>55.61</v>
      </c>
      <c r="K348">
        <v>55.59</v>
      </c>
      <c r="L348">
        <v>55.56</v>
      </c>
      <c r="M348">
        <v>365</v>
      </c>
      <c r="O348">
        <v>-3.8</v>
      </c>
      <c r="P348">
        <v>-2.56</v>
      </c>
      <c r="Q348">
        <v>-1.29</v>
      </c>
      <c r="R348">
        <v>0</v>
      </c>
      <c r="S348">
        <v>1.31</v>
      </c>
      <c r="T348">
        <v>2.65</v>
      </c>
      <c r="U348">
        <v>4</v>
      </c>
      <c r="W348">
        <v>63.5</v>
      </c>
    </row>
    <row r="349" spans="1:23">
      <c r="A349">
        <v>370</v>
      </c>
      <c r="B349">
        <v>56.57</v>
      </c>
      <c r="C349">
        <v>56.54</v>
      </c>
      <c r="D349">
        <v>56.52</v>
      </c>
      <c r="E349">
        <v>56.49</v>
      </c>
      <c r="F349">
        <v>56.47</v>
      </c>
      <c r="G349">
        <v>56.44</v>
      </c>
      <c r="H349">
        <v>56.42</v>
      </c>
      <c r="I349">
        <v>56.4</v>
      </c>
      <c r="J349">
        <v>56.37</v>
      </c>
      <c r="K349">
        <v>56.35</v>
      </c>
      <c r="L349">
        <v>56.33</v>
      </c>
      <c r="M349">
        <v>370</v>
      </c>
      <c r="O349">
        <v>-3.8</v>
      </c>
      <c r="P349">
        <v>-2.56</v>
      </c>
      <c r="Q349">
        <v>-1.29</v>
      </c>
      <c r="R349">
        <v>0</v>
      </c>
      <c r="S349">
        <v>1.31</v>
      </c>
      <c r="T349">
        <v>2.65</v>
      </c>
      <c r="U349">
        <v>4.01</v>
      </c>
      <c r="W349">
        <v>64.3</v>
      </c>
    </row>
    <row r="350" spans="1:23">
      <c r="A350">
        <v>375</v>
      </c>
      <c r="B350">
        <v>57.33</v>
      </c>
      <c r="C350">
        <v>57.31</v>
      </c>
      <c r="D350">
        <v>57.28</v>
      </c>
      <c r="E350">
        <v>57.26</v>
      </c>
      <c r="F350">
        <v>57.23</v>
      </c>
      <c r="G350">
        <v>57.21</v>
      </c>
      <c r="H350">
        <v>57.18</v>
      </c>
      <c r="I350">
        <v>57.16</v>
      </c>
      <c r="J350">
        <v>57.14</v>
      </c>
      <c r="K350">
        <v>57.11</v>
      </c>
      <c r="L350">
        <v>57.09</v>
      </c>
      <c r="M350">
        <v>375</v>
      </c>
      <c r="O350">
        <v>-3.81</v>
      </c>
      <c r="P350">
        <v>-2.56</v>
      </c>
      <c r="Q350">
        <v>-1.29</v>
      </c>
      <c r="R350">
        <v>0</v>
      </c>
      <c r="S350">
        <v>1.31</v>
      </c>
      <c r="T350">
        <v>2.65</v>
      </c>
      <c r="U350">
        <v>4.0199999999999996</v>
      </c>
      <c r="W350">
        <v>65.2</v>
      </c>
    </row>
    <row r="351" spans="1:23">
      <c r="A351">
        <v>380</v>
      </c>
      <c r="B351">
        <v>58.1</v>
      </c>
      <c r="C351">
        <v>58.07</v>
      </c>
      <c r="D351">
        <v>58.04</v>
      </c>
      <c r="E351">
        <v>58.02</v>
      </c>
      <c r="F351">
        <v>57.99</v>
      </c>
      <c r="G351">
        <v>57.97</v>
      </c>
      <c r="H351">
        <v>57.95</v>
      </c>
      <c r="I351">
        <v>57.92</v>
      </c>
      <c r="J351">
        <v>57.9</v>
      </c>
      <c r="K351">
        <v>57.88</v>
      </c>
      <c r="L351">
        <v>57.85</v>
      </c>
      <c r="M351">
        <v>380</v>
      </c>
      <c r="O351">
        <v>-3.81</v>
      </c>
      <c r="P351">
        <v>-2.56</v>
      </c>
      <c r="Q351">
        <v>-1.29</v>
      </c>
      <c r="R351">
        <v>0</v>
      </c>
      <c r="S351">
        <v>1.32</v>
      </c>
      <c r="T351">
        <v>2.66</v>
      </c>
      <c r="U351">
        <v>4.0199999999999996</v>
      </c>
      <c r="W351">
        <v>66.099999999999994</v>
      </c>
    </row>
    <row r="352" spans="1:23">
      <c r="A352">
        <v>385</v>
      </c>
      <c r="B352">
        <v>58.86</v>
      </c>
      <c r="C352">
        <v>58.83</v>
      </c>
      <c r="D352">
        <v>58.81</v>
      </c>
      <c r="E352">
        <v>58.78</v>
      </c>
      <c r="F352">
        <v>58.76</v>
      </c>
      <c r="G352">
        <v>58.73</v>
      </c>
      <c r="H352">
        <v>58.71</v>
      </c>
      <c r="I352">
        <v>58.69</v>
      </c>
      <c r="J352">
        <v>58.66</v>
      </c>
      <c r="K352">
        <v>58.64</v>
      </c>
      <c r="L352">
        <v>58.62</v>
      </c>
      <c r="M352">
        <v>385</v>
      </c>
      <c r="O352">
        <v>-3.82</v>
      </c>
      <c r="P352">
        <v>-2.57</v>
      </c>
      <c r="Q352">
        <v>-1.3</v>
      </c>
      <c r="R352">
        <v>0</v>
      </c>
      <c r="S352">
        <v>1.32</v>
      </c>
      <c r="T352">
        <v>2.66</v>
      </c>
      <c r="U352">
        <v>4.03</v>
      </c>
      <c r="W352">
        <v>67</v>
      </c>
    </row>
    <row r="353" spans="1:23">
      <c r="A353">
        <v>390</v>
      </c>
      <c r="B353">
        <v>59.62</v>
      </c>
      <c r="C353">
        <v>59.6</v>
      </c>
      <c r="D353">
        <v>59.57</v>
      </c>
      <c r="E353">
        <v>59.55</v>
      </c>
      <c r="F353">
        <v>59.52</v>
      </c>
      <c r="G353">
        <v>59.5</v>
      </c>
      <c r="H353">
        <v>59.47</v>
      </c>
      <c r="I353">
        <v>59.45</v>
      </c>
      <c r="J353">
        <v>59.43</v>
      </c>
      <c r="K353">
        <v>59.4</v>
      </c>
      <c r="L353">
        <v>59.38</v>
      </c>
      <c r="M353">
        <v>390</v>
      </c>
      <c r="O353">
        <v>-3.82</v>
      </c>
      <c r="P353">
        <v>-2.57</v>
      </c>
      <c r="Q353">
        <v>-1.3</v>
      </c>
      <c r="R353">
        <v>0</v>
      </c>
      <c r="S353">
        <v>1.32</v>
      </c>
      <c r="T353">
        <v>2.66</v>
      </c>
      <c r="U353">
        <v>4.03</v>
      </c>
      <c r="W353">
        <v>67.8</v>
      </c>
    </row>
    <row r="354" spans="1:23">
      <c r="A354">
        <v>395</v>
      </c>
      <c r="B354">
        <v>60.39</v>
      </c>
      <c r="C354">
        <v>60.36</v>
      </c>
      <c r="D354">
        <v>60.34</v>
      </c>
      <c r="E354">
        <v>60.31</v>
      </c>
      <c r="F354">
        <v>60.29</v>
      </c>
      <c r="G354">
        <v>60.26</v>
      </c>
      <c r="H354">
        <v>60.24</v>
      </c>
      <c r="I354">
        <v>60.22</v>
      </c>
      <c r="J354">
        <v>60.19</v>
      </c>
      <c r="K354">
        <v>60.17</v>
      </c>
      <c r="L354">
        <v>60.15</v>
      </c>
      <c r="M354">
        <v>395</v>
      </c>
      <c r="O354">
        <v>-3.83</v>
      </c>
      <c r="P354">
        <v>-2.57</v>
      </c>
      <c r="Q354">
        <v>-1.3</v>
      </c>
      <c r="R354">
        <v>0</v>
      </c>
      <c r="S354">
        <v>1.32</v>
      </c>
      <c r="T354">
        <v>2.67</v>
      </c>
      <c r="U354">
        <v>4.04</v>
      </c>
      <c r="W354">
        <v>68.7</v>
      </c>
    </row>
    <row r="355" spans="1:23">
      <c r="A355">
        <v>400</v>
      </c>
      <c r="B355">
        <v>61.15</v>
      </c>
      <c r="C355">
        <v>61.13</v>
      </c>
      <c r="D355">
        <v>61.1</v>
      </c>
      <c r="E355">
        <v>61.08</v>
      </c>
      <c r="F355">
        <v>61.05</v>
      </c>
      <c r="G355">
        <v>61.03</v>
      </c>
      <c r="H355">
        <v>61</v>
      </c>
      <c r="I355">
        <v>60.98</v>
      </c>
      <c r="J355">
        <v>60.96</v>
      </c>
      <c r="K355">
        <v>60.93</v>
      </c>
      <c r="L355">
        <v>60.91</v>
      </c>
      <c r="M355">
        <v>400</v>
      </c>
      <c r="O355">
        <v>-3.83</v>
      </c>
      <c r="P355">
        <v>-2.58</v>
      </c>
      <c r="Q355">
        <v>-1.3</v>
      </c>
      <c r="R355">
        <v>0</v>
      </c>
      <c r="S355">
        <v>1.32</v>
      </c>
      <c r="T355">
        <v>2.67</v>
      </c>
      <c r="U355">
        <v>4.04</v>
      </c>
      <c r="W355">
        <v>69.599999999999994</v>
      </c>
    </row>
    <row r="356" spans="1:23">
      <c r="A356">
        <v>405</v>
      </c>
      <c r="B356">
        <v>61.92</v>
      </c>
      <c r="C356">
        <v>61.9</v>
      </c>
      <c r="D356">
        <v>61.87</v>
      </c>
      <c r="E356">
        <v>61.84</v>
      </c>
      <c r="F356">
        <v>61.82</v>
      </c>
      <c r="G356">
        <v>61.79</v>
      </c>
      <c r="H356">
        <v>61.77</v>
      </c>
      <c r="I356">
        <v>61.75</v>
      </c>
      <c r="J356">
        <v>61.72</v>
      </c>
      <c r="K356">
        <v>61.7</v>
      </c>
      <c r="L356">
        <v>61.68</v>
      </c>
      <c r="M356">
        <v>405</v>
      </c>
      <c r="O356">
        <v>-3.83</v>
      </c>
      <c r="P356">
        <v>-2.58</v>
      </c>
      <c r="Q356">
        <v>-1.3</v>
      </c>
      <c r="R356">
        <v>0</v>
      </c>
      <c r="S356">
        <v>1.32</v>
      </c>
      <c r="T356">
        <v>2.67</v>
      </c>
      <c r="U356">
        <v>4.05</v>
      </c>
      <c r="W356">
        <v>70.400000000000006</v>
      </c>
    </row>
    <row r="357" spans="1:23">
      <c r="A357">
        <v>410</v>
      </c>
      <c r="B357">
        <v>62.69</v>
      </c>
      <c r="C357">
        <v>62.66</v>
      </c>
      <c r="D357">
        <v>62.64</v>
      </c>
      <c r="E357">
        <v>62.61</v>
      </c>
      <c r="F357">
        <v>62.59</v>
      </c>
      <c r="G357">
        <v>62.56</v>
      </c>
      <c r="H357">
        <v>62.54</v>
      </c>
      <c r="I357">
        <v>62.51</v>
      </c>
      <c r="J357">
        <v>62.49</v>
      </c>
      <c r="K357">
        <v>62.47</v>
      </c>
      <c r="L357">
        <v>62.44</v>
      </c>
      <c r="M357">
        <v>410</v>
      </c>
      <c r="O357">
        <v>-3.84</v>
      </c>
      <c r="P357">
        <v>-2.58</v>
      </c>
      <c r="Q357">
        <v>-1.3</v>
      </c>
      <c r="R357">
        <v>0</v>
      </c>
      <c r="S357">
        <v>1.33</v>
      </c>
      <c r="T357">
        <v>2.68</v>
      </c>
      <c r="U357">
        <v>4.05</v>
      </c>
      <c r="W357">
        <v>71.3</v>
      </c>
    </row>
    <row r="358" spans="1:23">
      <c r="A358">
        <v>415</v>
      </c>
      <c r="B358">
        <v>63.45</v>
      </c>
      <c r="C358">
        <v>63.43</v>
      </c>
      <c r="D358">
        <v>63.4</v>
      </c>
      <c r="E358">
        <v>63.38</v>
      </c>
      <c r="F358">
        <v>63.35</v>
      </c>
      <c r="G358">
        <v>63.33</v>
      </c>
      <c r="H358">
        <v>63.3</v>
      </c>
      <c r="I358">
        <v>63.28</v>
      </c>
      <c r="J358">
        <v>63.26</v>
      </c>
      <c r="K358">
        <v>63.23</v>
      </c>
      <c r="L358">
        <v>63.21</v>
      </c>
      <c r="M358">
        <v>415</v>
      </c>
      <c r="O358">
        <v>-3.84</v>
      </c>
      <c r="P358">
        <v>-2.58</v>
      </c>
      <c r="Q358">
        <v>-1.3</v>
      </c>
      <c r="R358">
        <v>0</v>
      </c>
      <c r="S358">
        <v>1.33</v>
      </c>
      <c r="T358">
        <v>2.68</v>
      </c>
      <c r="U358">
        <v>4.0599999999999996</v>
      </c>
      <c r="W358">
        <v>72.2</v>
      </c>
    </row>
    <row r="359" spans="1:23">
      <c r="A359">
        <v>420</v>
      </c>
      <c r="B359">
        <v>64.22</v>
      </c>
      <c r="C359">
        <v>64.2</v>
      </c>
      <c r="D359">
        <v>64.17</v>
      </c>
      <c r="E359">
        <v>64.14</v>
      </c>
      <c r="F359">
        <v>64.12</v>
      </c>
      <c r="G359">
        <v>64.09</v>
      </c>
      <c r="H359">
        <v>64.069999999999993</v>
      </c>
      <c r="I359">
        <v>64.05</v>
      </c>
      <c r="J359">
        <v>64.02</v>
      </c>
      <c r="K359">
        <v>64</v>
      </c>
      <c r="L359">
        <v>63.98</v>
      </c>
      <c r="M359">
        <v>420</v>
      </c>
      <c r="O359">
        <v>-3.84</v>
      </c>
      <c r="P359">
        <v>-2.59</v>
      </c>
      <c r="Q359">
        <v>-1.3</v>
      </c>
      <c r="R359">
        <v>0</v>
      </c>
      <c r="S359">
        <v>1.33</v>
      </c>
      <c r="T359">
        <v>2.68</v>
      </c>
      <c r="U359">
        <v>4.0599999999999996</v>
      </c>
      <c r="W359">
        <v>73.099999999999994</v>
      </c>
    </row>
    <row r="360" spans="1:23">
      <c r="A360">
        <v>425</v>
      </c>
      <c r="B360">
        <v>64.989999999999995</v>
      </c>
      <c r="C360">
        <v>64.959999999999994</v>
      </c>
      <c r="D360">
        <v>64.94</v>
      </c>
      <c r="E360">
        <v>64.91</v>
      </c>
      <c r="F360">
        <v>64.89</v>
      </c>
      <c r="G360">
        <v>64.86</v>
      </c>
      <c r="H360">
        <v>64.84</v>
      </c>
      <c r="I360">
        <v>64.81</v>
      </c>
      <c r="J360">
        <v>64.790000000000006</v>
      </c>
      <c r="K360">
        <v>64.77</v>
      </c>
      <c r="L360">
        <v>64.739999999999995</v>
      </c>
      <c r="M360">
        <v>425</v>
      </c>
      <c r="O360">
        <v>-3.85</v>
      </c>
      <c r="P360">
        <v>-2.59</v>
      </c>
      <c r="Q360">
        <v>-1.31</v>
      </c>
      <c r="R360">
        <v>0</v>
      </c>
      <c r="S360">
        <v>1.33</v>
      </c>
      <c r="T360">
        <v>2.68</v>
      </c>
      <c r="U360">
        <v>4.07</v>
      </c>
      <c r="W360">
        <v>73.900000000000006</v>
      </c>
    </row>
    <row r="361" spans="1:23">
      <c r="A361">
        <v>430</v>
      </c>
      <c r="B361">
        <v>65.760000000000005</v>
      </c>
      <c r="C361">
        <v>65.73</v>
      </c>
      <c r="D361">
        <v>65.7</v>
      </c>
      <c r="E361">
        <v>65.680000000000007</v>
      </c>
      <c r="F361">
        <v>65.650000000000006</v>
      </c>
      <c r="G361">
        <v>65.63</v>
      </c>
      <c r="H361">
        <v>65.61</v>
      </c>
      <c r="I361">
        <v>65.58</v>
      </c>
      <c r="J361">
        <v>65.56</v>
      </c>
      <c r="K361">
        <v>65.53</v>
      </c>
      <c r="L361">
        <v>65.510000000000005</v>
      </c>
      <c r="M361">
        <v>430</v>
      </c>
      <c r="O361">
        <v>-3.85</v>
      </c>
      <c r="P361">
        <v>-2.59</v>
      </c>
      <c r="Q361">
        <v>-1.31</v>
      </c>
      <c r="R361">
        <v>0</v>
      </c>
      <c r="S361">
        <v>1.33</v>
      </c>
      <c r="T361">
        <v>2.69</v>
      </c>
      <c r="U361">
        <v>4.07</v>
      </c>
      <c r="W361">
        <v>74.8</v>
      </c>
    </row>
    <row r="362" spans="1:23">
      <c r="A362">
        <v>435</v>
      </c>
      <c r="B362">
        <v>66.52</v>
      </c>
      <c r="C362">
        <v>66.5</v>
      </c>
      <c r="D362">
        <v>66.47</v>
      </c>
      <c r="E362">
        <v>66.45</v>
      </c>
      <c r="F362">
        <v>66.42</v>
      </c>
      <c r="G362">
        <v>66.400000000000006</v>
      </c>
      <c r="H362">
        <v>66.37</v>
      </c>
      <c r="I362">
        <v>66.349999999999994</v>
      </c>
      <c r="J362">
        <v>66.33</v>
      </c>
      <c r="K362">
        <v>66.3</v>
      </c>
      <c r="L362">
        <v>66.28</v>
      </c>
      <c r="M362">
        <v>435</v>
      </c>
      <c r="O362">
        <v>-3.85</v>
      </c>
      <c r="P362">
        <v>-2.59</v>
      </c>
      <c r="Q362">
        <v>-1.31</v>
      </c>
      <c r="R362">
        <v>0</v>
      </c>
      <c r="S362">
        <v>1.33</v>
      </c>
      <c r="T362">
        <v>2.69</v>
      </c>
      <c r="U362">
        <v>4.07</v>
      </c>
      <c r="W362">
        <v>75.7</v>
      </c>
    </row>
    <row r="363" spans="1:23">
      <c r="A363">
        <v>440</v>
      </c>
      <c r="B363">
        <v>67.290000000000006</v>
      </c>
      <c r="C363">
        <v>67.27</v>
      </c>
      <c r="D363">
        <v>67.239999999999995</v>
      </c>
      <c r="E363">
        <v>67.22</v>
      </c>
      <c r="F363">
        <v>67.19</v>
      </c>
      <c r="G363">
        <v>67.17</v>
      </c>
      <c r="H363">
        <v>67.14</v>
      </c>
      <c r="I363">
        <v>67.12</v>
      </c>
      <c r="J363">
        <v>67.09</v>
      </c>
      <c r="K363">
        <v>67.069999999999993</v>
      </c>
      <c r="L363">
        <v>67.05</v>
      </c>
      <c r="M363">
        <v>440</v>
      </c>
      <c r="O363">
        <v>-3.86</v>
      </c>
      <c r="P363">
        <v>-2.59</v>
      </c>
      <c r="Q363">
        <v>-1.31</v>
      </c>
      <c r="R363">
        <v>0</v>
      </c>
      <c r="S363">
        <v>1.33</v>
      </c>
      <c r="T363">
        <v>2.69</v>
      </c>
      <c r="U363">
        <v>4.08</v>
      </c>
      <c r="W363">
        <v>76.599999999999994</v>
      </c>
    </row>
    <row r="364" spans="1:23">
      <c r="A364">
        <v>445</v>
      </c>
      <c r="B364">
        <v>68.06</v>
      </c>
      <c r="C364">
        <v>68.040000000000006</v>
      </c>
      <c r="D364">
        <v>68.010000000000005</v>
      </c>
      <c r="E364">
        <v>67.98</v>
      </c>
      <c r="F364">
        <v>67.959999999999994</v>
      </c>
      <c r="G364">
        <v>67.930000000000007</v>
      </c>
      <c r="H364">
        <v>67.91</v>
      </c>
      <c r="I364">
        <v>67.89</v>
      </c>
      <c r="J364">
        <v>67.86</v>
      </c>
      <c r="K364">
        <v>67.84</v>
      </c>
      <c r="L364">
        <v>67.819999999999993</v>
      </c>
      <c r="M364">
        <v>445</v>
      </c>
      <c r="O364">
        <v>-3.86</v>
      </c>
      <c r="P364">
        <v>-2.6</v>
      </c>
      <c r="Q364">
        <v>-1.31</v>
      </c>
      <c r="R364">
        <v>0</v>
      </c>
      <c r="S364">
        <v>1.34</v>
      </c>
      <c r="T364">
        <v>2.7</v>
      </c>
      <c r="U364">
        <v>4.08</v>
      </c>
      <c r="W364">
        <v>77.5</v>
      </c>
    </row>
    <row r="365" spans="1:23">
      <c r="A365">
        <v>450</v>
      </c>
      <c r="B365">
        <v>68.83</v>
      </c>
      <c r="C365">
        <v>68.81</v>
      </c>
      <c r="D365">
        <v>68.78</v>
      </c>
      <c r="E365">
        <v>68.75</v>
      </c>
      <c r="F365">
        <v>68.73</v>
      </c>
      <c r="G365">
        <v>68.7</v>
      </c>
      <c r="H365">
        <v>68.680000000000007</v>
      </c>
      <c r="I365">
        <v>68.66</v>
      </c>
      <c r="J365">
        <v>68.63</v>
      </c>
      <c r="K365">
        <v>68.61</v>
      </c>
      <c r="L365">
        <v>68.58</v>
      </c>
      <c r="M365">
        <v>450</v>
      </c>
      <c r="O365">
        <v>-3.86</v>
      </c>
      <c r="P365">
        <v>-2.6</v>
      </c>
      <c r="Q365">
        <v>-1.31</v>
      </c>
      <c r="R365">
        <v>0</v>
      </c>
      <c r="S365">
        <v>1.34</v>
      </c>
      <c r="T365">
        <v>2.7</v>
      </c>
      <c r="U365">
        <v>4.09</v>
      </c>
      <c r="W365">
        <v>78.3</v>
      </c>
    </row>
    <row r="366" spans="1:23">
      <c r="A366">
        <v>455</v>
      </c>
      <c r="B366">
        <v>69.599999999999994</v>
      </c>
      <c r="C366">
        <v>69.569999999999993</v>
      </c>
      <c r="D366">
        <v>69.55</v>
      </c>
      <c r="E366">
        <v>69.52</v>
      </c>
      <c r="F366">
        <v>69.5</v>
      </c>
      <c r="G366">
        <v>69.47</v>
      </c>
      <c r="H366">
        <v>69.45</v>
      </c>
      <c r="I366">
        <v>69.42</v>
      </c>
      <c r="J366">
        <v>69.400000000000006</v>
      </c>
      <c r="K366">
        <v>69.38</v>
      </c>
      <c r="L366">
        <v>69.349999999999994</v>
      </c>
      <c r="M366">
        <v>455</v>
      </c>
      <c r="O366">
        <v>-3.86</v>
      </c>
      <c r="P366">
        <v>-2.6</v>
      </c>
      <c r="Q366">
        <v>-1.31</v>
      </c>
      <c r="R366">
        <v>0</v>
      </c>
      <c r="S366">
        <v>1.34</v>
      </c>
      <c r="T366">
        <v>2.7</v>
      </c>
      <c r="U366">
        <v>4.09</v>
      </c>
      <c r="W366">
        <v>79.2</v>
      </c>
    </row>
    <row r="367" spans="1:23">
      <c r="A367">
        <v>460</v>
      </c>
      <c r="B367">
        <v>70.37</v>
      </c>
      <c r="C367">
        <v>70.34</v>
      </c>
      <c r="D367">
        <v>70.319999999999993</v>
      </c>
      <c r="E367">
        <v>70.290000000000006</v>
      </c>
      <c r="F367">
        <v>70.27</v>
      </c>
      <c r="G367">
        <v>70.239999999999995</v>
      </c>
      <c r="H367">
        <v>70.22</v>
      </c>
      <c r="I367">
        <v>70.19</v>
      </c>
      <c r="J367">
        <v>70.17</v>
      </c>
      <c r="K367">
        <v>70.150000000000006</v>
      </c>
      <c r="L367">
        <v>70.12</v>
      </c>
      <c r="M367">
        <v>460</v>
      </c>
      <c r="O367">
        <v>-3.87</v>
      </c>
      <c r="P367">
        <v>-2.6</v>
      </c>
      <c r="Q367">
        <v>-1.31</v>
      </c>
      <c r="R367">
        <v>0</v>
      </c>
      <c r="S367">
        <v>1.34</v>
      </c>
      <c r="T367">
        <v>2.7</v>
      </c>
      <c r="U367">
        <v>4.09</v>
      </c>
      <c r="W367">
        <v>80.099999999999994</v>
      </c>
    </row>
    <row r="368" spans="1:23">
      <c r="A368">
        <v>465</v>
      </c>
      <c r="B368">
        <v>71.14</v>
      </c>
      <c r="C368">
        <v>71.11</v>
      </c>
      <c r="D368">
        <v>71.09</v>
      </c>
      <c r="E368">
        <v>71.06</v>
      </c>
      <c r="F368">
        <v>71.040000000000006</v>
      </c>
      <c r="G368">
        <v>71.010000000000005</v>
      </c>
      <c r="H368">
        <v>70.989999999999995</v>
      </c>
      <c r="I368">
        <v>70.959999999999994</v>
      </c>
      <c r="J368">
        <v>70.94</v>
      </c>
      <c r="K368">
        <v>70.92</v>
      </c>
      <c r="L368">
        <v>70.89</v>
      </c>
      <c r="M368">
        <v>465</v>
      </c>
      <c r="O368">
        <v>-3.87</v>
      </c>
      <c r="P368">
        <v>-2.6</v>
      </c>
      <c r="Q368">
        <v>-1.31</v>
      </c>
      <c r="R368">
        <v>0</v>
      </c>
      <c r="S368">
        <v>1.34</v>
      </c>
      <c r="T368">
        <v>2.71</v>
      </c>
      <c r="U368">
        <v>4.0999999999999996</v>
      </c>
      <c r="W368">
        <v>81</v>
      </c>
    </row>
    <row r="369" spans="1:23">
      <c r="A369">
        <v>470</v>
      </c>
      <c r="B369">
        <v>71.91</v>
      </c>
      <c r="C369">
        <v>71.89</v>
      </c>
      <c r="D369">
        <v>71.86</v>
      </c>
      <c r="E369">
        <v>71.83</v>
      </c>
      <c r="F369">
        <v>71.81</v>
      </c>
      <c r="G369">
        <v>71.78</v>
      </c>
      <c r="H369">
        <v>71.760000000000005</v>
      </c>
      <c r="I369">
        <v>71.73</v>
      </c>
      <c r="J369">
        <v>71.709999999999994</v>
      </c>
      <c r="K369">
        <v>71.69</v>
      </c>
      <c r="L369">
        <v>71.66</v>
      </c>
      <c r="M369">
        <v>470</v>
      </c>
      <c r="O369">
        <v>-3.87</v>
      </c>
      <c r="P369">
        <v>-2.61</v>
      </c>
      <c r="Q369">
        <v>-1.32</v>
      </c>
      <c r="R369">
        <v>0</v>
      </c>
      <c r="S369">
        <v>1.34</v>
      </c>
      <c r="T369">
        <v>2.71</v>
      </c>
      <c r="U369">
        <v>4.0999999999999996</v>
      </c>
      <c r="W369">
        <v>81.8</v>
      </c>
    </row>
    <row r="370" spans="1:23">
      <c r="A370">
        <v>475</v>
      </c>
      <c r="B370">
        <v>72.680000000000007</v>
      </c>
      <c r="C370">
        <v>72.66</v>
      </c>
      <c r="D370">
        <v>72.63</v>
      </c>
      <c r="E370">
        <v>72.599999999999994</v>
      </c>
      <c r="F370">
        <v>72.58</v>
      </c>
      <c r="G370">
        <v>72.55</v>
      </c>
      <c r="H370">
        <v>72.53</v>
      </c>
      <c r="I370">
        <v>72.510000000000005</v>
      </c>
      <c r="J370">
        <v>72.48</v>
      </c>
      <c r="K370">
        <v>72.459999999999994</v>
      </c>
      <c r="L370">
        <v>72.430000000000007</v>
      </c>
      <c r="M370">
        <v>475</v>
      </c>
      <c r="O370">
        <v>-3.87</v>
      </c>
      <c r="P370">
        <v>-2.61</v>
      </c>
      <c r="Q370">
        <v>-1.32</v>
      </c>
      <c r="R370">
        <v>0</v>
      </c>
      <c r="S370">
        <v>1.34</v>
      </c>
      <c r="T370">
        <v>2.71</v>
      </c>
      <c r="U370">
        <v>4.0999999999999996</v>
      </c>
      <c r="W370">
        <v>82.7</v>
      </c>
    </row>
    <row r="371" spans="1:23">
      <c r="A371">
        <v>480</v>
      </c>
      <c r="B371">
        <v>73.45</v>
      </c>
      <c r="C371">
        <v>73.430000000000007</v>
      </c>
      <c r="D371">
        <v>73.400000000000006</v>
      </c>
      <c r="E371">
        <v>73.38</v>
      </c>
      <c r="F371">
        <v>73.349999999999994</v>
      </c>
      <c r="G371">
        <v>73.319999999999993</v>
      </c>
      <c r="H371">
        <v>73.3</v>
      </c>
      <c r="I371">
        <v>73.28</v>
      </c>
      <c r="J371">
        <v>73.25</v>
      </c>
      <c r="K371">
        <v>73.23</v>
      </c>
      <c r="L371">
        <v>73.209999999999994</v>
      </c>
      <c r="M371">
        <v>480</v>
      </c>
      <c r="O371">
        <v>-3.88</v>
      </c>
      <c r="P371">
        <v>-2.61</v>
      </c>
      <c r="Q371">
        <v>-1.32</v>
      </c>
      <c r="R371">
        <v>0</v>
      </c>
      <c r="S371">
        <v>1.34</v>
      </c>
      <c r="T371">
        <v>2.71</v>
      </c>
      <c r="U371">
        <v>4.1100000000000003</v>
      </c>
      <c r="W371">
        <v>83.6</v>
      </c>
    </row>
    <row r="372" spans="1:23">
      <c r="A372">
        <v>485</v>
      </c>
      <c r="B372">
        <v>74.22</v>
      </c>
      <c r="C372">
        <v>74.2</v>
      </c>
      <c r="D372">
        <v>74.17</v>
      </c>
      <c r="E372">
        <v>74.150000000000006</v>
      </c>
      <c r="F372">
        <v>74.12</v>
      </c>
      <c r="G372">
        <v>74.099999999999994</v>
      </c>
      <c r="H372">
        <v>74.069999999999993</v>
      </c>
      <c r="I372">
        <v>74.05</v>
      </c>
      <c r="J372">
        <v>74.02</v>
      </c>
      <c r="K372">
        <v>74</v>
      </c>
      <c r="L372">
        <v>73.98</v>
      </c>
      <c r="M372">
        <v>485</v>
      </c>
      <c r="O372">
        <v>-3.88</v>
      </c>
      <c r="P372">
        <v>-2.61</v>
      </c>
      <c r="Q372">
        <v>-1.32</v>
      </c>
      <c r="R372">
        <v>0</v>
      </c>
      <c r="S372">
        <v>1.34</v>
      </c>
      <c r="T372">
        <v>2.71</v>
      </c>
      <c r="U372">
        <v>4.1100000000000003</v>
      </c>
      <c r="W372">
        <v>84.5</v>
      </c>
    </row>
    <row r="373" spans="1:23">
      <c r="A373">
        <v>490</v>
      </c>
      <c r="B373">
        <v>75</v>
      </c>
      <c r="C373">
        <v>74.97</v>
      </c>
      <c r="D373">
        <v>74.94</v>
      </c>
      <c r="E373">
        <v>74.92</v>
      </c>
      <c r="F373">
        <v>74.89</v>
      </c>
      <c r="G373">
        <v>74.87</v>
      </c>
      <c r="H373">
        <v>74.84</v>
      </c>
      <c r="I373">
        <v>74.819999999999993</v>
      </c>
      <c r="J373">
        <v>74.790000000000006</v>
      </c>
      <c r="K373">
        <v>74.77</v>
      </c>
      <c r="L373">
        <v>74.75</v>
      </c>
      <c r="M373">
        <v>490</v>
      </c>
      <c r="O373">
        <v>-3.88</v>
      </c>
      <c r="P373">
        <v>-2.61</v>
      </c>
      <c r="Q373">
        <v>-1.32</v>
      </c>
      <c r="R373">
        <v>0</v>
      </c>
      <c r="S373">
        <v>1.34</v>
      </c>
      <c r="T373">
        <v>2.72</v>
      </c>
      <c r="U373">
        <v>4.1100000000000003</v>
      </c>
      <c r="W373">
        <v>85.4</v>
      </c>
    </row>
    <row r="374" spans="1:23">
      <c r="A374">
        <v>495</v>
      </c>
      <c r="B374">
        <v>75.77</v>
      </c>
      <c r="C374">
        <v>75.739999999999995</v>
      </c>
      <c r="D374">
        <v>75.72</v>
      </c>
      <c r="E374">
        <v>75.69</v>
      </c>
      <c r="F374">
        <v>75.66</v>
      </c>
      <c r="G374">
        <v>75.64</v>
      </c>
      <c r="H374">
        <v>75.61</v>
      </c>
      <c r="I374">
        <v>75.59</v>
      </c>
      <c r="J374">
        <v>75.569999999999993</v>
      </c>
      <c r="K374">
        <v>75.540000000000006</v>
      </c>
      <c r="L374">
        <v>75.52</v>
      </c>
      <c r="M374">
        <v>495</v>
      </c>
      <c r="O374">
        <v>-3.88</v>
      </c>
      <c r="P374">
        <v>-2.61</v>
      </c>
      <c r="Q374">
        <v>-1.32</v>
      </c>
      <c r="R374">
        <v>0</v>
      </c>
      <c r="S374">
        <v>1.35</v>
      </c>
      <c r="T374">
        <v>2.72</v>
      </c>
      <c r="U374">
        <v>4.08</v>
      </c>
      <c r="W374">
        <v>86.2</v>
      </c>
    </row>
    <row r="375" spans="1:23">
      <c r="A375">
        <v>500</v>
      </c>
      <c r="B375">
        <v>76.540000000000006</v>
      </c>
      <c r="C375">
        <v>76.510000000000005</v>
      </c>
      <c r="D375">
        <v>76.489999999999995</v>
      </c>
      <c r="E375">
        <v>76.459999999999994</v>
      </c>
      <c r="F375">
        <v>76.44</v>
      </c>
      <c r="G375">
        <v>76.41</v>
      </c>
      <c r="H375">
        <v>76.39</v>
      </c>
      <c r="I375">
        <v>76.36</v>
      </c>
      <c r="J375">
        <v>76.34</v>
      </c>
      <c r="K375">
        <v>76.31</v>
      </c>
      <c r="L375">
        <v>76.290000000000006</v>
      </c>
      <c r="M375">
        <v>500</v>
      </c>
      <c r="O375">
        <v>-3.88</v>
      </c>
      <c r="P375">
        <v>-2.61</v>
      </c>
      <c r="Q375">
        <v>-1.32</v>
      </c>
      <c r="R375">
        <v>0</v>
      </c>
      <c r="S375">
        <v>1.35</v>
      </c>
      <c r="T375">
        <v>2.72</v>
      </c>
      <c r="U375">
        <v>4.0199999999999996</v>
      </c>
      <c r="W375">
        <v>87.1</v>
      </c>
    </row>
    <row r="376" spans="1:23">
      <c r="A376">
        <v>505</v>
      </c>
      <c r="B376">
        <v>77.31</v>
      </c>
      <c r="C376">
        <v>77.290000000000006</v>
      </c>
      <c r="D376">
        <v>77.260000000000005</v>
      </c>
      <c r="E376">
        <v>77.23</v>
      </c>
      <c r="F376">
        <v>77.209999999999994</v>
      </c>
      <c r="G376">
        <v>77.180000000000007</v>
      </c>
      <c r="H376">
        <v>77.16</v>
      </c>
      <c r="I376">
        <v>77.13</v>
      </c>
      <c r="J376">
        <v>77.11</v>
      </c>
      <c r="K376">
        <v>77.09</v>
      </c>
      <c r="L376">
        <v>77.06</v>
      </c>
      <c r="M376">
        <v>505</v>
      </c>
      <c r="O376">
        <v>-3.89</v>
      </c>
      <c r="P376">
        <v>-2.62</v>
      </c>
      <c r="Q376">
        <v>-1.32</v>
      </c>
      <c r="R376">
        <v>0</v>
      </c>
      <c r="S376">
        <v>1.35</v>
      </c>
      <c r="T376">
        <v>2.72</v>
      </c>
      <c r="U376">
        <v>3.92</v>
      </c>
      <c r="W376">
        <v>88</v>
      </c>
    </row>
    <row r="377" spans="1:23">
      <c r="A377">
        <v>510</v>
      </c>
      <c r="B377">
        <v>78.08</v>
      </c>
      <c r="C377">
        <v>78.06</v>
      </c>
      <c r="D377">
        <v>78.03</v>
      </c>
      <c r="E377">
        <v>78.010000000000005</v>
      </c>
      <c r="F377">
        <v>77.98</v>
      </c>
      <c r="G377">
        <v>77.959999999999994</v>
      </c>
      <c r="H377">
        <v>77.930000000000007</v>
      </c>
      <c r="I377">
        <v>77.91</v>
      </c>
      <c r="J377">
        <v>77.88</v>
      </c>
      <c r="K377">
        <v>77.86</v>
      </c>
      <c r="L377">
        <v>77.84</v>
      </c>
      <c r="M377">
        <v>510</v>
      </c>
      <c r="O377">
        <v>-3.89</v>
      </c>
      <c r="P377">
        <v>-2.62</v>
      </c>
      <c r="Q377">
        <v>-1.32</v>
      </c>
      <c r="R377">
        <v>0</v>
      </c>
      <c r="S377">
        <v>1.35</v>
      </c>
      <c r="T377">
        <v>2.71</v>
      </c>
      <c r="U377">
        <v>3.8</v>
      </c>
      <c r="W377">
        <v>88.9</v>
      </c>
    </row>
    <row r="378" spans="1:23">
      <c r="A378">
        <v>515</v>
      </c>
      <c r="B378">
        <v>78.86</v>
      </c>
      <c r="C378">
        <v>78.83</v>
      </c>
      <c r="D378">
        <v>78.8</v>
      </c>
      <c r="E378">
        <v>78.78</v>
      </c>
      <c r="F378">
        <v>78.75</v>
      </c>
      <c r="G378">
        <v>78.73</v>
      </c>
      <c r="H378">
        <v>78.7</v>
      </c>
      <c r="I378">
        <v>78.680000000000007</v>
      </c>
      <c r="J378">
        <v>78.66</v>
      </c>
      <c r="K378">
        <v>78.63</v>
      </c>
      <c r="L378">
        <v>78.61</v>
      </c>
      <c r="M378">
        <v>515</v>
      </c>
      <c r="O378">
        <v>-3.89</v>
      </c>
      <c r="P378">
        <v>-2.62</v>
      </c>
      <c r="Q378">
        <v>-1.32</v>
      </c>
      <c r="R378">
        <v>0</v>
      </c>
      <c r="S378">
        <v>1.35</v>
      </c>
      <c r="T378">
        <v>2.65</v>
      </c>
      <c r="U378">
        <v>3.63</v>
      </c>
      <c r="W378">
        <v>89.8</v>
      </c>
    </row>
    <row r="379" spans="1:23">
      <c r="A379">
        <v>520</v>
      </c>
      <c r="B379">
        <v>79.63</v>
      </c>
      <c r="C379">
        <v>79.599999999999994</v>
      </c>
      <c r="D379">
        <v>79.58</v>
      </c>
      <c r="E379">
        <v>79.55</v>
      </c>
      <c r="F379">
        <v>79.53</v>
      </c>
      <c r="G379">
        <v>79.5</v>
      </c>
      <c r="H379">
        <v>79.48</v>
      </c>
      <c r="I379">
        <v>79.45</v>
      </c>
      <c r="J379">
        <v>79.430000000000007</v>
      </c>
      <c r="K379">
        <v>79.400000000000006</v>
      </c>
      <c r="L379">
        <v>79.38</v>
      </c>
      <c r="M379">
        <v>520</v>
      </c>
      <c r="O379">
        <v>-3.89</v>
      </c>
      <c r="P379">
        <v>-2.62</v>
      </c>
      <c r="Q379">
        <v>-1.32</v>
      </c>
      <c r="R379">
        <v>0</v>
      </c>
      <c r="S379">
        <v>1.35</v>
      </c>
      <c r="T379">
        <v>2.56</v>
      </c>
      <c r="U379">
        <v>3.44</v>
      </c>
      <c r="W379">
        <v>90.7</v>
      </c>
    </row>
    <row r="380" spans="1:23">
      <c r="A380">
        <v>525</v>
      </c>
      <c r="B380">
        <v>80.400000000000006</v>
      </c>
      <c r="C380">
        <v>80.38</v>
      </c>
      <c r="D380">
        <v>80.349999999999994</v>
      </c>
      <c r="E380">
        <v>80.319999999999993</v>
      </c>
      <c r="F380">
        <v>80.3</v>
      </c>
      <c r="G380">
        <v>80.27</v>
      </c>
      <c r="H380">
        <v>80.25</v>
      </c>
      <c r="I380">
        <v>80.22</v>
      </c>
      <c r="J380">
        <v>80.2</v>
      </c>
      <c r="K380">
        <v>80.180000000000007</v>
      </c>
      <c r="L380">
        <v>80.150000000000006</v>
      </c>
      <c r="M380">
        <v>525</v>
      </c>
      <c r="O380">
        <v>-3.89</v>
      </c>
      <c r="P380">
        <v>-2.62</v>
      </c>
      <c r="Q380">
        <v>-1.32</v>
      </c>
      <c r="R380">
        <v>0</v>
      </c>
      <c r="S380">
        <v>1.35</v>
      </c>
      <c r="T380">
        <v>2.4300000000000002</v>
      </c>
      <c r="U380">
        <v>3.21</v>
      </c>
      <c r="W380">
        <v>91.5</v>
      </c>
    </row>
    <row r="381" spans="1:23">
      <c r="A381">
        <v>530</v>
      </c>
      <c r="B381">
        <v>81.180000000000007</v>
      </c>
      <c r="C381">
        <v>81.150000000000006</v>
      </c>
      <c r="D381">
        <v>81.12</v>
      </c>
      <c r="E381">
        <v>81.099999999999994</v>
      </c>
      <c r="F381">
        <v>81.069999999999993</v>
      </c>
      <c r="G381">
        <v>81.05</v>
      </c>
      <c r="H381">
        <v>81.02</v>
      </c>
      <c r="I381">
        <v>81</v>
      </c>
      <c r="J381">
        <v>80.97</v>
      </c>
      <c r="K381">
        <v>80.95</v>
      </c>
      <c r="L381">
        <v>80.930000000000007</v>
      </c>
      <c r="M381">
        <v>530</v>
      </c>
      <c r="O381">
        <v>-3.89</v>
      </c>
      <c r="P381">
        <v>-2.62</v>
      </c>
      <c r="Q381">
        <v>-1.32</v>
      </c>
      <c r="R381">
        <v>0</v>
      </c>
      <c r="S381">
        <v>1.3</v>
      </c>
      <c r="T381">
        <v>2.2599999999999998</v>
      </c>
      <c r="U381">
        <v>2.95</v>
      </c>
      <c r="W381">
        <v>92.4</v>
      </c>
    </row>
    <row r="382" spans="1:23">
      <c r="A382">
        <v>535</v>
      </c>
      <c r="B382">
        <v>81.95</v>
      </c>
      <c r="C382">
        <v>81.92</v>
      </c>
      <c r="D382">
        <v>81.900000000000006</v>
      </c>
      <c r="E382">
        <v>81.87</v>
      </c>
      <c r="F382">
        <v>81.849999999999994</v>
      </c>
      <c r="G382">
        <v>81.819999999999993</v>
      </c>
      <c r="H382">
        <v>81.8</v>
      </c>
      <c r="I382">
        <v>81.77</v>
      </c>
      <c r="J382">
        <v>81.75</v>
      </c>
      <c r="K382">
        <v>81.72</v>
      </c>
      <c r="L382">
        <v>81.7</v>
      </c>
      <c r="M382">
        <v>535</v>
      </c>
      <c r="O382">
        <v>-3.89</v>
      </c>
      <c r="P382">
        <v>-2.62</v>
      </c>
      <c r="Q382">
        <v>-1.32</v>
      </c>
      <c r="R382">
        <v>0</v>
      </c>
      <c r="S382">
        <v>1.22</v>
      </c>
      <c r="T382">
        <v>2.0499999999999998</v>
      </c>
      <c r="U382">
        <v>2.65</v>
      </c>
      <c r="W382">
        <v>93.3</v>
      </c>
    </row>
    <row r="383" spans="1:23">
      <c r="A383">
        <v>540</v>
      </c>
      <c r="B383">
        <v>82.72</v>
      </c>
      <c r="C383">
        <v>82.7</v>
      </c>
      <c r="D383">
        <v>82.67</v>
      </c>
      <c r="E383">
        <v>82.64</v>
      </c>
      <c r="F383">
        <v>82.62</v>
      </c>
      <c r="G383">
        <v>82.59</v>
      </c>
      <c r="H383">
        <v>82.57</v>
      </c>
      <c r="I383">
        <v>82.54</v>
      </c>
      <c r="J383">
        <v>82.52</v>
      </c>
      <c r="K383">
        <v>82.5</v>
      </c>
      <c r="L383">
        <v>82.47</v>
      </c>
      <c r="M383">
        <v>540</v>
      </c>
      <c r="O383">
        <v>-3.9</v>
      </c>
      <c r="P383">
        <v>-2.62</v>
      </c>
      <c r="Q383">
        <v>-1.33</v>
      </c>
      <c r="R383">
        <v>0</v>
      </c>
      <c r="S383">
        <v>1.08</v>
      </c>
      <c r="T383">
        <v>1.8</v>
      </c>
      <c r="U383">
        <v>2.33</v>
      </c>
      <c r="W383">
        <v>94.2</v>
      </c>
    </row>
    <row r="384" spans="1:23">
      <c r="A384">
        <v>545</v>
      </c>
      <c r="B384">
        <v>83.46</v>
      </c>
      <c r="C384">
        <v>83.43</v>
      </c>
      <c r="D384">
        <v>83.41</v>
      </c>
      <c r="E384">
        <v>83.38</v>
      </c>
      <c r="F384">
        <v>83.36</v>
      </c>
      <c r="G384">
        <v>83.34</v>
      </c>
      <c r="H384">
        <v>83.31</v>
      </c>
      <c r="I384">
        <v>83.29</v>
      </c>
      <c r="J384">
        <v>83.27</v>
      </c>
      <c r="K384">
        <v>83.25</v>
      </c>
      <c r="L384">
        <v>83.22</v>
      </c>
      <c r="M384">
        <v>545</v>
      </c>
      <c r="O384">
        <v>-3.87</v>
      </c>
      <c r="P384">
        <v>-2.6</v>
      </c>
      <c r="Q384">
        <v>-1.3</v>
      </c>
      <c r="R384">
        <v>0</v>
      </c>
      <c r="S384">
        <v>0.92</v>
      </c>
      <c r="T384">
        <v>1.54</v>
      </c>
      <c r="U384">
        <v>1.99</v>
      </c>
      <c r="W384">
        <v>95</v>
      </c>
    </row>
    <row r="385" spans="1:23">
      <c r="A385">
        <v>550</v>
      </c>
      <c r="B385">
        <v>84.13</v>
      </c>
      <c r="C385">
        <v>84.11</v>
      </c>
      <c r="D385">
        <v>84.08</v>
      </c>
      <c r="E385">
        <v>84.06</v>
      </c>
      <c r="F385">
        <v>84.04</v>
      </c>
      <c r="G385">
        <v>84.02</v>
      </c>
      <c r="H385">
        <v>84</v>
      </c>
      <c r="I385">
        <v>83.98</v>
      </c>
      <c r="J385">
        <v>83.96</v>
      </c>
      <c r="K385">
        <v>83.94</v>
      </c>
      <c r="L385">
        <v>83.92</v>
      </c>
      <c r="M385">
        <v>550</v>
      </c>
      <c r="O385">
        <v>-3.79</v>
      </c>
      <c r="P385">
        <v>-2.5099999999999998</v>
      </c>
      <c r="Q385">
        <v>-1.22</v>
      </c>
      <c r="R385">
        <v>0</v>
      </c>
      <c r="S385">
        <v>0.78</v>
      </c>
      <c r="T385">
        <v>1.3</v>
      </c>
      <c r="U385">
        <v>1.68</v>
      </c>
      <c r="W385">
        <v>95.8</v>
      </c>
    </row>
    <row r="386" spans="1:23">
      <c r="A386">
        <v>555</v>
      </c>
      <c r="B386">
        <v>84.74</v>
      </c>
      <c r="C386">
        <v>84.72</v>
      </c>
      <c r="D386">
        <v>84.7</v>
      </c>
      <c r="E386">
        <v>84.68</v>
      </c>
      <c r="F386">
        <v>84.66</v>
      </c>
      <c r="G386">
        <v>84.64</v>
      </c>
      <c r="H386">
        <v>84.62</v>
      </c>
      <c r="I386">
        <v>84.61</v>
      </c>
      <c r="J386">
        <v>84.59</v>
      </c>
      <c r="K386">
        <v>84.57</v>
      </c>
      <c r="L386">
        <v>84.55</v>
      </c>
      <c r="M386">
        <v>555</v>
      </c>
      <c r="O386">
        <v>-3.64</v>
      </c>
      <c r="P386">
        <v>-2.37</v>
      </c>
      <c r="Q386">
        <v>-1.07</v>
      </c>
      <c r="R386">
        <v>0</v>
      </c>
      <c r="S386">
        <v>0.64</v>
      </c>
      <c r="T386">
        <v>1.08</v>
      </c>
      <c r="U386">
        <v>1.4</v>
      </c>
      <c r="W386">
        <v>96.5</v>
      </c>
    </row>
    <row r="387" spans="1:23">
      <c r="A387">
        <v>560</v>
      </c>
      <c r="B387">
        <v>85.3</v>
      </c>
      <c r="C387">
        <v>85.28</v>
      </c>
      <c r="D387">
        <v>85.26</v>
      </c>
      <c r="E387">
        <v>85.24</v>
      </c>
      <c r="F387">
        <v>85.23</v>
      </c>
      <c r="G387">
        <v>85.21</v>
      </c>
      <c r="H387">
        <v>85.19</v>
      </c>
      <c r="I387">
        <v>85.17</v>
      </c>
      <c r="J387">
        <v>85.16</v>
      </c>
      <c r="K387">
        <v>85.14</v>
      </c>
      <c r="L387">
        <v>85.12</v>
      </c>
      <c r="M387">
        <v>560</v>
      </c>
      <c r="O387">
        <v>-3.44</v>
      </c>
      <c r="P387">
        <v>-2.17</v>
      </c>
      <c r="Q387">
        <v>-0.88</v>
      </c>
      <c r="R387">
        <v>0</v>
      </c>
      <c r="S387">
        <v>0.52</v>
      </c>
      <c r="T387">
        <v>0.88</v>
      </c>
      <c r="U387">
        <v>1.1399999999999999</v>
      </c>
      <c r="W387">
        <v>97.2</v>
      </c>
    </row>
    <row r="388" spans="1:23">
      <c r="A388">
        <v>565</v>
      </c>
      <c r="B388">
        <v>85.79</v>
      </c>
      <c r="C388">
        <v>85.78</v>
      </c>
      <c r="D388">
        <v>85.76</v>
      </c>
      <c r="E388">
        <v>85.74</v>
      </c>
      <c r="F388">
        <v>85.73</v>
      </c>
      <c r="G388">
        <v>85.71</v>
      </c>
      <c r="H388">
        <v>85.7</v>
      </c>
      <c r="I388">
        <v>85.68</v>
      </c>
      <c r="J388">
        <v>85.67</v>
      </c>
      <c r="K388">
        <v>85.65</v>
      </c>
      <c r="L388">
        <v>85.64</v>
      </c>
      <c r="M388">
        <v>565</v>
      </c>
      <c r="O388">
        <v>-3.18</v>
      </c>
      <c r="P388">
        <v>-1.9</v>
      </c>
      <c r="Q388">
        <v>-0.69</v>
      </c>
      <c r="R388">
        <v>0</v>
      </c>
      <c r="S388">
        <v>0.42</v>
      </c>
      <c r="T388">
        <v>0.7</v>
      </c>
      <c r="U388">
        <v>0.91</v>
      </c>
      <c r="W388">
        <v>97.8</v>
      </c>
    </row>
    <row r="389" spans="1:23">
      <c r="A389">
        <v>570</v>
      </c>
      <c r="B389">
        <v>86.23</v>
      </c>
      <c r="C389">
        <v>86.21</v>
      </c>
      <c r="D389">
        <v>86.2</v>
      </c>
      <c r="E389">
        <v>86.19</v>
      </c>
      <c r="F389">
        <v>86.17</v>
      </c>
      <c r="G389">
        <v>86.16</v>
      </c>
      <c r="H389">
        <v>86.15</v>
      </c>
      <c r="I389">
        <v>86.13</v>
      </c>
      <c r="J389">
        <v>86.12</v>
      </c>
      <c r="K389">
        <v>86.11</v>
      </c>
      <c r="L389">
        <v>86.09</v>
      </c>
      <c r="M389">
        <v>570</v>
      </c>
      <c r="O389">
        <v>-2.86</v>
      </c>
      <c r="P389">
        <v>-1.58</v>
      </c>
      <c r="Q389">
        <v>-0.53</v>
      </c>
      <c r="R389">
        <v>0</v>
      </c>
      <c r="S389">
        <v>0.32</v>
      </c>
      <c r="T389">
        <v>0.54</v>
      </c>
      <c r="U389">
        <v>0.7</v>
      </c>
      <c r="W389">
        <v>98.3</v>
      </c>
    </row>
    <row r="390" spans="1:23">
      <c r="A390">
        <v>575</v>
      </c>
      <c r="B390">
        <v>86.61</v>
      </c>
      <c r="C390">
        <v>86.59</v>
      </c>
      <c r="D390">
        <v>86.58</v>
      </c>
      <c r="E390">
        <v>86.57</v>
      </c>
      <c r="F390">
        <v>86.56</v>
      </c>
      <c r="G390">
        <v>86.55</v>
      </c>
      <c r="H390">
        <v>86.53</v>
      </c>
      <c r="I390">
        <v>86.52</v>
      </c>
      <c r="J390">
        <v>86.51</v>
      </c>
      <c r="K390">
        <v>86.5</v>
      </c>
      <c r="L390">
        <v>86.49</v>
      </c>
      <c r="M390">
        <v>575</v>
      </c>
      <c r="O390">
        <v>-2.4700000000000002</v>
      </c>
      <c r="P390">
        <v>-1.2</v>
      </c>
      <c r="Q390">
        <v>-0.39</v>
      </c>
      <c r="R390">
        <v>0</v>
      </c>
      <c r="S390">
        <v>0.24</v>
      </c>
      <c r="T390">
        <v>0.4</v>
      </c>
      <c r="U390">
        <v>0.52</v>
      </c>
      <c r="W390">
        <v>98.7</v>
      </c>
    </row>
    <row r="391" spans="1:23">
      <c r="A391">
        <v>580</v>
      </c>
      <c r="B391">
        <v>86.92</v>
      </c>
      <c r="C391">
        <v>86.91</v>
      </c>
      <c r="D391">
        <v>86.9</v>
      </c>
      <c r="E391">
        <v>86.89</v>
      </c>
      <c r="F391">
        <v>86.88</v>
      </c>
      <c r="G391">
        <v>86.87</v>
      </c>
      <c r="H391">
        <v>86.86</v>
      </c>
      <c r="I391">
        <v>86.85</v>
      </c>
      <c r="J391">
        <v>86.85</v>
      </c>
      <c r="K391">
        <v>86.84</v>
      </c>
      <c r="L391">
        <v>86.83</v>
      </c>
      <c r="M391">
        <v>580</v>
      </c>
      <c r="O391">
        <v>-2.0299999999999998</v>
      </c>
      <c r="P391">
        <v>-0.83</v>
      </c>
      <c r="Q391">
        <v>-0.27</v>
      </c>
      <c r="R391">
        <v>0</v>
      </c>
      <c r="S391">
        <v>0.17</v>
      </c>
      <c r="T391">
        <v>0.28000000000000003</v>
      </c>
      <c r="U391">
        <v>0.37</v>
      </c>
      <c r="W391">
        <v>99.1</v>
      </c>
    </row>
    <row r="392" spans="1:23">
      <c r="A392">
        <v>585</v>
      </c>
      <c r="B392">
        <v>87.18</v>
      </c>
      <c r="C392">
        <v>87.17</v>
      </c>
      <c r="D392">
        <v>87.17</v>
      </c>
      <c r="E392">
        <v>87.16</v>
      </c>
      <c r="F392">
        <v>87.15</v>
      </c>
      <c r="G392">
        <v>87.14</v>
      </c>
      <c r="H392">
        <v>87.13</v>
      </c>
      <c r="I392">
        <v>87.13</v>
      </c>
      <c r="J392">
        <v>87.12</v>
      </c>
      <c r="K392">
        <v>87.11</v>
      </c>
      <c r="L392">
        <v>87.1</v>
      </c>
      <c r="M392">
        <v>585</v>
      </c>
      <c r="O392">
        <v>-1.53</v>
      </c>
      <c r="P392">
        <v>-0.53</v>
      </c>
      <c r="Q392">
        <v>-0.18</v>
      </c>
      <c r="R392">
        <v>0</v>
      </c>
      <c r="S392">
        <v>0.11</v>
      </c>
      <c r="T392">
        <v>0.19</v>
      </c>
      <c r="U392">
        <v>0.24</v>
      </c>
      <c r="W392">
        <v>99.4</v>
      </c>
    </row>
    <row r="393" spans="1:23">
      <c r="A393">
        <v>590</v>
      </c>
      <c r="B393">
        <v>87.38</v>
      </c>
      <c r="C393">
        <v>87.37</v>
      </c>
      <c r="D393">
        <v>87.37</v>
      </c>
      <c r="E393">
        <v>87.36</v>
      </c>
      <c r="F393">
        <v>87.36</v>
      </c>
      <c r="G393">
        <v>87.35</v>
      </c>
      <c r="H393">
        <v>87.35</v>
      </c>
      <c r="I393">
        <v>87.34</v>
      </c>
      <c r="J393">
        <v>87.33</v>
      </c>
      <c r="K393">
        <v>87.33</v>
      </c>
      <c r="L393">
        <v>87.32</v>
      </c>
      <c r="M393">
        <v>590</v>
      </c>
      <c r="O393">
        <v>-0.97</v>
      </c>
      <c r="P393">
        <v>-0.3</v>
      </c>
      <c r="Q393">
        <v>-0.1</v>
      </c>
      <c r="R393">
        <v>0</v>
      </c>
      <c r="S393">
        <v>0.06</v>
      </c>
      <c r="T393">
        <v>0.11</v>
      </c>
      <c r="U393">
        <v>0.14000000000000001</v>
      </c>
      <c r="W393">
        <v>99.7</v>
      </c>
    </row>
    <row r="394" spans="1:23">
      <c r="A394">
        <v>595</v>
      </c>
      <c r="B394">
        <v>87.52</v>
      </c>
      <c r="C394">
        <v>87.52</v>
      </c>
      <c r="D394">
        <v>87.51</v>
      </c>
      <c r="E394">
        <v>87.51</v>
      </c>
      <c r="F394">
        <v>87.51</v>
      </c>
      <c r="G394">
        <v>87.5</v>
      </c>
      <c r="H394">
        <v>87.5</v>
      </c>
      <c r="I394">
        <v>87.49</v>
      </c>
      <c r="J394">
        <v>87.49</v>
      </c>
      <c r="K394">
        <v>87.49</v>
      </c>
      <c r="L394">
        <v>87.48</v>
      </c>
      <c r="M394">
        <v>595</v>
      </c>
      <c r="O394">
        <v>-0.43</v>
      </c>
      <c r="P394">
        <v>-0.13</v>
      </c>
      <c r="Q394">
        <v>-0.05</v>
      </c>
      <c r="R394">
        <v>0</v>
      </c>
      <c r="S394">
        <v>0.03</v>
      </c>
      <c r="T394">
        <v>0.05</v>
      </c>
      <c r="U394">
        <v>7.0000000000000007E-2</v>
      </c>
      <c r="W394">
        <v>99.9</v>
      </c>
    </row>
    <row r="395" spans="1:23">
      <c r="A395">
        <v>600</v>
      </c>
      <c r="B395">
        <v>87.6</v>
      </c>
      <c r="C395">
        <v>87.6</v>
      </c>
      <c r="D395">
        <v>87.6</v>
      </c>
      <c r="E395">
        <v>87.6</v>
      </c>
      <c r="F395">
        <v>87.59</v>
      </c>
      <c r="G395">
        <v>87.59</v>
      </c>
      <c r="H395">
        <v>87.59</v>
      </c>
      <c r="I395">
        <v>87.59</v>
      </c>
      <c r="J395">
        <v>87.59</v>
      </c>
      <c r="K395">
        <v>87.58</v>
      </c>
      <c r="L395">
        <v>87.58</v>
      </c>
      <c r="M395">
        <v>600</v>
      </c>
      <c r="O395">
        <v>-0.1</v>
      </c>
      <c r="P395">
        <v>-0.03</v>
      </c>
      <c r="Q395">
        <v>-0.01</v>
      </c>
      <c r="R395">
        <v>0</v>
      </c>
      <c r="S395">
        <v>0.01</v>
      </c>
      <c r="T395">
        <v>0.02</v>
      </c>
      <c r="U395">
        <v>0.02</v>
      </c>
      <c r="W395">
        <v>100</v>
      </c>
    </row>
    <row r="396" spans="1:23">
      <c r="A396">
        <v>605</v>
      </c>
      <c r="B396">
        <v>87.62</v>
      </c>
      <c r="C396">
        <v>87.62</v>
      </c>
      <c r="D396">
        <v>87.62</v>
      </c>
      <c r="E396">
        <v>87.62</v>
      </c>
      <c r="F396">
        <v>87.62</v>
      </c>
      <c r="G396">
        <v>87.62</v>
      </c>
      <c r="H396">
        <v>87.62</v>
      </c>
      <c r="I396">
        <v>87.62</v>
      </c>
      <c r="J396">
        <v>87.62</v>
      </c>
      <c r="K396">
        <v>87.62</v>
      </c>
      <c r="L396">
        <v>87.62</v>
      </c>
      <c r="M396">
        <v>605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W396">
        <v>100</v>
      </c>
    </row>
    <row r="397" spans="1:23">
      <c r="A397" t="s">
        <v>276</v>
      </c>
    </row>
    <row r="398" spans="1:23">
      <c r="A398" t="s">
        <v>277</v>
      </c>
    </row>
    <row r="399" spans="1:23">
      <c r="A399" t="s">
        <v>259</v>
      </c>
    </row>
    <row r="400" spans="1:23">
      <c r="A400" t="s">
        <v>272</v>
      </c>
    </row>
    <row r="401" spans="1:29">
      <c r="A401" t="s">
        <v>273</v>
      </c>
    </row>
    <row r="402" spans="1:29">
      <c r="A402" t="s">
        <v>262</v>
      </c>
    </row>
    <row r="403" spans="1:29">
      <c r="A403" t="s">
        <v>278</v>
      </c>
    </row>
    <row r="404" spans="1:29">
      <c r="A404" t="s">
        <v>264</v>
      </c>
    </row>
    <row r="405" spans="1:29">
      <c r="A405" t="s">
        <v>279</v>
      </c>
    </row>
    <row r="406" spans="1:29">
      <c r="A406" t="s">
        <v>266</v>
      </c>
      <c r="B406">
        <v>-4</v>
      </c>
      <c r="C406">
        <v>-3.5</v>
      </c>
      <c r="D406">
        <v>-3</v>
      </c>
      <c r="E406">
        <v>-2.5</v>
      </c>
      <c r="F406">
        <v>-2</v>
      </c>
      <c r="G406">
        <v>-1.5</v>
      </c>
      <c r="H406">
        <v>-1</v>
      </c>
      <c r="I406">
        <v>-0.5</v>
      </c>
      <c r="J406">
        <v>0</v>
      </c>
      <c r="K406">
        <v>0.5</v>
      </c>
      <c r="L406">
        <v>1</v>
      </c>
      <c r="M406" t="s">
        <v>266</v>
      </c>
      <c r="O406">
        <v>-3</v>
      </c>
      <c r="P406">
        <v>-2</v>
      </c>
      <c r="Q406">
        <v>-1</v>
      </c>
      <c r="R406">
        <v>0</v>
      </c>
      <c r="S406">
        <v>1</v>
      </c>
      <c r="T406">
        <v>2</v>
      </c>
      <c r="U406">
        <v>3</v>
      </c>
      <c r="W406" t="s">
        <v>231</v>
      </c>
      <c r="Z406" s="1">
        <f>heeling</f>
        <v>0</v>
      </c>
      <c r="AA406" s="186"/>
      <c r="AB406" s="186">
        <f>IF((AA406+AA409)&lt;0,AA406,AA406+AA409)</f>
        <v>0</v>
      </c>
      <c r="AC406" s="42">
        <f>IF(AC408=AC407,AC407,Interp1(AB407:AB408,AC407:AC408,AB406))</f>
        <v>1.694</v>
      </c>
    </row>
    <row r="407" spans="1:29">
      <c r="A407">
        <v>0</v>
      </c>
      <c r="B407">
        <v>1.73</v>
      </c>
      <c r="C407">
        <v>1.73</v>
      </c>
      <c r="D407">
        <v>1.72</v>
      </c>
      <c r="E407">
        <v>1.72</v>
      </c>
      <c r="F407">
        <v>1.71</v>
      </c>
      <c r="G407">
        <v>1.71</v>
      </c>
      <c r="H407">
        <v>1.71</v>
      </c>
      <c r="I407">
        <v>1.7</v>
      </c>
      <c r="J407">
        <v>1.7</v>
      </c>
      <c r="K407">
        <v>1.7</v>
      </c>
      <c r="L407">
        <v>1.69</v>
      </c>
      <c r="M407">
        <v>0</v>
      </c>
      <c r="O407">
        <v>3.43</v>
      </c>
      <c r="P407">
        <v>2.27</v>
      </c>
      <c r="Q407">
        <v>1.1299999999999999</v>
      </c>
      <c r="R407">
        <v>0</v>
      </c>
      <c r="S407">
        <v>-1.06</v>
      </c>
      <c r="T407">
        <v>-1.38</v>
      </c>
      <c r="U407">
        <v>-1.49</v>
      </c>
      <c r="W407">
        <v>1.9</v>
      </c>
      <c r="Z407" s="1">
        <f>FLOOR(AA406,2)</f>
        <v>0</v>
      </c>
      <c r="AA407" s="1">
        <f>Interp2(Water4Heel1,Water4Heel2,Water4Heel3,Z407,Z406)</f>
        <v>0</v>
      </c>
      <c r="AB407" s="1">
        <f>FLOOR(AB406,2)</f>
        <v>0</v>
      </c>
      <c r="AC407" s="42">
        <f>IF(AA412=AA411,AA411,Interp1(Z411:Z412,AA411:AA412,Z410))</f>
        <v>1.694</v>
      </c>
    </row>
    <row r="408" spans="1:29">
      <c r="A408">
        <v>5</v>
      </c>
      <c r="B408">
        <v>2.44</v>
      </c>
      <c r="C408">
        <v>2.44</v>
      </c>
      <c r="D408">
        <v>2.4300000000000002</v>
      </c>
      <c r="E408">
        <v>2.4300000000000002</v>
      </c>
      <c r="F408">
        <v>2.42</v>
      </c>
      <c r="G408">
        <v>2.42</v>
      </c>
      <c r="H408">
        <v>2.42</v>
      </c>
      <c r="I408">
        <v>2.41</v>
      </c>
      <c r="J408">
        <v>2.41</v>
      </c>
      <c r="K408">
        <v>2.41</v>
      </c>
      <c r="L408">
        <v>2.4</v>
      </c>
      <c r="M408">
        <v>5</v>
      </c>
      <c r="O408">
        <v>3.44</v>
      </c>
      <c r="P408">
        <v>2.2799999999999998</v>
      </c>
      <c r="Q408">
        <v>1.1299999999999999</v>
      </c>
      <c r="R408">
        <v>0</v>
      </c>
      <c r="S408">
        <v>-1.1200000000000001</v>
      </c>
      <c r="T408">
        <v>-1.76</v>
      </c>
      <c r="U408">
        <v>-1.98</v>
      </c>
      <c r="W408">
        <v>2.8</v>
      </c>
      <c r="Z408" s="1">
        <f>IF(Z407=WaterSound4,Z407,CEILING(AA406,2))</f>
        <v>0</v>
      </c>
      <c r="AA408" s="1">
        <f>Interp2(Water4Heel1,Water4Heel2,Water4Heel3,Z408,Z406)</f>
        <v>0</v>
      </c>
      <c r="AB408" s="1">
        <f>CEILING(AB406,2)</f>
        <v>0</v>
      </c>
      <c r="AC408" s="42">
        <f>IF(AB412=AB411,AB411,Interp1(Z411:Z412,AB411:AB412,Z410))</f>
        <v>1.694</v>
      </c>
    </row>
    <row r="409" spans="1:29">
      <c r="A409">
        <v>10</v>
      </c>
      <c r="B409">
        <v>3.15</v>
      </c>
      <c r="C409">
        <v>3.15</v>
      </c>
      <c r="D409">
        <v>3.14</v>
      </c>
      <c r="E409">
        <v>3.14</v>
      </c>
      <c r="F409">
        <v>3.14</v>
      </c>
      <c r="G409">
        <v>3.13</v>
      </c>
      <c r="H409">
        <v>3.13</v>
      </c>
      <c r="I409">
        <v>3.13</v>
      </c>
      <c r="J409">
        <v>3.12</v>
      </c>
      <c r="K409">
        <v>3.12</v>
      </c>
      <c r="L409">
        <v>3.11</v>
      </c>
      <c r="M409">
        <v>10</v>
      </c>
      <c r="O409">
        <v>3.45</v>
      </c>
      <c r="P409">
        <v>2.29</v>
      </c>
      <c r="Q409">
        <v>1.1399999999999999</v>
      </c>
      <c r="R409">
        <v>0</v>
      </c>
      <c r="S409">
        <v>-1.1299999999999999</v>
      </c>
      <c r="T409">
        <v>-2.04</v>
      </c>
      <c r="U409">
        <v>-2.4</v>
      </c>
      <c r="W409">
        <v>3.6</v>
      </c>
      <c r="Z409" s="1"/>
      <c r="AA409" s="1">
        <f>IF(AA408=AA407,AA407,Interp1(Z407:Z408,AA407:AA408,AA406))</f>
        <v>0</v>
      </c>
      <c r="AB409" s="1"/>
      <c r="AC409" s="42"/>
    </row>
    <row r="410" spans="1:29">
      <c r="A410">
        <v>15</v>
      </c>
      <c r="B410">
        <v>3.86</v>
      </c>
      <c r="C410">
        <v>3.86</v>
      </c>
      <c r="D410">
        <v>3.86</v>
      </c>
      <c r="E410">
        <v>3.85</v>
      </c>
      <c r="F410">
        <v>3.85</v>
      </c>
      <c r="G410">
        <v>3.84</v>
      </c>
      <c r="H410">
        <v>3.84</v>
      </c>
      <c r="I410">
        <v>3.84</v>
      </c>
      <c r="J410">
        <v>3.83</v>
      </c>
      <c r="K410">
        <v>3.83</v>
      </c>
      <c r="L410">
        <v>3.83</v>
      </c>
      <c r="M410">
        <v>15</v>
      </c>
      <c r="O410">
        <v>3.46</v>
      </c>
      <c r="P410">
        <v>2.29</v>
      </c>
      <c r="Q410">
        <v>1.1399999999999999</v>
      </c>
      <c r="R410">
        <v>0</v>
      </c>
      <c r="S410">
        <v>-1.1299999999999999</v>
      </c>
      <c r="T410">
        <v>-2.2000000000000002</v>
      </c>
      <c r="U410">
        <v>-2.75</v>
      </c>
      <c r="W410">
        <v>4.4000000000000004</v>
      </c>
      <c r="Z410" s="1">
        <v>0.8</v>
      </c>
      <c r="AA410" s="1"/>
      <c r="AB410" s="1"/>
      <c r="AC410" s="1"/>
    </row>
    <row r="411" spans="1:29">
      <c r="A411">
        <v>20</v>
      </c>
      <c r="B411">
        <v>4.58</v>
      </c>
      <c r="C411">
        <v>4.57</v>
      </c>
      <c r="D411">
        <v>4.57</v>
      </c>
      <c r="E411">
        <v>4.5599999999999996</v>
      </c>
      <c r="F411">
        <v>4.5599999999999996</v>
      </c>
      <c r="G411">
        <v>4.5599999999999996</v>
      </c>
      <c r="H411">
        <v>4.55</v>
      </c>
      <c r="I411">
        <v>4.55</v>
      </c>
      <c r="J411">
        <v>4.55</v>
      </c>
      <c r="K411">
        <v>4.54</v>
      </c>
      <c r="L411">
        <v>4.54</v>
      </c>
      <c r="M411">
        <v>20</v>
      </c>
      <c r="O411">
        <v>3.46</v>
      </c>
      <c r="P411">
        <v>2.2999999999999998</v>
      </c>
      <c r="Q411">
        <v>1.1399999999999999</v>
      </c>
      <c r="R411">
        <v>0</v>
      </c>
      <c r="S411">
        <v>-1.1299999999999999</v>
      </c>
      <c r="T411">
        <v>-2.2599999999999998</v>
      </c>
      <c r="U411">
        <v>-3.02</v>
      </c>
      <c r="W411">
        <v>5.2</v>
      </c>
      <c r="Z411" s="1">
        <f>INDEX(Water4Trim2,0,MATCH(Z410,Water4Trim2,1))</f>
        <v>0.5</v>
      </c>
      <c r="AA411" s="1">
        <f>Interp2(Water4Trim1,Water4Trim2,Water4Trim3,AB407,Z411)</f>
        <v>1.7</v>
      </c>
      <c r="AB411" s="1">
        <f>Interp2(Water4Trim1,Water4Trim2,Water4Trim3,AB408,Z411)</f>
        <v>1.7</v>
      </c>
      <c r="AC411" s="1"/>
    </row>
    <row r="412" spans="1:29">
      <c r="A412">
        <v>25</v>
      </c>
      <c r="B412">
        <v>5.29</v>
      </c>
      <c r="C412">
        <v>5.29</v>
      </c>
      <c r="D412">
        <v>5.28</v>
      </c>
      <c r="E412">
        <v>5.28</v>
      </c>
      <c r="F412">
        <v>5.27</v>
      </c>
      <c r="G412">
        <v>5.27</v>
      </c>
      <c r="H412">
        <v>5.27</v>
      </c>
      <c r="I412">
        <v>5.26</v>
      </c>
      <c r="J412">
        <v>5.26</v>
      </c>
      <c r="K412">
        <v>5.26</v>
      </c>
      <c r="L412">
        <v>5.25</v>
      </c>
      <c r="M412">
        <v>25</v>
      </c>
      <c r="O412">
        <v>3.47</v>
      </c>
      <c r="P412">
        <v>2.2999999999999998</v>
      </c>
      <c r="Q412">
        <v>1.1499999999999999</v>
      </c>
      <c r="R412">
        <v>0</v>
      </c>
      <c r="S412">
        <v>-1.1399999999999999</v>
      </c>
      <c r="T412">
        <v>-2.2599999999999998</v>
      </c>
      <c r="U412">
        <v>-3.22</v>
      </c>
      <c r="W412">
        <v>6</v>
      </c>
      <c r="Z412" s="1">
        <f>IF(Z411=Z410,Z410,INDEX(Water4Trim2,0,MATCH(Z410,Water4Trim2,1)+1))</f>
        <v>1</v>
      </c>
      <c r="AA412" s="1">
        <f>Interp2(Water4Trim1,Water4Trim2,Water4Trim3,AB407,Z412)</f>
        <v>1.69</v>
      </c>
      <c r="AB412" s="1">
        <f>Interp2(Water4Trim1,Water4Trim2,Water4Trim3,AB408,Z412)</f>
        <v>1.69</v>
      </c>
      <c r="AC412" s="1"/>
    </row>
    <row r="413" spans="1:29">
      <c r="A413">
        <v>30</v>
      </c>
      <c r="B413">
        <v>6</v>
      </c>
      <c r="C413">
        <v>6</v>
      </c>
      <c r="D413">
        <v>6</v>
      </c>
      <c r="E413">
        <v>5.99</v>
      </c>
      <c r="F413">
        <v>5.99</v>
      </c>
      <c r="G413">
        <v>5.99</v>
      </c>
      <c r="H413">
        <v>5.98</v>
      </c>
      <c r="I413">
        <v>5.98</v>
      </c>
      <c r="J413">
        <v>5.97</v>
      </c>
      <c r="K413">
        <v>5.97</v>
      </c>
      <c r="L413">
        <v>5.97</v>
      </c>
      <c r="M413">
        <v>30</v>
      </c>
      <c r="O413">
        <v>3.48</v>
      </c>
      <c r="P413">
        <v>2.31</v>
      </c>
      <c r="Q413">
        <v>1.1499999999999999</v>
      </c>
      <c r="R413">
        <v>0</v>
      </c>
      <c r="S413">
        <v>-1.1399999999999999</v>
      </c>
      <c r="T413">
        <v>-2.27</v>
      </c>
      <c r="U413">
        <v>-3.34</v>
      </c>
      <c r="W413">
        <v>6.8</v>
      </c>
    </row>
    <row r="414" spans="1:29">
      <c r="A414">
        <v>35</v>
      </c>
      <c r="B414">
        <v>6.72</v>
      </c>
      <c r="C414">
        <v>6.72</v>
      </c>
      <c r="D414">
        <v>6.71</v>
      </c>
      <c r="E414">
        <v>6.71</v>
      </c>
      <c r="F414">
        <v>6.71</v>
      </c>
      <c r="G414">
        <v>6.7</v>
      </c>
      <c r="H414">
        <v>6.7</v>
      </c>
      <c r="I414">
        <v>6.69</v>
      </c>
      <c r="J414">
        <v>6.69</v>
      </c>
      <c r="K414">
        <v>6.69</v>
      </c>
      <c r="L414">
        <v>6.68</v>
      </c>
      <c r="M414">
        <v>35</v>
      </c>
      <c r="O414">
        <v>3.49</v>
      </c>
      <c r="P414">
        <v>2.3199999999999998</v>
      </c>
      <c r="Q414">
        <v>1.1499999999999999</v>
      </c>
      <c r="R414">
        <v>0</v>
      </c>
      <c r="S414">
        <v>-1.1399999999999999</v>
      </c>
      <c r="T414">
        <v>-2.27</v>
      </c>
      <c r="U414">
        <v>-3.4</v>
      </c>
      <c r="W414">
        <v>7.6</v>
      </c>
    </row>
    <row r="415" spans="1:29">
      <c r="A415">
        <v>40</v>
      </c>
      <c r="B415">
        <v>7.44</v>
      </c>
      <c r="C415">
        <v>7.43</v>
      </c>
      <c r="D415">
        <v>7.43</v>
      </c>
      <c r="E415">
        <v>7.43</v>
      </c>
      <c r="F415">
        <v>7.42</v>
      </c>
      <c r="G415">
        <v>7.42</v>
      </c>
      <c r="H415">
        <v>7.41</v>
      </c>
      <c r="I415">
        <v>7.41</v>
      </c>
      <c r="J415">
        <v>7.41</v>
      </c>
      <c r="K415">
        <v>7.4</v>
      </c>
      <c r="L415">
        <v>7.4</v>
      </c>
      <c r="M415">
        <v>40</v>
      </c>
      <c r="O415">
        <v>3.5</v>
      </c>
      <c r="P415">
        <v>2.3199999999999998</v>
      </c>
      <c r="Q415">
        <v>1.1599999999999999</v>
      </c>
      <c r="R415">
        <v>0</v>
      </c>
      <c r="S415">
        <v>-1.1399999999999999</v>
      </c>
      <c r="T415">
        <v>-2.2799999999999998</v>
      </c>
      <c r="U415">
        <v>-3.4</v>
      </c>
      <c r="W415">
        <v>8.5</v>
      </c>
    </row>
    <row r="416" spans="1:29">
      <c r="A416">
        <v>45</v>
      </c>
      <c r="B416">
        <v>8.16</v>
      </c>
      <c r="C416">
        <v>8.15</v>
      </c>
      <c r="D416">
        <v>8.15</v>
      </c>
      <c r="E416">
        <v>8.14</v>
      </c>
      <c r="F416">
        <v>8.14</v>
      </c>
      <c r="G416">
        <v>8.14</v>
      </c>
      <c r="H416">
        <v>8.1300000000000008</v>
      </c>
      <c r="I416">
        <v>8.1300000000000008</v>
      </c>
      <c r="J416">
        <v>8.1199999999999992</v>
      </c>
      <c r="K416">
        <v>8.1199999999999992</v>
      </c>
      <c r="L416">
        <v>8.1199999999999992</v>
      </c>
      <c r="M416">
        <v>45</v>
      </c>
      <c r="O416">
        <v>3.51</v>
      </c>
      <c r="P416">
        <v>2.33</v>
      </c>
      <c r="Q416">
        <v>1.1599999999999999</v>
      </c>
      <c r="R416">
        <v>0</v>
      </c>
      <c r="S416">
        <v>-1.1499999999999999</v>
      </c>
      <c r="T416">
        <v>-2.2799999999999998</v>
      </c>
      <c r="U416">
        <v>-3.41</v>
      </c>
      <c r="W416">
        <v>9.3000000000000007</v>
      </c>
    </row>
    <row r="417" spans="1:23">
      <c r="A417">
        <v>50</v>
      </c>
      <c r="B417">
        <v>8.8699999999999992</v>
      </c>
      <c r="C417">
        <v>8.8699999999999992</v>
      </c>
      <c r="D417">
        <v>8.8699999999999992</v>
      </c>
      <c r="E417">
        <v>8.86</v>
      </c>
      <c r="F417">
        <v>8.86</v>
      </c>
      <c r="G417">
        <v>8.85</v>
      </c>
      <c r="H417">
        <v>8.85</v>
      </c>
      <c r="I417">
        <v>8.85</v>
      </c>
      <c r="J417">
        <v>8.84</v>
      </c>
      <c r="K417">
        <v>8.84</v>
      </c>
      <c r="L417">
        <v>8.84</v>
      </c>
      <c r="M417">
        <v>50</v>
      </c>
      <c r="O417">
        <v>3.52</v>
      </c>
      <c r="P417">
        <v>2.33</v>
      </c>
      <c r="Q417">
        <v>1.1599999999999999</v>
      </c>
      <c r="R417">
        <v>0</v>
      </c>
      <c r="S417">
        <v>-1.1499999999999999</v>
      </c>
      <c r="T417">
        <v>-2.29</v>
      </c>
      <c r="U417">
        <v>-3.42</v>
      </c>
      <c r="W417">
        <v>10.1</v>
      </c>
    </row>
    <row r="418" spans="1:23">
      <c r="A418">
        <v>55</v>
      </c>
      <c r="B418">
        <v>9.59</v>
      </c>
      <c r="C418">
        <v>9.59</v>
      </c>
      <c r="D418">
        <v>9.58</v>
      </c>
      <c r="E418">
        <v>9.58</v>
      </c>
      <c r="F418">
        <v>9.58</v>
      </c>
      <c r="G418">
        <v>9.57</v>
      </c>
      <c r="H418">
        <v>9.57</v>
      </c>
      <c r="I418">
        <v>9.57</v>
      </c>
      <c r="J418">
        <v>9.56</v>
      </c>
      <c r="K418">
        <v>9.56</v>
      </c>
      <c r="L418">
        <v>9.5500000000000007</v>
      </c>
      <c r="M418">
        <v>55</v>
      </c>
      <c r="O418">
        <v>3.53</v>
      </c>
      <c r="P418">
        <v>2.34</v>
      </c>
      <c r="Q418">
        <v>1.1599999999999999</v>
      </c>
      <c r="R418">
        <v>0</v>
      </c>
      <c r="S418">
        <v>-1.1499999999999999</v>
      </c>
      <c r="T418">
        <v>-2.2999999999999998</v>
      </c>
      <c r="U418">
        <v>-3.43</v>
      </c>
      <c r="W418">
        <v>10.9</v>
      </c>
    </row>
    <row r="419" spans="1:23">
      <c r="A419">
        <v>60</v>
      </c>
      <c r="B419">
        <v>10.31</v>
      </c>
      <c r="C419">
        <v>10.31</v>
      </c>
      <c r="D419">
        <v>10.31</v>
      </c>
      <c r="E419">
        <v>10.3</v>
      </c>
      <c r="F419">
        <v>10.3</v>
      </c>
      <c r="G419">
        <v>10.29</v>
      </c>
      <c r="H419">
        <v>10.29</v>
      </c>
      <c r="I419">
        <v>10.29</v>
      </c>
      <c r="J419">
        <v>10.28</v>
      </c>
      <c r="K419">
        <v>10.28</v>
      </c>
      <c r="L419">
        <v>10.27</v>
      </c>
      <c r="M419">
        <v>60</v>
      </c>
      <c r="O419">
        <v>3.54</v>
      </c>
      <c r="P419">
        <v>2.35</v>
      </c>
      <c r="Q419">
        <v>1.17</v>
      </c>
      <c r="R419">
        <v>0</v>
      </c>
      <c r="S419">
        <v>-1.1599999999999999</v>
      </c>
      <c r="T419">
        <v>-2.2999999999999998</v>
      </c>
      <c r="U419">
        <v>-3.44</v>
      </c>
      <c r="W419">
        <v>11.7</v>
      </c>
    </row>
    <row r="420" spans="1:23">
      <c r="A420">
        <v>65</v>
      </c>
      <c r="B420">
        <v>11.03</v>
      </c>
      <c r="C420">
        <v>11.03</v>
      </c>
      <c r="D420">
        <v>11.03</v>
      </c>
      <c r="E420">
        <v>11.02</v>
      </c>
      <c r="F420">
        <v>11.02</v>
      </c>
      <c r="G420">
        <v>11.01</v>
      </c>
      <c r="H420">
        <v>11.01</v>
      </c>
      <c r="I420">
        <v>11.01</v>
      </c>
      <c r="J420">
        <v>11</v>
      </c>
      <c r="K420">
        <v>11</v>
      </c>
      <c r="L420">
        <v>11</v>
      </c>
      <c r="M420">
        <v>65</v>
      </c>
      <c r="O420">
        <v>3.55</v>
      </c>
      <c r="P420">
        <v>2.35</v>
      </c>
      <c r="Q420">
        <v>1.17</v>
      </c>
      <c r="R420">
        <v>0</v>
      </c>
      <c r="S420">
        <v>-1.1599999999999999</v>
      </c>
      <c r="T420">
        <v>-2.31</v>
      </c>
      <c r="U420">
        <v>-3.44</v>
      </c>
      <c r="W420">
        <v>12.6</v>
      </c>
    </row>
    <row r="421" spans="1:23">
      <c r="A421">
        <v>70</v>
      </c>
      <c r="B421">
        <v>11.76</v>
      </c>
      <c r="C421">
        <v>11.75</v>
      </c>
      <c r="D421">
        <v>11.75</v>
      </c>
      <c r="E421">
        <v>11.74</v>
      </c>
      <c r="F421">
        <v>11.74</v>
      </c>
      <c r="G421">
        <v>11.74</v>
      </c>
      <c r="H421">
        <v>11.73</v>
      </c>
      <c r="I421">
        <v>11.73</v>
      </c>
      <c r="J421">
        <v>11.72</v>
      </c>
      <c r="K421">
        <v>11.72</v>
      </c>
      <c r="L421">
        <v>11.72</v>
      </c>
      <c r="M421">
        <v>70</v>
      </c>
      <c r="O421">
        <v>3.56</v>
      </c>
      <c r="P421">
        <v>2.36</v>
      </c>
      <c r="Q421">
        <v>1.17</v>
      </c>
      <c r="R421">
        <v>0</v>
      </c>
      <c r="S421">
        <v>-1.1599999999999999</v>
      </c>
      <c r="T421">
        <v>-2.31</v>
      </c>
      <c r="U421">
        <v>-3.45</v>
      </c>
      <c r="W421">
        <v>13.4</v>
      </c>
    </row>
    <row r="422" spans="1:23">
      <c r="A422">
        <v>75</v>
      </c>
      <c r="B422">
        <v>12.48</v>
      </c>
      <c r="C422">
        <v>12.47</v>
      </c>
      <c r="D422">
        <v>12.47</v>
      </c>
      <c r="E422">
        <v>12.47</v>
      </c>
      <c r="F422">
        <v>12.46</v>
      </c>
      <c r="G422">
        <v>12.46</v>
      </c>
      <c r="H422">
        <v>12.45</v>
      </c>
      <c r="I422">
        <v>12.45</v>
      </c>
      <c r="J422">
        <v>12.45</v>
      </c>
      <c r="K422">
        <v>12.44</v>
      </c>
      <c r="L422">
        <v>12.44</v>
      </c>
      <c r="M422">
        <v>75</v>
      </c>
      <c r="O422">
        <v>3.57</v>
      </c>
      <c r="P422">
        <v>2.36</v>
      </c>
      <c r="Q422">
        <v>1.18</v>
      </c>
      <c r="R422">
        <v>0</v>
      </c>
      <c r="S422">
        <v>-1.1599999999999999</v>
      </c>
      <c r="T422">
        <v>-2.3199999999999998</v>
      </c>
      <c r="U422">
        <v>-3.46</v>
      </c>
      <c r="W422">
        <v>14.2</v>
      </c>
    </row>
    <row r="423" spans="1:23">
      <c r="A423">
        <v>80</v>
      </c>
      <c r="B423">
        <v>13.2</v>
      </c>
      <c r="C423">
        <v>13.2</v>
      </c>
      <c r="D423">
        <v>13.19</v>
      </c>
      <c r="E423">
        <v>13.19</v>
      </c>
      <c r="F423">
        <v>13.19</v>
      </c>
      <c r="G423">
        <v>13.18</v>
      </c>
      <c r="H423">
        <v>13.18</v>
      </c>
      <c r="I423">
        <v>13.17</v>
      </c>
      <c r="J423">
        <v>13.17</v>
      </c>
      <c r="K423">
        <v>13.17</v>
      </c>
      <c r="L423">
        <v>13.16</v>
      </c>
      <c r="M423">
        <v>80</v>
      </c>
      <c r="O423">
        <v>3.58</v>
      </c>
      <c r="P423">
        <v>2.37</v>
      </c>
      <c r="Q423">
        <v>1.18</v>
      </c>
      <c r="R423">
        <v>0</v>
      </c>
      <c r="S423">
        <v>-1.17</v>
      </c>
      <c r="T423">
        <v>-2.3199999999999998</v>
      </c>
      <c r="U423">
        <v>-3.46</v>
      </c>
      <c r="W423">
        <v>15</v>
      </c>
    </row>
    <row r="424" spans="1:23">
      <c r="A424">
        <v>85</v>
      </c>
      <c r="B424">
        <v>13.93</v>
      </c>
      <c r="C424">
        <v>13.92</v>
      </c>
      <c r="D424">
        <v>13.92</v>
      </c>
      <c r="E424">
        <v>13.91</v>
      </c>
      <c r="F424">
        <v>13.91</v>
      </c>
      <c r="G424">
        <v>13.91</v>
      </c>
      <c r="H424">
        <v>13.9</v>
      </c>
      <c r="I424">
        <v>13.9</v>
      </c>
      <c r="J424">
        <v>13.89</v>
      </c>
      <c r="K424">
        <v>13.89</v>
      </c>
      <c r="L424">
        <v>13.89</v>
      </c>
      <c r="M424">
        <v>85</v>
      </c>
      <c r="O424">
        <v>3.58</v>
      </c>
      <c r="P424">
        <v>2.38</v>
      </c>
      <c r="Q424">
        <v>1.18</v>
      </c>
      <c r="R424">
        <v>0</v>
      </c>
      <c r="S424">
        <v>-1.17</v>
      </c>
      <c r="T424">
        <v>-2.33</v>
      </c>
      <c r="U424">
        <v>-3.47</v>
      </c>
      <c r="W424">
        <v>15.9</v>
      </c>
    </row>
    <row r="425" spans="1:23">
      <c r="A425">
        <v>90</v>
      </c>
      <c r="B425">
        <v>14.65</v>
      </c>
      <c r="C425">
        <v>14.65</v>
      </c>
      <c r="D425">
        <v>14.64</v>
      </c>
      <c r="E425">
        <v>14.64</v>
      </c>
      <c r="F425">
        <v>14.64</v>
      </c>
      <c r="G425">
        <v>14.63</v>
      </c>
      <c r="H425">
        <v>14.63</v>
      </c>
      <c r="I425">
        <v>14.62</v>
      </c>
      <c r="J425">
        <v>14.62</v>
      </c>
      <c r="K425">
        <v>14.62</v>
      </c>
      <c r="L425">
        <v>14.61</v>
      </c>
      <c r="M425">
        <v>90</v>
      </c>
      <c r="O425">
        <v>3.59</v>
      </c>
      <c r="P425">
        <v>2.38</v>
      </c>
      <c r="Q425">
        <v>1.18</v>
      </c>
      <c r="R425">
        <v>0</v>
      </c>
      <c r="S425">
        <v>-1.17</v>
      </c>
      <c r="T425">
        <v>-2.33</v>
      </c>
      <c r="U425">
        <v>-3.48</v>
      </c>
      <c r="W425">
        <v>16.7</v>
      </c>
    </row>
    <row r="426" spans="1:23">
      <c r="A426">
        <v>95</v>
      </c>
      <c r="B426">
        <v>15.38</v>
      </c>
      <c r="C426">
        <v>15.37</v>
      </c>
      <c r="D426">
        <v>15.37</v>
      </c>
      <c r="E426">
        <v>15.37</v>
      </c>
      <c r="F426">
        <v>15.36</v>
      </c>
      <c r="G426">
        <v>15.36</v>
      </c>
      <c r="H426">
        <v>15.35</v>
      </c>
      <c r="I426">
        <v>15.35</v>
      </c>
      <c r="J426">
        <v>15.35</v>
      </c>
      <c r="K426">
        <v>15.34</v>
      </c>
      <c r="L426">
        <v>15.34</v>
      </c>
      <c r="M426">
        <v>95</v>
      </c>
      <c r="O426">
        <v>3.6</v>
      </c>
      <c r="P426">
        <v>2.39</v>
      </c>
      <c r="Q426">
        <v>1.19</v>
      </c>
      <c r="R426">
        <v>0</v>
      </c>
      <c r="S426">
        <v>-1.17</v>
      </c>
      <c r="T426">
        <v>-2.34</v>
      </c>
      <c r="U426">
        <v>-3.49</v>
      </c>
      <c r="W426">
        <v>17.5</v>
      </c>
    </row>
    <row r="427" spans="1:23">
      <c r="A427">
        <v>100</v>
      </c>
      <c r="B427">
        <v>16.100000000000001</v>
      </c>
      <c r="C427">
        <v>16.100000000000001</v>
      </c>
      <c r="D427">
        <v>16.100000000000001</v>
      </c>
      <c r="E427">
        <v>16.09</v>
      </c>
      <c r="F427">
        <v>16.09</v>
      </c>
      <c r="G427">
        <v>16.079999999999998</v>
      </c>
      <c r="H427">
        <v>16.079999999999998</v>
      </c>
      <c r="I427">
        <v>16.079999999999998</v>
      </c>
      <c r="J427">
        <v>16.07</v>
      </c>
      <c r="K427">
        <v>16.07</v>
      </c>
      <c r="L427">
        <v>16.07</v>
      </c>
      <c r="M427">
        <v>100</v>
      </c>
      <c r="O427">
        <v>3.61</v>
      </c>
      <c r="P427">
        <v>2.39</v>
      </c>
      <c r="Q427">
        <v>1.19</v>
      </c>
      <c r="R427">
        <v>0</v>
      </c>
      <c r="S427">
        <v>-1.18</v>
      </c>
      <c r="T427">
        <v>-2.34</v>
      </c>
      <c r="U427">
        <v>-3.49</v>
      </c>
      <c r="W427">
        <v>18.3</v>
      </c>
    </row>
    <row r="428" spans="1:23">
      <c r="A428">
        <v>105</v>
      </c>
      <c r="B428">
        <v>16.829999999999998</v>
      </c>
      <c r="C428">
        <v>16.829999999999998</v>
      </c>
      <c r="D428">
        <v>16.82</v>
      </c>
      <c r="E428">
        <v>16.82</v>
      </c>
      <c r="F428">
        <v>16.82</v>
      </c>
      <c r="G428">
        <v>16.809999999999999</v>
      </c>
      <c r="H428">
        <v>16.809999999999999</v>
      </c>
      <c r="I428">
        <v>16.8</v>
      </c>
      <c r="J428">
        <v>16.8</v>
      </c>
      <c r="K428">
        <v>16.8</v>
      </c>
      <c r="L428">
        <v>16.79</v>
      </c>
      <c r="M428">
        <v>105</v>
      </c>
      <c r="O428">
        <v>3.62</v>
      </c>
      <c r="P428">
        <v>2.4</v>
      </c>
      <c r="Q428">
        <v>1.19</v>
      </c>
      <c r="R428">
        <v>0</v>
      </c>
      <c r="S428">
        <v>-1.18</v>
      </c>
      <c r="T428">
        <v>-2.35</v>
      </c>
      <c r="U428">
        <v>-3.5</v>
      </c>
      <c r="W428">
        <v>19.2</v>
      </c>
    </row>
    <row r="429" spans="1:23">
      <c r="A429">
        <v>110</v>
      </c>
      <c r="B429">
        <v>17.559999999999999</v>
      </c>
      <c r="C429">
        <v>17.559999999999999</v>
      </c>
      <c r="D429">
        <v>17.55</v>
      </c>
      <c r="E429">
        <v>17.55</v>
      </c>
      <c r="F429">
        <v>17.54</v>
      </c>
      <c r="G429">
        <v>17.54</v>
      </c>
      <c r="H429">
        <v>17.54</v>
      </c>
      <c r="I429">
        <v>17.53</v>
      </c>
      <c r="J429">
        <v>17.53</v>
      </c>
      <c r="K429">
        <v>17.52</v>
      </c>
      <c r="L429">
        <v>17.52</v>
      </c>
      <c r="M429">
        <v>110</v>
      </c>
      <c r="O429">
        <v>3.63</v>
      </c>
      <c r="P429">
        <v>2.4</v>
      </c>
      <c r="Q429">
        <v>1.2</v>
      </c>
      <c r="R429">
        <v>0</v>
      </c>
      <c r="S429">
        <v>-1.18</v>
      </c>
      <c r="T429">
        <v>-2.35</v>
      </c>
      <c r="U429">
        <v>-3.51</v>
      </c>
      <c r="W429">
        <v>20</v>
      </c>
    </row>
    <row r="430" spans="1:23">
      <c r="A430">
        <v>115</v>
      </c>
      <c r="B430">
        <v>18.29</v>
      </c>
      <c r="C430">
        <v>18.29</v>
      </c>
      <c r="D430">
        <v>18.28</v>
      </c>
      <c r="E430">
        <v>18.28</v>
      </c>
      <c r="F430">
        <v>18.27</v>
      </c>
      <c r="G430">
        <v>18.27</v>
      </c>
      <c r="H430">
        <v>18.27</v>
      </c>
      <c r="I430">
        <v>18.260000000000002</v>
      </c>
      <c r="J430">
        <v>18.260000000000002</v>
      </c>
      <c r="K430">
        <v>18.25</v>
      </c>
      <c r="L430">
        <v>18.25</v>
      </c>
      <c r="M430">
        <v>115</v>
      </c>
      <c r="O430">
        <v>3.64</v>
      </c>
      <c r="P430">
        <v>2.41</v>
      </c>
      <c r="Q430">
        <v>1.2</v>
      </c>
      <c r="R430">
        <v>0</v>
      </c>
      <c r="S430">
        <v>-1.18</v>
      </c>
      <c r="T430">
        <v>-2.36</v>
      </c>
      <c r="U430">
        <v>-3.51</v>
      </c>
      <c r="W430">
        <v>20.8</v>
      </c>
    </row>
    <row r="431" spans="1:23">
      <c r="A431">
        <v>120</v>
      </c>
      <c r="B431">
        <v>19.02</v>
      </c>
      <c r="C431">
        <v>19.02</v>
      </c>
      <c r="D431">
        <v>19.010000000000002</v>
      </c>
      <c r="E431">
        <v>19.010000000000002</v>
      </c>
      <c r="F431">
        <v>19</v>
      </c>
      <c r="G431">
        <v>19</v>
      </c>
      <c r="H431">
        <v>19</v>
      </c>
      <c r="I431">
        <v>18.989999999999998</v>
      </c>
      <c r="J431">
        <v>18.989999999999998</v>
      </c>
      <c r="K431">
        <v>18.98</v>
      </c>
      <c r="L431">
        <v>18.98</v>
      </c>
      <c r="M431">
        <v>120</v>
      </c>
      <c r="O431">
        <v>3.65</v>
      </c>
      <c r="P431">
        <v>2.42</v>
      </c>
      <c r="Q431">
        <v>1.2</v>
      </c>
      <c r="R431">
        <v>0</v>
      </c>
      <c r="S431">
        <v>-1.19</v>
      </c>
      <c r="T431">
        <v>-2.36</v>
      </c>
      <c r="U431">
        <v>-3.52</v>
      </c>
      <c r="W431">
        <v>21.7</v>
      </c>
    </row>
    <row r="432" spans="1:23">
      <c r="A432">
        <v>125</v>
      </c>
      <c r="B432">
        <v>19.75</v>
      </c>
      <c r="C432">
        <v>19.75</v>
      </c>
      <c r="D432">
        <v>19.739999999999998</v>
      </c>
      <c r="E432">
        <v>19.739999999999998</v>
      </c>
      <c r="F432">
        <v>19.73</v>
      </c>
      <c r="G432">
        <v>19.73</v>
      </c>
      <c r="H432">
        <v>19.73</v>
      </c>
      <c r="I432">
        <v>19.72</v>
      </c>
      <c r="J432">
        <v>19.72</v>
      </c>
      <c r="K432">
        <v>19.71</v>
      </c>
      <c r="L432">
        <v>19.71</v>
      </c>
      <c r="M432">
        <v>125</v>
      </c>
      <c r="O432">
        <v>3.65</v>
      </c>
      <c r="P432">
        <v>2.42</v>
      </c>
      <c r="Q432">
        <v>1.2</v>
      </c>
      <c r="R432">
        <v>0</v>
      </c>
      <c r="S432">
        <v>-1.19</v>
      </c>
      <c r="T432">
        <v>-2.37</v>
      </c>
      <c r="U432">
        <v>-3.53</v>
      </c>
      <c r="W432">
        <v>22.5</v>
      </c>
    </row>
    <row r="433" spans="1:23">
      <c r="A433">
        <v>130</v>
      </c>
      <c r="B433">
        <v>20.48</v>
      </c>
      <c r="C433">
        <v>20.48</v>
      </c>
      <c r="D433">
        <v>20.47</v>
      </c>
      <c r="E433">
        <v>20.47</v>
      </c>
      <c r="F433">
        <v>20.47</v>
      </c>
      <c r="G433">
        <v>20.46</v>
      </c>
      <c r="H433">
        <v>20.46</v>
      </c>
      <c r="I433">
        <v>20.45</v>
      </c>
      <c r="J433">
        <v>20.45</v>
      </c>
      <c r="K433">
        <v>20.45</v>
      </c>
      <c r="L433">
        <v>20.440000000000001</v>
      </c>
      <c r="M433">
        <v>130</v>
      </c>
      <c r="O433">
        <v>3.66</v>
      </c>
      <c r="P433">
        <v>2.4300000000000002</v>
      </c>
      <c r="Q433">
        <v>1.21</v>
      </c>
      <c r="R433">
        <v>0</v>
      </c>
      <c r="S433">
        <v>-1.19</v>
      </c>
      <c r="T433">
        <v>-2.37</v>
      </c>
      <c r="U433">
        <v>-3.54</v>
      </c>
      <c r="W433">
        <v>23.3</v>
      </c>
    </row>
    <row r="434" spans="1:23">
      <c r="A434">
        <v>135</v>
      </c>
      <c r="B434">
        <v>21.22</v>
      </c>
      <c r="C434">
        <v>21.21</v>
      </c>
      <c r="D434">
        <v>21.21</v>
      </c>
      <c r="E434">
        <v>21.2</v>
      </c>
      <c r="F434">
        <v>21.2</v>
      </c>
      <c r="G434">
        <v>21.19</v>
      </c>
      <c r="H434">
        <v>21.19</v>
      </c>
      <c r="I434">
        <v>21.19</v>
      </c>
      <c r="J434">
        <v>21.18</v>
      </c>
      <c r="K434">
        <v>21.18</v>
      </c>
      <c r="L434">
        <v>21.17</v>
      </c>
      <c r="M434">
        <v>135</v>
      </c>
      <c r="O434">
        <v>3.67</v>
      </c>
      <c r="P434">
        <v>2.4300000000000002</v>
      </c>
      <c r="Q434">
        <v>1.21</v>
      </c>
      <c r="R434">
        <v>0</v>
      </c>
      <c r="S434">
        <v>-1.19</v>
      </c>
      <c r="T434">
        <v>-2.37</v>
      </c>
      <c r="U434">
        <v>-3.54</v>
      </c>
      <c r="W434">
        <v>24.2</v>
      </c>
    </row>
    <row r="435" spans="1:23">
      <c r="A435">
        <v>140</v>
      </c>
      <c r="B435">
        <v>21.95</v>
      </c>
      <c r="C435">
        <v>21.94</v>
      </c>
      <c r="D435">
        <v>21.94</v>
      </c>
      <c r="E435">
        <v>21.94</v>
      </c>
      <c r="F435">
        <v>21.93</v>
      </c>
      <c r="G435">
        <v>21.93</v>
      </c>
      <c r="H435">
        <v>21.92</v>
      </c>
      <c r="I435">
        <v>21.92</v>
      </c>
      <c r="J435">
        <v>21.92</v>
      </c>
      <c r="K435">
        <v>21.91</v>
      </c>
      <c r="L435">
        <v>21.91</v>
      </c>
      <c r="M435">
        <v>140</v>
      </c>
      <c r="O435">
        <v>3.68</v>
      </c>
      <c r="P435">
        <v>2.44</v>
      </c>
      <c r="Q435">
        <v>1.21</v>
      </c>
      <c r="R435">
        <v>0</v>
      </c>
      <c r="S435">
        <v>-1.2</v>
      </c>
      <c r="T435">
        <v>-2.38</v>
      </c>
      <c r="U435">
        <v>-3.55</v>
      </c>
      <c r="W435">
        <v>25</v>
      </c>
    </row>
    <row r="436" spans="1:23">
      <c r="A436">
        <v>145</v>
      </c>
      <c r="B436">
        <v>22.68</v>
      </c>
      <c r="C436">
        <v>22.68</v>
      </c>
      <c r="D436">
        <v>22.67</v>
      </c>
      <c r="E436">
        <v>22.67</v>
      </c>
      <c r="F436">
        <v>22.66</v>
      </c>
      <c r="G436">
        <v>22.66</v>
      </c>
      <c r="H436">
        <v>22.66</v>
      </c>
      <c r="I436">
        <v>22.65</v>
      </c>
      <c r="J436">
        <v>22.65</v>
      </c>
      <c r="K436">
        <v>22.65</v>
      </c>
      <c r="L436">
        <v>22.64</v>
      </c>
      <c r="M436">
        <v>145</v>
      </c>
      <c r="O436">
        <v>3.69</v>
      </c>
      <c r="P436">
        <v>2.44</v>
      </c>
      <c r="Q436">
        <v>1.21</v>
      </c>
      <c r="R436">
        <v>0</v>
      </c>
      <c r="S436">
        <v>-1.2</v>
      </c>
      <c r="T436">
        <v>-2.38</v>
      </c>
      <c r="U436">
        <v>-3.56</v>
      </c>
      <c r="W436">
        <v>25.9</v>
      </c>
    </row>
    <row r="437" spans="1:23">
      <c r="A437">
        <v>150</v>
      </c>
      <c r="B437">
        <v>23.42</v>
      </c>
      <c r="C437">
        <v>23.41</v>
      </c>
      <c r="D437">
        <v>23.41</v>
      </c>
      <c r="E437">
        <v>23.4</v>
      </c>
      <c r="F437">
        <v>23.4</v>
      </c>
      <c r="G437">
        <v>23.4</v>
      </c>
      <c r="H437">
        <v>23.39</v>
      </c>
      <c r="I437">
        <v>23.39</v>
      </c>
      <c r="J437">
        <v>23.38</v>
      </c>
      <c r="K437">
        <v>23.38</v>
      </c>
      <c r="L437">
        <v>23.38</v>
      </c>
      <c r="M437">
        <v>150</v>
      </c>
      <c r="O437">
        <v>3.7</v>
      </c>
      <c r="P437">
        <v>2.4500000000000002</v>
      </c>
      <c r="Q437">
        <v>1.22</v>
      </c>
      <c r="R437">
        <v>0</v>
      </c>
      <c r="S437">
        <v>-1.2</v>
      </c>
      <c r="T437">
        <v>-2.39</v>
      </c>
      <c r="U437">
        <v>-3.56</v>
      </c>
      <c r="W437">
        <v>26.7</v>
      </c>
    </row>
    <row r="438" spans="1:23">
      <c r="A438">
        <v>155</v>
      </c>
      <c r="B438">
        <v>24.15</v>
      </c>
      <c r="C438">
        <v>24.15</v>
      </c>
      <c r="D438">
        <v>24.14</v>
      </c>
      <c r="E438">
        <v>24.14</v>
      </c>
      <c r="F438">
        <v>24.13</v>
      </c>
      <c r="G438">
        <v>24.13</v>
      </c>
      <c r="H438">
        <v>24.13</v>
      </c>
      <c r="I438">
        <v>24.12</v>
      </c>
      <c r="J438">
        <v>24.12</v>
      </c>
      <c r="K438">
        <v>24.11</v>
      </c>
      <c r="L438">
        <v>24.11</v>
      </c>
      <c r="M438">
        <v>155</v>
      </c>
      <c r="O438">
        <v>3.7</v>
      </c>
      <c r="P438">
        <v>2.4500000000000002</v>
      </c>
      <c r="Q438">
        <v>1.22</v>
      </c>
      <c r="R438">
        <v>0</v>
      </c>
      <c r="S438">
        <v>-1.2</v>
      </c>
      <c r="T438">
        <v>-2.39</v>
      </c>
      <c r="U438">
        <v>-3.57</v>
      </c>
      <c r="W438">
        <v>27.5</v>
      </c>
    </row>
    <row r="439" spans="1:23">
      <c r="A439">
        <v>160</v>
      </c>
      <c r="B439">
        <v>24.89</v>
      </c>
      <c r="C439">
        <v>24.88</v>
      </c>
      <c r="D439">
        <v>24.88</v>
      </c>
      <c r="E439">
        <v>24.88</v>
      </c>
      <c r="F439">
        <v>24.87</v>
      </c>
      <c r="G439">
        <v>24.87</v>
      </c>
      <c r="H439">
        <v>24.86</v>
      </c>
      <c r="I439">
        <v>24.86</v>
      </c>
      <c r="J439">
        <v>24.85</v>
      </c>
      <c r="K439">
        <v>24.85</v>
      </c>
      <c r="L439">
        <v>24.85</v>
      </c>
      <c r="M439">
        <v>160</v>
      </c>
      <c r="O439">
        <v>3.71</v>
      </c>
      <c r="P439">
        <v>2.46</v>
      </c>
      <c r="Q439">
        <v>1.22</v>
      </c>
      <c r="R439">
        <v>0</v>
      </c>
      <c r="S439">
        <v>-1.21</v>
      </c>
      <c r="T439">
        <v>-2.4</v>
      </c>
      <c r="U439">
        <v>-3.57</v>
      </c>
      <c r="W439">
        <v>28.4</v>
      </c>
    </row>
    <row r="440" spans="1:23">
      <c r="A440">
        <v>165</v>
      </c>
      <c r="B440">
        <v>25.63</v>
      </c>
      <c r="C440">
        <v>25.62</v>
      </c>
      <c r="D440">
        <v>25.62</v>
      </c>
      <c r="E440">
        <v>25.61</v>
      </c>
      <c r="F440">
        <v>25.61</v>
      </c>
      <c r="G440">
        <v>25.6</v>
      </c>
      <c r="H440">
        <v>25.6</v>
      </c>
      <c r="I440">
        <v>25.6</v>
      </c>
      <c r="J440">
        <v>25.59</v>
      </c>
      <c r="K440">
        <v>25.59</v>
      </c>
      <c r="L440">
        <v>25.58</v>
      </c>
      <c r="M440">
        <v>165</v>
      </c>
      <c r="O440">
        <v>3.72</v>
      </c>
      <c r="P440">
        <v>2.46</v>
      </c>
      <c r="Q440">
        <v>1.22</v>
      </c>
      <c r="R440">
        <v>0</v>
      </c>
      <c r="S440">
        <v>-1.21</v>
      </c>
      <c r="T440">
        <v>-2.4</v>
      </c>
      <c r="U440">
        <v>-3.58</v>
      </c>
      <c r="W440">
        <v>29.2</v>
      </c>
    </row>
    <row r="441" spans="1:23">
      <c r="A441">
        <v>170</v>
      </c>
      <c r="B441">
        <v>26.36</v>
      </c>
      <c r="C441">
        <v>26.36</v>
      </c>
      <c r="D441">
        <v>26.35</v>
      </c>
      <c r="E441">
        <v>26.35</v>
      </c>
      <c r="F441">
        <v>26.35</v>
      </c>
      <c r="G441">
        <v>26.34</v>
      </c>
      <c r="H441">
        <v>26.34</v>
      </c>
      <c r="I441">
        <v>26.33</v>
      </c>
      <c r="J441">
        <v>26.33</v>
      </c>
      <c r="K441">
        <v>26.33</v>
      </c>
      <c r="L441">
        <v>26.32</v>
      </c>
      <c r="M441">
        <v>170</v>
      </c>
      <c r="O441">
        <v>3.73</v>
      </c>
      <c r="P441">
        <v>2.4700000000000002</v>
      </c>
      <c r="Q441">
        <v>1.23</v>
      </c>
      <c r="R441">
        <v>0</v>
      </c>
      <c r="S441">
        <v>-1.21</v>
      </c>
      <c r="T441">
        <v>-2.41</v>
      </c>
      <c r="U441">
        <v>-3.59</v>
      </c>
      <c r="W441">
        <v>30.1</v>
      </c>
    </row>
    <row r="442" spans="1:23">
      <c r="A442">
        <v>175</v>
      </c>
      <c r="B442">
        <v>27.1</v>
      </c>
      <c r="C442">
        <v>27.1</v>
      </c>
      <c r="D442">
        <v>27.09</v>
      </c>
      <c r="E442">
        <v>27.09</v>
      </c>
      <c r="F442">
        <v>27.08</v>
      </c>
      <c r="G442">
        <v>27.08</v>
      </c>
      <c r="H442">
        <v>27.08</v>
      </c>
      <c r="I442">
        <v>27.07</v>
      </c>
      <c r="J442">
        <v>27.07</v>
      </c>
      <c r="K442">
        <v>27.06</v>
      </c>
      <c r="L442">
        <v>27.06</v>
      </c>
      <c r="M442">
        <v>175</v>
      </c>
      <c r="O442">
        <v>3.74</v>
      </c>
      <c r="P442">
        <v>2.4700000000000002</v>
      </c>
      <c r="Q442">
        <v>1.23</v>
      </c>
      <c r="R442">
        <v>0</v>
      </c>
      <c r="S442">
        <v>-1.21</v>
      </c>
      <c r="T442">
        <v>-2.41</v>
      </c>
      <c r="U442">
        <v>-3.59</v>
      </c>
      <c r="W442">
        <v>30.9</v>
      </c>
    </row>
    <row r="443" spans="1:23">
      <c r="A443">
        <v>180</v>
      </c>
      <c r="B443">
        <v>27.84</v>
      </c>
      <c r="C443">
        <v>27.84</v>
      </c>
      <c r="D443">
        <v>27.83</v>
      </c>
      <c r="E443">
        <v>27.83</v>
      </c>
      <c r="F443">
        <v>27.82</v>
      </c>
      <c r="G443">
        <v>27.82</v>
      </c>
      <c r="H443">
        <v>27.81</v>
      </c>
      <c r="I443">
        <v>27.81</v>
      </c>
      <c r="J443">
        <v>27.81</v>
      </c>
      <c r="K443">
        <v>27.8</v>
      </c>
      <c r="L443">
        <v>27.8</v>
      </c>
      <c r="M443">
        <v>180</v>
      </c>
      <c r="O443">
        <v>3.74</v>
      </c>
      <c r="P443">
        <v>2.48</v>
      </c>
      <c r="Q443">
        <v>1.23</v>
      </c>
      <c r="R443">
        <v>0</v>
      </c>
      <c r="S443">
        <v>-1.22</v>
      </c>
      <c r="T443">
        <v>-2.42</v>
      </c>
      <c r="U443">
        <v>-3.6</v>
      </c>
      <c r="W443">
        <v>31.7</v>
      </c>
    </row>
    <row r="444" spans="1:23">
      <c r="A444">
        <v>185</v>
      </c>
      <c r="B444">
        <v>28.58</v>
      </c>
      <c r="C444">
        <v>28.58</v>
      </c>
      <c r="D444">
        <v>28.57</v>
      </c>
      <c r="E444">
        <v>28.57</v>
      </c>
      <c r="F444">
        <v>28.56</v>
      </c>
      <c r="G444">
        <v>28.56</v>
      </c>
      <c r="H444">
        <v>28.55</v>
      </c>
      <c r="I444">
        <v>28.55</v>
      </c>
      <c r="J444">
        <v>28.55</v>
      </c>
      <c r="K444">
        <v>28.54</v>
      </c>
      <c r="L444">
        <v>28.54</v>
      </c>
      <c r="M444">
        <v>185</v>
      </c>
      <c r="O444">
        <v>3.75</v>
      </c>
      <c r="P444">
        <v>2.48</v>
      </c>
      <c r="Q444">
        <v>1.23</v>
      </c>
      <c r="R444">
        <v>0</v>
      </c>
      <c r="S444">
        <v>-1.22</v>
      </c>
      <c r="T444">
        <v>-2.42</v>
      </c>
      <c r="U444">
        <v>-3.61</v>
      </c>
      <c r="W444">
        <v>32.6</v>
      </c>
    </row>
    <row r="445" spans="1:23">
      <c r="A445">
        <v>190</v>
      </c>
      <c r="B445">
        <v>29.32</v>
      </c>
      <c r="C445">
        <v>29.32</v>
      </c>
      <c r="D445">
        <v>29.31</v>
      </c>
      <c r="E445">
        <v>29.31</v>
      </c>
      <c r="F445">
        <v>29.3</v>
      </c>
      <c r="G445">
        <v>29.3</v>
      </c>
      <c r="H445">
        <v>29.29</v>
      </c>
      <c r="I445">
        <v>29.29</v>
      </c>
      <c r="J445">
        <v>29.29</v>
      </c>
      <c r="K445">
        <v>29.28</v>
      </c>
      <c r="L445">
        <v>29.28</v>
      </c>
      <c r="M445">
        <v>190</v>
      </c>
      <c r="O445">
        <v>3.76</v>
      </c>
      <c r="P445">
        <v>2.4900000000000002</v>
      </c>
      <c r="Q445">
        <v>1.24</v>
      </c>
      <c r="R445">
        <v>0</v>
      </c>
      <c r="S445">
        <v>-1.22</v>
      </c>
      <c r="T445">
        <v>-2.42</v>
      </c>
      <c r="U445">
        <v>-3.61</v>
      </c>
      <c r="W445">
        <v>33.4</v>
      </c>
    </row>
    <row r="446" spans="1:23">
      <c r="A446">
        <v>195</v>
      </c>
      <c r="B446">
        <v>30.06</v>
      </c>
      <c r="C446">
        <v>30.06</v>
      </c>
      <c r="D446">
        <v>30.05</v>
      </c>
      <c r="E446">
        <v>30.05</v>
      </c>
      <c r="F446">
        <v>30.04</v>
      </c>
      <c r="G446">
        <v>30.04</v>
      </c>
      <c r="H446">
        <v>30.04</v>
      </c>
      <c r="I446">
        <v>30.03</v>
      </c>
      <c r="J446">
        <v>30.03</v>
      </c>
      <c r="K446">
        <v>30.02</v>
      </c>
      <c r="L446">
        <v>30.02</v>
      </c>
      <c r="M446">
        <v>195</v>
      </c>
      <c r="O446">
        <v>3.77</v>
      </c>
      <c r="P446">
        <v>2.4900000000000002</v>
      </c>
      <c r="Q446">
        <v>1.24</v>
      </c>
      <c r="R446">
        <v>0</v>
      </c>
      <c r="S446">
        <v>-1.22</v>
      </c>
      <c r="T446">
        <v>-2.4300000000000002</v>
      </c>
      <c r="U446">
        <v>-3.62</v>
      </c>
      <c r="W446">
        <v>34.299999999999997</v>
      </c>
    </row>
    <row r="447" spans="1:23">
      <c r="A447">
        <v>200</v>
      </c>
      <c r="B447">
        <v>30.8</v>
      </c>
      <c r="C447">
        <v>30.8</v>
      </c>
      <c r="D447">
        <v>30.79</v>
      </c>
      <c r="E447">
        <v>30.79</v>
      </c>
      <c r="F447">
        <v>30.79</v>
      </c>
      <c r="G447">
        <v>30.78</v>
      </c>
      <c r="H447">
        <v>30.78</v>
      </c>
      <c r="I447">
        <v>30.77</v>
      </c>
      <c r="J447">
        <v>30.77</v>
      </c>
      <c r="K447">
        <v>30.77</v>
      </c>
      <c r="L447">
        <v>30.76</v>
      </c>
      <c r="M447">
        <v>200</v>
      </c>
      <c r="O447">
        <v>3.78</v>
      </c>
      <c r="P447">
        <v>2.5</v>
      </c>
      <c r="Q447">
        <v>1.24</v>
      </c>
      <c r="R447">
        <v>0</v>
      </c>
      <c r="S447">
        <v>-1.22</v>
      </c>
      <c r="T447">
        <v>-2.4300000000000002</v>
      </c>
      <c r="U447">
        <v>-3.63</v>
      </c>
      <c r="W447">
        <v>35.1</v>
      </c>
    </row>
    <row r="448" spans="1:23">
      <c r="A448">
        <v>205</v>
      </c>
      <c r="B448">
        <v>31.55</v>
      </c>
      <c r="C448">
        <v>31.54</v>
      </c>
      <c r="D448">
        <v>31.54</v>
      </c>
      <c r="E448">
        <v>31.53</v>
      </c>
      <c r="F448">
        <v>31.53</v>
      </c>
      <c r="G448">
        <v>31.52</v>
      </c>
      <c r="H448">
        <v>31.52</v>
      </c>
      <c r="I448">
        <v>31.52</v>
      </c>
      <c r="J448">
        <v>31.51</v>
      </c>
      <c r="K448">
        <v>31.51</v>
      </c>
      <c r="L448">
        <v>31.5</v>
      </c>
      <c r="M448">
        <v>205</v>
      </c>
      <c r="O448">
        <v>3.78</v>
      </c>
      <c r="P448">
        <v>2.5</v>
      </c>
      <c r="Q448">
        <v>1.24</v>
      </c>
      <c r="R448">
        <v>0</v>
      </c>
      <c r="S448">
        <v>-1.23</v>
      </c>
      <c r="T448">
        <v>-2.44</v>
      </c>
      <c r="U448">
        <v>-3.63</v>
      </c>
      <c r="W448">
        <v>36</v>
      </c>
    </row>
    <row r="449" spans="1:23">
      <c r="A449">
        <v>210</v>
      </c>
      <c r="B449">
        <v>32.29</v>
      </c>
      <c r="C449">
        <v>32.29</v>
      </c>
      <c r="D449">
        <v>32.28</v>
      </c>
      <c r="E449">
        <v>32.28</v>
      </c>
      <c r="F449">
        <v>32.270000000000003</v>
      </c>
      <c r="G449">
        <v>32.270000000000003</v>
      </c>
      <c r="H449">
        <v>32.26</v>
      </c>
      <c r="I449">
        <v>32.26</v>
      </c>
      <c r="J449">
        <v>32.25</v>
      </c>
      <c r="K449">
        <v>32.25</v>
      </c>
      <c r="L449">
        <v>32.25</v>
      </c>
      <c r="M449">
        <v>210</v>
      </c>
      <c r="O449">
        <v>3.79</v>
      </c>
      <c r="P449">
        <v>2.5099999999999998</v>
      </c>
      <c r="Q449">
        <v>1.25</v>
      </c>
      <c r="R449">
        <v>0</v>
      </c>
      <c r="S449">
        <v>-1.23</v>
      </c>
      <c r="T449">
        <v>-2.44</v>
      </c>
      <c r="U449">
        <v>-3.64</v>
      </c>
      <c r="W449">
        <v>36.799999999999997</v>
      </c>
    </row>
    <row r="450" spans="1:23">
      <c r="A450">
        <v>215</v>
      </c>
      <c r="B450">
        <v>33.03</v>
      </c>
      <c r="C450">
        <v>33.03</v>
      </c>
      <c r="D450">
        <v>33.020000000000003</v>
      </c>
      <c r="E450">
        <v>33.020000000000003</v>
      </c>
      <c r="F450">
        <v>33.020000000000003</v>
      </c>
      <c r="G450">
        <v>33.01</v>
      </c>
      <c r="H450">
        <v>33.01</v>
      </c>
      <c r="I450">
        <v>33</v>
      </c>
      <c r="J450">
        <v>33</v>
      </c>
      <c r="K450">
        <v>33</v>
      </c>
      <c r="L450">
        <v>32.99</v>
      </c>
      <c r="M450">
        <v>215</v>
      </c>
      <c r="O450">
        <v>3.8</v>
      </c>
      <c r="P450">
        <v>2.5099999999999998</v>
      </c>
      <c r="Q450">
        <v>1.25</v>
      </c>
      <c r="R450">
        <v>0</v>
      </c>
      <c r="S450">
        <v>-1.23</v>
      </c>
      <c r="T450">
        <v>-2.44</v>
      </c>
      <c r="U450">
        <v>-3.64</v>
      </c>
      <c r="W450">
        <v>37.700000000000003</v>
      </c>
    </row>
    <row r="451" spans="1:23">
      <c r="A451">
        <v>220</v>
      </c>
      <c r="B451">
        <v>33.78</v>
      </c>
      <c r="C451">
        <v>33.770000000000003</v>
      </c>
      <c r="D451">
        <v>33.770000000000003</v>
      </c>
      <c r="E451">
        <v>33.76</v>
      </c>
      <c r="F451">
        <v>33.76</v>
      </c>
      <c r="G451">
        <v>33.76</v>
      </c>
      <c r="H451">
        <v>33.75</v>
      </c>
      <c r="I451">
        <v>33.75</v>
      </c>
      <c r="J451">
        <v>33.74</v>
      </c>
      <c r="K451">
        <v>33.74</v>
      </c>
      <c r="L451">
        <v>33.74</v>
      </c>
      <c r="M451">
        <v>220</v>
      </c>
      <c r="O451">
        <v>3.81</v>
      </c>
      <c r="P451">
        <v>2.52</v>
      </c>
      <c r="Q451">
        <v>1.25</v>
      </c>
      <c r="R451">
        <v>0</v>
      </c>
      <c r="S451">
        <v>-1.23</v>
      </c>
      <c r="T451">
        <v>-2.4500000000000002</v>
      </c>
      <c r="U451">
        <v>-3.65</v>
      </c>
      <c r="W451">
        <v>38.5</v>
      </c>
    </row>
    <row r="452" spans="1:23">
      <c r="A452">
        <v>225</v>
      </c>
      <c r="B452">
        <v>34.520000000000003</v>
      </c>
      <c r="C452">
        <v>34.520000000000003</v>
      </c>
      <c r="D452">
        <v>34.51</v>
      </c>
      <c r="E452">
        <v>34.51</v>
      </c>
      <c r="F452">
        <v>34.51</v>
      </c>
      <c r="G452">
        <v>34.5</v>
      </c>
      <c r="H452">
        <v>34.5</v>
      </c>
      <c r="I452">
        <v>34.49</v>
      </c>
      <c r="J452">
        <v>34.49</v>
      </c>
      <c r="K452">
        <v>34.479999999999997</v>
      </c>
      <c r="L452">
        <v>34.479999999999997</v>
      </c>
      <c r="M452">
        <v>225</v>
      </c>
      <c r="O452">
        <v>3.81</v>
      </c>
      <c r="P452">
        <v>2.52</v>
      </c>
      <c r="Q452">
        <v>1.25</v>
      </c>
      <c r="R452">
        <v>0</v>
      </c>
      <c r="S452">
        <v>-1.24</v>
      </c>
      <c r="T452">
        <v>-2.4500000000000002</v>
      </c>
      <c r="U452">
        <v>-3.66</v>
      </c>
      <c r="W452">
        <v>39.4</v>
      </c>
    </row>
    <row r="453" spans="1:23">
      <c r="A453">
        <v>230</v>
      </c>
      <c r="B453">
        <v>35.270000000000003</v>
      </c>
      <c r="C453">
        <v>35.270000000000003</v>
      </c>
      <c r="D453">
        <v>35.26</v>
      </c>
      <c r="E453">
        <v>35.26</v>
      </c>
      <c r="F453">
        <v>35.25</v>
      </c>
      <c r="G453">
        <v>35.25</v>
      </c>
      <c r="H453">
        <v>35.24</v>
      </c>
      <c r="I453">
        <v>35.24</v>
      </c>
      <c r="J453">
        <v>35.229999999999997</v>
      </c>
      <c r="K453">
        <v>35.229999999999997</v>
      </c>
      <c r="L453">
        <v>35.229999999999997</v>
      </c>
      <c r="M453">
        <v>230</v>
      </c>
      <c r="O453">
        <v>3.82</v>
      </c>
      <c r="P453">
        <v>2.5299999999999998</v>
      </c>
      <c r="Q453">
        <v>1.26</v>
      </c>
      <c r="R453">
        <v>0</v>
      </c>
      <c r="S453">
        <v>-1.24</v>
      </c>
      <c r="T453">
        <v>-2.46</v>
      </c>
      <c r="U453">
        <v>-3.66</v>
      </c>
      <c r="W453">
        <v>40.200000000000003</v>
      </c>
    </row>
    <row r="454" spans="1:23">
      <c r="A454">
        <v>235</v>
      </c>
      <c r="B454">
        <v>36.020000000000003</v>
      </c>
      <c r="C454">
        <v>36.01</v>
      </c>
      <c r="D454">
        <v>36.01</v>
      </c>
      <c r="E454">
        <v>36</v>
      </c>
      <c r="F454">
        <v>36</v>
      </c>
      <c r="G454">
        <v>35.99</v>
      </c>
      <c r="H454">
        <v>35.99</v>
      </c>
      <c r="I454">
        <v>35.99</v>
      </c>
      <c r="J454">
        <v>35.979999999999997</v>
      </c>
      <c r="K454">
        <v>35.979999999999997</v>
      </c>
      <c r="L454">
        <v>35.97</v>
      </c>
      <c r="M454">
        <v>235</v>
      </c>
      <c r="O454">
        <v>3.83</v>
      </c>
      <c r="P454">
        <v>2.5299999999999998</v>
      </c>
      <c r="Q454">
        <v>1.26</v>
      </c>
      <c r="R454">
        <v>0</v>
      </c>
      <c r="S454">
        <v>-1.24</v>
      </c>
      <c r="T454">
        <v>-2.46</v>
      </c>
      <c r="U454">
        <v>-3.67</v>
      </c>
      <c r="W454">
        <v>41.1</v>
      </c>
    </row>
    <row r="455" spans="1:23">
      <c r="A455">
        <v>240</v>
      </c>
      <c r="B455">
        <v>36.76</v>
      </c>
      <c r="C455">
        <v>36.76</v>
      </c>
      <c r="D455">
        <v>36.75</v>
      </c>
      <c r="E455">
        <v>36.75</v>
      </c>
      <c r="F455">
        <v>36.75</v>
      </c>
      <c r="G455">
        <v>36.74</v>
      </c>
      <c r="H455">
        <v>36.74</v>
      </c>
      <c r="I455">
        <v>36.729999999999997</v>
      </c>
      <c r="J455">
        <v>36.729999999999997</v>
      </c>
      <c r="K455">
        <v>36.72</v>
      </c>
      <c r="L455">
        <v>36.72</v>
      </c>
      <c r="M455">
        <v>240</v>
      </c>
      <c r="O455">
        <v>3.84</v>
      </c>
      <c r="P455">
        <v>2.54</v>
      </c>
      <c r="Q455">
        <v>1.26</v>
      </c>
      <c r="R455">
        <v>0</v>
      </c>
      <c r="S455">
        <v>-1.24</v>
      </c>
      <c r="T455">
        <v>-2.4700000000000002</v>
      </c>
      <c r="U455">
        <v>-3.67</v>
      </c>
      <c r="W455">
        <v>41.9</v>
      </c>
    </row>
    <row r="456" spans="1:23">
      <c r="A456">
        <v>245</v>
      </c>
      <c r="B456">
        <v>37.51</v>
      </c>
      <c r="C456">
        <v>37.51</v>
      </c>
      <c r="D456">
        <v>37.5</v>
      </c>
      <c r="E456">
        <v>37.5</v>
      </c>
      <c r="F456">
        <v>37.49</v>
      </c>
      <c r="G456">
        <v>37.49</v>
      </c>
      <c r="H456">
        <v>37.479999999999997</v>
      </c>
      <c r="I456">
        <v>37.479999999999997</v>
      </c>
      <c r="J456">
        <v>37.479999999999997</v>
      </c>
      <c r="K456">
        <v>37.47</v>
      </c>
      <c r="L456">
        <v>37.47</v>
      </c>
      <c r="M456">
        <v>245</v>
      </c>
      <c r="O456">
        <v>3.84</v>
      </c>
      <c r="P456">
        <v>2.54</v>
      </c>
      <c r="Q456">
        <v>1.26</v>
      </c>
      <c r="R456">
        <v>0</v>
      </c>
      <c r="S456">
        <v>-1.24</v>
      </c>
      <c r="T456">
        <v>-2.4700000000000002</v>
      </c>
      <c r="U456">
        <v>-3.68</v>
      </c>
      <c r="W456">
        <v>42.8</v>
      </c>
    </row>
    <row r="457" spans="1:23">
      <c r="A457">
        <v>250</v>
      </c>
      <c r="B457">
        <v>38.26</v>
      </c>
      <c r="C457">
        <v>38.26</v>
      </c>
      <c r="D457">
        <v>38.25</v>
      </c>
      <c r="E457">
        <v>38.25</v>
      </c>
      <c r="F457">
        <v>38.24</v>
      </c>
      <c r="G457">
        <v>38.24</v>
      </c>
      <c r="H457">
        <v>38.229999999999997</v>
      </c>
      <c r="I457">
        <v>38.229999999999997</v>
      </c>
      <c r="J457">
        <v>38.22</v>
      </c>
      <c r="K457">
        <v>38.22</v>
      </c>
      <c r="L457">
        <v>38.22</v>
      </c>
      <c r="M457">
        <v>250</v>
      </c>
      <c r="O457">
        <v>3.85</v>
      </c>
      <c r="P457">
        <v>2.5499999999999998</v>
      </c>
      <c r="Q457">
        <v>1.26</v>
      </c>
      <c r="R457">
        <v>0</v>
      </c>
      <c r="S457">
        <v>-1.25</v>
      </c>
      <c r="T457">
        <v>-2.4700000000000002</v>
      </c>
      <c r="U457">
        <v>-3.68</v>
      </c>
      <c r="W457">
        <v>43.6</v>
      </c>
    </row>
    <row r="458" spans="1:23">
      <c r="A458">
        <v>255</v>
      </c>
      <c r="B458">
        <v>39.01</v>
      </c>
      <c r="C458">
        <v>39.01</v>
      </c>
      <c r="D458">
        <v>39</v>
      </c>
      <c r="E458">
        <v>39</v>
      </c>
      <c r="F458">
        <v>38.99</v>
      </c>
      <c r="G458">
        <v>38.99</v>
      </c>
      <c r="H458">
        <v>38.979999999999997</v>
      </c>
      <c r="I458">
        <v>38.979999999999997</v>
      </c>
      <c r="J458">
        <v>38.97</v>
      </c>
      <c r="K458">
        <v>38.97</v>
      </c>
      <c r="L458">
        <v>38.97</v>
      </c>
      <c r="M458">
        <v>255</v>
      </c>
      <c r="O458">
        <v>3.86</v>
      </c>
      <c r="P458">
        <v>2.5499999999999998</v>
      </c>
      <c r="Q458">
        <v>1.27</v>
      </c>
      <c r="R458">
        <v>0</v>
      </c>
      <c r="S458">
        <v>-1.25</v>
      </c>
      <c r="T458">
        <v>-2.48</v>
      </c>
      <c r="U458">
        <v>-3.69</v>
      </c>
      <c r="W458">
        <v>44.5</v>
      </c>
    </row>
    <row r="459" spans="1:23">
      <c r="A459">
        <v>260</v>
      </c>
      <c r="B459">
        <v>39.76</v>
      </c>
      <c r="C459">
        <v>39.76</v>
      </c>
      <c r="D459">
        <v>39.75</v>
      </c>
      <c r="E459">
        <v>39.75</v>
      </c>
      <c r="F459">
        <v>39.74</v>
      </c>
      <c r="G459">
        <v>39.74</v>
      </c>
      <c r="H459">
        <v>39.729999999999997</v>
      </c>
      <c r="I459">
        <v>39.729999999999997</v>
      </c>
      <c r="J459">
        <v>39.72</v>
      </c>
      <c r="K459">
        <v>39.72</v>
      </c>
      <c r="L459">
        <v>39.72</v>
      </c>
      <c r="M459">
        <v>260</v>
      </c>
      <c r="O459">
        <v>3.87</v>
      </c>
      <c r="P459">
        <v>2.56</v>
      </c>
      <c r="Q459">
        <v>1.27</v>
      </c>
      <c r="R459">
        <v>0</v>
      </c>
      <c r="S459">
        <v>-1.25</v>
      </c>
      <c r="T459">
        <v>-2.48</v>
      </c>
      <c r="U459">
        <v>-3.69</v>
      </c>
      <c r="W459">
        <v>45.3</v>
      </c>
    </row>
    <row r="460" spans="1:23">
      <c r="A460">
        <v>265</v>
      </c>
      <c r="B460">
        <v>40.51</v>
      </c>
      <c r="C460">
        <v>40.51</v>
      </c>
      <c r="D460">
        <v>40.5</v>
      </c>
      <c r="E460">
        <v>40.5</v>
      </c>
      <c r="F460">
        <v>40.49</v>
      </c>
      <c r="G460">
        <v>40.49</v>
      </c>
      <c r="H460">
        <v>40.479999999999997</v>
      </c>
      <c r="I460">
        <v>40.479999999999997</v>
      </c>
      <c r="J460">
        <v>40.47</v>
      </c>
      <c r="K460">
        <v>40.47</v>
      </c>
      <c r="L460">
        <v>40.47</v>
      </c>
      <c r="M460">
        <v>265</v>
      </c>
      <c r="O460">
        <v>3.87</v>
      </c>
      <c r="P460">
        <v>2.56</v>
      </c>
      <c r="Q460">
        <v>1.27</v>
      </c>
      <c r="R460">
        <v>0</v>
      </c>
      <c r="S460">
        <v>-1.25</v>
      </c>
      <c r="T460">
        <v>-2.4900000000000002</v>
      </c>
      <c r="U460">
        <v>-3.7</v>
      </c>
      <c r="W460">
        <v>46.2</v>
      </c>
    </row>
    <row r="461" spans="1:23">
      <c r="A461">
        <v>270</v>
      </c>
      <c r="B461">
        <v>41.26</v>
      </c>
      <c r="C461">
        <v>41.26</v>
      </c>
      <c r="D461">
        <v>41.25</v>
      </c>
      <c r="E461">
        <v>41.25</v>
      </c>
      <c r="F461">
        <v>41.24</v>
      </c>
      <c r="G461">
        <v>41.24</v>
      </c>
      <c r="H461">
        <v>41.23</v>
      </c>
      <c r="I461">
        <v>41.23</v>
      </c>
      <c r="J461">
        <v>41.23</v>
      </c>
      <c r="K461">
        <v>41.22</v>
      </c>
      <c r="L461">
        <v>41.22</v>
      </c>
      <c r="M461">
        <v>270</v>
      </c>
      <c r="O461">
        <v>3.88</v>
      </c>
      <c r="P461">
        <v>2.57</v>
      </c>
      <c r="Q461">
        <v>1.27</v>
      </c>
      <c r="R461">
        <v>0</v>
      </c>
      <c r="S461">
        <v>-1.25</v>
      </c>
      <c r="T461">
        <v>-2.4900000000000002</v>
      </c>
      <c r="U461">
        <v>-3.71</v>
      </c>
      <c r="W461">
        <v>47.1</v>
      </c>
    </row>
    <row r="462" spans="1:23">
      <c r="A462">
        <v>275</v>
      </c>
      <c r="B462">
        <v>42.01</v>
      </c>
      <c r="C462">
        <v>42.01</v>
      </c>
      <c r="D462">
        <v>42</v>
      </c>
      <c r="E462">
        <v>42</v>
      </c>
      <c r="F462">
        <v>41.99</v>
      </c>
      <c r="G462">
        <v>41.99</v>
      </c>
      <c r="H462">
        <v>41.99</v>
      </c>
      <c r="I462">
        <v>41.98</v>
      </c>
      <c r="J462">
        <v>41.98</v>
      </c>
      <c r="K462">
        <v>41.97</v>
      </c>
      <c r="L462">
        <v>41.97</v>
      </c>
      <c r="M462">
        <v>275</v>
      </c>
      <c r="O462">
        <v>3.89</v>
      </c>
      <c r="P462">
        <v>2.57</v>
      </c>
      <c r="Q462">
        <v>1.28</v>
      </c>
      <c r="R462">
        <v>0</v>
      </c>
      <c r="S462">
        <v>-1.26</v>
      </c>
      <c r="T462">
        <v>-2.4900000000000002</v>
      </c>
      <c r="U462">
        <v>-3.71</v>
      </c>
      <c r="W462">
        <v>47.9</v>
      </c>
    </row>
    <row r="463" spans="1:23">
      <c r="A463">
        <v>280</v>
      </c>
      <c r="B463">
        <v>42.77</v>
      </c>
      <c r="C463">
        <v>42.76</v>
      </c>
      <c r="D463">
        <v>42.76</v>
      </c>
      <c r="E463">
        <v>42.75</v>
      </c>
      <c r="F463">
        <v>42.75</v>
      </c>
      <c r="G463">
        <v>42.74</v>
      </c>
      <c r="H463">
        <v>42.74</v>
      </c>
      <c r="I463">
        <v>42.73</v>
      </c>
      <c r="J463">
        <v>42.73</v>
      </c>
      <c r="K463">
        <v>42.73</v>
      </c>
      <c r="L463">
        <v>42.72</v>
      </c>
      <c r="M463">
        <v>280</v>
      </c>
      <c r="O463">
        <v>3.9</v>
      </c>
      <c r="P463">
        <v>2.58</v>
      </c>
      <c r="Q463">
        <v>1.28</v>
      </c>
      <c r="R463">
        <v>0</v>
      </c>
      <c r="S463">
        <v>-1.26</v>
      </c>
      <c r="T463">
        <v>-2.5</v>
      </c>
      <c r="U463">
        <v>-3.72</v>
      </c>
      <c r="W463">
        <v>48.8</v>
      </c>
    </row>
    <row r="464" spans="1:23">
      <c r="A464">
        <v>285</v>
      </c>
      <c r="B464">
        <v>43.52</v>
      </c>
      <c r="C464">
        <v>43.52</v>
      </c>
      <c r="D464">
        <v>43.51</v>
      </c>
      <c r="E464">
        <v>43.5</v>
      </c>
      <c r="F464">
        <v>43.5</v>
      </c>
      <c r="G464">
        <v>43.5</v>
      </c>
      <c r="H464">
        <v>43.49</v>
      </c>
      <c r="I464">
        <v>43.49</v>
      </c>
      <c r="J464">
        <v>43.48</v>
      </c>
      <c r="K464">
        <v>43.48</v>
      </c>
      <c r="L464">
        <v>43.48</v>
      </c>
      <c r="M464">
        <v>285</v>
      </c>
      <c r="O464">
        <v>3.9</v>
      </c>
      <c r="P464">
        <v>2.58</v>
      </c>
      <c r="Q464">
        <v>1.28</v>
      </c>
      <c r="R464">
        <v>0</v>
      </c>
      <c r="S464">
        <v>-1.26</v>
      </c>
      <c r="T464">
        <v>-2.5</v>
      </c>
      <c r="U464">
        <v>-3.72</v>
      </c>
      <c r="W464">
        <v>49.6</v>
      </c>
    </row>
    <row r="465" spans="1:23">
      <c r="A465">
        <v>290</v>
      </c>
      <c r="B465">
        <v>44.27</v>
      </c>
      <c r="C465">
        <v>44.27</v>
      </c>
      <c r="D465">
        <v>44.26</v>
      </c>
      <c r="E465">
        <v>44.26</v>
      </c>
      <c r="F465">
        <v>44.25</v>
      </c>
      <c r="G465">
        <v>44.25</v>
      </c>
      <c r="H465">
        <v>44.24</v>
      </c>
      <c r="I465">
        <v>44.24</v>
      </c>
      <c r="J465">
        <v>44.24</v>
      </c>
      <c r="K465">
        <v>44.23</v>
      </c>
      <c r="L465">
        <v>44.23</v>
      </c>
      <c r="M465">
        <v>290</v>
      </c>
      <c r="O465">
        <v>3.91</v>
      </c>
      <c r="P465">
        <v>2.59</v>
      </c>
      <c r="Q465">
        <v>1.28</v>
      </c>
      <c r="R465">
        <v>0</v>
      </c>
      <c r="S465">
        <v>-1.26</v>
      </c>
      <c r="T465">
        <v>-2.5</v>
      </c>
      <c r="U465">
        <v>-3.73</v>
      </c>
      <c r="W465">
        <v>50.5</v>
      </c>
    </row>
    <row r="466" spans="1:23">
      <c r="A466">
        <v>295</v>
      </c>
      <c r="B466">
        <v>45.03</v>
      </c>
      <c r="C466">
        <v>45.02</v>
      </c>
      <c r="D466">
        <v>45.02</v>
      </c>
      <c r="E466">
        <v>45.01</v>
      </c>
      <c r="F466">
        <v>45.01</v>
      </c>
      <c r="G466">
        <v>45</v>
      </c>
      <c r="H466">
        <v>45</v>
      </c>
      <c r="I466">
        <v>44.99</v>
      </c>
      <c r="J466">
        <v>44.99</v>
      </c>
      <c r="K466">
        <v>44.99</v>
      </c>
      <c r="L466">
        <v>44.98</v>
      </c>
      <c r="M466">
        <v>295</v>
      </c>
      <c r="O466">
        <v>3.92</v>
      </c>
      <c r="P466">
        <v>2.59</v>
      </c>
      <c r="Q466">
        <v>1.28</v>
      </c>
      <c r="R466">
        <v>0</v>
      </c>
      <c r="S466">
        <v>-1.26</v>
      </c>
      <c r="T466">
        <v>-2.5099999999999998</v>
      </c>
      <c r="U466">
        <v>-3.73</v>
      </c>
      <c r="W466">
        <v>51.3</v>
      </c>
    </row>
    <row r="467" spans="1:23">
      <c r="A467">
        <v>300</v>
      </c>
      <c r="B467">
        <v>45.78</v>
      </c>
      <c r="C467">
        <v>45.78</v>
      </c>
      <c r="D467">
        <v>45.77</v>
      </c>
      <c r="E467">
        <v>45.77</v>
      </c>
      <c r="F467">
        <v>45.76</v>
      </c>
      <c r="G467">
        <v>45.76</v>
      </c>
      <c r="H467">
        <v>45.75</v>
      </c>
      <c r="I467">
        <v>45.75</v>
      </c>
      <c r="J467">
        <v>45.75</v>
      </c>
      <c r="K467">
        <v>45.74</v>
      </c>
      <c r="L467">
        <v>45.74</v>
      </c>
      <c r="M467">
        <v>300</v>
      </c>
      <c r="O467">
        <v>3.92</v>
      </c>
      <c r="P467">
        <v>2.59</v>
      </c>
      <c r="Q467">
        <v>1.29</v>
      </c>
      <c r="R467">
        <v>0</v>
      </c>
      <c r="S467">
        <v>-1.27</v>
      </c>
      <c r="T467">
        <v>-2.5099999999999998</v>
      </c>
      <c r="U467">
        <v>-3.74</v>
      </c>
      <c r="W467">
        <v>52.2</v>
      </c>
    </row>
    <row r="468" spans="1:23">
      <c r="A468">
        <v>305</v>
      </c>
      <c r="B468">
        <v>46.54</v>
      </c>
      <c r="C468">
        <v>46.53</v>
      </c>
      <c r="D468">
        <v>46.53</v>
      </c>
      <c r="E468">
        <v>46.52</v>
      </c>
      <c r="F468">
        <v>46.52</v>
      </c>
      <c r="G468">
        <v>46.51</v>
      </c>
      <c r="H468">
        <v>46.51</v>
      </c>
      <c r="I468">
        <v>46.5</v>
      </c>
      <c r="J468">
        <v>46.5</v>
      </c>
      <c r="K468">
        <v>46.5</v>
      </c>
      <c r="L468">
        <v>46.49</v>
      </c>
      <c r="M468">
        <v>305</v>
      </c>
      <c r="O468">
        <v>3.93</v>
      </c>
      <c r="P468">
        <v>2.6</v>
      </c>
      <c r="Q468">
        <v>1.29</v>
      </c>
      <c r="R468">
        <v>0</v>
      </c>
      <c r="S468">
        <v>-1.27</v>
      </c>
      <c r="T468">
        <v>-2.52</v>
      </c>
      <c r="U468">
        <v>-3.74</v>
      </c>
      <c r="W468">
        <v>53.1</v>
      </c>
    </row>
    <row r="469" spans="1:23">
      <c r="A469">
        <v>310</v>
      </c>
      <c r="B469">
        <v>47.3</v>
      </c>
      <c r="C469">
        <v>47.29</v>
      </c>
      <c r="D469">
        <v>47.28</v>
      </c>
      <c r="E469">
        <v>47.28</v>
      </c>
      <c r="F469">
        <v>47.27</v>
      </c>
      <c r="G469">
        <v>47.27</v>
      </c>
      <c r="H469">
        <v>47.27</v>
      </c>
      <c r="I469">
        <v>47.26</v>
      </c>
      <c r="J469">
        <v>47.26</v>
      </c>
      <c r="K469">
        <v>47.25</v>
      </c>
      <c r="L469">
        <v>47.25</v>
      </c>
      <c r="M469">
        <v>310</v>
      </c>
      <c r="O469">
        <v>3.94</v>
      </c>
      <c r="P469">
        <v>2.6</v>
      </c>
      <c r="Q469">
        <v>1.29</v>
      </c>
      <c r="R469">
        <v>0</v>
      </c>
      <c r="S469">
        <v>-1.27</v>
      </c>
      <c r="T469">
        <v>-2.52</v>
      </c>
      <c r="U469">
        <v>-3.75</v>
      </c>
      <c r="W469">
        <v>53.9</v>
      </c>
    </row>
    <row r="470" spans="1:23">
      <c r="A470">
        <v>315</v>
      </c>
      <c r="B470">
        <v>48.05</v>
      </c>
      <c r="C470">
        <v>48.05</v>
      </c>
      <c r="D470">
        <v>48.04</v>
      </c>
      <c r="E470">
        <v>48.04</v>
      </c>
      <c r="F470">
        <v>48.03</v>
      </c>
      <c r="G470">
        <v>48.03</v>
      </c>
      <c r="H470">
        <v>48.02</v>
      </c>
      <c r="I470">
        <v>48.02</v>
      </c>
      <c r="J470">
        <v>48.01</v>
      </c>
      <c r="K470">
        <v>48.01</v>
      </c>
      <c r="L470">
        <v>48.01</v>
      </c>
      <c r="M470">
        <v>315</v>
      </c>
      <c r="O470">
        <v>3.94</v>
      </c>
      <c r="P470">
        <v>2.61</v>
      </c>
      <c r="Q470">
        <v>1.29</v>
      </c>
      <c r="R470">
        <v>0</v>
      </c>
      <c r="S470">
        <v>-1.27</v>
      </c>
      <c r="T470">
        <v>-2.52</v>
      </c>
      <c r="U470">
        <v>-3.75</v>
      </c>
      <c r="W470">
        <v>54.8</v>
      </c>
    </row>
    <row r="471" spans="1:23">
      <c r="A471">
        <v>320</v>
      </c>
      <c r="B471">
        <v>48.81</v>
      </c>
      <c r="C471">
        <v>48.8</v>
      </c>
      <c r="D471">
        <v>48.8</v>
      </c>
      <c r="E471">
        <v>48.79</v>
      </c>
      <c r="F471">
        <v>48.79</v>
      </c>
      <c r="G471">
        <v>48.78</v>
      </c>
      <c r="H471">
        <v>48.78</v>
      </c>
      <c r="I471">
        <v>48.77</v>
      </c>
      <c r="J471">
        <v>48.77</v>
      </c>
      <c r="K471">
        <v>48.77</v>
      </c>
      <c r="L471">
        <v>48.76</v>
      </c>
      <c r="M471">
        <v>320</v>
      </c>
      <c r="O471">
        <v>3.95</v>
      </c>
      <c r="P471">
        <v>2.61</v>
      </c>
      <c r="Q471">
        <v>1.29</v>
      </c>
      <c r="R471">
        <v>0</v>
      </c>
      <c r="S471">
        <v>-1.27</v>
      </c>
      <c r="T471">
        <v>-2.5299999999999998</v>
      </c>
      <c r="U471">
        <v>-3.76</v>
      </c>
      <c r="W471">
        <v>55.7</v>
      </c>
    </row>
    <row r="472" spans="1:23">
      <c r="A472">
        <v>325</v>
      </c>
      <c r="B472">
        <v>49.57</v>
      </c>
      <c r="C472">
        <v>49.56</v>
      </c>
      <c r="D472">
        <v>49.56</v>
      </c>
      <c r="E472">
        <v>49.55</v>
      </c>
      <c r="F472">
        <v>49.55</v>
      </c>
      <c r="G472">
        <v>49.54</v>
      </c>
      <c r="H472">
        <v>49.54</v>
      </c>
      <c r="I472">
        <v>49.53</v>
      </c>
      <c r="J472">
        <v>49.53</v>
      </c>
      <c r="K472">
        <v>49.52</v>
      </c>
      <c r="L472">
        <v>49.52</v>
      </c>
      <c r="M472">
        <v>325</v>
      </c>
      <c r="O472">
        <v>3.96</v>
      </c>
      <c r="P472">
        <v>2.62</v>
      </c>
      <c r="Q472">
        <v>1.3</v>
      </c>
      <c r="R472">
        <v>0</v>
      </c>
      <c r="S472">
        <v>-1.28</v>
      </c>
      <c r="T472">
        <v>-2.5299999999999998</v>
      </c>
      <c r="U472">
        <v>-3.76</v>
      </c>
      <c r="W472">
        <v>56.5</v>
      </c>
    </row>
    <row r="473" spans="1:23">
      <c r="A473">
        <v>330</v>
      </c>
      <c r="B473">
        <v>50.33</v>
      </c>
      <c r="C473">
        <v>50.32</v>
      </c>
      <c r="D473">
        <v>50.31</v>
      </c>
      <c r="E473">
        <v>50.31</v>
      </c>
      <c r="F473">
        <v>50.3</v>
      </c>
      <c r="G473">
        <v>50.3</v>
      </c>
      <c r="H473">
        <v>50.29</v>
      </c>
      <c r="I473">
        <v>50.29</v>
      </c>
      <c r="J473">
        <v>50.29</v>
      </c>
      <c r="K473">
        <v>50.28</v>
      </c>
      <c r="L473">
        <v>50.28</v>
      </c>
      <c r="M473">
        <v>330</v>
      </c>
      <c r="O473">
        <v>3.96</v>
      </c>
      <c r="P473">
        <v>2.62</v>
      </c>
      <c r="Q473">
        <v>1.3</v>
      </c>
      <c r="R473">
        <v>0</v>
      </c>
      <c r="S473">
        <v>-1.28</v>
      </c>
      <c r="T473">
        <v>-2.5299999999999998</v>
      </c>
      <c r="U473">
        <v>-3.77</v>
      </c>
      <c r="W473">
        <v>57.4</v>
      </c>
    </row>
    <row r="474" spans="1:23">
      <c r="A474">
        <v>335</v>
      </c>
      <c r="B474">
        <v>51.08</v>
      </c>
      <c r="C474">
        <v>51.08</v>
      </c>
      <c r="D474">
        <v>51.07</v>
      </c>
      <c r="E474">
        <v>51.07</v>
      </c>
      <c r="F474">
        <v>51.06</v>
      </c>
      <c r="G474">
        <v>51.06</v>
      </c>
      <c r="H474">
        <v>51.05</v>
      </c>
      <c r="I474">
        <v>51.05</v>
      </c>
      <c r="J474">
        <v>51.05</v>
      </c>
      <c r="K474">
        <v>51.04</v>
      </c>
      <c r="L474">
        <v>51.04</v>
      </c>
      <c r="M474">
        <v>335</v>
      </c>
      <c r="O474">
        <v>3.97</v>
      </c>
      <c r="P474">
        <v>2.62</v>
      </c>
      <c r="Q474">
        <v>1.3</v>
      </c>
      <c r="R474">
        <v>0</v>
      </c>
      <c r="S474">
        <v>-1.28</v>
      </c>
      <c r="T474">
        <v>-2.54</v>
      </c>
      <c r="U474">
        <v>-3.77</v>
      </c>
      <c r="W474">
        <v>58.3</v>
      </c>
    </row>
    <row r="475" spans="1:23">
      <c r="A475">
        <v>340</v>
      </c>
      <c r="B475">
        <v>51.84</v>
      </c>
      <c r="C475">
        <v>51.84</v>
      </c>
      <c r="D475">
        <v>51.83</v>
      </c>
      <c r="E475">
        <v>51.83</v>
      </c>
      <c r="F475">
        <v>51.82</v>
      </c>
      <c r="G475">
        <v>51.82</v>
      </c>
      <c r="H475">
        <v>51.81</v>
      </c>
      <c r="I475">
        <v>51.81</v>
      </c>
      <c r="J475">
        <v>51.8</v>
      </c>
      <c r="K475">
        <v>51.8</v>
      </c>
      <c r="L475">
        <v>51.8</v>
      </c>
      <c r="M475">
        <v>340</v>
      </c>
      <c r="O475">
        <v>3.98</v>
      </c>
      <c r="P475">
        <v>2.63</v>
      </c>
      <c r="Q475">
        <v>1.3</v>
      </c>
      <c r="R475">
        <v>0</v>
      </c>
      <c r="S475">
        <v>-1.28</v>
      </c>
      <c r="T475">
        <v>-2.54</v>
      </c>
      <c r="U475">
        <v>-3.78</v>
      </c>
      <c r="W475">
        <v>59.1</v>
      </c>
    </row>
    <row r="476" spans="1:23">
      <c r="A476">
        <v>345</v>
      </c>
      <c r="B476">
        <v>52.6</v>
      </c>
      <c r="C476">
        <v>52.6</v>
      </c>
      <c r="D476">
        <v>52.59</v>
      </c>
      <c r="E476">
        <v>52.59</v>
      </c>
      <c r="F476">
        <v>52.58</v>
      </c>
      <c r="G476">
        <v>52.58</v>
      </c>
      <c r="H476">
        <v>52.57</v>
      </c>
      <c r="I476">
        <v>52.57</v>
      </c>
      <c r="J476">
        <v>52.56</v>
      </c>
      <c r="K476">
        <v>52.56</v>
      </c>
      <c r="L476">
        <v>52.56</v>
      </c>
      <c r="M476">
        <v>345</v>
      </c>
      <c r="O476">
        <v>3.98</v>
      </c>
      <c r="P476">
        <v>2.63</v>
      </c>
      <c r="Q476">
        <v>1.3</v>
      </c>
      <c r="R476">
        <v>0</v>
      </c>
      <c r="S476">
        <v>-1.28</v>
      </c>
      <c r="T476">
        <v>-2.54</v>
      </c>
      <c r="U476">
        <v>-3.78</v>
      </c>
      <c r="W476">
        <v>60</v>
      </c>
    </row>
    <row r="477" spans="1:23">
      <c r="A477">
        <v>350</v>
      </c>
      <c r="B477">
        <v>53.37</v>
      </c>
      <c r="C477">
        <v>53.36</v>
      </c>
      <c r="D477">
        <v>53.35</v>
      </c>
      <c r="E477">
        <v>53.35</v>
      </c>
      <c r="F477">
        <v>53.34</v>
      </c>
      <c r="G477">
        <v>53.34</v>
      </c>
      <c r="H477">
        <v>53.33</v>
      </c>
      <c r="I477">
        <v>53.33</v>
      </c>
      <c r="J477">
        <v>53.33</v>
      </c>
      <c r="K477">
        <v>53.32</v>
      </c>
      <c r="L477">
        <v>53.32</v>
      </c>
      <c r="M477">
        <v>350</v>
      </c>
      <c r="O477">
        <v>3.99</v>
      </c>
      <c r="P477">
        <v>2.63</v>
      </c>
      <c r="Q477">
        <v>1.31</v>
      </c>
      <c r="R477">
        <v>0</v>
      </c>
      <c r="S477">
        <v>-1.28</v>
      </c>
      <c r="T477">
        <v>-2.5499999999999998</v>
      </c>
      <c r="U477">
        <v>-3.79</v>
      </c>
      <c r="W477">
        <v>60.9</v>
      </c>
    </row>
    <row r="478" spans="1:23">
      <c r="A478">
        <v>355</v>
      </c>
      <c r="B478">
        <v>54.13</v>
      </c>
      <c r="C478">
        <v>54.12</v>
      </c>
      <c r="D478">
        <v>54.11</v>
      </c>
      <c r="E478">
        <v>54.11</v>
      </c>
      <c r="F478">
        <v>54.1</v>
      </c>
      <c r="G478">
        <v>54.1</v>
      </c>
      <c r="H478">
        <v>54.09</v>
      </c>
      <c r="I478">
        <v>54.09</v>
      </c>
      <c r="J478">
        <v>54.09</v>
      </c>
      <c r="K478">
        <v>54.08</v>
      </c>
      <c r="L478">
        <v>54.08</v>
      </c>
      <c r="M478">
        <v>355</v>
      </c>
      <c r="O478">
        <v>3.99</v>
      </c>
      <c r="P478">
        <v>2.64</v>
      </c>
      <c r="Q478">
        <v>1.31</v>
      </c>
      <c r="R478">
        <v>0</v>
      </c>
      <c r="S478">
        <v>-1.29</v>
      </c>
      <c r="T478">
        <v>-2.5499999999999998</v>
      </c>
      <c r="U478">
        <v>-3.79</v>
      </c>
      <c r="W478">
        <v>61.7</v>
      </c>
    </row>
    <row r="479" spans="1:23">
      <c r="A479">
        <v>360</v>
      </c>
      <c r="B479">
        <v>54.89</v>
      </c>
      <c r="C479">
        <v>54.88</v>
      </c>
      <c r="D479">
        <v>54.88</v>
      </c>
      <c r="E479">
        <v>54.87</v>
      </c>
      <c r="F479">
        <v>54.87</v>
      </c>
      <c r="G479">
        <v>54.86</v>
      </c>
      <c r="H479">
        <v>54.86</v>
      </c>
      <c r="I479">
        <v>54.85</v>
      </c>
      <c r="J479">
        <v>54.85</v>
      </c>
      <c r="K479">
        <v>54.84</v>
      </c>
      <c r="L479">
        <v>54.84</v>
      </c>
      <c r="M479">
        <v>360</v>
      </c>
      <c r="O479">
        <v>4</v>
      </c>
      <c r="P479">
        <v>2.64</v>
      </c>
      <c r="Q479">
        <v>1.31</v>
      </c>
      <c r="R479">
        <v>0</v>
      </c>
      <c r="S479">
        <v>-1.29</v>
      </c>
      <c r="T479">
        <v>-2.5499999999999998</v>
      </c>
      <c r="U479">
        <v>-3.8</v>
      </c>
      <c r="W479">
        <v>62.6</v>
      </c>
    </row>
    <row r="480" spans="1:23">
      <c r="A480">
        <v>365</v>
      </c>
      <c r="B480">
        <v>55.65</v>
      </c>
      <c r="C480">
        <v>55.64</v>
      </c>
      <c r="D480">
        <v>55.64</v>
      </c>
      <c r="E480">
        <v>55.63</v>
      </c>
      <c r="F480">
        <v>55.63</v>
      </c>
      <c r="G480">
        <v>55.62</v>
      </c>
      <c r="H480">
        <v>55.62</v>
      </c>
      <c r="I480">
        <v>55.61</v>
      </c>
      <c r="J480">
        <v>55.61</v>
      </c>
      <c r="K480">
        <v>55.61</v>
      </c>
      <c r="L480">
        <v>55.6</v>
      </c>
      <c r="M480">
        <v>365</v>
      </c>
      <c r="O480">
        <v>4</v>
      </c>
      <c r="P480">
        <v>2.65</v>
      </c>
      <c r="Q480">
        <v>1.31</v>
      </c>
      <c r="R480">
        <v>0</v>
      </c>
      <c r="S480">
        <v>-1.29</v>
      </c>
      <c r="T480">
        <v>-2.56</v>
      </c>
      <c r="U480">
        <v>-3.8</v>
      </c>
      <c r="W480">
        <v>63.5</v>
      </c>
    </row>
    <row r="481" spans="1:23">
      <c r="A481">
        <v>370</v>
      </c>
      <c r="B481">
        <v>56.41</v>
      </c>
      <c r="C481">
        <v>56.41</v>
      </c>
      <c r="D481">
        <v>56.4</v>
      </c>
      <c r="E481">
        <v>56.4</v>
      </c>
      <c r="F481">
        <v>56.39</v>
      </c>
      <c r="G481">
        <v>56.39</v>
      </c>
      <c r="H481">
        <v>56.38</v>
      </c>
      <c r="I481">
        <v>56.38</v>
      </c>
      <c r="J481">
        <v>56.37</v>
      </c>
      <c r="K481">
        <v>56.37</v>
      </c>
      <c r="L481">
        <v>56.36</v>
      </c>
      <c r="M481">
        <v>370</v>
      </c>
      <c r="O481">
        <v>4.01</v>
      </c>
      <c r="P481">
        <v>2.65</v>
      </c>
      <c r="Q481">
        <v>1.31</v>
      </c>
      <c r="R481">
        <v>0</v>
      </c>
      <c r="S481">
        <v>-1.29</v>
      </c>
      <c r="T481">
        <v>-2.56</v>
      </c>
      <c r="U481">
        <v>-3.8</v>
      </c>
      <c r="W481">
        <v>64.3</v>
      </c>
    </row>
    <row r="482" spans="1:23">
      <c r="A482">
        <v>375</v>
      </c>
      <c r="B482">
        <v>57.18</v>
      </c>
      <c r="C482">
        <v>57.17</v>
      </c>
      <c r="D482">
        <v>57.16</v>
      </c>
      <c r="E482">
        <v>57.16</v>
      </c>
      <c r="F482">
        <v>57.15</v>
      </c>
      <c r="G482">
        <v>57.15</v>
      </c>
      <c r="H482">
        <v>57.14</v>
      </c>
      <c r="I482">
        <v>57.14</v>
      </c>
      <c r="J482">
        <v>57.14</v>
      </c>
      <c r="K482">
        <v>57.13</v>
      </c>
      <c r="L482">
        <v>57.13</v>
      </c>
      <c r="M482">
        <v>375</v>
      </c>
      <c r="O482">
        <v>4.0199999999999996</v>
      </c>
      <c r="P482">
        <v>2.65</v>
      </c>
      <c r="Q482">
        <v>1.31</v>
      </c>
      <c r="R482">
        <v>0</v>
      </c>
      <c r="S482">
        <v>-1.29</v>
      </c>
      <c r="T482">
        <v>-2.56</v>
      </c>
      <c r="U482">
        <v>-3.81</v>
      </c>
      <c r="W482">
        <v>65.2</v>
      </c>
    </row>
    <row r="483" spans="1:23">
      <c r="A483">
        <v>380</v>
      </c>
      <c r="B483">
        <v>57.94</v>
      </c>
      <c r="C483">
        <v>57.93</v>
      </c>
      <c r="D483">
        <v>57.93</v>
      </c>
      <c r="E483">
        <v>57.92</v>
      </c>
      <c r="F483">
        <v>57.92</v>
      </c>
      <c r="G483">
        <v>57.91</v>
      </c>
      <c r="H483">
        <v>57.91</v>
      </c>
      <c r="I483">
        <v>57.9</v>
      </c>
      <c r="J483">
        <v>57.9</v>
      </c>
      <c r="K483">
        <v>57.89</v>
      </c>
      <c r="L483">
        <v>57.89</v>
      </c>
      <c r="M483">
        <v>380</v>
      </c>
      <c r="O483">
        <v>4.0199999999999996</v>
      </c>
      <c r="P483">
        <v>2.66</v>
      </c>
      <c r="Q483">
        <v>1.32</v>
      </c>
      <c r="R483">
        <v>0</v>
      </c>
      <c r="S483">
        <v>-1.29</v>
      </c>
      <c r="T483">
        <v>-2.56</v>
      </c>
      <c r="U483">
        <v>-3.81</v>
      </c>
      <c r="W483">
        <v>66.099999999999994</v>
      </c>
    </row>
    <row r="484" spans="1:23">
      <c r="A484">
        <v>385</v>
      </c>
      <c r="B484">
        <v>58.7</v>
      </c>
      <c r="C484">
        <v>58.7</v>
      </c>
      <c r="D484">
        <v>58.69</v>
      </c>
      <c r="E484">
        <v>58.69</v>
      </c>
      <c r="F484">
        <v>58.68</v>
      </c>
      <c r="G484">
        <v>58.68</v>
      </c>
      <c r="H484">
        <v>58.67</v>
      </c>
      <c r="I484">
        <v>58.67</v>
      </c>
      <c r="J484">
        <v>58.66</v>
      </c>
      <c r="K484">
        <v>58.66</v>
      </c>
      <c r="L484">
        <v>58.66</v>
      </c>
      <c r="M484">
        <v>385</v>
      </c>
      <c r="O484">
        <v>4.03</v>
      </c>
      <c r="P484">
        <v>2.66</v>
      </c>
      <c r="Q484">
        <v>1.32</v>
      </c>
      <c r="R484">
        <v>0</v>
      </c>
      <c r="S484">
        <v>-1.3</v>
      </c>
      <c r="T484">
        <v>-2.57</v>
      </c>
      <c r="U484">
        <v>-3.82</v>
      </c>
      <c r="W484">
        <v>67</v>
      </c>
    </row>
    <row r="485" spans="1:23">
      <c r="A485">
        <v>390</v>
      </c>
      <c r="B485">
        <v>59.47</v>
      </c>
      <c r="C485">
        <v>59.46</v>
      </c>
      <c r="D485">
        <v>59.46</v>
      </c>
      <c r="E485">
        <v>59.45</v>
      </c>
      <c r="F485">
        <v>59.45</v>
      </c>
      <c r="G485">
        <v>59.44</v>
      </c>
      <c r="H485">
        <v>59.44</v>
      </c>
      <c r="I485">
        <v>59.43</v>
      </c>
      <c r="J485">
        <v>59.43</v>
      </c>
      <c r="K485">
        <v>59.42</v>
      </c>
      <c r="L485">
        <v>59.42</v>
      </c>
      <c r="M485">
        <v>390</v>
      </c>
      <c r="O485">
        <v>4.03</v>
      </c>
      <c r="P485">
        <v>2.66</v>
      </c>
      <c r="Q485">
        <v>1.32</v>
      </c>
      <c r="R485">
        <v>0</v>
      </c>
      <c r="S485">
        <v>-1.3</v>
      </c>
      <c r="T485">
        <v>-2.57</v>
      </c>
      <c r="U485">
        <v>-3.82</v>
      </c>
      <c r="W485">
        <v>67.8</v>
      </c>
    </row>
    <row r="486" spans="1:23">
      <c r="A486">
        <v>395</v>
      </c>
      <c r="B486">
        <v>60.23</v>
      </c>
      <c r="C486">
        <v>60.23</v>
      </c>
      <c r="D486">
        <v>60.22</v>
      </c>
      <c r="E486">
        <v>60.22</v>
      </c>
      <c r="F486">
        <v>60.21</v>
      </c>
      <c r="G486">
        <v>60.21</v>
      </c>
      <c r="H486">
        <v>60.2</v>
      </c>
      <c r="I486">
        <v>60.2</v>
      </c>
      <c r="J486">
        <v>60.19</v>
      </c>
      <c r="K486">
        <v>60.19</v>
      </c>
      <c r="L486">
        <v>60.18</v>
      </c>
      <c r="M486">
        <v>395</v>
      </c>
      <c r="O486">
        <v>4.04</v>
      </c>
      <c r="P486">
        <v>2.67</v>
      </c>
      <c r="Q486">
        <v>1.32</v>
      </c>
      <c r="R486">
        <v>0</v>
      </c>
      <c r="S486">
        <v>-1.3</v>
      </c>
      <c r="T486">
        <v>-2.57</v>
      </c>
      <c r="U486">
        <v>-3.83</v>
      </c>
      <c r="W486">
        <v>68.7</v>
      </c>
    </row>
    <row r="487" spans="1:23">
      <c r="A487">
        <v>400</v>
      </c>
      <c r="B487">
        <v>61</v>
      </c>
      <c r="C487">
        <v>60.99</v>
      </c>
      <c r="D487">
        <v>60.99</v>
      </c>
      <c r="E487">
        <v>60.98</v>
      </c>
      <c r="F487">
        <v>60.98</v>
      </c>
      <c r="G487">
        <v>60.97</v>
      </c>
      <c r="H487">
        <v>60.97</v>
      </c>
      <c r="I487">
        <v>60.96</v>
      </c>
      <c r="J487">
        <v>60.96</v>
      </c>
      <c r="K487">
        <v>60.95</v>
      </c>
      <c r="L487">
        <v>60.95</v>
      </c>
      <c r="M487">
        <v>400</v>
      </c>
      <c r="O487">
        <v>4.04</v>
      </c>
      <c r="P487">
        <v>2.67</v>
      </c>
      <c r="Q487">
        <v>1.32</v>
      </c>
      <c r="R487">
        <v>0</v>
      </c>
      <c r="S487">
        <v>-1.3</v>
      </c>
      <c r="T487">
        <v>-2.58</v>
      </c>
      <c r="U487">
        <v>-3.83</v>
      </c>
      <c r="W487">
        <v>69.599999999999994</v>
      </c>
    </row>
    <row r="488" spans="1:23">
      <c r="A488">
        <v>405</v>
      </c>
      <c r="B488">
        <v>61.76</v>
      </c>
      <c r="C488">
        <v>61.76</v>
      </c>
      <c r="D488">
        <v>61.75</v>
      </c>
      <c r="E488">
        <v>61.75</v>
      </c>
      <c r="F488">
        <v>61.74</v>
      </c>
      <c r="G488">
        <v>61.74</v>
      </c>
      <c r="H488">
        <v>61.73</v>
      </c>
      <c r="I488">
        <v>61.73</v>
      </c>
      <c r="J488">
        <v>61.72</v>
      </c>
      <c r="K488">
        <v>61.72</v>
      </c>
      <c r="L488">
        <v>61.72</v>
      </c>
      <c r="M488">
        <v>405</v>
      </c>
      <c r="O488">
        <v>4.05</v>
      </c>
      <c r="P488">
        <v>2.67</v>
      </c>
      <c r="Q488">
        <v>1.32</v>
      </c>
      <c r="R488">
        <v>0</v>
      </c>
      <c r="S488">
        <v>-1.3</v>
      </c>
      <c r="T488">
        <v>-2.58</v>
      </c>
      <c r="U488">
        <v>-3.83</v>
      </c>
      <c r="W488">
        <v>70.400000000000006</v>
      </c>
    </row>
    <row r="489" spans="1:23">
      <c r="A489">
        <v>410</v>
      </c>
      <c r="B489">
        <v>62.53</v>
      </c>
      <c r="C489">
        <v>62.52</v>
      </c>
      <c r="D489">
        <v>62.52</v>
      </c>
      <c r="E489">
        <v>62.51</v>
      </c>
      <c r="F489">
        <v>62.51</v>
      </c>
      <c r="G489">
        <v>62.5</v>
      </c>
      <c r="H489">
        <v>62.5</v>
      </c>
      <c r="I489">
        <v>62.49</v>
      </c>
      <c r="J489">
        <v>62.49</v>
      </c>
      <c r="K489">
        <v>62.49</v>
      </c>
      <c r="L489">
        <v>62.48</v>
      </c>
      <c r="M489">
        <v>410</v>
      </c>
      <c r="O489">
        <v>4.05</v>
      </c>
      <c r="P489">
        <v>2.68</v>
      </c>
      <c r="Q489">
        <v>1.33</v>
      </c>
      <c r="R489">
        <v>0</v>
      </c>
      <c r="S489">
        <v>-1.3</v>
      </c>
      <c r="T489">
        <v>-2.58</v>
      </c>
      <c r="U489">
        <v>-3.84</v>
      </c>
      <c r="W489">
        <v>71.3</v>
      </c>
    </row>
    <row r="490" spans="1:23">
      <c r="A490">
        <v>415</v>
      </c>
      <c r="B490">
        <v>63.3</v>
      </c>
      <c r="C490">
        <v>63.29</v>
      </c>
      <c r="D490">
        <v>63.28</v>
      </c>
      <c r="E490">
        <v>63.28</v>
      </c>
      <c r="F490">
        <v>63.27</v>
      </c>
      <c r="G490">
        <v>63.27</v>
      </c>
      <c r="H490">
        <v>63.26</v>
      </c>
      <c r="I490">
        <v>63.26</v>
      </c>
      <c r="J490">
        <v>63.26</v>
      </c>
      <c r="K490">
        <v>63.25</v>
      </c>
      <c r="L490">
        <v>63.25</v>
      </c>
      <c r="M490">
        <v>415</v>
      </c>
      <c r="O490">
        <v>4.0599999999999996</v>
      </c>
      <c r="P490">
        <v>2.68</v>
      </c>
      <c r="Q490">
        <v>1.33</v>
      </c>
      <c r="R490">
        <v>0</v>
      </c>
      <c r="S490">
        <v>-1.3</v>
      </c>
      <c r="T490">
        <v>-2.58</v>
      </c>
      <c r="U490">
        <v>-3.84</v>
      </c>
      <c r="W490">
        <v>72.2</v>
      </c>
    </row>
    <row r="491" spans="1:23">
      <c r="A491">
        <v>420</v>
      </c>
      <c r="B491">
        <v>64.06</v>
      </c>
      <c r="C491">
        <v>64.06</v>
      </c>
      <c r="D491">
        <v>64.05</v>
      </c>
      <c r="E491">
        <v>64.05</v>
      </c>
      <c r="F491">
        <v>64.040000000000006</v>
      </c>
      <c r="G491">
        <v>64.040000000000006</v>
      </c>
      <c r="H491">
        <v>64.03</v>
      </c>
      <c r="I491">
        <v>64.03</v>
      </c>
      <c r="J491">
        <v>64.02</v>
      </c>
      <c r="K491">
        <v>64.02</v>
      </c>
      <c r="L491">
        <v>64.02</v>
      </c>
      <c r="M491">
        <v>420</v>
      </c>
      <c r="O491">
        <v>4.0599999999999996</v>
      </c>
      <c r="P491">
        <v>2.68</v>
      </c>
      <c r="Q491">
        <v>1.33</v>
      </c>
      <c r="R491">
        <v>0</v>
      </c>
      <c r="S491">
        <v>-1.3</v>
      </c>
      <c r="T491">
        <v>-2.59</v>
      </c>
      <c r="U491">
        <v>-3.84</v>
      </c>
      <c r="W491">
        <v>73.099999999999994</v>
      </c>
    </row>
    <row r="492" spans="1:23">
      <c r="A492">
        <v>425</v>
      </c>
      <c r="B492">
        <v>64.83</v>
      </c>
      <c r="C492">
        <v>64.83</v>
      </c>
      <c r="D492">
        <v>64.819999999999993</v>
      </c>
      <c r="E492">
        <v>64.81</v>
      </c>
      <c r="F492">
        <v>64.81</v>
      </c>
      <c r="G492">
        <v>64.8</v>
      </c>
      <c r="H492">
        <v>64.8</v>
      </c>
      <c r="I492">
        <v>64.790000000000006</v>
      </c>
      <c r="J492">
        <v>64.790000000000006</v>
      </c>
      <c r="K492">
        <v>64.790000000000006</v>
      </c>
      <c r="L492">
        <v>64.78</v>
      </c>
      <c r="M492">
        <v>425</v>
      </c>
      <c r="O492">
        <v>4.07</v>
      </c>
      <c r="P492">
        <v>2.68</v>
      </c>
      <c r="Q492">
        <v>1.33</v>
      </c>
      <c r="R492">
        <v>0</v>
      </c>
      <c r="S492">
        <v>-1.31</v>
      </c>
      <c r="T492">
        <v>-2.59</v>
      </c>
      <c r="U492">
        <v>-3.85</v>
      </c>
      <c r="W492">
        <v>73.900000000000006</v>
      </c>
    </row>
    <row r="493" spans="1:23">
      <c r="A493">
        <v>430</v>
      </c>
      <c r="B493">
        <v>65.599999999999994</v>
      </c>
      <c r="C493">
        <v>65.59</v>
      </c>
      <c r="D493">
        <v>65.59</v>
      </c>
      <c r="E493">
        <v>65.58</v>
      </c>
      <c r="F493">
        <v>65.58</v>
      </c>
      <c r="G493">
        <v>65.569999999999993</v>
      </c>
      <c r="H493">
        <v>65.569999999999993</v>
      </c>
      <c r="I493">
        <v>65.56</v>
      </c>
      <c r="J493">
        <v>65.56</v>
      </c>
      <c r="K493">
        <v>65.55</v>
      </c>
      <c r="L493">
        <v>65.55</v>
      </c>
      <c r="M493">
        <v>430</v>
      </c>
      <c r="O493">
        <v>4.07</v>
      </c>
      <c r="P493">
        <v>2.69</v>
      </c>
      <c r="Q493">
        <v>1.33</v>
      </c>
      <c r="R493">
        <v>0</v>
      </c>
      <c r="S493">
        <v>-1.31</v>
      </c>
      <c r="T493">
        <v>-2.59</v>
      </c>
      <c r="U493">
        <v>-3.85</v>
      </c>
      <c r="W493">
        <v>74.8</v>
      </c>
    </row>
    <row r="494" spans="1:23">
      <c r="A494">
        <v>435</v>
      </c>
      <c r="B494">
        <v>66.37</v>
      </c>
      <c r="C494">
        <v>66.36</v>
      </c>
      <c r="D494">
        <v>66.36</v>
      </c>
      <c r="E494">
        <v>66.349999999999994</v>
      </c>
      <c r="F494">
        <v>66.34</v>
      </c>
      <c r="G494">
        <v>66.34</v>
      </c>
      <c r="H494">
        <v>66.33</v>
      </c>
      <c r="I494">
        <v>66.33</v>
      </c>
      <c r="J494">
        <v>66.33</v>
      </c>
      <c r="K494">
        <v>66.319999999999993</v>
      </c>
      <c r="L494">
        <v>66.319999999999993</v>
      </c>
      <c r="M494">
        <v>435</v>
      </c>
      <c r="O494">
        <v>4.07</v>
      </c>
      <c r="P494">
        <v>2.69</v>
      </c>
      <c r="Q494">
        <v>1.33</v>
      </c>
      <c r="R494">
        <v>0</v>
      </c>
      <c r="S494">
        <v>-1.31</v>
      </c>
      <c r="T494">
        <v>-2.59</v>
      </c>
      <c r="U494">
        <v>-3.85</v>
      </c>
      <c r="W494">
        <v>75.7</v>
      </c>
    </row>
    <row r="495" spans="1:23">
      <c r="A495">
        <v>440</v>
      </c>
      <c r="B495">
        <v>67.14</v>
      </c>
      <c r="C495">
        <v>67.13</v>
      </c>
      <c r="D495">
        <v>67.12</v>
      </c>
      <c r="E495">
        <v>67.12</v>
      </c>
      <c r="F495">
        <v>67.11</v>
      </c>
      <c r="G495">
        <v>67.11</v>
      </c>
      <c r="H495">
        <v>67.099999999999994</v>
      </c>
      <c r="I495">
        <v>67.099999999999994</v>
      </c>
      <c r="J495">
        <v>67.09</v>
      </c>
      <c r="K495">
        <v>67.09</v>
      </c>
      <c r="L495">
        <v>67.09</v>
      </c>
      <c r="M495">
        <v>440</v>
      </c>
      <c r="O495">
        <v>4.08</v>
      </c>
      <c r="P495">
        <v>2.69</v>
      </c>
      <c r="Q495">
        <v>1.33</v>
      </c>
      <c r="R495">
        <v>0</v>
      </c>
      <c r="S495">
        <v>-1.31</v>
      </c>
      <c r="T495">
        <v>-2.59</v>
      </c>
      <c r="U495">
        <v>-3.86</v>
      </c>
      <c r="W495">
        <v>76.599999999999994</v>
      </c>
    </row>
    <row r="496" spans="1:23">
      <c r="A496">
        <v>445</v>
      </c>
      <c r="B496">
        <v>67.91</v>
      </c>
      <c r="C496">
        <v>67.900000000000006</v>
      </c>
      <c r="D496">
        <v>67.89</v>
      </c>
      <c r="E496">
        <v>67.89</v>
      </c>
      <c r="F496">
        <v>67.88</v>
      </c>
      <c r="G496">
        <v>67.88</v>
      </c>
      <c r="H496">
        <v>67.87</v>
      </c>
      <c r="I496">
        <v>67.87</v>
      </c>
      <c r="J496">
        <v>67.86</v>
      </c>
      <c r="K496">
        <v>67.86</v>
      </c>
      <c r="L496">
        <v>67.86</v>
      </c>
      <c r="M496">
        <v>445</v>
      </c>
      <c r="O496">
        <v>4.08</v>
      </c>
      <c r="P496">
        <v>2.7</v>
      </c>
      <c r="Q496">
        <v>1.34</v>
      </c>
      <c r="R496">
        <v>0</v>
      </c>
      <c r="S496">
        <v>-1.31</v>
      </c>
      <c r="T496">
        <v>-2.6</v>
      </c>
      <c r="U496">
        <v>-3.86</v>
      </c>
      <c r="W496">
        <v>77.5</v>
      </c>
    </row>
    <row r="497" spans="1:23">
      <c r="A497">
        <v>450</v>
      </c>
      <c r="B497">
        <v>68.67</v>
      </c>
      <c r="C497">
        <v>68.67</v>
      </c>
      <c r="D497">
        <v>68.66</v>
      </c>
      <c r="E497">
        <v>68.66</v>
      </c>
      <c r="F497">
        <v>68.650000000000006</v>
      </c>
      <c r="G497">
        <v>68.64</v>
      </c>
      <c r="H497">
        <v>68.64</v>
      </c>
      <c r="I497">
        <v>68.64</v>
      </c>
      <c r="J497">
        <v>68.63</v>
      </c>
      <c r="K497">
        <v>68.63</v>
      </c>
      <c r="L497">
        <v>68.62</v>
      </c>
      <c r="M497">
        <v>450</v>
      </c>
      <c r="O497">
        <v>4.09</v>
      </c>
      <c r="P497">
        <v>2.7</v>
      </c>
      <c r="Q497">
        <v>1.34</v>
      </c>
      <c r="R497">
        <v>0</v>
      </c>
      <c r="S497">
        <v>-1.31</v>
      </c>
      <c r="T497">
        <v>-2.6</v>
      </c>
      <c r="U497">
        <v>-3.86</v>
      </c>
      <c r="W497">
        <v>78.3</v>
      </c>
    </row>
    <row r="498" spans="1:23">
      <c r="A498">
        <v>455</v>
      </c>
      <c r="B498">
        <v>69.44</v>
      </c>
      <c r="C498">
        <v>69.44</v>
      </c>
      <c r="D498">
        <v>69.430000000000007</v>
      </c>
      <c r="E498">
        <v>69.430000000000007</v>
      </c>
      <c r="F498">
        <v>69.42</v>
      </c>
      <c r="G498">
        <v>69.41</v>
      </c>
      <c r="H498">
        <v>69.41</v>
      </c>
      <c r="I498">
        <v>69.400000000000006</v>
      </c>
      <c r="J498">
        <v>69.400000000000006</v>
      </c>
      <c r="K498">
        <v>69.400000000000006</v>
      </c>
      <c r="L498">
        <v>69.39</v>
      </c>
      <c r="M498">
        <v>455</v>
      </c>
      <c r="O498">
        <v>4.09</v>
      </c>
      <c r="P498">
        <v>2.7</v>
      </c>
      <c r="Q498">
        <v>1.34</v>
      </c>
      <c r="R498">
        <v>0</v>
      </c>
      <c r="S498">
        <v>-1.31</v>
      </c>
      <c r="T498">
        <v>-2.6</v>
      </c>
      <c r="U498">
        <v>-3.86</v>
      </c>
      <c r="W498">
        <v>79.2</v>
      </c>
    </row>
    <row r="499" spans="1:23">
      <c r="A499">
        <v>460</v>
      </c>
      <c r="B499">
        <v>70.209999999999994</v>
      </c>
      <c r="C499">
        <v>70.209999999999994</v>
      </c>
      <c r="D499">
        <v>70.2</v>
      </c>
      <c r="E499">
        <v>70.19</v>
      </c>
      <c r="F499">
        <v>70.19</v>
      </c>
      <c r="G499">
        <v>70.180000000000007</v>
      </c>
      <c r="H499">
        <v>70.180000000000007</v>
      </c>
      <c r="I499">
        <v>70.17</v>
      </c>
      <c r="J499">
        <v>70.17</v>
      </c>
      <c r="K499">
        <v>70.17</v>
      </c>
      <c r="L499">
        <v>70.16</v>
      </c>
      <c r="M499">
        <v>460</v>
      </c>
      <c r="O499">
        <v>4.09</v>
      </c>
      <c r="P499">
        <v>2.7</v>
      </c>
      <c r="Q499">
        <v>1.34</v>
      </c>
      <c r="R499">
        <v>0</v>
      </c>
      <c r="S499">
        <v>-1.31</v>
      </c>
      <c r="T499">
        <v>-2.6</v>
      </c>
      <c r="U499">
        <v>-3.87</v>
      </c>
      <c r="W499">
        <v>80.099999999999994</v>
      </c>
    </row>
    <row r="500" spans="1:23">
      <c r="A500">
        <v>465</v>
      </c>
      <c r="B500">
        <v>70.98</v>
      </c>
      <c r="C500">
        <v>70.98</v>
      </c>
      <c r="D500">
        <v>70.97</v>
      </c>
      <c r="E500">
        <v>70.959999999999994</v>
      </c>
      <c r="F500">
        <v>70.959999999999994</v>
      </c>
      <c r="G500">
        <v>70.95</v>
      </c>
      <c r="H500">
        <v>70.95</v>
      </c>
      <c r="I500">
        <v>70.94</v>
      </c>
      <c r="J500">
        <v>70.94</v>
      </c>
      <c r="K500">
        <v>70.94</v>
      </c>
      <c r="L500">
        <v>70.930000000000007</v>
      </c>
      <c r="M500">
        <v>465</v>
      </c>
      <c r="O500">
        <v>4.0999999999999996</v>
      </c>
      <c r="P500">
        <v>2.71</v>
      </c>
      <c r="Q500">
        <v>1.34</v>
      </c>
      <c r="R500">
        <v>0</v>
      </c>
      <c r="S500">
        <v>-1.31</v>
      </c>
      <c r="T500">
        <v>-2.6</v>
      </c>
      <c r="U500">
        <v>-3.87</v>
      </c>
      <c r="W500">
        <v>81</v>
      </c>
    </row>
    <row r="501" spans="1:23">
      <c r="A501">
        <v>470</v>
      </c>
      <c r="B501">
        <v>71.75</v>
      </c>
      <c r="C501">
        <v>71.75</v>
      </c>
      <c r="D501">
        <v>71.739999999999995</v>
      </c>
      <c r="E501">
        <v>71.739999999999995</v>
      </c>
      <c r="F501">
        <v>71.73</v>
      </c>
      <c r="G501">
        <v>71.72</v>
      </c>
      <c r="H501">
        <v>71.72</v>
      </c>
      <c r="I501">
        <v>71.709999999999994</v>
      </c>
      <c r="J501">
        <v>71.709999999999994</v>
      </c>
      <c r="K501">
        <v>71.709999999999994</v>
      </c>
      <c r="L501">
        <v>71.7</v>
      </c>
      <c r="M501">
        <v>470</v>
      </c>
      <c r="O501">
        <v>4.0999999999999996</v>
      </c>
      <c r="P501">
        <v>2.71</v>
      </c>
      <c r="Q501">
        <v>1.34</v>
      </c>
      <c r="R501">
        <v>0</v>
      </c>
      <c r="S501">
        <v>-1.32</v>
      </c>
      <c r="T501">
        <v>-2.61</v>
      </c>
      <c r="U501">
        <v>-3.87</v>
      </c>
      <c r="W501">
        <v>81.8</v>
      </c>
    </row>
    <row r="502" spans="1:23">
      <c r="A502">
        <v>475</v>
      </c>
      <c r="B502">
        <v>72.52</v>
      </c>
      <c r="C502">
        <v>72.52</v>
      </c>
      <c r="D502">
        <v>72.510000000000005</v>
      </c>
      <c r="E502">
        <v>72.510000000000005</v>
      </c>
      <c r="F502">
        <v>72.5</v>
      </c>
      <c r="G502">
        <v>72.489999999999995</v>
      </c>
      <c r="H502">
        <v>72.489999999999995</v>
      </c>
      <c r="I502">
        <v>72.489999999999995</v>
      </c>
      <c r="J502">
        <v>72.48</v>
      </c>
      <c r="K502">
        <v>72.48</v>
      </c>
      <c r="L502">
        <v>72.47</v>
      </c>
      <c r="M502">
        <v>475</v>
      </c>
      <c r="O502">
        <v>4.0999999999999996</v>
      </c>
      <c r="P502">
        <v>2.71</v>
      </c>
      <c r="Q502">
        <v>1.34</v>
      </c>
      <c r="R502">
        <v>0</v>
      </c>
      <c r="S502">
        <v>-1.32</v>
      </c>
      <c r="T502">
        <v>-2.61</v>
      </c>
      <c r="U502">
        <v>-3.87</v>
      </c>
      <c r="W502">
        <v>82.7</v>
      </c>
    </row>
    <row r="503" spans="1:23">
      <c r="A503">
        <v>480</v>
      </c>
      <c r="B503">
        <v>73.3</v>
      </c>
      <c r="C503">
        <v>73.290000000000006</v>
      </c>
      <c r="D503">
        <v>73.28</v>
      </c>
      <c r="E503">
        <v>73.28</v>
      </c>
      <c r="F503">
        <v>73.27</v>
      </c>
      <c r="G503">
        <v>73.27</v>
      </c>
      <c r="H503">
        <v>73.260000000000005</v>
      </c>
      <c r="I503">
        <v>73.260000000000005</v>
      </c>
      <c r="J503">
        <v>73.25</v>
      </c>
      <c r="K503">
        <v>73.25</v>
      </c>
      <c r="L503">
        <v>73.239999999999995</v>
      </c>
      <c r="M503">
        <v>480</v>
      </c>
      <c r="O503">
        <v>4.1100000000000003</v>
      </c>
      <c r="P503">
        <v>2.71</v>
      </c>
      <c r="Q503">
        <v>1.34</v>
      </c>
      <c r="R503">
        <v>0</v>
      </c>
      <c r="S503">
        <v>-1.32</v>
      </c>
      <c r="T503">
        <v>-2.61</v>
      </c>
      <c r="U503">
        <v>-3.88</v>
      </c>
      <c r="W503">
        <v>83.6</v>
      </c>
    </row>
    <row r="504" spans="1:23">
      <c r="A504">
        <v>485</v>
      </c>
      <c r="B504">
        <v>74.069999999999993</v>
      </c>
      <c r="C504">
        <v>74.06</v>
      </c>
      <c r="D504">
        <v>74.05</v>
      </c>
      <c r="E504">
        <v>74.05</v>
      </c>
      <c r="F504">
        <v>74.040000000000006</v>
      </c>
      <c r="G504">
        <v>74.040000000000006</v>
      </c>
      <c r="H504">
        <v>74.03</v>
      </c>
      <c r="I504">
        <v>74.03</v>
      </c>
      <c r="J504">
        <v>74.02</v>
      </c>
      <c r="K504">
        <v>74.02</v>
      </c>
      <c r="L504">
        <v>74.02</v>
      </c>
      <c r="M504">
        <v>485</v>
      </c>
      <c r="O504">
        <v>4.1100000000000003</v>
      </c>
      <c r="P504">
        <v>2.71</v>
      </c>
      <c r="Q504">
        <v>1.34</v>
      </c>
      <c r="R504">
        <v>0</v>
      </c>
      <c r="S504">
        <v>-1.32</v>
      </c>
      <c r="T504">
        <v>-2.61</v>
      </c>
      <c r="U504">
        <v>-3.88</v>
      </c>
      <c r="W504">
        <v>84.5</v>
      </c>
    </row>
    <row r="505" spans="1:23">
      <c r="A505">
        <v>490</v>
      </c>
      <c r="B505">
        <v>74.84</v>
      </c>
      <c r="C505">
        <v>74.83</v>
      </c>
      <c r="D505">
        <v>74.83</v>
      </c>
      <c r="E505">
        <v>74.819999999999993</v>
      </c>
      <c r="F505">
        <v>74.81</v>
      </c>
      <c r="G505">
        <v>74.81</v>
      </c>
      <c r="H505">
        <v>74.8</v>
      </c>
      <c r="I505">
        <v>74.8</v>
      </c>
      <c r="J505">
        <v>74.790000000000006</v>
      </c>
      <c r="K505">
        <v>74.790000000000006</v>
      </c>
      <c r="L505">
        <v>74.790000000000006</v>
      </c>
      <c r="M505">
        <v>490</v>
      </c>
      <c r="O505">
        <v>4.1100000000000003</v>
      </c>
      <c r="P505">
        <v>2.72</v>
      </c>
      <c r="Q505">
        <v>1.34</v>
      </c>
      <c r="R505">
        <v>0</v>
      </c>
      <c r="S505">
        <v>-1.32</v>
      </c>
      <c r="T505">
        <v>-2.61</v>
      </c>
      <c r="U505">
        <v>-3.88</v>
      </c>
      <c r="W505">
        <v>85.4</v>
      </c>
    </row>
    <row r="506" spans="1:23">
      <c r="A506">
        <v>495</v>
      </c>
      <c r="B506">
        <v>75.61</v>
      </c>
      <c r="C506">
        <v>75.599999999999994</v>
      </c>
      <c r="D506">
        <v>75.599999999999994</v>
      </c>
      <c r="E506">
        <v>75.59</v>
      </c>
      <c r="F506">
        <v>75.59</v>
      </c>
      <c r="G506">
        <v>75.58</v>
      </c>
      <c r="H506">
        <v>75.58</v>
      </c>
      <c r="I506">
        <v>75.569999999999993</v>
      </c>
      <c r="J506">
        <v>75.569999999999993</v>
      </c>
      <c r="K506">
        <v>75.56</v>
      </c>
      <c r="L506">
        <v>75.56</v>
      </c>
      <c r="M506">
        <v>495</v>
      </c>
      <c r="O506">
        <v>4.08</v>
      </c>
      <c r="P506">
        <v>2.72</v>
      </c>
      <c r="Q506">
        <v>1.35</v>
      </c>
      <c r="R506">
        <v>0</v>
      </c>
      <c r="S506">
        <v>-1.32</v>
      </c>
      <c r="T506">
        <v>-2.61</v>
      </c>
      <c r="U506">
        <v>-3.88</v>
      </c>
      <c r="W506">
        <v>86.2</v>
      </c>
    </row>
    <row r="507" spans="1:23">
      <c r="A507">
        <v>500</v>
      </c>
      <c r="B507">
        <v>76.38</v>
      </c>
      <c r="C507">
        <v>76.38</v>
      </c>
      <c r="D507">
        <v>76.37</v>
      </c>
      <c r="E507">
        <v>76.36</v>
      </c>
      <c r="F507">
        <v>76.36</v>
      </c>
      <c r="G507">
        <v>76.349999999999994</v>
      </c>
      <c r="H507">
        <v>76.349999999999994</v>
      </c>
      <c r="I507">
        <v>76.34</v>
      </c>
      <c r="J507">
        <v>76.34</v>
      </c>
      <c r="K507">
        <v>76.33</v>
      </c>
      <c r="L507">
        <v>76.33</v>
      </c>
      <c r="M507">
        <v>500</v>
      </c>
      <c r="O507">
        <v>4.0199999999999996</v>
      </c>
      <c r="P507">
        <v>2.72</v>
      </c>
      <c r="Q507">
        <v>1.35</v>
      </c>
      <c r="R507">
        <v>0</v>
      </c>
      <c r="S507">
        <v>-1.32</v>
      </c>
      <c r="T507">
        <v>-2.61</v>
      </c>
      <c r="U507">
        <v>-3.88</v>
      </c>
      <c r="W507">
        <v>87.1</v>
      </c>
    </row>
    <row r="508" spans="1:23">
      <c r="A508">
        <v>505</v>
      </c>
      <c r="B508">
        <v>77.150000000000006</v>
      </c>
      <c r="C508">
        <v>77.150000000000006</v>
      </c>
      <c r="D508">
        <v>77.14</v>
      </c>
      <c r="E508">
        <v>77.14</v>
      </c>
      <c r="F508">
        <v>77.13</v>
      </c>
      <c r="G508">
        <v>77.12</v>
      </c>
      <c r="H508">
        <v>77.12</v>
      </c>
      <c r="I508">
        <v>77.11</v>
      </c>
      <c r="J508">
        <v>77.11</v>
      </c>
      <c r="K508">
        <v>77.11</v>
      </c>
      <c r="L508">
        <v>77.099999999999994</v>
      </c>
      <c r="M508">
        <v>505</v>
      </c>
      <c r="O508">
        <v>3.92</v>
      </c>
      <c r="P508">
        <v>2.72</v>
      </c>
      <c r="Q508">
        <v>1.35</v>
      </c>
      <c r="R508">
        <v>0</v>
      </c>
      <c r="S508">
        <v>-1.32</v>
      </c>
      <c r="T508">
        <v>-2.62</v>
      </c>
      <c r="U508">
        <v>-3.89</v>
      </c>
      <c r="W508">
        <v>88</v>
      </c>
    </row>
    <row r="509" spans="1:23">
      <c r="A509">
        <v>510</v>
      </c>
      <c r="B509">
        <v>77.930000000000007</v>
      </c>
      <c r="C509">
        <v>77.92</v>
      </c>
      <c r="D509">
        <v>77.91</v>
      </c>
      <c r="E509">
        <v>77.91</v>
      </c>
      <c r="F509">
        <v>77.900000000000006</v>
      </c>
      <c r="G509">
        <v>77.900000000000006</v>
      </c>
      <c r="H509">
        <v>77.89</v>
      </c>
      <c r="I509">
        <v>77.89</v>
      </c>
      <c r="J509">
        <v>77.88</v>
      </c>
      <c r="K509">
        <v>77.88</v>
      </c>
      <c r="L509">
        <v>77.88</v>
      </c>
      <c r="M509">
        <v>510</v>
      </c>
      <c r="O509">
        <v>3.8</v>
      </c>
      <c r="P509">
        <v>2.71</v>
      </c>
      <c r="Q509">
        <v>1.35</v>
      </c>
      <c r="R509">
        <v>0</v>
      </c>
      <c r="S509">
        <v>-1.32</v>
      </c>
      <c r="T509">
        <v>-2.62</v>
      </c>
      <c r="U509">
        <v>-3.89</v>
      </c>
      <c r="W509">
        <v>88.9</v>
      </c>
    </row>
    <row r="510" spans="1:23">
      <c r="A510">
        <v>515</v>
      </c>
      <c r="B510">
        <v>78.7</v>
      </c>
      <c r="C510">
        <v>78.69</v>
      </c>
      <c r="D510">
        <v>78.69</v>
      </c>
      <c r="E510">
        <v>78.680000000000007</v>
      </c>
      <c r="F510">
        <v>78.67</v>
      </c>
      <c r="G510">
        <v>78.67</v>
      </c>
      <c r="H510">
        <v>78.66</v>
      </c>
      <c r="I510">
        <v>78.66</v>
      </c>
      <c r="J510">
        <v>78.66</v>
      </c>
      <c r="K510">
        <v>78.650000000000006</v>
      </c>
      <c r="L510">
        <v>78.650000000000006</v>
      </c>
      <c r="M510">
        <v>515</v>
      </c>
      <c r="O510">
        <v>3.63</v>
      </c>
      <c r="P510">
        <v>2.65</v>
      </c>
      <c r="Q510">
        <v>1.35</v>
      </c>
      <c r="R510">
        <v>0</v>
      </c>
      <c r="S510">
        <v>-1.32</v>
      </c>
      <c r="T510">
        <v>-2.62</v>
      </c>
      <c r="U510">
        <v>-3.89</v>
      </c>
      <c r="W510">
        <v>89.8</v>
      </c>
    </row>
    <row r="511" spans="1:23">
      <c r="A511">
        <v>520</v>
      </c>
      <c r="B511">
        <v>79.47</v>
      </c>
      <c r="C511">
        <v>79.47</v>
      </c>
      <c r="D511">
        <v>79.459999999999994</v>
      </c>
      <c r="E511">
        <v>79.45</v>
      </c>
      <c r="F511">
        <v>79.45</v>
      </c>
      <c r="G511">
        <v>79.44</v>
      </c>
      <c r="H511">
        <v>79.44</v>
      </c>
      <c r="I511">
        <v>79.430000000000007</v>
      </c>
      <c r="J511">
        <v>79.430000000000007</v>
      </c>
      <c r="K511">
        <v>79.42</v>
      </c>
      <c r="L511">
        <v>79.42</v>
      </c>
      <c r="M511">
        <v>520</v>
      </c>
      <c r="O511">
        <v>3.44</v>
      </c>
      <c r="P511">
        <v>2.56</v>
      </c>
      <c r="Q511">
        <v>1.35</v>
      </c>
      <c r="R511">
        <v>0</v>
      </c>
      <c r="S511">
        <v>-1.32</v>
      </c>
      <c r="T511">
        <v>-2.62</v>
      </c>
      <c r="U511">
        <v>-3.89</v>
      </c>
      <c r="W511">
        <v>90.7</v>
      </c>
    </row>
    <row r="512" spans="1:23">
      <c r="A512">
        <v>525</v>
      </c>
      <c r="B512">
        <v>80.25</v>
      </c>
      <c r="C512">
        <v>80.239999999999995</v>
      </c>
      <c r="D512">
        <v>80.23</v>
      </c>
      <c r="E512">
        <v>80.23</v>
      </c>
      <c r="F512">
        <v>80.22</v>
      </c>
      <c r="G512">
        <v>80.209999999999994</v>
      </c>
      <c r="H512">
        <v>80.209999999999994</v>
      </c>
      <c r="I512">
        <v>80.209999999999994</v>
      </c>
      <c r="J512">
        <v>80.2</v>
      </c>
      <c r="K512">
        <v>80.2</v>
      </c>
      <c r="L512">
        <v>80.19</v>
      </c>
      <c r="M512">
        <v>525</v>
      </c>
      <c r="O512">
        <v>3.21</v>
      </c>
      <c r="P512">
        <v>2.4300000000000002</v>
      </c>
      <c r="Q512">
        <v>1.35</v>
      </c>
      <c r="R512">
        <v>0</v>
      </c>
      <c r="S512">
        <v>-1.32</v>
      </c>
      <c r="T512">
        <v>-2.62</v>
      </c>
      <c r="U512">
        <v>-3.89</v>
      </c>
      <c r="W512">
        <v>91.5</v>
      </c>
    </row>
    <row r="513" spans="1:23">
      <c r="A513">
        <v>530</v>
      </c>
      <c r="B513">
        <v>81.02</v>
      </c>
      <c r="C513">
        <v>81.010000000000005</v>
      </c>
      <c r="D513">
        <v>81.010000000000005</v>
      </c>
      <c r="E513">
        <v>81</v>
      </c>
      <c r="F513">
        <v>80.989999999999995</v>
      </c>
      <c r="G513">
        <v>80.989999999999995</v>
      </c>
      <c r="H513">
        <v>80.98</v>
      </c>
      <c r="I513">
        <v>80.98</v>
      </c>
      <c r="J513">
        <v>80.97</v>
      </c>
      <c r="K513">
        <v>80.97</v>
      </c>
      <c r="L513">
        <v>80.97</v>
      </c>
      <c r="M513">
        <v>530</v>
      </c>
      <c r="O513">
        <v>2.95</v>
      </c>
      <c r="P513">
        <v>2.2599999999999998</v>
      </c>
      <c r="Q513">
        <v>1.3</v>
      </c>
      <c r="R513">
        <v>0</v>
      </c>
      <c r="S513">
        <v>-1.32</v>
      </c>
      <c r="T513">
        <v>-2.62</v>
      </c>
      <c r="U513">
        <v>-3.89</v>
      </c>
      <c r="W513">
        <v>92.4</v>
      </c>
    </row>
    <row r="514" spans="1:23">
      <c r="A514">
        <v>535</v>
      </c>
      <c r="B514">
        <v>81.790000000000006</v>
      </c>
      <c r="C514">
        <v>81.790000000000006</v>
      </c>
      <c r="D514">
        <v>81.78</v>
      </c>
      <c r="E514">
        <v>81.77</v>
      </c>
      <c r="F514">
        <v>81.77</v>
      </c>
      <c r="G514">
        <v>81.760000000000005</v>
      </c>
      <c r="H514">
        <v>81.760000000000005</v>
      </c>
      <c r="I514">
        <v>81.75</v>
      </c>
      <c r="J514">
        <v>81.75</v>
      </c>
      <c r="K514">
        <v>81.739999999999995</v>
      </c>
      <c r="L514">
        <v>81.739999999999995</v>
      </c>
      <c r="M514">
        <v>535</v>
      </c>
      <c r="O514">
        <v>2.65</v>
      </c>
      <c r="P514">
        <v>2.0499999999999998</v>
      </c>
      <c r="Q514">
        <v>1.22</v>
      </c>
      <c r="R514">
        <v>0</v>
      </c>
      <c r="S514">
        <v>-1.32</v>
      </c>
      <c r="T514">
        <v>-2.62</v>
      </c>
      <c r="U514">
        <v>-3.89</v>
      </c>
      <c r="W514">
        <v>93.3</v>
      </c>
    </row>
    <row r="515" spans="1:23">
      <c r="A515">
        <v>540</v>
      </c>
      <c r="B515">
        <v>82.57</v>
      </c>
      <c r="C515">
        <v>82.56</v>
      </c>
      <c r="D515">
        <v>82.55</v>
      </c>
      <c r="E515">
        <v>82.55</v>
      </c>
      <c r="F515">
        <v>82.54</v>
      </c>
      <c r="G515">
        <v>82.53</v>
      </c>
      <c r="H515">
        <v>82.53</v>
      </c>
      <c r="I515">
        <v>82.53</v>
      </c>
      <c r="J515">
        <v>82.52</v>
      </c>
      <c r="K515">
        <v>82.52</v>
      </c>
      <c r="L515">
        <v>82.51</v>
      </c>
      <c r="M515">
        <v>540</v>
      </c>
      <c r="O515">
        <v>2.33</v>
      </c>
      <c r="P515">
        <v>1.8</v>
      </c>
      <c r="Q515">
        <v>1.08</v>
      </c>
      <c r="R515">
        <v>0</v>
      </c>
      <c r="S515">
        <v>-1.33</v>
      </c>
      <c r="T515">
        <v>-2.62</v>
      </c>
      <c r="U515">
        <v>-3.9</v>
      </c>
      <c r="W515">
        <v>94.2</v>
      </c>
    </row>
    <row r="516" spans="1:23">
      <c r="A516">
        <v>545</v>
      </c>
      <c r="B516">
        <v>83.31</v>
      </c>
      <c r="C516">
        <v>83.3</v>
      </c>
      <c r="D516">
        <v>83.3</v>
      </c>
      <c r="E516">
        <v>83.29</v>
      </c>
      <c r="F516">
        <v>83.29</v>
      </c>
      <c r="G516">
        <v>83.28</v>
      </c>
      <c r="H516">
        <v>83.28</v>
      </c>
      <c r="I516">
        <v>83.27</v>
      </c>
      <c r="J516">
        <v>83.27</v>
      </c>
      <c r="K516">
        <v>83.26</v>
      </c>
      <c r="L516">
        <v>83.26</v>
      </c>
      <c r="M516">
        <v>545</v>
      </c>
      <c r="O516">
        <v>1.99</v>
      </c>
      <c r="P516">
        <v>1.54</v>
      </c>
      <c r="Q516">
        <v>0.92</v>
      </c>
      <c r="R516">
        <v>0</v>
      </c>
      <c r="S516">
        <v>-1.3</v>
      </c>
      <c r="T516">
        <v>-2.6</v>
      </c>
      <c r="U516">
        <v>-3.87</v>
      </c>
      <c r="W516">
        <v>95</v>
      </c>
    </row>
    <row r="517" spans="1:23">
      <c r="A517">
        <v>550</v>
      </c>
      <c r="B517">
        <v>84</v>
      </c>
      <c r="C517">
        <v>83.99</v>
      </c>
      <c r="D517">
        <v>83.98</v>
      </c>
      <c r="E517">
        <v>83.98</v>
      </c>
      <c r="F517">
        <v>83.97</v>
      </c>
      <c r="G517">
        <v>83.97</v>
      </c>
      <c r="H517">
        <v>83.96</v>
      </c>
      <c r="I517">
        <v>83.96</v>
      </c>
      <c r="J517">
        <v>83.96</v>
      </c>
      <c r="K517">
        <v>83.95</v>
      </c>
      <c r="L517">
        <v>83.95</v>
      </c>
      <c r="M517">
        <v>550</v>
      </c>
      <c r="O517">
        <v>1.68</v>
      </c>
      <c r="P517">
        <v>1.3</v>
      </c>
      <c r="Q517">
        <v>0.78</v>
      </c>
      <c r="R517">
        <v>0</v>
      </c>
      <c r="S517">
        <v>-1.22</v>
      </c>
      <c r="T517">
        <v>-2.5099999999999998</v>
      </c>
      <c r="U517">
        <v>-3.79</v>
      </c>
      <c r="W517">
        <v>95.8</v>
      </c>
    </row>
    <row r="518" spans="1:23">
      <c r="A518">
        <v>555</v>
      </c>
      <c r="B518">
        <v>84.62</v>
      </c>
      <c r="C518">
        <v>84.62</v>
      </c>
      <c r="D518">
        <v>84.61</v>
      </c>
      <c r="E518">
        <v>84.61</v>
      </c>
      <c r="F518">
        <v>84.6</v>
      </c>
      <c r="G518">
        <v>84.6</v>
      </c>
      <c r="H518">
        <v>84.59</v>
      </c>
      <c r="I518">
        <v>84.59</v>
      </c>
      <c r="J518">
        <v>84.59</v>
      </c>
      <c r="K518">
        <v>84.58</v>
      </c>
      <c r="L518">
        <v>84.58</v>
      </c>
      <c r="M518">
        <v>555</v>
      </c>
      <c r="O518">
        <v>1.4</v>
      </c>
      <c r="P518">
        <v>1.08</v>
      </c>
      <c r="Q518">
        <v>0.64</v>
      </c>
      <c r="R518">
        <v>0</v>
      </c>
      <c r="S518">
        <v>-1.07</v>
      </c>
      <c r="T518">
        <v>-2.37</v>
      </c>
      <c r="U518">
        <v>-3.64</v>
      </c>
      <c r="W518">
        <v>96.5</v>
      </c>
    </row>
    <row r="519" spans="1:23">
      <c r="A519">
        <v>560</v>
      </c>
      <c r="B519">
        <v>85.19</v>
      </c>
      <c r="C519">
        <v>85.18</v>
      </c>
      <c r="D519">
        <v>85.18</v>
      </c>
      <c r="E519">
        <v>85.17</v>
      </c>
      <c r="F519">
        <v>85.17</v>
      </c>
      <c r="G519">
        <v>85.17</v>
      </c>
      <c r="H519">
        <v>85.16</v>
      </c>
      <c r="I519">
        <v>85.16</v>
      </c>
      <c r="J519">
        <v>85.16</v>
      </c>
      <c r="K519">
        <v>85.15</v>
      </c>
      <c r="L519">
        <v>85.15</v>
      </c>
      <c r="M519">
        <v>560</v>
      </c>
      <c r="O519">
        <v>1.1399999999999999</v>
      </c>
      <c r="P519">
        <v>0.88</v>
      </c>
      <c r="Q519">
        <v>0.52</v>
      </c>
      <c r="R519">
        <v>0</v>
      </c>
      <c r="S519">
        <v>-0.88</v>
      </c>
      <c r="T519">
        <v>-2.17</v>
      </c>
      <c r="U519">
        <v>-3.44</v>
      </c>
      <c r="W519">
        <v>97.2</v>
      </c>
    </row>
    <row r="520" spans="1:23">
      <c r="A520">
        <v>565</v>
      </c>
      <c r="B520">
        <v>85.7</v>
      </c>
      <c r="C520">
        <v>85.69</v>
      </c>
      <c r="D520">
        <v>85.69</v>
      </c>
      <c r="E520">
        <v>85.68</v>
      </c>
      <c r="F520">
        <v>85.68</v>
      </c>
      <c r="G520">
        <v>85.68</v>
      </c>
      <c r="H520">
        <v>85.67</v>
      </c>
      <c r="I520">
        <v>85.67</v>
      </c>
      <c r="J520">
        <v>85.67</v>
      </c>
      <c r="K520">
        <v>85.67</v>
      </c>
      <c r="L520">
        <v>85.66</v>
      </c>
      <c r="M520">
        <v>565</v>
      </c>
      <c r="O520">
        <v>0.91</v>
      </c>
      <c r="P520">
        <v>0.7</v>
      </c>
      <c r="Q520">
        <v>0.42</v>
      </c>
      <c r="R520">
        <v>0</v>
      </c>
      <c r="S520">
        <v>-0.69</v>
      </c>
      <c r="T520">
        <v>-1.9</v>
      </c>
      <c r="U520">
        <v>-3.18</v>
      </c>
      <c r="W520">
        <v>97.8</v>
      </c>
    </row>
    <row r="521" spans="1:23">
      <c r="A521">
        <v>570</v>
      </c>
      <c r="B521">
        <v>86.14</v>
      </c>
      <c r="C521">
        <v>86.14</v>
      </c>
      <c r="D521">
        <v>86.14</v>
      </c>
      <c r="E521">
        <v>86.13</v>
      </c>
      <c r="F521">
        <v>86.13</v>
      </c>
      <c r="G521">
        <v>86.13</v>
      </c>
      <c r="H521">
        <v>86.12</v>
      </c>
      <c r="I521">
        <v>86.12</v>
      </c>
      <c r="J521">
        <v>86.12</v>
      </c>
      <c r="K521">
        <v>86.12</v>
      </c>
      <c r="L521">
        <v>86.12</v>
      </c>
      <c r="M521">
        <v>570</v>
      </c>
      <c r="O521">
        <v>0.7</v>
      </c>
      <c r="P521">
        <v>0.54</v>
      </c>
      <c r="Q521">
        <v>0.32</v>
      </c>
      <c r="R521">
        <v>0</v>
      </c>
      <c r="S521">
        <v>-0.53</v>
      </c>
      <c r="T521">
        <v>-1.58</v>
      </c>
      <c r="U521">
        <v>-2.86</v>
      </c>
      <c r="W521">
        <v>98.3</v>
      </c>
    </row>
    <row r="522" spans="1:23">
      <c r="A522">
        <v>575</v>
      </c>
      <c r="B522">
        <v>86.53</v>
      </c>
      <c r="C522">
        <v>86.53</v>
      </c>
      <c r="D522">
        <v>86.53</v>
      </c>
      <c r="E522">
        <v>86.52</v>
      </c>
      <c r="F522">
        <v>86.52</v>
      </c>
      <c r="G522">
        <v>86.52</v>
      </c>
      <c r="H522">
        <v>86.52</v>
      </c>
      <c r="I522">
        <v>86.51</v>
      </c>
      <c r="J522">
        <v>86.51</v>
      </c>
      <c r="K522">
        <v>86.51</v>
      </c>
      <c r="L522">
        <v>86.51</v>
      </c>
      <c r="M522">
        <v>575</v>
      </c>
      <c r="O522">
        <v>0.52</v>
      </c>
      <c r="P522">
        <v>0.4</v>
      </c>
      <c r="Q522">
        <v>0.24</v>
      </c>
      <c r="R522">
        <v>0</v>
      </c>
      <c r="S522">
        <v>-0.39</v>
      </c>
      <c r="T522">
        <v>-1.2</v>
      </c>
      <c r="U522">
        <v>-2.4700000000000002</v>
      </c>
      <c r="W522">
        <v>98.7</v>
      </c>
    </row>
    <row r="523" spans="1:23">
      <c r="A523">
        <v>580</v>
      </c>
      <c r="B523">
        <v>86.86</v>
      </c>
      <c r="C523">
        <v>86.86</v>
      </c>
      <c r="D523">
        <v>86.86</v>
      </c>
      <c r="E523">
        <v>86.86</v>
      </c>
      <c r="F523">
        <v>86.85</v>
      </c>
      <c r="G523">
        <v>86.85</v>
      </c>
      <c r="H523">
        <v>86.85</v>
      </c>
      <c r="I523">
        <v>86.85</v>
      </c>
      <c r="J523">
        <v>86.85</v>
      </c>
      <c r="K523">
        <v>86.84</v>
      </c>
      <c r="L523">
        <v>86.84</v>
      </c>
      <c r="M523">
        <v>580</v>
      </c>
      <c r="O523">
        <v>0.37</v>
      </c>
      <c r="P523">
        <v>0.28000000000000003</v>
      </c>
      <c r="Q523">
        <v>0.17</v>
      </c>
      <c r="R523">
        <v>0</v>
      </c>
      <c r="S523">
        <v>-0.27</v>
      </c>
      <c r="T523">
        <v>-0.83</v>
      </c>
      <c r="U523">
        <v>-2.0299999999999998</v>
      </c>
      <c r="W523">
        <v>99.1</v>
      </c>
    </row>
    <row r="524" spans="1:23">
      <c r="A524">
        <v>585</v>
      </c>
      <c r="B524">
        <v>87.13</v>
      </c>
      <c r="C524">
        <v>87.13</v>
      </c>
      <c r="D524">
        <v>87.13</v>
      </c>
      <c r="E524">
        <v>87.13</v>
      </c>
      <c r="F524">
        <v>87.13</v>
      </c>
      <c r="G524">
        <v>87.12</v>
      </c>
      <c r="H524">
        <v>87.12</v>
      </c>
      <c r="I524">
        <v>87.12</v>
      </c>
      <c r="J524">
        <v>87.12</v>
      </c>
      <c r="K524">
        <v>87.12</v>
      </c>
      <c r="L524">
        <v>87.12</v>
      </c>
      <c r="M524">
        <v>585</v>
      </c>
      <c r="O524">
        <v>0.24</v>
      </c>
      <c r="P524">
        <v>0.19</v>
      </c>
      <c r="Q524">
        <v>0.11</v>
      </c>
      <c r="R524">
        <v>0</v>
      </c>
      <c r="S524">
        <v>-0.18</v>
      </c>
      <c r="T524">
        <v>-0.53</v>
      </c>
      <c r="U524">
        <v>-1.53</v>
      </c>
      <c r="W524">
        <v>99.4</v>
      </c>
    </row>
    <row r="525" spans="1:23">
      <c r="A525">
        <v>590</v>
      </c>
      <c r="B525">
        <v>87.34</v>
      </c>
      <c r="C525">
        <v>87.34</v>
      </c>
      <c r="D525">
        <v>87.34</v>
      </c>
      <c r="E525">
        <v>87.34</v>
      </c>
      <c r="F525">
        <v>87.34</v>
      </c>
      <c r="G525">
        <v>87.34</v>
      </c>
      <c r="H525">
        <v>87.34</v>
      </c>
      <c r="I525">
        <v>87.34</v>
      </c>
      <c r="J525">
        <v>87.33</v>
      </c>
      <c r="K525">
        <v>87.33</v>
      </c>
      <c r="L525">
        <v>87.33</v>
      </c>
      <c r="M525">
        <v>590</v>
      </c>
      <c r="O525">
        <v>0.14000000000000001</v>
      </c>
      <c r="P525">
        <v>0.11</v>
      </c>
      <c r="Q525">
        <v>0.06</v>
      </c>
      <c r="R525">
        <v>0</v>
      </c>
      <c r="S525">
        <v>-0.1</v>
      </c>
      <c r="T525">
        <v>-0.3</v>
      </c>
      <c r="U525">
        <v>-0.97</v>
      </c>
      <c r="W525">
        <v>99.7</v>
      </c>
    </row>
    <row r="526" spans="1:23">
      <c r="A526">
        <v>595</v>
      </c>
      <c r="B526">
        <v>87.5</v>
      </c>
      <c r="C526">
        <v>87.5</v>
      </c>
      <c r="D526">
        <v>87.49</v>
      </c>
      <c r="E526">
        <v>87.49</v>
      </c>
      <c r="F526">
        <v>87.49</v>
      </c>
      <c r="G526">
        <v>87.49</v>
      </c>
      <c r="H526">
        <v>87.49</v>
      </c>
      <c r="I526">
        <v>87.49</v>
      </c>
      <c r="J526">
        <v>87.49</v>
      </c>
      <c r="K526">
        <v>87.49</v>
      </c>
      <c r="L526">
        <v>87.49</v>
      </c>
      <c r="M526">
        <v>595</v>
      </c>
      <c r="O526">
        <v>7.0000000000000007E-2</v>
      </c>
      <c r="P526">
        <v>0.05</v>
      </c>
      <c r="Q526">
        <v>0.03</v>
      </c>
      <c r="R526">
        <v>0</v>
      </c>
      <c r="S526">
        <v>-0.05</v>
      </c>
      <c r="T526">
        <v>-0.13</v>
      </c>
      <c r="U526">
        <v>-0.43</v>
      </c>
      <c r="W526">
        <v>99.9</v>
      </c>
    </row>
    <row r="527" spans="1:23">
      <c r="A527">
        <v>600</v>
      </c>
      <c r="B527">
        <v>87.59</v>
      </c>
      <c r="C527">
        <v>87.59</v>
      </c>
      <c r="D527">
        <v>87.59</v>
      </c>
      <c r="E527">
        <v>87.59</v>
      </c>
      <c r="F527">
        <v>87.59</v>
      </c>
      <c r="G527">
        <v>87.59</v>
      </c>
      <c r="H527">
        <v>87.59</v>
      </c>
      <c r="I527">
        <v>87.59</v>
      </c>
      <c r="J527">
        <v>87.59</v>
      </c>
      <c r="K527">
        <v>87.59</v>
      </c>
      <c r="L527">
        <v>87.59</v>
      </c>
      <c r="M527">
        <v>600</v>
      </c>
      <c r="O527">
        <v>0.02</v>
      </c>
      <c r="P527">
        <v>0.02</v>
      </c>
      <c r="Q527">
        <v>0.01</v>
      </c>
      <c r="R527">
        <v>0</v>
      </c>
      <c r="S527">
        <v>-0.01</v>
      </c>
      <c r="T527">
        <v>-0.03</v>
      </c>
      <c r="U527">
        <v>-0.1</v>
      </c>
      <c r="W527">
        <v>100</v>
      </c>
    </row>
    <row r="528" spans="1:23">
      <c r="A528">
        <v>605</v>
      </c>
      <c r="B528">
        <v>87.62</v>
      </c>
      <c r="C528">
        <v>87.62</v>
      </c>
      <c r="D528">
        <v>87.62</v>
      </c>
      <c r="E528">
        <v>87.62</v>
      </c>
      <c r="F528">
        <v>87.62</v>
      </c>
      <c r="G528">
        <v>87.62</v>
      </c>
      <c r="H528">
        <v>87.62</v>
      </c>
      <c r="I528">
        <v>87.62</v>
      </c>
      <c r="J528">
        <v>87.62</v>
      </c>
      <c r="K528">
        <v>87.62</v>
      </c>
      <c r="L528">
        <v>87.62</v>
      </c>
      <c r="M528">
        <v>605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W528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26A72-0093-4805-9EAF-03DFE7D0C3B8}">
  <sheetPr codeName="Sheet18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pageSetUpPr fitToPage="1"/>
  </sheetPr>
  <dimension ref="A1:M37"/>
  <sheetViews>
    <sheetView showGridLines="0" tabSelected="1" showRuler="0" view="pageBreakPreview" topLeftCell="A4" zoomScaleNormal="130" zoomScaleSheetLayoutView="100" workbookViewId="0">
      <selection activeCell="G13" sqref="G13"/>
    </sheetView>
  </sheetViews>
  <sheetFormatPr defaultColWidth="9.140625" defaultRowHeight="15"/>
  <cols>
    <col min="1" max="2" width="8.28515625" style="46" customWidth="1"/>
    <col min="3" max="3" width="9.140625" style="46" customWidth="1"/>
    <col min="4" max="5" width="6.28515625" style="46" customWidth="1"/>
    <col min="6" max="6" width="6.85546875" style="46" customWidth="1"/>
    <col min="7" max="9" width="10.28515625" style="46" customWidth="1"/>
    <col min="10" max="11" width="5.42578125" style="46" customWidth="1"/>
    <col min="12" max="12" width="5.7109375" style="46" customWidth="1"/>
    <col min="13" max="13" width="9.140625" style="46" customWidth="1"/>
    <col min="14" max="16384" width="9.140625" style="46"/>
  </cols>
  <sheetData>
    <row r="1" spans="1:13" ht="21">
      <c r="A1" s="666" t="s">
        <v>293</v>
      </c>
      <c r="B1" s="666"/>
      <c r="C1" s="666"/>
      <c r="D1" s="666"/>
      <c r="E1" s="666"/>
      <c r="F1" s="666"/>
      <c r="G1" s="666"/>
      <c r="H1" s="666"/>
      <c r="I1" s="666"/>
      <c r="J1" s="666"/>
      <c r="K1" s="666"/>
      <c r="L1" s="666"/>
      <c r="M1" s="175"/>
    </row>
    <row r="2" spans="1:13" ht="58.5" customHeight="1" thickBot="1">
      <c r="A2" s="666"/>
      <c r="B2" s="666"/>
      <c r="C2" s="666"/>
      <c r="D2" s="666"/>
      <c r="E2" s="666"/>
      <c r="F2" s="666"/>
      <c r="G2" s="666"/>
      <c r="H2" s="667"/>
      <c r="I2" s="667"/>
      <c r="J2" s="667"/>
      <c r="K2" s="667"/>
      <c r="L2" s="667"/>
      <c r="M2" s="175"/>
    </row>
    <row r="3" spans="1:13" ht="15.75" thickBot="1">
      <c r="A3" s="668" t="s">
        <v>164</v>
      </c>
      <c r="B3" s="669"/>
      <c r="C3" s="670"/>
      <c r="D3" s="671" t="s">
        <v>450</v>
      </c>
      <c r="E3" s="672"/>
      <c r="F3" s="672"/>
      <c r="G3" s="673"/>
      <c r="H3" s="674" t="s">
        <v>165</v>
      </c>
      <c r="I3" s="674"/>
      <c r="J3" s="674"/>
      <c r="K3" s="674"/>
      <c r="L3" s="675"/>
    </row>
    <row r="4" spans="1:13">
      <c r="A4" s="676" t="s">
        <v>166</v>
      </c>
      <c r="B4" s="677"/>
      <c r="C4" s="678"/>
      <c r="D4" s="679" t="s">
        <v>380</v>
      </c>
      <c r="E4" s="680"/>
      <c r="F4" s="680"/>
      <c r="G4" s="681"/>
      <c r="H4" s="682" t="s">
        <v>167</v>
      </c>
      <c r="I4" s="683"/>
      <c r="J4" s="684" t="str">
        <f>hfoPres</f>
        <v/>
      </c>
      <c r="K4" s="672"/>
      <c r="L4" s="673"/>
    </row>
    <row r="5" spans="1:13">
      <c r="A5" s="676" t="s">
        <v>168</v>
      </c>
      <c r="B5" s="677"/>
      <c r="C5" s="678"/>
      <c r="D5" s="685">
        <v>45785</v>
      </c>
      <c r="E5" s="686"/>
      <c r="F5" s="686"/>
      <c r="G5" s="687"/>
      <c r="H5" s="688" t="s">
        <v>169</v>
      </c>
      <c r="I5" s="689"/>
      <c r="J5" s="690">
        <f>lfoPres</f>
        <v>761.59</v>
      </c>
      <c r="K5" s="680"/>
      <c r="L5" s="681"/>
    </row>
    <row r="6" spans="1:13">
      <c r="A6" s="676" t="s">
        <v>170</v>
      </c>
      <c r="B6" s="677"/>
      <c r="C6" s="678"/>
      <c r="D6" s="679" t="s">
        <v>370</v>
      </c>
      <c r="E6" s="680"/>
      <c r="F6" s="680"/>
      <c r="G6" s="681"/>
      <c r="H6" s="688" t="s">
        <v>113</v>
      </c>
      <c r="I6" s="689"/>
      <c r="J6" s="690" t="str">
        <f>mdoPres</f>
        <v/>
      </c>
      <c r="K6" s="680"/>
      <c r="L6" s="681"/>
    </row>
    <row r="7" spans="1:13" ht="15.75" thickBot="1">
      <c r="A7" s="676" t="s">
        <v>171</v>
      </c>
      <c r="B7" s="677"/>
      <c r="C7" s="678"/>
      <c r="D7" s="691" t="s">
        <v>489</v>
      </c>
      <c r="E7" s="692"/>
      <c r="F7" s="692"/>
      <c r="G7" s="693"/>
      <c r="H7" s="694" t="s">
        <v>172</v>
      </c>
      <c r="I7" s="695"/>
      <c r="J7" s="696">
        <f>mgoPres</f>
        <v>223.13300000000001</v>
      </c>
      <c r="K7" s="697"/>
      <c r="L7" s="698"/>
    </row>
    <row r="8" spans="1:13" ht="15.75" thickBot="1">
      <c r="A8" s="676" t="s">
        <v>173</v>
      </c>
      <c r="B8" s="677"/>
      <c r="C8" s="678"/>
      <c r="D8" s="699" t="s">
        <v>367</v>
      </c>
      <c r="E8" s="700"/>
      <c r="F8" s="700"/>
      <c r="G8" s="701"/>
    </row>
    <row r="9" spans="1:13" ht="15.75" thickBot="1">
      <c r="A9" s="176"/>
      <c r="B9" s="177"/>
      <c r="C9" s="177"/>
      <c r="D9" s="699"/>
      <c r="E9" s="700"/>
      <c r="F9" s="700"/>
      <c r="G9" s="701"/>
      <c r="H9" s="674" t="s">
        <v>174</v>
      </c>
      <c r="I9" s="674"/>
      <c r="J9" s="674"/>
      <c r="K9" s="674"/>
      <c r="L9" s="675"/>
    </row>
    <row r="10" spans="1:13">
      <c r="A10" s="676" t="s">
        <v>175</v>
      </c>
      <c r="B10" s="677"/>
      <c r="C10" s="678"/>
      <c r="D10" s="691" t="s">
        <v>494</v>
      </c>
      <c r="E10" s="692"/>
      <c r="F10" s="692"/>
      <c r="G10" s="693"/>
      <c r="H10" s="668" t="s">
        <v>176</v>
      </c>
      <c r="I10" s="683"/>
      <c r="J10" s="684">
        <v>11</v>
      </c>
      <c r="K10" s="672"/>
      <c r="L10" s="673"/>
    </row>
    <row r="11" spans="1:13">
      <c r="A11" s="702" t="s">
        <v>177</v>
      </c>
      <c r="B11" s="703"/>
      <c r="C11" s="704"/>
      <c r="D11" s="691">
        <v>12345678</v>
      </c>
      <c r="E11" s="692"/>
      <c r="F11" s="692"/>
      <c r="G11" s="693"/>
      <c r="H11" s="676" t="s">
        <v>178</v>
      </c>
      <c r="I11" s="689"/>
      <c r="J11" s="690">
        <v>12</v>
      </c>
      <c r="K11" s="680"/>
      <c r="L11" s="681"/>
    </row>
    <row r="12" spans="1:13" ht="15.75" thickBot="1">
      <c r="A12" s="705" t="s">
        <v>179</v>
      </c>
      <c r="B12" s="706"/>
      <c r="C12" s="707"/>
      <c r="D12" s="708" t="s">
        <v>371</v>
      </c>
      <c r="E12" s="709"/>
      <c r="F12" s="709"/>
      <c r="G12" s="710"/>
      <c r="H12" s="676" t="s">
        <v>109</v>
      </c>
      <c r="I12" s="689"/>
      <c r="J12" s="690">
        <v>13</v>
      </c>
      <c r="K12" s="680"/>
      <c r="L12" s="681"/>
    </row>
    <row r="13" spans="1:13">
      <c r="A13" s="702" t="s">
        <v>180</v>
      </c>
      <c r="B13" s="703"/>
      <c r="C13" s="703"/>
      <c r="D13" s="711"/>
      <c r="E13" s="712">
        <v>44966</v>
      </c>
      <c r="F13" s="713"/>
      <c r="G13" s="363">
        <v>0.5</v>
      </c>
      <c r="H13" s="676" t="s">
        <v>181</v>
      </c>
      <c r="I13" s="689"/>
      <c r="J13" s="690">
        <v>14</v>
      </c>
      <c r="K13" s="680"/>
      <c r="L13" s="681"/>
    </row>
    <row r="14" spans="1:13" ht="15.75" thickBot="1">
      <c r="A14" s="676" t="s">
        <v>182</v>
      </c>
      <c r="B14" s="677"/>
      <c r="C14" s="677"/>
      <c r="D14" s="689"/>
      <c r="E14" s="714">
        <v>44966</v>
      </c>
      <c r="F14" s="692"/>
      <c r="G14" s="973">
        <v>0.50138888888888899</v>
      </c>
      <c r="H14" s="705" t="s">
        <v>183</v>
      </c>
      <c r="I14" s="695"/>
      <c r="J14" s="715">
        <f>SUM(J10:L13)</f>
        <v>50</v>
      </c>
      <c r="K14" s="716"/>
      <c r="L14" s="717"/>
    </row>
    <row r="15" spans="1:13" ht="15.75" thickBot="1">
      <c r="A15" s="676" t="s">
        <v>184</v>
      </c>
      <c r="B15" s="677"/>
      <c r="C15" s="677"/>
      <c r="D15" s="689"/>
      <c r="E15" s="714">
        <v>44966</v>
      </c>
      <c r="F15" s="692"/>
      <c r="G15" s="973">
        <v>0.50208333333333299</v>
      </c>
    </row>
    <row r="16" spans="1:13">
      <c r="A16" s="676" t="s">
        <v>185</v>
      </c>
      <c r="B16" s="677"/>
      <c r="C16" s="677"/>
      <c r="D16" s="689"/>
      <c r="E16" s="714">
        <v>44966</v>
      </c>
      <c r="F16" s="692"/>
      <c r="G16" s="974">
        <v>0.50416666666666698</v>
      </c>
      <c r="H16" s="718" t="s">
        <v>186</v>
      </c>
      <c r="I16" s="719"/>
      <c r="J16" s="178"/>
      <c r="K16" s="178"/>
      <c r="L16" s="179"/>
    </row>
    <row r="17" spans="1:13">
      <c r="A17" s="676" t="s">
        <v>187</v>
      </c>
      <c r="B17" s="677"/>
      <c r="C17" s="677"/>
      <c r="D17" s="689"/>
      <c r="E17" s="714">
        <v>44966</v>
      </c>
      <c r="F17" s="692"/>
      <c r="G17" s="974">
        <v>0.50347222222222199</v>
      </c>
      <c r="H17" s="720" t="s">
        <v>369</v>
      </c>
      <c r="I17" s="721"/>
      <c r="J17" s="721"/>
      <c r="K17" s="721"/>
      <c r="L17" s="722"/>
    </row>
    <row r="18" spans="1:13">
      <c r="A18" s="676" t="s">
        <v>188</v>
      </c>
      <c r="B18" s="677"/>
      <c r="C18" s="677"/>
      <c r="D18" s="689"/>
      <c r="E18" s="714">
        <v>44966</v>
      </c>
      <c r="F18" s="692"/>
      <c r="G18" s="974">
        <v>0.50277777777777799</v>
      </c>
      <c r="H18" s="720"/>
      <c r="I18" s="721"/>
      <c r="J18" s="721"/>
      <c r="K18" s="721"/>
      <c r="L18" s="722"/>
    </row>
    <row r="19" spans="1:13" ht="15.75" thickBot="1">
      <c r="A19" s="705" t="s">
        <v>189</v>
      </c>
      <c r="B19" s="706"/>
      <c r="C19" s="706"/>
      <c r="D19" s="695"/>
      <c r="E19" s="726" t="s">
        <v>371</v>
      </c>
      <c r="F19" s="709"/>
      <c r="G19" s="727"/>
      <c r="H19" s="723"/>
      <c r="I19" s="724"/>
      <c r="J19" s="724"/>
      <c r="K19" s="724"/>
      <c r="L19" s="725"/>
    </row>
    <row r="20" spans="1:13" ht="15.75" thickBot="1">
      <c r="A20" s="177"/>
      <c r="B20" s="177"/>
      <c r="C20" s="177"/>
      <c r="D20" s="177"/>
      <c r="E20" s="263"/>
      <c r="F20" s="263"/>
      <c r="G20" s="263"/>
      <c r="H20" s="262"/>
      <c r="I20" s="262"/>
      <c r="J20" s="262"/>
      <c r="K20" s="262"/>
      <c r="L20" s="262"/>
    </row>
    <row r="21" spans="1:13" ht="15.75" thickBot="1">
      <c r="A21" s="177"/>
      <c r="B21" s="177"/>
      <c r="C21" s="660" t="s">
        <v>362</v>
      </c>
      <c r="D21" s="661"/>
      <c r="E21" s="663" t="s">
        <v>134</v>
      </c>
      <c r="F21" s="663"/>
      <c r="G21" s="662" t="s">
        <v>363</v>
      </c>
      <c r="H21" s="662"/>
      <c r="I21" s="664" t="s">
        <v>368</v>
      </c>
      <c r="J21" s="664"/>
      <c r="K21" s="665"/>
      <c r="L21" s="262"/>
    </row>
    <row r="22" spans="1:13" ht="15.75" thickBot="1">
      <c r="H22" s="53"/>
    </row>
    <row r="23" spans="1:13" ht="15.75" thickBot="1">
      <c r="C23" s="733" t="s">
        <v>190</v>
      </c>
      <c r="D23" s="734"/>
      <c r="E23" s="734"/>
      <c r="F23" s="735"/>
      <c r="G23" s="180" t="s">
        <v>133</v>
      </c>
      <c r="H23" s="181" t="s">
        <v>134</v>
      </c>
      <c r="I23" s="182" t="s">
        <v>191</v>
      </c>
      <c r="J23" s="736" t="s">
        <v>72</v>
      </c>
      <c r="K23" s="737"/>
      <c r="L23" s="183"/>
    </row>
    <row r="24" spans="1:13">
      <c r="C24" s="738" t="s">
        <v>192</v>
      </c>
      <c r="D24" s="739"/>
      <c r="E24" s="739"/>
      <c r="F24" s="740"/>
      <c r="G24" s="260"/>
      <c r="H24" s="259">
        <v>1230</v>
      </c>
      <c r="I24" s="259"/>
      <c r="J24" s="741"/>
      <c r="K24" s="742"/>
      <c r="L24" s="184"/>
      <c r="M24" s="261">
        <f>IF(SUM(G24:K24)=0,"",SUM(G24:K24))</f>
        <v>1230</v>
      </c>
    </row>
    <row r="25" spans="1:13">
      <c r="C25" s="743" t="s">
        <v>193</v>
      </c>
      <c r="D25" s="744"/>
      <c r="E25" s="744"/>
      <c r="F25" s="745"/>
      <c r="G25" s="271"/>
      <c r="H25" s="270">
        <v>1.0249999999999999</v>
      </c>
      <c r="I25" s="270"/>
      <c r="J25" s="746"/>
      <c r="K25" s="747"/>
      <c r="L25" s="185"/>
      <c r="M25" s="261">
        <f>IF(SUM(G25:K25)=0,"",SUM(G25:K25))</f>
        <v>1.0249999999999999</v>
      </c>
    </row>
    <row r="26" spans="1:13" ht="18" thickBot="1">
      <c r="A26" s="177"/>
      <c r="B26" s="177"/>
      <c r="C26" s="728" t="s">
        <v>194</v>
      </c>
      <c r="D26" s="729"/>
      <c r="E26" s="729"/>
      <c r="F26" s="730"/>
      <c r="G26" s="272"/>
      <c r="H26" s="273">
        <v>0.95479999999999998</v>
      </c>
      <c r="I26" s="273"/>
      <c r="J26" s="731"/>
      <c r="K26" s="732"/>
      <c r="L26" s="185"/>
      <c r="M26" s="261">
        <f>IF(SUM(G26:K26)=0,"",SUM(G26:K26))</f>
        <v>0.95499999999999996</v>
      </c>
    </row>
    <row r="27" spans="1:13" ht="15.75" thickBot="1"/>
    <row r="28" spans="1:13" ht="15.75" thickBot="1">
      <c r="C28" s="733" t="s">
        <v>359</v>
      </c>
      <c r="D28" s="734"/>
      <c r="E28" s="734"/>
      <c r="F28" s="735"/>
      <c r="G28" s="180" t="s">
        <v>133</v>
      </c>
      <c r="H28" s="181" t="s">
        <v>134</v>
      </c>
      <c r="I28" s="182" t="s">
        <v>191</v>
      </c>
      <c r="J28" s="736" t="s">
        <v>72</v>
      </c>
      <c r="K28" s="737"/>
    </row>
    <row r="29" spans="1:13">
      <c r="C29" s="738" t="s">
        <v>360</v>
      </c>
      <c r="D29" s="739"/>
      <c r="E29" s="739"/>
      <c r="F29" s="740"/>
      <c r="G29" s="264" t="str">
        <f>total1</f>
        <v/>
      </c>
      <c r="H29" s="265">
        <f>total2</f>
        <v>737.96699999999998</v>
      </c>
      <c r="I29" s="265" t="str">
        <f>total3</f>
        <v/>
      </c>
      <c r="J29" s="752">
        <f>total4</f>
        <v>240.08</v>
      </c>
      <c r="K29" s="753"/>
    </row>
    <row r="30" spans="1:13">
      <c r="C30" s="743" t="s">
        <v>366</v>
      </c>
      <c r="D30" s="744"/>
      <c r="E30" s="744"/>
      <c r="F30" s="745"/>
      <c r="G30" s="266" t="str">
        <f>diff21</f>
        <v/>
      </c>
      <c r="H30" s="267">
        <f>diff22</f>
        <v>23.623000000000001</v>
      </c>
      <c r="I30" s="267" t="str">
        <f>diff23</f>
        <v/>
      </c>
      <c r="J30" s="754">
        <f>diff24</f>
        <v>-16.946999999999999</v>
      </c>
      <c r="K30" s="755"/>
      <c r="M30" s="261">
        <f>IF(fuelType="HFO",diff21,IF(fuelType="LSFO",diff22,IF(fuelType="MDO/MGO",diff23,IF(fuelType="LSMGO",diff24))))</f>
        <v>23.623000000000001</v>
      </c>
    </row>
    <row r="31" spans="1:13" ht="15.75" thickBot="1">
      <c r="C31" s="728" t="s">
        <v>361</v>
      </c>
      <c r="D31" s="729"/>
      <c r="E31" s="729"/>
      <c r="F31" s="730"/>
      <c r="G31" s="268" t="str">
        <f>total21</f>
        <v/>
      </c>
      <c r="H31" s="269">
        <f>total22</f>
        <v>761.59</v>
      </c>
      <c r="I31" s="269" t="str">
        <f>total23</f>
        <v/>
      </c>
      <c r="J31" s="748">
        <f>total24</f>
        <v>223.13300000000001</v>
      </c>
      <c r="K31" s="749"/>
    </row>
    <row r="36" spans="8:12" ht="15.75" thickBot="1">
      <c r="H36" s="750" t="str">
        <f>Setup!G21</f>
        <v>MARVIN C. ENDOZO</v>
      </c>
      <c r="I36" s="750"/>
      <c r="J36" s="750"/>
      <c r="K36" s="750"/>
      <c r="L36" s="750"/>
    </row>
    <row r="37" spans="8:12">
      <c r="H37" s="751" t="s">
        <v>67</v>
      </c>
      <c r="I37" s="751"/>
      <c r="J37" s="751"/>
      <c r="K37" s="751"/>
      <c r="L37" s="751"/>
    </row>
  </sheetData>
  <sheetProtection selectLockedCells="1"/>
  <mergeCells count="77">
    <mergeCell ref="C31:F31"/>
    <mergeCell ref="J31:K31"/>
    <mergeCell ref="H36:L36"/>
    <mergeCell ref="H37:L37"/>
    <mergeCell ref="C28:F28"/>
    <mergeCell ref="J28:K28"/>
    <mergeCell ref="C29:F29"/>
    <mergeCell ref="J29:K29"/>
    <mergeCell ref="C30:F30"/>
    <mergeCell ref="J30:K30"/>
    <mergeCell ref="C26:F26"/>
    <mergeCell ref="J26:K26"/>
    <mergeCell ref="C23:F23"/>
    <mergeCell ref="J23:K23"/>
    <mergeCell ref="C24:F24"/>
    <mergeCell ref="J24:K24"/>
    <mergeCell ref="C25:F25"/>
    <mergeCell ref="J25:K25"/>
    <mergeCell ref="A17:D17"/>
    <mergeCell ref="E17:F17"/>
    <mergeCell ref="H17:L19"/>
    <mergeCell ref="A18:D18"/>
    <mergeCell ref="E18:F18"/>
    <mergeCell ref="A19:D19"/>
    <mergeCell ref="E19:G19"/>
    <mergeCell ref="A15:D15"/>
    <mergeCell ref="E15:F15"/>
    <mergeCell ref="A16:D16"/>
    <mergeCell ref="E16:F16"/>
    <mergeCell ref="H16:I16"/>
    <mergeCell ref="A13:D13"/>
    <mergeCell ref="E13:F13"/>
    <mergeCell ref="H13:I13"/>
    <mergeCell ref="J13:L13"/>
    <mergeCell ref="A14:D14"/>
    <mergeCell ref="E14:F14"/>
    <mergeCell ref="H14:I14"/>
    <mergeCell ref="J14:L14"/>
    <mergeCell ref="A11:C11"/>
    <mergeCell ref="D11:G11"/>
    <mergeCell ref="H11:I11"/>
    <mergeCell ref="J11:L11"/>
    <mergeCell ref="A12:C12"/>
    <mergeCell ref="D12:G12"/>
    <mergeCell ref="H12:I12"/>
    <mergeCell ref="J12:L12"/>
    <mergeCell ref="A8:C8"/>
    <mergeCell ref="D8:G9"/>
    <mergeCell ref="H9:L9"/>
    <mergeCell ref="A10:C10"/>
    <mergeCell ref="D10:G10"/>
    <mergeCell ref="H10:I10"/>
    <mergeCell ref="J10:L10"/>
    <mergeCell ref="A6:C6"/>
    <mergeCell ref="D6:G6"/>
    <mergeCell ref="H6:I6"/>
    <mergeCell ref="J6:L6"/>
    <mergeCell ref="A7:C7"/>
    <mergeCell ref="D7:G7"/>
    <mergeCell ref="H7:I7"/>
    <mergeCell ref="J7:L7"/>
    <mergeCell ref="C21:D21"/>
    <mergeCell ref="G21:H21"/>
    <mergeCell ref="E21:F21"/>
    <mergeCell ref="I21:K21"/>
    <mergeCell ref="A1:L2"/>
    <mergeCell ref="A3:C3"/>
    <mergeCell ref="D3:G3"/>
    <mergeCell ref="H3:L3"/>
    <mergeCell ref="A4:C4"/>
    <mergeCell ref="D4:G4"/>
    <mergeCell ref="H4:I4"/>
    <mergeCell ref="J4:L4"/>
    <mergeCell ref="A5:C5"/>
    <mergeCell ref="D5:G5"/>
    <mergeCell ref="H5:I5"/>
    <mergeCell ref="J5:L5"/>
  </mergeCells>
  <pageMargins left="0.7" right="0.7" top="0.75" bottom="0.75" header="0.3" footer="0.3"/>
  <pageSetup paperSize="9" scale="94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S31"/>
  <sheetViews>
    <sheetView showGridLines="0" showRuler="0" view="pageBreakPreview" zoomScaleNormal="100" zoomScaleSheetLayoutView="100" workbookViewId="0">
      <selection activeCell="B22" sqref="B22:Q22"/>
    </sheetView>
  </sheetViews>
  <sheetFormatPr defaultColWidth="9.140625" defaultRowHeight="15"/>
  <cols>
    <col min="1" max="1" width="6.7109375" style="46" customWidth="1"/>
    <col min="2" max="2" width="5" style="46" customWidth="1"/>
    <col min="3" max="3" width="20.85546875" style="46" customWidth="1"/>
    <col min="4" max="4" width="11" style="46" customWidth="1"/>
    <col min="5" max="5" width="8.85546875" style="46" customWidth="1"/>
    <col min="6" max="17" width="7.28515625" style="46" customWidth="1"/>
    <col min="18" max="18" width="9.140625" style="206"/>
    <col min="19" max="19" width="10.7109375" style="206" bestFit="1" customWidth="1"/>
    <col min="20" max="16384" width="9.140625" style="46"/>
  </cols>
  <sheetData>
    <row r="1" spans="1:19">
      <c r="A1" s="194"/>
      <c r="S1" s="293"/>
    </row>
    <row r="2" spans="1:19" ht="15" customHeight="1">
      <c r="A2" s="767" t="s">
        <v>221</v>
      </c>
      <c r="B2" s="767"/>
      <c r="C2" s="767"/>
      <c r="D2" s="767"/>
      <c r="E2" s="767"/>
      <c r="F2" s="767"/>
      <c r="G2" s="767"/>
      <c r="H2" s="767"/>
      <c r="I2" s="767"/>
      <c r="J2" s="767"/>
      <c r="K2" s="767"/>
      <c r="L2" s="767"/>
      <c r="M2" s="767"/>
      <c r="N2" s="767"/>
      <c r="O2" s="767"/>
      <c r="P2" s="767"/>
      <c r="Q2" s="767"/>
    </row>
    <row r="3" spans="1:19" ht="15" customHeight="1">
      <c r="A3" s="767"/>
      <c r="B3" s="767"/>
      <c r="C3" s="767"/>
      <c r="D3" s="767"/>
      <c r="E3" s="767"/>
      <c r="F3" s="767"/>
      <c r="G3" s="767"/>
      <c r="H3" s="767"/>
      <c r="I3" s="767"/>
      <c r="J3" s="767"/>
      <c r="K3" s="767"/>
      <c r="L3" s="767"/>
      <c r="M3" s="767"/>
      <c r="N3" s="767"/>
      <c r="O3" s="767"/>
      <c r="P3" s="767"/>
      <c r="Q3" s="767"/>
    </row>
    <row r="4" spans="1:19" ht="15.75">
      <c r="A4" s="777" t="s">
        <v>445</v>
      </c>
      <c r="B4" s="777"/>
      <c r="C4" s="777"/>
      <c r="D4" s="777"/>
      <c r="E4" s="777"/>
      <c r="F4" s="777"/>
      <c r="G4" s="777"/>
      <c r="H4" s="777"/>
      <c r="I4" s="777"/>
      <c r="J4" s="777"/>
      <c r="K4" s="777"/>
      <c r="L4" s="777"/>
      <c r="M4" s="777"/>
      <c r="N4" s="777"/>
      <c r="O4" s="777"/>
      <c r="P4" s="777"/>
      <c r="Q4" s="777"/>
    </row>
    <row r="5" spans="1:19" ht="15.7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</row>
    <row r="6" spans="1:19" ht="15.75">
      <c r="A6" s="195"/>
      <c r="B6" s="195"/>
      <c r="C6" s="301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</row>
    <row r="7" spans="1:19" ht="15.75" thickBot="1"/>
    <row r="8" spans="1:19" s="196" customFormat="1" ht="15" customHeight="1">
      <c r="A8" s="786" t="s">
        <v>290</v>
      </c>
      <c r="B8" s="775"/>
      <c r="C8" s="302">
        <v>45784</v>
      </c>
      <c r="D8" s="775" t="s">
        <v>289</v>
      </c>
      <c r="E8" s="775"/>
      <c r="F8" s="769" t="s">
        <v>380</v>
      </c>
      <c r="G8" s="769"/>
      <c r="H8" s="775" t="s">
        <v>171</v>
      </c>
      <c r="I8" s="775"/>
      <c r="J8" s="769" t="s">
        <v>489</v>
      </c>
      <c r="K8" s="769"/>
      <c r="L8" s="769"/>
      <c r="M8" s="769"/>
      <c r="N8" s="769"/>
      <c r="O8" s="769"/>
      <c r="P8" s="769"/>
      <c r="Q8" s="770"/>
      <c r="R8" s="294"/>
      <c r="S8" s="294"/>
    </row>
    <row r="9" spans="1:19" s="196" customFormat="1" ht="15" customHeight="1">
      <c r="A9" s="787" t="s">
        <v>291</v>
      </c>
      <c r="B9" s="772"/>
      <c r="C9" s="199">
        <v>11.97</v>
      </c>
      <c r="D9" s="772" t="s">
        <v>288</v>
      </c>
      <c r="E9" s="772"/>
      <c r="F9" s="774">
        <v>12.12</v>
      </c>
      <c r="G9" s="774"/>
      <c r="H9" s="772" t="s">
        <v>220</v>
      </c>
      <c r="I9" s="772"/>
      <c r="J9" s="774">
        <f>IFERROR((C9+F9)/2,"")</f>
        <v>12.045</v>
      </c>
      <c r="K9" s="774"/>
      <c r="L9" s="197" t="s">
        <v>283</v>
      </c>
      <c r="M9" s="784">
        <f>IFERROR(C9-F9,"")</f>
        <v>-0.15</v>
      </c>
      <c r="N9" s="784"/>
      <c r="O9" s="197" t="s">
        <v>284</v>
      </c>
      <c r="P9" s="774">
        <v>0</v>
      </c>
      <c r="Q9" s="785"/>
      <c r="R9" s="294">
        <f>1*M9</f>
        <v>-0.15</v>
      </c>
      <c r="S9" s="294">
        <f>IF(P9="2 Port",-2,IF(P9="1 Port",-1,IF(P9=0,0,IF(P9="1 Stbd",1,IF(P9="2 Stbd",2)))))</f>
        <v>0</v>
      </c>
    </row>
    <row r="10" spans="1:19" s="196" customFormat="1" ht="15" customHeight="1" thickBot="1">
      <c r="A10" s="788" t="s">
        <v>292</v>
      </c>
      <c r="B10" s="773"/>
      <c r="C10" s="300" t="s">
        <v>134</v>
      </c>
      <c r="D10" s="773" t="s">
        <v>287</v>
      </c>
      <c r="E10" s="773"/>
      <c r="F10" s="759" t="str">
        <f>IFERROR(CONCATENATE(Bunkering!AF12," ","MT"),"")</f>
        <v>580 MT</v>
      </c>
      <c r="G10" s="759"/>
      <c r="H10" s="773" t="s">
        <v>286</v>
      </c>
      <c r="I10" s="773"/>
      <c r="J10" s="759" t="str">
        <f>IFERROR(CONCATENATE(Bunkering!AF11, " ", "MT/Hr"),"")</f>
        <v>300 MT/Hr</v>
      </c>
      <c r="K10" s="759"/>
      <c r="L10" s="773" t="s">
        <v>285</v>
      </c>
      <c r="M10" s="773"/>
      <c r="N10" s="773"/>
      <c r="O10" s="773"/>
      <c r="P10" s="759" t="str">
        <f>IFERROR(CONCATENATE(ROUND(LEFT(F10,LEN(F10)-3)/(LEFT(J10,LEN(J10)-6)),2)," ","HRS"),"")</f>
        <v>1.93 HRS</v>
      </c>
      <c r="Q10" s="771"/>
      <c r="R10" s="294"/>
      <c r="S10" s="294"/>
    </row>
    <row r="11" spans="1:19" s="196" customFormat="1" ht="15" customHeight="1">
      <c r="C11" s="776"/>
      <c r="D11" s="776"/>
      <c r="E11" s="776"/>
      <c r="F11" s="776"/>
      <c r="G11" s="776"/>
      <c r="H11" s="776"/>
      <c r="I11" s="776"/>
      <c r="J11" s="776"/>
      <c r="K11" s="776"/>
      <c r="L11" s="198"/>
      <c r="M11" s="198"/>
      <c r="N11" s="198"/>
      <c r="O11" s="198"/>
      <c r="P11" s="198"/>
      <c r="Q11" s="198"/>
      <c r="R11" s="294"/>
      <c r="S11" s="294"/>
    </row>
    <row r="12" spans="1:19" ht="15.75" thickBot="1"/>
    <row r="13" spans="1:19" ht="30.75" customHeight="1" thickBot="1">
      <c r="A13" s="779" t="s">
        <v>219</v>
      </c>
      <c r="B13" s="762"/>
      <c r="C13" s="761" t="s">
        <v>215</v>
      </c>
      <c r="D13" s="789"/>
      <c r="E13" s="762"/>
      <c r="F13" s="761" t="s">
        <v>280</v>
      </c>
      <c r="G13" s="762"/>
      <c r="H13" s="761" t="s">
        <v>281</v>
      </c>
      <c r="I13" s="762"/>
      <c r="J13" s="761" t="s">
        <v>282</v>
      </c>
      <c r="K13" s="762"/>
      <c r="L13" s="761" t="s">
        <v>216</v>
      </c>
      <c r="M13" s="762"/>
      <c r="N13" s="761" t="s">
        <v>217</v>
      </c>
      <c r="O13" s="762"/>
      <c r="P13" s="761" t="s">
        <v>218</v>
      </c>
      <c r="Q13" s="768"/>
    </row>
    <row r="14" spans="1:19" ht="15" customHeight="1">
      <c r="A14" s="780" t="s">
        <v>225</v>
      </c>
      <c r="B14" s="781"/>
      <c r="C14" s="769" t="s">
        <v>85</v>
      </c>
      <c r="D14" s="769"/>
      <c r="E14" s="769"/>
      <c r="F14" s="763">
        <v>463.5</v>
      </c>
      <c r="G14" s="763"/>
      <c r="H14" s="763">
        <v>3251</v>
      </c>
      <c r="I14" s="763"/>
      <c r="J14" s="763">
        <v>242.92500000000001</v>
      </c>
      <c r="K14" s="763"/>
      <c r="L14" s="763"/>
      <c r="M14" s="763"/>
      <c r="N14" s="764"/>
      <c r="O14" s="764"/>
      <c r="P14" s="763"/>
      <c r="Q14" s="765"/>
    </row>
    <row r="15" spans="1:19" ht="15.75" customHeight="1">
      <c r="A15" s="782" t="s">
        <v>226</v>
      </c>
      <c r="B15" s="783"/>
      <c r="C15" s="774" t="s">
        <v>69</v>
      </c>
      <c r="D15" s="774"/>
      <c r="E15" s="774"/>
      <c r="F15" s="692">
        <v>463.5</v>
      </c>
      <c r="G15" s="692"/>
      <c r="H15" s="692">
        <v>3959</v>
      </c>
      <c r="I15" s="692"/>
      <c r="J15" s="692">
        <v>371.23</v>
      </c>
      <c r="K15" s="692"/>
      <c r="L15" s="692"/>
      <c r="M15" s="692"/>
      <c r="N15" s="766"/>
      <c r="O15" s="766"/>
      <c r="P15" s="692"/>
      <c r="Q15" s="693"/>
    </row>
    <row r="16" spans="1:19" ht="15.75" customHeight="1">
      <c r="A16" s="782" t="s">
        <v>227</v>
      </c>
      <c r="B16" s="783"/>
      <c r="C16" s="774"/>
      <c r="D16" s="774"/>
      <c r="E16" s="774"/>
      <c r="F16" s="692"/>
      <c r="G16" s="692"/>
      <c r="H16" s="692"/>
      <c r="I16" s="692"/>
      <c r="J16" s="692"/>
      <c r="K16" s="692"/>
      <c r="L16" s="692"/>
      <c r="M16" s="692"/>
      <c r="N16" s="766"/>
      <c r="O16" s="766"/>
      <c r="P16" s="692"/>
      <c r="Q16" s="693"/>
    </row>
    <row r="17" spans="1:17" ht="15.75" customHeight="1">
      <c r="A17" s="782" t="s">
        <v>228</v>
      </c>
      <c r="B17" s="783"/>
      <c r="C17" s="774"/>
      <c r="D17" s="774"/>
      <c r="E17" s="774"/>
      <c r="F17" s="692"/>
      <c r="G17" s="692"/>
      <c r="H17" s="692"/>
      <c r="I17" s="692"/>
      <c r="J17" s="692"/>
      <c r="K17" s="692"/>
      <c r="L17" s="692"/>
      <c r="M17" s="692"/>
      <c r="N17" s="766"/>
      <c r="O17" s="766"/>
      <c r="P17" s="692"/>
      <c r="Q17" s="693"/>
    </row>
    <row r="18" spans="1:17" ht="15.75" customHeight="1">
      <c r="A18" s="782" t="s">
        <v>229</v>
      </c>
      <c r="B18" s="783"/>
      <c r="C18" s="774"/>
      <c r="D18" s="774"/>
      <c r="E18" s="774"/>
      <c r="F18" s="692"/>
      <c r="G18" s="692"/>
      <c r="H18" s="692"/>
      <c r="I18" s="692"/>
      <c r="J18" s="692"/>
      <c r="K18" s="692"/>
      <c r="L18" s="692"/>
      <c r="M18" s="692"/>
      <c r="N18" s="766"/>
      <c r="O18" s="766"/>
      <c r="P18" s="692"/>
      <c r="Q18" s="693"/>
    </row>
    <row r="19" spans="1:17" ht="15.75" thickBot="1">
      <c r="A19" s="757" t="s">
        <v>449</v>
      </c>
      <c r="B19" s="758"/>
      <c r="C19" s="759"/>
      <c r="D19" s="759"/>
      <c r="E19" s="759"/>
      <c r="F19" s="709"/>
      <c r="G19" s="709"/>
      <c r="H19" s="709"/>
      <c r="I19" s="709"/>
      <c r="J19" s="709"/>
      <c r="K19" s="709"/>
      <c r="L19" s="709"/>
      <c r="M19" s="709"/>
      <c r="N19" s="756"/>
      <c r="O19" s="756"/>
      <c r="P19" s="709"/>
      <c r="Q19" s="710"/>
    </row>
    <row r="22" spans="1:17">
      <c r="A22" s="177" t="s">
        <v>222</v>
      </c>
      <c r="B22" s="778" t="s">
        <v>223</v>
      </c>
      <c r="C22" s="778"/>
      <c r="D22" s="778"/>
      <c r="E22" s="778"/>
      <c r="F22" s="778"/>
      <c r="G22" s="778"/>
      <c r="H22" s="778"/>
      <c r="I22" s="778"/>
      <c r="J22" s="778"/>
      <c r="K22" s="778"/>
      <c r="L22" s="778"/>
      <c r="M22" s="778"/>
      <c r="N22" s="778"/>
      <c r="O22" s="778"/>
      <c r="P22" s="778"/>
      <c r="Q22" s="778"/>
    </row>
    <row r="23" spans="1:17">
      <c r="B23" s="778" t="s">
        <v>224</v>
      </c>
      <c r="C23" s="778"/>
      <c r="D23" s="778"/>
      <c r="E23" s="778"/>
      <c r="F23" s="778"/>
      <c r="G23" s="778"/>
      <c r="H23" s="778"/>
      <c r="I23" s="778"/>
      <c r="J23" s="778"/>
      <c r="K23" s="778"/>
      <c r="L23" s="778"/>
      <c r="M23" s="778"/>
      <c r="N23" s="778"/>
      <c r="O23" s="778"/>
      <c r="P23" s="778"/>
      <c r="Q23" s="778"/>
    </row>
    <row r="30" spans="1:17" ht="15.75" thickBot="1">
      <c r="L30" s="750" t="str">
        <f>Setup!G21</f>
        <v>MARVIN C. ENDOZO</v>
      </c>
      <c r="M30" s="750"/>
      <c r="N30" s="750"/>
      <c r="O30" s="750"/>
      <c r="P30" s="750"/>
    </row>
    <row r="31" spans="1:17">
      <c r="L31" s="760" t="s">
        <v>67</v>
      </c>
      <c r="M31" s="751"/>
      <c r="N31" s="751"/>
      <c r="O31" s="751"/>
      <c r="P31" s="751"/>
    </row>
  </sheetData>
  <sheetProtection selectLockedCells="1"/>
  <mergeCells count="82">
    <mergeCell ref="A17:B17"/>
    <mergeCell ref="A18:B18"/>
    <mergeCell ref="C13:E13"/>
    <mergeCell ref="C14:E14"/>
    <mergeCell ref="C15:E15"/>
    <mergeCell ref="C16:E16"/>
    <mergeCell ref="C17:E17"/>
    <mergeCell ref="C18:E18"/>
    <mergeCell ref="C11:K11"/>
    <mergeCell ref="A4:Q4"/>
    <mergeCell ref="L10:O10"/>
    <mergeCell ref="B22:Q22"/>
    <mergeCell ref="B23:Q23"/>
    <mergeCell ref="A13:B13"/>
    <mergeCell ref="A14:B14"/>
    <mergeCell ref="A15:B15"/>
    <mergeCell ref="A16:B16"/>
    <mergeCell ref="M9:N9"/>
    <mergeCell ref="P9:Q9"/>
    <mergeCell ref="A8:B8"/>
    <mergeCell ref="A9:B9"/>
    <mergeCell ref="A10:B10"/>
    <mergeCell ref="H17:I17"/>
    <mergeCell ref="J17:K17"/>
    <mergeCell ref="J8:Q8"/>
    <mergeCell ref="P10:Q10"/>
    <mergeCell ref="H9:I9"/>
    <mergeCell ref="D10:E10"/>
    <mergeCell ref="H10:I10"/>
    <mergeCell ref="F8:G8"/>
    <mergeCell ref="F9:G9"/>
    <mergeCell ref="F10:G10"/>
    <mergeCell ref="D9:E9"/>
    <mergeCell ref="D8:E8"/>
    <mergeCell ref="J10:K10"/>
    <mergeCell ref="H8:I8"/>
    <mergeCell ref="J9:K9"/>
    <mergeCell ref="A2:Q3"/>
    <mergeCell ref="L17:M17"/>
    <mergeCell ref="N17:O17"/>
    <mergeCell ref="P17:Q17"/>
    <mergeCell ref="H18:I18"/>
    <mergeCell ref="J18:K18"/>
    <mergeCell ref="L18:M18"/>
    <mergeCell ref="N18:O18"/>
    <mergeCell ref="P18:Q18"/>
    <mergeCell ref="N13:O13"/>
    <mergeCell ref="P13:Q13"/>
    <mergeCell ref="H16:I16"/>
    <mergeCell ref="J16:K16"/>
    <mergeCell ref="L16:M16"/>
    <mergeCell ref="N16:O16"/>
    <mergeCell ref="P16:Q16"/>
    <mergeCell ref="H15:I15"/>
    <mergeCell ref="J15:K15"/>
    <mergeCell ref="L15:M15"/>
    <mergeCell ref="N15:O15"/>
    <mergeCell ref="P15:Q15"/>
    <mergeCell ref="L30:P30"/>
    <mergeCell ref="L31:P31"/>
    <mergeCell ref="F18:G18"/>
    <mergeCell ref="F13:G13"/>
    <mergeCell ref="F14:G14"/>
    <mergeCell ref="F15:G15"/>
    <mergeCell ref="F16:G16"/>
    <mergeCell ref="F17:G17"/>
    <mergeCell ref="H14:I14"/>
    <mergeCell ref="J14:K14"/>
    <mergeCell ref="L14:M14"/>
    <mergeCell ref="N14:O14"/>
    <mergeCell ref="P14:Q14"/>
    <mergeCell ref="H13:I13"/>
    <mergeCell ref="J13:K13"/>
    <mergeCell ref="L13:M13"/>
    <mergeCell ref="L19:M19"/>
    <mergeCell ref="N19:O19"/>
    <mergeCell ref="P19:Q19"/>
    <mergeCell ref="A19:B19"/>
    <mergeCell ref="C19:E19"/>
    <mergeCell ref="F19:G19"/>
    <mergeCell ref="H19:I19"/>
    <mergeCell ref="J19:K19"/>
  </mergeCells>
  <phoneticPr fontId="52" type="noConversion"/>
  <pageMargins left="0.35433070866141736" right="0.35433070866141736" top="0.74803149606299213" bottom="0.74803149606299213" header="0.31496062992125984" footer="0.31496062992125984"/>
  <pageSetup paperSize="9" scale="96" orientation="landscape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pageSetUpPr fitToPage="1"/>
  </sheetPr>
  <dimension ref="A1:AA47"/>
  <sheetViews>
    <sheetView showGridLines="0" showRuler="0" view="pageBreakPreview" zoomScaleNormal="90" zoomScaleSheetLayoutView="100" workbookViewId="0">
      <selection activeCell="F51" sqref="F51"/>
    </sheetView>
  </sheetViews>
  <sheetFormatPr defaultRowHeight="15"/>
  <cols>
    <col min="1" max="1" width="6" customWidth="1"/>
    <col min="2" max="9" width="9.7109375" customWidth="1"/>
    <col min="10" max="14" width="18.7109375" customWidth="1"/>
    <col min="15" max="15" width="9.140625" style="1"/>
    <col min="16" max="26" width="10.7109375" style="1" customWidth="1"/>
    <col min="27" max="27" width="9.140625" style="1"/>
  </cols>
  <sheetData>
    <row r="1" spans="1:26" ht="26.25">
      <c r="A1" s="928" t="s">
        <v>326</v>
      </c>
      <c r="B1" s="928"/>
      <c r="C1" s="928"/>
      <c r="D1" s="928"/>
      <c r="E1" s="928"/>
      <c r="F1" s="928"/>
      <c r="G1" s="928"/>
      <c r="H1" s="928"/>
      <c r="I1" s="928"/>
      <c r="J1" s="928"/>
      <c r="K1" s="928"/>
      <c r="L1" s="928"/>
      <c r="M1" s="928"/>
      <c r="N1" s="928"/>
      <c r="Y1" s="1">
        <v>1</v>
      </c>
    </row>
    <row r="2" spans="1:26" ht="18.75">
      <c r="A2" s="960" t="s">
        <v>377</v>
      </c>
      <c r="B2" s="960"/>
      <c r="C2" s="960"/>
      <c r="D2" s="960"/>
      <c r="E2" s="960"/>
      <c r="F2" s="960"/>
      <c r="G2" s="960"/>
      <c r="H2" s="960"/>
      <c r="I2" s="960"/>
      <c r="J2" s="960"/>
      <c r="K2" s="960"/>
      <c r="L2" s="960"/>
      <c r="M2" s="960"/>
      <c r="N2" s="960"/>
      <c r="X2" s="1">
        <f>IF(Y1=1,9,IF(Y1=2,10,IF(Y1=3,11,IF(Y1=4,12,IF(Y1=5,13,IF(Y1=6,14,IF(Y1=7,15,IF(Y1=8,16,IF(Y1=9,17,IF(Y1=10,18,IF(Y1=11,19,IF(Y1=12,20,IF(Y1=13,21,IF(Y1=14,22,IF(Y1=15,23,IF(Y1=16,24,IF(Y1=17,25,IF(Y1=18,26,IF(Y1=19,27,IF(Y1=20,28,IF(Y1=21,29,IF(Y1=22,30,IF(Y1=23,31,IF(Y1=24,32,IF(Y1=25,33,IF(Y1=26,34,IF(Y1=27,35,IF(Y1=28,36,IF(Y1=29,37,IF(Y1=30,38,IF(Y1=31,39,)))))))))))))))))))))))))))))))</f>
        <v>9</v>
      </c>
      <c r="Y2" s="1">
        <f>X2+1</f>
        <v>10</v>
      </c>
    </row>
    <row r="3" spans="1:26" ht="14.1" customHeight="1">
      <c r="A3" s="253"/>
      <c r="B3" s="253"/>
      <c r="C3" s="253"/>
      <c r="D3" s="253"/>
      <c r="E3" s="240"/>
      <c r="M3" s="255"/>
      <c r="N3" s="255"/>
    </row>
    <row r="4" spans="1:26" ht="18.75">
      <c r="A4" s="967" t="s">
        <v>311</v>
      </c>
      <c r="B4" s="967"/>
      <c r="C4" s="254" t="s">
        <v>310</v>
      </c>
      <c r="D4" s="966"/>
      <c r="E4" s="966"/>
      <c r="H4" s="134"/>
      <c r="M4" s="280"/>
      <c r="N4" s="279"/>
      <c r="P4" s="1">
        <v>-2</v>
      </c>
    </row>
    <row r="5" spans="1:26" ht="18.75">
      <c r="A5" s="967"/>
      <c r="B5" s="967"/>
      <c r="C5" s="254" t="s">
        <v>309</v>
      </c>
      <c r="D5" s="965"/>
      <c r="E5" s="965"/>
      <c r="F5" s="254" t="s">
        <v>308</v>
      </c>
      <c r="G5" s="569">
        <f>IFERROR(((waterDraftAft+waterDraftFwd)/2),"")</f>
        <v>0</v>
      </c>
      <c r="H5" s="569"/>
      <c r="I5" s="254" t="s">
        <v>307</v>
      </c>
      <c r="J5" s="242">
        <f>IFERROR(waterDraftFwd-waterDraftAft,"")</f>
        <v>0</v>
      </c>
      <c r="K5" s="283" t="s">
        <v>306</v>
      </c>
      <c r="L5" s="242" t="str">
        <f>IF(P4=-3,"3 Port",IF(P4=-2,"2 Port",IF(P4=-1,"1 Port",IF(P4=0,"0",IF(P4=1,"1 Stbd",IF(P4=2,"2 Stbd",IF(P4=3,"3 Stbd")))))))</f>
        <v>2 Port</v>
      </c>
      <c r="M5" s="942" t="str">
        <f>CONCATENATE(waterMonth," ",waterYear)</f>
        <v xml:space="preserve"> </v>
      </c>
      <c r="N5" s="942"/>
      <c r="O5" s="1">
        <f>1*J5</f>
        <v>0</v>
      </c>
    </row>
    <row r="6" spans="1:26" ht="6" customHeight="1" thickBot="1">
      <c r="A6" s="241"/>
      <c r="B6" s="245"/>
      <c r="C6" s="241"/>
      <c r="D6" s="241"/>
      <c r="E6" s="245"/>
      <c r="F6" s="245"/>
      <c r="G6" s="8"/>
      <c r="H6" s="8"/>
      <c r="I6" s="189"/>
      <c r="J6" s="189"/>
      <c r="K6" s="8"/>
      <c r="L6" s="8"/>
      <c r="M6" s="189"/>
      <c r="N6" s="189"/>
    </row>
    <row r="7" spans="1:26" ht="15" customHeight="1">
      <c r="A7" s="939" t="s">
        <v>298</v>
      </c>
      <c r="B7" s="935" t="s">
        <v>329</v>
      </c>
      <c r="C7" s="936"/>
      <c r="D7" s="935" t="s">
        <v>330</v>
      </c>
      <c r="E7" s="936"/>
      <c r="F7" s="947" t="s">
        <v>331</v>
      </c>
      <c r="G7" s="948"/>
      <c r="H7" s="947" t="s">
        <v>332</v>
      </c>
      <c r="I7" s="948"/>
      <c r="J7" s="958" t="s">
        <v>334</v>
      </c>
      <c r="K7" s="958" t="s">
        <v>333</v>
      </c>
      <c r="L7" s="958" t="s">
        <v>341</v>
      </c>
      <c r="M7" s="943" t="s">
        <v>335</v>
      </c>
      <c r="N7" s="277" t="s">
        <v>342</v>
      </c>
      <c r="P7" s="193" t="s">
        <v>337</v>
      </c>
      <c r="Q7" s="193" t="s">
        <v>337</v>
      </c>
      <c r="R7" s="193"/>
      <c r="S7" s="193"/>
      <c r="T7" s="193" t="s">
        <v>338</v>
      </c>
      <c r="U7" s="193" t="s">
        <v>338</v>
      </c>
      <c r="V7" s="193" t="s">
        <v>342</v>
      </c>
      <c r="W7" s="193" t="s">
        <v>344</v>
      </c>
      <c r="X7" s="193" t="s">
        <v>375</v>
      </c>
      <c r="Y7" s="193"/>
      <c r="Z7" s="193"/>
    </row>
    <row r="8" spans="1:26" ht="15" customHeight="1">
      <c r="A8" s="940"/>
      <c r="B8" s="937"/>
      <c r="C8" s="938"/>
      <c r="D8" s="937"/>
      <c r="E8" s="938"/>
      <c r="F8" s="949"/>
      <c r="G8" s="950"/>
      <c r="H8" s="949"/>
      <c r="I8" s="950"/>
      <c r="J8" s="959"/>
      <c r="K8" s="959"/>
      <c r="L8" s="959"/>
      <c r="M8" s="945"/>
      <c r="N8" s="292" t="s">
        <v>372</v>
      </c>
      <c r="P8" s="193" t="s">
        <v>327</v>
      </c>
      <c r="Q8" s="193" t="s">
        <v>328</v>
      </c>
      <c r="R8" s="193"/>
      <c r="S8" s="193"/>
      <c r="T8" s="193" t="s">
        <v>339</v>
      </c>
      <c r="U8" s="193" t="s">
        <v>340</v>
      </c>
      <c r="V8" s="193" t="s">
        <v>343</v>
      </c>
      <c r="W8" s="193" t="s">
        <v>340</v>
      </c>
      <c r="X8" s="193" t="s">
        <v>372</v>
      </c>
    </row>
    <row r="9" spans="1:26" ht="15" customHeight="1" thickBot="1">
      <c r="A9" s="968"/>
      <c r="B9" s="256" t="s">
        <v>305</v>
      </c>
      <c r="C9" s="257" t="s">
        <v>60</v>
      </c>
      <c r="D9" s="256" t="s">
        <v>305</v>
      </c>
      <c r="E9" s="257" t="s">
        <v>60</v>
      </c>
      <c r="F9" s="256" t="s">
        <v>305</v>
      </c>
      <c r="G9" s="257" t="s">
        <v>60</v>
      </c>
      <c r="H9" s="256" t="s">
        <v>305</v>
      </c>
      <c r="I9" s="257" t="s">
        <v>60</v>
      </c>
      <c r="J9" s="256" t="s">
        <v>336</v>
      </c>
      <c r="K9" s="256" t="s">
        <v>60</v>
      </c>
      <c r="L9" s="256" t="s">
        <v>60</v>
      </c>
      <c r="M9" s="285" t="s">
        <v>60</v>
      </c>
      <c r="N9" s="286" t="s">
        <v>60</v>
      </c>
    </row>
    <row r="10" spans="1:26" ht="15" customHeight="1" thickBot="1">
      <c r="A10" s="287"/>
      <c r="B10" s="344"/>
      <c r="C10" s="344"/>
      <c r="D10" s="344"/>
      <c r="E10" s="344"/>
      <c r="F10" s="344"/>
      <c r="G10" s="344"/>
      <c r="H10" s="344"/>
      <c r="I10" s="344"/>
      <c r="J10" s="344"/>
      <c r="K10" s="345"/>
      <c r="L10" s="345"/>
      <c r="M10" s="345"/>
      <c r="N10" s="357"/>
    </row>
    <row r="11" spans="1:26" ht="12.95" customHeight="1">
      <c r="A11" s="248">
        <v>1</v>
      </c>
      <c r="B11" s="311"/>
      <c r="C11" s="340"/>
      <c r="D11" s="340"/>
      <c r="E11" s="340"/>
      <c r="F11" s="340"/>
      <c r="G11" s="340"/>
      <c r="H11" s="340"/>
      <c r="I11" s="340"/>
      <c r="J11" s="340"/>
      <c r="K11" s="346" t="str">
        <f>IF(J11="","",IF(J11=J10,"",J11-J10))</f>
        <v/>
      </c>
      <c r="L11" s="346" t="str">
        <f>IF(N11="","",IF(K11="",IF(N10-N11=0,"",N10-N11),K11+N10-N11))</f>
        <v/>
      </c>
      <c r="M11" s="347" t="str">
        <f>IF(K11="","",K11-L11)</f>
        <v/>
      </c>
      <c r="N11" s="348" t="str">
        <f>IF(SUM(C11,E11,G11,I11)=0,"",SUM(C11,E11,G11,I11))</f>
        <v/>
      </c>
    </row>
    <row r="12" spans="1:26" ht="12.95" customHeight="1">
      <c r="A12" s="249">
        <v>2</v>
      </c>
      <c r="B12" s="313"/>
      <c r="C12" s="341"/>
      <c r="D12" s="341"/>
      <c r="E12" s="341"/>
      <c r="F12" s="341"/>
      <c r="G12" s="341"/>
      <c r="H12" s="341"/>
      <c r="I12" s="341"/>
      <c r="J12" s="341"/>
      <c r="K12" s="359" t="str">
        <f t="shared" ref="K12:K41" si="0">IF(J12="","",IF(J12=J11,"",J12-J11))</f>
        <v/>
      </c>
      <c r="L12" s="359" t="str">
        <f t="shared" ref="L12:L41" si="1">IF(N12="","",IF(K12="",IF(N11-N12=0,"",N11-N12),K12+N11-N12))</f>
        <v/>
      </c>
      <c r="M12" s="358" t="str">
        <f>IF(K12="","",K12-L12)</f>
        <v/>
      </c>
      <c r="N12" s="350" t="str">
        <f>IF(SUM(C12,E12,G12,I12)=0,"",SUM(C12,E12,G12,I12))</f>
        <v/>
      </c>
    </row>
    <row r="13" spans="1:26" ht="12.95" customHeight="1">
      <c r="A13" s="250">
        <v>3</v>
      </c>
      <c r="B13" s="315"/>
      <c r="C13" s="110"/>
      <c r="D13" s="110"/>
      <c r="E13" s="110"/>
      <c r="F13" s="110"/>
      <c r="G13" s="110"/>
      <c r="H13" s="110"/>
      <c r="I13" s="110"/>
      <c r="J13" s="110"/>
      <c r="K13" s="351" t="str">
        <f t="shared" si="0"/>
        <v/>
      </c>
      <c r="L13" s="346" t="str">
        <f t="shared" si="1"/>
        <v/>
      </c>
      <c r="M13" s="352" t="str">
        <f t="shared" ref="M13:M41" si="2">IF(K13="","",K13-L13)</f>
        <v/>
      </c>
      <c r="N13" s="353" t="str">
        <f t="shared" ref="N13:N41" si="3">IF(SUM(C13,E13,G13,I13)=0,"",SUM(C13,E13,G13,I13))</f>
        <v/>
      </c>
    </row>
    <row r="14" spans="1:26" ht="12.95" customHeight="1">
      <c r="A14" s="249">
        <v>4</v>
      </c>
      <c r="B14" s="313"/>
      <c r="C14" s="341"/>
      <c r="D14" s="341"/>
      <c r="E14" s="341"/>
      <c r="F14" s="341"/>
      <c r="G14" s="341"/>
      <c r="H14" s="341"/>
      <c r="I14" s="341"/>
      <c r="J14" s="341"/>
      <c r="K14" s="52" t="str">
        <f t="shared" si="0"/>
        <v/>
      </c>
      <c r="L14" s="359" t="str">
        <f t="shared" si="1"/>
        <v/>
      </c>
      <c r="M14" s="349" t="str">
        <f t="shared" si="2"/>
        <v/>
      </c>
      <c r="N14" s="350" t="str">
        <f t="shared" si="3"/>
        <v/>
      </c>
    </row>
    <row r="15" spans="1:26" ht="12.95" customHeight="1">
      <c r="A15" s="250">
        <v>5</v>
      </c>
      <c r="B15" s="315"/>
      <c r="C15" s="110"/>
      <c r="D15" s="110"/>
      <c r="E15" s="110"/>
      <c r="F15" s="110"/>
      <c r="G15" s="110"/>
      <c r="H15" s="110"/>
      <c r="I15" s="110"/>
      <c r="J15" s="110"/>
      <c r="K15" s="351" t="str">
        <f t="shared" si="0"/>
        <v/>
      </c>
      <c r="L15" s="346" t="str">
        <f t="shared" si="1"/>
        <v/>
      </c>
      <c r="M15" s="352" t="str">
        <f t="shared" si="2"/>
        <v/>
      </c>
      <c r="N15" s="353" t="str">
        <f t="shared" si="3"/>
        <v/>
      </c>
      <c r="Y15"/>
      <c r="Z15"/>
    </row>
    <row r="16" spans="1:26" ht="12.95" customHeight="1">
      <c r="A16" s="249">
        <v>6</v>
      </c>
      <c r="B16" s="313"/>
      <c r="C16" s="341"/>
      <c r="D16" s="341"/>
      <c r="E16" s="341"/>
      <c r="F16" s="341"/>
      <c r="G16" s="341"/>
      <c r="H16" s="341"/>
      <c r="I16" s="341"/>
      <c r="J16" s="341"/>
      <c r="K16" s="52" t="str">
        <f t="shared" si="0"/>
        <v/>
      </c>
      <c r="L16" s="359" t="str">
        <f t="shared" si="1"/>
        <v/>
      </c>
      <c r="M16" s="349" t="str">
        <f t="shared" si="2"/>
        <v/>
      </c>
      <c r="N16" s="350" t="str">
        <f t="shared" si="3"/>
        <v/>
      </c>
      <c r="Y16" t="str">
        <f>ADDRESS(Y2+1,2,1,1)</f>
        <v>$B$11</v>
      </c>
      <c r="Z16" t="str">
        <f>ADDRESS(Y2+1,3,1,1)</f>
        <v>$C$11</v>
      </c>
    </row>
    <row r="17" spans="1:26" ht="12.95" customHeight="1">
      <c r="A17" s="250">
        <v>7</v>
      </c>
      <c r="B17" s="315"/>
      <c r="C17" s="110"/>
      <c r="D17" s="110"/>
      <c r="E17" s="110"/>
      <c r="F17" s="110"/>
      <c r="G17" s="110"/>
      <c r="H17" s="110"/>
      <c r="I17" s="110"/>
      <c r="J17" s="110"/>
      <c r="K17" s="351" t="str">
        <f t="shared" si="0"/>
        <v/>
      </c>
      <c r="L17" s="346" t="str">
        <f t="shared" si="1"/>
        <v/>
      </c>
      <c r="M17" s="352" t="str">
        <f t="shared" si="2"/>
        <v/>
      </c>
      <c r="N17" s="353" t="str">
        <f t="shared" si="3"/>
        <v/>
      </c>
      <c r="Y17" t="str">
        <f>ADDRESS(Y2+1,4,1,1)</f>
        <v>$D$11</v>
      </c>
      <c r="Z17" t="str">
        <f>ADDRESS(Y2+1,5,1,1)</f>
        <v>$E$11</v>
      </c>
    </row>
    <row r="18" spans="1:26" ht="12.95" customHeight="1">
      <c r="A18" s="249">
        <v>8</v>
      </c>
      <c r="B18" s="313"/>
      <c r="C18" s="341"/>
      <c r="D18" s="341"/>
      <c r="E18" s="341"/>
      <c r="F18" s="341"/>
      <c r="G18" s="341"/>
      <c r="H18" s="341"/>
      <c r="I18" s="341"/>
      <c r="J18" s="341"/>
      <c r="K18" s="52" t="str">
        <f t="shared" si="0"/>
        <v/>
      </c>
      <c r="L18" s="359" t="str">
        <f t="shared" si="1"/>
        <v/>
      </c>
      <c r="M18" s="349" t="str">
        <f t="shared" si="2"/>
        <v/>
      </c>
      <c r="N18" s="350" t="str">
        <f t="shared" si="3"/>
        <v/>
      </c>
      <c r="Y18" t="str">
        <f>ADDRESS(Y2+1,6,1,1)</f>
        <v>$F$11</v>
      </c>
      <c r="Z18" t="str">
        <f>ADDRESS(Y2+1,7,1,1)</f>
        <v>$G$11</v>
      </c>
    </row>
    <row r="19" spans="1:26" ht="12.95" customHeight="1">
      <c r="A19" s="250">
        <v>9</v>
      </c>
      <c r="B19" s="315"/>
      <c r="C19" s="110"/>
      <c r="D19" s="110"/>
      <c r="E19" s="110"/>
      <c r="F19" s="110"/>
      <c r="G19" s="110"/>
      <c r="H19" s="110"/>
      <c r="I19" s="110"/>
      <c r="J19" s="110"/>
      <c r="K19" s="351" t="str">
        <f t="shared" si="0"/>
        <v/>
      </c>
      <c r="L19" s="346" t="str">
        <f t="shared" si="1"/>
        <v/>
      </c>
      <c r="M19" s="352" t="str">
        <f t="shared" si="2"/>
        <v/>
      </c>
      <c r="N19" s="353" t="str">
        <f t="shared" si="3"/>
        <v/>
      </c>
      <c r="Y19" t="str">
        <f>ADDRESS(Y2+1,8,1,1)</f>
        <v>$H$11</v>
      </c>
      <c r="Z19" t="str">
        <f>ADDRESS(Y2+1,9,1,1)</f>
        <v>$I$11</v>
      </c>
    </row>
    <row r="20" spans="1:26" ht="12.95" customHeight="1">
      <c r="A20" s="249">
        <v>10</v>
      </c>
      <c r="B20" s="313"/>
      <c r="C20" s="341"/>
      <c r="D20" s="341"/>
      <c r="E20" s="341"/>
      <c r="F20" s="341"/>
      <c r="G20" s="341"/>
      <c r="H20" s="341"/>
      <c r="I20" s="341"/>
      <c r="J20" s="341"/>
      <c r="K20" s="52" t="str">
        <f t="shared" si="0"/>
        <v/>
      </c>
      <c r="L20" s="359" t="str">
        <f t="shared" si="1"/>
        <v/>
      </c>
      <c r="M20" s="349" t="str">
        <f t="shared" si="2"/>
        <v/>
      </c>
      <c r="N20" s="350" t="str">
        <f t="shared" si="3"/>
        <v/>
      </c>
      <c r="Y20" t="str">
        <f>ADDRESS(Y2+1,10,1,1)</f>
        <v>$J$11</v>
      </c>
      <c r="Z20" t="str">
        <f>ADDRESS(Y2+1,11,1,1)</f>
        <v>$K$11</v>
      </c>
    </row>
    <row r="21" spans="1:26" ht="12.95" customHeight="1">
      <c r="A21" s="250">
        <v>11</v>
      </c>
      <c r="B21" s="315"/>
      <c r="C21" s="110"/>
      <c r="D21" s="110"/>
      <c r="E21" s="110"/>
      <c r="F21" s="110"/>
      <c r="G21" s="110"/>
      <c r="H21" s="110"/>
      <c r="I21" s="110"/>
      <c r="J21" s="110"/>
      <c r="K21" s="351" t="str">
        <f t="shared" si="0"/>
        <v/>
      </c>
      <c r="L21" s="346" t="str">
        <f t="shared" si="1"/>
        <v/>
      </c>
      <c r="M21" s="352" t="str">
        <f t="shared" si="2"/>
        <v/>
      </c>
      <c r="N21" s="353" t="str">
        <f t="shared" si="3"/>
        <v/>
      </c>
      <c r="Y21" t="str">
        <f>ADDRESS(Y2+1,12,1,1)</f>
        <v>$L$11</v>
      </c>
      <c r="Z21" t="str">
        <f>ADDRESS(Y2+1,13,1,1)</f>
        <v>$M$11</v>
      </c>
    </row>
    <row r="22" spans="1:26" ht="12.95" customHeight="1">
      <c r="A22" s="249">
        <v>12</v>
      </c>
      <c r="B22" s="313"/>
      <c r="C22" s="341"/>
      <c r="D22" s="341"/>
      <c r="E22" s="341"/>
      <c r="F22" s="341"/>
      <c r="G22" s="341"/>
      <c r="H22" s="341"/>
      <c r="I22" s="341"/>
      <c r="J22" s="341"/>
      <c r="K22" s="52" t="str">
        <f t="shared" si="0"/>
        <v/>
      </c>
      <c r="L22" s="359" t="str">
        <f t="shared" si="1"/>
        <v/>
      </c>
      <c r="M22" s="349" t="str">
        <f t="shared" si="2"/>
        <v/>
      </c>
      <c r="N22" s="350" t="str">
        <f t="shared" si="3"/>
        <v/>
      </c>
      <c r="Y22" s="1" t="str">
        <f>ADDRESS(Y2+1,14,1,1)</f>
        <v>$N$11</v>
      </c>
    </row>
    <row r="23" spans="1:26" ht="12.95" customHeight="1">
      <c r="A23" s="250">
        <v>13</v>
      </c>
      <c r="B23" s="315"/>
      <c r="C23" s="110"/>
      <c r="D23" s="110"/>
      <c r="E23" s="110"/>
      <c r="F23" s="110"/>
      <c r="G23" s="110"/>
      <c r="H23" s="110"/>
      <c r="I23" s="110"/>
      <c r="J23" s="110"/>
      <c r="K23" s="351" t="str">
        <f t="shared" si="0"/>
        <v/>
      </c>
      <c r="L23" s="346" t="str">
        <f t="shared" si="1"/>
        <v/>
      </c>
      <c r="M23" s="352" t="str">
        <f t="shared" si="2"/>
        <v/>
      </c>
      <c r="N23" s="353" t="str">
        <f t="shared" si="3"/>
        <v/>
      </c>
    </row>
    <row r="24" spans="1:26" ht="12.95" customHeight="1">
      <c r="A24" s="249">
        <v>14</v>
      </c>
      <c r="B24" s="313"/>
      <c r="C24" s="341"/>
      <c r="D24" s="341"/>
      <c r="E24" s="341"/>
      <c r="F24" s="341"/>
      <c r="G24" s="341"/>
      <c r="H24" s="341"/>
      <c r="I24" s="341"/>
      <c r="J24" s="341"/>
      <c r="K24" s="52" t="str">
        <f t="shared" si="0"/>
        <v/>
      </c>
      <c r="L24" s="359" t="str">
        <f t="shared" si="1"/>
        <v/>
      </c>
      <c r="M24" s="349" t="str">
        <f t="shared" si="2"/>
        <v/>
      </c>
      <c r="N24" s="350" t="str">
        <f t="shared" si="3"/>
        <v/>
      </c>
    </row>
    <row r="25" spans="1:26" ht="12.95" customHeight="1">
      <c r="A25" s="250">
        <v>15</v>
      </c>
      <c r="B25" s="315"/>
      <c r="C25" s="110"/>
      <c r="D25" s="110"/>
      <c r="E25" s="110"/>
      <c r="F25" s="110"/>
      <c r="G25" s="110"/>
      <c r="H25" s="110"/>
      <c r="I25" s="110"/>
      <c r="J25" s="110"/>
      <c r="K25" s="351" t="str">
        <f t="shared" si="0"/>
        <v/>
      </c>
      <c r="L25" s="346" t="str">
        <f t="shared" si="1"/>
        <v/>
      </c>
      <c r="M25" s="352" t="str">
        <f t="shared" si="2"/>
        <v/>
      </c>
      <c r="N25" s="353" t="str">
        <f t="shared" si="3"/>
        <v/>
      </c>
    </row>
    <row r="26" spans="1:26" ht="12.95" customHeight="1">
      <c r="A26" s="249">
        <v>16</v>
      </c>
      <c r="B26" s="313"/>
      <c r="C26" s="341"/>
      <c r="D26" s="341"/>
      <c r="E26" s="341"/>
      <c r="F26" s="341"/>
      <c r="G26" s="341"/>
      <c r="H26" s="341"/>
      <c r="I26" s="341"/>
      <c r="J26" s="341"/>
      <c r="K26" s="52" t="str">
        <f t="shared" si="0"/>
        <v/>
      </c>
      <c r="L26" s="359" t="str">
        <f t="shared" si="1"/>
        <v/>
      </c>
      <c r="M26" s="349" t="str">
        <f t="shared" si="2"/>
        <v/>
      </c>
      <c r="N26" s="350" t="str">
        <f t="shared" si="3"/>
        <v/>
      </c>
    </row>
    <row r="27" spans="1:26" ht="12.95" customHeight="1">
      <c r="A27" s="250">
        <v>17</v>
      </c>
      <c r="B27" s="315"/>
      <c r="C27" s="110"/>
      <c r="D27" s="110"/>
      <c r="E27" s="110"/>
      <c r="F27" s="110"/>
      <c r="G27" s="110"/>
      <c r="H27" s="110"/>
      <c r="I27" s="110"/>
      <c r="J27" s="110"/>
      <c r="K27" s="351" t="str">
        <f t="shared" si="0"/>
        <v/>
      </c>
      <c r="L27" s="346" t="str">
        <f t="shared" si="1"/>
        <v/>
      </c>
      <c r="M27" s="352" t="str">
        <f t="shared" si="2"/>
        <v/>
      </c>
      <c r="N27" s="353" t="str">
        <f t="shared" si="3"/>
        <v/>
      </c>
    </row>
    <row r="28" spans="1:26" ht="12.95" customHeight="1">
      <c r="A28" s="249">
        <v>18</v>
      </c>
      <c r="B28" s="313"/>
      <c r="C28" s="341"/>
      <c r="D28" s="341"/>
      <c r="E28" s="341"/>
      <c r="F28" s="341"/>
      <c r="G28" s="341"/>
      <c r="H28" s="341"/>
      <c r="I28" s="341"/>
      <c r="J28" s="341"/>
      <c r="K28" s="52" t="str">
        <f t="shared" si="0"/>
        <v/>
      </c>
      <c r="L28" s="359" t="str">
        <f t="shared" si="1"/>
        <v/>
      </c>
      <c r="M28" s="349" t="str">
        <f t="shared" si="2"/>
        <v/>
      </c>
      <c r="N28" s="350" t="str">
        <f t="shared" si="3"/>
        <v/>
      </c>
    </row>
    <row r="29" spans="1:26" ht="12.95" customHeight="1">
      <c r="A29" s="250">
        <v>19</v>
      </c>
      <c r="B29" s="315"/>
      <c r="C29" s="110"/>
      <c r="D29" s="110"/>
      <c r="E29" s="110"/>
      <c r="F29" s="110"/>
      <c r="G29" s="110"/>
      <c r="H29" s="110"/>
      <c r="I29" s="110"/>
      <c r="J29" s="110"/>
      <c r="K29" s="351" t="str">
        <f t="shared" si="0"/>
        <v/>
      </c>
      <c r="L29" s="346" t="str">
        <f t="shared" si="1"/>
        <v/>
      </c>
      <c r="M29" s="352" t="str">
        <f t="shared" si="2"/>
        <v/>
      </c>
      <c r="N29" s="353" t="str">
        <f t="shared" si="3"/>
        <v/>
      </c>
    </row>
    <row r="30" spans="1:26" ht="12.95" customHeight="1">
      <c r="A30" s="249">
        <v>20</v>
      </c>
      <c r="B30" s="313"/>
      <c r="C30" s="341"/>
      <c r="D30" s="341"/>
      <c r="E30" s="341"/>
      <c r="F30" s="341"/>
      <c r="G30" s="341"/>
      <c r="H30" s="341"/>
      <c r="I30" s="341"/>
      <c r="J30" s="341"/>
      <c r="K30" s="52" t="str">
        <f t="shared" si="0"/>
        <v/>
      </c>
      <c r="L30" s="359" t="str">
        <f t="shared" si="1"/>
        <v/>
      </c>
      <c r="M30" s="349" t="str">
        <f t="shared" si="2"/>
        <v/>
      </c>
      <c r="N30" s="350" t="str">
        <f t="shared" si="3"/>
        <v/>
      </c>
    </row>
    <row r="31" spans="1:26" ht="12.95" customHeight="1">
      <c r="A31" s="250">
        <v>21</v>
      </c>
      <c r="B31" s="315"/>
      <c r="C31" s="110"/>
      <c r="D31" s="110"/>
      <c r="E31" s="110"/>
      <c r="F31" s="110"/>
      <c r="G31" s="110"/>
      <c r="H31" s="110"/>
      <c r="I31" s="110"/>
      <c r="J31" s="110"/>
      <c r="K31" s="351" t="str">
        <f t="shared" si="0"/>
        <v/>
      </c>
      <c r="L31" s="346" t="str">
        <f t="shared" si="1"/>
        <v/>
      </c>
      <c r="M31" s="352" t="str">
        <f t="shared" si="2"/>
        <v/>
      </c>
      <c r="N31" s="353" t="str">
        <f t="shared" si="3"/>
        <v/>
      </c>
    </row>
    <row r="32" spans="1:26" ht="12.95" customHeight="1">
      <c r="A32" s="249">
        <v>22</v>
      </c>
      <c r="B32" s="313"/>
      <c r="C32" s="341"/>
      <c r="D32" s="341"/>
      <c r="E32" s="341"/>
      <c r="F32" s="341"/>
      <c r="G32" s="341"/>
      <c r="H32" s="341"/>
      <c r="I32" s="341"/>
      <c r="J32" s="341"/>
      <c r="K32" s="52" t="str">
        <f t="shared" si="0"/>
        <v/>
      </c>
      <c r="L32" s="359" t="str">
        <f t="shared" si="1"/>
        <v/>
      </c>
      <c r="M32" s="349" t="str">
        <f t="shared" si="2"/>
        <v/>
      </c>
      <c r="N32" s="350" t="str">
        <f t="shared" si="3"/>
        <v/>
      </c>
    </row>
    <row r="33" spans="1:16" ht="12.95" customHeight="1">
      <c r="A33" s="250">
        <v>23</v>
      </c>
      <c r="B33" s="315"/>
      <c r="C33" s="110"/>
      <c r="D33" s="110"/>
      <c r="E33" s="110"/>
      <c r="F33" s="110"/>
      <c r="G33" s="110"/>
      <c r="H33" s="110"/>
      <c r="I33" s="110"/>
      <c r="J33" s="110"/>
      <c r="K33" s="351" t="str">
        <f t="shared" si="0"/>
        <v/>
      </c>
      <c r="L33" s="346" t="str">
        <f t="shared" si="1"/>
        <v/>
      </c>
      <c r="M33" s="352" t="str">
        <f t="shared" si="2"/>
        <v/>
      </c>
      <c r="N33" s="353" t="str">
        <f t="shared" si="3"/>
        <v/>
      </c>
    </row>
    <row r="34" spans="1:16" ht="12.95" customHeight="1">
      <c r="A34" s="249">
        <v>24</v>
      </c>
      <c r="B34" s="313"/>
      <c r="C34" s="341"/>
      <c r="D34" s="341"/>
      <c r="E34" s="341"/>
      <c r="F34" s="341"/>
      <c r="G34" s="341"/>
      <c r="H34" s="341"/>
      <c r="I34" s="341"/>
      <c r="J34" s="341"/>
      <c r="K34" s="52" t="str">
        <f t="shared" si="0"/>
        <v/>
      </c>
      <c r="L34" s="359" t="str">
        <f t="shared" si="1"/>
        <v/>
      </c>
      <c r="M34" s="349" t="str">
        <f t="shared" si="2"/>
        <v/>
      </c>
      <c r="N34" s="350" t="str">
        <f t="shared" si="3"/>
        <v/>
      </c>
    </row>
    <row r="35" spans="1:16" ht="12.95" customHeight="1">
      <c r="A35" s="250">
        <v>25</v>
      </c>
      <c r="B35" s="315"/>
      <c r="C35" s="110"/>
      <c r="D35" s="110"/>
      <c r="E35" s="110"/>
      <c r="F35" s="110"/>
      <c r="G35" s="110"/>
      <c r="H35" s="110"/>
      <c r="I35" s="110"/>
      <c r="J35" s="110"/>
      <c r="K35" s="351" t="str">
        <f t="shared" si="0"/>
        <v/>
      </c>
      <c r="L35" s="346" t="str">
        <f t="shared" si="1"/>
        <v/>
      </c>
      <c r="M35" s="352" t="str">
        <f t="shared" si="2"/>
        <v/>
      </c>
      <c r="N35" s="353" t="str">
        <f t="shared" si="3"/>
        <v/>
      </c>
    </row>
    <row r="36" spans="1:16" ht="12.95" customHeight="1">
      <c r="A36" s="249">
        <v>26</v>
      </c>
      <c r="B36" s="313"/>
      <c r="C36" s="341"/>
      <c r="D36" s="341"/>
      <c r="E36" s="341"/>
      <c r="F36" s="341"/>
      <c r="G36" s="341"/>
      <c r="H36" s="341"/>
      <c r="I36" s="341"/>
      <c r="J36" s="341"/>
      <c r="K36" s="52" t="str">
        <f t="shared" si="0"/>
        <v/>
      </c>
      <c r="L36" s="359" t="str">
        <f t="shared" si="1"/>
        <v/>
      </c>
      <c r="M36" s="349" t="str">
        <f t="shared" si="2"/>
        <v/>
      </c>
      <c r="N36" s="350" t="str">
        <f t="shared" si="3"/>
        <v/>
      </c>
    </row>
    <row r="37" spans="1:16" ht="12.95" customHeight="1">
      <c r="A37" s="250">
        <v>27</v>
      </c>
      <c r="B37" s="315"/>
      <c r="C37" s="110"/>
      <c r="D37" s="110"/>
      <c r="E37" s="110"/>
      <c r="F37" s="110"/>
      <c r="G37" s="110"/>
      <c r="H37" s="110"/>
      <c r="I37" s="110"/>
      <c r="J37" s="110"/>
      <c r="K37" s="351" t="str">
        <f t="shared" si="0"/>
        <v/>
      </c>
      <c r="L37" s="346" t="str">
        <f t="shared" si="1"/>
        <v/>
      </c>
      <c r="M37" s="352" t="str">
        <f t="shared" si="2"/>
        <v/>
      </c>
      <c r="N37" s="353" t="str">
        <f t="shared" si="3"/>
        <v/>
      </c>
    </row>
    <row r="38" spans="1:16" ht="12.95" customHeight="1">
      <c r="A38" s="249">
        <v>28</v>
      </c>
      <c r="B38" s="313"/>
      <c r="C38" s="341"/>
      <c r="D38" s="341"/>
      <c r="E38" s="341"/>
      <c r="F38" s="341"/>
      <c r="G38" s="341"/>
      <c r="H38" s="341"/>
      <c r="I38" s="341"/>
      <c r="J38" s="341"/>
      <c r="K38" s="52" t="str">
        <f t="shared" si="0"/>
        <v/>
      </c>
      <c r="L38" s="359" t="str">
        <f t="shared" si="1"/>
        <v/>
      </c>
      <c r="M38" s="349" t="str">
        <f t="shared" si="2"/>
        <v/>
      </c>
      <c r="N38" s="350" t="str">
        <f t="shared" si="3"/>
        <v/>
      </c>
    </row>
    <row r="39" spans="1:16" ht="12.95" customHeight="1">
      <c r="A39" s="250">
        <v>29</v>
      </c>
      <c r="B39" s="315"/>
      <c r="C39" s="110"/>
      <c r="D39" s="110"/>
      <c r="E39" s="110"/>
      <c r="F39" s="110"/>
      <c r="G39" s="110"/>
      <c r="H39" s="110"/>
      <c r="I39" s="110"/>
      <c r="J39" s="110"/>
      <c r="K39" s="351" t="str">
        <f t="shared" si="0"/>
        <v/>
      </c>
      <c r="L39" s="346" t="str">
        <f t="shared" si="1"/>
        <v/>
      </c>
      <c r="M39" s="352" t="str">
        <f t="shared" si="2"/>
        <v/>
      </c>
      <c r="N39" s="353" t="str">
        <f t="shared" si="3"/>
        <v/>
      </c>
    </row>
    <row r="40" spans="1:16" ht="12.95" customHeight="1">
      <c r="A40" s="249">
        <v>30</v>
      </c>
      <c r="B40" s="313"/>
      <c r="C40" s="341"/>
      <c r="D40" s="341"/>
      <c r="E40" s="341"/>
      <c r="F40" s="341"/>
      <c r="G40" s="341"/>
      <c r="H40" s="341"/>
      <c r="I40" s="341"/>
      <c r="J40" s="341"/>
      <c r="K40" s="52" t="str">
        <f t="shared" si="0"/>
        <v/>
      </c>
      <c r="L40" s="359" t="str">
        <f t="shared" si="1"/>
        <v/>
      </c>
      <c r="M40" s="349" t="str">
        <f t="shared" si="2"/>
        <v/>
      </c>
      <c r="N40" s="350" t="str">
        <f t="shared" si="3"/>
        <v/>
      </c>
    </row>
    <row r="41" spans="1:16" ht="12.95" customHeight="1" thickBot="1">
      <c r="A41" s="251">
        <v>31</v>
      </c>
      <c r="B41" s="317"/>
      <c r="C41" s="342"/>
      <c r="D41" s="342"/>
      <c r="E41" s="342"/>
      <c r="F41" s="342"/>
      <c r="G41" s="342"/>
      <c r="H41" s="342"/>
      <c r="I41" s="343"/>
      <c r="J41" s="343"/>
      <c r="K41" s="354" t="str">
        <f t="shared" si="0"/>
        <v/>
      </c>
      <c r="L41" s="346" t="str">
        <f t="shared" si="1"/>
        <v/>
      </c>
      <c r="M41" s="355" t="str">
        <f t="shared" si="2"/>
        <v/>
      </c>
      <c r="N41" s="356" t="str">
        <f t="shared" si="3"/>
        <v/>
      </c>
    </row>
    <row r="42" spans="1:16">
      <c r="I42" s="961" t="s">
        <v>121</v>
      </c>
      <c r="J42" s="962"/>
      <c r="K42" s="288">
        <f>SUM(K11:K41)</f>
        <v>0</v>
      </c>
      <c r="L42" s="288">
        <f>SUM(L11:L41)</f>
        <v>0</v>
      </c>
      <c r="M42" s="289">
        <f>SUM(M11:M41)</f>
        <v>0</v>
      </c>
    </row>
    <row r="43" spans="1:16" ht="15.75" thickBot="1">
      <c r="I43" s="963" t="s">
        <v>374</v>
      </c>
      <c r="J43" s="964"/>
      <c r="K43" s="290">
        <f>IFERROR(K42/(31-(COUNTIF((K11:K41),""))),0)</f>
        <v>0</v>
      </c>
      <c r="L43" s="290">
        <f>IFERROR(L42/(31-(COUNTIF((L11:L41),""))),0)</f>
        <v>0</v>
      </c>
      <c r="M43" s="291">
        <f>IFERROR(M42/(31-(COUNTIF((M11:M41),""))),0)</f>
        <v>0</v>
      </c>
    </row>
    <row r="44" spans="1:16" ht="8.1" customHeight="1"/>
    <row r="45" spans="1:16" ht="8.1" customHeight="1">
      <c r="O45" s="46"/>
      <c r="P45" s="46"/>
    </row>
    <row r="46" spans="1:16" ht="15.75" thickBot="1">
      <c r="L46" s="750" t="str">
        <f>Setup!G21</f>
        <v>MARVIN C. ENDOZO</v>
      </c>
      <c r="M46" s="750"/>
      <c r="N46" s="750"/>
      <c r="O46" s="46"/>
      <c r="P46" s="46"/>
    </row>
    <row r="47" spans="1:16">
      <c r="L47" s="957" t="s">
        <v>67</v>
      </c>
      <c r="M47" s="957"/>
      <c r="N47" s="957"/>
    </row>
  </sheetData>
  <mergeCells count="20">
    <mergeCell ref="A1:N1"/>
    <mergeCell ref="A2:N2"/>
    <mergeCell ref="M5:N5"/>
    <mergeCell ref="I42:J42"/>
    <mergeCell ref="I43:J43"/>
    <mergeCell ref="B7:C8"/>
    <mergeCell ref="D5:E5"/>
    <mergeCell ref="D4:E4"/>
    <mergeCell ref="A4:B5"/>
    <mergeCell ref="G5:H5"/>
    <mergeCell ref="A7:A9"/>
    <mergeCell ref="L47:N47"/>
    <mergeCell ref="L46:N46"/>
    <mergeCell ref="D7:E8"/>
    <mergeCell ref="F7:G8"/>
    <mergeCell ref="H7:I8"/>
    <mergeCell ref="J7:J8"/>
    <mergeCell ref="K7:K8"/>
    <mergeCell ref="L7:L8"/>
    <mergeCell ref="M7:M8"/>
  </mergeCells>
  <pageMargins left="0.25" right="0.25" top="0.75" bottom="0.75" header="0.3" footer="0.3"/>
  <pageSetup paperSize="9" scale="76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J42"/>
  <sheetViews>
    <sheetView view="pageBreakPreview" topLeftCell="C1" zoomScaleNormal="100" zoomScaleSheetLayoutView="100" workbookViewId="0">
      <selection activeCell="Y8" sqref="Y8"/>
    </sheetView>
  </sheetViews>
  <sheetFormatPr defaultRowHeight="15"/>
  <cols>
    <col min="1" max="1" width="4.7109375" customWidth="1"/>
    <col min="2" max="23" width="6.7109375" customWidth="1"/>
    <col min="25" max="35" width="10.7109375" style="252" customWidth="1"/>
  </cols>
  <sheetData>
    <row r="1" spans="1:36" ht="26.25">
      <c r="A1" s="928" t="s">
        <v>304</v>
      </c>
      <c r="B1" s="928"/>
      <c r="C1" s="928"/>
      <c r="D1" s="928"/>
      <c r="E1" s="928"/>
      <c r="F1" s="928"/>
      <c r="G1" s="928"/>
      <c r="H1" s="928"/>
      <c r="I1" s="928"/>
      <c r="J1" s="928"/>
      <c r="K1" s="928"/>
      <c r="L1" s="928"/>
      <c r="M1" s="928"/>
      <c r="N1" s="928"/>
      <c r="O1" s="928"/>
      <c r="P1" s="928"/>
      <c r="Q1" s="928"/>
      <c r="R1" s="928"/>
      <c r="S1" s="928"/>
      <c r="T1" s="928"/>
      <c r="U1" s="928"/>
      <c r="V1" s="928"/>
      <c r="W1" s="928"/>
      <c r="X1">
        <v>7</v>
      </c>
      <c r="Y1" s="1"/>
    </row>
    <row r="2" spans="1:36" ht="18.75">
      <c r="G2" s="240"/>
      <c r="I2" s="955" t="s">
        <v>445</v>
      </c>
      <c r="J2" s="955"/>
      <c r="K2" s="955"/>
      <c r="L2" s="955"/>
      <c r="M2" s="955"/>
      <c r="N2" s="955"/>
      <c r="O2" s="955"/>
      <c r="R2" s="942" t="str">
        <f>CONCATENATE(miscMonth," ",miscYear)</f>
        <v>SEPTEMBER 2023</v>
      </c>
      <c r="S2" s="942"/>
      <c r="T2" s="942"/>
      <c r="U2" s="942"/>
      <c r="V2" s="942"/>
      <c r="W2" s="942"/>
      <c r="X2">
        <f>IF(X1=1,9,IF(X1=2,10,IF(X1=3,11,IF(X1=4,12,IF(X1=5,13,IF(X1=6,14,IF(X1=7,15,IF(X1=8,16,IF(X1=9,17,IF(X1=10,18,IF(X1=11,19,IF(X1=12,20,IF(X1=13,21,IF(X1=14,22,IF(X1=15,23,IF(X1=16,24,IF(X1=17,25,IF(X1=18,26,IF(X1=19,27,IF(X1=20,28,IF(X1=21,29,IF(X1=22,30,IF(X1=23,31,IF(X1=24,32,IF(X1=25,33,IF(X1=26,34,IF(X1=27,35,IF(X1=28,36,IF(X1=29,37,IF(X1=30,38,IF(X1=31,39,)))))))))))))))))))))))))))))))</f>
        <v>15</v>
      </c>
      <c r="Y2" s="1" t="s">
        <v>497</v>
      </c>
      <c r="Z2" s="1">
        <v>2023</v>
      </c>
      <c r="AA2" s="1"/>
      <c r="AB2" s="1"/>
      <c r="AC2" s="1"/>
      <c r="AD2" s="1"/>
      <c r="AE2" s="1"/>
      <c r="AF2" s="1"/>
      <c r="AG2" s="1"/>
    </row>
    <row r="3" spans="1:36" ht="15.75" thickBot="1">
      <c r="A3" s="240"/>
      <c r="B3" s="240"/>
      <c r="C3" s="240"/>
      <c r="D3" s="240"/>
      <c r="E3" s="240"/>
      <c r="F3" s="240"/>
      <c r="G3" s="240"/>
      <c r="P3" s="243"/>
      <c r="Q3" s="243"/>
      <c r="R3" s="243"/>
      <c r="S3" s="243"/>
      <c r="T3" s="243"/>
      <c r="U3" s="243"/>
      <c r="Y3" s="1"/>
      <c r="Z3" s="1"/>
    </row>
    <row r="4" spans="1:36" ht="15.75" thickBot="1">
      <c r="A4" s="930" t="s">
        <v>311</v>
      </c>
      <c r="B4" s="931"/>
      <c r="C4" s="931"/>
      <c r="D4" s="929" t="s">
        <v>310</v>
      </c>
      <c r="E4" s="929"/>
      <c r="F4" s="932">
        <v>11.97</v>
      </c>
      <c r="G4" s="932"/>
      <c r="H4" s="929" t="s">
        <v>309</v>
      </c>
      <c r="I4" s="929"/>
      <c r="J4" s="932">
        <v>12.12</v>
      </c>
      <c r="K4" s="932"/>
      <c r="L4" s="929" t="s">
        <v>308</v>
      </c>
      <c r="M4" s="929"/>
      <c r="N4" s="932">
        <f>IFERROR(((aftDraft+fwdDraft)/2),"")</f>
        <v>12.045</v>
      </c>
      <c r="O4" s="932"/>
      <c r="P4" s="929" t="s">
        <v>307</v>
      </c>
      <c r="Q4" s="929"/>
      <c r="R4" s="932">
        <f>IFERROR(aftDraft-fwdDraft,"")</f>
        <v>0.149999999999999</v>
      </c>
      <c r="S4" s="932"/>
      <c r="T4" s="934" t="s">
        <v>306</v>
      </c>
      <c r="U4" s="934"/>
      <c r="V4" s="932" t="str">
        <f>IF(X4=-4,"4 Port",IF(X4=-3,"3 Port",IF(X4=-2,"2 Port",IF(X4=-1,"1 Port",IF(X4=0,"0",IF(X4=1,"1 Stbd",IF(X4=2,"2 Stbd",IF(X4=3,"3 Stbd",IF(X4=4,"4 Stbd")))))))))</f>
        <v>0</v>
      </c>
      <c r="W4" s="933"/>
      <c r="X4">
        <v>0</v>
      </c>
      <c r="Y4" s="1">
        <f>1*trimDraftTrue</f>
        <v>0.149999999999999</v>
      </c>
      <c r="Z4" s="1"/>
      <c r="AA4" s="1"/>
      <c r="AB4" s="1"/>
      <c r="AC4" s="1"/>
      <c r="AD4" s="1"/>
      <c r="AE4" s="1"/>
      <c r="AF4" s="1"/>
      <c r="AG4" s="1"/>
    </row>
    <row r="5" spans="1:36" ht="6" customHeight="1" thickBot="1">
      <c r="A5" s="241"/>
      <c r="B5" s="241"/>
      <c r="C5" s="245"/>
      <c r="D5" s="245"/>
      <c r="E5" s="241"/>
      <c r="F5" s="241"/>
      <c r="G5" s="245"/>
      <c r="H5" s="245"/>
      <c r="I5" s="8"/>
      <c r="J5" s="8"/>
      <c r="K5" s="189"/>
      <c r="L5" s="189"/>
      <c r="M5" s="8"/>
      <c r="N5" s="8"/>
      <c r="O5" s="189"/>
      <c r="P5" s="189"/>
      <c r="Q5" s="244"/>
      <c r="R5" s="244"/>
      <c r="S5" s="243"/>
      <c r="T5" s="244"/>
      <c r="U5" s="244"/>
      <c r="Y5" s="1"/>
      <c r="Z5" s="1"/>
      <c r="AA5" s="1"/>
      <c r="AB5" s="1"/>
      <c r="AC5" s="1"/>
      <c r="AD5" s="1"/>
      <c r="AE5" s="1"/>
      <c r="AF5" s="1"/>
      <c r="AG5" s="1"/>
    </row>
    <row r="6" spans="1:36" ht="15" customHeight="1">
      <c r="A6" s="939" t="s">
        <v>298</v>
      </c>
      <c r="B6" s="943" t="s">
        <v>302</v>
      </c>
      <c r="C6" s="944"/>
      <c r="D6" s="935" t="s">
        <v>313</v>
      </c>
      <c r="E6" s="936"/>
      <c r="F6" s="947" t="s">
        <v>411</v>
      </c>
      <c r="G6" s="948"/>
      <c r="H6" s="951" t="s">
        <v>479</v>
      </c>
      <c r="I6" s="952"/>
      <c r="J6" s="951" t="s">
        <v>480</v>
      </c>
      <c r="K6" s="952"/>
      <c r="L6" s="947" t="s">
        <v>303</v>
      </c>
      <c r="M6" s="948"/>
      <c r="N6" s="935" t="s">
        <v>299</v>
      </c>
      <c r="O6" s="936"/>
      <c r="P6" s="935" t="s">
        <v>301</v>
      </c>
      <c r="Q6" s="936"/>
      <c r="R6" s="935" t="s">
        <v>413</v>
      </c>
      <c r="S6" s="936"/>
      <c r="T6" s="935" t="s">
        <v>312</v>
      </c>
      <c r="U6" s="936"/>
      <c r="V6" s="935" t="s">
        <v>412</v>
      </c>
      <c r="W6" s="936"/>
      <c r="Z6" s="193" t="s">
        <v>315</v>
      </c>
      <c r="AA6" s="193" t="s">
        <v>316</v>
      </c>
      <c r="AB6" s="193"/>
      <c r="AC6" s="193" t="s">
        <v>481</v>
      </c>
      <c r="AD6" s="193" t="s">
        <v>482</v>
      </c>
      <c r="AE6" s="193"/>
      <c r="AF6" s="193" t="s">
        <v>319</v>
      </c>
      <c r="AG6" s="193" t="s">
        <v>321</v>
      </c>
      <c r="AH6" s="193" t="s">
        <v>414</v>
      </c>
      <c r="AI6" s="241" t="s">
        <v>323</v>
      </c>
      <c r="AJ6" s="241" t="s">
        <v>325</v>
      </c>
    </row>
    <row r="7" spans="1:36" ht="15" customHeight="1">
      <c r="A7" s="940"/>
      <c r="B7" s="945"/>
      <c r="C7" s="946"/>
      <c r="D7" s="937"/>
      <c r="E7" s="938"/>
      <c r="F7" s="949"/>
      <c r="G7" s="950"/>
      <c r="H7" s="953"/>
      <c r="I7" s="954"/>
      <c r="J7" s="953"/>
      <c r="K7" s="954"/>
      <c r="L7" s="949"/>
      <c r="M7" s="950"/>
      <c r="N7" s="937"/>
      <c r="O7" s="938"/>
      <c r="P7" s="937"/>
      <c r="Q7" s="938"/>
      <c r="R7" s="937"/>
      <c r="S7" s="938"/>
      <c r="T7" s="937"/>
      <c r="U7" s="938"/>
      <c r="V7" s="937"/>
      <c r="W7" s="938"/>
      <c r="Z7" s="193" t="s">
        <v>314</v>
      </c>
      <c r="AA7" s="193" t="s">
        <v>300</v>
      </c>
      <c r="AB7" s="193"/>
      <c r="AC7" s="193" t="s">
        <v>317</v>
      </c>
      <c r="AD7" s="193" t="s">
        <v>483</v>
      </c>
      <c r="AE7" s="193"/>
      <c r="AF7" s="193" t="s">
        <v>320</v>
      </c>
      <c r="AG7" s="193" t="s">
        <v>322</v>
      </c>
      <c r="AH7" s="193" t="s">
        <v>319</v>
      </c>
      <c r="AI7" s="241" t="s">
        <v>324</v>
      </c>
      <c r="AJ7" s="241" t="s">
        <v>324</v>
      </c>
    </row>
    <row r="8" spans="1:36" ht="15" customHeight="1" thickBot="1">
      <c r="A8" s="941"/>
      <c r="B8" s="246" t="s">
        <v>305</v>
      </c>
      <c r="C8" s="247" t="s">
        <v>60</v>
      </c>
      <c r="D8" s="246" t="s">
        <v>305</v>
      </c>
      <c r="E8" s="247" t="s">
        <v>60</v>
      </c>
      <c r="F8" s="246" t="s">
        <v>305</v>
      </c>
      <c r="G8" s="247" t="s">
        <v>60</v>
      </c>
      <c r="H8" s="246" t="s">
        <v>305</v>
      </c>
      <c r="I8" s="247" t="s">
        <v>60</v>
      </c>
      <c r="J8" s="246" t="s">
        <v>305</v>
      </c>
      <c r="K8" s="247" t="s">
        <v>60</v>
      </c>
      <c r="L8" s="246" t="s">
        <v>305</v>
      </c>
      <c r="M8" s="247" t="s">
        <v>60</v>
      </c>
      <c r="N8" s="246" t="s">
        <v>305</v>
      </c>
      <c r="O8" s="247" t="s">
        <v>60</v>
      </c>
      <c r="P8" s="246" t="s">
        <v>305</v>
      </c>
      <c r="Q8" s="247" t="s">
        <v>60</v>
      </c>
      <c r="R8" s="246" t="s">
        <v>305</v>
      </c>
      <c r="S8" s="247" t="s">
        <v>60</v>
      </c>
      <c r="T8" s="246" t="s">
        <v>305</v>
      </c>
      <c r="U8" s="247" t="s">
        <v>60</v>
      </c>
      <c r="V8" s="246" t="s">
        <v>305</v>
      </c>
      <c r="W8" s="247" t="s">
        <v>60</v>
      </c>
      <c r="X8" t="str">
        <f>ADDRESS(X2,2,1,1)</f>
        <v>$B$15</v>
      </c>
      <c r="Y8" t="str">
        <f>ADDRESS(X2,3,1,1)</f>
        <v>$C$15</v>
      </c>
      <c r="Z8" s="1"/>
      <c r="AA8" s="1"/>
      <c r="AB8" s="1"/>
      <c r="AC8" s="1"/>
      <c r="AD8" s="1"/>
      <c r="AE8" s="1"/>
      <c r="AF8" s="1"/>
      <c r="AG8" s="1"/>
    </row>
    <row r="9" spans="1:36" ht="12" customHeight="1">
      <c r="A9" s="248">
        <v>1</v>
      </c>
      <c r="B9" s="311"/>
      <c r="C9" s="312"/>
      <c r="D9" s="311"/>
      <c r="E9" s="312"/>
      <c r="F9" s="311"/>
      <c r="G9" s="312"/>
      <c r="H9" s="311"/>
      <c r="I9" s="312"/>
      <c r="J9" s="311"/>
      <c r="K9" s="312"/>
      <c r="L9" s="311"/>
      <c r="M9" s="312"/>
      <c r="N9" s="311"/>
      <c r="O9" s="312"/>
      <c r="P9" s="311"/>
      <c r="Q9" s="312"/>
      <c r="R9" s="311"/>
      <c r="S9" s="312"/>
      <c r="T9" s="311"/>
      <c r="U9" s="312"/>
      <c r="V9" s="311"/>
      <c r="W9" s="312"/>
      <c r="X9" t="str">
        <f>ADDRESS(X2,4,1,1)</f>
        <v>$D$15</v>
      </c>
      <c r="Y9" t="str">
        <f>ADDRESS(X2,5,1,1)</f>
        <v>$E$15</v>
      </c>
      <c r="Z9" s="1"/>
      <c r="AA9" s="1"/>
      <c r="AB9" s="1"/>
      <c r="AC9" s="1"/>
      <c r="AD9" s="1"/>
      <c r="AE9" s="1"/>
      <c r="AF9" s="1"/>
      <c r="AG9" s="1"/>
    </row>
    <row r="10" spans="1:36" ht="12" customHeight="1">
      <c r="A10" s="249">
        <v>2</v>
      </c>
      <c r="B10" s="313"/>
      <c r="C10" s="314"/>
      <c r="D10" s="313"/>
      <c r="E10" s="314"/>
      <c r="F10" s="313"/>
      <c r="G10" s="314"/>
      <c r="H10" s="313"/>
      <c r="I10" s="314"/>
      <c r="J10" s="313"/>
      <c r="K10" s="314"/>
      <c r="L10" s="313"/>
      <c r="M10" s="314"/>
      <c r="N10" s="313"/>
      <c r="O10" s="314"/>
      <c r="P10" s="313"/>
      <c r="Q10" s="314"/>
      <c r="R10" s="313"/>
      <c r="S10" s="314"/>
      <c r="T10" s="313"/>
      <c r="U10" s="314"/>
      <c r="V10" s="313"/>
      <c r="W10" s="314"/>
      <c r="X10" t="str">
        <f>ADDRESS(X2,6,1,1)</f>
        <v>$F$15</v>
      </c>
      <c r="Y10" t="str">
        <f>ADDRESS(X2,7,1,1)</f>
        <v>$G$15</v>
      </c>
      <c r="Z10" s="1"/>
      <c r="AA10" s="1"/>
      <c r="AB10" s="1"/>
      <c r="AC10" s="1"/>
      <c r="AD10" s="1"/>
      <c r="AE10" s="1"/>
      <c r="AF10" s="1"/>
      <c r="AG10" s="1"/>
    </row>
    <row r="11" spans="1:36" ht="12" customHeight="1">
      <c r="A11" s="250">
        <v>3</v>
      </c>
      <c r="B11" s="315"/>
      <c r="C11" s="316"/>
      <c r="D11" s="315"/>
      <c r="E11" s="316"/>
      <c r="F11" s="315"/>
      <c r="G11" s="316"/>
      <c r="H11" s="315"/>
      <c r="I11" s="316"/>
      <c r="J11" s="315"/>
      <c r="K11" s="316"/>
      <c r="L11" s="315"/>
      <c r="M11" s="316"/>
      <c r="N11" s="315"/>
      <c r="O11" s="316"/>
      <c r="P11" s="315"/>
      <c r="Q11" s="316"/>
      <c r="R11" s="315"/>
      <c r="S11" s="316"/>
      <c r="T11" s="315"/>
      <c r="U11" s="316"/>
      <c r="V11" s="315"/>
      <c r="W11" s="316"/>
      <c r="X11" t="str">
        <f>ADDRESS(X2,8,1,1)</f>
        <v>$H$15</v>
      </c>
      <c r="Y11" t="str">
        <f>ADDRESS(X2,9,1,1)</f>
        <v>$I$15</v>
      </c>
      <c r="Z11" s="1"/>
      <c r="AA11" s="1"/>
      <c r="AB11" s="1"/>
      <c r="AC11" s="1"/>
      <c r="AD11" s="1"/>
      <c r="AE11" s="1"/>
      <c r="AF11" s="1"/>
      <c r="AG11" s="1"/>
    </row>
    <row r="12" spans="1:36" ht="12" customHeight="1">
      <c r="A12" s="249">
        <v>4</v>
      </c>
      <c r="B12" s="313"/>
      <c r="C12" s="314"/>
      <c r="D12" s="313"/>
      <c r="E12" s="314"/>
      <c r="F12" s="313"/>
      <c r="G12" s="314"/>
      <c r="H12" s="313"/>
      <c r="I12" s="314"/>
      <c r="J12" s="313"/>
      <c r="K12" s="314"/>
      <c r="L12" s="313"/>
      <c r="M12" s="314"/>
      <c r="N12" s="313"/>
      <c r="O12" s="314"/>
      <c r="P12" s="313"/>
      <c r="Q12" s="314"/>
      <c r="R12" s="313"/>
      <c r="S12" s="314"/>
      <c r="T12" s="313"/>
      <c r="U12" s="314"/>
      <c r="V12" s="313"/>
      <c r="W12" s="314"/>
      <c r="X12" t="str">
        <f>ADDRESS(X2,10,1,1)</f>
        <v>$J$15</v>
      </c>
      <c r="Y12" t="str">
        <f>ADDRESS(X2,11,1,1)</f>
        <v>$K$15</v>
      </c>
      <c r="Z12" s="1"/>
      <c r="AA12" s="1"/>
      <c r="AB12" s="1"/>
      <c r="AC12" s="1"/>
      <c r="AD12" s="1"/>
      <c r="AE12" s="1"/>
      <c r="AF12" s="1"/>
      <c r="AG12" s="1"/>
    </row>
    <row r="13" spans="1:36" ht="12" customHeight="1">
      <c r="A13" s="250">
        <v>5</v>
      </c>
      <c r="B13" s="315"/>
      <c r="C13" s="316"/>
      <c r="D13" s="315"/>
      <c r="E13" s="316"/>
      <c r="F13" s="315"/>
      <c r="G13" s="316"/>
      <c r="H13" s="315"/>
      <c r="I13" s="316"/>
      <c r="J13" s="315"/>
      <c r="K13" s="316"/>
      <c r="L13" s="315"/>
      <c r="M13" s="316"/>
      <c r="N13" s="315"/>
      <c r="O13" s="316"/>
      <c r="P13" s="315"/>
      <c r="Q13" s="316"/>
      <c r="R13" s="315"/>
      <c r="S13" s="316"/>
      <c r="T13" s="315"/>
      <c r="U13" s="316"/>
      <c r="V13" s="315"/>
      <c r="W13" s="316"/>
      <c r="X13" t="str">
        <f>ADDRESS(X2,12,1,1)</f>
        <v>$L$15</v>
      </c>
      <c r="Y13" t="str">
        <f>ADDRESS(X2,13,1,1)</f>
        <v>$M$15</v>
      </c>
    </row>
    <row r="14" spans="1:36" ht="12" customHeight="1">
      <c r="A14" s="249">
        <v>6</v>
      </c>
      <c r="B14" s="313"/>
      <c r="C14" s="314"/>
      <c r="D14" s="313"/>
      <c r="E14" s="314"/>
      <c r="F14" s="313"/>
      <c r="G14" s="314"/>
      <c r="H14" s="313"/>
      <c r="I14" s="314"/>
      <c r="J14" s="313"/>
      <c r="K14" s="314"/>
      <c r="L14" s="313"/>
      <c r="M14" s="314"/>
      <c r="N14" s="313"/>
      <c r="O14" s="314"/>
      <c r="P14" s="313"/>
      <c r="Q14" s="314"/>
      <c r="R14" s="313"/>
      <c r="S14" s="314"/>
      <c r="T14" s="313"/>
      <c r="U14" s="314"/>
      <c r="V14" s="313"/>
      <c r="W14" s="314"/>
      <c r="X14" t="str">
        <f>ADDRESS(X2,14,1,1)</f>
        <v>$N$15</v>
      </c>
      <c r="Y14" t="str">
        <f>ADDRESS(X2,15,1,1)</f>
        <v>$O$15</v>
      </c>
    </row>
    <row r="15" spans="1:36" ht="12" customHeight="1">
      <c r="A15" s="250">
        <v>7</v>
      </c>
      <c r="B15" s="315"/>
      <c r="C15" s="316"/>
      <c r="D15" s="315"/>
      <c r="E15" s="316"/>
      <c r="F15" s="315"/>
      <c r="G15" s="316"/>
      <c r="H15" s="315"/>
      <c r="I15" s="316"/>
      <c r="J15" s="315"/>
      <c r="K15" s="316"/>
      <c r="L15" s="315"/>
      <c r="M15" s="316"/>
      <c r="N15" s="315"/>
      <c r="O15" s="316"/>
      <c r="P15" s="315"/>
      <c r="Q15" s="316"/>
      <c r="R15" s="315"/>
      <c r="S15" s="316"/>
      <c r="T15" s="315"/>
      <c r="U15" s="316"/>
      <c r="V15" s="315"/>
      <c r="W15" s="316"/>
      <c r="X15" t="str">
        <f>ADDRESS(X2,16,1,1)</f>
        <v>$P$15</v>
      </c>
      <c r="Y15" t="str">
        <f>ADDRESS(X2,17,1,1)</f>
        <v>$Q$15</v>
      </c>
    </row>
    <row r="16" spans="1:36" ht="12" customHeight="1">
      <c r="A16" s="249">
        <v>8</v>
      </c>
      <c r="B16" s="313"/>
      <c r="C16" s="314"/>
      <c r="D16" s="313"/>
      <c r="E16" s="314"/>
      <c r="F16" s="313"/>
      <c r="G16" s="314"/>
      <c r="H16" s="313"/>
      <c r="I16" s="314"/>
      <c r="J16" s="313"/>
      <c r="K16" s="314"/>
      <c r="L16" s="313"/>
      <c r="M16" s="314"/>
      <c r="N16" s="313"/>
      <c r="O16" s="314"/>
      <c r="P16" s="313"/>
      <c r="Q16" s="314"/>
      <c r="R16" s="313"/>
      <c r="S16" s="314"/>
      <c r="T16" s="313"/>
      <c r="U16" s="314"/>
      <c r="V16" s="313"/>
      <c r="W16" s="314"/>
      <c r="X16" t="str">
        <f>ADDRESS(X2,18,1,1)</f>
        <v>$R$15</v>
      </c>
      <c r="Y16" t="str">
        <f>ADDRESS(X2,19,1,1)</f>
        <v>$S$15</v>
      </c>
    </row>
    <row r="17" spans="1:25" ht="12" customHeight="1">
      <c r="A17" s="250">
        <v>9</v>
      </c>
      <c r="B17" s="315"/>
      <c r="C17" s="316"/>
      <c r="D17" s="315"/>
      <c r="E17" s="316"/>
      <c r="F17" s="315"/>
      <c r="G17" s="316"/>
      <c r="H17" s="315"/>
      <c r="I17" s="316"/>
      <c r="J17" s="315"/>
      <c r="K17" s="316"/>
      <c r="L17" s="315"/>
      <c r="M17" s="316"/>
      <c r="N17" s="315"/>
      <c r="O17" s="316"/>
      <c r="P17" s="315"/>
      <c r="Q17" s="316"/>
      <c r="R17" s="315"/>
      <c r="S17" s="316"/>
      <c r="T17" s="315"/>
      <c r="U17" s="316"/>
      <c r="V17" s="315"/>
      <c r="W17" s="316"/>
      <c r="X17" t="str">
        <f>ADDRESS(X2,20,1,1)</f>
        <v>$T$15</v>
      </c>
      <c r="Y17" t="str">
        <f>ADDRESS(X2,21,1,1)</f>
        <v>$U$15</v>
      </c>
    </row>
    <row r="18" spans="1:25" ht="12" customHeight="1">
      <c r="A18" s="249">
        <v>10</v>
      </c>
      <c r="B18" s="313"/>
      <c r="C18" s="314"/>
      <c r="D18" s="313"/>
      <c r="E18" s="314"/>
      <c r="F18" s="313"/>
      <c r="G18" s="314"/>
      <c r="H18" s="313"/>
      <c r="I18" s="314"/>
      <c r="J18" s="313"/>
      <c r="K18" s="314"/>
      <c r="L18" s="313"/>
      <c r="M18" s="314"/>
      <c r="N18" s="313"/>
      <c r="O18" s="314"/>
      <c r="P18" s="313"/>
      <c r="Q18" s="314"/>
      <c r="R18" s="313"/>
      <c r="S18" s="314"/>
      <c r="T18" s="313"/>
      <c r="U18" s="314"/>
      <c r="V18" s="313"/>
      <c r="W18" s="314"/>
      <c r="X18" t="str">
        <f>ADDRESS(X2,22,1,1)</f>
        <v>$V$15</v>
      </c>
      <c r="Y18" t="str">
        <f>ADDRESS(X2,23,1,1)</f>
        <v>$W$15</v>
      </c>
    </row>
    <row r="19" spans="1:25" ht="12" customHeight="1">
      <c r="A19" s="250">
        <v>11</v>
      </c>
      <c r="B19" s="315"/>
      <c r="C19" s="316"/>
      <c r="D19" s="315"/>
      <c r="E19" s="316"/>
      <c r="F19" s="315"/>
      <c r="G19" s="316"/>
      <c r="H19" s="315"/>
      <c r="I19" s="316"/>
      <c r="J19" s="315"/>
      <c r="K19" s="316"/>
      <c r="L19" s="315"/>
      <c r="M19" s="316"/>
      <c r="N19" s="315"/>
      <c r="O19" s="316"/>
      <c r="P19" s="315"/>
      <c r="Q19" s="316"/>
      <c r="R19" s="315"/>
      <c r="S19" s="316"/>
      <c r="T19" s="315"/>
      <c r="U19" s="316"/>
      <c r="V19" s="315"/>
      <c r="W19" s="316"/>
      <c r="Y19" s="1"/>
    </row>
    <row r="20" spans="1:25" ht="12" customHeight="1">
      <c r="A20" s="249">
        <v>12</v>
      </c>
      <c r="B20" s="313"/>
      <c r="C20" s="314"/>
      <c r="D20" s="313"/>
      <c r="E20" s="314"/>
      <c r="F20" s="313"/>
      <c r="G20" s="314"/>
      <c r="H20" s="313"/>
      <c r="I20" s="314"/>
      <c r="J20" s="313"/>
      <c r="K20" s="314"/>
      <c r="L20" s="313"/>
      <c r="M20" s="314"/>
      <c r="N20" s="313"/>
      <c r="O20" s="314"/>
      <c r="P20" s="313"/>
      <c r="Q20" s="314"/>
      <c r="R20" s="313"/>
      <c r="S20" s="314"/>
      <c r="T20" s="313"/>
      <c r="U20" s="314"/>
      <c r="V20" s="313"/>
      <c r="W20" s="314"/>
      <c r="Y20" s="1"/>
    </row>
    <row r="21" spans="1:25" ht="12" customHeight="1">
      <c r="A21" s="250">
        <v>13</v>
      </c>
      <c r="B21" s="315"/>
      <c r="C21" s="316"/>
      <c r="D21" s="315"/>
      <c r="E21" s="316"/>
      <c r="F21" s="315"/>
      <c r="G21" s="316"/>
      <c r="H21" s="315"/>
      <c r="I21" s="316"/>
      <c r="J21" s="315"/>
      <c r="K21" s="316"/>
      <c r="L21" s="315"/>
      <c r="M21" s="316"/>
      <c r="N21" s="315"/>
      <c r="O21" s="316"/>
      <c r="P21" s="315"/>
      <c r="Q21" s="316"/>
      <c r="R21" s="315"/>
      <c r="S21" s="316"/>
      <c r="T21" s="315"/>
      <c r="U21" s="316"/>
      <c r="V21" s="315"/>
      <c r="W21" s="316"/>
      <c r="Y21" s="1"/>
    </row>
    <row r="22" spans="1:25" ht="12" customHeight="1">
      <c r="A22" s="249">
        <v>14</v>
      </c>
      <c r="B22" s="313"/>
      <c r="C22" s="314"/>
      <c r="D22" s="313"/>
      <c r="E22" s="314"/>
      <c r="F22" s="313"/>
      <c r="G22" s="314"/>
      <c r="H22" s="313"/>
      <c r="I22" s="314"/>
      <c r="J22" s="313"/>
      <c r="K22" s="314"/>
      <c r="L22" s="313"/>
      <c r="M22" s="314"/>
      <c r="N22" s="313"/>
      <c r="O22" s="314"/>
      <c r="P22" s="313"/>
      <c r="Q22" s="314"/>
      <c r="R22" s="313"/>
      <c r="S22" s="314"/>
      <c r="T22" s="313"/>
      <c r="U22" s="314"/>
      <c r="V22" s="313"/>
      <c r="W22" s="314"/>
      <c r="Y22" s="1"/>
    </row>
    <row r="23" spans="1:25" ht="12" customHeight="1">
      <c r="A23" s="250">
        <v>15</v>
      </c>
      <c r="B23" s="315"/>
      <c r="C23" s="316"/>
      <c r="D23" s="315"/>
      <c r="E23" s="316"/>
      <c r="F23" s="315"/>
      <c r="G23" s="316"/>
      <c r="H23" s="315"/>
      <c r="I23" s="316"/>
      <c r="J23" s="315"/>
      <c r="K23" s="316"/>
      <c r="L23" s="315"/>
      <c r="M23" s="316"/>
      <c r="N23" s="315"/>
      <c r="O23" s="316"/>
      <c r="P23" s="315"/>
      <c r="Q23" s="316"/>
      <c r="R23" s="315"/>
      <c r="S23" s="316"/>
      <c r="T23" s="315"/>
      <c r="U23" s="316"/>
      <c r="V23" s="315"/>
      <c r="W23" s="316"/>
      <c r="Y23" s="1"/>
    </row>
    <row r="24" spans="1:25" ht="12" customHeight="1">
      <c r="A24" s="249">
        <v>16</v>
      </c>
      <c r="B24" s="313"/>
      <c r="C24" s="314"/>
      <c r="D24" s="313"/>
      <c r="E24" s="314"/>
      <c r="F24" s="313"/>
      <c r="G24" s="314"/>
      <c r="H24" s="313"/>
      <c r="I24" s="314"/>
      <c r="J24" s="313"/>
      <c r="K24" s="314"/>
      <c r="L24" s="313"/>
      <c r="M24" s="314"/>
      <c r="N24" s="313"/>
      <c r="O24" s="314"/>
      <c r="P24" s="313"/>
      <c r="Q24" s="314"/>
      <c r="R24" s="313"/>
      <c r="S24" s="314"/>
      <c r="T24" s="313"/>
      <c r="U24" s="314"/>
      <c r="V24" s="313"/>
      <c r="W24" s="314"/>
      <c r="Y24" s="1"/>
    </row>
    <row r="25" spans="1:25" ht="12" customHeight="1">
      <c r="A25" s="250">
        <v>17</v>
      </c>
      <c r="B25" s="315"/>
      <c r="C25" s="316"/>
      <c r="D25" s="315"/>
      <c r="E25" s="316"/>
      <c r="F25" s="315"/>
      <c r="G25" s="316"/>
      <c r="H25" s="315"/>
      <c r="I25" s="316"/>
      <c r="J25" s="315"/>
      <c r="K25" s="316"/>
      <c r="L25" s="315"/>
      <c r="M25" s="316"/>
      <c r="N25" s="315"/>
      <c r="O25" s="316"/>
      <c r="P25" s="315"/>
      <c r="Q25" s="316"/>
      <c r="R25" s="315"/>
      <c r="S25" s="316"/>
      <c r="T25" s="315"/>
      <c r="U25" s="316"/>
      <c r="V25" s="315"/>
      <c r="W25" s="316"/>
      <c r="Y25" s="1"/>
    </row>
    <row r="26" spans="1:25" ht="12" customHeight="1">
      <c r="A26" s="249">
        <v>18</v>
      </c>
      <c r="B26" s="313"/>
      <c r="C26" s="314"/>
      <c r="D26" s="313"/>
      <c r="E26" s="314"/>
      <c r="F26" s="313"/>
      <c r="G26" s="314"/>
      <c r="H26" s="313"/>
      <c r="I26" s="314"/>
      <c r="J26" s="313"/>
      <c r="K26" s="314"/>
      <c r="L26" s="313"/>
      <c r="M26" s="314"/>
      <c r="N26" s="313"/>
      <c r="O26" s="314"/>
      <c r="P26" s="313"/>
      <c r="Q26" s="314"/>
      <c r="R26" s="313"/>
      <c r="S26" s="314"/>
      <c r="T26" s="313"/>
      <c r="U26" s="314"/>
      <c r="V26" s="313"/>
      <c r="W26" s="314"/>
      <c r="Y26" s="1"/>
    </row>
    <row r="27" spans="1:25" ht="12" customHeight="1">
      <c r="A27" s="250">
        <v>19</v>
      </c>
      <c r="B27" s="315"/>
      <c r="C27" s="316"/>
      <c r="D27" s="315"/>
      <c r="E27" s="316"/>
      <c r="F27" s="315"/>
      <c r="G27" s="316"/>
      <c r="H27" s="315"/>
      <c r="I27" s="316"/>
      <c r="J27" s="315"/>
      <c r="K27" s="316"/>
      <c r="L27" s="315"/>
      <c r="M27" s="316"/>
      <c r="N27" s="315"/>
      <c r="O27" s="316"/>
      <c r="P27" s="315"/>
      <c r="Q27" s="316"/>
      <c r="R27" s="315"/>
      <c r="S27" s="316"/>
      <c r="T27" s="315"/>
      <c r="U27" s="316"/>
      <c r="V27" s="315"/>
      <c r="W27" s="316"/>
      <c r="Y27" s="1"/>
    </row>
    <row r="28" spans="1:25" ht="12" customHeight="1">
      <c r="A28" s="249">
        <v>20</v>
      </c>
      <c r="B28" s="313"/>
      <c r="C28" s="314"/>
      <c r="D28" s="313"/>
      <c r="E28" s="314"/>
      <c r="F28" s="313"/>
      <c r="G28" s="314"/>
      <c r="H28" s="313"/>
      <c r="I28" s="314"/>
      <c r="J28" s="313"/>
      <c r="K28" s="314"/>
      <c r="L28" s="313"/>
      <c r="M28" s="314"/>
      <c r="N28" s="313"/>
      <c r="O28" s="314"/>
      <c r="P28" s="313"/>
      <c r="Q28" s="314"/>
      <c r="R28" s="313"/>
      <c r="S28" s="314"/>
      <c r="T28" s="313"/>
      <c r="U28" s="314"/>
      <c r="V28" s="313"/>
      <c r="W28" s="314"/>
      <c r="Y28" s="1"/>
    </row>
    <row r="29" spans="1:25" ht="12" customHeight="1">
      <c r="A29" s="250">
        <v>21</v>
      </c>
      <c r="B29" s="315"/>
      <c r="C29" s="316"/>
      <c r="D29" s="315"/>
      <c r="E29" s="316"/>
      <c r="F29" s="315"/>
      <c r="G29" s="316"/>
      <c r="H29" s="315"/>
      <c r="I29" s="316"/>
      <c r="J29" s="315"/>
      <c r="K29" s="316"/>
      <c r="L29" s="315"/>
      <c r="M29" s="316"/>
      <c r="N29" s="315"/>
      <c r="O29" s="316"/>
      <c r="P29" s="315"/>
      <c r="Q29" s="316"/>
      <c r="R29" s="315"/>
      <c r="S29" s="316"/>
      <c r="T29" s="315"/>
      <c r="U29" s="316"/>
      <c r="V29" s="315"/>
      <c r="W29" s="316"/>
      <c r="Y29" s="1"/>
    </row>
    <row r="30" spans="1:25" ht="12" customHeight="1">
      <c r="A30" s="249">
        <v>22</v>
      </c>
      <c r="B30" s="313"/>
      <c r="C30" s="314"/>
      <c r="D30" s="313"/>
      <c r="E30" s="314"/>
      <c r="F30" s="313"/>
      <c r="G30" s="314"/>
      <c r="H30" s="313"/>
      <c r="I30" s="314"/>
      <c r="J30" s="313"/>
      <c r="K30" s="314"/>
      <c r="L30" s="313"/>
      <c r="M30" s="314"/>
      <c r="N30" s="313"/>
      <c r="O30" s="314"/>
      <c r="P30" s="313"/>
      <c r="Q30" s="314"/>
      <c r="R30" s="313"/>
      <c r="S30" s="314"/>
      <c r="T30" s="313"/>
      <c r="U30" s="314"/>
      <c r="V30" s="313"/>
      <c r="W30" s="314"/>
      <c r="Y30" s="1"/>
    </row>
    <row r="31" spans="1:25" ht="12" customHeight="1">
      <c r="A31" s="250">
        <v>23</v>
      </c>
      <c r="B31" s="315"/>
      <c r="C31" s="316"/>
      <c r="D31" s="315"/>
      <c r="E31" s="316"/>
      <c r="F31" s="315"/>
      <c r="G31" s="316"/>
      <c r="H31" s="315"/>
      <c r="I31" s="316"/>
      <c r="J31" s="315"/>
      <c r="K31" s="316"/>
      <c r="L31" s="315"/>
      <c r="M31" s="316"/>
      <c r="N31" s="315"/>
      <c r="O31" s="316"/>
      <c r="P31" s="315"/>
      <c r="Q31" s="316"/>
      <c r="R31" s="315"/>
      <c r="S31" s="316"/>
      <c r="T31" s="315"/>
      <c r="U31" s="316"/>
      <c r="V31" s="315"/>
      <c r="W31" s="316"/>
      <c r="Y31" s="1"/>
    </row>
    <row r="32" spans="1:25" ht="12" customHeight="1">
      <c r="A32" s="249">
        <v>24</v>
      </c>
      <c r="B32" s="313"/>
      <c r="C32" s="314"/>
      <c r="D32" s="313"/>
      <c r="E32" s="314"/>
      <c r="F32" s="313"/>
      <c r="G32" s="314"/>
      <c r="H32" s="313"/>
      <c r="I32" s="314"/>
      <c r="J32" s="313"/>
      <c r="K32" s="314"/>
      <c r="L32" s="313"/>
      <c r="M32" s="314"/>
      <c r="N32" s="313"/>
      <c r="O32" s="314"/>
      <c r="P32" s="313"/>
      <c r="Q32" s="314"/>
      <c r="R32" s="313"/>
      <c r="S32" s="314"/>
      <c r="T32" s="313"/>
      <c r="U32" s="314"/>
      <c r="V32" s="313"/>
      <c r="W32" s="314"/>
      <c r="Y32" s="1"/>
    </row>
    <row r="33" spans="1:25" ht="12" customHeight="1">
      <c r="A33" s="250">
        <v>25</v>
      </c>
      <c r="B33" s="315"/>
      <c r="C33" s="316"/>
      <c r="D33" s="315"/>
      <c r="E33" s="316"/>
      <c r="F33" s="315"/>
      <c r="G33" s="316"/>
      <c r="H33" s="315"/>
      <c r="I33" s="316"/>
      <c r="J33" s="315"/>
      <c r="K33" s="316"/>
      <c r="L33" s="315"/>
      <c r="M33" s="316"/>
      <c r="N33" s="315"/>
      <c r="O33" s="316"/>
      <c r="P33" s="315"/>
      <c r="Q33" s="316"/>
      <c r="R33" s="315"/>
      <c r="S33" s="316"/>
      <c r="T33" s="315"/>
      <c r="U33" s="316"/>
      <c r="V33" s="315"/>
      <c r="W33" s="316"/>
      <c r="Y33" s="1"/>
    </row>
    <row r="34" spans="1:25" ht="12" customHeight="1">
      <c r="A34" s="249">
        <v>26</v>
      </c>
      <c r="B34" s="313"/>
      <c r="C34" s="314"/>
      <c r="D34" s="313"/>
      <c r="E34" s="314"/>
      <c r="F34" s="313"/>
      <c r="G34" s="314"/>
      <c r="H34" s="313"/>
      <c r="I34" s="314"/>
      <c r="J34" s="313"/>
      <c r="K34" s="314"/>
      <c r="L34" s="313"/>
      <c r="M34" s="314"/>
      <c r="N34" s="313"/>
      <c r="O34" s="314"/>
      <c r="P34" s="313"/>
      <c r="Q34" s="314"/>
      <c r="R34" s="313"/>
      <c r="S34" s="314"/>
      <c r="T34" s="313"/>
      <c r="U34" s="314"/>
      <c r="V34" s="313"/>
      <c r="W34" s="314"/>
    </row>
    <row r="35" spans="1:25" ht="12" customHeight="1">
      <c r="A35" s="250">
        <v>27</v>
      </c>
      <c r="B35" s="315"/>
      <c r="C35" s="316"/>
      <c r="D35" s="315"/>
      <c r="E35" s="316"/>
      <c r="F35" s="315"/>
      <c r="G35" s="316"/>
      <c r="H35" s="315"/>
      <c r="I35" s="316"/>
      <c r="J35" s="315"/>
      <c r="K35" s="316"/>
      <c r="L35" s="315"/>
      <c r="M35" s="316"/>
      <c r="N35" s="315"/>
      <c r="O35" s="316"/>
      <c r="P35" s="315"/>
      <c r="Q35" s="316"/>
      <c r="R35" s="315"/>
      <c r="S35" s="316"/>
      <c r="T35" s="315"/>
      <c r="U35" s="316"/>
      <c r="V35" s="315"/>
      <c r="W35" s="316"/>
    </row>
    <row r="36" spans="1:25" ht="12" customHeight="1">
      <c r="A36" s="249">
        <v>28</v>
      </c>
      <c r="B36" s="313"/>
      <c r="C36" s="314"/>
      <c r="D36" s="313"/>
      <c r="E36" s="314"/>
      <c r="F36" s="313"/>
      <c r="G36" s="314"/>
      <c r="H36" s="313"/>
      <c r="I36" s="314"/>
      <c r="J36" s="313"/>
      <c r="K36" s="314"/>
      <c r="L36" s="313"/>
      <c r="M36" s="314"/>
      <c r="N36" s="313"/>
      <c r="O36" s="314"/>
      <c r="P36" s="313"/>
      <c r="Q36" s="314"/>
      <c r="R36" s="313"/>
      <c r="S36" s="314"/>
      <c r="T36" s="313"/>
      <c r="U36" s="314"/>
      <c r="V36" s="313"/>
      <c r="W36" s="314"/>
    </row>
    <row r="37" spans="1:25" ht="12" customHeight="1">
      <c r="A37" s="250">
        <v>29</v>
      </c>
      <c r="B37" s="315"/>
      <c r="C37" s="316"/>
      <c r="D37" s="315"/>
      <c r="E37" s="316"/>
      <c r="F37" s="315"/>
      <c r="G37" s="316"/>
      <c r="H37" s="315"/>
      <c r="I37" s="316"/>
      <c r="J37" s="315"/>
      <c r="K37" s="316"/>
      <c r="L37" s="315"/>
      <c r="M37" s="316"/>
      <c r="N37" s="315"/>
      <c r="O37" s="316"/>
      <c r="P37" s="315"/>
      <c r="Q37" s="316"/>
      <c r="R37" s="315"/>
      <c r="S37" s="316"/>
      <c r="T37" s="315"/>
      <c r="U37" s="316"/>
      <c r="V37" s="315"/>
      <c r="W37" s="316"/>
    </row>
    <row r="38" spans="1:25" ht="12" customHeight="1">
      <c r="A38" s="249">
        <v>30</v>
      </c>
      <c r="B38" s="313"/>
      <c r="C38" s="314"/>
      <c r="D38" s="313"/>
      <c r="E38" s="314"/>
      <c r="F38" s="313"/>
      <c r="G38" s="314"/>
      <c r="H38" s="313"/>
      <c r="I38" s="314"/>
      <c r="J38" s="313"/>
      <c r="K38" s="314"/>
      <c r="L38" s="313"/>
      <c r="M38" s="314"/>
      <c r="N38" s="313"/>
      <c r="O38" s="314"/>
      <c r="P38" s="313"/>
      <c r="Q38" s="314"/>
      <c r="R38" s="313"/>
      <c r="S38" s="314"/>
      <c r="T38" s="313"/>
      <c r="U38" s="314"/>
      <c r="V38" s="313"/>
      <c r="W38" s="314"/>
    </row>
    <row r="39" spans="1:25" ht="12" customHeight="1" thickBot="1">
      <c r="A39" s="251">
        <v>31</v>
      </c>
      <c r="B39" s="317"/>
      <c r="C39" s="318"/>
      <c r="D39" s="317"/>
      <c r="E39" s="318"/>
      <c r="F39" s="317"/>
      <c r="G39" s="318"/>
      <c r="H39" s="317"/>
      <c r="I39" s="318"/>
      <c r="J39" s="317"/>
      <c r="K39" s="318"/>
      <c r="L39" s="317"/>
      <c r="M39" s="318"/>
      <c r="N39" s="317"/>
      <c r="O39" s="318"/>
      <c r="P39" s="317"/>
      <c r="Q39" s="318"/>
      <c r="R39" s="317"/>
      <c r="S39" s="318"/>
      <c r="T39" s="317"/>
      <c r="U39" s="318"/>
      <c r="V39" s="317"/>
      <c r="W39" s="318"/>
    </row>
    <row r="41" spans="1:25" ht="15.75" thickBot="1">
      <c r="S41" s="750" t="str">
        <f>Setup!G21</f>
        <v>MARVIN C. ENDOZO</v>
      </c>
      <c r="T41" s="750"/>
      <c r="U41" s="750"/>
      <c r="V41" s="750"/>
      <c r="W41" s="750"/>
    </row>
    <row r="42" spans="1:25">
      <c r="S42" s="760" t="s">
        <v>67</v>
      </c>
      <c r="T42" s="751"/>
      <c r="U42" s="751"/>
      <c r="V42" s="751"/>
      <c r="W42" s="751"/>
    </row>
  </sheetData>
  <mergeCells count="28">
    <mergeCell ref="R2:W2"/>
    <mergeCell ref="N6:O7"/>
    <mergeCell ref="D6:E7"/>
    <mergeCell ref="B6:C7"/>
    <mergeCell ref="P6:Q7"/>
    <mergeCell ref="L6:M7"/>
    <mergeCell ref="J6:K7"/>
    <mergeCell ref="T6:U7"/>
    <mergeCell ref="F6:G7"/>
    <mergeCell ref="H6:I7"/>
    <mergeCell ref="V6:W7"/>
    <mergeCell ref="I2:O2"/>
    <mergeCell ref="S41:W41"/>
    <mergeCell ref="S42:W42"/>
    <mergeCell ref="A1:W1"/>
    <mergeCell ref="L4:M4"/>
    <mergeCell ref="H4:I4"/>
    <mergeCell ref="A4:C4"/>
    <mergeCell ref="F4:G4"/>
    <mergeCell ref="J4:K4"/>
    <mergeCell ref="N4:O4"/>
    <mergeCell ref="D4:E4"/>
    <mergeCell ref="V4:W4"/>
    <mergeCell ref="T4:U4"/>
    <mergeCell ref="P4:Q4"/>
    <mergeCell ref="R4:S4"/>
    <mergeCell ref="R6:S7"/>
    <mergeCell ref="A6:A8"/>
  </mergeCells>
  <phoneticPr fontId="52" type="noConversion"/>
  <pageMargins left="0.25" right="0.25" top="0.75" bottom="0.75" header="0.3" footer="0.3"/>
  <pageSetup paperSize="9" scale="8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AD502"/>
  <sheetViews>
    <sheetView showGridLines="0" showRuler="0" workbookViewId="0">
      <selection activeCell="T2" sqref="T2"/>
    </sheetView>
  </sheetViews>
  <sheetFormatPr defaultRowHeight="15"/>
  <cols>
    <col min="1" max="5" width="10.5703125" style="8" customWidth="1"/>
    <col min="7" max="7" width="12.42578125" customWidth="1"/>
    <col min="11" max="11" width="13.42578125" customWidth="1"/>
    <col min="13" max="13" width="13.42578125" customWidth="1"/>
    <col min="21" max="21" width="21.5703125" customWidth="1"/>
    <col min="22" max="22" width="5.28515625" customWidth="1"/>
    <col min="24" max="24" width="17.85546875" bestFit="1" customWidth="1"/>
    <col min="30" max="30" width="18.5703125" customWidth="1"/>
  </cols>
  <sheetData>
    <row r="1" spans="1:30">
      <c r="A1" s="3" t="s">
        <v>8</v>
      </c>
      <c r="B1" s="3" t="s">
        <v>9</v>
      </c>
      <c r="C1" s="4"/>
      <c r="D1" s="3" t="s">
        <v>10</v>
      </c>
      <c r="E1" s="3" t="s">
        <v>9</v>
      </c>
      <c r="G1" s="95" t="s">
        <v>8</v>
      </c>
      <c r="H1" s="95" t="s">
        <v>138</v>
      </c>
      <c r="I1" s="95" t="s">
        <v>137</v>
      </c>
      <c r="J1" s="95" t="s">
        <v>8</v>
      </c>
      <c r="K1" s="95" t="s">
        <v>137</v>
      </c>
      <c r="L1" s="95" t="s">
        <v>138</v>
      </c>
      <c r="M1" s="95" t="s">
        <v>137</v>
      </c>
      <c r="N1" s="8">
        <v>2</v>
      </c>
      <c r="O1" t="s">
        <v>8</v>
      </c>
      <c r="Q1" s="61">
        <v>0.624</v>
      </c>
      <c r="R1" s="61">
        <v>0</v>
      </c>
      <c r="T1" s="918" t="s">
        <v>140</v>
      </c>
      <c r="U1" s="918"/>
      <c r="V1" s="918"/>
      <c r="W1" s="918"/>
      <c r="X1" s="918"/>
      <c r="Z1" s="892" t="s">
        <v>139</v>
      </c>
      <c r="AA1" s="892"/>
      <c r="AB1" s="892"/>
      <c r="AC1" s="892"/>
      <c r="AD1" s="892"/>
    </row>
    <row r="2" spans="1:30">
      <c r="A2" s="5">
        <v>10</v>
      </c>
      <c r="B2" s="5">
        <v>999.4</v>
      </c>
      <c r="C2" s="6"/>
      <c r="D2" s="7">
        <v>0.8</v>
      </c>
      <c r="E2" s="6">
        <v>799.6</v>
      </c>
      <c r="G2" s="97">
        <v>0</v>
      </c>
      <c r="H2">
        <f t="shared" ref="H2:H65" si="0">K2+VLOOKUP(K2,table,2)</f>
        <v>1.0753999999999999</v>
      </c>
      <c r="I2">
        <f t="shared" ref="I2:I65" si="1">(141.5/(G2+131.5))</f>
        <v>1.0760456273764301</v>
      </c>
      <c r="J2">
        <v>0</v>
      </c>
      <c r="K2" s="54">
        <f t="shared" ref="K2:K65" si="2">(141.5/(J2+131.5))</f>
        <v>1.0760000000000001</v>
      </c>
      <c r="L2" s="54">
        <f t="shared" ref="L2:L65" si="3">K2+VLOOKUP(K2,table,2)</f>
        <v>1.0753999999999999</v>
      </c>
      <c r="M2" s="54">
        <v>0.62419999999999998</v>
      </c>
      <c r="N2">
        <v>0.62419999999999998</v>
      </c>
      <c r="O2">
        <v>0</v>
      </c>
      <c r="Q2" s="61">
        <v>0.67900000000000005</v>
      </c>
      <c r="R2" s="61">
        <v>-1E-4</v>
      </c>
      <c r="T2" s="30" t="str">
        <f>IF(Data!T11=1,specGrav1,"")</f>
        <v/>
      </c>
      <c r="U2" s="1" t="e">
        <f>VLOOKUP(T3,apiDen,2)</f>
        <v>#VALUE!</v>
      </c>
      <c r="W2" s="30" t="str">
        <f>IF(OR(Data!T11=2,Data!T11=3),specGrav1,"")</f>
        <v/>
      </c>
      <c r="X2" s="96" t="e">
        <f>VLOOKUP(W3,sgDen,2)</f>
        <v>#VALUE!</v>
      </c>
      <c r="Z2" s="30" t="str">
        <f>IF(Bunkering!T11=1,Bunkering!specGrav21,"")</f>
        <v/>
      </c>
      <c r="AA2" s="1" t="e">
        <f>VLOOKUP(Z3,apiDen,2)</f>
        <v>#VALUE!</v>
      </c>
      <c r="AC2" s="30" t="str">
        <f>IF(OR(Bunkering!T11=2,Bunkering!T11=3),Bunkering!specGrav21,"")</f>
        <v/>
      </c>
      <c r="AD2" s="96" t="e">
        <f>VLOOKUP(AC3,sgDen,2)</f>
        <v>#VALUE!</v>
      </c>
    </row>
    <row r="3" spans="1:30">
      <c r="A3" s="5">
        <v>10.1</v>
      </c>
      <c r="B3" s="5">
        <v>998.7</v>
      </c>
      <c r="C3" s="6"/>
      <c r="D3" s="7">
        <v>0.80100000000000005</v>
      </c>
      <c r="E3" s="6">
        <v>800.6</v>
      </c>
      <c r="G3" s="97">
        <f t="shared" ref="G3:G66" si="4">(141.5/K3)-131.5</f>
        <v>0.2</v>
      </c>
      <c r="H3">
        <f t="shared" si="0"/>
        <v>1.0738000000000001</v>
      </c>
      <c r="I3">
        <f t="shared" si="1"/>
        <v>1.07441154138193</v>
      </c>
      <c r="J3">
        <v>0.2</v>
      </c>
      <c r="K3" s="54">
        <f t="shared" si="2"/>
        <v>1.0744</v>
      </c>
      <c r="L3">
        <f t="shared" si="3"/>
        <v>1.0738000000000001</v>
      </c>
      <c r="M3" s="54">
        <v>0.62470000000000003</v>
      </c>
      <c r="N3">
        <v>0.62470000000000003</v>
      </c>
      <c r="O3">
        <v>0.19999999999984699</v>
      </c>
      <c r="Q3" s="61">
        <v>0.73799999999999999</v>
      </c>
      <c r="R3" s="61">
        <v>-2.0000000000000001E-4</v>
      </c>
      <c r="T3" s="30" t="e">
        <f>FLOOR(T2,0.2)</f>
        <v>#VALUE!</v>
      </c>
      <c r="U3" s="1" t="e">
        <f>VLOOKUP(T4,apiDen,2)</f>
        <v>#VALUE!</v>
      </c>
      <c r="W3" s="30" t="e">
        <f>FLOOR(W2,0.0015)</f>
        <v>#VALUE!</v>
      </c>
      <c r="X3" s="96" t="e">
        <f>VLOOKUP(W4,sgDen,2)</f>
        <v>#VALUE!</v>
      </c>
      <c r="Z3" s="30" t="e">
        <f>FLOOR(Z2,0.2)</f>
        <v>#VALUE!</v>
      </c>
      <c r="AA3" s="1" t="e">
        <f>VLOOKUP(Z4,apiDen,2)</f>
        <v>#VALUE!</v>
      </c>
      <c r="AC3" s="30" t="e">
        <f>FLOOR(AC2,0.0015)</f>
        <v>#VALUE!</v>
      </c>
      <c r="AD3" s="96" t="e">
        <f>VLOOKUP(AC4,sgDen,2)</f>
        <v>#VALUE!</v>
      </c>
    </row>
    <row r="4" spans="1:30">
      <c r="A4" s="5">
        <v>10.199999999999999</v>
      </c>
      <c r="B4" s="5">
        <v>998</v>
      </c>
      <c r="C4" s="6"/>
      <c r="D4" s="7">
        <v>0.80200000000000005</v>
      </c>
      <c r="E4" s="6">
        <v>801.6</v>
      </c>
      <c r="G4" s="97">
        <f t="shared" si="4"/>
        <v>0.4</v>
      </c>
      <c r="H4">
        <f t="shared" si="0"/>
        <v>1.0722</v>
      </c>
      <c r="I4">
        <f t="shared" si="1"/>
        <v>1.07278241091736</v>
      </c>
      <c r="J4">
        <v>0.4</v>
      </c>
      <c r="K4" s="54">
        <f t="shared" si="2"/>
        <v>1.0728</v>
      </c>
      <c r="L4">
        <f t="shared" si="3"/>
        <v>1.0722</v>
      </c>
      <c r="M4" s="54">
        <v>0.62529999999999997</v>
      </c>
      <c r="N4">
        <v>0.62529999999999997</v>
      </c>
      <c r="O4">
        <v>0.40000000000020502</v>
      </c>
      <c r="Q4" s="61">
        <v>0.79200000000000004</v>
      </c>
      <c r="R4" s="61">
        <v>-2.9999999999999997E-4</v>
      </c>
      <c r="T4" s="30" t="e">
        <f>CEILING(T2,0.2)</f>
        <v>#VALUE!</v>
      </c>
      <c r="U4" s="96" t="e">
        <f>IF(U2=U3,U2,FORECAST(T2,U2:U3,T3:T4))</f>
        <v>#VALUE!</v>
      </c>
      <c r="W4" s="30" t="e">
        <f>CEILING(W2,0.0015)</f>
        <v>#VALUE!</v>
      </c>
      <c r="X4" s="96" t="e">
        <f>IF(X2=X3,X2,FORECAST(W2,X2:X3,W3:W4))</f>
        <v>#VALUE!</v>
      </c>
      <c r="Z4" s="30" t="e">
        <f>CEILING(Z2,0.2)</f>
        <v>#VALUE!</v>
      </c>
      <c r="AA4" s="96" t="e">
        <f>IF(AA2=AA3,AA2,FORECAST(Z2,AA2:AA3,Z3:Z4))</f>
        <v>#VALUE!</v>
      </c>
      <c r="AC4" s="30" t="e">
        <f>CEILING(AC2,0.0015)</f>
        <v>#VALUE!</v>
      </c>
      <c r="AD4" s="96" t="e">
        <f>IF(AD2=AD3,AD2,FORECAST(AC2,AD2:AD3,AC3:AC4))</f>
        <v>#VALUE!</v>
      </c>
    </row>
    <row r="5" spans="1:30">
      <c r="A5" s="5">
        <v>10.3</v>
      </c>
      <c r="B5" s="5">
        <v>997.3</v>
      </c>
      <c r="C5" s="6"/>
      <c r="D5" s="7">
        <v>0.80300000000000005</v>
      </c>
      <c r="E5" s="6">
        <v>802.6</v>
      </c>
      <c r="G5" s="97">
        <f t="shared" si="4"/>
        <v>0.6</v>
      </c>
      <c r="H5">
        <f t="shared" si="0"/>
        <v>1.0706</v>
      </c>
      <c r="I5">
        <f t="shared" si="1"/>
        <v>1.07115821347464</v>
      </c>
      <c r="J5">
        <v>0.6</v>
      </c>
      <c r="K5" s="54">
        <f t="shared" si="2"/>
        <v>1.0711999999999999</v>
      </c>
      <c r="L5">
        <f t="shared" si="3"/>
        <v>1.0706</v>
      </c>
      <c r="M5" s="54">
        <v>0.62580000000000002</v>
      </c>
      <c r="N5">
        <v>0.62580000000000002</v>
      </c>
      <c r="O5">
        <v>0.60000000000005105</v>
      </c>
      <c r="Q5" s="61">
        <v>0.86</v>
      </c>
      <c r="R5" s="61">
        <v>-4.0000000000000002E-4</v>
      </c>
      <c r="AD5" s="54"/>
    </row>
    <row r="6" spans="1:30">
      <c r="A6" s="5">
        <v>10.4</v>
      </c>
      <c r="B6" s="5">
        <v>996.6</v>
      </c>
      <c r="C6" s="6"/>
      <c r="D6" s="7">
        <v>0.80400000000000005</v>
      </c>
      <c r="E6" s="6">
        <v>803.6</v>
      </c>
      <c r="G6" s="97">
        <f t="shared" si="4"/>
        <v>0.8</v>
      </c>
      <c r="H6">
        <f t="shared" si="0"/>
        <v>1.0689</v>
      </c>
      <c r="I6">
        <f t="shared" si="1"/>
        <v>1.0695389266817801</v>
      </c>
      <c r="J6">
        <v>0.8</v>
      </c>
      <c r="K6" s="54">
        <f t="shared" si="2"/>
        <v>1.0694999999999999</v>
      </c>
      <c r="L6">
        <f t="shared" si="3"/>
        <v>1.0689</v>
      </c>
      <c r="M6" s="54">
        <v>0.62639999999999996</v>
      </c>
      <c r="N6">
        <v>0.62639999999999996</v>
      </c>
      <c r="O6">
        <v>0.80000000000046601</v>
      </c>
      <c r="Q6" s="61">
        <v>0.95499999999999996</v>
      </c>
      <c r="R6" s="61">
        <v>-5.0000000000000001E-4</v>
      </c>
      <c r="T6" s="30" t="str">
        <f>IF(Data!T12=1,specGrav2,"")</f>
        <v/>
      </c>
      <c r="U6" t="e">
        <f>VLOOKUP(T7,apiDen,2)</f>
        <v>#VALUE!</v>
      </c>
      <c r="W6" s="30" t="str">
        <f>IF(OR(Data!T12=2,Data!T12=3),specGrav2,"")</f>
        <v/>
      </c>
      <c r="X6" t="e">
        <f>VLOOKUP(W7,sgDen,2)</f>
        <v>#VALUE!</v>
      </c>
      <c r="Z6" s="30" t="str">
        <f>IF(Bunkering!T12=1,Bunkering!specGrav22,"")</f>
        <v/>
      </c>
      <c r="AA6" t="e">
        <f>VLOOKUP(Z7,apiDen,2)</f>
        <v>#VALUE!</v>
      </c>
      <c r="AC6" s="30" t="str">
        <f>IF(OR(Bunkering!T12=2,Bunkering!T12=3),Bunkering!specGrav22,"")</f>
        <v/>
      </c>
      <c r="AD6" s="54" t="e">
        <f>VLOOKUP(AC7,sgDen,2)</f>
        <v>#VALUE!</v>
      </c>
    </row>
    <row r="7" spans="1:30">
      <c r="A7" s="5">
        <v>10.5</v>
      </c>
      <c r="B7" s="5">
        <v>995.9</v>
      </c>
      <c r="C7" s="6"/>
      <c r="D7" s="7">
        <v>0.80500000000000005</v>
      </c>
      <c r="E7" s="6">
        <v>804.6</v>
      </c>
      <c r="G7" s="97">
        <f t="shared" si="4"/>
        <v>1</v>
      </c>
      <c r="H7">
        <f t="shared" si="0"/>
        <v>1.0672999999999999</v>
      </c>
      <c r="I7">
        <f t="shared" si="1"/>
        <v>1.0679245283018901</v>
      </c>
      <c r="J7">
        <v>1</v>
      </c>
      <c r="K7" s="54">
        <f t="shared" si="2"/>
        <v>1.0679000000000001</v>
      </c>
      <c r="L7">
        <f t="shared" si="3"/>
        <v>1.0672999999999999</v>
      </c>
      <c r="M7" s="54">
        <v>0.62690000000000001</v>
      </c>
      <c r="N7">
        <v>0.62690000000000001</v>
      </c>
      <c r="O7">
        <v>0.99999999999960199</v>
      </c>
      <c r="Q7" s="61">
        <v>1.048</v>
      </c>
      <c r="R7" s="61">
        <v>-5.9999999999999995E-4</v>
      </c>
      <c r="T7" t="e">
        <f>FLOOR(T6,0.2)</f>
        <v>#VALUE!</v>
      </c>
      <c r="U7" t="e">
        <f>VLOOKUP(T8,apiDen,2)</f>
        <v>#VALUE!</v>
      </c>
      <c r="W7" s="30" t="e">
        <f>FLOOR(W6,0.0015)</f>
        <v>#VALUE!</v>
      </c>
      <c r="X7" t="e">
        <f>VLOOKUP(W8,sgDen,2)</f>
        <v>#VALUE!</v>
      </c>
      <c r="Z7" t="e">
        <f>FLOOR(Z6,0.2)</f>
        <v>#VALUE!</v>
      </c>
      <c r="AA7" t="e">
        <f>VLOOKUP(Z8,apiDen,2)</f>
        <v>#VALUE!</v>
      </c>
      <c r="AC7" s="30" t="e">
        <f>FLOOR(AC6,0.0015)</f>
        <v>#VALUE!</v>
      </c>
      <c r="AD7" s="54" t="e">
        <f>VLOOKUP(AC8,sgDen,2)</f>
        <v>#VALUE!</v>
      </c>
    </row>
    <row r="8" spans="1:30">
      <c r="A8" s="5">
        <v>10.6</v>
      </c>
      <c r="B8" s="5">
        <v>995.2</v>
      </c>
      <c r="C8" s="6"/>
      <c r="D8" s="7">
        <v>0.80600000000000005</v>
      </c>
      <c r="E8" s="6">
        <v>805.6</v>
      </c>
      <c r="G8" s="97">
        <f t="shared" si="4"/>
        <v>1.2</v>
      </c>
      <c r="H8">
        <f t="shared" si="0"/>
        <v>1.0657000000000001</v>
      </c>
      <c r="I8">
        <f t="shared" si="1"/>
        <v>1.0663149962320999</v>
      </c>
      <c r="J8">
        <v>1.2</v>
      </c>
      <c r="K8" s="54">
        <f t="shared" si="2"/>
        <v>1.0663</v>
      </c>
      <c r="L8">
        <f t="shared" si="3"/>
        <v>1.0657000000000001</v>
      </c>
      <c r="M8" s="54">
        <v>0.62749999999999995</v>
      </c>
      <c r="N8">
        <v>0.62749999999999995</v>
      </c>
      <c r="O8">
        <v>1.2000000000003299</v>
      </c>
      <c r="Q8" s="61">
        <v>1.1000000000000001</v>
      </c>
      <c r="R8" s="61">
        <v>-6.9999999999999999E-4</v>
      </c>
      <c r="T8" t="e">
        <f>CEILING(T6,0.2)</f>
        <v>#VALUE!</v>
      </c>
      <c r="U8" s="96" t="e">
        <f>IF(U6=U7,U6,FORECAST(T6,U6:U7,T7:T8))</f>
        <v>#VALUE!</v>
      </c>
      <c r="W8" s="30" t="e">
        <f>CEILING(W6,0.0015)</f>
        <v>#VALUE!</v>
      </c>
      <c r="X8" s="96" t="e">
        <f>IF(X6=X7,X6,FORECAST(W6,X6:X7,W7:W8))</f>
        <v>#VALUE!</v>
      </c>
      <c r="Z8" t="e">
        <f>CEILING(Z6,0.2)</f>
        <v>#VALUE!</v>
      </c>
      <c r="AA8" s="96" t="e">
        <f>IF(AA6=AA7,AA6,FORECAST(Z6,AA6:AA7,Z7:Z8))</f>
        <v>#VALUE!</v>
      </c>
      <c r="AC8" s="30" t="e">
        <f>CEILING(AC6,0.0015)</f>
        <v>#VALUE!</v>
      </c>
      <c r="AD8" s="96" t="e">
        <f>IF(AD6=AD7,AD6,FORECAST(AC6,AD6:AD7,AC7:AC8))</f>
        <v>#VALUE!</v>
      </c>
    </row>
    <row r="9" spans="1:30">
      <c r="A9" s="5">
        <v>10.7</v>
      </c>
      <c r="B9" s="5">
        <v>994.5</v>
      </c>
      <c r="C9" s="6"/>
      <c r="D9" s="7">
        <v>0.80700000000000005</v>
      </c>
      <c r="E9" s="6">
        <v>806.6</v>
      </c>
      <c r="G9" s="97">
        <f t="shared" si="4"/>
        <v>1.4</v>
      </c>
      <c r="H9">
        <f t="shared" si="0"/>
        <v>1.0641</v>
      </c>
      <c r="I9">
        <f t="shared" si="1"/>
        <v>1.0647103085026299</v>
      </c>
      <c r="J9">
        <v>1.4</v>
      </c>
      <c r="K9" s="54">
        <f t="shared" si="2"/>
        <v>1.0647</v>
      </c>
      <c r="L9">
        <f t="shared" si="3"/>
        <v>1.0641</v>
      </c>
      <c r="M9" s="54">
        <v>0.62809999999999999</v>
      </c>
      <c r="N9">
        <v>0.62809999999999999</v>
      </c>
      <c r="O9">
        <v>1.40000000000046</v>
      </c>
      <c r="AD9" s="54"/>
    </row>
    <row r="10" spans="1:30">
      <c r="A10" s="5">
        <v>10.8</v>
      </c>
      <c r="B10" s="5">
        <v>993.8</v>
      </c>
      <c r="C10" s="6"/>
      <c r="D10" s="7">
        <v>0.80800000000000005</v>
      </c>
      <c r="E10" s="6">
        <v>807.6</v>
      </c>
      <c r="G10" s="97">
        <f t="shared" si="4"/>
        <v>1.6</v>
      </c>
      <c r="H10">
        <f t="shared" si="0"/>
        <v>1.0625</v>
      </c>
      <c r="I10">
        <f t="shared" si="1"/>
        <v>1.0631104432757299</v>
      </c>
      <c r="J10">
        <v>1.6</v>
      </c>
      <c r="K10" s="54">
        <f t="shared" si="2"/>
        <v>1.0630999999999999</v>
      </c>
      <c r="L10">
        <f t="shared" si="3"/>
        <v>1.0625</v>
      </c>
      <c r="M10" s="54">
        <v>0.62860000000000005</v>
      </c>
      <c r="N10">
        <v>0.62860000000000005</v>
      </c>
      <c r="O10">
        <v>1.60000000000034</v>
      </c>
      <c r="T10" s="30" t="str">
        <f>IF(Data!T13=1,specGrav3,"")</f>
        <v/>
      </c>
      <c r="U10" t="e">
        <f>VLOOKUP(T11,apiDen,2)</f>
        <v>#VALUE!</v>
      </c>
      <c r="W10" s="30" t="str">
        <f>IF(OR(Data!T13=2,Data!T13=3),specGrav3,"")</f>
        <v/>
      </c>
      <c r="X10" t="e">
        <f>VLOOKUP(W11,sgDen,2)</f>
        <v>#VALUE!</v>
      </c>
      <c r="Z10" s="30" t="str">
        <f>IF(Bunkering!T13=1,Bunkering!specGrav23,"")</f>
        <v/>
      </c>
      <c r="AA10" t="e">
        <f>VLOOKUP(Z11,apiDen,2)</f>
        <v>#VALUE!</v>
      </c>
      <c r="AC10" s="30" t="str">
        <f>IF(OR(Bunkering!T13=2,Bunkering!T13=3),Bunkering!specGrav23,"")</f>
        <v/>
      </c>
      <c r="AD10" s="54" t="e">
        <f>VLOOKUP(AC11,sgDen,2)</f>
        <v>#VALUE!</v>
      </c>
    </row>
    <row r="11" spans="1:30">
      <c r="A11" s="5">
        <v>10.9</v>
      </c>
      <c r="B11" s="5">
        <v>993.1</v>
      </c>
      <c r="C11" s="6"/>
      <c r="D11" s="7">
        <v>0.80900000000000005</v>
      </c>
      <c r="E11" s="6">
        <v>808.6</v>
      </c>
      <c r="G11" s="97">
        <f t="shared" si="4"/>
        <v>1.8</v>
      </c>
      <c r="H11">
        <f t="shared" si="0"/>
        <v>1.0609</v>
      </c>
      <c r="I11">
        <f t="shared" si="1"/>
        <v>1.06151537884471</v>
      </c>
      <c r="J11">
        <v>1.8</v>
      </c>
      <c r="K11" s="54">
        <f t="shared" si="2"/>
        <v>1.0615000000000001</v>
      </c>
      <c r="L11">
        <f t="shared" si="3"/>
        <v>1.0609</v>
      </c>
      <c r="M11" s="54">
        <v>0.62919999999999998</v>
      </c>
      <c r="N11">
        <v>0.62919999999999998</v>
      </c>
      <c r="O11">
        <v>1.8000000000001499</v>
      </c>
      <c r="Q11" s="61">
        <v>0.94469999999999998</v>
      </c>
      <c r="R11" s="54">
        <f>Q11+VLOOKUP(Q11,table,2)</f>
        <v>0.94430000000000003</v>
      </c>
      <c r="T11" t="e">
        <f>FLOOR(T10,0.2)</f>
        <v>#VALUE!</v>
      </c>
      <c r="U11" t="e">
        <f>VLOOKUP(T12,apiDen,2)</f>
        <v>#VALUE!</v>
      </c>
      <c r="W11" s="30" t="e">
        <f>FLOOR(W10,0.0015)</f>
        <v>#VALUE!</v>
      </c>
      <c r="X11" t="e">
        <f>VLOOKUP(W12,sgDen,2)</f>
        <v>#VALUE!</v>
      </c>
      <c r="Z11" t="e">
        <f>FLOOR(Z10,0.2)</f>
        <v>#VALUE!</v>
      </c>
      <c r="AA11" t="e">
        <f>VLOOKUP(Z12,apiDen,2)</f>
        <v>#VALUE!</v>
      </c>
      <c r="AC11" s="30" t="e">
        <f>FLOOR(AC10,0.0015)</f>
        <v>#VALUE!</v>
      </c>
      <c r="AD11" s="54" t="e">
        <f>VLOOKUP(AC12,sgDen,2)</f>
        <v>#VALUE!</v>
      </c>
    </row>
    <row r="12" spans="1:30">
      <c r="A12" s="5">
        <v>11</v>
      </c>
      <c r="B12" s="5">
        <v>992.4</v>
      </c>
      <c r="C12" s="6"/>
      <c r="D12" s="7">
        <v>0.81</v>
      </c>
      <c r="E12" s="6">
        <v>809.6</v>
      </c>
      <c r="G12" s="97">
        <f t="shared" si="4"/>
        <v>2</v>
      </c>
      <c r="H12">
        <f t="shared" si="0"/>
        <v>1.0592999999999999</v>
      </c>
      <c r="I12">
        <f t="shared" si="1"/>
        <v>1.0599250936329601</v>
      </c>
      <c r="J12">
        <v>2</v>
      </c>
      <c r="K12" s="54">
        <f t="shared" si="2"/>
        <v>1.0599000000000001</v>
      </c>
      <c r="L12">
        <f t="shared" si="3"/>
        <v>1.0592999999999999</v>
      </c>
      <c r="M12" s="54">
        <v>0.62970000000000004</v>
      </c>
      <c r="N12">
        <v>0.62970000000000004</v>
      </c>
      <c r="O12">
        <v>1.9999999999998299</v>
      </c>
      <c r="T12" t="e">
        <f>CEILING(T10,0.2)</f>
        <v>#VALUE!</v>
      </c>
      <c r="U12" s="96" t="e">
        <f>IF(U10=U11,U10,FORECAST(T10,U10:U11,T11:T12))</f>
        <v>#VALUE!</v>
      </c>
      <c r="W12" s="30" t="e">
        <f>CEILING(W10,0.0015)</f>
        <v>#VALUE!</v>
      </c>
      <c r="X12" s="96" t="e">
        <f>IF(X10=X11,X10,FORECAST(W10,X10:X11,W11:W12))</f>
        <v>#VALUE!</v>
      </c>
      <c r="Z12" t="e">
        <f>CEILING(Z10,0.2)</f>
        <v>#VALUE!</v>
      </c>
      <c r="AA12" s="96" t="e">
        <f>IF(AA10=AA11,AA10,FORECAST(Z10,AA10:AA11,Z11:Z12))</f>
        <v>#VALUE!</v>
      </c>
      <c r="AC12" s="30" t="e">
        <f>CEILING(AC10,0.0015)</f>
        <v>#VALUE!</v>
      </c>
      <c r="AD12" s="96" t="e">
        <f>IF(AD10=AD11,AD10,FORECAST(AC10,AD10:AD11,AC11:AC12))</f>
        <v>#VALUE!</v>
      </c>
    </row>
    <row r="13" spans="1:30">
      <c r="A13" s="5">
        <v>11.1</v>
      </c>
      <c r="B13" s="5">
        <v>991.7</v>
      </c>
      <c r="C13" s="6"/>
      <c r="D13" s="7">
        <v>0.81100000000000005</v>
      </c>
      <c r="E13" s="6">
        <v>810.6</v>
      </c>
      <c r="G13" s="97">
        <f t="shared" si="4"/>
        <v>2.2000000000000002</v>
      </c>
      <c r="H13">
        <f t="shared" si="0"/>
        <v>1.0577000000000001</v>
      </c>
      <c r="I13">
        <f t="shared" si="1"/>
        <v>1.05833956619297</v>
      </c>
      <c r="J13">
        <v>2.2000000000000002</v>
      </c>
      <c r="K13" s="54">
        <f t="shared" si="2"/>
        <v>1.0583</v>
      </c>
      <c r="L13">
        <f t="shared" si="3"/>
        <v>1.0577000000000001</v>
      </c>
      <c r="M13" s="54">
        <v>0.63029999999999997</v>
      </c>
      <c r="N13">
        <v>0.63029999999999997</v>
      </c>
      <c r="O13">
        <v>2.19999999999993</v>
      </c>
      <c r="AD13" s="54"/>
    </row>
    <row r="14" spans="1:30">
      <c r="A14" s="5">
        <v>11.2</v>
      </c>
      <c r="B14" s="5">
        <v>991</v>
      </c>
      <c r="C14" s="6"/>
      <c r="D14" s="7">
        <v>0.81200000000000006</v>
      </c>
      <c r="E14" s="6">
        <v>811.6</v>
      </c>
      <c r="G14" s="97">
        <f t="shared" si="4"/>
        <v>2.4</v>
      </c>
      <c r="H14">
        <f t="shared" si="0"/>
        <v>1.0562</v>
      </c>
      <c r="I14">
        <f t="shared" si="1"/>
        <v>1.05675877520538</v>
      </c>
      <c r="J14">
        <v>2.4</v>
      </c>
      <c r="K14" s="54">
        <f t="shared" si="2"/>
        <v>1.0568</v>
      </c>
      <c r="L14">
        <f t="shared" si="3"/>
        <v>1.0562</v>
      </c>
      <c r="M14" s="54">
        <v>0.63090000000000002</v>
      </c>
      <c r="N14">
        <v>0.63090000000000002</v>
      </c>
      <c r="O14">
        <v>2.3999999999996402</v>
      </c>
      <c r="T14" s="30" t="str">
        <f>IF(Data!T14=1,specGrav4,"")</f>
        <v/>
      </c>
      <c r="U14" t="e">
        <f>VLOOKUP(T15,apiDen,2)</f>
        <v>#VALUE!</v>
      </c>
      <c r="W14" s="30" t="str">
        <f>IF(OR(Data!T14=2,Data!T14=3),specGrav4,"")</f>
        <v/>
      </c>
      <c r="X14" t="e">
        <f>VLOOKUP(W15,sgDen,2)</f>
        <v>#VALUE!</v>
      </c>
      <c r="Z14" s="30" t="str">
        <f>IF(Bunkering!T14=1,Bunkering!specGrav24,"")</f>
        <v/>
      </c>
      <c r="AA14" t="e">
        <f>VLOOKUP(Z15,apiDen,2)</f>
        <v>#VALUE!</v>
      </c>
      <c r="AC14" s="30" t="str">
        <f>IF(OR(Bunkering!T14=2,Bunkering!T14=3),Bunkering!specGrav24,"")</f>
        <v/>
      </c>
      <c r="AD14" s="54" t="e">
        <f>VLOOKUP(AC15,sgDen,2)</f>
        <v>#VALUE!</v>
      </c>
    </row>
    <row r="15" spans="1:30">
      <c r="A15" s="5">
        <v>11.3</v>
      </c>
      <c r="B15" s="5">
        <v>990.3</v>
      </c>
      <c r="C15" s="6"/>
      <c r="D15" s="7">
        <v>0.81299999999999994</v>
      </c>
      <c r="E15" s="6">
        <v>812.6</v>
      </c>
      <c r="G15" s="97">
        <f t="shared" si="4"/>
        <v>2.6</v>
      </c>
      <c r="H15">
        <f t="shared" si="0"/>
        <v>1.0546</v>
      </c>
      <c r="I15">
        <f t="shared" si="1"/>
        <v>1.055182699478</v>
      </c>
      <c r="J15">
        <v>2.6</v>
      </c>
      <c r="K15" s="54">
        <f t="shared" si="2"/>
        <v>1.0551999999999999</v>
      </c>
      <c r="L15">
        <f t="shared" si="3"/>
        <v>1.0546</v>
      </c>
      <c r="M15" s="54">
        <v>0.63139999999999996</v>
      </c>
      <c r="N15">
        <v>0.63139999999999996</v>
      </c>
      <c r="O15">
        <v>2.6000000000001902</v>
      </c>
      <c r="T15" t="e">
        <f>FLOOR(T14,0.2)</f>
        <v>#VALUE!</v>
      </c>
      <c r="U15" t="e">
        <f>VLOOKUP(T16,apiDen,2)</f>
        <v>#VALUE!</v>
      </c>
      <c r="W15" s="30" t="e">
        <f>FLOOR(W14,0.0015)</f>
        <v>#VALUE!</v>
      </c>
      <c r="X15" t="e">
        <f>VLOOKUP(W16,sgDen,2)</f>
        <v>#VALUE!</v>
      </c>
      <c r="Z15" t="e">
        <f>FLOOR(Z14,0.2)</f>
        <v>#VALUE!</v>
      </c>
      <c r="AA15" t="e">
        <f>VLOOKUP(Z16,apiDen,2)</f>
        <v>#VALUE!</v>
      </c>
      <c r="AC15" s="30" t="e">
        <f>FLOOR(AC14,0.0015)</f>
        <v>#VALUE!</v>
      </c>
      <c r="AD15" s="54" t="e">
        <f>VLOOKUP(AC16,sgDen,2)</f>
        <v>#VALUE!</v>
      </c>
    </row>
    <row r="16" spans="1:30">
      <c r="A16" s="5">
        <v>11.4</v>
      </c>
      <c r="B16" s="5">
        <v>989.6</v>
      </c>
      <c r="C16" s="6"/>
      <c r="D16" s="7">
        <v>0.81399999999999995</v>
      </c>
      <c r="E16" s="6">
        <v>813.6</v>
      </c>
      <c r="G16" s="97">
        <f t="shared" si="4"/>
        <v>2.8</v>
      </c>
      <c r="H16">
        <f t="shared" si="0"/>
        <v>1.0529999999999999</v>
      </c>
      <c r="I16">
        <f t="shared" si="1"/>
        <v>1.0536113179449</v>
      </c>
      <c r="J16">
        <v>2.8</v>
      </c>
      <c r="K16" s="54">
        <f t="shared" si="2"/>
        <v>1.0536000000000001</v>
      </c>
      <c r="L16">
        <f t="shared" si="3"/>
        <v>1.0529999999999999</v>
      </c>
      <c r="M16" s="54">
        <v>0.63200000000000001</v>
      </c>
      <c r="N16">
        <v>0.63200000000000001</v>
      </c>
      <c r="O16">
        <v>2.7999999999999301</v>
      </c>
      <c r="T16" t="e">
        <f>CEILING(T14,0.2)</f>
        <v>#VALUE!</v>
      </c>
      <c r="U16" s="96" t="e">
        <f>IF(U14=U15,U14,FORECAST(T14,U14:U15,T15:T16))</f>
        <v>#VALUE!</v>
      </c>
      <c r="W16" s="30" t="e">
        <f>CEILING(W14,0.0015)</f>
        <v>#VALUE!</v>
      </c>
      <c r="X16" s="96" t="e">
        <f>IF(X14=X15,X14,FORECAST(W14,X14:X15,W15:W16))</f>
        <v>#VALUE!</v>
      </c>
      <c r="Z16" t="e">
        <f>CEILING(Z14,0.2)</f>
        <v>#VALUE!</v>
      </c>
      <c r="AA16" s="96" t="e">
        <f>IF(AA14=AA15,AA14,FORECAST(Z14,AA14:AA15,Z15:Z16))</f>
        <v>#VALUE!</v>
      </c>
      <c r="AC16" s="30" t="e">
        <f>CEILING(AC14,0.0015)</f>
        <v>#VALUE!</v>
      </c>
      <c r="AD16" s="96" t="e">
        <f>IF(AD14=AD15,AD14,FORECAST(AC14,AD14:AD15,AC15:AC16))</f>
        <v>#VALUE!</v>
      </c>
    </row>
    <row r="17" spans="1:30">
      <c r="A17" s="5">
        <v>11.5</v>
      </c>
      <c r="B17" s="5">
        <v>988.9</v>
      </c>
      <c r="C17" s="6"/>
      <c r="D17" s="7">
        <v>0.81499999999999995</v>
      </c>
      <c r="E17" s="6">
        <v>814.6</v>
      </c>
      <c r="G17" s="97">
        <f t="shared" si="4"/>
        <v>3</v>
      </c>
      <c r="H17">
        <f t="shared" si="0"/>
        <v>1.0513999999999999</v>
      </c>
      <c r="I17">
        <f t="shared" si="1"/>
        <v>1.0520446096654299</v>
      </c>
      <c r="J17">
        <v>3</v>
      </c>
      <c r="K17" s="54">
        <f t="shared" si="2"/>
        <v>1.052</v>
      </c>
      <c r="L17">
        <f t="shared" si="3"/>
        <v>1.0513999999999999</v>
      </c>
      <c r="M17" s="54">
        <v>0.63249999999999995</v>
      </c>
      <c r="N17">
        <v>0.63249999999999995</v>
      </c>
      <c r="O17">
        <v>2.99999999999969</v>
      </c>
      <c r="AD17" s="54"/>
    </row>
    <row r="18" spans="1:30">
      <c r="A18" s="5">
        <v>11.6</v>
      </c>
      <c r="B18" s="5">
        <v>988.2</v>
      </c>
      <c r="C18" s="6"/>
      <c r="D18" s="7">
        <v>0.81599999999999995</v>
      </c>
      <c r="E18" s="6">
        <v>815.6</v>
      </c>
      <c r="G18" s="97">
        <f t="shared" si="4"/>
        <v>3.2</v>
      </c>
      <c r="H18">
        <f t="shared" si="0"/>
        <v>1.0499000000000001</v>
      </c>
      <c r="I18">
        <f t="shared" si="1"/>
        <v>1.05048255382331</v>
      </c>
      <c r="J18">
        <v>3.2</v>
      </c>
      <c r="K18" s="54">
        <f t="shared" si="2"/>
        <v>1.0505</v>
      </c>
      <c r="L18">
        <f t="shared" si="3"/>
        <v>1.0499000000000001</v>
      </c>
      <c r="M18" s="54">
        <v>0.6331</v>
      </c>
      <c r="N18">
        <v>0.6331</v>
      </c>
      <c r="O18">
        <v>3.2000000000001299</v>
      </c>
      <c r="T18" s="30" t="str">
        <f>IF(Data!T15=1,specGrav5,"")</f>
        <v/>
      </c>
      <c r="U18" t="e">
        <f>VLOOKUP(T19,apiDen,2)</f>
        <v>#VALUE!</v>
      </c>
      <c r="W18" s="30" t="str">
        <f>IF(OR(Data!T15=2,Data!T15=3),specGrav5,"")</f>
        <v/>
      </c>
      <c r="X18" t="e">
        <f>VLOOKUP(W19,sgDen,2)</f>
        <v>#VALUE!</v>
      </c>
      <c r="Z18" s="30" t="str">
        <f>IF(Bunkering!T15=1,Bunkering!specGrav25,"")</f>
        <v/>
      </c>
      <c r="AA18" t="e">
        <f>VLOOKUP(Z19,apiDen,2)</f>
        <v>#VALUE!</v>
      </c>
      <c r="AC18" s="30" t="str">
        <f>IF(OR(Bunkering!T15=2,Bunkering!T15=3),Bunkering!specGrav25,"")</f>
        <v/>
      </c>
      <c r="AD18" s="54" t="e">
        <f>VLOOKUP(AC19,sgDen,2)</f>
        <v>#VALUE!</v>
      </c>
    </row>
    <row r="19" spans="1:30">
      <c r="A19" s="5">
        <v>11.7</v>
      </c>
      <c r="B19" s="5">
        <v>987.5</v>
      </c>
      <c r="C19" s="6"/>
      <c r="D19" s="7">
        <v>0.81699999999999995</v>
      </c>
      <c r="E19" s="6">
        <v>816.6</v>
      </c>
      <c r="G19" s="97">
        <f t="shared" si="4"/>
        <v>3.4</v>
      </c>
      <c r="H19">
        <f t="shared" si="0"/>
        <v>1.0483</v>
      </c>
      <c r="I19">
        <f t="shared" si="1"/>
        <v>1.0489251297257201</v>
      </c>
      <c r="J19">
        <v>3.4</v>
      </c>
      <c r="K19" s="54">
        <f t="shared" si="2"/>
        <v>1.0488999999999999</v>
      </c>
      <c r="L19">
        <f t="shared" si="3"/>
        <v>1.0483</v>
      </c>
      <c r="M19" s="54">
        <v>0.63370000000000004</v>
      </c>
      <c r="N19">
        <v>0.63370000000000004</v>
      </c>
      <c r="O19">
        <v>3.4000000000003499</v>
      </c>
      <c r="T19" t="e">
        <f>FLOOR(T18,0.2)</f>
        <v>#VALUE!</v>
      </c>
      <c r="U19" t="e">
        <f>VLOOKUP(T20,apiDen,2)</f>
        <v>#VALUE!</v>
      </c>
      <c r="W19" s="30" t="e">
        <f>FLOOR(W18,0.0015)</f>
        <v>#VALUE!</v>
      </c>
      <c r="X19" t="e">
        <f>VLOOKUP(W20,sgDen,2)</f>
        <v>#VALUE!</v>
      </c>
      <c r="Z19" t="e">
        <f>FLOOR(Z18,0.2)</f>
        <v>#VALUE!</v>
      </c>
      <c r="AA19" t="e">
        <f>VLOOKUP(Z20,apiDen,2)</f>
        <v>#VALUE!</v>
      </c>
      <c r="AC19" s="30" t="e">
        <f>FLOOR(AC18,0.0015)</f>
        <v>#VALUE!</v>
      </c>
      <c r="AD19" s="54" t="e">
        <f>VLOOKUP(AC20,sgDen,2)</f>
        <v>#VALUE!</v>
      </c>
    </row>
    <row r="20" spans="1:30">
      <c r="A20" s="5">
        <v>11.8</v>
      </c>
      <c r="B20" s="5">
        <v>986.8</v>
      </c>
      <c r="C20" s="6"/>
      <c r="D20" s="7">
        <v>0.81799999999999995</v>
      </c>
      <c r="E20" s="6">
        <v>817.6</v>
      </c>
      <c r="G20" s="97">
        <f t="shared" si="4"/>
        <v>3.6</v>
      </c>
      <c r="H20">
        <f t="shared" si="0"/>
        <v>1.0468999999999999</v>
      </c>
      <c r="I20">
        <f t="shared" si="1"/>
        <v>1.0473723168023701</v>
      </c>
      <c r="J20">
        <v>3.6</v>
      </c>
      <c r="K20" s="54">
        <f t="shared" si="2"/>
        <v>1.0474000000000001</v>
      </c>
      <c r="L20">
        <f t="shared" si="3"/>
        <v>1.0468999999999999</v>
      </c>
      <c r="M20" s="54">
        <v>0.63419999999999999</v>
      </c>
      <c r="N20">
        <v>0.63419999999999999</v>
      </c>
      <c r="O20">
        <v>3.5999999999998198</v>
      </c>
      <c r="T20" t="e">
        <f>CEILING(T18,0.2)</f>
        <v>#VALUE!</v>
      </c>
      <c r="U20" s="96" t="e">
        <f>IF(U18=U19,U18,FORECAST(T18,U18:U19,T19:T20))</f>
        <v>#VALUE!</v>
      </c>
      <c r="W20" s="30" t="e">
        <f>CEILING(W18,0.0015)</f>
        <v>#VALUE!</v>
      </c>
      <c r="X20" s="96" t="e">
        <f>IF(X18=X19,X18,FORECAST(W18,X18:X19,W19:W20))</f>
        <v>#VALUE!</v>
      </c>
      <c r="Z20" t="e">
        <f>CEILING(Z18,0.2)</f>
        <v>#VALUE!</v>
      </c>
      <c r="AA20" s="96" t="e">
        <f>IF(AA18=AA19,AA18,FORECAST(Z18,AA18:AA19,Z19:Z20))</f>
        <v>#VALUE!</v>
      </c>
      <c r="AC20" s="30" t="e">
        <f>CEILING(AC18,0.0015)</f>
        <v>#VALUE!</v>
      </c>
      <c r="AD20" s="96" t="e">
        <f>IF(AD18=AD19,AD18,FORECAST(AC18,AD18:AD19,AC19:AC20))</f>
        <v>#VALUE!</v>
      </c>
    </row>
    <row r="21" spans="1:30">
      <c r="A21" s="5">
        <v>11.9</v>
      </c>
      <c r="B21" s="5">
        <v>986.2</v>
      </c>
      <c r="C21" s="6"/>
      <c r="D21" s="7">
        <v>0.81899999999999995</v>
      </c>
      <c r="E21" s="6">
        <v>818.6</v>
      </c>
      <c r="G21" s="97">
        <f t="shared" si="4"/>
        <v>3.8</v>
      </c>
      <c r="H21">
        <f t="shared" si="0"/>
        <v>1.0452999999999999</v>
      </c>
      <c r="I21">
        <f t="shared" si="1"/>
        <v>1.04582409460458</v>
      </c>
      <c r="J21">
        <v>3.8</v>
      </c>
      <c r="K21" s="54">
        <f t="shared" si="2"/>
        <v>1.0458000000000001</v>
      </c>
      <c r="L21">
        <f t="shared" si="3"/>
        <v>1.0452999999999999</v>
      </c>
      <c r="M21" s="54">
        <v>0.63480000000000003</v>
      </c>
      <c r="N21">
        <v>0.63480000000000003</v>
      </c>
      <c r="O21">
        <v>3.8000000000003</v>
      </c>
      <c r="AD21" s="54"/>
    </row>
    <row r="22" spans="1:30">
      <c r="A22" s="5">
        <v>12</v>
      </c>
      <c r="B22" s="5">
        <v>985.5</v>
      </c>
      <c r="C22" s="6"/>
      <c r="D22" s="7">
        <v>0.82</v>
      </c>
      <c r="E22" s="6">
        <v>819.6</v>
      </c>
      <c r="G22" s="97">
        <f t="shared" si="4"/>
        <v>4</v>
      </c>
      <c r="H22">
        <f t="shared" si="0"/>
        <v>1.0438000000000001</v>
      </c>
      <c r="I22">
        <f t="shared" si="1"/>
        <v>1.0442804428044301</v>
      </c>
      <c r="J22">
        <v>4</v>
      </c>
      <c r="K22" s="54">
        <f t="shared" si="2"/>
        <v>1.0443</v>
      </c>
      <c r="L22">
        <f t="shared" si="3"/>
        <v>1.0438000000000001</v>
      </c>
      <c r="M22" s="54">
        <v>0.63539999999999996</v>
      </c>
      <c r="N22">
        <v>0.63539999999999996</v>
      </c>
      <c r="O22">
        <v>3.9999999999997402</v>
      </c>
      <c r="T22" s="30" t="str">
        <f>IF(Data!T16=1,specGrav6,"")</f>
        <v/>
      </c>
      <c r="U22" t="e">
        <f>VLOOKUP(T23,apiDen,2)</f>
        <v>#VALUE!</v>
      </c>
      <c r="W22" s="30" t="str">
        <f>IF(OR(Data!T16=2,Data!T16=3),specGrav6,"")</f>
        <v/>
      </c>
      <c r="X22" t="e">
        <f>VLOOKUP(W23,sgDen,2)</f>
        <v>#VALUE!</v>
      </c>
      <c r="Z22" s="30" t="str">
        <f>IF(Bunkering!T16=1,Bunkering!specGrav26,"")</f>
        <v/>
      </c>
      <c r="AA22" t="e">
        <f>VLOOKUP(Z23,apiDen,2)</f>
        <v>#VALUE!</v>
      </c>
      <c r="AC22" s="30" t="str">
        <f>IF(OR(Bunkering!T16=2,Bunkering!T16=3),Bunkering!specGrav26,"")</f>
        <v/>
      </c>
      <c r="AD22" s="54" t="e">
        <f>VLOOKUP(AC23,sgDen,2)</f>
        <v>#VALUE!</v>
      </c>
    </row>
    <row r="23" spans="1:30">
      <c r="A23" s="5">
        <v>12.1</v>
      </c>
      <c r="B23" s="5">
        <v>984.8</v>
      </c>
      <c r="C23" s="6"/>
      <c r="D23" s="7">
        <v>0.82099999999999995</v>
      </c>
      <c r="E23" s="6">
        <v>820.6</v>
      </c>
      <c r="G23" s="97">
        <f t="shared" si="4"/>
        <v>4.2</v>
      </c>
      <c r="H23">
        <f t="shared" si="0"/>
        <v>1.0422</v>
      </c>
      <c r="I23">
        <f t="shared" si="1"/>
        <v>1.04274134119381</v>
      </c>
      <c r="J23">
        <v>4.2</v>
      </c>
      <c r="K23" s="54">
        <f t="shared" si="2"/>
        <v>1.0427</v>
      </c>
      <c r="L23">
        <f t="shared" si="3"/>
        <v>1.0422</v>
      </c>
      <c r="M23" s="54">
        <v>0.63600000000000001</v>
      </c>
      <c r="N23">
        <v>0.63600000000000001</v>
      </c>
      <c r="O23">
        <v>4.1999999999999904</v>
      </c>
      <c r="T23" t="e">
        <f>FLOOR(T22,0.2)</f>
        <v>#VALUE!</v>
      </c>
      <c r="U23" t="e">
        <f>VLOOKUP(T24,apiDen,2)</f>
        <v>#VALUE!</v>
      </c>
      <c r="W23" s="30" t="e">
        <f>FLOOR(W22,0.0015)</f>
        <v>#VALUE!</v>
      </c>
      <c r="X23" t="e">
        <f>VLOOKUP(W24,sgDen,2)</f>
        <v>#VALUE!</v>
      </c>
      <c r="Z23" t="e">
        <f>FLOOR(Z22,0.2)</f>
        <v>#VALUE!</v>
      </c>
      <c r="AA23" t="e">
        <f>VLOOKUP(Z24,apiDen,2)</f>
        <v>#VALUE!</v>
      </c>
      <c r="AC23" s="30" t="e">
        <f>FLOOR(AC22,0.0015)</f>
        <v>#VALUE!</v>
      </c>
      <c r="AD23" s="54" t="e">
        <f>VLOOKUP(AC24,sgDen,2)</f>
        <v>#VALUE!</v>
      </c>
    </row>
    <row r="24" spans="1:30">
      <c r="A24" s="5">
        <v>12.2</v>
      </c>
      <c r="B24" s="5">
        <v>984.1</v>
      </c>
      <c r="C24" s="6"/>
      <c r="D24" s="7">
        <v>0.82199999999999995</v>
      </c>
      <c r="E24" s="6">
        <v>821.6</v>
      </c>
      <c r="G24" s="97">
        <f t="shared" si="4"/>
        <v>4.4000000000000004</v>
      </c>
      <c r="H24">
        <f t="shared" si="0"/>
        <v>1.0407</v>
      </c>
      <c r="I24">
        <f t="shared" si="1"/>
        <v>1.04120676968359</v>
      </c>
      <c r="J24">
        <v>4.4000000000000004</v>
      </c>
      <c r="K24" s="54">
        <f t="shared" si="2"/>
        <v>1.0411999999999999</v>
      </c>
      <c r="L24">
        <f t="shared" si="3"/>
        <v>1.0407</v>
      </c>
      <c r="M24" s="54">
        <v>0.63649999999999995</v>
      </c>
      <c r="N24">
        <v>0.63649999999999995</v>
      </c>
      <c r="O24">
        <v>4.4000000000001203</v>
      </c>
      <c r="T24" t="e">
        <f>CEILING(T22,0.2)</f>
        <v>#VALUE!</v>
      </c>
      <c r="U24" s="96" t="e">
        <f>IF(U22=U23,U22,FORECAST(T22,U22:U23,T23:T24))</f>
        <v>#VALUE!</v>
      </c>
      <c r="W24" s="30" t="e">
        <f>CEILING(W22,0.0015)</f>
        <v>#VALUE!</v>
      </c>
      <c r="X24" s="96" t="e">
        <f>IF(X22=X23,X22,FORECAST(W22,X22:X23,W23:W24))</f>
        <v>#VALUE!</v>
      </c>
      <c r="Z24" t="e">
        <f>CEILING(Z22,0.2)</f>
        <v>#VALUE!</v>
      </c>
      <c r="AA24" s="96" t="e">
        <f>IF(AA22=AA23,AA22,FORECAST(Z22,AA22:AA23,Z23:Z24))</f>
        <v>#VALUE!</v>
      </c>
      <c r="AC24" s="30" t="e">
        <f>CEILING(AC22,0.0015)</f>
        <v>#VALUE!</v>
      </c>
      <c r="AD24" s="96" t="e">
        <f>IF(AD22=AD23,AD22,FORECAST(AC22,AD22:AD23,AC23:AC24))</f>
        <v>#VALUE!</v>
      </c>
    </row>
    <row r="25" spans="1:30">
      <c r="A25" s="5">
        <v>12.3</v>
      </c>
      <c r="B25" s="5">
        <v>983.4</v>
      </c>
      <c r="C25" s="6"/>
      <c r="D25" s="7">
        <v>0.82299999999999995</v>
      </c>
      <c r="E25" s="6">
        <v>822.6</v>
      </c>
      <c r="G25" s="97">
        <f t="shared" si="4"/>
        <v>4.5999999999999996</v>
      </c>
      <c r="H25">
        <f t="shared" si="0"/>
        <v>1.0391999999999999</v>
      </c>
      <c r="I25">
        <f t="shared" si="1"/>
        <v>1.0396767083027201</v>
      </c>
      <c r="J25">
        <v>4.5999999999999996</v>
      </c>
      <c r="K25" s="54">
        <f t="shared" si="2"/>
        <v>1.0397000000000001</v>
      </c>
      <c r="L25">
        <f t="shared" si="3"/>
        <v>1.0391999999999999</v>
      </c>
      <c r="M25" s="54">
        <v>0.6371</v>
      </c>
      <c r="N25">
        <v>0.6371</v>
      </c>
      <c r="O25">
        <v>4.5999999999997998</v>
      </c>
      <c r="AD25" s="54"/>
    </row>
    <row r="26" spans="1:30">
      <c r="A26" s="5">
        <v>12.4</v>
      </c>
      <c r="B26" s="5">
        <v>982.7</v>
      </c>
      <c r="C26" s="6"/>
      <c r="D26" s="7">
        <v>0.82399999999999995</v>
      </c>
      <c r="E26" s="6">
        <v>823.6</v>
      </c>
      <c r="G26" s="97">
        <f t="shared" si="4"/>
        <v>4.8</v>
      </c>
      <c r="H26">
        <f t="shared" si="0"/>
        <v>1.0377000000000001</v>
      </c>
      <c r="I26">
        <f t="shared" si="1"/>
        <v>1.03815113719736</v>
      </c>
      <c r="J26">
        <v>4.8</v>
      </c>
      <c r="K26" s="54">
        <f t="shared" si="2"/>
        <v>1.0382</v>
      </c>
      <c r="L26">
        <f t="shared" si="3"/>
        <v>1.0377000000000001</v>
      </c>
      <c r="M26" s="54">
        <v>0.63770000000000004</v>
      </c>
      <c r="N26">
        <v>0.63770000000000004</v>
      </c>
      <c r="O26">
        <v>4.79999999999984</v>
      </c>
      <c r="T26" s="30" t="str">
        <f>IF(Data!T17=1,specGrav7,"")</f>
        <v/>
      </c>
      <c r="U26" t="e">
        <f>VLOOKUP(T27,apiDen,2)</f>
        <v>#VALUE!</v>
      </c>
      <c r="W26" s="30" t="str">
        <f>IF(OR(Data!T17=2,Data!T17=3),specGrav7,"")</f>
        <v/>
      </c>
      <c r="X26" t="e">
        <f>VLOOKUP(W27,sgDen,2)</f>
        <v>#VALUE!</v>
      </c>
      <c r="Z26" s="30" t="str">
        <f>IF(Bunkering!T17=1,Bunkering!specGrav27,"")</f>
        <v/>
      </c>
      <c r="AA26" t="e">
        <f>VLOOKUP(Z27,apiDen,2)</f>
        <v>#VALUE!</v>
      </c>
      <c r="AC26" s="30" t="str">
        <f>IF(OR(Bunkering!T17=2,Bunkering!T17=3),Bunkering!specGrav27,"")</f>
        <v/>
      </c>
      <c r="AD26" s="54" t="e">
        <f>VLOOKUP(AC27,sgDen,2)</f>
        <v>#VALUE!</v>
      </c>
    </row>
    <row r="27" spans="1:30">
      <c r="A27" s="5">
        <v>12.5</v>
      </c>
      <c r="B27" s="5">
        <v>982</v>
      </c>
      <c r="C27" s="6"/>
      <c r="D27" s="7">
        <v>0.82499999999999996</v>
      </c>
      <c r="E27" s="6">
        <v>824.6</v>
      </c>
      <c r="G27" s="97">
        <f t="shared" si="4"/>
        <v>5</v>
      </c>
      <c r="H27">
        <f t="shared" si="0"/>
        <v>1.0361</v>
      </c>
      <c r="I27">
        <f t="shared" si="1"/>
        <v>1.0366300366300401</v>
      </c>
      <c r="J27">
        <v>5</v>
      </c>
      <c r="K27" s="54">
        <f t="shared" si="2"/>
        <v>1.0366</v>
      </c>
      <c r="L27">
        <f t="shared" si="3"/>
        <v>1.0361</v>
      </c>
      <c r="M27" s="54">
        <v>0.63819999999999999</v>
      </c>
      <c r="N27">
        <v>0.63819999999999999</v>
      </c>
      <c r="O27">
        <v>4.9999999999995497</v>
      </c>
      <c r="T27" t="e">
        <f>FLOOR(T26,0.2)</f>
        <v>#VALUE!</v>
      </c>
      <c r="U27" t="e">
        <f>VLOOKUP(T28,apiDen,2)</f>
        <v>#VALUE!</v>
      </c>
      <c r="W27" s="30" t="e">
        <f>FLOOR(W26,0.0015)</f>
        <v>#VALUE!</v>
      </c>
      <c r="X27" t="e">
        <f>VLOOKUP(W28,sgDen,2)</f>
        <v>#VALUE!</v>
      </c>
      <c r="Z27" t="e">
        <f>FLOOR(Z26,0.2)</f>
        <v>#VALUE!</v>
      </c>
      <c r="AA27" t="e">
        <f>VLOOKUP(Z28,apiDen,2)</f>
        <v>#VALUE!</v>
      </c>
      <c r="AC27" s="30" t="e">
        <f>FLOOR(AC26,0.0015)</f>
        <v>#VALUE!</v>
      </c>
      <c r="AD27" s="54" t="e">
        <f>VLOOKUP(AC28,sgDen,2)</f>
        <v>#VALUE!</v>
      </c>
    </row>
    <row r="28" spans="1:30">
      <c r="A28" s="5">
        <v>12.6</v>
      </c>
      <c r="B28" s="5">
        <v>981.4</v>
      </c>
      <c r="C28" s="6"/>
      <c r="D28" s="7">
        <v>0.82599999999999996</v>
      </c>
      <c r="E28" s="6">
        <v>825.6</v>
      </c>
      <c r="G28" s="97">
        <f t="shared" si="4"/>
        <v>5.2</v>
      </c>
      <c r="H28">
        <f t="shared" si="0"/>
        <v>1.0346</v>
      </c>
      <c r="I28">
        <f t="shared" si="1"/>
        <v>1.0351133869787901</v>
      </c>
      <c r="J28">
        <v>5.2</v>
      </c>
      <c r="K28" s="54">
        <f t="shared" si="2"/>
        <v>1.0350999999999999</v>
      </c>
      <c r="L28">
        <f t="shared" si="3"/>
        <v>1.0346</v>
      </c>
      <c r="M28" s="54">
        <v>0.63880000000000003</v>
      </c>
      <c r="N28">
        <v>0.63880000000000003</v>
      </c>
      <c r="O28">
        <v>5.1999999999994202</v>
      </c>
      <c r="T28" t="e">
        <f>CEILING(T26,0.2)</f>
        <v>#VALUE!</v>
      </c>
      <c r="U28" s="96" t="e">
        <f>IF(U26=U27,U26,FORECAST(T26,U26:U27,T27:T28))</f>
        <v>#VALUE!</v>
      </c>
      <c r="W28" s="30" t="e">
        <f>CEILING(W26,0.0015)</f>
        <v>#VALUE!</v>
      </c>
      <c r="X28" s="96" t="e">
        <f>IF(X26=X27,X26,FORECAST(W26,X26:X27,W27:W28))</f>
        <v>#VALUE!</v>
      </c>
      <c r="Z28" t="e">
        <f>CEILING(Z26,0.2)</f>
        <v>#VALUE!</v>
      </c>
      <c r="AA28" s="96" t="e">
        <f>IF(AA26=AA27,AA26,FORECAST(Z26,AA26:AA27,Z27:Z28))</f>
        <v>#VALUE!</v>
      </c>
      <c r="AC28" s="30" t="e">
        <f>CEILING(AC26,0.0015)</f>
        <v>#VALUE!</v>
      </c>
      <c r="AD28" s="96" t="e">
        <f>IF(AD26=AD27,AD26,FORECAST(AC26,AD26:AD27,AC27:AC28))</f>
        <v>#VALUE!</v>
      </c>
    </row>
    <row r="29" spans="1:30">
      <c r="A29" s="5">
        <v>12.7</v>
      </c>
      <c r="B29" s="5">
        <v>980.7</v>
      </c>
      <c r="C29" s="6"/>
      <c r="D29" s="7">
        <v>0.82699999999999996</v>
      </c>
      <c r="E29" s="6">
        <v>826.6</v>
      </c>
      <c r="G29" s="97">
        <f t="shared" si="4"/>
        <v>5.4</v>
      </c>
      <c r="H29">
        <f t="shared" si="0"/>
        <v>1.0330999999999999</v>
      </c>
      <c r="I29">
        <f t="shared" si="1"/>
        <v>1.0336011687363</v>
      </c>
      <c r="J29">
        <v>5.4</v>
      </c>
      <c r="K29" s="54">
        <f t="shared" si="2"/>
        <v>1.0336000000000001</v>
      </c>
      <c r="L29">
        <f t="shared" si="3"/>
        <v>1.0330999999999999</v>
      </c>
      <c r="M29" s="54">
        <v>0.63939999999999997</v>
      </c>
      <c r="N29">
        <v>0.63939999999999997</v>
      </c>
      <c r="O29">
        <v>5.4000000000005199</v>
      </c>
      <c r="AD29" s="54"/>
    </row>
    <row r="30" spans="1:30">
      <c r="A30" s="5">
        <v>12.8</v>
      </c>
      <c r="B30" s="5">
        <v>980</v>
      </c>
      <c r="C30" s="6"/>
      <c r="D30" s="7">
        <v>0.82799999999999996</v>
      </c>
      <c r="E30" s="6">
        <v>827.6</v>
      </c>
      <c r="G30" s="97">
        <f t="shared" si="4"/>
        <v>5.6</v>
      </c>
      <c r="H30">
        <f t="shared" si="0"/>
        <v>1.0316000000000001</v>
      </c>
      <c r="I30">
        <f t="shared" si="1"/>
        <v>1.03209336250912</v>
      </c>
      <c r="J30">
        <v>5.6</v>
      </c>
      <c r="K30" s="54">
        <f t="shared" si="2"/>
        <v>1.0321</v>
      </c>
      <c r="L30">
        <f t="shared" si="3"/>
        <v>1.0316000000000001</v>
      </c>
      <c r="M30" s="54">
        <v>0.64</v>
      </c>
      <c r="N30">
        <v>0.64</v>
      </c>
      <c r="O30">
        <v>5.5999999999996497</v>
      </c>
      <c r="T30" s="30" t="str">
        <f>IF(Data!T18=1,specGrav8,"")</f>
        <v/>
      </c>
      <c r="U30" t="e">
        <f>VLOOKUP(T31,apiDen,2)</f>
        <v>#VALUE!</v>
      </c>
      <c r="W30" s="30" t="str">
        <f>IF(OR(Data!T18=2,Data!T18=3),specGrav8,"")</f>
        <v/>
      </c>
      <c r="X30" t="e">
        <f>VLOOKUP(W31,sgDen,2)</f>
        <v>#VALUE!</v>
      </c>
      <c r="Z30" s="30" t="str">
        <f>IF(Bunkering!T18=1,Bunkering!specGrav28,"")</f>
        <v/>
      </c>
      <c r="AA30" t="e">
        <f>VLOOKUP(Z31,apiDen,2)</f>
        <v>#VALUE!</v>
      </c>
      <c r="AC30" s="30" t="str">
        <f>IF(OR(Bunkering!T18=2,Bunkering!T18=3),Bunkering!specGrav28,"")</f>
        <v/>
      </c>
      <c r="AD30" s="54" t="e">
        <f>VLOOKUP(AC31,sgDen,2)</f>
        <v>#VALUE!</v>
      </c>
    </row>
    <row r="31" spans="1:30">
      <c r="A31" s="5">
        <v>12.9</v>
      </c>
      <c r="B31" s="5">
        <v>979.3</v>
      </c>
      <c r="C31" s="6"/>
      <c r="D31" s="7">
        <v>0.82899999999999996</v>
      </c>
      <c r="E31" s="6">
        <v>828.6</v>
      </c>
      <c r="G31" s="97">
        <f t="shared" si="4"/>
        <v>5.8</v>
      </c>
      <c r="H31">
        <f t="shared" si="0"/>
        <v>1.0301</v>
      </c>
      <c r="I31">
        <f t="shared" si="1"/>
        <v>1.0305899490167501</v>
      </c>
      <c r="J31">
        <v>5.8</v>
      </c>
      <c r="K31" s="54">
        <f t="shared" si="2"/>
        <v>1.0306</v>
      </c>
      <c r="L31">
        <f t="shared" si="3"/>
        <v>1.0301</v>
      </c>
      <c r="M31" s="54">
        <v>0.64059999999999995</v>
      </c>
      <c r="N31">
        <v>0.64059999999999995</v>
      </c>
      <c r="O31">
        <v>5.8000000000002103</v>
      </c>
      <c r="T31" t="e">
        <f>FLOOR(T30,0.2)</f>
        <v>#VALUE!</v>
      </c>
      <c r="U31" t="e">
        <f>VLOOKUP(T32,apiDen,2)</f>
        <v>#VALUE!</v>
      </c>
      <c r="W31" s="30" t="e">
        <f>FLOOR(W30,0.0015)</f>
        <v>#VALUE!</v>
      </c>
      <c r="X31" t="e">
        <f>VLOOKUP(W32,sgDen,2)</f>
        <v>#VALUE!</v>
      </c>
      <c r="Z31" t="e">
        <f>FLOOR(Z30,0.2)</f>
        <v>#VALUE!</v>
      </c>
      <c r="AA31" t="e">
        <f>VLOOKUP(Z32,apiDen,2)</f>
        <v>#VALUE!</v>
      </c>
      <c r="AC31" s="30" t="e">
        <f>FLOOR(AC30,0.0015)</f>
        <v>#VALUE!</v>
      </c>
      <c r="AD31" s="54" t="e">
        <f>VLOOKUP(AC32,sgDen,2)</f>
        <v>#VALUE!</v>
      </c>
    </row>
    <row r="32" spans="1:30">
      <c r="A32" s="5">
        <v>13</v>
      </c>
      <c r="B32" s="5">
        <v>978.6</v>
      </c>
      <c r="C32" s="6"/>
      <c r="D32" s="7">
        <v>0.83</v>
      </c>
      <c r="E32" s="6">
        <v>829.6</v>
      </c>
      <c r="G32" s="97">
        <f t="shared" si="4"/>
        <v>6</v>
      </c>
      <c r="H32">
        <f t="shared" si="0"/>
        <v>1.0286</v>
      </c>
      <c r="I32">
        <f t="shared" si="1"/>
        <v>1.0290909090909099</v>
      </c>
      <c r="J32">
        <v>6</v>
      </c>
      <c r="K32" s="54">
        <f t="shared" si="2"/>
        <v>1.0290999999999999</v>
      </c>
      <c r="L32">
        <f t="shared" si="3"/>
        <v>1.0286</v>
      </c>
      <c r="M32" s="54">
        <v>0.6411</v>
      </c>
      <c r="N32">
        <v>0.6411</v>
      </c>
      <c r="O32">
        <v>5.9999999999998899</v>
      </c>
      <c r="T32" t="e">
        <f>CEILING(T30,0.2)</f>
        <v>#VALUE!</v>
      </c>
      <c r="U32" s="96" t="e">
        <f>IF(U30=U31,U30,FORECAST(T30,U30:U31,T31:T32))</f>
        <v>#VALUE!</v>
      </c>
      <c r="W32" s="30" t="e">
        <f>CEILING(W30,0.0015)</f>
        <v>#VALUE!</v>
      </c>
      <c r="X32" s="96" t="e">
        <f>IF(X30=X31,X30,FORECAST(W30,X30:X31,W31:W32))</f>
        <v>#VALUE!</v>
      </c>
      <c r="Z32" t="e">
        <f>CEILING(Z30,0.2)</f>
        <v>#VALUE!</v>
      </c>
      <c r="AA32" s="96" t="e">
        <f>IF(AA30=AA31,AA30,FORECAST(Z30,AA30:AA31,Z31:Z32))</f>
        <v>#VALUE!</v>
      </c>
      <c r="AC32" s="30" t="e">
        <f>CEILING(AC30,0.0015)</f>
        <v>#VALUE!</v>
      </c>
      <c r="AD32" s="96" t="e">
        <f>IF(AD30=AD31,AD30,FORECAST(AC30,AD30:AD31,AC31:AC32))</f>
        <v>#VALUE!</v>
      </c>
    </row>
    <row r="33" spans="1:30">
      <c r="A33" s="5">
        <v>13.1</v>
      </c>
      <c r="B33" s="5">
        <v>978</v>
      </c>
      <c r="C33" s="6"/>
      <c r="D33" s="7">
        <v>0.83099999999999996</v>
      </c>
      <c r="E33" s="6">
        <v>830.6</v>
      </c>
      <c r="G33" s="97">
        <f t="shared" si="4"/>
        <v>6.2</v>
      </c>
      <c r="H33">
        <f t="shared" si="0"/>
        <v>1.0270999999999999</v>
      </c>
      <c r="I33">
        <f t="shared" si="1"/>
        <v>1.0275962236746601</v>
      </c>
      <c r="J33">
        <v>6.2</v>
      </c>
      <c r="K33" s="54">
        <f t="shared" si="2"/>
        <v>1.0276000000000001</v>
      </c>
      <c r="L33">
        <f t="shared" si="3"/>
        <v>1.0270999999999999</v>
      </c>
      <c r="M33" s="54">
        <v>0.64170000000000005</v>
      </c>
      <c r="N33">
        <v>0.64170000000000005</v>
      </c>
      <c r="O33">
        <v>6.1999999999993296</v>
      </c>
      <c r="AD33" s="54"/>
    </row>
    <row r="34" spans="1:30">
      <c r="A34" s="5">
        <v>13.2</v>
      </c>
      <c r="B34" s="5">
        <v>977.3</v>
      </c>
      <c r="C34" s="6"/>
      <c r="D34" s="7">
        <v>0.83199999999999996</v>
      </c>
      <c r="E34" s="6">
        <v>831.6</v>
      </c>
      <c r="G34" s="97">
        <f t="shared" si="4"/>
        <v>6.4</v>
      </c>
      <c r="H34">
        <f t="shared" si="0"/>
        <v>1.0256000000000001</v>
      </c>
      <c r="I34">
        <f t="shared" si="1"/>
        <v>1.02610587382161</v>
      </c>
      <c r="J34">
        <v>6.4</v>
      </c>
      <c r="K34" s="54">
        <f t="shared" si="2"/>
        <v>1.0261</v>
      </c>
      <c r="L34">
        <f t="shared" si="3"/>
        <v>1.0256000000000001</v>
      </c>
      <c r="M34" s="54">
        <v>0.64229999999999998</v>
      </c>
      <c r="N34">
        <v>0.64229999999999998</v>
      </c>
      <c r="O34">
        <v>6.3999999999999799</v>
      </c>
      <c r="T34" s="30" t="str">
        <f>IF(Data!T19=1,specGrav9,"")</f>
        <v/>
      </c>
      <c r="U34" t="e">
        <f>VLOOKUP(T35,apiDen,2)</f>
        <v>#VALUE!</v>
      </c>
      <c r="W34" s="30" t="str">
        <f>IF(OR(Data!T19=2,Data!T19=3),specGrav9,"")</f>
        <v/>
      </c>
      <c r="X34" t="e">
        <f>VLOOKUP(W35,sgDen,2)</f>
        <v>#VALUE!</v>
      </c>
      <c r="Z34" s="30" t="str">
        <f>IF(Bunkering!T19=1,Bunkering!specGrav29,"")</f>
        <v/>
      </c>
      <c r="AA34" t="e">
        <f>VLOOKUP(Z35,apiDen,2)</f>
        <v>#VALUE!</v>
      </c>
      <c r="AC34" s="30" t="str">
        <f>IF(OR(Bunkering!T19=2,Bunkering!T19=3),Bunkering!specGrav29,"")</f>
        <v/>
      </c>
      <c r="AD34" s="54" t="e">
        <f>VLOOKUP(AC35,sgDen,2)</f>
        <v>#VALUE!</v>
      </c>
    </row>
    <row r="35" spans="1:30">
      <c r="A35" s="5">
        <v>13.3</v>
      </c>
      <c r="B35" s="5">
        <v>976.6</v>
      </c>
      <c r="C35" s="6"/>
      <c r="D35" s="7">
        <v>0.83299999999999996</v>
      </c>
      <c r="E35" s="6">
        <v>832.6</v>
      </c>
      <c r="G35" s="97">
        <f t="shared" si="4"/>
        <v>6.6</v>
      </c>
      <c r="H35">
        <f t="shared" si="0"/>
        <v>1.0241</v>
      </c>
      <c r="I35">
        <f t="shared" si="1"/>
        <v>1.0246198406951501</v>
      </c>
      <c r="J35">
        <v>6.6</v>
      </c>
      <c r="K35" s="54">
        <f t="shared" si="2"/>
        <v>1.0246</v>
      </c>
      <c r="L35">
        <f t="shared" si="3"/>
        <v>1.0241</v>
      </c>
      <c r="M35" s="54">
        <v>0.64290000000000003</v>
      </c>
      <c r="N35">
        <v>0.64290000000000003</v>
      </c>
      <c r="O35">
        <v>6.5999999999997696</v>
      </c>
      <c r="T35" t="e">
        <f>FLOOR(T34,0.2)</f>
        <v>#VALUE!</v>
      </c>
      <c r="U35" t="e">
        <f>VLOOKUP(T36,apiDen,2)</f>
        <v>#VALUE!</v>
      </c>
      <c r="W35" s="30" t="e">
        <f>FLOOR(W34,0.0015)</f>
        <v>#VALUE!</v>
      </c>
      <c r="X35" t="e">
        <f>VLOOKUP(W36,sgDen,2)</f>
        <v>#VALUE!</v>
      </c>
      <c r="Z35" t="e">
        <f>FLOOR(Z34,0.2)</f>
        <v>#VALUE!</v>
      </c>
      <c r="AA35" t="e">
        <f>VLOOKUP(Z36,apiDen,2)</f>
        <v>#VALUE!</v>
      </c>
      <c r="AC35" s="30" t="e">
        <f>FLOOR(AC34,0.0015)</f>
        <v>#VALUE!</v>
      </c>
      <c r="AD35" s="54" t="e">
        <f>VLOOKUP(AC36,sgDen,2)</f>
        <v>#VALUE!</v>
      </c>
    </row>
    <row r="36" spans="1:30">
      <c r="A36" s="5">
        <v>13.4</v>
      </c>
      <c r="B36" s="5">
        <v>975.9</v>
      </c>
      <c r="C36" s="6"/>
      <c r="D36" s="7">
        <v>0.83399999999999996</v>
      </c>
      <c r="E36" s="6">
        <v>833.6</v>
      </c>
      <c r="G36" s="97">
        <f t="shared" si="4"/>
        <v>6.8</v>
      </c>
      <c r="H36">
        <f t="shared" si="0"/>
        <v>1.0226</v>
      </c>
      <c r="I36">
        <f t="shared" si="1"/>
        <v>1.0231381055676101</v>
      </c>
      <c r="J36">
        <v>6.8</v>
      </c>
      <c r="K36" s="54">
        <f t="shared" si="2"/>
        <v>1.0230999999999999</v>
      </c>
      <c r="L36">
        <f t="shared" si="3"/>
        <v>1.0226</v>
      </c>
      <c r="M36" s="54">
        <v>0.64349999999999996</v>
      </c>
      <c r="N36">
        <v>0.64349999999999996</v>
      </c>
      <c r="O36">
        <v>6.79999999999953</v>
      </c>
      <c r="T36" t="e">
        <f>CEILING(T34,0.2)</f>
        <v>#VALUE!</v>
      </c>
      <c r="U36" s="96" t="e">
        <f>IF(U34=U35,U34,FORECAST(T34,U34:U35,T35:T36))</f>
        <v>#VALUE!</v>
      </c>
      <c r="W36" s="30" t="e">
        <f>CEILING(W34,0.0015)</f>
        <v>#VALUE!</v>
      </c>
      <c r="X36" s="96" t="e">
        <f>IF(X34=X35,X34,FORECAST(W34,X34:X35,W35:W36))</f>
        <v>#VALUE!</v>
      </c>
      <c r="Z36" t="e">
        <f>CEILING(Z34,0.2)</f>
        <v>#VALUE!</v>
      </c>
      <c r="AA36" s="96" t="e">
        <f>IF(AA34=AA35,AA34,FORECAST(Z34,AA34:AA35,Z35:Z36))</f>
        <v>#VALUE!</v>
      </c>
      <c r="AC36" s="30" t="e">
        <f>CEILING(AC34,0.0015)</f>
        <v>#VALUE!</v>
      </c>
      <c r="AD36" s="96" t="e">
        <f>IF(AD34=AD35,AD34,FORECAST(AC34,AD34:AD35,AC35:AC36))</f>
        <v>#VALUE!</v>
      </c>
    </row>
    <row r="37" spans="1:30">
      <c r="A37" s="5">
        <v>13.5</v>
      </c>
      <c r="B37" s="5">
        <v>975.3</v>
      </c>
      <c r="C37" s="6"/>
      <c r="D37" s="7">
        <v>0.83499999999999996</v>
      </c>
      <c r="E37" s="6">
        <v>834.6</v>
      </c>
      <c r="G37" s="97">
        <f t="shared" si="4"/>
        <v>7</v>
      </c>
      <c r="H37">
        <f t="shared" si="0"/>
        <v>1.0212000000000001</v>
      </c>
      <c r="I37">
        <f t="shared" si="1"/>
        <v>1.02166064981949</v>
      </c>
      <c r="J37">
        <v>7</v>
      </c>
      <c r="K37" s="54">
        <f t="shared" si="2"/>
        <v>1.0217000000000001</v>
      </c>
      <c r="L37">
        <f t="shared" si="3"/>
        <v>1.0212000000000001</v>
      </c>
      <c r="M37" s="54">
        <v>0.64410000000000001</v>
      </c>
      <c r="N37">
        <v>0.64410000000000001</v>
      </c>
      <c r="O37">
        <v>7.0000000000006297</v>
      </c>
      <c r="AD37" s="54"/>
    </row>
    <row r="38" spans="1:30">
      <c r="A38" s="5">
        <v>13.6</v>
      </c>
      <c r="B38" s="5">
        <v>974.6</v>
      </c>
      <c r="C38" s="6"/>
      <c r="D38" s="7">
        <v>0.83599999999999997</v>
      </c>
      <c r="E38" s="6">
        <v>835.6</v>
      </c>
      <c r="G38" s="97">
        <f t="shared" si="4"/>
        <v>7.2</v>
      </c>
      <c r="H38">
        <f t="shared" si="0"/>
        <v>1.0197000000000001</v>
      </c>
      <c r="I38">
        <f t="shared" si="1"/>
        <v>1.02018745493872</v>
      </c>
      <c r="J38">
        <v>7.2</v>
      </c>
      <c r="K38" s="54">
        <f t="shared" si="2"/>
        <v>1.0202</v>
      </c>
      <c r="L38">
        <f t="shared" si="3"/>
        <v>1.0197000000000001</v>
      </c>
      <c r="M38" s="54">
        <v>0.64459999999999995</v>
      </c>
      <c r="N38">
        <v>0.64459999999999995</v>
      </c>
      <c r="O38">
        <v>7.1999999999995303</v>
      </c>
      <c r="T38" s="30" t="str">
        <f>IF(Data!T20=1,specGrav10,"")</f>
        <v/>
      </c>
      <c r="U38" t="e">
        <f>VLOOKUP(T39,apiDen,2)</f>
        <v>#VALUE!</v>
      </c>
      <c r="W38" s="30" t="str">
        <f>IF(OR(Data!T20=2,Data!T20=3),specGrav10,"")</f>
        <v/>
      </c>
      <c r="X38" t="e">
        <f>VLOOKUP(W39,sgDen,2)</f>
        <v>#VALUE!</v>
      </c>
      <c r="Z38" s="30" t="str">
        <f>IF(Bunkering!T20=1,Bunkering!specGrav210,"")</f>
        <v/>
      </c>
      <c r="AA38" t="e">
        <f>VLOOKUP(Z39,apiDen,2)</f>
        <v>#VALUE!</v>
      </c>
      <c r="AC38" s="30" t="str">
        <f>IF(OR(Bunkering!T20=2,Bunkering!T20=3),Bunkering!specGrav210,"")</f>
        <v/>
      </c>
      <c r="AD38" s="54" t="e">
        <f>VLOOKUP(AC39,sgDen,2)</f>
        <v>#VALUE!</v>
      </c>
    </row>
    <row r="39" spans="1:30">
      <c r="A39" s="5">
        <v>13.7</v>
      </c>
      <c r="B39" s="5">
        <v>973.9</v>
      </c>
      <c r="C39" s="6"/>
      <c r="D39" s="7">
        <v>0.83699999999999997</v>
      </c>
      <c r="E39" s="6">
        <v>836.6</v>
      </c>
      <c r="G39" s="97">
        <f t="shared" si="4"/>
        <v>7.4</v>
      </c>
      <c r="H39">
        <f t="shared" si="0"/>
        <v>1.0182</v>
      </c>
      <c r="I39">
        <f t="shared" si="1"/>
        <v>1.0187185025198</v>
      </c>
      <c r="J39">
        <v>7.4</v>
      </c>
      <c r="K39" s="54">
        <f t="shared" si="2"/>
        <v>1.0186999999999999</v>
      </c>
      <c r="L39">
        <f t="shared" si="3"/>
        <v>1.0182</v>
      </c>
      <c r="M39" s="54">
        <v>0.6452</v>
      </c>
      <c r="N39">
        <v>0.6452</v>
      </c>
      <c r="O39">
        <v>7.3999999999997801</v>
      </c>
      <c r="T39" t="e">
        <f>FLOOR(T38,0.2)</f>
        <v>#VALUE!</v>
      </c>
      <c r="U39" t="e">
        <f>VLOOKUP(T40,apiDen,2)</f>
        <v>#VALUE!</v>
      </c>
      <c r="W39" s="30" t="e">
        <f>FLOOR(W38,0.0015)</f>
        <v>#VALUE!</v>
      </c>
      <c r="X39" t="e">
        <f>VLOOKUP(W40,sgDen,2)</f>
        <v>#VALUE!</v>
      </c>
      <c r="Z39" t="e">
        <f>FLOOR(Z38,0.2)</f>
        <v>#VALUE!</v>
      </c>
      <c r="AA39" t="e">
        <f>VLOOKUP(Z40,apiDen,2)</f>
        <v>#VALUE!</v>
      </c>
      <c r="AC39" s="30" t="e">
        <f>FLOOR(AC38,0.0015)</f>
        <v>#VALUE!</v>
      </c>
      <c r="AD39" s="54" t="e">
        <f>VLOOKUP(AC40,sgDen,2)</f>
        <v>#VALUE!</v>
      </c>
    </row>
    <row r="40" spans="1:30">
      <c r="A40" s="5">
        <v>13.8</v>
      </c>
      <c r="B40" s="5">
        <v>973.3</v>
      </c>
      <c r="C40" s="6"/>
      <c r="D40" s="7">
        <v>0.83799999999999997</v>
      </c>
      <c r="E40" s="6">
        <v>837.6</v>
      </c>
      <c r="G40" s="97">
        <f t="shared" si="4"/>
        <v>7.6</v>
      </c>
      <c r="H40">
        <f t="shared" si="0"/>
        <v>1.0167999999999999</v>
      </c>
      <c r="I40">
        <f t="shared" si="1"/>
        <v>1.01725377426312</v>
      </c>
      <c r="J40">
        <v>7.6</v>
      </c>
      <c r="K40" s="54">
        <f t="shared" si="2"/>
        <v>1.0173000000000001</v>
      </c>
      <c r="L40">
        <f t="shared" si="3"/>
        <v>1.0167999999999999</v>
      </c>
      <c r="M40" s="54">
        <v>0.64580000000000004</v>
      </c>
      <c r="N40">
        <v>0.64580000000000004</v>
      </c>
      <c r="O40">
        <v>7.5999999999999899</v>
      </c>
      <c r="T40" t="e">
        <f>CEILING(T38,0.2)</f>
        <v>#VALUE!</v>
      </c>
      <c r="U40" s="96" t="e">
        <f>IF(U38=U39,U38,FORECAST(T38,U38:U39,T39:T40))</f>
        <v>#VALUE!</v>
      </c>
      <c r="W40" s="30" t="e">
        <f>CEILING(W38,0.0015)</f>
        <v>#VALUE!</v>
      </c>
      <c r="X40" s="96" t="e">
        <f>IF(X38=X39,X38,FORECAST(W38,X38:X39,W39:W40))</f>
        <v>#VALUE!</v>
      </c>
      <c r="Z40" t="e">
        <f>CEILING(Z38,0.2)</f>
        <v>#VALUE!</v>
      </c>
      <c r="AA40" s="96" t="e">
        <f>IF(AA38=AA39,AA38,FORECAST(Z38,AA38:AA39,Z39:Z40))</f>
        <v>#VALUE!</v>
      </c>
      <c r="AC40" s="30" t="e">
        <f>CEILING(AC38,0.0015)</f>
        <v>#VALUE!</v>
      </c>
      <c r="AD40" s="96" t="e">
        <f>IF(AD38=AD39,AD38,FORECAST(AC38,AD38:AD39,AC39:AC40))</f>
        <v>#VALUE!</v>
      </c>
    </row>
    <row r="41" spans="1:30">
      <c r="A41" s="5">
        <v>13.9</v>
      </c>
      <c r="B41" s="5">
        <v>972.6</v>
      </c>
      <c r="C41" s="6"/>
      <c r="D41" s="7">
        <v>0.83899999999999997</v>
      </c>
      <c r="E41" s="6">
        <v>838.6</v>
      </c>
      <c r="G41" s="97">
        <f t="shared" si="4"/>
        <v>7.8</v>
      </c>
      <c r="H41">
        <f t="shared" si="0"/>
        <v>1.0153000000000001</v>
      </c>
      <c r="I41">
        <f t="shared" si="1"/>
        <v>1.0157932519741599</v>
      </c>
      <c r="J41">
        <v>7.8</v>
      </c>
      <c r="K41" s="54">
        <f t="shared" si="2"/>
        <v>1.0158</v>
      </c>
      <c r="L41">
        <f t="shared" si="3"/>
        <v>1.0153000000000001</v>
      </c>
      <c r="M41" s="54">
        <v>0.64639999999999997</v>
      </c>
      <c r="N41">
        <v>0.64639999999999997</v>
      </c>
      <c r="O41">
        <v>7.79999999999953</v>
      </c>
      <c r="AD41" s="54"/>
    </row>
    <row r="42" spans="1:30">
      <c r="A42" s="5">
        <v>14</v>
      </c>
      <c r="B42" s="5">
        <v>971.9</v>
      </c>
      <c r="C42" s="6"/>
      <c r="D42" s="7">
        <v>0.84</v>
      </c>
      <c r="E42" s="6">
        <v>839.6</v>
      </c>
      <c r="G42" s="97">
        <f t="shared" si="4"/>
        <v>8</v>
      </c>
      <c r="H42">
        <f t="shared" si="0"/>
        <v>1.0138</v>
      </c>
      <c r="I42">
        <f t="shared" si="1"/>
        <v>1.0143369175627199</v>
      </c>
      <c r="J42">
        <v>8</v>
      </c>
      <c r="K42" s="54">
        <f t="shared" si="2"/>
        <v>1.0143</v>
      </c>
      <c r="L42">
        <f t="shared" si="3"/>
        <v>1.0138</v>
      </c>
      <c r="M42" s="54">
        <v>0.64700000000000002</v>
      </c>
      <c r="N42">
        <v>0.64700000000000002</v>
      </c>
      <c r="O42">
        <v>8.0000000000005702</v>
      </c>
      <c r="T42" s="30" t="str">
        <f>IF(Data!T21=1,specGrav11,"")</f>
        <v/>
      </c>
      <c r="U42" t="e">
        <f>VLOOKUP(T43,apiDen,2)</f>
        <v>#VALUE!</v>
      </c>
      <c r="W42" s="30" t="str">
        <f>IF(OR(Data!T21=2,Data!T21=3),specGrav11,"")</f>
        <v/>
      </c>
      <c r="X42" t="e">
        <f>VLOOKUP(W43,sgDen,2)</f>
        <v>#VALUE!</v>
      </c>
      <c r="Z42" s="30" t="str">
        <f>IF(Bunkering!T21=1,Bunkering!specGrav211,"")</f>
        <v/>
      </c>
      <c r="AA42" t="e">
        <f>VLOOKUP(Z43,apiDen,2)</f>
        <v>#VALUE!</v>
      </c>
      <c r="AC42" s="30" t="str">
        <f>IF(OR(Bunkering!T21=2,Bunkering!T21=3),Bunkering!specGrav211,"")</f>
        <v/>
      </c>
      <c r="AD42" s="54" t="e">
        <f>VLOOKUP(AC43,sgDen,2)</f>
        <v>#VALUE!</v>
      </c>
    </row>
    <row r="43" spans="1:30">
      <c r="A43" s="5">
        <v>14.1</v>
      </c>
      <c r="B43" s="5">
        <v>971.3</v>
      </c>
      <c r="C43" s="6"/>
      <c r="D43" s="7">
        <v>0.84099999999999997</v>
      </c>
      <c r="E43" s="6">
        <v>840.6</v>
      </c>
      <c r="G43" s="97">
        <f t="shared" si="4"/>
        <v>8.1999999999999993</v>
      </c>
      <c r="H43">
        <f t="shared" si="0"/>
        <v>1.0124</v>
      </c>
      <c r="I43">
        <f t="shared" si="1"/>
        <v>1.01288475304223</v>
      </c>
      <c r="J43">
        <v>8.1999999999999993</v>
      </c>
      <c r="K43" s="54">
        <f t="shared" si="2"/>
        <v>1.0128999999999999</v>
      </c>
      <c r="L43">
        <f t="shared" si="3"/>
        <v>1.0124</v>
      </c>
      <c r="M43" s="54">
        <v>0.64759999999999995</v>
      </c>
      <c r="N43">
        <v>0.64759999999999995</v>
      </c>
      <c r="O43">
        <v>8.20000000000047</v>
      </c>
      <c r="T43" t="e">
        <f>FLOOR(T42,0.2)</f>
        <v>#VALUE!</v>
      </c>
      <c r="U43" t="e">
        <f>VLOOKUP(T44,apiDen,2)</f>
        <v>#VALUE!</v>
      </c>
      <c r="W43" s="30" t="e">
        <f>FLOOR(W42,0.0015)</f>
        <v>#VALUE!</v>
      </c>
      <c r="X43" t="e">
        <f>VLOOKUP(W44,sgDen,2)</f>
        <v>#VALUE!</v>
      </c>
      <c r="Z43" t="e">
        <f>FLOOR(Z42,0.2)</f>
        <v>#VALUE!</v>
      </c>
      <c r="AA43" t="e">
        <f>VLOOKUP(Z44,apiDen,2)</f>
        <v>#VALUE!</v>
      </c>
      <c r="AC43" s="30" t="e">
        <f>FLOOR(AC42,0.0015)</f>
        <v>#VALUE!</v>
      </c>
      <c r="AD43" s="54" t="e">
        <f>VLOOKUP(AC44,sgDen,2)</f>
        <v>#VALUE!</v>
      </c>
    </row>
    <row r="44" spans="1:30">
      <c r="A44" s="5">
        <v>14.2</v>
      </c>
      <c r="B44" s="5">
        <v>970.6</v>
      </c>
      <c r="C44" s="6"/>
      <c r="D44" s="7">
        <v>0.84199999999999997</v>
      </c>
      <c r="E44" s="6">
        <v>841.6</v>
      </c>
      <c r="G44" s="97">
        <f t="shared" si="4"/>
        <v>8.4</v>
      </c>
      <c r="H44">
        <f t="shared" si="0"/>
        <v>1.0108999999999999</v>
      </c>
      <c r="I44">
        <f t="shared" si="1"/>
        <v>1.0114367405289499</v>
      </c>
      <c r="J44">
        <v>8.4</v>
      </c>
      <c r="K44" s="54">
        <f t="shared" si="2"/>
        <v>1.0114000000000001</v>
      </c>
      <c r="L44">
        <f t="shared" si="3"/>
        <v>1.0108999999999999</v>
      </c>
      <c r="M44" s="54">
        <v>0.6482</v>
      </c>
      <c r="N44">
        <v>0.6482</v>
      </c>
      <c r="O44">
        <v>8.3999999999998902</v>
      </c>
      <c r="T44" t="e">
        <f>CEILING(T42,0.2)</f>
        <v>#VALUE!</v>
      </c>
      <c r="U44" s="96" t="e">
        <f>IF(U42=U43,U42,FORECAST(T42,U42:U43,T43:T44))</f>
        <v>#VALUE!</v>
      </c>
      <c r="W44" s="30" t="e">
        <f>CEILING(W42,0.0015)</f>
        <v>#VALUE!</v>
      </c>
      <c r="X44" s="96" t="e">
        <f>IF(X42=X43,X42,FORECAST(W42,X42:X43,W43:W44))</f>
        <v>#VALUE!</v>
      </c>
      <c r="Z44" t="e">
        <f>CEILING(Z42,0.2)</f>
        <v>#VALUE!</v>
      </c>
      <c r="AA44" s="96" t="e">
        <f>IF(AA42=AA43,AA42,FORECAST(Z42,AA42:AA43,Z43:Z44))</f>
        <v>#VALUE!</v>
      </c>
      <c r="AC44" s="30" t="e">
        <f>CEILING(AC42,0.0015)</f>
        <v>#VALUE!</v>
      </c>
      <c r="AD44" s="96" t="e">
        <f>IF(AD42=AD43,AD42,FORECAST(AC42,AD42:AD43,AC43:AC44))</f>
        <v>#VALUE!</v>
      </c>
    </row>
    <row r="45" spans="1:30">
      <c r="A45" s="5">
        <v>14.3</v>
      </c>
      <c r="B45" s="5">
        <v>969.9</v>
      </c>
      <c r="C45" s="6"/>
      <c r="D45" s="7">
        <v>0.84299999999999997</v>
      </c>
      <c r="E45" s="6">
        <v>842.6</v>
      </c>
      <c r="G45" s="97">
        <f t="shared" si="4"/>
        <v>8.6</v>
      </c>
      <c r="H45">
        <f t="shared" si="0"/>
        <v>1.0095000000000001</v>
      </c>
      <c r="I45">
        <f t="shared" si="1"/>
        <v>1.0099928622412599</v>
      </c>
      <c r="J45">
        <v>8.6</v>
      </c>
      <c r="K45" s="54">
        <f t="shared" si="2"/>
        <v>1.01</v>
      </c>
      <c r="L45">
        <f t="shared" si="3"/>
        <v>1.0095000000000001</v>
      </c>
      <c r="M45" s="54">
        <v>0.64880000000000004</v>
      </c>
      <c r="N45">
        <v>0.64880000000000004</v>
      </c>
      <c r="O45">
        <v>8.5999999999994792</v>
      </c>
      <c r="AD45" s="54"/>
    </row>
    <row r="46" spans="1:30">
      <c r="A46" s="5">
        <v>14.4</v>
      </c>
      <c r="B46" s="5">
        <v>969.3</v>
      </c>
      <c r="C46" s="6"/>
      <c r="D46" s="7">
        <v>0.84399999999999997</v>
      </c>
      <c r="E46" s="6">
        <v>843.6</v>
      </c>
      <c r="G46" s="97">
        <f t="shared" si="4"/>
        <v>8.8000000000000007</v>
      </c>
      <c r="H46">
        <f t="shared" si="0"/>
        <v>1.0081</v>
      </c>
      <c r="I46">
        <f t="shared" si="1"/>
        <v>1.0085531004989301</v>
      </c>
      <c r="J46">
        <v>8.8000000000000007</v>
      </c>
      <c r="K46" s="54">
        <f t="shared" si="2"/>
        <v>1.0085999999999999</v>
      </c>
      <c r="L46">
        <f t="shared" si="3"/>
        <v>1.0081</v>
      </c>
      <c r="M46" s="54">
        <v>0.64939999999999998</v>
      </c>
      <c r="N46">
        <v>0.64939999999999998</v>
      </c>
      <c r="O46">
        <v>8.8000000000001002</v>
      </c>
      <c r="T46" s="30" t="str">
        <f>IF(Data!T22=1,specGrav12,"")</f>
        <v/>
      </c>
      <c r="U46" t="e">
        <f>VLOOKUP(T47,apiDen,2)</f>
        <v>#VALUE!</v>
      </c>
      <c r="W46" s="30" t="str">
        <f>IF(OR(Data!T22=2,Data!T22=3),specGrav12,"")</f>
        <v/>
      </c>
      <c r="X46" t="e">
        <f>VLOOKUP(W47,sgDen,2)</f>
        <v>#VALUE!</v>
      </c>
      <c r="Z46" s="30" t="str">
        <f>IF(Bunkering!T22=1,Bunkering!specGrav212,"")</f>
        <v/>
      </c>
      <c r="AA46" t="e">
        <f>VLOOKUP(Z47,apiDen,2)</f>
        <v>#VALUE!</v>
      </c>
      <c r="AC46" s="30" t="str">
        <f>IF(OR(Bunkering!T22=2,Bunkering!T22=3),Bunkering!specGrav212,"")</f>
        <v/>
      </c>
      <c r="AD46" s="54" t="e">
        <f>VLOOKUP(AC47,sgDen,2)</f>
        <v>#VALUE!</v>
      </c>
    </row>
    <row r="47" spans="1:30">
      <c r="A47" s="5">
        <v>14.5</v>
      </c>
      <c r="B47" s="5">
        <v>968.6</v>
      </c>
      <c r="C47" s="6"/>
      <c r="D47" s="7">
        <v>0.84499999999999997</v>
      </c>
      <c r="E47" s="6">
        <v>844.6</v>
      </c>
      <c r="G47" s="97">
        <f t="shared" si="4"/>
        <v>9</v>
      </c>
      <c r="H47">
        <f t="shared" si="0"/>
        <v>1.0065999999999999</v>
      </c>
      <c r="I47">
        <f t="shared" si="1"/>
        <v>1.0071174377224199</v>
      </c>
      <c r="J47">
        <v>9</v>
      </c>
      <c r="K47" s="54">
        <f t="shared" si="2"/>
        <v>1.0071000000000001</v>
      </c>
      <c r="L47">
        <f t="shared" si="3"/>
        <v>1.0065999999999999</v>
      </c>
      <c r="M47" s="54">
        <v>0.65</v>
      </c>
      <c r="N47">
        <v>0.65</v>
      </c>
      <c r="O47">
        <v>9</v>
      </c>
      <c r="T47" t="e">
        <f>FLOOR(T46,0.2)</f>
        <v>#VALUE!</v>
      </c>
      <c r="U47" t="e">
        <f>VLOOKUP(T48,apiDen,2)</f>
        <v>#VALUE!</v>
      </c>
      <c r="W47" s="30" t="e">
        <f>FLOOR(W46,0.0015)</f>
        <v>#VALUE!</v>
      </c>
      <c r="X47" t="e">
        <f>VLOOKUP(W48,sgDen,2)</f>
        <v>#VALUE!</v>
      </c>
      <c r="Z47" t="e">
        <f>FLOOR(Z46,0.2)</f>
        <v>#VALUE!</v>
      </c>
      <c r="AA47" t="e">
        <f>VLOOKUP(Z48,apiDen,2)</f>
        <v>#VALUE!</v>
      </c>
      <c r="AC47" s="30" t="e">
        <f>FLOOR(AC46,0.0015)</f>
        <v>#VALUE!</v>
      </c>
      <c r="AD47" s="54" t="e">
        <f>VLOOKUP(AC48,sgDen,2)</f>
        <v>#VALUE!</v>
      </c>
    </row>
    <row r="48" spans="1:30">
      <c r="A48" s="5">
        <v>14.6</v>
      </c>
      <c r="B48" s="5">
        <v>967.9</v>
      </c>
      <c r="C48" s="6"/>
      <c r="D48" s="7">
        <v>0.84599999999999997</v>
      </c>
      <c r="E48" s="6">
        <v>845.6</v>
      </c>
      <c r="G48" s="97">
        <f t="shared" si="4"/>
        <v>9.1999999999999993</v>
      </c>
      <c r="H48">
        <f t="shared" si="0"/>
        <v>1.0052000000000001</v>
      </c>
      <c r="I48">
        <f t="shared" si="1"/>
        <v>1.00568585643213</v>
      </c>
      <c r="J48">
        <v>9.1999999999999993</v>
      </c>
      <c r="K48" s="54">
        <f t="shared" si="2"/>
        <v>1.0057</v>
      </c>
      <c r="L48">
        <f t="shared" si="3"/>
        <v>1.0052000000000001</v>
      </c>
      <c r="M48" s="54">
        <v>0.65059999999999996</v>
      </c>
      <c r="N48">
        <v>0.65059999999999996</v>
      </c>
      <c r="O48">
        <v>9.1999999999993101</v>
      </c>
      <c r="T48" t="e">
        <f>CEILING(T46,0.2)</f>
        <v>#VALUE!</v>
      </c>
      <c r="U48" s="96" t="e">
        <f>IF(U46=U47,U46,FORECAST(T46,U46:U47,T47:T48))</f>
        <v>#VALUE!</v>
      </c>
      <c r="W48" s="30" t="e">
        <f>CEILING(W46,0.0015)</f>
        <v>#VALUE!</v>
      </c>
      <c r="X48" s="96" t="e">
        <f>IF(X46=X47,X46,FORECAST(W46,X46:X47,W47:W48))</f>
        <v>#VALUE!</v>
      </c>
      <c r="Z48" t="e">
        <f>CEILING(Z46,0.2)</f>
        <v>#VALUE!</v>
      </c>
      <c r="AA48" s="96" t="e">
        <f>IF(AA46=AA47,AA46,FORECAST(Z46,AA46:AA47,Z47:Z48))</f>
        <v>#VALUE!</v>
      </c>
      <c r="AC48" s="30" t="e">
        <f>CEILING(AC46,0.0015)</f>
        <v>#VALUE!</v>
      </c>
      <c r="AD48" s="96" t="e">
        <f>IF(AD46=AD47,AD46,FORECAST(AC46,AD46:AD47,AC47:AC48))</f>
        <v>#VALUE!</v>
      </c>
    </row>
    <row r="49" spans="1:30">
      <c r="A49" s="5">
        <v>14.7</v>
      </c>
      <c r="B49" s="5">
        <v>967.3</v>
      </c>
      <c r="C49" s="6"/>
      <c r="D49" s="7">
        <v>0.84699999999999998</v>
      </c>
      <c r="E49" s="6">
        <v>846.6</v>
      </c>
      <c r="G49" s="97">
        <f t="shared" si="4"/>
        <v>9.4</v>
      </c>
      <c r="H49">
        <f t="shared" si="0"/>
        <v>1.0038</v>
      </c>
      <c r="I49">
        <f t="shared" si="1"/>
        <v>1.00425833924769</v>
      </c>
      <c r="J49">
        <v>9.4</v>
      </c>
      <c r="K49" s="54">
        <f t="shared" si="2"/>
        <v>1.0043</v>
      </c>
      <c r="L49">
        <f t="shared" si="3"/>
        <v>1.0038</v>
      </c>
      <c r="M49" s="54">
        <v>0.6512</v>
      </c>
      <c r="N49">
        <v>0.6512</v>
      </c>
      <c r="O49">
        <v>9.4000000000004604</v>
      </c>
      <c r="AD49" s="54"/>
    </row>
    <row r="50" spans="1:30">
      <c r="A50" s="5">
        <v>14.8</v>
      </c>
      <c r="B50" s="5">
        <v>966.6</v>
      </c>
      <c r="C50" s="6"/>
      <c r="D50" s="7">
        <v>0.84799999999999998</v>
      </c>
      <c r="E50" s="6">
        <v>847.6</v>
      </c>
      <c r="G50" s="97">
        <f t="shared" si="4"/>
        <v>9.6</v>
      </c>
      <c r="H50">
        <f t="shared" si="0"/>
        <v>1.0023</v>
      </c>
      <c r="I50">
        <f t="shared" si="1"/>
        <v>1.0028348688873101</v>
      </c>
      <c r="J50">
        <v>9.6</v>
      </c>
      <c r="K50" s="54">
        <f t="shared" si="2"/>
        <v>1.0027999999999999</v>
      </c>
      <c r="L50">
        <f t="shared" si="3"/>
        <v>1.0023</v>
      </c>
      <c r="M50" s="54">
        <v>0.65180000000000005</v>
      </c>
      <c r="N50">
        <v>0.65180000000000005</v>
      </c>
      <c r="O50">
        <v>9.6000000000005308</v>
      </c>
      <c r="T50" s="30" t="str">
        <f>IF(Data!T23=1,specGrav13,"")</f>
        <v/>
      </c>
      <c r="U50" t="e">
        <f>VLOOKUP(T51,apiDen,2)</f>
        <v>#VALUE!</v>
      </c>
      <c r="W50" s="30" t="str">
        <f>IF(OR(Data!T23=2,Data!T23=3),specGrav13,"")</f>
        <v/>
      </c>
      <c r="X50" t="e">
        <f>VLOOKUP(W51,sgDen,2)</f>
        <v>#VALUE!</v>
      </c>
      <c r="Z50" s="30" t="str">
        <f>IF(Bunkering!T23=1,Bunkering!specGrav213,"")</f>
        <v/>
      </c>
      <c r="AA50" t="e">
        <f>VLOOKUP(Z51,apiDen,2)</f>
        <v>#VALUE!</v>
      </c>
      <c r="AC50" s="30" t="str">
        <f>IF(OR(Bunkering!T23=2,Bunkering!T23=3),Bunkering!specGrav213,"")</f>
        <v/>
      </c>
      <c r="AD50" s="54" t="e">
        <f>VLOOKUP(AC51,sgDen,2)</f>
        <v>#VALUE!</v>
      </c>
    </row>
    <row r="51" spans="1:30">
      <c r="A51" s="5">
        <v>14.9</v>
      </c>
      <c r="B51" s="5">
        <v>966</v>
      </c>
      <c r="C51" s="6"/>
      <c r="D51" s="7">
        <v>0.84899999999999998</v>
      </c>
      <c r="E51" s="6">
        <v>848.6</v>
      </c>
      <c r="G51" s="97">
        <f t="shared" si="4"/>
        <v>9.8000000000000007</v>
      </c>
      <c r="H51">
        <f t="shared" si="0"/>
        <v>1.0008999999999999</v>
      </c>
      <c r="I51">
        <f t="shared" si="1"/>
        <v>1.00141542816702</v>
      </c>
      <c r="J51">
        <v>9.8000000000000007</v>
      </c>
      <c r="K51" s="54">
        <f t="shared" si="2"/>
        <v>1.0014000000000001</v>
      </c>
      <c r="L51">
        <f t="shared" si="3"/>
        <v>1.0008999999999999</v>
      </c>
      <c r="M51" s="54">
        <v>0.65239999999999998</v>
      </c>
      <c r="N51">
        <v>0.65239999999999998</v>
      </c>
      <c r="O51">
        <v>9.80000000000007</v>
      </c>
      <c r="T51" t="e">
        <f>FLOOR(T50,0.2)</f>
        <v>#VALUE!</v>
      </c>
      <c r="U51" t="e">
        <f>VLOOKUP(T52,apiDen,2)</f>
        <v>#VALUE!</v>
      </c>
      <c r="W51" s="30" t="e">
        <f>FLOOR(W50,0.0015)</f>
        <v>#VALUE!</v>
      </c>
      <c r="X51" t="e">
        <f>VLOOKUP(W52,sgDen,2)</f>
        <v>#VALUE!</v>
      </c>
      <c r="Z51" t="e">
        <f>FLOOR(Z50,0.2)</f>
        <v>#VALUE!</v>
      </c>
      <c r="AA51" t="e">
        <f>VLOOKUP(Z52,apiDen,2)</f>
        <v>#VALUE!</v>
      </c>
      <c r="AC51" s="30" t="e">
        <f>FLOOR(AC50,0.0015)</f>
        <v>#VALUE!</v>
      </c>
      <c r="AD51" s="54" t="e">
        <f>VLOOKUP(AC52,sgDen,2)</f>
        <v>#VALUE!</v>
      </c>
    </row>
    <row r="52" spans="1:30">
      <c r="A52" s="5">
        <v>15</v>
      </c>
      <c r="B52" s="5">
        <v>965.3</v>
      </c>
      <c r="C52" s="6"/>
      <c r="D52" s="7">
        <v>0.85</v>
      </c>
      <c r="E52" s="6">
        <v>849.6</v>
      </c>
      <c r="G52" s="97">
        <f t="shared" si="4"/>
        <v>10</v>
      </c>
      <c r="H52">
        <f t="shared" si="0"/>
        <v>0.99950000000000006</v>
      </c>
      <c r="I52">
        <f t="shared" si="1"/>
        <v>1</v>
      </c>
      <c r="J52">
        <v>10</v>
      </c>
      <c r="K52" s="54">
        <f t="shared" si="2"/>
        <v>1</v>
      </c>
      <c r="L52">
        <f t="shared" si="3"/>
        <v>0.99950000000000006</v>
      </c>
      <c r="M52" s="54">
        <v>0.65300000000000002</v>
      </c>
      <c r="N52">
        <v>0.65300000000000002</v>
      </c>
      <c r="O52">
        <v>10</v>
      </c>
      <c r="T52" t="e">
        <f>CEILING(T50,0.2)</f>
        <v>#VALUE!</v>
      </c>
      <c r="U52" s="96" t="e">
        <f>IF(U50=U51,U50,FORECAST(T50,U50:U51,T51:T52))</f>
        <v>#VALUE!</v>
      </c>
      <c r="W52" s="30" t="e">
        <f>CEILING(W50,0.0015)</f>
        <v>#VALUE!</v>
      </c>
      <c r="X52" s="96" t="e">
        <f>IF(X50=X51,X50,FORECAST(W50,X50:X51,W51:W52))</f>
        <v>#VALUE!</v>
      </c>
      <c r="Z52" t="e">
        <f>CEILING(Z50,0.2)</f>
        <v>#VALUE!</v>
      </c>
      <c r="AA52" s="96" t="e">
        <f>IF(AA50=AA51,AA50,FORECAST(Z50,AA50:AA51,Z51:Z52))</f>
        <v>#VALUE!</v>
      </c>
      <c r="AC52" s="30" t="e">
        <f>CEILING(AC50,0.0015)</f>
        <v>#VALUE!</v>
      </c>
      <c r="AD52" s="96" t="e">
        <f>IF(AD50=AD51,AD50,FORECAST(AC50,AD50:AD51,AC51:AC52))</f>
        <v>#VALUE!</v>
      </c>
    </row>
    <row r="53" spans="1:30">
      <c r="A53" s="5">
        <v>15.1</v>
      </c>
      <c r="B53" s="5">
        <v>964.6</v>
      </c>
      <c r="C53" s="6"/>
      <c r="D53" s="7">
        <v>0.85099999999999998</v>
      </c>
      <c r="E53" s="6">
        <v>850.6</v>
      </c>
      <c r="G53" s="97">
        <f t="shared" si="4"/>
        <v>10.199999999999999</v>
      </c>
      <c r="H53">
        <f t="shared" si="0"/>
        <v>0.99809999999999999</v>
      </c>
      <c r="I53">
        <f t="shared" si="1"/>
        <v>0.99858856739590696</v>
      </c>
      <c r="J53">
        <v>10.199999999999999</v>
      </c>
      <c r="K53" s="54">
        <f t="shared" si="2"/>
        <v>0.99860000000000004</v>
      </c>
      <c r="L53">
        <f t="shared" si="3"/>
        <v>0.99809999999999999</v>
      </c>
      <c r="M53" s="54">
        <v>0.65359999999999996</v>
      </c>
      <c r="N53">
        <v>0.65359999999999996</v>
      </c>
      <c r="O53">
        <v>10.199999999999999</v>
      </c>
      <c r="AD53" s="54"/>
    </row>
    <row r="54" spans="1:30">
      <c r="A54" s="5">
        <v>15.2</v>
      </c>
      <c r="B54" s="5">
        <v>964</v>
      </c>
      <c r="C54" s="6"/>
      <c r="D54" s="7">
        <v>0.85199999999999998</v>
      </c>
      <c r="E54" s="6">
        <v>851.6</v>
      </c>
      <c r="G54" s="97">
        <f t="shared" si="4"/>
        <v>10.4</v>
      </c>
      <c r="H54">
        <f t="shared" si="0"/>
        <v>0.99670000000000003</v>
      </c>
      <c r="I54">
        <f t="shared" si="1"/>
        <v>0.99718111346018301</v>
      </c>
      <c r="J54">
        <v>10.4</v>
      </c>
      <c r="K54" s="54">
        <f t="shared" si="2"/>
        <v>0.99719999999999998</v>
      </c>
      <c r="L54">
        <f t="shared" si="3"/>
        <v>0.99670000000000003</v>
      </c>
      <c r="M54" s="54">
        <v>0.6542</v>
      </c>
      <c r="N54">
        <v>0.6542</v>
      </c>
      <c r="O54">
        <v>10.4</v>
      </c>
      <c r="T54" s="30" t="str">
        <f>IF(Data!T24=1,specGrav14,"")</f>
        <v/>
      </c>
      <c r="U54" t="e">
        <f>VLOOKUP(T55,apiDen,2)</f>
        <v>#VALUE!</v>
      </c>
      <c r="W54" s="30" t="str">
        <f>IF(OR(Data!T24=2,Data!T24=3),specGrav14,"")</f>
        <v/>
      </c>
      <c r="X54" t="e">
        <f>VLOOKUP(W55,sgDen,2)</f>
        <v>#VALUE!</v>
      </c>
      <c r="Z54" s="30" t="str">
        <f>IF(Bunkering!T24=1,Bunkering!specGrav214,"")</f>
        <v/>
      </c>
      <c r="AA54" t="e">
        <f>VLOOKUP(Z55,apiDen,2)</f>
        <v>#VALUE!</v>
      </c>
      <c r="AC54" s="30" t="str">
        <f>IF(OR(Bunkering!T24=2,Bunkering!T24=3),Bunkering!specGrav214,"")</f>
        <v/>
      </c>
      <c r="AD54" s="54" t="e">
        <f>VLOOKUP(AC55,sgDen,2)</f>
        <v>#VALUE!</v>
      </c>
    </row>
    <row r="55" spans="1:30">
      <c r="A55" s="5">
        <v>15.3</v>
      </c>
      <c r="B55" s="5">
        <v>963.3</v>
      </c>
      <c r="C55" s="6"/>
      <c r="D55" s="7">
        <v>0.85299999999999998</v>
      </c>
      <c r="E55" s="6">
        <v>852.5</v>
      </c>
      <c r="G55" s="97">
        <f t="shared" si="4"/>
        <v>10.6</v>
      </c>
      <c r="H55">
        <f t="shared" si="0"/>
        <v>0.99529999999999996</v>
      </c>
      <c r="I55">
        <f t="shared" si="1"/>
        <v>0.99577762139338499</v>
      </c>
      <c r="J55">
        <v>10.6</v>
      </c>
      <c r="K55" s="54">
        <f t="shared" si="2"/>
        <v>0.99580000000000002</v>
      </c>
      <c r="L55">
        <f t="shared" si="3"/>
        <v>0.99529999999999996</v>
      </c>
      <c r="M55" s="54">
        <v>0.65480000000000005</v>
      </c>
      <c r="N55">
        <v>0.65480000000000005</v>
      </c>
      <c r="O55">
        <v>10.6</v>
      </c>
      <c r="T55" t="e">
        <f>FLOOR(T54,0.2)</f>
        <v>#VALUE!</v>
      </c>
      <c r="U55" t="e">
        <f>VLOOKUP(T56,apiDen,2)</f>
        <v>#VALUE!</v>
      </c>
      <c r="W55" s="30" t="e">
        <f>FLOOR(W54,0.0015)</f>
        <v>#VALUE!</v>
      </c>
      <c r="X55" t="e">
        <f>VLOOKUP(W56,sgDen,2)</f>
        <v>#VALUE!</v>
      </c>
      <c r="Z55" t="e">
        <f>FLOOR(Z54,0.2)</f>
        <v>#VALUE!</v>
      </c>
      <c r="AA55" t="e">
        <f>VLOOKUP(Z56,apiDen,2)</f>
        <v>#VALUE!</v>
      </c>
      <c r="AC55" s="30" t="e">
        <f>FLOOR(AC54,0.0015)</f>
        <v>#VALUE!</v>
      </c>
      <c r="AD55" s="54" t="e">
        <f>VLOOKUP(AC56,sgDen,2)</f>
        <v>#VALUE!</v>
      </c>
    </row>
    <row r="56" spans="1:30">
      <c r="A56" s="5">
        <v>15.4</v>
      </c>
      <c r="B56" s="5">
        <v>962.7</v>
      </c>
      <c r="C56" s="6"/>
      <c r="D56" s="7">
        <v>0.85399999999999998</v>
      </c>
      <c r="E56" s="6">
        <v>853.5</v>
      </c>
      <c r="G56" s="97">
        <f t="shared" si="4"/>
        <v>10.8</v>
      </c>
      <c r="H56">
        <f t="shared" si="0"/>
        <v>0.99390000000000001</v>
      </c>
      <c r="I56">
        <f t="shared" si="1"/>
        <v>0.99437807449051296</v>
      </c>
      <c r="J56">
        <v>10.8</v>
      </c>
      <c r="K56" s="54">
        <f t="shared" si="2"/>
        <v>0.99439999999999995</v>
      </c>
      <c r="L56">
        <f t="shared" si="3"/>
        <v>0.99390000000000001</v>
      </c>
      <c r="M56" s="54">
        <v>0.65539999999999998</v>
      </c>
      <c r="N56">
        <v>0.65539999999999998</v>
      </c>
      <c r="O56">
        <v>10.8</v>
      </c>
      <c r="T56" t="e">
        <f>CEILING(T54,0.2)</f>
        <v>#VALUE!</v>
      </c>
      <c r="U56" s="96" t="e">
        <f>IF(U54=U55,U54,FORECAST(T54,U54:U55,T55:T56))</f>
        <v>#VALUE!</v>
      </c>
      <c r="W56" s="30" t="e">
        <f>CEILING(W54,0.0015)</f>
        <v>#VALUE!</v>
      </c>
      <c r="X56" s="96" t="e">
        <f>IF(X54=X55,X54,FORECAST(W54,X54:X55,W55:W56))</f>
        <v>#VALUE!</v>
      </c>
      <c r="Z56" t="e">
        <f>CEILING(Z54,0.2)</f>
        <v>#VALUE!</v>
      </c>
      <c r="AA56" s="96" t="e">
        <f>IF(AA54=AA55,AA54,FORECAST(Z54,AA54:AA55,Z55:Z56))</f>
        <v>#VALUE!</v>
      </c>
      <c r="AC56" s="30" t="e">
        <f>CEILING(AC54,0.0015)</f>
        <v>#VALUE!</v>
      </c>
      <c r="AD56" s="96" t="e">
        <f>IF(AD54=AD55,AD54,FORECAST(AC54,AD54:AD55,AC55:AC56))</f>
        <v>#VALUE!</v>
      </c>
    </row>
    <row r="57" spans="1:30">
      <c r="A57" s="5">
        <v>15.5</v>
      </c>
      <c r="B57" s="5">
        <v>962</v>
      </c>
      <c r="C57" s="6"/>
      <c r="D57" s="7">
        <v>0.85499999999999998</v>
      </c>
      <c r="E57" s="6">
        <v>854.5</v>
      </c>
      <c r="G57" s="97">
        <f t="shared" si="4"/>
        <v>11</v>
      </c>
      <c r="H57">
        <f t="shared" si="0"/>
        <v>0.99250000000000005</v>
      </c>
      <c r="I57">
        <f t="shared" si="1"/>
        <v>0.99298245614035097</v>
      </c>
      <c r="J57">
        <v>11</v>
      </c>
      <c r="K57" s="54">
        <f t="shared" si="2"/>
        <v>0.99299999999999999</v>
      </c>
      <c r="L57">
        <f t="shared" si="3"/>
        <v>0.99250000000000005</v>
      </c>
      <c r="M57" s="54">
        <v>0.65600000000000003</v>
      </c>
      <c r="N57">
        <v>0.65600000000000003</v>
      </c>
      <c r="O57">
        <v>11</v>
      </c>
    </row>
    <row r="58" spans="1:30">
      <c r="A58" s="5">
        <v>15.6</v>
      </c>
      <c r="B58" s="5">
        <v>961.4</v>
      </c>
      <c r="C58" s="6"/>
      <c r="D58" s="7">
        <v>0.85599999999999998</v>
      </c>
      <c r="E58" s="6">
        <v>855.5</v>
      </c>
      <c r="G58" s="97">
        <f t="shared" si="4"/>
        <v>11.2</v>
      </c>
      <c r="H58">
        <f t="shared" si="0"/>
        <v>0.99109999999999998</v>
      </c>
      <c r="I58">
        <f t="shared" si="1"/>
        <v>0.99159074982480699</v>
      </c>
      <c r="J58">
        <v>11.2</v>
      </c>
      <c r="K58" s="54">
        <f t="shared" si="2"/>
        <v>0.99160000000000004</v>
      </c>
      <c r="L58">
        <f t="shared" si="3"/>
        <v>0.99109999999999998</v>
      </c>
      <c r="M58" s="54">
        <v>0.65659999999999996</v>
      </c>
      <c r="N58">
        <v>0.65659999999999996</v>
      </c>
      <c r="O58">
        <v>11.2</v>
      </c>
      <c r="T58" s="30"/>
    </row>
    <row r="59" spans="1:30">
      <c r="A59" s="5">
        <v>15.7</v>
      </c>
      <c r="B59" s="5">
        <v>960.7</v>
      </c>
      <c r="C59" s="6"/>
      <c r="D59" s="7">
        <v>0.85699999999999998</v>
      </c>
      <c r="E59" s="6">
        <v>856.5</v>
      </c>
      <c r="G59" s="97">
        <f t="shared" si="4"/>
        <v>11.4</v>
      </c>
      <c r="H59">
        <f t="shared" si="0"/>
        <v>0.98970000000000002</v>
      </c>
      <c r="I59">
        <f t="shared" si="1"/>
        <v>0.99020293911826496</v>
      </c>
      <c r="J59">
        <v>11.4</v>
      </c>
      <c r="K59" s="54">
        <f t="shared" si="2"/>
        <v>0.99019999999999997</v>
      </c>
      <c r="L59">
        <f t="shared" si="3"/>
        <v>0.98970000000000002</v>
      </c>
      <c r="M59" s="54">
        <v>0.65720000000000001</v>
      </c>
      <c r="N59">
        <v>0.65720000000000001</v>
      </c>
      <c r="O59">
        <v>11.399999999999901</v>
      </c>
    </row>
    <row r="60" spans="1:30">
      <c r="A60" s="5">
        <v>15.8</v>
      </c>
      <c r="B60" s="5">
        <v>960.1</v>
      </c>
      <c r="C60" s="6"/>
      <c r="D60" s="7">
        <v>0.85799999999999998</v>
      </c>
      <c r="E60" s="6">
        <v>857.5</v>
      </c>
      <c r="G60" s="97">
        <f t="shared" si="4"/>
        <v>11.6</v>
      </c>
      <c r="H60">
        <f t="shared" si="0"/>
        <v>0.98829999999999996</v>
      </c>
      <c r="I60">
        <f t="shared" si="1"/>
        <v>0.98881900768693198</v>
      </c>
      <c r="J60">
        <v>11.6</v>
      </c>
      <c r="K60" s="54">
        <f t="shared" si="2"/>
        <v>0.98880000000000001</v>
      </c>
      <c r="L60">
        <f t="shared" si="3"/>
        <v>0.98829999999999996</v>
      </c>
      <c r="M60" s="54">
        <v>0.65780000000000005</v>
      </c>
      <c r="N60">
        <v>0.65780000000000005</v>
      </c>
      <c r="O60">
        <v>11.6</v>
      </c>
    </row>
    <row r="61" spans="1:30">
      <c r="A61" s="5">
        <v>15.9</v>
      </c>
      <c r="B61" s="5">
        <v>959.4</v>
      </c>
      <c r="C61" s="6"/>
      <c r="D61" s="7">
        <v>0.85899999999999999</v>
      </c>
      <c r="E61" s="6">
        <v>858.5</v>
      </c>
      <c r="G61" s="97">
        <f t="shared" si="4"/>
        <v>11.8</v>
      </c>
      <c r="H61">
        <f t="shared" si="0"/>
        <v>0.9869</v>
      </c>
      <c r="I61">
        <f t="shared" si="1"/>
        <v>0.98743893928820603</v>
      </c>
      <c r="J61">
        <v>11.8</v>
      </c>
      <c r="K61" s="54">
        <f t="shared" si="2"/>
        <v>0.98740000000000006</v>
      </c>
      <c r="L61">
        <f t="shared" si="3"/>
        <v>0.9869</v>
      </c>
      <c r="M61" s="54">
        <v>0.65839999999999999</v>
      </c>
      <c r="N61">
        <v>0.65839999999999999</v>
      </c>
      <c r="O61">
        <v>11.8000000000001</v>
      </c>
    </row>
    <row r="62" spans="1:30">
      <c r="A62" s="5">
        <v>16</v>
      </c>
      <c r="B62" s="5">
        <v>958.8</v>
      </c>
      <c r="C62" s="6"/>
      <c r="D62" s="7">
        <v>0.86</v>
      </c>
      <c r="E62" s="6">
        <v>859.5</v>
      </c>
      <c r="G62" s="97">
        <f t="shared" si="4"/>
        <v>12</v>
      </c>
      <c r="H62">
        <f t="shared" si="0"/>
        <v>0.98560000000000003</v>
      </c>
      <c r="I62">
        <f t="shared" si="1"/>
        <v>0.98606271777003496</v>
      </c>
      <c r="J62">
        <v>12</v>
      </c>
      <c r="K62" s="54">
        <f t="shared" si="2"/>
        <v>0.98609999999999998</v>
      </c>
      <c r="L62">
        <f t="shared" si="3"/>
        <v>0.98560000000000003</v>
      </c>
      <c r="M62" s="54">
        <v>0.65910000000000002</v>
      </c>
      <c r="N62">
        <v>0.65910000000000002</v>
      </c>
      <c r="O62">
        <v>12</v>
      </c>
    </row>
    <row r="63" spans="1:30">
      <c r="A63" s="5">
        <v>16.100000000000001</v>
      </c>
      <c r="B63" s="5">
        <v>958.1</v>
      </c>
      <c r="C63" s="6"/>
      <c r="D63" s="7">
        <v>0.86099999999999999</v>
      </c>
      <c r="E63" s="6">
        <v>860.5</v>
      </c>
      <c r="G63" s="97">
        <f t="shared" si="4"/>
        <v>12.2</v>
      </c>
      <c r="H63">
        <f t="shared" si="0"/>
        <v>0.98419999999999996</v>
      </c>
      <c r="I63">
        <f t="shared" si="1"/>
        <v>0.98469032707028503</v>
      </c>
      <c r="J63">
        <v>12.2</v>
      </c>
      <c r="K63" s="54">
        <f t="shared" si="2"/>
        <v>0.98470000000000002</v>
      </c>
      <c r="L63">
        <f t="shared" si="3"/>
        <v>0.98419999999999996</v>
      </c>
      <c r="M63" s="54">
        <v>0.65969999999999995</v>
      </c>
      <c r="N63">
        <v>0.65969999999999995</v>
      </c>
      <c r="O63">
        <v>12.2</v>
      </c>
    </row>
    <row r="64" spans="1:30">
      <c r="A64" s="5">
        <v>16.2</v>
      </c>
      <c r="B64" s="5">
        <v>957.5</v>
      </c>
      <c r="C64" s="6"/>
      <c r="D64" s="7">
        <v>0.86199999999999999</v>
      </c>
      <c r="E64" s="6">
        <v>861.5</v>
      </c>
      <c r="G64" s="97">
        <f t="shared" si="4"/>
        <v>12.4</v>
      </c>
      <c r="H64">
        <f t="shared" si="0"/>
        <v>0.98280000000000001</v>
      </c>
      <c r="I64">
        <f t="shared" si="1"/>
        <v>0.98332175121612198</v>
      </c>
      <c r="J64">
        <v>12.4</v>
      </c>
      <c r="K64" s="54">
        <f t="shared" si="2"/>
        <v>0.98329999999999995</v>
      </c>
      <c r="L64">
        <f t="shared" si="3"/>
        <v>0.98280000000000001</v>
      </c>
      <c r="M64" s="54">
        <v>0.6603</v>
      </c>
      <c r="N64">
        <v>0.6603</v>
      </c>
      <c r="O64">
        <v>12.4000000000001</v>
      </c>
    </row>
    <row r="65" spans="1:15">
      <c r="A65" s="5">
        <v>16.3</v>
      </c>
      <c r="B65" s="5">
        <v>956.8</v>
      </c>
      <c r="C65" s="6"/>
      <c r="D65" s="7">
        <v>0.86299999999999999</v>
      </c>
      <c r="E65" s="6">
        <v>862.5</v>
      </c>
      <c r="G65" s="97">
        <f t="shared" si="4"/>
        <v>12.6</v>
      </c>
      <c r="H65">
        <f t="shared" si="0"/>
        <v>0.98150000000000004</v>
      </c>
      <c r="I65">
        <f t="shared" si="1"/>
        <v>0.98195697432338702</v>
      </c>
      <c r="J65">
        <v>12.6</v>
      </c>
      <c r="K65" s="54">
        <f t="shared" si="2"/>
        <v>0.98199999999999998</v>
      </c>
      <c r="L65">
        <f t="shared" si="3"/>
        <v>0.98150000000000004</v>
      </c>
      <c r="M65" s="54">
        <v>0.66090000000000004</v>
      </c>
      <c r="N65">
        <v>0.66090000000000004</v>
      </c>
      <c r="O65">
        <v>12.5999999999999</v>
      </c>
    </row>
    <row r="66" spans="1:15">
      <c r="A66" s="5">
        <v>16.399999999999999</v>
      </c>
      <c r="B66" s="5">
        <v>956.2</v>
      </c>
      <c r="C66" s="6"/>
      <c r="D66" s="7">
        <v>0.86399999999999999</v>
      </c>
      <c r="E66" s="6">
        <v>863.5</v>
      </c>
      <c r="G66" s="97">
        <f t="shared" si="4"/>
        <v>12.8</v>
      </c>
      <c r="H66">
        <f t="shared" ref="H66:H129" si="5">K66+VLOOKUP(K66,table,2)</f>
        <v>0.98009999999999997</v>
      </c>
      <c r="I66">
        <f t="shared" ref="I66:I129" si="6">(141.5/(G66+131.5))</f>
        <v>0.98059598059598096</v>
      </c>
      <c r="J66">
        <v>12.8</v>
      </c>
      <c r="K66" s="54">
        <f t="shared" ref="K66:K129" si="7">(141.5/(J66+131.5))</f>
        <v>0.98060000000000003</v>
      </c>
      <c r="L66">
        <f t="shared" ref="L66:L129" si="8">K66+VLOOKUP(K66,table,2)</f>
        <v>0.98009999999999997</v>
      </c>
      <c r="M66" s="54">
        <v>0.66149999999999998</v>
      </c>
      <c r="N66">
        <v>0.66149999999999998</v>
      </c>
      <c r="O66">
        <v>12.8</v>
      </c>
    </row>
    <row r="67" spans="1:15">
      <c r="A67" s="5">
        <v>16.5</v>
      </c>
      <c r="B67" s="5">
        <v>955.5</v>
      </c>
      <c r="C67" s="6"/>
      <c r="D67" s="7">
        <v>0.86499999999999999</v>
      </c>
      <c r="E67" s="6">
        <v>864.5</v>
      </c>
      <c r="G67" s="97">
        <f t="shared" ref="G67:G130" si="9">(141.5/K67)-131.5</f>
        <v>13</v>
      </c>
      <c r="H67">
        <f t="shared" si="5"/>
        <v>0.97870000000000001</v>
      </c>
      <c r="I67">
        <f t="shared" si="6"/>
        <v>0.97923875432525997</v>
      </c>
      <c r="J67">
        <v>13</v>
      </c>
      <c r="K67" s="54">
        <f t="shared" si="7"/>
        <v>0.97919999999999996</v>
      </c>
      <c r="L67">
        <f t="shared" si="8"/>
        <v>0.97870000000000001</v>
      </c>
      <c r="M67" s="54">
        <v>0.66210000000000002</v>
      </c>
      <c r="N67">
        <v>0.66210000000000002</v>
      </c>
      <c r="O67">
        <v>12.999999999999901</v>
      </c>
    </row>
    <row r="68" spans="1:15">
      <c r="A68" s="5">
        <v>16.600000000000001</v>
      </c>
      <c r="B68" s="5">
        <v>954.9</v>
      </c>
      <c r="C68" s="6"/>
      <c r="D68" s="7">
        <v>0.86599999999999999</v>
      </c>
      <c r="E68" s="6">
        <v>865.5</v>
      </c>
      <c r="G68" s="97">
        <f t="shared" si="9"/>
        <v>13.2</v>
      </c>
      <c r="H68">
        <f t="shared" si="5"/>
        <v>0.97740000000000005</v>
      </c>
      <c r="I68">
        <f t="shared" si="6"/>
        <v>0.97788527988942697</v>
      </c>
      <c r="J68">
        <v>13.2</v>
      </c>
      <c r="K68" s="54">
        <f t="shared" si="7"/>
        <v>0.97789999999999999</v>
      </c>
      <c r="L68">
        <f t="shared" si="8"/>
        <v>0.97740000000000005</v>
      </c>
      <c r="M68" s="54">
        <v>0.66279999999999994</v>
      </c>
      <c r="N68">
        <v>0.66279999999999994</v>
      </c>
      <c r="O68">
        <v>13.1999999999999</v>
      </c>
    </row>
    <row r="69" spans="1:15">
      <c r="A69" s="5">
        <v>16.7</v>
      </c>
      <c r="B69" s="5">
        <v>954.2</v>
      </c>
      <c r="C69" s="6"/>
      <c r="D69" s="7">
        <v>0.86699999999999999</v>
      </c>
      <c r="E69" s="6">
        <v>866.5</v>
      </c>
      <c r="G69" s="97">
        <f t="shared" si="9"/>
        <v>13.4</v>
      </c>
      <c r="H69">
        <f t="shared" si="5"/>
        <v>0.97599999999999998</v>
      </c>
      <c r="I69">
        <f t="shared" si="6"/>
        <v>0.976535541752933</v>
      </c>
      <c r="J69">
        <v>13.4</v>
      </c>
      <c r="K69" s="54">
        <f t="shared" si="7"/>
        <v>0.97650000000000003</v>
      </c>
      <c r="L69">
        <f t="shared" si="8"/>
        <v>0.97599999999999998</v>
      </c>
      <c r="M69" s="54">
        <v>0.66339999999999999</v>
      </c>
      <c r="N69">
        <v>0.66339999999999999</v>
      </c>
      <c r="O69">
        <v>13.4</v>
      </c>
    </row>
    <row r="70" spans="1:15">
      <c r="A70" s="5">
        <v>16.8</v>
      </c>
      <c r="B70" s="5">
        <v>953.6</v>
      </c>
      <c r="C70" s="6"/>
      <c r="D70" s="7">
        <v>0.86799999999999999</v>
      </c>
      <c r="E70" s="6">
        <v>867.5</v>
      </c>
      <c r="G70" s="97">
        <f t="shared" si="9"/>
        <v>13.6</v>
      </c>
      <c r="H70">
        <f t="shared" si="5"/>
        <v>0.97470000000000001</v>
      </c>
      <c r="I70">
        <f t="shared" si="6"/>
        <v>0.97518952446588603</v>
      </c>
      <c r="J70">
        <v>13.6</v>
      </c>
      <c r="K70" s="54">
        <f t="shared" si="7"/>
        <v>0.97519999999999996</v>
      </c>
      <c r="L70">
        <f t="shared" si="8"/>
        <v>0.97470000000000001</v>
      </c>
      <c r="M70" s="54">
        <v>0.66400000000000003</v>
      </c>
      <c r="N70">
        <v>0.66400000000000003</v>
      </c>
      <c r="O70">
        <v>13.5999999999999</v>
      </c>
    </row>
    <row r="71" spans="1:15">
      <c r="A71" s="5">
        <v>16.899999999999999</v>
      </c>
      <c r="B71" s="5">
        <v>952.9</v>
      </c>
      <c r="C71" s="6"/>
      <c r="D71" s="7">
        <v>0.86899999999999999</v>
      </c>
      <c r="E71" s="6">
        <v>868.5</v>
      </c>
      <c r="G71" s="97">
        <f t="shared" si="9"/>
        <v>13.8</v>
      </c>
      <c r="H71">
        <f t="shared" si="5"/>
        <v>0.97330000000000005</v>
      </c>
      <c r="I71">
        <f t="shared" si="6"/>
        <v>0.97384721266345498</v>
      </c>
      <c r="J71">
        <v>13.8</v>
      </c>
      <c r="K71" s="54">
        <f t="shared" si="7"/>
        <v>0.9738</v>
      </c>
      <c r="L71">
        <f t="shared" si="8"/>
        <v>0.97330000000000005</v>
      </c>
      <c r="M71" s="54">
        <v>0.66459999999999997</v>
      </c>
      <c r="N71">
        <v>0.66459999999999997</v>
      </c>
      <c r="O71">
        <v>13.8</v>
      </c>
    </row>
    <row r="72" spans="1:15">
      <c r="A72" s="5">
        <v>17</v>
      </c>
      <c r="B72" s="5">
        <v>952.3</v>
      </c>
      <c r="C72" s="6"/>
      <c r="D72" s="7">
        <v>0.87</v>
      </c>
      <c r="E72" s="6">
        <v>869.5</v>
      </c>
      <c r="G72" s="97">
        <f t="shared" si="9"/>
        <v>14</v>
      </c>
      <c r="H72">
        <f t="shared" si="5"/>
        <v>0.97199999999999998</v>
      </c>
      <c r="I72">
        <f t="shared" si="6"/>
        <v>0.97250859106529197</v>
      </c>
      <c r="J72">
        <v>14</v>
      </c>
      <c r="K72" s="54">
        <f t="shared" si="7"/>
        <v>0.97250000000000003</v>
      </c>
      <c r="L72">
        <f t="shared" si="8"/>
        <v>0.97199999999999998</v>
      </c>
      <c r="M72" s="54">
        <v>0.6653</v>
      </c>
      <c r="N72">
        <v>0.6653</v>
      </c>
      <c r="O72">
        <v>14</v>
      </c>
    </row>
    <row r="73" spans="1:15">
      <c r="A73" s="5">
        <v>17.100000000000001</v>
      </c>
      <c r="B73" s="5">
        <v>951.7</v>
      </c>
      <c r="C73" s="6"/>
      <c r="D73" s="7">
        <v>0.871</v>
      </c>
      <c r="E73" s="6">
        <v>870.5</v>
      </c>
      <c r="G73" s="97">
        <f t="shared" si="9"/>
        <v>14.2</v>
      </c>
      <c r="H73">
        <f t="shared" si="5"/>
        <v>0.97070000000000001</v>
      </c>
      <c r="I73">
        <f t="shared" si="6"/>
        <v>0.97117364447494903</v>
      </c>
      <c r="J73">
        <v>14.2</v>
      </c>
      <c r="K73" s="54">
        <f t="shared" si="7"/>
        <v>0.97119999999999995</v>
      </c>
      <c r="L73">
        <f t="shared" si="8"/>
        <v>0.97070000000000001</v>
      </c>
      <c r="M73" s="54">
        <v>0.66590000000000005</v>
      </c>
      <c r="N73">
        <v>0.66590000000000005</v>
      </c>
      <c r="O73">
        <v>14.1999999999999</v>
      </c>
    </row>
    <row r="74" spans="1:15">
      <c r="A74" s="5">
        <v>17.2</v>
      </c>
      <c r="B74" s="5">
        <v>951</v>
      </c>
      <c r="C74" s="6"/>
      <c r="D74" s="7">
        <v>0.872</v>
      </c>
      <c r="E74" s="6">
        <v>871.5</v>
      </c>
      <c r="G74" s="97">
        <f t="shared" si="9"/>
        <v>14.4</v>
      </c>
      <c r="H74">
        <f t="shared" si="5"/>
        <v>0.96930000000000005</v>
      </c>
      <c r="I74">
        <f t="shared" si="6"/>
        <v>0.96984235777930095</v>
      </c>
      <c r="J74">
        <v>14.4</v>
      </c>
      <c r="K74" s="54">
        <f t="shared" si="7"/>
        <v>0.9698</v>
      </c>
      <c r="L74">
        <f t="shared" si="8"/>
        <v>0.96930000000000005</v>
      </c>
      <c r="M74" s="54">
        <v>0.66649999999999998</v>
      </c>
      <c r="N74">
        <v>0.66649999999999998</v>
      </c>
      <c r="O74">
        <v>14.4</v>
      </c>
    </row>
    <row r="75" spans="1:15">
      <c r="A75" s="5">
        <v>17.3</v>
      </c>
      <c r="B75" s="5">
        <v>950.4</v>
      </c>
      <c r="C75" s="6"/>
      <c r="D75" s="7">
        <v>0.873</v>
      </c>
      <c r="E75" s="6">
        <v>872.5</v>
      </c>
      <c r="G75" s="97">
        <f t="shared" si="9"/>
        <v>14.6</v>
      </c>
      <c r="H75">
        <f t="shared" si="5"/>
        <v>0.96799999999999997</v>
      </c>
      <c r="I75">
        <f t="shared" si="6"/>
        <v>0.968514715947981</v>
      </c>
      <c r="J75">
        <v>14.6</v>
      </c>
      <c r="K75" s="54">
        <f t="shared" si="7"/>
        <v>0.96850000000000003</v>
      </c>
      <c r="L75">
        <f t="shared" si="8"/>
        <v>0.96799999999999997</v>
      </c>
      <c r="M75" s="54">
        <v>0.66710000000000003</v>
      </c>
      <c r="N75">
        <v>0.66710000000000003</v>
      </c>
      <c r="O75">
        <v>14.6</v>
      </c>
    </row>
    <row r="76" spans="1:15">
      <c r="A76" s="5">
        <v>17.399999999999999</v>
      </c>
      <c r="B76" s="5">
        <v>949.7</v>
      </c>
      <c r="C76" s="6"/>
      <c r="D76" s="7">
        <v>0.874</v>
      </c>
      <c r="E76" s="6">
        <v>873.5</v>
      </c>
      <c r="G76" s="97">
        <f t="shared" si="9"/>
        <v>14.8</v>
      </c>
      <c r="H76">
        <f t="shared" si="5"/>
        <v>0.9667</v>
      </c>
      <c r="I76">
        <f t="shared" si="6"/>
        <v>0.96719070403280905</v>
      </c>
      <c r="J76">
        <v>14.8</v>
      </c>
      <c r="K76" s="54">
        <f t="shared" si="7"/>
        <v>0.96719999999999995</v>
      </c>
      <c r="L76">
        <f t="shared" si="8"/>
        <v>0.9667</v>
      </c>
      <c r="M76" s="54">
        <v>0.66779999999999995</v>
      </c>
      <c r="N76">
        <v>0.66779999999999995</v>
      </c>
      <c r="O76">
        <v>14.8</v>
      </c>
    </row>
    <row r="77" spans="1:15">
      <c r="A77" s="5">
        <v>17.5</v>
      </c>
      <c r="B77" s="5">
        <v>949.1</v>
      </c>
      <c r="C77" s="6"/>
      <c r="D77" s="7">
        <v>0.875</v>
      </c>
      <c r="E77" s="6">
        <v>874.5</v>
      </c>
      <c r="G77" s="97">
        <f t="shared" si="9"/>
        <v>15</v>
      </c>
      <c r="H77">
        <f t="shared" si="5"/>
        <v>0.96540000000000004</v>
      </c>
      <c r="I77">
        <f t="shared" si="6"/>
        <v>0.96587030716723599</v>
      </c>
      <c r="J77">
        <v>15</v>
      </c>
      <c r="K77" s="54">
        <f t="shared" si="7"/>
        <v>0.96589999999999998</v>
      </c>
      <c r="L77">
        <f t="shared" si="8"/>
        <v>0.96540000000000004</v>
      </c>
      <c r="M77" s="54">
        <v>0.66839999999999999</v>
      </c>
      <c r="N77">
        <v>0.66839999999999999</v>
      </c>
      <c r="O77">
        <v>14.999999999999901</v>
      </c>
    </row>
    <row r="78" spans="1:15">
      <c r="A78" s="5">
        <v>17.600000000000001</v>
      </c>
      <c r="B78" s="5">
        <v>948.5</v>
      </c>
      <c r="C78" s="6"/>
      <c r="D78" s="7">
        <v>0.876</v>
      </c>
      <c r="E78" s="6">
        <v>875.5</v>
      </c>
      <c r="G78" s="97">
        <f t="shared" si="9"/>
        <v>15.2</v>
      </c>
      <c r="H78">
        <f t="shared" si="5"/>
        <v>0.96409999999999996</v>
      </c>
      <c r="I78">
        <f t="shared" si="6"/>
        <v>0.96455351056578098</v>
      </c>
      <c r="J78">
        <v>15.2</v>
      </c>
      <c r="K78" s="54">
        <f t="shared" si="7"/>
        <v>0.96460000000000001</v>
      </c>
      <c r="L78">
        <f t="shared" si="8"/>
        <v>0.96409999999999996</v>
      </c>
      <c r="M78" s="54">
        <v>0.66900000000000004</v>
      </c>
      <c r="N78">
        <v>0.66900000000000004</v>
      </c>
      <c r="O78">
        <v>15.1999999999999</v>
      </c>
    </row>
    <row r="79" spans="1:15">
      <c r="A79" s="5">
        <v>17.7</v>
      </c>
      <c r="B79" s="5">
        <v>947.8</v>
      </c>
      <c r="C79" s="6"/>
      <c r="D79" s="7">
        <v>0.877</v>
      </c>
      <c r="E79" s="6">
        <v>876.5</v>
      </c>
      <c r="G79" s="97">
        <f t="shared" si="9"/>
        <v>15.4</v>
      </c>
      <c r="H79">
        <f t="shared" si="5"/>
        <v>0.9627</v>
      </c>
      <c r="I79">
        <f t="shared" si="6"/>
        <v>0.963240299523485</v>
      </c>
      <c r="J79">
        <v>15.4</v>
      </c>
      <c r="K79" s="54">
        <f t="shared" si="7"/>
        <v>0.96319999999999995</v>
      </c>
      <c r="L79">
        <f t="shared" si="8"/>
        <v>0.9627</v>
      </c>
      <c r="M79" s="54">
        <v>0.66969999999999996</v>
      </c>
      <c r="N79">
        <v>0.66969999999999996</v>
      </c>
      <c r="O79">
        <v>15.4000000000001</v>
      </c>
    </row>
    <row r="80" spans="1:15">
      <c r="A80" s="5">
        <v>17.8</v>
      </c>
      <c r="B80" s="5">
        <v>947.2</v>
      </c>
      <c r="C80" s="6"/>
      <c r="D80" s="7">
        <v>0.878</v>
      </c>
      <c r="E80" s="6">
        <v>877.5</v>
      </c>
      <c r="G80" s="97">
        <f t="shared" si="9"/>
        <v>15.6</v>
      </c>
      <c r="H80">
        <f t="shared" si="5"/>
        <v>0.96140000000000003</v>
      </c>
      <c r="I80">
        <f t="shared" si="6"/>
        <v>0.96193065941536404</v>
      </c>
      <c r="J80">
        <v>15.6</v>
      </c>
      <c r="K80" s="54">
        <f t="shared" si="7"/>
        <v>0.96189999999999998</v>
      </c>
      <c r="L80">
        <f t="shared" si="8"/>
        <v>0.96140000000000003</v>
      </c>
      <c r="M80" s="54">
        <v>0.67030000000000001</v>
      </c>
      <c r="N80">
        <v>0.67030000000000001</v>
      </c>
      <c r="O80">
        <v>15.5999999999999</v>
      </c>
    </row>
    <row r="81" spans="1:15">
      <c r="A81" s="5">
        <v>17.899999999999999</v>
      </c>
      <c r="B81" s="5">
        <v>946.6</v>
      </c>
      <c r="C81" s="6"/>
      <c r="D81" s="7">
        <v>0.879</v>
      </c>
      <c r="E81" s="6">
        <v>878.5</v>
      </c>
      <c r="G81" s="97">
        <f t="shared" si="9"/>
        <v>15.8</v>
      </c>
      <c r="H81">
        <f t="shared" si="5"/>
        <v>0.96009999999999995</v>
      </c>
      <c r="I81">
        <f t="shared" si="6"/>
        <v>0.96062457569585902</v>
      </c>
      <c r="J81">
        <v>15.8</v>
      </c>
      <c r="K81" s="54">
        <f t="shared" si="7"/>
        <v>0.96060000000000001</v>
      </c>
      <c r="L81">
        <f t="shared" si="8"/>
        <v>0.96009999999999995</v>
      </c>
      <c r="M81" s="54">
        <v>0.67090000000000005</v>
      </c>
      <c r="N81">
        <v>0.67090000000000005</v>
      </c>
      <c r="O81">
        <v>15.8</v>
      </c>
    </row>
    <row r="82" spans="1:15">
      <c r="A82" s="5">
        <v>18</v>
      </c>
      <c r="B82" s="5">
        <v>945.9</v>
      </c>
      <c r="C82" s="6"/>
      <c r="D82" s="7">
        <v>0.88</v>
      </c>
      <c r="E82" s="6">
        <v>879.5</v>
      </c>
      <c r="G82" s="97">
        <f t="shared" si="9"/>
        <v>16</v>
      </c>
      <c r="H82">
        <f t="shared" si="5"/>
        <v>0.95879999999999999</v>
      </c>
      <c r="I82">
        <f t="shared" si="6"/>
        <v>0.95932203389830495</v>
      </c>
      <c r="J82">
        <v>16</v>
      </c>
      <c r="K82" s="54">
        <f t="shared" si="7"/>
        <v>0.95930000000000004</v>
      </c>
      <c r="L82">
        <f t="shared" si="8"/>
        <v>0.95879999999999999</v>
      </c>
      <c r="M82" s="54">
        <v>0.67159999999999997</v>
      </c>
      <c r="N82">
        <v>0.67159999999999997</v>
      </c>
      <c r="O82">
        <v>16</v>
      </c>
    </row>
    <row r="83" spans="1:15">
      <c r="A83" s="5">
        <v>18.100000000000001</v>
      </c>
      <c r="B83" s="5">
        <v>945.3</v>
      </c>
      <c r="C83" s="6"/>
      <c r="D83" s="7">
        <v>0.88100000000000001</v>
      </c>
      <c r="E83" s="6">
        <v>880.5</v>
      </c>
      <c r="G83" s="97">
        <f t="shared" si="9"/>
        <v>16.2</v>
      </c>
      <c r="H83">
        <f t="shared" si="5"/>
        <v>0.95750000000000002</v>
      </c>
      <c r="I83">
        <f t="shared" si="6"/>
        <v>0.95802301963439396</v>
      </c>
      <c r="J83">
        <v>16.2</v>
      </c>
      <c r="K83" s="54">
        <f t="shared" si="7"/>
        <v>0.95799999999999996</v>
      </c>
      <c r="L83">
        <f t="shared" si="8"/>
        <v>0.95750000000000002</v>
      </c>
      <c r="M83" s="54">
        <v>0.67220000000000002</v>
      </c>
      <c r="N83">
        <v>0.67220000000000002</v>
      </c>
      <c r="O83">
        <v>16.2</v>
      </c>
    </row>
    <row r="84" spans="1:15">
      <c r="A84" s="5">
        <v>18.2</v>
      </c>
      <c r="B84" s="5">
        <v>944.7</v>
      </c>
      <c r="C84" s="6"/>
      <c r="D84" s="7">
        <v>0.88200000000000001</v>
      </c>
      <c r="E84" s="6">
        <v>881.5</v>
      </c>
      <c r="G84" s="97">
        <f t="shared" si="9"/>
        <v>16.399999999999999</v>
      </c>
      <c r="H84">
        <f t="shared" si="5"/>
        <v>0.95620000000000005</v>
      </c>
      <c r="I84">
        <f t="shared" si="6"/>
        <v>0.95672751859364402</v>
      </c>
      <c r="J84">
        <v>16.399999999999999</v>
      </c>
      <c r="K84" s="54">
        <f t="shared" si="7"/>
        <v>0.95669999999999999</v>
      </c>
      <c r="L84">
        <f t="shared" si="8"/>
        <v>0.95620000000000005</v>
      </c>
      <c r="M84" s="54">
        <v>0.67279999999999995</v>
      </c>
      <c r="N84">
        <v>0.67279999999999995</v>
      </c>
      <c r="O84">
        <v>16.400000000000102</v>
      </c>
    </row>
    <row r="85" spans="1:15">
      <c r="A85" s="5">
        <v>18.3</v>
      </c>
      <c r="B85" s="5">
        <v>944</v>
      </c>
      <c r="C85" s="6"/>
      <c r="D85" s="7">
        <v>0.88300000000000001</v>
      </c>
      <c r="E85" s="6">
        <v>882.5</v>
      </c>
      <c r="G85" s="97">
        <f t="shared" si="9"/>
        <v>16.600000000000001</v>
      </c>
      <c r="H85">
        <f t="shared" si="5"/>
        <v>0.95489999999999997</v>
      </c>
      <c r="I85">
        <f t="shared" si="6"/>
        <v>0.95543551654287695</v>
      </c>
      <c r="J85">
        <v>16.600000000000001</v>
      </c>
      <c r="K85" s="54">
        <f t="shared" si="7"/>
        <v>0.95540000000000003</v>
      </c>
      <c r="L85">
        <f t="shared" si="8"/>
        <v>0.95489999999999997</v>
      </c>
      <c r="M85" s="54">
        <v>0.67349999999999999</v>
      </c>
      <c r="N85">
        <v>0.67349999999999999</v>
      </c>
      <c r="O85">
        <v>16.599999999999898</v>
      </c>
    </row>
    <row r="86" spans="1:15">
      <c r="A86" s="5">
        <v>18.399999999999999</v>
      </c>
      <c r="B86" s="5">
        <v>943.4</v>
      </c>
      <c r="C86" s="6"/>
      <c r="D86" s="7">
        <v>0.88400000000000001</v>
      </c>
      <c r="E86" s="6">
        <v>883.5</v>
      </c>
      <c r="G86" s="97">
        <f t="shared" si="9"/>
        <v>16.8</v>
      </c>
      <c r="H86">
        <f t="shared" si="5"/>
        <v>0.95369999999999999</v>
      </c>
      <c r="I86">
        <f t="shared" si="6"/>
        <v>0.95414699932569103</v>
      </c>
      <c r="J86">
        <v>16.8</v>
      </c>
      <c r="K86" s="54">
        <f t="shared" si="7"/>
        <v>0.95409999999999995</v>
      </c>
      <c r="L86">
        <f t="shared" si="8"/>
        <v>0.95369999999999999</v>
      </c>
      <c r="M86" s="54">
        <v>0.67410000000000003</v>
      </c>
      <c r="N86">
        <v>0.67410000000000003</v>
      </c>
      <c r="O86">
        <v>16.8</v>
      </c>
    </row>
    <row r="87" spans="1:15">
      <c r="A87" s="5">
        <v>18.5</v>
      </c>
      <c r="B87" s="5">
        <v>942.8</v>
      </c>
      <c r="C87" s="6"/>
      <c r="D87" s="7">
        <v>0.88500000000000001</v>
      </c>
      <c r="E87" s="6">
        <v>884.5</v>
      </c>
      <c r="G87" s="97">
        <f t="shared" si="9"/>
        <v>17</v>
      </c>
      <c r="H87">
        <f t="shared" si="5"/>
        <v>0.95250000000000001</v>
      </c>
      <c r="I87">
        <f t="shared" si="6"/>
        <v>0.95286195286195297</v>
      </c>
      <c r="J87">
        <v>17</v>
      </c>
      <c r="K87" s="54">
        <f t="shared" si="7"/>
        <v>0.95289999999999997</v>
      </c>
      <c r="L87">
        <f t="shared" si="8"/>
        <v>0.95250000000000001</v>
      </c>
      <c r="M87" s="54">
        <v>0.67479999999999996</v>
      </c>
      <c r="N87">
        <v>0.67479999999999996</v>
      </c>
      <c r="O87">
        <v>17</v>
      </c>
    </row>
    <row r="88" spans="1:15">
      <c r="A88" s="5">
        <v>18.600000000000001</v>
      </c>
      <c r="B88" s="5">
        <v>942.2</v>
      </c>
      <c r="C88" s="6"/>
      <c r="D88" s="7">
        <v>0.88600000000000001</v>
      </c>
      <c r="E88" s="6">
        <v>885.5</v>
      </c>
      <c r="G88" s="97">
        <f t="shared" si="9"/>
        <v>17.2</v>
      </c>
      <c r="H88">
        <f t="shared" si="5"/>
        <v>0.95120000000000005</v>
      </c>
      <c r="I88">
        <f t="shared" si="6"/>
        <v>0.95158036314727601</v>
      </c>
      <c r="J88">
        <v>17.2</v>
      </c>
      <c r="K88" s="54">
        <f t="shared" si="7"/>
        <v>0.9516</v>
      </c>
      <c r="L88">
        <f t="shared" si="8"/>
        <v>0.95120000000000005</v>
      </c>
      <c r="M88" s="54">
        <v>0.6754</v>
      </c>
      <c r="N88">
        <v>0.6754</v>
      </c>
      <c r="O88">
        <v>17.200000000000099</v>
      </c>
    </row>
    <row r="89" spans="1:15">
      <c r="A89" s="5">
        <v>18.7</v>
      </c>
      <c r="B89" s="5">
        <v>941.5</v>
      </c>
      <c r="C89" s="6"/>
      <c r="D89" s="7">
        <v>0.88700000000000001</v>
      </c>
      <c r="E89" s="6">
        <v>886.5</v>
      </c>
      <c r="G89" s="97">
        <f t="shared" si="9"/>
        <v>17.399999999999999</v>
      </c>
      <c r="H89">
        <f t="shared" si="5"/>
        <v>0.94989999999999997</v>
      </c>
      <c r="I89">
        <f t="shared" si="6"/>
        <v>0.95030221625251798</v>
      </c>
      <c r="J89">
        <v>17.399999999999999</v>
      </c>
      <c r="K89" s="54">
        <f t="shared" si="7"/>
        <v>0.95030000000000003</v>
      </c>
      <c r="L89">
        <f t="shared" si="8"/>
        <v>0.94989999999999997</v>
      </c>
      <c r="M89" s="54">
        <v>0.67610000000000003</v>
      </c>
      <c r="N89">
        <v>0.67610000000000003</v>
      </c>
      <c r="O89">
        <v>17.400000000000102</v>
      </c>
    </row>
    <row r="90" spans="1:15">
      <c r="A90" s="5">
        <v>18.8</v>
      </c>
      <c r="B90" s="5">
        <v>940.9</v>
      </c>
      <c r="C90" s="6"/>
      <c r="D90" s="7">
        <v>0.88800000000000001</v>
      </c>
      <c r="E90" s="6">
        <v>887.5</v>
      </c>
      <c r="G90" s="97">
        <f t="shared" si="9"/>
        <v>17.600000000000001</v>
      </c>
      <c r="H90">
        <f t="shared" si="5"/>
        <v>0.9486</v>
      </c>
      <c r="I90">
        <f t="shared" si="6"/>
        <v>0.94902749832327304</v>
      </c>
      <c r="J90">
        <v>17.600000000000001</v>
      </c>
      <c r="K90" s="54">
        <f t="shared" si="7"/>
        <v>0.94899999999999995</v>
      </c>
      <c r="L90">
        <f t="shared" si="8"/>
        <v>0.9486</v>
      </c>
      <c r="M90" s="54">
        <v>0.67669999999999997</v>
      </c>
      <c r="N90">
        <v>0.67669999999999997</v>
      </c>
      <c r="O90">
        <v>17.600000000000001</v>
      </c>
    </row>
    <row r="91" spans="1:15">
      <c r="A91" s="5">
        <v>18.899999999999999</v>
      </c>
      <c r="B91" s="5">
        <v>940.3</v>
      </c>
      <c r="C91" s="6"/>
      <c r="D91" s="7">
        <v>0.88900000000000001</v>
      </c>
      <c r="E91" s="6">
        <v>888.5</v>
      </c>
      <c r="G91" s="97">
        <f t="shared" si="9"/>
        <v>17.8</v>
      </c>
      <c r="H91">
        <f t="shared" si="5"/>
        <v>0.94740000000000002</v>
      </c>
      <c r="I91">
        <f t="shared" si="6"/>
        <v>0.94775619557936996</v>
      </c>
      <c r="J91">
        <v>17.8</v>
      </c>
      <c r="K91" s="54">
        <f t="shared" si="7"/>
        <v>0.94779999999999998</v>
      </c>
      <c r="L91">
        <f t="shared" si="8"/>
        <v>0.94740000000000002</v>
      </c>
      <c r="M91" s="54">
        <v>0.6774</v>
      </c>
      <c r="N91">
        <v>0.6774</v>
      </c>
      <c r="O91">
        <v>17.8000000000001</v>
      </c>
    </row>
    <row r="92" spans="1:15">
      <c r="A92" s="5">
        <v>19</v>
      </c>
      <c r="B92" s="5">
        <v>939.7</v>
      </c>
      <c r="C92" s="6"/>
      <c r="D92" s="7">
        <v>0.89</v>
      </c>
      <c r="E92" s="6">
        <v>889.5</v>
      </c>
      <c r="G92" s="97">
        <f t="shared" si="9"/>
        <v>18</v>
      </c>
      <c r="H92">
        <f t="shared" si="5"/>
        <v>0.94610000000000005</v>
      </c>
      <c r="I92">
        <f t="shared" si="6"/>
        <v>0.94648829431438097</v>
      </c>
      <c r="J92">
        <v>18</v>
      </c>
      <c r="K92" s="54">
        <f t="shared" si="7"/>
        <v>0.94650000000000001</v>
      </c>
      <c r="L92">
        <f t="shared" si="8"/>
        <v>0.94610000000000005</v>
      </c>
      <c r="M92" s="54">
        <v>0.67800000000000005</v>
      </c>
      <c r="N92">
        <v>0.67800000000000005</v>
      </c>
      <c r="O92">
        <v>18.000000000000099</v>
      </c>
    </row>
    <row r="93" spans="1:15">
      <c r="A93" s="5">
        <v>19.100000000000001</v>
      </c>
      <c r="B93" s="5">
        <v>939</v>
      </c>
      <c r="C93" s="6"/>
      <c r="D93" s="7">
        <v>0.89100000000000001</v>
      </c>
      <c r="E93" s="6">
        <v>890.5</v>
      </c>
      <c r="G93" s="97">
        <f t="shared" si="9"/>
        <v>18.2</v>
      </c>
      <c r="H93">
        <f t="shared" si="5"/>
        <v>0.94479999999999997</v>
      </c>
      <c r="I93">
        <f t="shared" si="6"/>
        <v>0.94522378089512404</v>
      </c>
      <c r="J93">
        <v>18.2</v>
      </c>
      <c r="K93" s="54">
        <f t="shared" si="7"/>
        <v>0.94520000000000004</v>
      </c>
      <c r="L93">
        <f t="shared" si="8"/>
        <v>0.94479999999999997</v>
      </c>
      <c r="M93" s="54">
        <v>0.67869999999999997</v>
      </c>
      <c r="N93">
        <v>0.67869999999999997</v>
      </c>
      <c r="O93">
        <v>18.1999999999999</v>
      </c>
    </row>
    <row r="94" spans="1:15">
      <c r="A94" s="5">
        <v>19.2</v>
      </c>
      <c r="B94" s="5">
        <v>938.4</v>
      </c>
      <c r="C94" s="6"/>
      <c r="D94" s="7">
        <v>0.89200000000000002</v>
      </c>
      <c r="E94" s="6">
        <v>891.5</v>
      </c>
      <c r="G94" s="97">
        <f t="shared" si="9"/>
        <v>18.399999999999999</v>
      </c>
      <c r="H94">
        <f t="shared" si="5"/>
        <v>0.94359999999999999</v>
      </c>
      <c r="I94">
        <f t="shared" si="6"/>
        <v>0.94396264176117395</v>
      </c>
      <c r="J94">
        <v>18.399999999999999</v>
      </c>
      <c r="K94" s="54">
        <f t="shared" si="7"/>
        <v>0.94399999999999995</v>
      </c>
      <c r="L94">
        <f t="shared" si="8"/>
        <v>0.94359999999999999</v>
      </c>
      <c r="M94" s="54">
        <v>0.67930000000000001</v>
      </c>
      <c r="N94">
        <v>0.67920000000000003</v>
      </c>
      <c r="O94">
        <v>18.399999999999999</v>
      </c>
    </row>
    <row r="95" spans="1:15">
      <c r="A95" s="5">
        <v>19.3</v>
      </c>
      <c r="B95" s="5">
        <v>937.8</v>
      </c>
      <c r="C95" s="6"/>
      <c r="D95" s="7">
        <v>0.89300000000000002</v>
      </c>
      <c r="E95" s="6">
        <v>892.5</v>
      </c>
      <c r="G95" s="97">
        <f t="shared" si="9"/>
        <v>18.600000000000001</v>
      </c>
      <c r="H95">
        <f t="shared" si="5"/>
        <v>0.94230000000000003</v>
      </c>
      <c r="I95">
        <f t="shared" si="6"/>
        <v>0.94270486342438398</v>
      </c>
      <c r="J95">
        <v>18.600000000000001</v>
      </c>
      <c r="K95" s="54">
        <f t="shared" si="7"/>
        <v>0.94269999999999998</v>
      </c>
      <c r="L95">
        <f t="shared" si="8"/>
        <v>0.94230000000000003</v>
      </c>
      <c r="M95" s="54">
        <v>0.68</v>
      </c>
      <c r="N95">
        <v>0.67989999999999995</v>
      </c>
      <c r="O95">
        <v>18.600000000000001</v>
      </c>
    </row>
    <row r="96" spans="1:15">
      <c r="A96" s="5">
        <v>19.399999999999999</v>
      </c>
      <c r="B96" s="5">
        <v>937.2</v>
      </c>
      <c r="C96" s="6"/>
      <c r="D96" s="7">
        <v>0.89400000000000002</v>
      </c>
      <c r="E96" s="6">
        <v>893.5</v>
      </c>
      <c r="G96" s="97">
        <f t="shared" si="9"/>
        <v>18.8</v>
      </c>
      <c r="H96">
        <f t="shared" si="5"/>
        <v>0.94110000000000005</v>
      </c>
      <c r="I96">
        <f t="shared" si="6"/>
        <v>0.94145043246839599</v>
      </c>
      <c r="J96">
        <v>18.8</v>
      </c>
      <c r="K96" s="54">
        <f t="shared" si="7"/>
        <v>0.9415</v>
      </c>
      <c r="L96">
        <f t="shared" si="8"/>
        <v>0.94110000000000005</v>
      </c>
      <c r="M96" s="54">
        <v>0.68059999999999998</v>
      </c>
      <c r="N96">
        <v>0.68049999999999999</v>
      </c>
      <c r="O96">
        <v>18.8000000000001</v>
      </c>
    </row>
    <row r="97" spans="1:15">
      <c r="A97" s="5">
        <v>19.5</v>
      </c>
      <c r="B97" s="5">
        <v>936.5</v>
      </c>
      <c r="C97" s="6"/>
      <c r="D97" s="7">
        <v>0.89500000000000002</v>
      </c>
      <c r="E97" s="6">
        <v>894.5</v>
      </c>
      <c r="G97" s="97">
        <f t="shared" si="9"/>
        <v>19</v>
      </c>
      <c r="H97">
        <f t="shared" si="5"/>
        <v>0.93979999999999997</v>
      </c>
      <c r="I97">
        <f t="shared" si="6"/>
        <v>0.94019933554817303</v>
      </c>
      <c r="J97">
        <v>19</v>
      </c>
      <c r="K97" s="54">
        <f t="shared" si="7"/>
        <v>0.94020000000000004</v>
      </c>
      <c r="L97">
        <f t="shared" si="8"/>
        <v>0.93979999999999997</v>
      </c>
      <c r="M97" s="54">
        <v>0.68130000000000002</v>
      </c>
      <c r="N97">
        <v>0.68120000000000003</v>
      </c>
      <c r="O97">
        <v>18.999999999999901</v>
      </c>
    </row>
    <row r="98" spans="1:15">
      <c r="A98" s="5">
        <v>19.600000000000001</v>
      </c>
      <c r="B98" s="5">
        <v>935.9</v>
      </c>
      <c r="C98" s="6"/>
      <c r="D98" s="7">
        <v>0.89600000000000002</v>
      </c>
      <c r="E98" s="6">
        <v>895.5</v>
      </c>
      <c r="G98" s="97">
        <f t="shared" si="9"/>
        <v>19.2</v>
      </c>
      <c r="H98">
        <f t="shared" si="5"/>
        <v>0.93859999999999999</v>
      </c>
      <c r="I98">
        <f t="shared" si="6"/>
        <v>0.93895155938951602</v>
      </c>
      <c r="J98">
        <v>19.2</v>
      </c>
      <c r="K98" s="54">
        <f t="shared" si="7"/>
        <v>0.93899999999999995</v>
      </c>
      <c r="L98">
        <f t="shared" si="8"/>
        <v>0.93859999999999999</v>
      </c>
      <c r="M98" s="54">
        <v>0.68189999999999995</v>
      </c>
      <c r="N98">
        <v>0.68179999999999996</v>
      </c>
      <c r="O98">
        <v>19.1999999999999</v>
      </c>
    </row>
    <row r="99" spans="1:15">
      <c r="A99" s="5">
        <v>19.7</v>
      </c>
      <c r="B99" s="5">
        <v>935.3</v>
      </c>
      <c r="C99" s="6"/>
      <c r="D99" s="7">
        <v>0.89700000000000002</v>
      </c>
      <c r="E99" s="6">
        <v>896.5</v>
      </c>
      <c r="G99" s="97">
        <f t="shared" si="9"/>
        <v>19.399999999999999</v>
      </c>
      <c r="H99">
        <f t="shared" si="5"/>
        <v>0.93730000000000002</v>
      </c>
      <c r="I99">
        <f t="shared" si="6"/>
        <v>0.93770709078860204</v>
      </c>
      <c r="J99">
        <v>19.399999999999999</v>
      </c>
      <c r="K99" s="54">
        <f t="shared" si="7"/>
        <v>0.93769999999999998</v>
      </c>
      <c r="L99">
        <f t="shared" si="8"/>
        <v>0.93730000000000002</v>
      </c>
      <c r="M99" s="54">
        <v>0.68259999999999998</v>
      </c>
      <c r="N99">
        <v>0.6825</v>
      </c>
      <c r="O99">
        <v>19.399999999999899</v>
      </c>
    </row>
    <row r="100" spans="1:15">
      <c r="A100" s="5">
        <v>19.8</v>
      </c>
      <c r="B100" s="5">
        <v>934.7</v>
      </c>
      <c r="C100" s="6"/>
      <c r="D100" s="7">
        <v>0.89800000000000002</v>
      </c>
      <c r="E100" s="6">
        <v>897.5</v>
      </c>
      <c r="G100" s="97">
        <f t="shared" si="9"/>
        <v>19.600000000000001</v>
      </c>
      <c r="H100">
        <f t="shared" si="5"/>
        <v>0.93610000000000004</v>
      </c>
      <c r="I100">
        <f t="shared" si="6"/>
        <v>0.93646591661151601</v>
      </c>
      <c r="J100">
        <v>19.600000000000001</v>
      </c>
      <c r="K100" s="54">
        <f t="shared" si="7"/>
        <v>0.9365</v>
      </c>
      <c r="L100">
        <f t="shared" si="8"/>
        <v>0.93610000000000004</v>
      </c>
      <c r="M100" s="54">
        <v>0.68320000000000003</v>
      </c>
      <c r="N100">
        <v>0.68310000000000004</v>
      </c>
      <c r="O100">
        <v>19.599999999999898</v>
      </c>
    </row>
    <row r="101" spans="1:15">
      <c r="A101" s="5">
        <v>19.899999999999999</v>
      </c>
      <c r="B101" s="5">
        <v>934.1</v>
      </c>
      <c r="C101" s="6"/>
      <c r="D101" s="7">
        <v>0.89900000000000002</v>
      </c>
      <c r="E101" s="6">
        <v>898.5</v>
      </c>
      <c r="G101" s="97">
        <f t="shared" si="9"/>
        <v>19.8</v>
      </c>
      <c r="H101">
        <f t="shared" si="5"/>
        <v>0.93479999999999996</v>
      </c>
      <c r="I101">
        <f t="shared" si="6"/>
        <v>0.935228023793787</v>
      </c>
      <c r="J101">
        <v>19.8</v>
      </c>
      <c r="K101" s="54">
        <f t="shared" si="7"/>
        <v>0.93520000000000003</v>
      </c>
      <c r="L101">
        <f t="shared" si="8"/>
        <v>0.93479999999999996</v>
      </c>
      <c r="M101" s="54">
        <v>0.68389999999999995</v>
      </c>
      <c r="N101">
        <v>0.68379999999999996</v>
      </c>
      <c r="O101">
        <v>19.8</v>
      </c>
    </row>
    <row r="102" spans="1:15">
      <c r="A102" s="5">
        <v>20</v>
      </c>
      <c r="B102" s="5">
        <v>933.5</v>
      </c>
      <c r="C102" s="6"/>
      <c r="D102" s="7">
        <v>0.9</v>
      </c>
      <c r="E102" s="6">
        <v>899.5</v>
      </c>
      <c r="G102" s="97">
        <f t="shared" si="9"/>
        <v>20</v>
      </c>
      <c r="H102">
        <f t="shared" si="5"/>
        <v>0.93359999999999999</v>
      </c>
      <c r="I102">
        <f t="shared" si="6"/>
        <v>0.93399339933993397</v>
      </c>
      <c r="J102">
        <v>20</v>
      </c>
      <c r="K102" s="54">
        <f t="shared" si="7"/>
        <v>0.93400000000000005</v>
      </c>
      <c r="L102">
        <f t="shared" si="8"/>
        <v>0.93359999999999999</v>
      </c>
      <c r="M102" s="54">
        <v>0.68459999999999999</v>
      </c>
      <c r="N102">
        <v>0.6845</v>
      </c>
      <c r="O102">
        <v>20</v>
      </c>
    </row>
    <row r="103" spans="1:15">
      <c r="A103" s="5">
        <v>20.100000000000001</v>
      </c>
      <c r="B103" s="5">
        <v>932.8</v>
      </c>
      <c r="C103" s="6"/>
      <c r="D103" s="7">
        <v>0.90100000000000002</v>
      </c>
      <c r="E103" s="6">
        <v>900.5</v>
      </c>
      <c r="G103" s="97">
        <f t="shared" si="9"/>
        <v>20.2</v>
      </c>
      <c r="H103">
        <f t="shared" si="5"/>
        <v>0.93240000000000001</v>
      </c>
      <c r="I103">
        <f t="shared" si="6"/>
        <v>0.93276203032300598</v>
      </c>
      <c r="J103">
        <v>20.2</v>
      </c>
      <c r="K103" s="54">
        <f t="shared" si="7"/>
        <v>0.93279999999999996</v>
      </c>
      <c r="L103">
        <f t="shared" si="8"/>
        <v>0.93240000000000001</v>
      </c>
      <c r="M103" s="54">
        <v>0.68520000000000003</v>
      </c>
      <c r="N103">
        <v>0.68510000000000004</v>
      </c>
      <c r="O103">
        <v>20.2</v>
      </c>
    </row>
    <row r="104" spans="1:15">
      <c r="A104" s="5">
        <v>20.2</v>
      </c>
      <c r="B104" s="5">
        <v>932.2</v>
      </c>
      <c r="C104" s="6"/>
      <c r="D104" s="7">
        <v>0.90200000000000002</v>
      </c>
      <c r="E104" s="6">
        <v>901.5</v>
      </c>
      <c r="G104" s="97">
        <f t="shared" si="9"/>
        <v>20.399999999999999</v>
      </c>
      <c r="H104">
        <f t="shared" si="5"/>
        <v>0.93110000000000004</v>
      </c>
      <c r="I104">
        <f t="shared" si="6"/>
        <v>0.93153390388413404</v>
      </c>
      <c r="J104">
        <v>20.399999999999999</v>
      </c>
      <c r="K104" s="54">
        <f t="shared" si="7"/>
        <v>0.93149999999999999</v>
      </c>
      <c r="L104">
        <f t="shared" si="8"/>
        <v>0.93110000000000004</v>
      </c>
      <c r="M104" s="54">
        <v>0.68589999999999995</v>
      </c>
      <c r="N104">
        <v>0.68579999999999997</v>
      </c>
      <c r="O104">
        <v>20.399999999999999</v>
      </c>
    </row>
    <row r="105" spans="1:15">
      <c r="A105" s="5">
        <v>20.3</v>
      </c>
      <c r="B105" s="5">
        <v>931.6</v>
      </c>
      <c r="C105" s="6"/>
      <c r="D105" s="7">
        <v>0.90300000000000002</v>
      </c>
      <c r="E105" s="6">
        <v>902.5</v>
      </c>
      <c r="G105" s="97">
        <f t="shared" si="9"/>
        <v>20.6</v>
      </c>
      <c r="H105">
        <f t="shared" si="5"/>
        <v>0.92989999999999995</v>
      </c>
      <c r="I105">
        <f t="shared" si="6"/>
        <v>0.93030900723208398</v>
      </c>
      <c r="J105">
        <v>20.6</v>
      </c>
      <c r="K105" s="54">
        <f t="shared" si="7"/>
        <v>0.93030000000000002</v>
      </c>
      <c r="L105">
        <f t="shared" si="8"/>
        <v>0.92989999999999995</v>
      </c>
      <c r="M105" s="54">
        <v>0.68659999999999999</v>
      </c>
      <c r="N105">
        <v>0.6865</v>
      </c>
      <c r="O105">
        <v>20.6</v>
      </c>
    </row>
    <row r="106" spans="1:15">
      <c r="A106" s="5">
        <v>20.399999999999999</v>
      </c>
      <c r="B106" s="5">
        <v>931</v>
      </c>
      <c r="C106" s="6"/>
      <c r="D106" s="7">
        <v>0.90400000000000003</v>
      </c>
      <c r="E106" s="6">
        <v>903.5</v>
      </c>
      <c r="G106" s="97">
        <f t="shared" si="9"/>
        <v>20.8</v>
      </c>
      <c r="H106">
        <f t="shared" si="5"/>
        <v>0.92869999999999997</v>
      </c>
      <c r="I106">
        <f t="shared" si="6"/>
        <v>0.92908732764280999</v>
      </c>
      <c r="J106">
        <v>20.8</v>
      </c>
      <c r="K106" s="54">
        <f t="shared" si="7"/>
        <v>0.92910000000000004</v>
      </c>
      <c r="L106">
        <f t="shared" si="8"/>
        <v>0.92869999999999997</v>
      </c>
      <c r="M106" s="54">
        <v>0.68720000000000003</v>
      </c>
      <c r="N106">
        <v>0.68710000000000004</v>
      </c>
      <c r="O106">
        <v>20.8</v>
      </c>
    </row>
    <row r="107" spans="1:15">
      <c r="A107" s="5">
        <v>20.5</v>
      </c>
      <c r="B107" s="5">
        <v>930.4</v>
      </c>
      <c r="C107" s="6"/>
      <c r="D107" s="7">
        <v>0.90500000000000003</v>
      </c>
      <c r="E107" s="6">
        <v>904.5</v>
      </c>
      <c r="G107" s="97">
        <f t="shared" si="9"/>
        <v>21</v>
      </c>
      <c r="H107">
        <f t="shared" si="5"/>
        <v>0.92749999999999999</v>
      </c>
      <c r="I107">
        <f t="shared" si="6"/>
        <v>0.92786885245901596</v>
      </c>
      <c r="J107">
        <v>21</v>
      </c>
      <c r="K107" s="54">
        <f t="shared" si="7"/>
        <v>0.92789999999999995</v>
      </c>
      <c r="L107">
        <f t="shared" si="8"/>
        <v>0.92749999999999999</v>
      </c>
      <c r="M107" s="54">
        <v>0.68789999999999996</v>
      </c>
      <c r="N107">
        <v>0.68779999999999997</v>
      </c>
      <c r="O107">
        <v>21.000000000000099</v>
      </c>
    </row>
    <row r="108" spans="1:15">
      <c r="A108" s="5">
        <v>20.6</v>
      </c>
      <c r="B108" s="5">
        <v>929.8</v>
      </c>
      <c r="C108" s="6"/>
      <c r="D108" s="7">
        <v>0.90600000000000003</v>
      </c>
      <c r="E108" s="6">
        <v>905.5</v>
      </c>
      <c r="G108" s="97">
        <f t="shared" si="9"/>
        <v>21.2</v>
      </c>
      <c r="H108">
        <f t="shared" si="5"/>
        <v>0.92630000000000001</v>
      </c>
      <c r="I108">
        <f t="shared" si="6"/>
        <v>0.92665356908971896</v>
      </c>
      <c r="J108">
        <v>21.2</v>
      </c>
      <c r="K108" s="54">
        <f t="shared" si="7"/>
        <v>0.92669999999999997</v>
      </c>
      <c r="L108">
        <f t="shared" si="8"/>
        <v>0.92630000000000001</v>
      </c>
      <c r="M108" s="54">
        <v>0.68859999999999999</v>
      </c>
      <c r="N108">
        <v>0.6885</v>
      </c>
      <c r="O108">
        <v>21.1999999999999</v>
      </c>
    </row>
    <row r="109" spans="1:15">
      <c r="A109" s="5">
        <v>20.7</v>
      </c>
      <c r="B109" s="5">
        <v>929.2</v>
      </c>
      <c r="C109" s="6"/>
      <c r="D109" s="7">
        <v>0.90700000000000003</v>
      </c>
      <c r="E109" s="6">
        <v>906.5</v>
      </c>
      <c r="G109" s="97">
        <f t="shared" si="9"/>
        <v>21.4</v>
      </c>
      <c r="H109">
        <f t="shared" si="5"/>
        <v>0.92500000000000004</v>
      </c>
      <c r="I109">
        <f t="shared" si="6"/>
        <v>0.92544146500980995</v>
      </c>
      <c r="J109">
        <v>21.4</v>
      </c>
      <c r="K109" s="54">
        <f t="shared" si="7"/>
        <v>0.9254</v>
      </c>
      <c r="L109">
        <f t="shared" si="8"/>
        <v>0.92500000000000004</v>
      </c>
      <c r="M109" s="54">
        <v>0.68920000000000003</v>
      </c>
      <c r="N109">
        <v>0.68910000000000005</v>
      </c>
      <c r="O109">
        <v>21.400000000000102</v>
      </c>
    </row>
    <row r="110" spans="1:15">
      <c r="A110" s="5">
        <v>20.8</v>
      </c>
      <c r="B110" s="5">
        <v>928.6</v>
      </c>
      <c r="C110" s="6"/>
      <c r="D110" s="7">
        <v>0.90800000000000003</v>
      </c>
      <c r="E110" s="6">
        <v>907.5</v>
      </c>
      <c r="G110" s="97">
        <f t="shared" si="9"/>
        <v>21.6</v>
      </c>
      <c r="H110">
        <f t="shared" si="5"/>
        <v>0.92379999999999995</v>
      </c>
      <c r="I110">
        <f t="shared" si="6"/>
        <v>0.92423252775963405</v>
      </c>
      <c r="J110">
        <v>21.6</v>
      </c>
      <c r="K110" s="54">
        <f t="shared" si="7"/>
        <v>0.92420000000000002</v>
      </c>
      <c r="L110">
        <f t="shared" si="8"/>
        <v>0.92379999999999995</v>
      </c>
      <c r="M110" s="54">
        <v>0.68989999999999996</v>
      </c>
      <c r="N110">
        <v>0.68979999999999997</v>
      </c>
      <c r="O110">
        <v>21.6</v>
      </c>
    </row>
    <row r="111" spans="1:15">
      <c r="A111" s="5">
        <v>20.9</v>
      </c>
      <c r="B111" s="5">
        <v>927.9</v>
      </c>
      <c r="C111" s="6"/>
      <c r="D111" s="7">
        <v>0.90900000000000003</v>
      </c>
      <c r="E111" s="6">
        <v>908.5</v>
      </c>
      <c r="G111" s="97">
        <f t="shared" si="9"/>
        <v>21.8</v>
      </c>
      <c r="H111">
        <f t="shared" si="5"/>
        <v>0.92259999999999998</v>
      </c>
      <c r="I111">
        <f t="shared" si="6"/>
        <v>0.92302674494455295</v>
      </c>
      <c r="J111">
        <v>21.8</v>
      </c>
      <c r="K111" s="54">
        <f t="shared" si="7"/>
        <v>0.92300000000000004</v>
      </c>
      <c r="L111">
        <f t="shared" si="8"/>
        <v>0.92259999999999998</v>
      </c>
      <c r="M111" s="54">
        <v>0.69059999999999999</v>
      </c>
      <c r="N111">
        <v>0.6905</v>
      </c>
      <c r="O111">
        <v>21.8</v>
      </c>
    </row>
    <row r="112" spans="1:15">
      <c r="A112" s="5">
        <v>21</v>
      </c>
      <c r="B112" s="5">
        <v>927.3</v>
      </c>
      <c r="C112" s="6"/>
      <c r="D112" s="7">
        <v>0.91</v>
      </c>
      <c r="E112" s="6">
        <v>909.5</v>
      </c>
      <c r="G112" s="97">
        <f t="shared" si="9"/>
        <v>22</v>
      </c>
      <c r="H112">
        <f t="shared" si="5"/>
        <v>0.9214</v>
      </c>
      <c r="I112">
        <f t="shared" si="6"/>
        <v>0.92182410423452799</v>
      </c>
      <c r="J112">
        <v>22</v>
      </c>
      <c r="K112" s="54">
        <f t="shared" si="7"/>
        <v>0.92179999999999995</v>
      </c>
      <c r="L112">
        <f t="shared" si="8"/>
        <v>0.9214</v>
      </c>
      <c r="M112" s="54">
        <v>0.69130000000000003</v>
      </c>
      <c r="N112">
        <v>0.69120000000000004</v>
      </c>
      <c r="O112">
        <v>21.999999999999901</v>
      </c>
    </row>
    <row r="113" spans="1:15">
      <c r="A113" s="5">
        <v>21.1</v>
      </c>
      <c r="B113" s="5">
        <v>926.7</v>
      </c>
      <c r="C113" s="6"/>
      <c r="D113" s="7">
        <v>0.91100000000000003</v>
      </c>
      <c r="E113" s="6">
        <v>910.5</v>
      </c>
      <c r="G113" s="97">
        <f t="shared" si="9"/>
        <v>22.2</v>
      </c>
      <c r="H113">
        <f t="shared" si="5"/>
        <v>0.92020000000000002</v>
      </c>
      <c r="I113">
        <f t="shared" si="6"/>
        <v>0.92062459336369595</v>
      </c>
      <c r="J113">
        <v>22.2</v>
      </c>
      <c r="K113" s="54">
        <f t="shared" si="7"/>
        <v>0.92059999999999997</v>
      </c>
      <c r="L113">
        <f t="shared" si="8"/>
        <v>0.92020000000000002</v>
      </c>
      <c r="M113" s="54">
        <v>0.69189999999999996</v>
      </c>
      <c r="N113">
        <v>0.69179999999999997</v>
      </c>
      <c r="O113">
        <v>22.1999999999999</v>
      </c>
    </row>
    <row r="114" spans="1:15">
      <c r="A114" s="5">
        <v>21.2</v>
      </c>
      <c r="B114" s="5">
        <v>926.1</v>
      </c>
      <c r="C114" s="6"/>
      <c r="D114" s="7">
        <v>0.91200000000000003</v>
      </c>
      <c r="E114" s="6">
        <v>911.5</v>
      </c>
      <c r="G114" s="97">
        <f t="shared" si="9"/>
        <v>22.4</v>
      </c>
      <c r="H114">
        <f t="shared" si="5"/>
        <v>0.91900000000000004</v>
      </c>
      <c r="I114">
        <f t="shared" si="6"/>
        <v>0.91942820012995496</v>
      </c>
      <c r="J114">
        <v>22.4</v>
      </c>
      <c r="K114" s="54">
        <f t="shared" si="7"/>
        <v>0.9194</v>
      </c>
      <c r="L114">
        <f t="shared" si="8"/>
        <v>0.91900000000000004</v>
      </c>
      <c r="M114" s="54">
        <v>0.69259999999999999</v>
      </c>
      <c r="N114">
        <v>0.6925</v>
      </c>
      <c r="O114">
        <v>22.399999999999899</v>
      </c>
    </row>
    <row r="115" spans="1:15">
      <c r="A115" s="5">
        <v>21.3</v>
      </c>
      <c r="B115" s="5">
        <v>925.5</v>
      </c>
      <c r="C115" s="6"/>
      <c r="D115" s="7">
        <v>0.91300000000000003</v>
      </c>
      <c r="E115" s="6">
        <v>912.5</v>
      </c>
      <c r="G115" s="97">
        <f t="shared" si="9"/>
        <v>22.6</v>
      </c>
      <c r="H115">
        <f t="shared" si="5"/>
        <v>0.91779999999999995</v>
      </c>
      <c r="I115">
        <f t="shared" si="6"/>
        <v>0.91823491239454902</v>
      </c>
      <c r="J115">
        <v>22.6</v>
      </c>
      <c r="K115" s="54">
        <f t="shared" si="7"/>
        <v>0.91820000000000002</v>
      </c>
      <c r="L115">
        <f t="shared" si="8"/>
        <v>0.91779999999999995</v>
      </c>
      <c r="M115" s="54">
        <v>0.69330000000000003</v>
      </c>
      <c r="N115">
        <v>0.69320000000000004</v>
      </c>
      <c r="O115">
        <v>22.6</v>
      </c>
    </row>
    <row r="116" spans="1:15">
      <c r="A116" s="5">
        <v>21.4</v>
      </c>
      <c r="B116" s="5">
        <v>924.9</v>
      </c>
      <c r="C116" s="6"/>
      <c r="D116" s="7">
        <v>0.91400000000000003</v>
      </c>
      <c r="E116" s="6">
        <v>913.5</v>
      </c>
      <c r="G116" s="97">
        <f t="shared" si="9"/>
        <v>22.8</v>
      </c>
      <c r="H116">
        <f t="shared" si="5"/>
        <v>0.91659999999999997</v>
      </c>
      <c r="I116">
        <f t="shared" si="6"/>
        <v>0.91704471808165899</v>
      </c>
      <c r="J116">
        <v>22.8</v>
      </c>
      <c r="K116" s="54">
        <f t="shared" si="7"/>
        <v>0.91700000000000004</v>
      </c>
      <c r="L116">
        <f t="shared" si="8"/>
        <v>0.91659999999999997</v>
      </c>
      <c r="M116" s="54">
        <v>0.69399999999999995</v>
      </c>
      <c r="N116">
        <v>0.69389999999999996</v>
      </c>
      <c r="O116">
        <v>22.8</v>
      </c>
    </row>
    <row r="117" spans="1:15">
      <c r="A117" s="5">
        <v>21.5</v>
      </c>
      <c r="B117" s="5">
        <v>924.3</v>
      </c>
      <c r="C117" s="6"/>
      <c r="D117" s="7">
        <v>0.91500000000000004</v>
      </c>
      <c r="E117" s="6">
        <v>914.5</v>
      </c>
      <c r="G117" s="97">
        <f t="shared" si="9"/>
        <v>23</v>
      </c>
      <c r="H117">
        <f t="shared" si="5"/>
        <v>0.91549999999999998</v>
      </c>
      <c r="I117">
        <f t="shared" si="6"/>
        <v>0.91585760517799397</v>
      </c>
      <c r="J117">
        <v>23</v>
      </c>
      <c r="K117" s="54">
        <f t="shared" si="7"/>
        <v>0.91590000000000005</v>
      </c>
      <c r="L117">
        <f t="shared" si="8"/>
        <v>0.91549999999999998</v>
      </c>
      <c r="M117" s="54">
        <v>0.6946</v>
      </c>
      <c r="N117">
        <v>0.69450000000000001</v>
      </c>
      <c r="O117">
        <v>22.999999999999901</v>
      </c>
    </row>
    <row r="118" spans="1:15">
      <c r="A118" s="5">
        <v>21.6</v>
      </c>
      <c r="B118" s="5">
        <v>923.7</v>
      </c>
      <c r="C118" s="6"/>
      <c r="D118" s="7">
        <v>0.91600000000000004</v>
      </c>
      <c r="E118" s="6">
        <v>915.5</v>
      </c>
      <c r="G118" s="97">
        <f t="shared" si="9"/>
        <v>23.2</v>
      </c>
      <c r="H118">
        <f t="shared" si="5"/>
        <v>0.9143</v>
      </c>
      <c r="I118">
        <f t="shared" si="6"/>
        <v>0.91467356173238501</v>
      </c>
      <c r="J118">
        <v>23.2</v>
      </c>
      <c r="K118" s="54">
        <f t="shared" si="7"/>
        <v>0.91469999999999996</v>
      </c>
      <c r="L118">
        <f t="shared" si="8"/>
        <v>0.9143</v>
      </c>
      <c r="M118" s="54">
        <v>0.69530000000000003</v>
      </c>
      <c r="N118">
        <v>0.69520000000000004</v>
      </c>
      <c r="O118">
        <v>23.2</v>
      </c>
    </row>
    <row r="119" spans="1:15">
      <c r="A119" s="5">
        <v>21.7</v>
      </c>
      <c r="B119" s="5">
        <v>923.1</v>
      </c>
      <c r="C119" s="6"/>
      <c r="D119" s="7">
        <v>0.91700000000000004</v>
      </c>
      <c r="E119" s="6">
        <v>916.5</v>
      </c>
      <c r="G119" s="97">
        <f t="shared" si="9"/>
        <v>23.4</v>
      </c>
      <c r="H119">
        <f t="shared" si="5"/>
        <v>0.91310000000000002</v>
      </c>
      <c r="I119">
        <f t="shared" si="6"/>
        <v>0.91349257585539101</v>
      </c>
      <c r="J119">
        <v>23.4</v>
      </c>
      <c r="K119" s="54">
        <f t="shared" si="7"/>
        <v>0.91349999999999998</v>
      </c>
      <c r="L119">
        <f t="shared" si="8"/>
        <v>0.91310000000000002</v>
      </c>
      <c r="M119" s="54">
        <v>0.69599999999999995</v>
      </c>
      <c r="N119">
        <v>0.69589999999999996</v>
      </c>
      <c r="O119">
        <v>23.399999999999899</v>
      </c>
    </row>
    <row r="120" spans="1:15">
      <c r="A120" s="5">
        <v>21.8</v>
      </c>
      <c r="B120" s="5">
        <v>922.5</v>
      </c>
      <c r="C120" s="6"/>
      <c r="D120" s="7">
        <v>0.91800000000000004</v>
      </c>
      <c r="E120" s="6">
        <v>917.5</v>
      </c>
      <c r="G120" s="97">
        <f t="shared" si="9"/>
        <v>23.6</v>
      </c>
      <c r="H120">
        <f t="shared" si="5"/>
        <v>0.91190000000000004</v>
      </c>
      <c r="I120">
        <f t="shared" si="6"/>
        <v>0.91231463571889104</v>
      </c>
      <c r="J120">
        <v>23.6</v>
      </c>
      <c r="K120" s="54">
        <f t="shared" si="7"/>
        <v>0.9123</v>
      </c>
      <c r="L120">
        <f t="shared" si="8"/>
        <v>0.91190000000000004</v>
      </c>
      <c r="M120" s="54">
        <v>0.69669999999999999</v>
      </c>
      <c r="N120">
        <v>0.6966</v>
      </c>
      <c r="O120">
        <v>23.6</v>
      </c>
    </row>
    <row r="121" spans="1:15">
      <c r="A121" s="5">
        <v>21.9</v>
      </c>
      <c r="B121" s="5">
        <v>921.9</v>
      </c>
      <c r="C121" s="6"/>
      <c r="D121" s="7">
        <v>0.91900000000000004</v>
      </c>
      <c r="E121" s="6">
        <v>918.5</v>
      </c>
      <c r="G121" s="97">
        <f t="shared" si="9"/>
        <v>23.8</v>
      </c>
      <c r="H121">
        <f t="shared" si="5"/>
        <v>0.91069999999999995</v>
      </c>
      <c r="I121">
        <f t="shared" si="6"/>
        <v>0.911139729555699</v>
      </c>
      <c r="J121">
        <v>23.8</v>
      </c>
      <c r="K121" s="54">
        <f t="shared" si="7"/>
        <v>0.91110000000000002</v>
      </c>
      <c r="L121">
        <f t="shared" si="8"/>
        <v>0.91069999999999995</v>
      </c>
      <c r="M121" s="54">
        <v>0.69740000000000002</v>
      </c>
      <c r="N121">
        <v>0.69730000000000003</v>
      </c>
      <c r="O121">
        <v>23.8</v>
      </c>
    </row>
    <row r="122" spans="1:15">
      <c r="A122" s="5">
        <v>22</v>
      </c>
      <c r="B122" s="5">
        <v>921.3</v>
      </c>
      <c r="C122" s="6"/>
      <c r="D122" s="7">
        <v>0.92</v>
      </c>
      <c r="E122" s="6">
        <v>919.5</v>
      </c>
      <c r="G122" s="97">
        <f t="shared" si="9"/>
        <v>24</v>
      </c>
      <c r="H122">
        <f t="shared" si="5"/>
        <v>0.90959999999999996</v>
      </c>
      <c r="I122">
        <f t="shared" si="6"/>
        <v>0.909967845659164</v>
      </c>
      <c r="J122">
        <v>24</v>
      </c>
      <c r="K122" s="54">
        <f t="shared" si="7"/>
        <v>0.91</v>
      </c>
      <c r="L122">
        <f t="shared" si="8"/>
        <v>0.90959999999999996</v>
      </c>
      <c r="M122" s="54">
        <v>0.69810000000000005</v>
      </c>
      <c r="N122">
        <v>0.69799999999999995</v>
      </c>
      <c r="O122">
        <v>24</v>
      </c>
    </row>
    <row r="123" spans="1:15">
      <c r="A123" s="5">
        <v>22.1</v>
      </c>
      <c r="B123" s="5">
        <v>920.7</v>
      </c>
      <c r="C123" s="6"/>
      <c r="D123" s="7">
        <v>0.92100000000000004</v>
      </c>
      <c r="E123" s="6">
        <v>920.5</v>
      </c>
      <c r="G123" s="97">
        <f t="shared" si="9"/>
        <v>24.2</v>
      </c>
      <c r="H123">
        <f t="shared" si="5"/>
        <v>0.90839999999999999</v>
      </c>
      <c r="I123">
        <f t="shared" si="6"/>
        <v>0.90879897238278795</v>
      </c>
      <c r="J123">
        <v>24.2</v>
      </c>
      <c r="K123" s="54">
        <f t="shared" si="7"/>
        <v>0.90880000000000005</v>
      </c>
      <c r="L123">
        <f t="shared" si="8"/>
        <v>0.90839999999999999</v>
      </c>
      <c r="M123" s="54">
        <v>0.69879999999999998</v>
      </c>
      <c r="N123">
        <v>0.69869999999999999</v>
      </c>
      <c r="O123">
        <v>24.1999999999999</v>
      </c>
    </row>
    <row r="124" spans="1:15">
      <c r="A124" s="5">
        <v>22.2</v>
      </c>
      <c r="B124" s="5">
        <v>920.1</v>
      </c>
      <c r="C124" s="6"/>
      <c r="D124" s="7">
        <v>0.92200000000000004</v>
      </c>
      <c r="E124" s="6">
        <v>921.5</v>
      </c>
      <c r="G124" s="97">
        <f t="shared" si="9"/>
        <v>24.4</v>
      </c>
      <c r="H124">
        <f t="shared" si="5"/>
        <v>0.90720000000000001</v>
      </c>
      <c r="I124">
        <f t="shared" si="6"/>
        <v>0.90763309813983295</v>
      </c>
      <c r="J124">
        <v>24.4</v>
      </c>
      <c r="K124" s="54">
        <f t="shared" si="7"/>
        <v>0.90759999999999996</v>
      </c>
      <c r="L124">
        <f t="shared" si="8"/>
        <v>0.90720000000000001</v>
      </c>
      <c r="M124" s="54">
        <v>0.69950000000000001</v>
      </c>
      <c r="N124">
        <v>0.69940000000000002</v>
      </c>
      <c r="O124">
        <v>24.4</v>
      </c>
    </row>
    <row r="125" spans="1:15">
      <c r="A125" s="5">
        <v>22.3</v>
      </c>
      <c r="B125" s="5">
        <v>919.5</v>
      </c>
      <c r="C125" s="6"/>
      <c r="D125" s="7">
        <v>0.92300000000000004</v>
      </c>
      <c r="E125" s="6">
        <v>922.5</v>
      </c>
      <c r="G125" s="97">
        <f t="shared" si="9"/>
        <v>24.6</v>
      </c>
      <c r="H125">
        <f t="shared" si="5"/>
        <v>0.90610000000000002</v>
      </c>
      <c r="I125">
        <f t="shared" si="6"/>
        <v>0.90647021140294703</v>
      </c>
      <c r="J125">
        <v>24.6</v>
      </c>
      <c r="K125" s="54">
        <f t="shared" si="7"/>
        <v>0.90649999999999997</v>
      </c>
      <c r="L125">
        <f t="shared" si="8"/>
        <v>0.90610000000000002</v>
      </c>
      <c r="M125" s="54">
        <v>0.70009999999999994</v>
      </c>
      <c r="N125">
        <v>0.7</v>
      </c>
      <c r="O125">
        <v>24.6</v>
      </c>
    </row>
    <row r="126" spans="1:15">
      <c r="A126" s="5">
        <v>22.4</v>
      </c>
      <c r="B126" s="5">
        <v>918.9</v>
      </c>
      <c r="C126" s="6"/>
      <c r="D126" s="7">
        <v>0.92400000000000004</v>
      </c>
      <c r="E126" s="6">
        <v>923.5</v>
      </c>
      <c r="G126" s="97">
        <f t="shared" si="9"/>
        <v>24.8</v>
      </c>
      <c r="H126">
        <f t="shared" si="5"/>
        <v>0.90490000000000004</v>
      </c>
      <c r="I126">
        <f t="shared" si="6"/>
        <v>0.90531030070377505</v>
      </c>
      <c r="J126">
        <v>24.8</v>
      </c>
      <c r="K126" s="54">
        <f t="shared" si="7"/>
        <v>0.90529999999999999</v>
      </c>
      <c r="L126">
        <f t="shared" si="8"/>
        <v>0.90490000000000004</v>
      </c>
      <c r="M126" s="54">
        <v>0.70079999999999998</v>
      </c>
      <c r="N126">
        <v>0.70069999999999999</v>
      </c>
      <c r="O126">
        <v>24.8</v>
      </c>
    </row>
    <row r="127" spans="1:15">
      <c r="A127" s="5">
        <v>22.5</v>
      </c>
      <c r="B127" s="5">
        <v>918.3</v>
      </c>
      <c r="C127" s="6"/>
      <c r="D127" s="7">
        <v>0.92500000000000004</v>
      </c>
      <c r="E127" s="6">
        <v>924.5</v>
      </c>
      <c r="G127" s="97">
        <f t="shared" si="9"/>
        <v>25</v>
      </c>
      <c r="H127">
        <f t="shared" si="5"/>
        <v>0.90380000000000005</v>
      </c>
      <c r="I127">
        <f t="shared" si="6"/>
        <v>0.90415335463258795</v>
      </c>
      <c r="J127">
        <v>25</v>
      </c>
      <c r="K127" s="54">
        <f t="shared" si="7"/>
        <v>0.9042</v>
      </c>
      <c r="L127">
        <f t="shared" si="8"/>
        <v>0.90380000000000005</v>
      </c>
      <c r="M127" s="54">
        <v>0.70150000000000001</v>
      </c>
      <c r="N127">
        <v>0.70140000000000002</v>
      </c>
      <c r="O127">
        <v>25</v>
      </c>
    </row>
    <row r="128" spans="1:15">
      <c r="A128" s="5">
        <v>22.6</v>
      </c>
      <c r="B128" s="5">
        <v>917.7</v>
      </c>
      <c r="C128" s="6"/>
      <c r="D128" s="7">
        <v>0.92600000000000005</v>
      </c>
      <c r="E128" s="6">
        <v>925.5</v>
      </c>
      <c r="G128" s="97">
        <f t="shared" si="9"/>
        <v>25.2</v>
      </c>
      <c r="H128">
        <f t="shared" si="5"/>
        <v>0.90259999999999996</v>
      </c>
      <c r="I128">
        <f t="shared" si="6"/>
        <v>0.90299936183790697</v>
      </c>
      <c r="J128">
        <v>25.2</v>
      </c>
      <c r="K128" s="54">
        <f t="shared" si="7"/>
        <v>0.90300000000000002</v>
      </c>
      <c r="L128">
        <f t="shared" si="8"/>
        <v>0.90259999999999996</v>
      </c>
      <c r="M128" s="54">
        <v>0.70220000000000005</v>
      </c>
      <c r="N128">
        <v>0.70209999999999995</v>
      </c>
      <c r="O128">
        <v>25.2</v>
      </c>
    </row>
    <row r="129" spans="1:15">
      <c r="A129" s="5">
        <v>22.7</v>
      </c>
      <c r="B129" s="5">
        <v>917.1</v>
      </c>
      <c r="C129" s="6"/>
      <c r="D129" s="7">
        <v>0.92700000000000005</v>
      </c>
      <c r="E129" s="6">
        <v>926.5</v>
      </c>
      <c r="G129" s="97">
        <f t="shared" si="9"/>
        <v>25.4</v>
      </c>
      <c r="H129">
        <f t="shared" si="5"/>
        <v>0.90139999999999998</v>
      </c>
      <c r="I129">
        <f t="shared" si="6"/>
        <v>0.90184831102613106</v>
      </c>
      <c r="J129">
        <v>25.4</v>
      </c>
      <c r="K129" s="54">
        <f t="shared" si="7"/>
        <v>0.90180000000000005</v>
      </c>
      <c r="L129">
        <f t="shared" si="8"/>
        <v>0.90139999999999998</v>
      </c>
      <c r="M129" s="54">
        <v>0.70289999999999997</v>
      </c>
      <c r="N129">
        <v>0.70279999999999998</v>
      </c>
      <c r="O129">
        <v>25.4</v>
      </c>
    </row>
    <row r="130" spans="1:15">
      <c r="A130" s="5">
        <v>22.8</v>
      </c>
      <c r="B130" s="5">
        <v>916.5</v>
      </c>
      <c r="C130" s="6"/>
      <c r="D130" s="7">
        <v>0.92800000000000005</v>
      </c>
      <c r="E130" s="6">
        <v>927.5</v>
      </c>
      <c r="G130" s="97">
        <f t="shared" si="9"/>
        <v>25.6</v>
      </c>
      <c r="H130">
        <f t="shared" ref="H130:H193" si="10">K130+VLOOKUP(K130,table,2)</f>
        <v>0.90029999999999999</v>
      </c>
      <c r="I130">
        <f t="shared" ref="I130:I193" si="11">(141.5/(G130+131.5))</f>
        <v>0.90070019096117104</v>
      </c>
      <c r="J130">
        <v>25.6</v>
      </c>
      <c r="K130" s="54">
        <f t="shared" ref="K130:K193" si="12">(141.5/(J130+131.5))</f>
        <v>0.90069999999999995</v>
      </c>
      <c r="L130">
        <f t="shared" ref="L130:L193" si="13">K130+VLOOKUP(K130,table,2)</f>
        <v>0.90029999999999999</v>
      </c>
      <c r="M130" s="54">
        <v>0.7036</v>
      </c>
      <c r="N130">
        <v>0.70350000000000001</v>
      </c>
      <c r="O130">
        <v>25.6</v>
      </c>
    </row>
    <row r="131" spans="1:15">
      <c r="A131" s="5">
        <v>22.9</v>
      </c>
      <c r="B131" s="5">
        <v>915.9</v>
      </c>
      <c r="C131" s="6"/>
      <c r="D131" s="7">
        <v>0.92900000000000005</v>
      </c>
      <c r="E131" s="6">
        <v>928.5</v>
      </c>
      <c r="G131" s="97">
        <f t="shared" ref="G131:G194" si="14">(141.5/K131)-131.5</f>
        <v>25.8</v>
      </c>
      <c r="H131">
        <f t="shared" si="10"/>
        <v>0.8992</v>
      </c>
      <c r="I131">
        <f t="shared" si="11"/>
        <v>0.89955499046408105</v>
      </c>
      <c r="J131">
        <v>25.8</v>
      </c>
      <c r="K131" s="54">
        <f t="shared" si="12"/>
        <v>0.89959999999999996</v>
      </c>
      <c r="L131">
        <f t="shared" si="13"/>
        <v>0.8992</v>
      </c>
      <c r="M131" s="54">
        <v>0.70430000000000004</v>
      </c>
      <c r="N131">
        <v>0.70420000000000005</v>
      </c>
      <c r="O131">
        <v>25.8000000000001</v>
      </c>
    </row>
    <row r="132" spans="1:15">
      <c r="A132" s="5">
        <v>23</v>
      </c>
      <c r="B132" s="5">
        <v>915.3</v>
      </c>
      <c r="C132" s="6"/>
      <c r="D132" s="7">
        <v>0.93</v>
      </c>
      <c r="E132" s="6">
        <v>929.5</v>
      </c>
      <c r="G132" s="97">
        <f t="shared" si="14"/>
        <v>26</v>
      </c>
      <c r="H132">
        <f t="shared" si="10"/>
        <v>0.89800000000000002</v>
      </c>
      <c r="I132">
        <f t="shared" si="11"/>
        <v>0.898412698412698</v>
      </c>
      <c r="J132">
        <v>26</v>
      </c>
      <c r="K132" s="54">
        <f t="shared" si="12"/>
        <v>0.89839999999999998</v>
      </c>
      <c r="L132">
        <f t="shared" si="13"/>
        <v>0.89800000000000002</v>
      </c>
      <c r="M132" s="54">
        <v>0.70499999999999996</v>
      </c>
      <c r="N132">
        <v>0.70489999999999997</v>
      </c>
      <c r="O132">
        <v>26.000000000000099</v>
      </c>
    </row>
    <row r="133" spans="1:15">
      <c r="A133" s="5">
        <v>23.1</v>
      </c>
      <c r="B133" s="5">
        <v>914.7</v>
      </c>
      <c r="C133" s="6"/>
      <c r="D133" s="7">
        <v>0.93100000000000005</v>
      </c>
      <c r="E133" s="6">
        <v>930.5</v>
      </c>
      <c r="G133" s="97">
        <f t="shared" si="14"/>
        <v>26.2</v>
      </c>
      <c r="H133">
        <f t="shared" si="10"/>
        <v>0.89690000000000003</v>
      </c>
      <c r="I133">
        <f t="shared" si="11"/>
        <v>0.897273303741281</v>
      </c>
      <c r="J133">
        <v>26.2</v>
      </c>
      <c r="K133" s="54">
        <f t="shared" si="12"/>
        <v>0.89729999999999999</v>
      </c>
      <c r="L133">
        <f t="shared" si="13"/>
        <v>0.89690000000000003</v>
      </c>
      <c r="M133" s="54">
        <v>0.70569999999999999</v>
      </c>
      <c r="N133">
        <v>0.7056</v>
      </c>
      <c r="O133">
        <v>26.2</v>
      </c>
    </row>
    <row r="134" spans="1:15">
      <c r="A134" s="5">
        <v>23.2</v>
      </c>
      <c r="B134" s="5">
        <v>914.2</v>
      </c>
      <c r="C134" s="6"/>
      <c r="D134" s="7">
        <v>0.93200000000000005</v>
      </c>
      <c r="E134" s="6">
        <v>931.5</v>
      </c>
      <c r="G134" s="97">
        <f t="shared" si="14"/>
        <v>26.4</v>
      </c>
      <c r="H134">
        <f t="shared" si="10"/>
        <v>0.89570000000000005</v>
      </c>
      <c r="I134">
        <f t="shared" si="11"/>
        <v>0.89613679544015201</v>
      </c>
      <c r="J134">
        <v>26.4</v>
      </c>
      <c r="K134" s="54">
        <f t="shared" si="12"/>
        <v>0.89610000000000001</v>
      </c>
      <c r="L134">
        <f t="shared" si="13"/>
        <v>0.89570000000000005</v>
      </c>
      <c r="M134" s="54">
        <v>0.70640000000000003</v>
      </c>
      <c r="N134">
        <v>0.70630000000000004</v>
      </c>
      <c r="O134">
        <v>26.4</v>
      </c>
    </row>
    <row r="135" spans="1:15">
      <c r="A135" s="5">
        <v>23.3</v>
      </c>
      <c r="B135" s="5">
        <v>913.6</v>
      </c>
      <c r="C135" s="6"/>
      <c r="D135" s="7">
        <v>0.93300000000000005</v>
      </c>
      <c r="E135" s="6">
        <v>932.5</v>
      </c>
      <c r="G135" s="97">
        <f t="shared" si="14"/>
        <v>26.6</v>
      </c>
      <c r="H135">
        <f t="shared" si="10"/>
        <v>0.89459999999999995</v>
      </c>
      <c r="I135">
        <f t="shared" si="11"/>
        <v>0.89500316255534496</v>
      </c>
      <c r="J135">
        <v>26.6</v>
      </c>
      <c r="K135" s="54">
        <f t="shared" si="12"/>
        <v>0.89500000000000002</v>
      </c>
      <c r="L135">
        <f t="shared" si="13"/>
        <v>0.89459999999999995</v>
      </c>
      <c r="M135" s="54">
        <v>0.70709999999999995</v>
      </c>
      <c r="N135">
        <v>0.70699999999999996</v>
      </c>
      <c r="O135">
        <v>26.6</v>
      </c>
    </row>
    <row r="136" spans="1:15">
      <c r="A136" s="5">
        <v>23.4</v>
      </c>
      <c r="B136" s="5">
        <v>913</v>
      </c>
      <c r="C136" s="6"/>
      <c r="D136" s="7">
        <v>0.93400000000000005</v>
      </c>
      <c r="E136" s="6">
        <v>933.5</v>
      </c>
      <c r="G136" s="97">
        <f t="shared" si="14"/>
        <v>26.8</v>
      </c>
      <c r="H136">
        <f t="shared" si="10"/>
        <v>0.89349999999999996</v>
      </c>
      <c r="I136">
        <f t="shared" si="11"/>
        <v>0.89387239418825004</v>
      </c>
      <c r="J136">
        <v>26.8</v>
      </c>
      <c r="K136" s="54">
        <f t="shared" si="12"/>
        <v>0.89390000000000003</v>
      </c>
      <c r="L136">
        <f t="shared" si="13"/>
        <v>0.89349999999999996</v>
      </c>
      <c r="M136" s="54">
        <v>0.70789999999999997</v>
      </c>
      <c r="N136">
        <v>0.70779999999999998</v>
      </c>
      <c r="O136">
        <v>26.8</v>
      </c>
    </row>
    <row r="137" spans="1:15">
      <c r="A137" s="5">
        <v>23.5</v>
      </c>
      <c r="B137" s="5">
        <v>912.4</v>
      </c>
      <c r="C137" s="6"/>
      <c r="D137" s="7">
        <v>0.93500000000000005</v>
      </c>
      <c r="E137" s="6">
        <v>934.5</v>
      </c>
      <c r="G137" s="97">
        <f t="shared" si="14"/>
        <v>27</v>
      </c>
      <c r="H137">
        <f t="shared" si="10"/>
        <v>0.89229999999999998</v>
      </c>
      <c r="I137">
        <f t="shared" si="11"/>
        <v>0.89274447949526803</v>
      </c>
      <c r="J137">
        <v>27</v>
      </c>
      <c r="K137" s="54">
        <f t="shared" si="12"/>
        <v>0.89270000000000005</v>
      </c>
      <c r="L137">
        <f t="shared" si="13"/>
        <v>0.89229999999999998</v>
      </c>
      <c r="M137" s="54">
        <v>0.70860000000000001</v>
      </c>
      <c r="N137">
        <v>0.70850000000000002</v>
      </c>
      <c r="O137">
        <v>27</v>
      </c>
    </row>
    <row r="138" spans="1:15">
      <c r="A138" s="5">
        <v>23.6</v>
      </c>
      <c r="B138" s="5">
        <v>911.8</v>
      </c>
      <c r="C138" s="6"/>
      <c r="D138" s="7">
        <v>0.93600000000000005</v>
      </c>
      <c r="E138" s="6">
        <v>935.5</v>
      </c>
      <c r="G138" s="97">
        <f t="shared" si="14"/>
        <v>27.2</v>
      </c>
      <c r="H138">
        <f t="shared" si="10"/>
        <v>0.89119999999999999</v>
      </c>
      <c r="I138">
        <f t="shared" si="11"/>
        <v>0.89161940768746095</v>
      </c>
      <c r="J138">
        <v>27.2</v>
      </c>
      <c r="K138" s="54">
        <f t="shared" si="12"/>
        <v>0.89159999999999995</v>
      </c>
      <c r="L138">
        <f t="shared" si="13"/>
        <v>0.89119999999999999</v>
      </c>
      <c r="M138" s="54">
        <v>0.70930000000000004</v>
      </c>
      <c r="N138">
        <v>0.70920000000000005</v>
      </c>
      <c r="O138">
        <v>27.1999999999999</v>
      </c>
    </row>
    <row r="139" spans="1:15">
      <c r="A139" s="5">
        <v>23.7</v>
      </c>
      <c r="B139" s="5">
        <v>911.2</v>
      </c>
      <c r="C139" s="6"/>
      <c r="D139" s="7">
        <v>0.93700000000000006</v>
      </c>
      <c r="E139" s="6">
        <v>936.5</v>
      </c>
      <c r="G139" s="97">
        <f t="shared" si="14"/>
        <v>27.4</v>
      </c>
      <c r="H139">
        <f t="shared" si="10"/>
        <v>0.8901</v>
      </c>
      <c r="I139">
        <f t="shared" si="11"/>
        <v>0.89049716803020795</v>
      </c>
      <c r="J139">
        <v>27.4</v>
      </c>
      <c r="K139" s="54">
        <f t="shared" si="12"/>
        <v>0.89049999999999996</v>
      </c>
      <c r="L139">
        <f t="shared" si="13"/>
        <v>0.8901</v>
      </c>
      <c r="M139" s="54">
        <v>0.71</v>
      </c>
      <c r="N139">
        <v>0.70989999999999998</v>
      </c>
      <c r="O139">
        <v>27.399999999999899</v>
      </c>
    </row>
    <row r="140" spans="1:15">
      <c r="A140" s="5">
        <v>23.8</v>
      </c>
      <c r="B140" s="5">
        <v>910.6</v>
      </c>
      <c r="C140" s="6"/>
      <c r="D140" s="7">
        <v>0.93799999999999994</v>
      </c>
      <c r="E140" s="6">
        <v>937.5</v>
      </c>
      <c r="G140" s="97">
        <f t="shared" si="14"/>
        <v>27.6</v>
      </c>
      <c r="H140">
        <f t="shared" si="10"/>
        <v>0.88900000000000001</v>
      </c>
      <c r="I140">
        <f t="shared" si="11"/>
        <v>0.88937774984286599</v>
      </c>
      <c r="J140">
        <v>27.6</v>
      </c>
      <c r="K140" s="54">
        <f t="shared" si="12"/>
        <v>0.88939999999999997</v>
      </c>
      <c r="L140">
        <f t="shared" si="13"/>
        <v>0.88900000000000001</v>
      </c>
      <c r="M140" s="54">
        <v>0.7107</v>
      </c>
      <c r="N140">
        <v>0.71060000000000001</v>
      </c>
      <c r="O140">
        <v>27.6</v>
      </c>
    </row>
    <row r="141" spans="1:15">
      <c r="A141" s="5">
        <v>23.9</v>
      </c>
      <c r="B141" s="5">
        <v>910</v>
      </c>
      <c r="C141" s="6"/>
      <c r="D141" s="7">
        <v>0.93899999999999995</v>
      </c>
      <c r="E141" s="6">
        <v>938.5</v>
      </c>
      <c r="G141" s="97">
        <f t="shared" si="14"/>
        <v>27.8</v>
      </c>
      <c r="H141">
        <f t="shared" si="10"/>
        <v>0.88790000000000002</v>
      </c>
      <c r="I141">
        <f t="shared" si="11"/>
        <v>0.88826114249843102</v>
      </c>
      <c r="J141">
        <v>27.8</v>
      </c>
      <c r="K141" s="54">
        <f t="shared" si="12"/>
        <v>0.88829999999999998</v>
      </c>
      <c r="L141">
        <f t="shared" si="13"/>
        <v>0.88790000000000002</v>
      </c>
      <c r="M141" s="54">
        <v>0.71140000000000003</v>
      </c>
      <c r="N141">
        <v>0.71130000000000004</v>
      </c>
      <c r="O141">
        <v>27.799999999999901</v>
      </c>
    </row>
    <row r="142" spans="1:15">
      <c r="A142" s="5">
        <v>24</v>
      </c>
      <c r="B142" s="5">
        <v>909.5</v>
      </c>
      <c r="C142" s="6"/>
      <c r="D142" s="7">
        <v>0.94</v>
      </c>
      <c r="E142" s="6">
        <v>939.5</v>
      </c>
      <c r="G142" s="97">
        <f t="shared" si="14"/>
        <v>28</v>
      </c>
      <c r="H142">
        <f t="shared" si="10"/>
        <v>0.88670000000000004</v>
      </c>
      <c r="I142">
        <f t="shared" si="11"/>
        <v>0.88714733542319701</v>
      </c>
      <c r="J142">
        <v>28</v>
      </c>
      <c r="K142" s="54">
        <f t="shared" si="12"/>
        <v>0.8871</v>
      </c>
      <c r="L142">
        <f t="shared" si="13"/>
        <v>0.88670000000000004</v>
      </c>
      <c r="M142" s="54">
        <v>0.71209999999999996</v>
      </c>
      <c r="N142">
        <v>0.71199999999999997</v>
      </c>
      <c r="O142">
        <v>28.000000000000099</v>
      </c>
    </row>
    <row r="143" spans="1:15">
      <c r="A143" s="5">
        <v>24.1</v>
      </c>
      <c r="B143" s="5">
        <v>908.9</v>
      </c>
      <c r="C143" s="6"/>
      <c r="D143" s="7">
        <v>0.94099999999999995</v>
      </c>
      <c r="E143" s="6">
        <v>940.5</v>
      </c>
      <c r="G143" s="97">
        <f t="shared" si="14"/>
        <v>28.2</v>
      </c>
      <c r="H143">
        <f t="shared" si="10"/>
        <v>0.88560000000000005</v>
      </c>
      <c r="I143">
        <f t="shared" si="11"/>
        <v>0.88603631809643102</v>
      </c>
      <c r="J143">
        <v>28.2</v>
      </c>
      <c r="K143" s="54">
        <f t="shared" si="12"/>
        <v>0.88600000000000001</v>
      </c>
      <c r="L143">
        <f t="shared" si="13"/>
        <v>0.88560000000000005</v>
      </c>
      <c r="M143" s="54">
        <v>0.71279999999999999</v>
      </c>
      <c r="N143">
        <v>0.7127</v>
      </c>
      <c r="O143">
        <v>28.2</v>
      </c>
    </row>
    <row r="144" spans="1:15">
      <c r="A144" s="5">
        <v>24.2</v>
      </c>
      <c r="B144" s="5">
        <v>908.3</v>
      </c>
      <c r="C144" s="6"/>
      <c r="D144" s="7">
        <v>0.94199999999999995</v>
      </c>
      <c r="E144" s="6">
        <v>941.4</v>
      </c>
      <c r="G144" s="97">
        <f t="shared" si="14"/>
        <v>28.4</v>
      </c>
      <c r="H144">
        <f t="shared" si="10"/>
        <v>0.88449999999999995</v>
      </c>
      <c r="I144">
        <f t="shared" si="11"/>
        <v>0.88492808005003099</v>
      </c>
      <c r="J144">
        <v>28.4</v>
      </c>
      <c r="K144" s="54">
        <f t="shared" si="12"/>
        <v>0.88490000000000002</v>
      </c>
      <c r="L144">
        <f t="shared" si="13"/>
        <v>0.88449999999999995</v>
      </c>
      <c r="M144" s="54">
        <v>0.71360000000000001</v>
      </c>
      <c r="N144">
        <v>0.71350000000000002</v>
      </c>
      <c r="O144">
        <v>28.400000000000102</v>
      </c>
    </row>
    <row r="145" spans="1:15">
      <c r="A145" s="5">
        <v>24.3</v>
      </c>
      <c r="B145" s="5">
        <v>907.7</v>
      </c>
      <c r="C145" s="6"/>
      <c r="D145" s="7">
        <v>0.94299999999999995</v>
      </c>
      <c r="E145" s="6">
        <v>942.4</v>
      </c>
      <c r="G145" s="97">
        <f t="shared" si="14"/>
        <v>28.6</v>
      </c>
      <c r="H145">
        <f t="shared" si="10"/>
        <v>0.88339999999999996</v>
      </c>
      <c r="I145">
        <f t="shared" si="11"/>
        <v>0.88382261086820701</v>
      </c>
      <c r="J145">
        <v>28.6</v>
      </c>
      <c r="K145" s="54">
        <f t="shared" si="12"/>
        <v>0.88380000000000003</v>
      </c>
      <c r="L145">
        <f t="shared" si="13"/>
        <v>0.88339999999999996</v>
      </c>
      <c r="M145" s="54">
        <v>0.71430000000000005</v>
      </c>
      <c r="N145">
        <v>0.71419999999999995</v>
      </c>
      <c r="O145">
        <v>28.600000000000101</v>
      </c>
    </row>
    <row r="146" spans="1:15">
      <c r="A146" s="5">
        <v>24.4</v>
      </c>
      <c r="B146" s="5">
        <v>907.1</v>
      </c>
      <c r="C146" s="6"/>
      <c r="D146" s="7">
        <v>0.94399999999999995</v>
      </c>
      <c r="E146" s="6">
        <v>943.4</v>
      </c>
      <c r="G146" s="97">
        <f t="shared" si="14"/>
        <v>28.8</v>
      </c>
      <c r="H146">
        <f t="shared" si="10"/>
        <v>0.88229999999999997</v>
      </c>
      <c r="I146">
        <f t="shared" si="11"/>
        <v>0.88271990018714896</v>
      </c>
      <c r="J146">
        <v>28.8</v>
      </c>
      <c r="K146" s="54">
        <f t="shared" si="12"/>
        <v>0.88270000000000004</v>
      </c>
      <c r="L146">
        <f t="shared" si="13"/>
        <v>0.88229999999999997</v>
      </c>
      <c r="M146" s="54">
        <v>0.71499999999999997</v>
      </c>
      <c r="N146">
        <v>0.71489999999999998</v>
      </c>
      <c r="O146">
        <v>28.8</v>
      </c>
    </row>
    <row r="147" spans="1:15">
      <c r="A147" s="5">
        <v>24.5</v>
      </c>
      <c r="B147" s="5">
        <v>906.5</v>
      </c>
      <c r="C147" s="6"/>
      <c r="D147" s="7">
        <v>0.94499999999999995</v>
      </c>
      <c r="E147" s="6">
        <v>944.4</v>
      </c>
      <c r="G147" s="97">
        <f t="shared" si="14"/>
        <v>29</v>
      </c>
      <c r="H147">
        <f t="shared" si="10"/>
        <v>0.88119999999999998</v>
      </c>
      <c r="I147">
        <f t="shared" si="11"/>
        <v>0.88161993769470404</v>
      </c>
      <c r="J147">
        <v>29</v>
      </c>
      <c r="K147" s="54">
        <f t="shared" si="12"/>
        <v>0.88160000000000005</v>
      </c>
      <c r="L147">
        <f t="shared" si="13"/>
        <v>0.88119999999999998</v>
      </c>
      <c r="M147" s="54">
        <v>0.7157</v>
      </c>
      <c r="N147">
        <v>0.71560000000000001</v>
      </c>
      <c r="O147">
        <v>29</v>
      </c>
    </row>
    <row r="148" spans="1:15">
      <c r="A148" s="5">
        <v>24.6</v>
      </c>
      <c r="B148" s="5">
        <v>906</v>
      </c>
      <c r="C148" s="6"/>
      <c r="D148" s="7">
        <v>0.94599999999999995</v>
      </c>
      <c r="E148" s="6">
        <v>945.4</v>
      </c>
      <c r="G148" s="97">
        <f t="shared" si="14"/>
        <v>29.2</v>
      </c>
      <c r="H148">
        <f t="shared" si="10"/>
        <v>0.88009999999999999</v>
      </c>
      <c r="I148">
        <f t="shared" si="11"/>
        <v>0.88052271313005603</v>
      </c>
      <c r="J148">
        <v>29.2</v>
      </c>
      <c r="K148" s="54">
        <f t="shared" si="12"/>
        <v>0.88049999999999995</v>
      </c>
      <c r="L148">
        <f t="shared" si="13"/>
        <v>0.88009999999999999</v>
      </c>
      <c r="M148" s="54">
        <v>0.71650000000000003</v>
      </c>
      <c r="N148">
        <v>0.71640000000000004</v>
      </c>
      <c r="O148">
        <v>29.2</v>
      </c>
    </row>
    <row r="149" spans="1:15">
      <c r="A149" s="5">
        <v>24.7</v>
      </c>
      <c r="B149" s="5">
        <v>905.4</v>
      </c>
      <c r="C149" s="6"/>
      <c r="D149" s="7">
        <v>0.94699999999999995</v>
      </c>
      <c r="E149" s="6">
        <v>946.4</v>
      </c>
      <c r="G149" s="97">
        <f t="shared" si="14"/>
        <v>29.4</v>
      </c>
      <c r="H149">
        <f t="shared" si="10"/>
        <v>0.879</v>
      </c>
      <c r="I149">
        <f t="shared" si="11"/>
        <v>0.87942821628340595</v>
      </c>
      <c r="J149">
        <v>29.4</v>
      </c>
      <c r="K149" s="54">
        <f t="shared" si="12"/>
        <v>0.87939999999999996</v>
      </c>
      <c r="L149">
        <f t="shared" si="13"/>
        <v>0.879</v>
      </c>
      <c r="M149" s="54">
        <v>0.71719999999999995</v>
      </c>
      <c r="N149">
        <v>0.71709999999999996</v>
      </c>
      <c r="O149">
        <v>29.4</v>
      </c>
    </row>
    <row r="150" spans="1:15">
      <c r="A150" s="5">
        <v>24.8</v>
      </c>
      <c r="B150" s="5">
        <v>904.8</v>
      </c>
      <c r="C150" s="6"/>
      <c r="D150" s="7">
        <v>0.94799999999999995</v>
      </c>
      <c r="E150" s="6">
        <v>947.4</v>
      </c>
      <c r="G150" s="97">
        <f t="shared" si="14"/>
        <v>29.6</v>
      </c>
      <c r="H150">
        <f t="shared" si="10"/>
        <v>0.87790000000000001</v>
      </c>
      <c r="I150">
        <f t="shared" si="11"/>
        <v>0.878336436995655</v>
      </c>
      <c r="J150">
        <v>29.6</v>
      </c>
      <c r="K150" s="54">
        <f t="shared" si="12"/>
        <v>0.87829999999999997</v>
      </c>
      <c r="L150">
        <f t="shared" si="13"/>
        <v>0.87790000000000001</v>
      </c>
      <c r="M150" s="54">
        <v>0.71789999999999998</v>
      </c>
      <c r="N150">
        <v>0.71779999999999999</v>
      </c>
      <c r="O150">
        <v>29.6</v>
      </c>
    </row>
    <row r="151" spans="1:15">
      <c r="A151" s="5">
        <v>24.9</v>
      </c>
      <c r="B151" s="5">
        <v>90.2</v>
      </c>
      <c r="C151" s="6"/>
      <c r="D151" s="7">
        <v>0.94899999999999995</v>
      </c>
      <c r="E151" s="6">
        <v>948.4</v>
      </c>
      <c r="G151" s="97">
        <f t="shared" si="14"/>
        <v>29.8</v>
      </c>
      <c r="H151">
        <f t="shared" si="10"/>
        <v>0.87680000000000002</v>
      </c>
      <c r="I151">
        <f t="shared" si="11"/>
        <v>0.87724736515808999</v>
      </c>
      <c r="J151">
        <v>29.8</v>
      </c>
      <c r="K151" s="54">
        <f t="shared" si="12"/>
        <v>0.87719999999999998</v>
      </c>
      <c r="L151">
        <f t="shared" si="13"/>
        <v>0.87680000000000002</v>
      </c>
      <c r="M151" s="54">
        <v>0.71860000000000002</v>
      </c>
      <c r="N151">
        <v>0.71850000000000003</v>
      </c>
      <c r="O151">
        <v>29.8000000000001</v>
      </c>
    </row>
    <row r="152" spans="1:15">
      <c r="A152" s="5">
        <v>25</v>
      </c>
      <c r="B152" s="5">
        <v>903.6</v>
      </c>
      <c r="C152" s="6"/>
      <c r="D152" s="7">
        <v>0.95</v>
      </c>
      <c r="E152" s="6">
        <v>949.4</v>
      </c>
      <c r="G152" s="97">
        <f t="shared" si="14"/>
        <v>30</v>
      </c>
      <c r="H152">
        <f t="shared" si="10"/>
        <v>0.87580000000000002</v>
      </c>
      <c r="I152">
        <f t="shared" si="11"/>
        <v>0.87616099071207398</v>
      </c>
      <c r="J152">
        <v>30</v>
      </c>
      <c r="K152" s="54">
        <f t="shared" si="12"/>
        <v>0.87619999999999998</v>
      </c>
      <c r="L152">
        <f t="shared" si="13"/>
        <v>0.87580000000000002</v>
      </c>
      <c r="M152" s="54">
        <v>0.71940000000000004</v>
      </c>
      <c r="N152">
        <v>0.71930000000000005</v>
      </c>
      <c r="O152">
        <v>30.000000000000099</v>
      </c>
    </row>
    <row r="153" spans="1:15">
      <c r="A153" s="5">
        <v>25.1</v>
      </c>
      <c r="B153" s="5">
        <v>903.1</v>
      </c>
      <c r="C153" s="6"/>
      <c r="D153" s="7">
        <v>0.95099999999999996</v>
      </c>
      <c r="E153" s="6">
        <v>950.4</v>
      </c>
      <c r="G153" s="97">
        <f t="shared" si="14"/>
        <v>30.2</v>
      </c>
      <c r="H153">
        <f t="shared" si="10"/>
        <v>0.87470000000000003</v>
      </c>
      <c r="I153">
        <f t="shared" si="11"/>
        <v>0.87507730364873204</v>
      </c>
      <c r="J153">
        <v>30.2</v>
      </c>
      <c r="K153" s="54">
        <f t="shared" si="12"/>
        <v>0.87509999999999999</v>
      </c>
      <c r="L153">
        <f t="shared" si="13"/>
        <v>0.87470000000000003</v>
      </c>
      <c r="M153" s="54">
        <v>0.72009999999999996</v>
      </c>
      <c r="N153">
        <v>0.72</v>
      </c>
      <c r="O153">
        <v>30.2</v>
      </c>
    </row>
    <row r="154" spans="1:15">
      <c r="A154" s="5">
        <v>25.2</v>
      </c>
      <c r="B154" s="5">
        <v>902.5</v>
      </c>
      <c r="C154" s="6"/>
      <c r="D154" s="7">
        <v>0.95199999999999996</v>
      </c>
      <c r="E154" s="6">
        <v>951.4</v>
      </c>
      <c r="G154" s="97">
        <f t="shared" si="14"/>
        <v>30.4</v>
      </c>
      <c r="H154">
        <f t="shared" si="10"/>
        <v>0.87360000000000004</v>
      </c>
      <c r="I154">
        <f t="shared" si="11"/>
        <v>0.87399629400864698</v>
      </c>
      <c r="J154">
        <v>30.4</v>
      </c>
      <c r="K154" s="54">
        <f t="shared" si="12"/>
        <v>0.874</v>
      </c>
      <c r="L154">
        <f t="shared" si="13"/>
        <v>0.87360000000000004</v>
      </c>
      <c r="M154" s="54">
        <v>0.7208</v>
      </c>
      <c r="N154">
        <v>0.72070000000000001</v>
      </c>
      <c r="O154">
        <v>30.400000000000102</v>
      </c>
    </row>
    <row r="155" spans="1:15">
      <c r="A155" s="5">
        <v>25.3</v>
      </c>
      <c r="B155" s="5">
        <v>901.9</v>
      </c>
      <c r="C155" s="6"/>
      <c r="D155" s="7">
        <v>0.95299999999999996</v>
      </c>
      <c r="E155" s="6">
        <v>952.4</v>
      </c>
      <c r="G155" s="97">
        <f t="shared" si="14"/>
        <v>30.6</v>
      </c>
      <c r="H155">
        <f t="shared" si="10"/>
        <v>0.87250000000000005</v>
      </c>
      <c r="I155">
        <f t="shared" si="11"/>
        <v>0.87291795188155497</v>
      </c>
      <c r="J155">
        <v>30.6</v>
      </c>
      <c r="K155" s="54">
        <f t="shared" si="12"/>
        <v>0.87290000000000001</v>
      </c>
      <c r="L155">
        <f t="shared" si="13"/>
        <v>0.87250000000000005</v>
      </c>
      <c r="M155" s="54">
        <v>0.72160000000000002</v>
      </c>
      <c r="N155">
        <v>0.72150000000000003</v>
      </c>
      <c r="O155">
        <v>30.599999999999898</v>
      </c>
    </row>
    <row r="156" spans="1:15">
      <c r="A156" s="5">
        <v>25.4</v>
      </c>
      <c r="B156" s="5">
        <v>901.3</v>
      </c>
      <c r="C156" s="6"/>
      <c r="D156" s="7">
        <v>0.95399999999999996</v>
      </c>
      <c r="E156" s="6">
        <v>953.4</v>
      </c>
      <c r="G156" s="97">
        <f t="shared" si="14"/>
        <v>30.8</v>
      </c>
      <c r="H156">
        <f t="shared" si="10"/>
        <v>0.87139999999999995</v>
      </c>
      <c r="I156">
        <f t="shared" si="11"/>
        <v>0.87184226740603799</v>
      </c>
      <c r="J156">
        <v>30.8</v>
      </c>
      <c r="K156" s="54">
        <f t="shared" si="12"/>
        <v>0.87180000000000002</v>
      </c>
      <c r="L156">
        <f t="shared" si="13"/>
        <v>0.87139999999999995</v>
      </c>
      <c r="M156" s="54">
        <v>0.72230000000000005</v>
      </c>
      <c r="N156">
        <v>0.72219999999999995</v>
      </c>
      <c r="O156">
        <v>30.8</v>
      </c>
    </row>
    <row r="157" spans="1:15">
      <c r="A157" s="5">
        <v>25.5</v>
      </c>
      <c r="B157" s="5">
        <v>900.8</v>
      </c>
      <c r="C157" s="6"/>
      <c r="D157" s="7">
        <v>0.95499999999999996</v>
      </c>
      <c r="E157" s="6">
        <v>954.4</v>
      </c>
      <c r="G157" s="97">
        <f t="shared" si="14"/>
        <v>31</v>
      </c>
      <c r="H157">
        <f t="shared" si="10"/>
        <v>0.87039999999999995</v>
      </c>
      <c r="I157">
        <f t="shared" si="11"/>
        <v>0.87076923076923096</v>
      </c>
      <c r="J157">
        <v>31</v>
      </c>
      <c r="K157" s="54">
        <f t="shared" si="12"/>
        <v>0.87080000000000002</v>
      </c>
      <c r="L157">
        <f t="shared" si="13"/>
        <v>0.87039999999999995</v>
      </c>
      <c r="M157" s="54">
        <v>0.72299999999999998</v>
      </c>
      <c r="N157">
        <v>0.72289999999999999</v>
      </c>
      <c r="O157">
        <v>31</v>
      </c>
    </row>
    <row r="158" spans="1:15">
      <c r="A158" s="5">
        <v>25.6</v>
      </c>
      <c r="B158" s="5">
        <v>900.2</v>
      </c>
      <c r="C158" s="6"/>
      <c r="D158" s="7">
        <v>0.95599999999999996</v>
      </c>
      <c r="E158" s="6">
        <v>955.4</v>
      </c>
      <c r="G158" s="97">
        <f t="shared" si="14"/>
        <v>31.2</v>
      </c>
      <c r="H158">
        <f t="shared" si="10"/>
        <v>0.86929999999999996</v>
      </c>
      <c r="I158">
        <f t="shared" si="11"/>
        <v>0.869698832206515</v>
      </c>
      <c r="J158">
        <v>31.2</v>
      </c>
      <c r="K158" s="54">
        <f t="shared" si="12"/>
        <v>0.86970000000000003</v>
      </c>
      <c r="L158">
        <f t="shared" si="13"/>
        <v>0.86929999999999996</v>
      </c>
      <c r="M158" s="54">
        <v>0.7238</v>
      </c>
      <c r="N158">
        <v>0.72370000000000001</v>
      </c>
      <c r="O158">
        <v>31.2</v>
      </c>
    </row>
    <row r="159" spans="1:15">
      <c r="A159" s="5">
        <v>25.7</v>
      </c>
      <c r="B159" s="5">
        <v>899.6</v>
      </c>
      <c r="C159" s="6"/>
      <c r="D159" s="7">
        <v>0.95699999999999996</v>
      </c>
      <c r="E159" s="6">
        <v>956.4</v>
      </c>
      <c r="G159" s="97">
        <f t="shared" si="14"/>
        <v>31.4</v>
      </c>
      <c r="H159">
        <f t="shared" si="10"/>
        <v>0.86819999999999997</v>
      </c>
      <c r="I159">
        <f t="shared" si="11"/>
        <v>0.86863106200122797</v>
      </c>
      <c r="J159">
        <v>31.4</v>
      </c>
      <c r="K159" s="54">
        <f t="shared" si="12"/>
        <v>0.86860000000000004</v>
      </c>
      <c r="L159">
        <f t="shared" si="13"/>
        <v>0.86819999999999997</v>
      </c>
      <c r="M159" s="54">
        <v>0.72450000000000003</v>
      </c>
      <c r="N159">
        <v>0.72440000000000004</v>
      </c>
      <c r="O159">
        <v>31.399999999999899</v>
      </c>
    </row>
    <row r="160" spans="1:15">
      <c r="A160" s="5">
        <v>25.8</v>
      </c>
      <c r="B160" s="5">
        <v>899.1</v>
      </c>
      <c r="C160" s="6"/>
      <c r="D160" s="7">
        <v>0.95799999999999996</v>
      </c>
      <c r="E160" s="6">
        <v>957.4</v>
      </c>
      <c r="G160" s="97">
        <f t="shared" si="14"/>
        <v>31.6</v>
      </c>
      <c r="H160">
        <f t="shared" si="10"/>
        <v>0.86719999999999997</v>
      </c>
      <c r="I160">
        <f t="shared" si="11"/>
        <v>0.86756591048436504</v>
      </c>
      <c r="J160">
        <v>31.6</v>
      </c>
      <c r="K160" s="54">
        <f t="shared" si="12"/>
        <v>0.86760000000000004</v>
      </c>
      <c r="L160">
        <f t="shared" si="13"/>
        <v>0.86719999999999997</v>
      </c>
      <c r="M160" s="54">
        <v>0.72529999999999994</v>
      </c>
      <c r="N160">
        <v>0.72519999999999996</v>
      </c>
      <c r="O160">
        <v>31.600000000000101</v>
      </c>
    </row>
    <row r="161" spans="1:15">
      <c r="A161" s="5">
        <v>25.9</v>
      </c>
      <c r="B161" s="5">
        <v>898.5</v>
      </c>
      <c r="C161" s="6"/>
      <c r="D161" s="7">
        <v>0.95899999999999996</v>
      </c>
      <c r="E161" s="6">
        <v>958.4</v>
      </c>
      <c r="G161" s="97">
        <f t="shared" si="14"/>
        <v>31.8</v>
      </c>
      <c r="H161">
        <f t="shared" si="10"/>
        <v>0.86609999999999998</v>
      </c>
      <c r="I161">
        <f t="shared" si="11"/>
        <v>0.86650336803429295</v>
      </c>
      <c r="J161">
        <v>31.8</v>
      </c>
      <c r="K161" s="54">
        <f t="shared" si="12"/>
        <v>0.86650000000000005</v>
      </c>
      <c r="L161">
        <f t="shared" si="13"/>
        <v>0.86609999999999998</v>
      </c>
      <c r="M161" s="54">
        <v>0.72599999999999998</v>
      </c>
      <c r="N161">
        <v>0.72589999999999999</v>
      </c>
      <c r="O161">
        <v>31.8</v>
      </c>
    </row>
    <row r="162" spans="1:15">
      <c r="A162" s="5">
        <v>26</v>
      </c>
      <c r="B162" s="5">
        <v>897.9</v>
      </c>
      <c r="C162" s="6"/>
      <c r="D162" s="7">
        <v>0.96</v>
      </c>
      <c r="E162" s="6">
        <v>959.4</v>
      </c>
      <c r="G162" s="97">
        <f t="shared" si="14"/>
        <v>32</v>
      </c>
      <c r="H162">
        <f t="shared" si="10"/>
        <v>0.86499999999999999</v>
      </c>
      <c r="I162">
        <f t="shared" si="11"/>
        <v>0.865443425076453</v>
      </c>
      <c r="J162">
        <v>32</v>
      </c>
      <c r="K162" s="54">
        <f t="shared" si="12"/>
        <v>0.86539999999999995</v>
      </c>
      <c r="L162">
        <f t="shared" si="13"/>
        <v>0.86499999999999999</v>
      </c>
      <c r="M162" s="54">
        <v>0.7268</v>
      </c>
      <c r="N162">
        <v>0.72670000000000001</v>
      </c>
      <c r="O162">
        <v>31.999999999999901</v>
      </c>
    </row>
    <row r="163" spans="1:15">
      <c r="A163" s="5">
        <v>26.1</v>
      </c>
      <c r="B163" s="5">
        <v>897.3</v>
      </c>
      <c r="C163" s="6"/>
      <c r="D163" s="7">
        <v>0.96099999999999997</v>
      </c>
      <c r="E163" s="6">
        <v>960.4</v>
      </c>
      <c r="G163" s="97">
        <f t="shared" si="14"/>
        <v>32.200000000000003</v>
      </c>
      <c r="H163">
        <f t="shared" si="10"/>
        <v>0.86399999999999999</v>
      </c>
      <c r="I163">
        <f t="shared" si="11"/>
        <v>0.86438607208307905</v>
      </c>
      <c r="J163">
        <v>32.200000000000003</v>
      </c>
      <c r="K163" s="54">
        <f t="shared" si="12"/>
        <v>0.86439999999999995</v>
      </c>
      <c r="L163">
        <f t="shared" si="13"/>
        <v>0.86399999999999999</v>
      </c>
      <c r="M163" s="54">
        <v>0.72750000000000004</v>
      </c>
      <c r="N163">
        <v>0.72740000000000005</v>
      </c>
      <c r="O163">
        <v>32.200000000000003</v>
      </c>
    </row>
    <row r="164" spans="1:15">
      <c r="A164" s="5">
        <v>26.2</v>
      </c>
      <c r="B164" s="5">
        <v>896.8</v>
      </c>
      <c r="C164" s="6"/>
      <c r="D164" s="7">
        <v>0.96199999999999997</v>
      </c>
      <c r="E164" s="6">
        <v>961.4</v>
      </c>
      <c r="G164" s="97">
        <f t="shared" si="14"/>
        <v>32.4</v>
      </c>
      <c r="H164">
        <f t="shared" si="10"/>
        <v>0.8629</v>
      </c>
      <c r="I164">
        <f t="shared" si="11"/>
        <v>0.86333129957290999</v>
      </c>
      <c r="J164">
        <v>32.4</v>
      </c>
      <c r="K164" s="54">
        <f t="shared" si="12"/>
        <v>0.86329999999999996</v>
      </c>
      <c r="L164">
        <f t="shared" si="13"/>
        <v>0.8629</v>
      </c>
      <c r="M164" s="54">
        <v>0.72829999999999995</v>
      </c>
      <c r="N164">
        <v>0.72819999999999996</v>
      </c>
      <c r="O164">
        <v>32.400000000000098</v>
      </c>
    </row>
    <row r="165" spans="1:15">
      <c r="A165" s="5">
        <v>26.3</v>
      </c>
      <c r="B165" s="5">
        <v>896.2</v>
      </c>
      <c r="C165" s="6"/>
      <c r="D165" s="7">
        <v>0.96299999999999997</v>
      </c>
      <c r="E165" s="6">
        <v>962.4</v>
      </c>
      <c r="G165" s="97">
        <f t="shared" si="14"/>
        <v>32.6</v>
      </c>
      <c r="H165">
        <f t="shared" si="10"/>
        <v>0.8619</v>
      </c>
      <c r="I165">
        <f t="shared" si="11"/>
        <v>0.86227909811090797</v>
      </c>
      <c r="J165">
        <v>32.6</v>
      </c>
      <c r="K165" s="54">
        <f t="shared" si="12"/>
        <v>0.86229999999999996</v>
      </c>
      <c r="L165">
        <f t="shared" si="13"/>
        <v>0.8619</v>
      </c>
      <c r="M165" s="54">
        <v>0.72899999999999998</v>
      </c>
      <c r="N165">
        <v>0.72889999999999999</v>
      </c>
      <c r="O165">
        <v>32.6</v>
      </c>
    </row>
    <row r="166" spans="1:15">
      <c r="A166" s="5">
        <v>26.4</v>
      </c>
      <c r="B166" s="5">
        <v>895.6</v>
      </c>
      <c r="C166" s="6"/>
      <c r="D166" s="7">
        <v>0.96399999999999997</v>
      </c>
      <c r="E166" s="6">
        <v>963.4</v>
      </c>
      <c r="G166" s="97">
        <f t="shared" si="14"/>
        <v>32.799999999999997</v>
      </c>
      <c r="H166">
        <f t="shared" si="10"/>
        <v>0.86080000000000001</v>
      </c>
      <c r="I166">
        <f t="shared" si="11"/>
        <v>0.86122945830797304</v>
      </c>
      <c r="J166">
        <v>32.799999999999997</v>
      </c>
      <c r="K166" s="54">
        <f t="shared" si="12"/>
        <v>0.86119999999999997</v>
      </c>
      <c r="L166">
        <f t="shared" si="13"/>
        <v>0.86080000000000001</v>
      </c>
      <c r="M166" s="54">
        <v>0.7298</v>
      </c>
      <c r="N166">
        <v>0.72970000000000002</v>
      </c>
      <c r="O166">
        <v>32.799999999999997</v>
      </c>
    </row>
    <row r="167" spans="1:15">
      <c r="A167" s="5">
        <v>26.5</v>
      </c>
      <c r="B167" s="5">
        <v>895.1</v>
      </c>
      <c r="C167" s="6"/>
      <c r="D167" s="7">
        <v>0.96499999999999997</v>
      </c>
      <c r="E167" s="6">
        <v>964.4</v>
      </c>
      <c r="G167" s="97">
        <f t="shared" si="14"/>
        <v>33</v>
      </c>
      <c r="H167">
        <f t="shared" si="10"/>
        <v>0.85980000000000001</v>
      </c>
      <c r="I167">
        <f t="shared" si="11"/>
        <v>0.86018237082066895</v>
      </c>
      <c r="J167">
        <v>33</v>
      </c>
      <c r="K167" s="54">
        <f t="shared" si="12"/>
        <v>0.86019999999999996</v>
      </c>
      <c r="L167">
        <f t="shared" si="13"/>
        <v>0.85980000000000001</v>
      </c>
      <c r="M167" s="54">
        <v>0.73050000000000004</v>
      </c>
      <c r="N167">
        <v>0.73040000000000005</v>
      </c>
      <c r="O167">
        <v>32.999999999999901</v>
      </c>
    </row>
    <row r="168" spans="1:15">
      <c r="A168" s="5">
        <v>26.6</v>
      </c>
      <c r="B168" s="5">
        <v>894.5</v>
      </c>
      <c r="C168" s="6"/>
      <c r="D168" s="7">
        <v>0.96599999999999997</v>
      </c>
      <c r="E168" s="6">
        <v>965.4</v>
      </c>
      <c r="G168" s="97">
        <f t="shared" si="14"/>
        <v>33.200000000000003</v>
      </c>
      <c r="H168">
        <f t="shared" si="10"/>
        <v>0.85880000000000001</v>
      </c>
      <c r="I168">
        <f t="shared" si="11"/>
        <v>0.85913782635094105</v>
      </c>
      <c r="J168">
        <v>33.200000000000003</v>
      </c>
      <c r="K168" s="54">
        <f t="shared" si="12"/>
        <v>0.85909999999999997</v>
      </c>
      <c r="L168">
        <f t="shared" si="13"/>
        <v>0.85880000000000001</v>
      </c>
      <c r="M168" s="54">
        <v>0.73129999999999995</v>
      </c>
      <c r="N168">
        <v>0.73119999999999996</v>
      </c>
      <c r="O168">
        <v>33.200000000000003</v>
      </c>
    </row>
    <row r="169" spans="1:15">
      <c r="A169" s="5">
        <v>26.7</v>
      </c>
      <c r="B169" s="5">
        <v>893.9</v>
      </c>
      <c r="C169" s="6"/>
      <c r="D169" s="7">
        <v>0.96699999999999997</v>
      </c>
      <c r="E169" s="6">
        <v>966.4</v>
      </c>
      <c r="G169" s="97">
        <f t="shared" si="14"/>
        <v>33.4</v>
      </c>
      <c r="H169">
        <f t="shared" si="10"/>
        <v>0.85780000000000001</v>
      </c>
      <c r="I169">
        <f t="shared" si="11"/>
        <v>0.85809581564584603</v>
      </c>
      <c r="J169">
        <v>33.4</v>
      </c>
      <c r="K169" s="54">
        <f t="shared" si="12"/>
        <v>0.85809999999999997</v>
      </c>
      <c r="L169">
        <f t="shared" si="13"/>
        <v>0.85780000000000001</v>
      </c>
      <c r="M169" s="54">
        <v>0.73199999999999998</v>
      </c>
      <c r="N169">
        <v>0.7319</v>
      </c>
      <c r="O169">
        <v>33.4</v>
      </c>
    </row>
    <row r="170" spans="1:15">
      <c r="A170" s="5">
        <v>26.8</v>
      </c>
      <c r="B170" s="5">
        <v>893.4</v>
      </c>
      <c r="C170" s="6"/>
      <c r="D170" s="7">
        <v>0.96799999999999997</v>
      </c>
      <c r="E170" s="6">
        <v>967.4</v>
      </c>
      <c r="G170" s="97">
        <f t="shared" si="14"/>
        <v>33.6</v>
      </c>
      <c r="H170">
        <f t="shared" si="10"/>
        <v>0.85680000000000001</v>
      </c>
      <c r="I170">
        <f t="shared" si="11"/>
        <v>0.85705632949727395</v>
      </c>
      <c r="J170">
        <v>33.6</v>
      </c>
      <c r="K170" s="54">
        <f t="shared" si="12"/>
        <v>0.85709999999999997</v>
      </c>
      <c r="L170">
        <f t="shared" si="13"/>
        <v>0.85680000000000001</v>
      </c>
      <c r="M170" s="54">
        <v>0.73280000000000001</v>
      </c>
      <c r="N170">
        <v>0.73270000000000002</v>
      </c>
      <c r="O170">
        <v>33.600000000000101</v>
      </c>
    </row>
    <row r="171" spans="1:15">
      <c r="A171" s="5">
        <v>26.9</v>
      </c>
      <c r="B171" s="5">
        <v>892.8</v>
      </c>
      <c r="C171" s="6"/>
      <c r="D171" s="7">
        <v>0.96899999999999997</v>
      </c>
      <c r="E171" s="6">
        <v>968.4</v>
      </c>
      <c r="G171" s="97">
        <f t="shared" si="14"/>
        <v>33.799999999999997</v>
      </c>
      <c r="H171">
        <f t="shared" si="10"/>
        <v>0.85570000000000002</v>
      </c>
      <c r="I171">
        <f t="shared" si="11"/>
        <v>0.856019358741682</v>
      </c>
      <c r="J171">
        <v>33.799999999999997</v>
      </c>
      <c r="K171" s="54">
        <f t="shared" si="12"/>
        <v>0.85599999999999998</v>
      </c>
      <c r="L171">
        <f t="shared" si="13"/>
        <v>0.85570000000000002</v>
      </c>
      <c r="M171" s="54">
        <v>0.73350000000000004</v>
      </c>
      <c r="N171">
        <v>0.73340000000000005</v>
      </c>
      <c r="O171">
        <v>33.799999999999997</v>
      </c>
    </row>
    <row r="172" spans="1:15">
      <c r="A172" s="5">
        <v>27</v>
      </c>
      <c r="B172" s="5">
        <v>892.2</v>
      </c>
      <c r="C172" s="6"/>
      <c r="D172" s="7">
        <v>0.97</v>
      </c>
      <c r="E172" s="6">
        <v>969.4</v>
      </c>
      <c r="G172" s="97">
        <f t="shared" si="14"/>
        <v>34</v>
      </c>
      <c r="H172">
        <f t="shared" si="10"/>
        <v>0.85470000000000002</v>
      </c>
      <c r="I172">
        <f t="shared" si="11"/>
        <v>0.85498489425981905</v>
      </c>
      <c r="J172">
        <v>34</v>
      </c>
      <c r="K172" s="54">
        <f t="shared" si="12"/>
        <v>0.85499999999999998</v>
      </c>
      <c r="L172">
        <f t="shared" si="13"/>
        <v>0.85470000000000002</v>
      </c>
      <c r="M172" s="54">
        <v>0.73429999999999995</v>
      </c>
      <c r="N172">
        <v>0.73419999999999996</v>
      </c>
      <c r="O172">
        <v>33.999999999999901</v>
      </c>
    </row>
    <row r="173" spans="1:15">
      <c r="A173" s="5">
        <v>27.1</v>
      </c>
      <c r="B173" s="5">
        <v>891.7</v>
      </c>
      <c r="C173" s="6"/>
      <c r="D173" s="7">
        <v>0.97099999999999997</v>
      </c>
      <c r="E173" s="6">
        <v>970.4</v>
      </c>
      <c r="G173" s="97">
        <f t="shared" si="14"/>
        <v>34.200000000000003</v>
      </c>
      <c r="H173">
        <f t="shared" si="10"/>
        <v>0.85370000000000001</v>
      </c>
      <c r="I173">
        <f t="shared" si="11"/>
        <v>0.85395292697646397</v>
      </c>
      <c r="J173">
        <v>34.200000000000003</v>
      </c>
      <c r="K173" s="54">
        <f t="shared" si="12"/>
        <v>0.85399999999999998</v>
      </c>
      <c r="L173">
        <f t="shared" si="13"/>
        <v>0.85370000000000001</v>
      </c>
      <c r="M173" s="54">
        <v>0.73509999999999998</v>
      </c>
      <c r="N173">
        <v>0.73499999999999999</v>
      </c>
      <c r="O173">
        <v>34.199999999999903</v>
      </c>
    </row>
    <row r="174" spans="1:15">
      <c r="A174" s="5">
        <v>27.2</v>
      </c>
      <c r="B174" s="5">
        <v>891.1</v>
      </c>
      <c r="C174" s="6"/>
      <c r="D174" s="7">
        <v>0.97199999999999998</v>
      </c>
      <c r="E174" s="6">
        <v>971.4</v>
      </c>
      <c r="G174" s="97">
        <f t="shared" si="14"/>
        <v>34.4</v>
      </c>
      <c r="H174">
        <f t="shared" si="10"/>
        <v>0.85260000000000002</v>
      </c>
      <c r="I174">
        <f t="shared" si="11"/>
        <v>0.85292344786015695</v>
      </c>
      <c r="J174">
        <v>34.4</v>
      </c>
      <c r="K174" s="54">
        <f t="shared" si="12"/>
        <v>0.85289999999999999</v>
      </c>
      <c r="L174">
        <f t="shared" si="13"/>
        <v>0.85260000000000002</v>
      </c>
      <c r="M174" s="54">
        <v>0.73580000000000001</v>
      </c>
      <c r="N174">
        <v>0.73570000000000002</v>
      </c>
      <c r="O174">
        <v>34.399999999999899</v>
      </c>
    </row>
    <row r="175" spans="1:15">
      <c r="A175" s="5">
        <v>27.3</v>
      </c>
      <c r="B175" s="5">
        <v>890.6</v>
      </c>
      <c r="C175" s="6"/>
      <c r="D175" s="7">
        <v>0.97299999999999998</v>
      </c>
      <c r="E175" s="6">
        <v>972.4</v>
      </c>
      <c r="G175" s="97">
        <f t="shared" si="14"/>
        <v>34.6</v>
      </c>
      <c r="H175">
        <f t="shared" si="10"/>
        <v>0.85160000000000002</v>
      </c>
      <c r="I175">
        <f t="shared" si="11"/>
        <v>0.85189644792293795</v>
      </c>
      <c r="J175">
        <v>34.6</v>
      </c>
      <c r="K175" s="54">
        <f t="shared" si="12"/>
        <v>0.85189999999999999</v>
      </c>
      <c r="L175">
        <f t="shared" si="13"/>
        <v>0.85160000000000002</v>
      </c>
      <c r="M175" s="54">
        <v>0.73660000000000003</v>
      </c>
      <c r="N175">
        <v>0.73650000000000004</v>
      </c>
      <c r="O175">
        <v>34.6</v>
      </c>
    </row>
    <row r="176" spans="1:15">
      <c r="A176" s="5">
        <v>27.4</v>
      </c>
      <c r="B176" s="5">
        <v>890</v>
      </c>
      <c r="C176" s="6"/>
      <c r="D176" s="7">
        <v>0.97399999999999998</v>
      </c>
      <c r="E176" s="6">
        <v>973.4</v>
      </c>
      <c r="G176" s="97">
        <f t="shared" si="14"/>
        <v>34.799999999999997</v>
      </c>
      <c r="H176">
        <f t="shared" si="10"/>
        <v>0.85060000000000002</v>
      </c>
      <c r="I176">
        <f t="shared" si="11"/>
        <v>0.85087191822008401</v>
      </c>
      <c r="J176">
        <v>34.799999999999997</v>
      </c>
      <c r="K176" s="54">
        <f t="shared" si="12"/>
        <v>0.85089999999999999</v>
      </c>
      <c r="L176">
        <f t="shared" si="13"/>
        <v>0.85060000000000002</v>
      </c>
      <c r="M176" s="54">
        <v>0.73740000000000006</v>
      </c>
      <c r="N176">
        <v>0.73729999999999996</v>
      </c>
      <c r="O176">
        <v>34.799999999999997</v>
      </c>
    </row>
    <row r="177" spans="1:15">
      <c r="A177" s="5">
        <v>27.5</v>
      </c>
      <c r="B177" s="5">
        <v>889.4</v>
      </c>
      <c r="C177" s="6"/>
      <c r="D177" s="7">
        <v>0.97499999999999998</v>
      </c>
      <c r="E177" s="6">
        <v>974.4</v>
      </c>
      <c r="G177" s="97">
        <f t="shared" si="14"/>
        <v>35</v>
      </c>
      <c r="H177">
        <f t="shared" si="10"/>
        <v>0.84950000000000003</v>
      </c>
      <c r="I177">
        <f t="shared" si="11"/>
        <v>0.84984984984985001</v>
      </c>
      <c r="J177">
        <v>35</v>
      </c>
      <c r="K177" s="54">
        <f t="shared" si="12"/>
        <v>0.8498</v>
      </c>
      <c r="L177">
        <f t="shared" si="13"/>
        <v>0.84950000000000003</v>
      </c>
      <c r="M177" s="54">
        <v>0.73809999999999998</v>
      </c>
      <c r="N177">
        <v>0.7379</v>
      </c>
      <c r="O177">
        <v>35</v>
      </c>
    </row>
    <row r="178" spans="1:15">
      <c r="A178" s="5">
        <v>27.6</v>
      </c>
      <c r="B178" s="5">
        <v>888.9</v>
      </c>
      <c r="C178" s="6"/>
      <c r="D178" s="7">
        <v>0.97599999999999998</v>
      </c>
      <c r="E178" s="6">
        <v>975.4</v>
      </c>
      <c r="G178" s="97">
        <f t="shared" si="14"/>
        <v>35.200000000000003</v>
      </c>
      <c r="H178">
        <f t="shared" si="10"/>
        <v>0.84850000000000003</v>
      </c>
      <c r="I178">
        <f t="shared" si="11"/>
        <v>0.848830233953209</v>
      </c>
      <c r="J178">
        <v>35.200000000000003</v>
      </c>
      <c r="K178" s="54">
        <f t="shared" si="12"/>
        <v>0.8488</v>
      </c>
      <c r="L178">
        <f t="shared" si="13"/>
        <v>0.84850000000000003</v>
      </c>
      <c r="M178" s="54">
        <v>0.7389</v>
      </c>
      <c r="N178">
        <v>0.73870000000000002</v>
      </c>
      <c r="O178">
        <v>35.200000000000102</v>
      </c>
    </row>
    <row r="179" spans="1:15">
      <c r="A179" s="5">
        <v>27.7</v>
      </c>
      <c r="B179" s="5">
        <v>888.3</v>
      </c>
      <c r="C179" s="6"/>
      <c r="D179" s="7">
        <v>0.97699999999999998</v>
      </c>
      <c r="E179" s="6">
        <v>976.4</v>
      </c>
      <c r="G179" s="97">
        <f t="shared" si="14"/>
        <v>35.4</v>
      </c>
      <c r="H179">
        <f t="shared" si="10"/>
        <v>0.84750000000000003</v>
      </c>
      <c r="I179">
        <f t="shared" si="11"/>
        <v>0.84781306171360105</v>
      </c>
      <c r="J179">
        <v>35.4</v>
      </c>
      <c r="K179" s="54">
        <f t="shared" si="12"/>
        <v>0.8478</v>
      </c>
      <c r="L179">
        <f t="shared" si="13"/>
        <v>0.84750000000000003</v>
      </c>
      <c r="M179" s="54">
        <v>0.73970000000000002</v>
      </c>
      <c r="N179">
        <v>0.73950000000000005</v>
      </c>
      <c r="O179">
        <v>35.4</v>
      </c>
    </row>
    <row r="180" spans="1:15">
      <c r="A180" s="5">
        <v>27.8</v>
      </c>
      <c r="B180" s="5">
        <v>887.8</v>
      </c>
      <c r="C180" s="6"/>
      <c r="D180" s="7">
        <v>0.97799999999999998</v>
      </c>
      <c r="E180" s="6">
        <v>977.4</v>
      </c>
      <c r="G180" s="97">
        <f t="shared" si="14"/>
        <v>35.6</v>
      </c>
      <c r="H180">
        <f t="shared" si="10"/>
        <v>0.84650000000000003</v>
      </c>
      <c r="I180">
        <f t="shared" si="11"/>
        <v>0.84679832435667302</v>
      </c>
      <c r="J180">
        <v>35.6</v>
      </c>
      <c r="K180" s="54">
        <f t="shared" si="12"/>
        <v>0.8468</v>
      </c>
      <c r="L180">
        <f t="shared" si="13"/>
        <v>0.84650000000000003</v>
      </c>
      <c r="M180" s="54">
        <v>0.74050000000000005</v>
      </c>
      <c r="N180">
        <v>0.74029999999999996</v>
      </c>
      <c r="O180">
        <v>35.599999999999902</v>
      </c>
    </row>
    <row r="181" spans="1:15">
      <c r="A181" s="5">
        <v>27.9</v>
      </c>
      <c r="B181" s="5">
        <v>887.2</v>
      </c>
      <c r="C181" s="6"/>
      <c r="D181" s="7">
        <v>0.97899999999999998</v>
      </c>
      <c r="E181" s="6">
        <v>978.4</v>
      </c>
      <c r="G181" s="97">
        <f t="shared" si="14"/>
        <v>35.799999999999997</v>
      </c>
      <c r="H181">
        <f t="shared" si="10"/>
        <v>0.84550000000000003</v>
      </c>
      <c r="I181">
        <f t="shared" si="11"/>
        <v>0.84578601315002999</v>
      </c>
      <c r="J181">
        <v>35.799999999999997</v>
      </c>
      <c r="K181" s="54">
        <f t="shared" si="12"/>
        <v>0.8458</v>
      </c>
      <c r="L181">
        <f t="shared" si="13"/>
        <v>0.84550000000000003</v>
      </c>
      <c r="M181" s="54">
        <v>0.74119999999999997</v>
      </c>
      <c r="N181">
        <v>0.74099999999999999</v>
      </c>
      <c r="O181">
        <v>35.799999999999997</v>
      </c>
    </row>
    <row r="182" spans="1:15">
      <c r="A182" s="5">
        <v>28</v>
      </c>
      <c r="B182" s="5">
        <v>886.7</v>
      </c>
      <c r="C182" s="6"/>
      <c r="D182" s="7">
        <v>0.98</v>
      </c>
      <c r="E182" s="6">
        <v>979.4</v>
      </c>
      <c r="G182" s="97">
        <f t="shared" si="14"/>
        <v>36</v>
      </c>
      <c r="H182">
        <f t="shared" si="10"/>
        <v>0.84450000000000003</v>
      </c>
      <c r="I182">
        <f t="shared" si="11"/>
        <v>0.84477611940298503</v>
      </c>
      <c r="J182">
        <v>36</v>
      </c>
      <c r="K182" s="54">
        <f t="shared" si="12"/>
        <v>0.8448</v>
      </c>
      <c r="L182">
        <f t="shared" si="13"/>
        <v>0.84450000000000003</v>
      </c>
      <c r="M182" s="54">
        <v>0.74199999999999999</v>
      </c>
      <c r="N182">
        <v>0.74180000000000001</v>
      </c>
      <c r="O182">
        <v>36</v>
      </c>
    </row>
    <row r="183" spans="1:15">
      <c r="A183" s="5">
        <v>28.1</v>
      </c>
      <c r="B183" s="5">
        <v>886.1</v>
      </c>
      <c r="C183" s="6"/>
      <c r="D183" s="7">
        <v>0.98099999999999998</v>
      </c>
      <c r="E183" s="6">
        <v>980.4</v>
      </c>
      <c r="G183" s="97">
        <f t="shared" si="14"/>
        <v>36.200000000000003</v>
      </c>
      <c r="H183">
        <f t="shared" si="10"/>
        <v>0.84350000000000003</v>
      </c>
      <c r="I183">
        <f t="shared" si="11"/>
        <v>0.84376863446630901</v>
      </c>
      <c r="J183">
        <v>36.200000000000003</v>
      </c>
      <c r="K183" s="54">
        <f t="shared" si="12"/>
        <v>0.84379999999999999</v>
      </c>
      <c r="L183">
        <f t="shared" si="13"/>
        <v>0.84350000000000003</v>
      </c>
      <c r="M183" s="54">
        <v>0.74280000000000002</v>
      </c>
      <c r="N183">
        <v>0.74260000000000004</v>
      </c>
      <c r="O183">
        <v>36.200000000000003</v>
      </c>
    </row>
    <row r="184" spans="1:15">
      <c r="A184" s="5">
        <v>28.2</v>
      </c>
      <c r="B184" s="5">
        <v>885.5</v>
      </c>
      <c r="C184" s="6"/>
      <c r="D184" s="7">
        <v>0.98199999999999998</v>
      </c>
      <c r="E184" s="6">
        <v>981.4</v>
      </c>
      <c r="G184" s="97">
        <f t="shared" si="14"/>
        <v>36.4</v>
      </c>
      <c r="H184">
        <f t="shared" si="10"/>
        <v>0.84250000000000003</v>
      </c>
      <c r="I184">
        <f t="shared" si="11"/>
        <v>0.84276354973198297</v>
      </c>
      <c r="J184">
        <v>36.4</v>
      </c>
      <c r="K184" s="54">
        <f t="shared" si="12"/>
        <v>0.84279999999999999</v>
      </c>
      <c r="L184">
        <f t="shared" si="13"/>
        <v>0.84250000000000003</v>
      </c>
      <c r="M184" s="54">
        <v>0.74360000000000004</v>
      </c>
      <c r="N184">
        <v>0.74339999999999995</v>
      </c>
      <c r="O184">
        <v>36.400000000000098</v>
      </c>
    </row>
    <row r="185" spans="1:15">
      <c r="A185" s="5">
        <v>28.3</v>
      </c>
      <c r="B185" s="5">
        <v>885</v>
      </c>
      <c r="C185" s="6"/>
      <c r="D185" s="7">
        <v>0.98299999999999998</v>
      </c>
      <c r="E185" s="6">
        <v>982.4</v>
      </c>
      <c r="G185" s="97">
        <f t="shared" si="14"/>
        <v>36.6</v>
      </c>
      <c r="H185">
        <f t="shared" si="10"/>
        <v>0.84150000000000003</v>
      </c>
      <c r="I185">
        <f t="shared" si="11"/>
        <v>0.84176085663295697</v>
      </c>
      <c r="J185">
        <v>36.6</v>
      </c>
      <c r="K185" s="54">
        <f t="shared" si="12"/>
        <v>0.84179999999999999</v>
      </c>
      <c r="L185">
        <f t="shared" si="13"/>
        <v>0.84150000000000003</v>
      </c>
      <c r="M185" s="54">
        <v>0.74429999999999996</v>
      </c>
      <c r="N185">
        <v>0.74409999999999998</v>
      </c>
      <c r="O185">
        <v>36.599999999999902</v>
      </c>
    </row>
    <row r="186" spans="1:15">
      <c r="A186" s="5">
        <v>28.4</v>
      </c>
      <c r="B186" s="5">
        <v>884.4</v>
      </c>
      <c r="C186" s="6"/>
      <c r="D186" s="7">
        <v>0.98399999999999999</v>
      </c>
      <c r="E186" s="6">
        <v>983.4</v>
      </c>
      <c r="G186" s="97">
        <f t="shared" si="14"/>
        <v>36.799999999999997</v>
      </c>
      <c r="H186">
        <f t="shared" si="10"/>
        <v>0.84050000000000002</v>
      </c>
      <c r="I186">
        <f t="shared" si="11"/>
        <v>0.84076054664290001</v>
      </c>
      <c r="J186">
        <v>36.799999999999997</v>
      </c>
      <c r="K186" s="54">
        <f t="shared" si="12"/>
        <v>0.84079999999999999</v>
      </c>
      <c r="L186">
        <f t="shared" si="13"/>
        <v>0.84050000000000002</v>
      </c>
      <c r="M186" s="54">
        <v>0.74509999999999998</v>
      </c>
      <c r="N186">
        <v>0.74490000000000001</v>
      </c>
      <c r="O186">
        <v>36.799999999999898</v>
      </c>
    </row>
    <row r="187" spans="1:15">
      <c r="A187" s="5">
        <v>28.5</v>
      </c>
      <c r="B187" s="5">
        <v>883.9</v>
      </c>
      <c r="C187" s="6"/>
      <c r="D187" s="7">
        <v>0.98499999999999999</v>
      </c>
      <c r="E187" s="6">
        <v>984.4</v>
      </c>
      <c r="G187" s="97">
        <f t="shared" si="14"/>
        <v>37</v>
      </c>
      <c r="H187">
        <f t="shared" si="10"/>
        <v>0.83950000000000002</v>
      </c>
      <c r="I187">
        <f t="shared" si="11"/>
        <v>0.83976261127596397</v>
      </c>
      <c r="J187">
        <v>37</v>
      </c>
      <c r="K187" s="54">
        <f t="shared" si="12"/>
        <v>0.83979999999999999</v>
      </c>
      <c r="L187">
        <f t="shared" si="13"/>
        <v>0.83950000000000002</v>
      </c>
      <c r="M187" s="54">
        <v>0.74590000000000001</v>
      </c>
      <c r="N187">
        <v>0.74570000000000003</v>
      </c>
      <c r="O187">
        <v>37.000000000000099</v>
      </c>
    </row>
    <row r="188" spans="1:15">
      <c r="A188" s="5">
        <v>28.6</v>
      </c>
      <c r="B188" s="5">
        <v>883.3</v>
      </c>
      <c r="C188" s="6"/>
      <c r="D188" s="7">
        <v>0.98599999999999999</v>
      </c>
      <c r="E188" s="6">
        <v>985.4</v>
      </c>
      <c r="G188" s="97">
        <f t="shared" si="14"/>
        <v>37.200000000000003</v>
      </c>
      <c r="H188">
        <f t="shared" si="10"/>
        <v>0.83850000000000002</v>
      </c>
      <c r="I188">
        <f t="shared" si="11"/>
        <v>0.83876704208654396</v>
      </c>
      <c r="J188">
        <v>37.200000000000003</v>
      </c>
      <c r="K188" s="54">
        <f t="shared" si="12"/>
        <v>0.83879999999999999</v>
      </c>
      <c r="L188">
        <f t="shared" si="13"/>
        <v>0.83850000000000002</v>
      </c>
      <c r="M188" s="54">
        <v>0.74670000000000003</v>
      </c>
      <c r="N188">
        <v>0.74650000000000005</v>
      </c>
      <c r="O188">
        <v>37.200000000000003</v>
      </c>
    </row>
    <row r="189" spans="1:15">
      <c r="A189" s="5">
        <v>28.7</v>
      </c>
      <c r="B189" s="5">
        <v>882.8</v>
      </c>
      <c r="C189" s="6"/>
      <c r="D189" s="7">
        <v>0.98699999999999999</v>
      </c>
      <c r="E189" s="6">
        <v>986.4</v>
      </c>
      <c r="G189" s="97">
        <f t="shared" si="14"/>
        <v>37.4</v>
      </c>
      <c r="H189">
        <f t="shared" si="10"/>
        <v>0.83750000000000002</v>
      </c>
      <c r="I189">
        <f t="shared" si="11"/>
        <v>0.83777383066903499</v>
      </c>
      <c r="J189">
        <v>37.4</v>
      </c>
      <c r="K189" s="54">
        <f t="shared" si="12"/>
        <v>0.83779999999999999</v>
      </c>
      <c r="L189">
        <f t="shared" si="13"/>
        <v>0.83750000000000002</v>
      </c>
      <c r="M189" s="54">
        <v>0.74750000000000005</v>
      </c>
      <c r="N189">
        <v>0.74729999999999996</v>
      </c>
      <c r="O189">
        <v>37.4</v>
      </c>
    </row>
    <row r="190" spans="1:15">
      <c r="A190" s="5">
        <v>28.8</v>
      </c>
      <c r="B190" s="5">
        <v>882.2</v>
      </c>
      <c r="C190" s="6"/>
      <c r="D190" s="7">
        <v>0.98799999999999999</v>
      </c>
      <c r="E190" s="6">
        <v>987.4</v>
      </c>
      <c r="G190" s="97">
        <f t="shared" si="14"/>
        <v>37.6</v>
      </c>
      <c r="H190">
        <f t="shared" si="10"/>
        <v>0.83650000000000002</v>
      </c>
      <c r="I190">
        <f t="shared" si="11"/>
        <v>0.83678296865759905</v>
      </c>
      <c r="J190">
        <v>37.6</v>
      </c>
      <c r="K190" s="54">
        <f t="shared" si="12"/>
        <v>0.83679999999999999</v>
      </c>
      <c r="L190">
        <f t="shared" si="13"/>
        <v>0.83650000000000002</v>
      </c>
      <c r="M190" s="54">
        <v>0.74829999999999997</v>
      </c>
      <c r="N190">
        <v>0.74809999999999999</v>
      </c>
      <c r="O190">
        <v>37.6</v>
      </c>
    </row>
    <row r="191" spans="1:15">
      <c r="A191" s="5">
        <v>28.9</v>
      </c>
      <c r="B191" s="5">
        <v>881.7</v>
      </c>
      <c r="C191" s="6"/>
      <c r="D191" s="7">
        <v>0.98899999999999999</v>
      </c>
      <c r="E191" s="6">
        <v>988.4</v>
      </c>
      <c r="G191" s="97">
        <f t="shared" si="14"/>
        <v>37.799999999999997</v>
      </c>
      <c r="H191">
        <f t="shared" si="10"/>
        <v>0.83550000000000002</v>
      </c>
      <c r="I191">
        <f t="shared" si="11"/>
        <v>0.83579444772593003</v>
      </c>
      <c r="J191">
        <v>37.799999999999997</v>
      </c>
      <c r="K191" s="54">
        <f t="shared" si="12"/>
        <v>0.83579999999999999</v>
      </c>
      <c r="L191">
        <f t="shared" si="13"/>
        <v>0.83550000000000002</v>
      </c>
      <c r="M191" s="54">
        <v>0.74909999999999999</v>
      </c>
      <c r="N191">
        <v>0.74890000000000001</v>
      </c>
      <c r="O191">
        <v>37.800000000000097</v>
      </c>
    </row>
    <row r="192" spans="1:15">
      <c r="A192" s="5">
        <v>29</v>
      </c>
      <c r="B192" s="5">
        <v>881.1</v>
      </c>
      <c r="C192" s="6"/>
      <c r="D192" s="7">
        <v>0.99</v>
      </c>
      <c r="E192" s="6">
        <v>989.4</v>
      </c>
      <c r="G192" s="97">
        <f t="shared" si="14"/>
        <v>38</v>
      </c>
      <c r="H192">
        <f t="shared" si="10"/>
        <v>0.83450000000000002</v>
      </c>
      <c r="I192">
        <f t="shared" si="11"/>
        <v>0.83480825958702098</v>
      </c>
      <c r="J192">
        <v>38</v>
      </c>
      <c r="K192" s="54">
        <f t="shared" si="12"/>
        <v>0.83479999999999999</v>
      </c>
      <c r="L192">
        <f t="shared" si="13"/>
        <v>0.83450000000000002</v>
      </c>
      <c r="M192" s="54">
        <v>0.74990000000000001</v>
      </c>
      <c r="N192">
        <v>0.74970000000000003</v>
      </c>
      <c r="O192">
        <v>37.999999999999901</v>
      </c>
    </row>
    <row r="193" spans="1:15">
      <c r="A193" s="5">
        <v>29.1</v>
      </c>
      <c r="B193" s="5">
        <v>880.6</v>
      </c>
      <c r="C193" s="6"/>
      <c r="D193" s="7">
        <v>0.99099999999999999</v>
      </c>
      <c r="E193" s="6">
        <v>990.4</v>
      </c>
      <c r="G193" s="97">
        <f t="shared" si="14"/>
        <v>38.200000000000003</v>
      </c>
      <c r="H193">
        <f t="shared" si="10"/>
        <v>0.83350000000000002</v>
      </c>
      <c r="I193">
        <f t="shared" si="11"/>
        <v>0.83382439599292901</v>
      </c>
      <c r="J193">
        <v>38.200000000000003</v>
      </c>
      <c r="K193" s="54">
        <f t="shared" si="12"/>
        <v>0.83379999999999999</v>
      </c>
      <c r="L193">
        <f t="shared" si="13"/>
        <v>0.83350000000000002</v>
      </c>
      <c r="M193" s="54">
        <v>0.75070000000000003</v>
      </c>
      <c r="N193">
        <v>0.75049999999999994</v>
      </c>
      <c r="O193">
        <v>38.199999999999903</v>
      </c>
    </row>
    <row r="194" spans="1:15">
      <c r="A194" s="5">
        <v>29.2</v>
      </c>
      <c r="B194" s="5">
        <v>880</v>
      </c>
      <c r="C194" s="6"/>
      <c r="D194" s="7">
        <v>0.99199999999999999</v>
      </c>
      <c r="E194" s="6">
        <v>991.4</v>
      </c>
      <c r="G194" s="97">
        <f t="shared" si="14"/>
        <v>38.4</v>
      </c>
      <c r="H194">
        <f t="shared" ref="H194:H257" si="15">K194+VLOOKUP(K194,table,2)</f>
        <v>0.83250000000000002</v>
      </c>
      <c r="I194">
        <f t="shared" ref="I194:I257" si="16">(141.5/(G194+131.5))</f>
        <v>0.83284284873454995</v>
      </c>
      <c r="J194">
        <v>38.4</v>
      </c>
      <c r="K194" s="54">
        <f t="shared" ref="K194:K257" si="17">(141.5/(J194+131.5))</f>
        <v>0.83279999999999998</v>
      </c>
      <c r="L194">
        <f t="shared" ref="L194:L257" si="18">K194+VLOOKUP(K194,table,2)</f>
        <v>0.83250000000000002</v>
      </c>
      <c r="M194" s="54">
        <v>0.75149999999999995</v>
      </c>
      <c r="N194">
        <v>0.75129999999999997</v>
      </c>
      <c r="O194">
        <v>38.399999999999899</v>
      </c>
    </row>
    <row r="195" spans="1:15">
      <c r="A195" s="5">
        <v>29.3</v>
      </c>
      <c r="B195" s="5">
        <v>879.5</v>
      </c>
      <c r="C195" s="6"/>
      <c r="D195" s="7">
        <v>0.99299999999999999</v>
      </c>
      <c r="E195" s="6">
        <v>992.4</v>
      </c>
      <c r="G195" s="97">
        <f t="shared" ref="G195:G258" si="19">(141.5/K195)-131.5</f>
        <v>38.6</v>
      </c>
      <c r="H195">
        <f t="shared" si="15"/>
        <v>0.83160000000000001</v>
      </c>
      <c r="I195">
        <f t="shared" si="16"/>
        <v>0.83186360964138695</v>
      </c>
      <c r="J195">
        <v>38.6</v>
      </c>
      <c r="K195" s="54">
        <f t="shared" si="17"/>
        <v>0.83189999999999997</v>
      </c>
      <c r="L195">
        <f t="shared" si="18"/>
        <v>0.83160000000000001</v>
      </c>
      <c r="M195" s="54">
        <v>0.75229999999999997</v>
      </c>
      <c r="N195">
        <v>0.75209999999999999</v>
      </c>
      <c r="O195">
        <v>38.600000000000101</v>
      </c>
    </row>
    <row r="196" spans="1:15">
      <c r="A196" s="5">
        <v>29.4</v>
      </c>
      <c r="B196" s="5">
        <v>878.9</v>
      </c>
      <c r="C196" s="6"/>
      <c r="D196" s="7">
        <v>0.99399999999999999</v>
      </c>
      <c r="E196" s="6">
        <v>993.4</v>
      </c>
      <c r="G196" s="97">
        <f t="shared" si="19"/>
        <v>38.799999999999997</v>
      </c>
      <c r="H196">
        <f t="shared" si="15"/>
        <v>0.8306</v>
      </c>
      <c r="I196">
        <f t="shared" si="16"/>
        <v>0.83088667058132704</v>
      </c>
      <c r="J196">
        <v>38.799999999999997</v>
      </c>
      <c r="K196" s="54">
        <f t="shared" si="17"/>
        <v>0.83089999999999997</v>
      </c>
      <c r="L196">
        <f t="shared" si="18"/>
        <v>0.8306</v>
      </c>
      <c r="M196" s="54">
        <v>0.75309999999999999</v>
      </c>
      <c r="N196">
        <v>0.75290000000000001</v>
      </c>
      <c r="O196">
        <v>38.799999999999997</v>
      </c>
    </row>
    <row r="197" spans="1:15">
      <c r="A197" s="5">
        <v>29.5</v>
      </c>
      <c r="B197" s="5">
        <v>878.4</v>
      </c>
      <c r="C197" s="6"/>
      <c r="D197" s="7">
        <v>0.995</v>
      </c>
      <c r="E197" s="6">
        <v>994.4</v>
      </c>
      <c r="G197" s="97">
        <f t="shared" si="19"/>
        <v>39</v>
      </c>
      <c r="H197">
        <f t="shared" si="15"/>
        <v>0.8296</v>
      </c>
      <c r="I197">
        <f t="shared" si="16"/>
        <v>0.82991202346041104</v>
      </c>
      <c r="J197">
        <v>39</v>
      </c>
      <c r="K197" s="54">
        <f t="shared" si="17"/>
        <v>0.82989999999999997</v>
      </c>
      <c r="L197">
        <f t="shared" si="18"/>
        <v>0.8296</v>
      </c>
      <c r="M197" s="54">
        <v>0.75390000000000001</v>
      </c>
      <c r="N197">
        <v>0.75370000000000004</v>
      </c>
      <c r="O197">
        <v>38.999999999999901</v>
      </c>
    </row>
    <row r="198" spans="1:15">
      <c r="A198" s="5">
        <v>29.6</v>
      </c>
      <c r="B198" s="5">
        <v>877.9</v>
      </c>
      <c r="C198" s="6"/>
      <c r="D198" s="7">
        <v>0.996</v>
      </c>
      <c r="E198" s="6">
        <v>995.4</v>
      </c>
      <c r="G198" s="97">
        <f t="shared" si="19"/>
        <v>39.200000000000003</v>
      </c>
      <c r="H198">
        <f t="shared" si="15"/>
        <v>0.8286</v>
      </c>
      <c r="I198">
        <f t="shared" si="16"/>
        <v>0.82893966022261301</v>
      </c>
      <c r="J198">
        <v>39.200000000000003</v>
      </c>
      <c r="K198" s="54">
        <f t="shared" si="17"/>
        <v>0.82889999999999997</v>
      </c>
      <c r="L198">
        <f t="shared" si="18"/>
        <v>0.8286</v>
      </c>
      <c r="M198" s="54">
        <v>0.75470000000000004</v>
      </c>
      <c r="N198">
        <v>0.75449999999999995</v>
      </c>
      <c r="O198">
        <v>39.200000000000003</v>
      </c>
    </row>
    <row r="199" spans="1:15">
      <c r="A199" s="5">
        <v>29.7</v>
      </c>
      <c r="B199" s="5">
        <v>877.3</v>
      </c>
      <c r="C199" s="6"/>
      <c r="D199" s="7">
        <v>0.997</v>
      </c>
      <c r="E199" s="6">
        <v>996.4</v>
      </c>
      <c r="G199" s="97">
        <f t="shared" si="19"/>
        <v>39.4</v>
      </c>
      <c r="H199">
        <f t="shared" si="15"/>
        <v>0.82769999999999999</v>
      </c>
      <c r="I199">
        <f t="shared" si="16"/>
        <v>0.82796957284962003</v>
      </c>
      <c r="J199">
        <v>39.4</v>
      </c>
      <c r="K199" s="54">
        <f t="shared" si="17"/>
        <v>0.82799999999999996</v>
      </c>
      <c r="L199">
        <f t="shared" si="18"/>
        <v>0.82769999999999999</v>
      </c>
      <c r="M199" s="54">
        <v>0.75549999999999995</v>
      </c>
      <c r="N199">
        <v>0.75529999999999997</v>
      </c>
      <c r="O199">
        <v>39.399999999999899</v>
      </c>
    </row>
    <row r="200" spans="1:15">
      <c r="A200" s="5">
        <v>29.8</v>
      </c>
      <c r="B200" s="5">
        <v>876.8</v>
      </c>
      <c r="C200" s="6"/>
      <c r="D200" s="7">
        <v>0.998</v>
      </c>
      <c r="E200" s="6">
        <v>997.4</v>
      </c>
      <c r="G200" s="97">
        <f t="shared" si="19"/>
        <v>39.6</v>
      </c>
      <c r="H200">
        <f t="shared" si="15"/>
        <v>0.82669999999999999</v>
      </c>
      <c r="I200">
        <f t="shared" si="16"/>
        <v>0.82700175336060799</v>
      </c>
      <c r="J200">
        <v>39.6</v>
      </c>
      <c r="K200" s="54">
        <f t="shared" si="17"/>
        <v>0.82699999999999996</v>
      </c>
      <c r="L200">
        <f t="shared" si="18"/>
        <v>0.82669999999999999</v>
      </c>
      <c r="M200" s="54">
        <v>0.75629999999999997</v>
      </c>
      <c r="N200">
        <v>0.75609999999999999</v>
      </c>
      <c r="O200">
        <v>39.6</v>
      </c>
    </row>
    <row r="201" spans="1:15">
      <c r="A201" s="5">
        <v>29.9</v>
      </c>
      <c r="B201" s="5">
        <v>876.2</v>
      </c>
      <c r="C201" s="6"/>
      <c r="D201" s="7">
        <v>0.999</v>
      </c>
      <c r="E201" s="6">
        <v>998.4</v>
      </c>
      <c r="G201" s="97">
        <f t="shared" si="19"/>
        <v>39.799999999999997</v>
      </c>
      <c r="H201">
        <f t="shared" si="15"/>
        <v>0.82569999999999999</v>
      </c>
      <c r="I201">
        <f t="shared" si="16"/>
        <v>0.82603619381202598</v>
      </c>
      <c r="J201">
        <v>39.799999999999997</v>
      </c>
      <c r="K201" s="54">
        <f t="shared" si="17"/>
        <v>0.82599999999999996</v>
      </c>
      <c r="L201">
        <f t="shared" si="18"/>
        <v>0.82569999999999999</v>
      </c>
      <c r="M201" s="54">
        <v>0.7571</v>
      </c>
      <c r="N201">
        <v>0.75690000000000002</v>
      </c>
      <c r="O201">
        <v>39.799999999999898</v>
      </c>
    </row>
    <row r="202" spans="1:15">
      <c r="A202" s="5">
        <v>30</v>
      </c>
      <c r="B202" s="5">
        <v>875.7</v>
      </c>
      <c r="C202" s="6"/>
      <c r="D202" s="7">
        <v>1</v>
      </c>
      <c r="E202" s="6">
        <v>999.4</v>
      </c>
      <c r="G202" s="97">
        <f t="shared" si="19"/>
        <v>40</v>
      </c>
      <c r="H202">
        <f t="shared" si="15"/>
        <v>0.82479999999999998</v>
      </c>
      <c r="I202">
        <f t="shared" si="16"/>
        <v>0.82507288629737596</v>
      </c>
      <c r="J202">
        <v>40</v>
      </c>
      <c r="K202" s="54">
        <f t="shared" si="17"/>
        <v>0.82509999999999994</v>
      </c>
      <c r="L202">
        <f t="shared" si="18"/>
        <v>0.82479999999999998</v>
      </c>
      <c r="M202" s="54">
        <v>0.75790000000000002</v>
      </c>
      <c r="N202">
        <v>0.75770000000000004</v>
      </c>
      <c r="O202">
        <v>40</v>
      </c>
    </row>
    <row r="203" spans="1:15">
      <c r="A203" s="5">
        <v>30.1</v>
      </c>
      <c r="B203" s="5">
        <v>875.1</v>
      </c>
      <c r="C203" s="6"/>
      <c r="D203" s="7"/>
      <c r="E203" s="6"/>
      <c r="G203" s="97">
        <f t="shared" si="19"/>
        <v>40.200000000000003</v>
      </c>
      <c r="H203">
        <f t="shared" si="15"/>
        <v>0.82379999999999998</v>
      </c>
      <c r="I203">
        <f t="shared" si="16"/>
        <v>0.82411182294700103</v>
      </c>
      <c r="J203">
        <v>40.200000000000003</v>
      </c>
      <c r="K203" s="54">
        <f t="shared" si="17"/>
        <v>0.82410000000000005</v>
      </c>
      <c r="L203">
        <f t="shared" si="18"/>
        <v>0.82379999999999998</v>
      </c>
      <c r="M203" s="54">
        <v>0.75870000000000004</v>
      </c>
      <c r="N203">
        <v>0.75849999999999995</v>
      </c>
      <c r="O203">
        <v>40.199999999999903</v>
      </c>
    </row>
    <row r="204" spans="1:15">
      <c r="A204" s="5">
        <v>30.2</v>
      </c>
      <c r="B204" s="5">
        <v>874.6</v>
      </c>
      <c r="C204" s="6"/>
      <c r="D204" s="7"/>
      <c r="E204" s="6"/>
      <c r="G204" s="97">
        <f t="shared" si="19"/>
        <v>40.4</v>
      </c>
      <c r="H204">
        <f t="shared" si="15"/>
        <v>0.82289999999999996</v>
      </c>
      <c r="I204">
        <f t="shared" si="16"/>
        <v>0.82315299592786495</v>
      </c>
      <c r="J204">
        <v>40.4</v>
      </c>
      <c r="K204" s="54">
        <f t="shared" si="17"/>
        <v>0.82320000000000004</v>
      </c>
      <c r="L204">
        <f t="shared" si="18"/>
        <v>0.82289999999999996</v>
      </c>
      <c r="M204" s="54">
        <v>0.75949999999999995</v>
      </c>
      <c r="N204">
        <v>0.75929999999999997</v>
      </c>
      <c r="O204">
        <v>40.4</v>
      </c>
    </row>
    <row r="205" spans="1:15">
      <c r="A205" s="5">
        <v>30.3</v>
      </c>
      <c r="B205" s="5">
        <v>874.1</v>
      </c>
      <c r="C205" s="6"/>
      <c r="D205" s="7"/>
      <c r="E205" s="6"/>
      <c r="G205" s="97">
        <f t="shared" si="19"/>
        <v>40.6</v>
      </c>
      <c r="H205">
        <f t="shared" si="15"/>
        <v>0.82189999999999996</v>
      </c>
      <c r="I205">
        <f t="shared" si="16"/>
        <v>0.82219639744334705</v>
      </c>
      <c r="J205">
        <v>40.6</v>
      </c>
      <c r="K205" s="54">
        <f t="shared" si="17"/>
        <v>0.82220000000000004</v>
      </c>
      <c r="L205">
        <f t="shared" si="18"/>
        <v>0.82189999999999996</v>
      </c>
      <c r="M205" s="54">
        <v>0.76029999999999998</v>
      </c>
      <c r="N205">
        <v>0.7601</v>
      </c>
      <c r="O205">
        <v>40.6</v>
      </c>
    </row>
    <row r="206" spans="1:15">
      <c r="A206" s="5">
        <v>30.4</v>
      </c>
      <c r="B206" s="5">
        <v>873.5</v>
      </c>
      <c r="C206" s="6"/>
      <c r="D206" s="7"/>
      <c r="E206" s="6"/>
      <c r="G206" s="97">
        <f t="shared" si="19"/>
        <v>40.799999999999997</v>
      </c>
      <c r="H206">
        <f t="shared" si="15"/>
        <v>0.82089999999999996</v>
      </c>
      <c r="I206">
        <f t="shared" si="16"/>
        <v>0.82124201973302402</v>
      </c>
      <c r="J206">
        <v>40.799999999999997</v>
      </c>
      <c r="K206" s="54">
        <f t="shared" si="17"/>
        <v>0.82120000000000004</v>
      </c>
      <c r="L206">
        <f t="shared" si="18"/>
        <v>0.82089999999999996</v>
      </c>
      <c r="M206" s="54">
        <v>0.76119999999999999</v>
      </c>
      <c r="N206">
        <v>0.76100000000000001</v>
      </c>
      <c r="O206">
        <v>40.799999999999997</v>
      </c>
    </row>
    <row r="207" spans="1:15">
      <c r="A207" s="5">
        <v>30.5</v>
      </c>
      <c r="B207" s="5">
        <v>873</v>
      </c>
      <c r="C207" s="6"/>
      <c r="D207" s="7"/>
      <c r="E207" s="6"/>
      <c r="G207" s="97">
        <f t="shared" si="19"/>
        <v>41</v>
      </c>
      <c r="H207">
        <f t="shared" si="15"/>
        <v>0.82</v>
      </c>
      <c r="I207">
        <f t="shared" si="16"/>
        <v>0.82028985507246399</v>
      </c>
      <c r="J207">
        <v>41</v>
      </c>
      <c r="K207" s="54">
        <f t="shared" si="17"/>
        <v>0.82030000000000003</v>
      </c>
      <c r="L207">
        <f t="shared" si="18"/>
        <v>0.82</v>
      </c>
      <c r="M207" s="54">
        <v>0.76200000000000001</v>
      </c>
      <c r="N207">
        <v>0.76180000000000003</v>
      </c>
      <c r="O207">
        <v>40.999999999999901</v>
      </c>
    </row>
    <row r="208" spans="1:15">
      <c r="A208" s="5">
        <v>30.6</v>
      </c>
      <c r="B208" s="5">
        <v>872.4</v>
      </c>
      <c r="C208" s="6"/>
      <c r="D208" s="7"/>
      <c r="E208" s="6"/>
      <c r="G208" s="97">
        <f t="shared" si="19"/>
        <v>41.2</v>
      </c>
      <c r="H208">
        <f t="shared" si="15"/>
        <v>0.81899999999999995</v>
      </c>
      <c r="I208">
        <f t="shared" si="16"/>
        <v>0.81933989577301702</v>
      </c>
      <c r="J208">
        <v>41.2</v>
      </c>
      <c r="K208" s="54">
        <f t="shared" si="17"/>
        <v>0.81930000000000003</v>
      </c>
      <c r="L208">
        <f t="shared" si="18"/>
        <v>0.81899999999999995</v>
      </c>
      <c r="M208" s="54">
        <v>0.76280000000000003</v>
      </c>
      <c r="N208">
        <v>0.76259999999999994</v>
      </c>
      <c r="O208">
        <v>41.2</v>
      </c>
    </row>
    <row r="209" spans="1:15">
      <c r="A209" s="5">
        <v>30.7</v>
      </c>
      <c r="B209" s="5">
        <v>871.9</v>
      </c>
      <c r="C209" s="6"/>
      <c r="D209" s="7"/>
      <c r="E209" s="6"/>
      <c r="G209" s="97">
        <f t="shared" si="19"/>
        <v>41.4</v>
      </c>
      <c r="H209">
        <f t="shared" si="15"/>
        <v>0.81810000000000005</v>
      </c>
      <c r="I209">
        <f t="shared" si="16"/>
        <v>0.81839213418160806</v>
      </c>
      <c r="J209">
        <v>41.4</v>
      </c>
      <c r="K209" s="54">
        <f t="shared" si="17"/>
        <v>0.81840000000000002</v>
      </c>
      <c r="L209">
        <f t="shared" si="18"/>
        <v>0.81810000000000005</v>
      </c>
      <c r="M209" s="54">
        <v>0.76359999999999995</v>
      </c>
      <c r="N209">
        <v>0.76339999999999997</v>
      </c>
      <c r="O209">
        <v>41.399999999999899</v>
      </c>
    </row>
    <row r="210" spans="1:15">
      <c r="A210" s="5">
        <v>30.8</v>
      </c>
      <c r="B210" s="5">
        <v>871.4</v>
      </c>
      <c r="C210" s="6"/>
      <c r="D210" s="7"/>
      <c r="E210" s="6"/>
      <c r="G210" s="97">
        <f t="shared" si="19"/>
        <v>41.6</v>
      </c>
      <c r="H210">
        <f t="shared" si="15"/>
        <v>0.81710000000000005</v>
      </c>
      <c r="I210">
        <f t="shared" si="16"/>
        <v>0.81744656268053195</v>
      </c>
      <c r="J210">
        <v>41.6</v>
      </c>
      <c r="K210" s="54">
        <f t="shared" si="17"/>
        <v>0.81740000000000002</v>
      </c>
      <c r="L210">
        <f t="shared" si="18"/>
        <v>0.81710000000000005</v>
      </c>
      <c r="M210" s="54">
        <v>0.76449999999999996</v>
      </c>
      <c r="N210">
        <v>0.76429999999999998</v>
      </c>
      <c r="O210">
        <v>41.599999999999902</v>
      </c>
    </row>
    <row r="211" spans="1:15">
      <c r="A211" s="5">
        <v>30.9</v>
      </c>
      <c r="B211" s="5">
        <v>870.8</v>
      </c>
      <c r="C211" s="6"/>
      <c r="D211" s="7"/>
      <c r="E211" s="6"/>
      <c r="G211" s="97">
        <f t="shared" si="19"/>
        <v>41.8</v>
      </c>
      <c r="H211">
        <f t="shared" si="15"/>
        <v>0.81620000000000004</v>
      </c>
      <c r="I211">
        <f t="shared" si="16"/>
        <v>0.81650317368724701</v>
      </c>
      <c r="J211">
        <v>41.8</v>
      </c>
      <c r="K211" s="54">
        <f t="shared" si="17"/>
        <v>0.8165</v>
      </c>
      <c r="L211">
        <f t="shared" si="18"/>
        <v>0.81620000000000004</v>
      </c>
      <c r="M211" s="54">
        <v>0.76529999999999998</v>
      </c>
      <c r="N211">
        <v>0.7651</v>
      </c>
      <c r="O211">
        <v>41.800000000000097</v>
      </c>
    </row>
    <row r="212" spans="1:15">
      <c r="A212" s="5">
        <v>31</v>
      </c>
      <c r="B212" s="5">
        <v>870.3</v>
      </c>
      <c r="C212" s="6"/>
      <c r="D212" s="7"/>
      <c r="E212" s="6"/>
      <c r="G212" s="97">
        <f t="shared" si="19"/>
        <v>42</v>
      </c>
      <c r="H212">
        <f t="shared" si="15"/>
        <v>0.81530000000000002</v>
      </c>
      <c r="I212">
        <f t="shared" si="16"/>
        <v>0.81556195965417899</v>
      </c>
      <c r="J212">
        <v>42</v>
      </c>
      <c r="K212" s="54">
        <f t="shared" si="17"/>
        <v>0.81559999999999999</v>
      </c>
      <c r="L212">
        <f t="shared" si="18"/>
        <v>0.81530000000000002</v>
      </c>
      <c r="M212" s="54">
        <v>0.7661</v>
      </c>
      <c r="N212">
        <v>0.76590000000000003</v>
      </c>
      <c r="O212">
        <v>41.999999999999901</v>
      </c>
    </row>
    <row r="213" spans="1:15">
      <c r="A213" s="5">
        <v>31.1</v>
      </c>
      <c r="B213" s="5">
        <v>869.8</v>
      </c>
      <c r="C213" s="6"/>
      <c r="D213" s="7"/>
      <c r="E213" s="6"/>
      <c r="G213" s="97">
        <f t="shared" si="19"/>
        <v>42.2</v>
      </c>
      <c r="H213">
        <f t="shared" si="15"/>
        <v>0.81430000000000002</v>
      </c>
      <c r="I213">
        <f t="shared" si="16"/>
        <v>0.81462291306850898</v>
      </c>
      <c r="J213">
        <v>42.2</v>
      </c>
      <c r="K213" s="54">
        <f t="shared" si="17"/>
        <v>0.81459999999999999</v>
      </c>
      <c r="L213">
        <f t="shared" si="18"/>
        <v>0.81430000000000002</v>
      </c>
      <c r="M213" s="54">
        <v>0.76690000000000003</v>
      </c>
      <c r="N213">
        <v>0.76670000000000005</v>
      </c>
      <c r="O213">
        <v>42.2</v>
      </c>
    </row>
    <row r="214" spans="1:15">
      <c r="A214" s="5">
        <v>31.2</v>
      </c>
      <c r="B214" s="5">
        <v>869.2</v>
      </c>
      <c r="C214" s="6"/>
      <c r="D214" s="7"/>
      <c r="E214" s="6"/>
      <c r="G214" s="97">
        <f t="shared" si="19"/>
        <v>42.4</v>
      </c>
      <c r="H214">
        <f t="shared" si="15"/>
        <v>0.81340000000000001</v>
      </c>
      <c r="I214">
        <f t="shared" si="16"/>
        <v>0.81368602645198396</v>
      </c>
      <c r="J214">
        <v>42.4</v>
      </c>
      <c r="K214" s="54">
        <f t="shared" si="17"/>
        <v>0.81369999999999998</v>
      </c>
      <c r="L214">
        <f t="shared" si="18"/>
        <v>0.81340000000000001</v>
      </c>
      <c r="M214" s="54">
        <v>0.76780000000000004</v>
      </c>
      <c r="N214">
        <v>0.76759999999999995</v>
      </c>
      <c r="O214">
        <v>42.4</v>
      </c>
    </row>
    <row r="215" spans="1:15">
      <c r="A215" s="5">
        <v>31.3</v>
      </c>
      <c r="B215" s="5">
        <v>868.7</v>
      </c>
      <c r="C215" s="6"/>
      <c r="D215" s="7"/>
      <c r="E215" s="6"/>
      <c r="G215" s="97">
        <f t="shared" si="19"/>
        <v>42.6</v>
      </c>
      <c r="H215">
        <f t="shared" si="15"/>
        <v>0.8125</v>
      </c>
      <c r="I215">
        <f t="shared" si="16"/>
        <v>0.81275129236071197</v>
      </c>
      <c r="J215">
        <v>42.6</v>
      </c>
      <c r="K215" s="54">
        <f t="shared" si="17"/>
        <v>0.81279999999999997</v>
      </c>
      <c r="L215">
        <f t="shared" si="18"/>
        <v>0.8125</v>
      </c>
      <c r="M215" s="54">
        <v>0.76859999999999995</v>
      </c>
      <c r="N215">
        <v>0.76839999999999997</v>
      </c>
      <c r="O215">
        <v>42.600000000000101</v>
      </c>
    </row>
    <row r="216" spans="1:15">
      <c r="A216" s="5">
        <v>31.4</v>
      </c>
      <c r="B216" s="5">
        <v>868.2</v>
      </c>
      <c r="C216" s="6"/>
      <c r="D216" s="7"/>
      <c r="E216" s="6"/>
      <c r="G216" s="97">
        <f t="shared" si="19"/>
        <v>42.8</v>
      </c>
      <c r="H216">
        <f t="shared" si="15"/>
        <v>0.8115</v>
      </c>
      <c r="I216">
        <f t="shared" si="16"/>
        <v>0.81181870338496798</v>
      </c>
      <c r="J216">
        <v>42.8</v>
      </c>
      <c r="K216" s="54">
        <f t="shared" si="17"/>
        <v>0.81179999999999997</v>
      </c>
      <c r="L216">
        <f t="shared" si="18"/>
        <v>0.8115</v>
      </c>
      <c r="M216" s="54">
        <v>0.76939999999999997</v>
      </c>
      <c r="N216">
        <v>0.76919999999999999</v>
      </c>
      <c r="O216">
        <v>42.800000000000097</v>
      </c>
    </row>
    <row r="217" spans="1:15">
      <c r="A217" s="5">
        <v>31.5</v>
      </c>
      <c r="B217" s="5">
        <v>867.6</v>
      </c>
      <c r="C217" s="6"/>
      <c r="D217" s="7"/>
      <c r="E217" s="6"/>
      <c r="G217" s="97">
        <f t="shared" si="19"/>
        <v>43</v>
      </c>
      <c r="H217">
        <f t="shared" si="15"/>
        <v>0.81059999999999999</v>
      </c>
      <c r="I217">
        <f t="shared" si="16"/>
        <v>0.81088825214899696</v>
      </c>
      <c r="J217">
        <v>43</v>
      </c>
      <c r="K217" s="54">
        <f t="shared" si="17"/>
        <v>0.81089999999999995</v>
      </c>
      <c r="L217">
        <f t="shared" si="18"/>
        <v>0.81059999999999999</v>
      </c>
      <c r="M217" s="54">
        <v>0.77029999999999998</v>
      </c>
      <c r="N217">
        <v>0.77010000000000001</v>
      </c>
      <c r="O217">
        <v>43</v>
      </c>
    </row>
    <row r="218" spans="1:15">
      <c r="A218" s="5">
        <v>31.6</v>
      </c>
      <c r="B218" s="5">
        <v>867.1</v>
      </c>
      <c r="C218" s="6"/>
      <c r="D218" s="7"/>
      <c r="E218" s="6"/>
      <c r="G218" s="97">
        <f t="shared" si="19"/>
        <v>43.2</v>
      </c>
      <c r="H218">
        <f t="shared" si="15"/>
        <v>0.80969999999999998</v>
      </c>
      <c r="I218">
        <f t="shared" si="16"/>
        <v>0.809959931310819</v>
      </c>
      <c r="J218">
        <v>43.2</v>
      </c>
      <c r="K218" s="54">
        <f t="shared" si="17"/>
        <v>0.81</v>
      </c>
      <c r="L218">
        <f t="shared" si="18"/>
        <v>0.80969999999999998</v>
      </c>
      <c r="M218" s="54">
        <v>0.77110000000000001</v>
      </c>
      <c r="N218">
        <v>0.77090000000000003</v>
      </c>
      <c r="O218">
        <v>43.199999999999903</v>
      </c>
    </row>
    <row r="219" spans="1:15">
      <c r="A219" s="5">
        <v>31.7</v>
      </c>
      <c r="B219" s="5">
        <v>866.6</v>
      </c>
      <c r="C219" s="6"/>
      <c r="D219" s="7"/>
      <c r="E219" s="6"/>
      <c r="G219" s="97">
        <f t="shared" si="19"/>
        <v>43.4</v>
      </c>
      <c r="H219">
        <f t="shared" si="15"/>
        <v>0.80869999999999997</v>
      </c>
      <c r="I219">
        <f t="shared" si="16"/>
        <v>0.80903373356203501</v>
      </c>
      <c r="J219">
        <v>43.4</v>
      </c>
      <c r="K219" s="54">
        <f t="shared" si="17"/>
        <v>0.80900000000000005</v>
      </c>
      <c r="L219">
        <f t="shared" si="18"/>
        <v>0.80869999999999997</v>
      </c>
      <c r="M219" s="54">
        <v>0.77200000000000002</v>
      </c>
      <c r="N219">
        <v>0.77180000000000004</v>
      </c>
      <c r="O219">
        <v>43.400000000000098</v>
      </c>
    </row>
    <row r="220" spans="1:15">
      <c r="A220" s="5">
        <v>31.8</v>
      </c>
      <c r="B220" s="5">
        <v>866</v>
      </c>
      <c r="C220" s="6"/>
      <c r="D220" s="7"/>
      <c r="E220" s="6"/>
      <c r="G220" s="97">
        <f t="shared" si="19"/>
        <v>43.6</v>
      </c>
      <c r="H220">
        <f t="shared" si="15"/>
        <v>0.80779999999999996</v>
      </c>
      <c r="I220">
        <f t="shared" si="16"/>
        <v>0.80810965162764103</v>
      </c>
      <c r="J220">
        <v>43.6</v>
      </c>
      <c r="K220" s="54">
        <f t="shared" si="17"/>
        <v>0.80810000000000004</v>
      </c>
      <c r="L220">
        <f t="shared" si="18"/>
        <v>0.80779999999999996</v>
      </c>
      <c r="M220" s="54">
        <v>0.77280000000000004</v>
      </c>
      <c r="N220">
        <v>0.77259999999999995</v>
      </c>
      <c r="O220">
        <v>43.600000000000101</v>
      </c>
    </row>
    <row r="221" spans="1:15">
      <c r="A221" s="5">
        <v>31.9</v>
      </c>
      <c r="B221" s="5">
        <v>865.5</v>
      </c>
      <c r="C221" s="6"/>
      <c r="D221" s="7"/>
      <c r="E221" s="6"/>
      <c r="G221" s="97">
        <f t="shared" si="19"/>
        <v>43.8</v>
      </c>
      <c r="H221">
        <f t="shared" si="15"/>
        <v>0.80689999999999995</v>
      </c>
      <c r="I221">
        <f t="shared" si="16"/>
        <v>0.80718767826583004</v>
      </c>
      <c r="J221">
        <v>43.8</v>
      </c>
      <c r="K221" s="54">
        <f t="shared" si="17"/>
        <v>0.80720000000000003</v>
      </c>
      <c r="L221">
        <f t="shared" si="18"/>
        <v>0.80689999999999995</v>
      </c>
      <c r="M221" s="54">
        <v>0.77359999999999995</v>
      </c>
      <c r="N221">
        <v>0.77339999999999998</v>
      </c>
      <c r="O221">
        <v>43.8</v>
      </c>
    </row>
    <row r="222" spans="1:15">
      <c r="A222" s="5">
        <v>32</v>
      </c>
      <c r="B222" s="5">
        <v>865</v>
      </c>
      <c r="C222" s="6"/>
      <c r="D222" s="7"/>
      <c r="E222" s="6"/>
      <c r="G222" s="97">
        <f t="shared" si="19"/>
        <v>44</v>
      </c>
      <c r="H222">
        <f t="shared" si="15"/>
        <v>0.80600000000000005</v>
      </c>
      <c r="I222">
        <f t="shared" si="16"/>
        <v>0.80626780626780603</v>
      </c>
      <c r="J222">
        <v>44</v>
      </c>
      <c r="K222" s="54">
        <f t="shared" si="17"/>
        <v>0.80630000000000002</v>
      </c>
      <c r="L222">
        <f t="shared" si="18"/>
        <v>0.80600000000000005</v>
      </c>
      <c r="M222" s="54">
        <v>0.77449999999999997</v>
      </c>
      <c r="N222">
        <v>0.77429999999999999</v>
      </c>
      <c r="O222">
        <v>44.000000000000099</v>
      </c>
    </row>
    <row r="223" spans="1:15">
      <c r="A223" s="5">
        <v>32.1</v>
      </c>
      <c r="B223" s="5">
        <v>864.5</v>
      </c>
      <c r="C223" s="6"/>
      <c r="D223" s="7"/>
      <c r="E223" s="6"/>
      <c r="G223" s="97">
        <f t="shared" si="19"/>
        <v>44.2</v>
      </c>
      <c r="H223">
        <f t="shared" si="15"/>
        <v>0.80510000000000004</v>
      </c>
      <c r="I223">
        <f t="shared" si="16"/>
        <v>0.80535002845759796</v>
      </c>
      <c r="J223">
        <v>44.2</v>
      </c>
      <c r="K223" s="54">
        <f t="shared" si="17"/>
        <v>0.8054</v>
      </c>
      <c r="L223">
        <f t="shared" si="18"/>
        <v>0.80510000000000004</v>
      </c>
      <c r="M223" s="54">
        <v>0.77529999999999999</v>
      </c>
      <c r="N223">
        <v>0.77510000000000001</v>
      </c>
      <c r="O223">
        <v>44.2</v>
      </c>
    </row>
    <row r="224" spans="1:15">
      <c r="A224" s="5">
        <v>32.200000000000003</v>
      </c>
      <c r="B224" s="5">
        <v>863.9</v>
      </c>
      <c r="C224" s="6"/>
      <c r="D224" s="7"/>
      <c r="E224" s="6"/>
      <c r="G224" s="97">
        <f t="shared" si="19"/>
        <v>44.4</v>
      </c>
      <c r="H224">
        <f t="shared" si="15"/>
        <v>0.80410000000000004</v>
      </c>
      <c r="I224">
        <f t="shared" si="16"/>
        <v>0.80443433769187001</v>
      </c>
      <c r="J224">
        <v>44.4</v>
      </c>
      <c r="K224" s="54">
        <f t="shared" si="17"/>
        <v>0.8044</v>
      </c>
      <c r="L224">
        <f t="shared" si="18"/>
        <v>0.80410000000000004</v>
      </c>
      <c r="M224" s="54">
        <v>0.7762</v>
      </c>
      <c r="N224">
        <v>0.77600000000000002</v>
      </c>
      <c r="O224">
        <v>44.400000000000098</v>
      </c>
    </row>
    <row r="225" spans="1:15">
      <c r="A225" s="5">
        <v>32.299999999999997</v>
      </c>
      <c r="B225" s="5">
        <v>863.4</v>
      </c>
      <c r="C225" s="6"/>
      <c r="D225" s="7"/>
      <c r="E225" s="6"/>
      <c r="G225" s="97">
        <f t="shared" si="19"/>
        <v>44.6</v>
      </c>
      <c r="H225">
        <f t="shared" si="15"/>
        <v>0.80320000000000003</v>
      </c>
      <c r="I225">
        <f t="shared" si="16"/>
        <v>0.80352072685973897</v>
      </c>
      <c r="J225">
        <v>44.6</v>
      </c>
      <c r="K225" s="54">
        <f t="shared" si="17"/>
        <v>0.80349999999999999</v>
      </c>
      <c r="L225">
        <f t="shared" si="18"/>
        <v>0.80320000000000003</v>
      </c>
      <c r="M225" s="54">
        <v>0.77700000000000002</v>
      </c>
      <c r="N225">
        <v>0.77680000000000005</v>
      </c>
      <c r="O225">
        <v>44.6</v>
      </c>
    </row>
    <row r="226" spans="1:15">
      <c r="A226" s="5">
        <v>32.4</v>
      </c>
      <c r="B226" s="5">
        <v>862.9</v>
      </c>
      <c r="C226" s="6"/>
      <c r="D226" s="7"/>
      <c r="E226" s="6"/>
      <c r="G226" s="97">
        <f t="shared" si="19"/>
        <v>44.8</v>
      </c>
      <c r="H226">
        <f t="shared" si="15"/>
        <v>0.80230000000000001</v>
      </c>
      <c r="I226">
        <f t="shared" si="16"/>
        <v>0.80260918888258603</v>
      </c>
      <c r="J226">
        <v>44.8</v>
      </c>
      <c r="K226" s="54">
        <f t="shared" si="17"/>
        <v>0.80259999999999998</v>
      </c>
      <c r="L226">
        <f t="shared" si="18"/>
        <v>0.80230000000000001</v>
      </c>
      <c r="M226" s="54">
        <v>0.77790000000000004</v>
      </c>
      <c r="N226">
        <v>0.77769999999999995</v>
      </c>
      <c r="O226">
        <v>44.800000000000097</v>
      </c>
    </row>
    <row r="227" spans="1:15">
      <c r="A227" s="5">
        <v>32.5</v>
      </c>
      <c r="B227" s="5">
        <v>862.3</v>
      </c>
      <c r="C227" s="6"/>
      <c r="D227" s="7"/>
      <c r="E227" s="6"/>
      <c r="G227" s="97">
        <f t="shared" si="19"/>
        <v>45</v>
      </c>
      <c r="H227">
        <f t="shared" si="15"/>
        <v>0.8014</v>
      </c>
      <c r="I227">
        <f t="shared" si="16"/>
        <v>0.80169971671388096</v>
      </c>
      <c r="J227">
        <v>45</v>
      </c>
      <c r="K227" s="54">
        <f t="shared" si="17"/>
        <v>0.80169999999999997</v>
      </c>
      <c r="L227">
        <f t="shared" si="18"/>
        <v>0.8014</v>
      </c>
      <c r="M227" s="54">
        <v>0.77880000000000005</v>
      </c>
      <c r="N227">
        <v>0.77859999999999996</v>
      </c>
      <c r="O227">
        <v>45</v>
      </c>
    </row>
    <row r="228" spans="1:15">
      <c r="A228" s="5">
        <v>32.6</v>
      </c>
      <c r="B228" s="5">
        <v>861.8</v>
      </c>
      <c r="C228" s="6"/>
      <c r="D228" s="7"/>
      <c r="E228" s="6"/>
      <c r="G228" s="97">
        <f t="shared" si="19"/>
        <v>45.2</v>
      </c>
      <c r="H228">
        <f t="shared" si="15"/>
        <v>0.80049999999999999</v>
      </c>
      <c r="I228">
        <f t="shared" si="16"/>
        <v>0.80079230333899298</v>
      </c>
      <c r="J228">
        <v>45.2</v>
      </c>
      <c r="K228" s="54">
        <f t="shared" si="17"/>
        <v>0.80079999999999996</v>
      </c>
      <c r="L228">
        <f t="shared" si="18"/>
        <v>0.80049999999999999</v>
      </c>
      <c r="M228" s="54">
        <v>0.77959999999999996</v>
      </c>
      <c r="N228">
        <v>0.77939999999999998</v>
      </c>
      <c r="O228">
        <v>45.199999999999903</v>
      </c>
    </row>
    <row r="229" spans="1:15">
      <c r="A229" s="5">
        <v>32.700000000000003</v>
      </c>
      <c r="B229" s="5">
        <v>861.3</v>
      </c>
      <c r="C229" s="6"/>
      <c r="D229" s="7"/>
      <c r="E229" s="6"/>
      <c r="G229" s="97">
        <f t="shared" si="19"/>
        <v>45.4</v>
      </c>
      <c r="H229">
        <f t="shared" si="15"/>
        <v>0.79959999999999998</v>
      </c>
      <c r="I229">
        <f t="shared" si="16"/>
        <v>0.79988694177501396</v>
      </c>
      <c r="J229">
        <v>45.4</v>
      </c>
      <c r="K229" s="54">
        <f t="shared" si="17"/>
        <v>0.79990000000000006</v>
      </c>
      <c r="L229">
        <f t="shared" si="18"/>
        <v>0.79959999999999998</v>
      </c>
      <c r="M229" s="54">
        <v>0.78049999999999997</v>
      </c>
      <c r="N229">
        <v>0.78029999999999999</v>
      </c>
      <c r="O229">
        <v>45.4</v>
      </c>
    </row>
    <row r="230" spans="1:15">
      <c r="A230" s="5">
        <v>32.799999999999997</v>
      </c>
      <c r="B230" s="5">
        <v>860.8</v>
      </c>
      <c r="C230" s="6"/>
      <c r="D230" s="7"/>
      <c r="E230" s="6"/>
      <c r="G230" s="97">
        <f t="shared" si="19"/>
        <v>45.6</v>
      </c>
      <c r="H230">
        <f t="shared" si="15"/>
        <v>0.79869999999999997</v>
      </c>
      <c r="I230">
        <f t="shared" si="16"/>
        <v>0.79898362507058196</v>
      </c>
      <c r="J230">
        <v>45.6</v>
      </c>
      <c r="K230" s="54">
        <f t="shared" si="17"/>
        <v>0.79900000000000004</v>
      </c>
      <c r="L230">
        <f t="shared" si="18"/>
        <v>0.79869999999999997</v>
      </c>
      <c r="M230" s="54">
        <v>0.78129999999999999</v>
      </c>
      <c r="N230">
        <v>0.78110000000000002</v>
      </c>
      <c r="O230">
        <v>45.599999999999902</v>
      </c>
    </row>
    <row r="231" spans="1:15">
      <c r="A231" s="5">
        <v>32.9</v>
      </c>
      <c r="B231" s="5">
        <v>860.2</v>
      </c>
      <c r="C231" s="6"/>
      <c r="D231" s="7"/>
      <c r="E231" s="6"/>
      <c r="G231" s="97">
        <f t="shared" si="19"/>
        <v>45.8</v>
      </c>
      <c r="H231">
        <f t="shared" si="15"/>
        <v>0.79779999999999995</v>
      </c>
      <c r="I231">
        <f t="shared" si="16"/>
        <v>0.79808234630569697</v>
      </c>
      <c r="J231">
        <v>45.8</v>
      </c>
      <c r="K231" s="54">
        <f t="shared" si="17"/>
        <v>0.79810000000000003</v>
      </c>
      <c r="L231">
        <f t="shared" si="18"/>
        <v>0.79779999999999995</v>
      </c>
      <c r="M231" s="54">
        <v>0.78220000000000001</v>
      </c>
      <c r="N231">
        <v>0.78200000000000003</v>
      </c>
      <c r="O231">
        <v>45.799999999999898</v>
      </c>
    </row>
    <row r="232" spans="1:15">
      <c r="A232" s="5">
        <v>33</v>
      </c>
      <c r="B232" s="5">
        <v>859.7</v>
      </c>
      <c r="C232" s="6"/>
      <c r="D232" s="7"/>
      <c r="E232" s="6"/>
      <c r="G232" s="97">
        <f t="shared" si="19"/>
        <v>46</v>
      </c>
      <c r="H232">
        <f t="shared" si="15"/>
        <v>0.79690000000000005</v>
      </c>
      <c r="I232">
        <f t="shared" si="16"/>
        <v>0.79718309859154901</v>
      </c>
      <c r="J232">
        <v>46</v>
      </c>
      <c r="K232" s="54">
        <f t="shared" si="17"/>
        <v>0.79720000000000002</v>
      </c>
      <c r="L232">
        <f t="shared" si="18"/>
        <v>0.79690000000000005</v>
      </c>
      <c r="M232" s="54">
        <v>0.78310000000000002</v>
      </c>
      <c r="N232">
        <v>0.78290000000000004</v>
      </c>
      <c r="O232">
        <v>46.000000000000099</v>
      </c>
    </row>
    <row r="233" spans="1:15">
      <c r="A233" s="5">
        <v>33.1</v>
      </c>
      <c r="B233" s="5">
        <v>859.2</v>
      </c>
      <c r="C233" s="6"/>
      <c r="D233" s="7"/>
      <c r="E233" s="6"/>
      <c r="G233" s="97">
        <f t="shared" si="19"/>
        <v>46.2</v>
      </c>
      <c r="H233">
        <f t="shared" si="15"/>
        <v>0.79600000000000004</v>
      </c>
      <c r="I233">
        <f t="shared" si="16"/>
        <v>0.79628587507034299</v>
      </c>
      <c r="J233">
        <v>46.2</v>
      </c>
      <c r="K233" s="54">
        <f t="shared" si="17"/>
        <v>0.79630000000000001</v>
      </c>
      <c r="L233">
        <f t="shared" si="18"/>
        <v>0.79600000000000004</v>
      </c>
      <c r="M233" s="54">
        <v>0.78390000000000004</v>
      </c>
      <c r="N233">
        <v>0.78369999999999995</v>
      </c>
      <c r="O233">
        <v>46.200000000000102</v>
      </c>
    </row>
    <row r="234" spans="1:15">
      <c r="A234" s="5">
        <v>33.200000000000003</v>
      </c>
      <c r="B234" s="5">
        <v>858.7</v>
      </c>
      <c r="C234" s="6"/>
      <c r="D234" s="7"/>
      <c r="E234" s="6"/>
      <c r="G234" s="97">
        <f t="shared" si="19"/>
        <v>46.4</v>
      </c>
      <c r="H234">
        <f t="shared" si="15"/>
        <v>0.79510000000000003</v>
      </c>
      <c r="I234">
        <f t="shared" si="16"/>
        <v>0.795390668915121</v>
      </c>
      <c r="J234">
        <v>46.4</v>
      </c>
      <c r="K234" s="54">
        <f t="shared" si="17"/>
        <v>0.7954</v>
      </c>
      <c r="L234">
        <f t="shared" si="18"/>
        <v>0.79510000000000003</v>
      </c>
      <c r="M234" s="54">
        <v>0.78480000000000005</v>
      </c>
      <c r="N234">
        <v>0.78459999999999996</v>
      </c>
      <c r="O234">
        <v>46.4</v>
      </c>
    </row>
    <row r="235" spans="1:15">
      <c r="A235" s="5">
        <v>33.299999999999997</v>
      </c>
      <c r="B235" s="5">
        <v>858.2</v>
      </c>
      <c r="C235" s="6"/>
      <c r="D235" s="7"/>
      <c r="E235" s="6"/>
      <c r="G235" s="97">
        <f t="shared" si="19"/>
        <v>46.6</v>
      </c>
      <c r="H235">
        <f t="shared" si="15"/>
        <v>0.79420000000000002</v>
      </c>
      <c r="I235">
        <f t="shared" si="16"/>
        <v>0.79449747332958998</v>
      </c>
      <c r="J235">
        <v>46.6</v>
      </c>
      <c r="K235" s="54">
        <f t="shared" si="17"/>
        <v>0.79449999999999998</v>
      </c>
      <c r="L235">
        <f t="shared" si="18"/>
        <v>0.79420000000000002</v>
      </c>
      <c r="M235" s="54">
        <v>0.78569999999999995</v>
      </c>
      <c r="N235">
        <v>0.78549999999999998</v>
      </c>
      <c r="O235">
        <v>46.6</v>
      </c>
    </row>
    <row r="236" spans="1:15">
      <c r="A236" s="5">
        <v>33.4</v>
      </c>
      <c r="B236" s="5">
        <v>857.6</v>
      </c>
      <c r="C236" s="6"/>
      <c r="D236" s="7"/>
      <c r="E236" s="6"/>
      <c r="G236" s="97">
        <f t="shared" si="19"/>
        <v>46.8</v>
      </c>
      <c r="H236">
        <f t="shared" si="15"/>
        <v>0.79330000000000001</v>
      </c>
      <c r="I236">
        <f t="shared" si="16"/>
        <v>0.79360628154795299</v>
      </c>
      <c r="J236">
        <v>46.8</v>
      </c>
      <c r="K236" s="54">
        <f t="shared" si="17"/>
        <v>0.79359999999999997</v>
      </c>
      <c r="L236">
        <f t="shared" si="18"/>
        <v>0.79330000000000001</v>
      </c>
      <c r="M236" s="54">
        <v>0.78649999999999998</v>
      </c>
      <c r="N236">
        <v>0.7863</v>
      </c>
      <c r="O236">
        <v>46.8</v>
      </c>
    </row>
    <row r="237" spans="1:15">
      <c r="A237" s="5">
        <v>33.5</v>
      </c>
      <c r="B237" s="5">
        <v>857.1</v>
      </c>
      <c r="C237" s="6"/>
      <c r="D237" s="7"/>
      <c r="E237" s="6"/>
      <c r="G237" s="97">
        <f t="shared" si="19"/>
        <v>47</v>
      </c>
      <c r="H237">
        <f t="shared" si="15"/>
        <v>0.79239999999999999</v>
      </c>
      <c r="I237">
        <f t="shared" si="16"/>
        <v>0.79271708683473396</v>
      </c>
      <c r="J237">
        <v>47</v>
      </c>
      <c r="K237" s="54">
        <f t="shared" si="17"/>
        <v>0.79269999999999996</v>
      </c>
      <c r="L237">
        <f t="shared" si="18"/>
        <v>0.79239999999999999</v>
      </c>
      <c r="M237" s="54">
        <v>0.78739999999999999</v>
      </c>
      <c r="N237">
        <v>0.78720000000000001</v>
      </c>
      <c r="O237">
        <v>47</v>
      </c>
    </row>
    <row r="238" spans="1:15">
      <c r="A238" s="5">
        <v>33.6</v>
      </c>
      <c r="B238" s="5">
        <v>856.6</v>
      </c>
      <c r="C238" s="6"/>
      <c r="D238" s="7"/>
      <c r="E238" s="6"/>
      <c r="G238" s="97">
        <f t="shared" si="19"/>
        <v>47.2</v>
      </c>
      <c r="H238">
        <f t="shared" si="15"/>
        <v>0.79159999999999997</v>
      </c>
      <c r="I238">
        <f t="shared" si="16"/>
        <v>0.79182988248461095</v>
      </c>
      <c r="J238">
        <v>47.2</v>
      </c>
      <c r="K238" s="54">
        <f t="shared" si="17"/>
        <v>0.79179999999999995</v>
      </c>
      <c r="L238">
        <f t="shared" si="18"/>
        <v>0.79159999999999997</v>
      </c>
      <c r="M238" s="54">
        <v>0.7883</v>
      </c>
      <c r="N238">
        <v>0.78810000000000002</v>
      </c>
      <c r="O238">
        <v>47.2</v>
      </c>
    </row>
    <row r="239" spans="1:15">
      <c r="A239" s="5">
        <v>33.700000000000003</v>
      </c>
      <c r="B239" s="5">
        <v>856.1</v>
      </c>
      <c r="C239" s="6"/>
      <c r="D239" s="7"/>
      <c r="E239" s="6"/>
      <c r="G239" s="97">
        <f t="shared" si="19"/>
        <v>47.4</v>
      </c>
      <c r="H239">
        <f t="shared" si="15"/>
        <v>0.79069999999999996</v>
      </c>
      <c r="I239">
        <f t="shared" si="16"/>
        <v>0.79094466182224699</v>
      </c>
      <c r="J239">
        <v>47.4</v>
      </c>
      <c r="K239" s="54">
        <f t="shared" si="17"/>
        <v>0.79090000000000005</v>
      </c>
      <c r="L239">
        <f t="shared" si="18"/>
        <v>0.79069999999999996</v>
      </c>
      <c r="M239" s="54">
        <v>0.78920000000000001</v>
      </c>
      <c r="N239">
        <v>0.78900000000000003</v>
      </c>
      <c r="O239">
        <v>47.4</v>
      </c>
    </row>
    <row r="240" spans="1:15">
      <c r="A240" s="5">
        <v>33.799999999999997</v>
      </c>
      <c r="B240" s="5">
        <v>855.6</v>
      </c>
      <c r="C240" s="6"/>
      <c r="D240" s="7"/>
      <c r="E240" s="6"/>
      <c r="G240" s="97">
        <f t="shared" si="19"/>
        <v>47.6</v>
      </c>
      <c r="H240">
        <f t="shared" si="15"/>
        <v>0.78990000000000005</v>
      </c>
      <c r="I240">
        <f t="shared" si="16"/>
        <v>0.79006141820212195</v>
      </c>
      <c r="J240">
        <v>47.6</v>
      </c>
      <c r="K240" s="54">
        <f t="shared" si="17"/>
        <v>0.79010000000000002</v>
      </c>
      <c r="L240">
        <f t="shared" si="18"/>
        <v>0.78990000000000005</v>
      </c>
      <c r="M240" s="54">
        <v>0.79010000000000002</v>
      </c>
      <c r="N240">
        <v>0.78990000000000005</v>
      </c>
      <c r="O240">
        <v>47.599999999999902</v>
      </c>
    </row>
    <row r="241" spans="1:15">
      <c r="A241" s="5">
        <v>33.9</v>
      </c>
      <c r="B241" s="5">
        <v>855</v>
      </c>
      <c r="C241" s="6"/>
      <c r="D241" s="7"/>
      <c r="E241" s="6"/>
      <c r="G241" s="97">
        <f t="shared" si="19"/>
        <v>47.8</v>
      </c>
      <c r="H241">
        <f t="shared" si="15"/>
        <v>0.78900000000000003</v>
      </c>
      <c r="I241">
        <f t="shared" si="16"/>
        <v>0.78918014500836597</v>
      </c>
      <c r="J241">
        <v>47.8</v>
      </c>
      <c r="K241" s="54">
        <f t="shared" si="17"/>
        <v>0.78920000000000001</v>
      </c>
      <c r="L241">
        <f t="shared" si="18"/>
        <v>0.78900000000000003</v>
      </c>
      <c r="M241" s="54">
        <v>0.79090000000000005</v>
      </c>
      <c r="N241">
        <v>0.79069999999999996</v>
      </c>
      <c r="O241">
        <v>47.8</v>
      </c>
    </row>
    <row r="242" spans="1:15">
      <c r="A242" s="5">
        <v>34</v>
      </c>
      <c r="B242" s="5">
        <v>854.5</v>
      </c>
      <c r="C242" s="6"/>
      <c r="D242" s="7"/>
      <c r="E242" s="6"/>
      <c r="G242" s="97">
        <f t="shared" si="19"/>
        <v>48</v>
      </c>
      <c r="H242">
        <f t="shared" si="15"/>
        <v>0.78810000000000002</v>
      </c>
      <c r="I242">
        <f t="shared" si="16"/>
        <v>0.78830083565459597</v>
      </c>
      <c r="J242">
        <v>48</v>
      </c>
      <c r="K242" s="54">
        <f t="shared" si="17"/>
        <v>0.7883</v>
      </c>
      <c r="L242">
        <f t="shared" si="18"/>
        <v>0.78810000000000002</v>
      </c>
      <c r="M242" s="54">
        <v>0.79179999999999995</v>
      </c>
      <c r="N242">
        <v>0.79159999999999997</v>
      </c>
      <c r="O242">
        <v>48</v>
      </c>
    </row>
    <row r="243" spans="1:15">
      <c r="A243" s="5">
        <v>34.1</v>
      </c>
      <c r="B243" s="5">
        <v>854</v>
      </c>
      <c r="C243" s="6"/>
      <c r="D243" s="7"/>
      <c r="E243" s="6"/>
      <c r="G243" s="97">
        <f t="shared" si="19"/>
        <v>48.2</v>
      </c>
      <c r="H243">
        <f t="shared" si="15"/>
        <v>0.78720000000000001</v>
      </c>
      <c r="I243">
        <f t="shared" si="16"/>
        <v>0.78742348358375103</v>
      </c>
      <c r="J243">
        <v>48.2</v>
      </c>
      <c r="K243" s="54">
        <f t="shared" si="17"/>
        <v>0.78739999999999999</v>
      </c>
      <c r="L243">
        <f t="shared" si="18"/>
        <v>0.78720000000000001</v>
      </c>
      <c r="M243" s="54">
        <v>0.79269999999999996</v>
      </c>
      <c r="N243">
        <v>0.79239999999999999</v>
      </c>
      <c r="O243">
        <v>48.199999999999903</v>
      </c>
    </row>
    <row r="244" spans="1:15">
      <c r="A244" s="5">
        <v>34.200000000000003</v>
      </c>
      <c r="B244" s="5">
        <v>853.5</v>
      </c>
      <c r="C244" s="6"/>
      <c r="D244" s="7"/>
      <c r="E244" s="6"/>
      <c r="G244" s="97">
        <f t="shared" si="19"/>
        <v>48.4</v>
      </c>
      <c r="H244">
        <f t="shared" si="15"/>
        <v>0.7863</v>
      </c>
      <c r="I244">
        <f t="shared" si="16"/>
        <v>0.78654808226792705</v>
      </c>
      <c r="J244">
        <v>48.4</v>
      </c>
      <c r="K244" s="54">
        <f t="shared" si="17"/>
        <v>0.78649999999999998</v>
      </c>
      <c r="L244">
        <f t="shared" si="18"/>
        <v>0.7863</v>
      </c>
      <c r="M244" s="54">
        <v>0.79359999999999997</v>
      </c>
      <c r="N244">
        <v>0.79330000000000001</v>
      </c>
      <c r="O244">
        <v>48.399999999999899</v>
      </c>
    </row>
    <row r="245" spans="1:15">
      <c r="A245" s="5">
        <v>34.299999999999997</v>
      </c>
      <c r="B245" s="5">
        <v>853</v>
      </c>
      <c r="C245" s="6"/>
      <c r="D245" s="7"/>
      <c r="E245" s="6"/>
      <c r="G245" s="97">
        <f t="shared" si="19"/>
        <v>48.6</v>
      </c>
      <c r="H245">
        <f t="shared" si="15"/>
        <v>0.78549999999999998</v>
      </c>
      <c r="I245">
        <f t="shared" si="16"/>
        <v>0.78567462520821796</v>
      </c>
      <c r="J245">
        <v>48.6</v>
      </c>
      <c r="K245" s="54">
        <f t="shared" si="17"/>
        <v>0.78569999999999995</v>
      </c>
      <c r="L245">
        <f t="shared" si="18"/>
        <v>0.78549999999999998</v>
      </c>
      <c r="M245" s="54">
        <v>0.79449999999999998</v>
      </c>
      <c r="N245">
        <v>0.79420000000000002</v>
      </c>
      <c r="O245">
        <v>48.599999999999902</v>
      </c>
    </row>
    <row r="246" spans="1:15">
      <c r="A246" s="5">
        <v>34.4</v>
      </c>
      <c r="B246" s="5">
        <v>852.5</v>
      </c>
      <c r="C246" s="6"/>
      <c r="D246" s="7"/>
      <c r="E246" s="6"/>
      <c r="G246" s="97">
        <f t="shared" si="19"/>
        <v>48.8</v>
      </c>
      <c r="H246">
        <f t="shared" si="15"/>
        <v>0.78459999999999996</v>
      </c>
      <c r="I246">
        <f t="shared" si="16"/>
        <v>0.78480310593455305</v>
      </c>
      <c r="J246">
        <v>48.8</v>
      </c>
      <c r="K246" s="54">
        <f t="shared" si="17"/>
        <v>0.78480000000000005</v>
      </c>
      <c r="L246">
        <f t="shared" si="18"/>
        <v>0.78459999999999996</v>
      </c>
      <c r="M246" s="54">
        <v>0.7954</v>
      </c>
      <c r="N246">
        <v>0.79510000000000003</v>
      </c>
      <c r="O246">
        <v>48.800000000000097</v>
      </c>
    </row>
    <row r="247" spans="1:15">
      <c r="A247" s="5">
        <v>34.5</v>
      </c>
      <c r="B247" s="5">
        <v>852</v>
      </c>
      <c r="C247" s="6"/>
      <c r="D247" s="7"/>
      <c r="E247" s="6"/>
      <c r="G247" s="97">
        <f t="shared" si="19"/>
        <v>49</v>
      </c>
      <c r="H247">
        <f t="shared" si="15"/>
        <v>0.78369999999999995</v>
      </c>
      <c r="I247">
        <f t="shared" si="16"/>
        <v>0.78393351800554001</v>
      </c>
      <c r="J247">
        <v>49</v>
      </c>
      <c r="K247" s="54">
        <f t="shared" si="17"/>
        <v>0.78390000000000004</v>
      </c>
      <c r="L247">
        <f t="shared" si="18"/>
        <v>0.78369999999999995</v>
      </c>
      <c r="M247" s="54">
        <v>0.79630000000000001</v>
      </c>
      <c r="N247">
        <v>0.79600000000000004</v>
      </c>
      <c r="O247">
        <v>49</v>
      </c>
    </row>
    <row r="248" spans="1:15">
      <c r="A248" s="5">
        <v>34.6</v>
      </c>
      <c r="B248" s="5">
        <v>851.4</v>
      </c>
      <c r="C248" s="6"/>
      <c r="D248" s="7"/>
      <c r="E248" s="6"/>
      <c r="G248" s="97">
        <f t="shared" si="19"/>
        <v>49.2</v>
      </c>
      <c r="H248">
        <f t="shared" si="15"/>
        <v>0.78290000000000004</v>
      </c>
      <c r="I248">
        <f t="shared" si="16"/>
        <v>0.78306585500830095</v>
      </c>
      <c r="J248">
        <v>49.2</v>
      </c>
      <c r="K248" s="54">
        <f t="shared" si="17"/>
        <v>0.78310000000000002</v>
      </c>
      <c r="L248">
        <f t="shared" si="18"/>
        <v>0.78290000000000004</v>
      </c>
      <c r="M248" s="54">
        <v>0.79720000000000002</v>
      </c>
      <c r="N248">
        <v>0.79690000000000005</v>
      </c>
      <c r="O248">
        <v>49.2</v>
      </c>
    </row>
    <row r="249" spans="1:15">
      <c r="A249" s="5">
        <v>34.700000000000003</v>
      </c>
      <c r="B249" s="5">
        <v>850.9</v>
      </c>
      <c r="C249" s="6"/>
      <c r="D249" s="7"/>
      <c r="E249" s="6"/>
      <c r="G249" s="97">
        <f t="shared" si="19"/>
        <v>49.4</v>
      </c>
      <c r="H249">
        <f t="shared" si="15"/>
        <v>0.78200000000000003</v>
      </c>
      <c r="I249">
        <f t="shared" si="16"/>
        <v>0.78220011055831995</v>
      </c>
      <c r="J249">
        <v>49.4</v>
      </c>
      <c r="K249" s="54">
        <f t="shared" si="17"/>
        <v>0.78220000000000001</v>
      </c>
      <c r="L249">
        <f t="shared" si="18"/>
        <v>0.78200000000000003</v>
      </c>
      <c r="M249" s="54">
        <v>0.79810000000000003</v>
      </c>
      <c r="N249">
        <v>0.79779999999999995</v>
      </c>
      <c r="O249">
        <v>49.399999999999899</v>
      </c>
    </row>
    <row r="250" spans="1:15">
      <c r="A250" s="5">
        <v>34.799999999999997</v>
      </c>
      <c r="B250" s="5">
        <v>850.4</v>
      </c>
      <c r="C250" s="6"/>
      <c r="D250" s="7"/>
      <c r="E250" s="6"/>
      <c r="G250" s="97">
        <f t="shared" si="19"/>
        <v>49.6</v>
      </c>
      <c r="H250">
        <f t="shared" si="15"/>
        <v>0.78110000000000002</v>
      </c>
      <c r="I250">
        <f t="shared" si="16"/>
        <v>0.78133627829928198</v>
      </c>
      <c r="J250">
        <v>49.6</v>
      </c>
      <c r="K250" s="54">
        <f t="shared" si="17"/>
        <v>0.78129999999999999</v>
      </c>
      <c r="L250">
        <f t="shared" si="18"/>
        <v>0.78110000000000002</v>
      </c>
      <c r="M250" s="54">
        <v>0.79900000000000004</v>
      </c>
      <c r="N250">
        <v>0.79869999999999997</v>
      </c>
      <c r="O250">
        <v>49.600000000000101</v>
      </c>
    </row>
    <row r="251" spans="1:15">
      <c r="A251" s="5">
        <v>34.9</v>
      </c>
      <c r="B251" s="5">
        <v>849.9</v>
      </c>
      <c r="C251" s="6"/>
      <c r="D251" s="7"/>
      <c r="E251" s="6"/>
      <c r="G251" s="97">
        <f t="shared" si="19"/>
        <v>49.8</v>
      </c>
      <c r="H251">
        <f t="shared" si="15"/>
        <v>0.78029999999999999</v>
      </c>
      <c r="I251">
        <f t="shared" si="16"/>
        <v>0.78047435190292302</v>
      </c>
      <c r="J251">
        <v>49.8</v>
      </c>
      <c r="K251" s="54">
        <f t="shared" si="17"/>
        <v>0.78049999999999997</v>
      </c>
      <c r="L251">
        <f t="shared" si="18"/>
        <v>0.78029999999999999</v>
      </c>
      <c r="M251" s="54">
        <v>0.79990000000000006</v>
      </c>
      <c r="N251">
        <v>0.79959999999999998</v>
      </c>
      <c r="O251">
        <v>49.800000000000097</v>
      </c>
    </row>
    <row r="252" spans="1:15">
      <c r="A252" s="5">
        <v>35</v>
      </c>
      <c r="B252" s="5">
        <v>849.4</v>
      </c>
      <c r="C252" s="6"/>
      <c r="D252" s="7"/>
      <c r="E252" s="6"/>
      <c r="G252" s="97">
        <f t="shared" si="19"/>
        <v>50</v>
      </c>
      <c r="H252">
        <f t="shared" si="15"/>
        <v>0.77939999999999998</v>
      </c>
      <c r="I252">
        <f t="shared" si="16"/>
        <v>0.77961432506887096</v>
      </c>
      <c r="J252">
        <v>50</v>
      </c>
      <c r="K252" s="54">
        <f t="shared" si="17"/>
        <v>0.77959999999999996</v>
      </c>
      <c r="L252">
        <f t="shared" si="18"/>
        <v>0.77939999999999998</v>
      </c>
      <c r="M252" s="54">
        <v>0.80079999999999996</v>
      </c>
      <c r="N252">
        <v>0.80049999999999999</v>
      </c>
      <c r="O252">
        <v>49.999999999999901</v>
      </c>
    </row>
    <row r="253" spans="1:15">
      <c r="A253" s="5">
        <v>35.1</v>
      </c>
      <c r="B253" s="5">
        <v>848.9</v>
      </c>
      <c r="C253" s="6"/>
      <c r="D253" s="7"/>
      <c r="E253" s="6"/>
      <c r="G253" s="97">
        <f t="shared" si="19"/>
        <v>50.2</v>
      </c>
      <c r="H253">
        <f t="shared" si="15"/>
        <v>0.77859999999999996</v>
      </c>
      <c r="I253">
        <f t="shared" si="16"/>
        <v>0.77875619152449105</v>
      </c>
      <c r="J253">
        <v>50.2</v>
      </c>
      <c r="K253" s="54">
        <f t="shared" si="17"/>
        <v>0.77880000000000005</v>
      </c>
      <c r="L253">
        <f t="shared" si="18"/>
        <v>0.77859999999999996</v>
      </c>
      <c r="M253" s="54">
        <v>0.80169999999999997</v>
      </c>
      <c r="N253">
        <v>0.8014</v>
      </c>
      <c r="O253">
        <v>50.2</v>
      </c>
    </row>
    <row r="254" spans="1:15">
      <c r="A254" s="5">
        <v>35.200000000000003</v>
      </c>
      <c r="B254" s="5">
        <v>848.4</v>
      </c>
      <c r="C254" s="6"/>
      <c r="D254" s="7"/>
      <c r="E254" s="6"/>
      <c r="G254" s="97">
        <f t="shared" si="19"/>
        <v>50.4</v>
      </c>
      <c r="H254">
        <f t="shared" si="15"/>
        <v>0.77769999999999995</v>
      </c>
      <c r="I254">
        <f t="shared" si="16"/>
        <v>0.77789994502473903</v>
      </c>
      <c r="J254">
        <v>50.4</v>
      </c>
      <c r="K254" s="54">
        <f t="shared" si="17"/>
        <v>0.77790000000000004</v>
      </c>
      <c r="L254">
        <f t="shared" si="18"/>
        <v>0.77769999999999995</v>
      </c>
      <c r="M254" s="54">
        <v>0.80259999999999998</v>
      </c>
      <c r="N254">
        <v>0.80230000000000001</v>
      </c>
      <c r="O254">
        <v>50.399999999999899</v>
      </c>
    </row>
    <row r="255" spans="1:15">
      <c r="A255" s="5">
        <v>35.299999999999997</v>
      </c>
      <c r="B255" s="5">
        <v>847.9</v>
      </c>
      <c r="C255" s="6"/>
      <c r="D255" s="7"/>
      <c r="E255" s="6"/>
      <c r="G255" s="97">
        <f t="shared" si="19"/>
        <v>50.6</v>
      </c>
      <c r="H255">
        <f t="shared" si="15"/>
        <v>0.77680000000000005</v>
      </c>
      <c r="I255">
        <f t="shared" si="16"/>
        <v>0.77704557935200402</v>
      </c>
      <c r="J255">
        <v>50.6</v>
      </c>
      <c r="K255" s="54">
        <f t="shared" si="17"/>
        <v>0.77700000000000002</v>
      </c>
      <c r="L255">
        <f t="shared" si="18"/>
        <v>0.77680000000000005</v>
      </c>
      <c r="M255" s="54">
        <v>0.80349999999999999</v>
      </c>
      <c r="N255">
        <v>0.80320000000000003</v>
      </c>
      <c r="O255">
        <v>50.600000000000101</v>
      </c>
    </row>
    <row r="256" spans="1:15">
      <c r="A256" s="5">
        <v>35.4</v>
      </c>
      <c r="B256" s="5">
        <v>847.4</v>
      </c>
      <c r="C256" s="6"/>
      <c r="D256" s="7"/>
      <c r="E256" s="6"/>
      <c r="G256" s="97">
        <f t="shared" si="19"/>
        <v>50.8</v>
      </c>
      <c r="H256">
        <f t="shared" si="15"/>
        <v>0.77600000000000002</v>
      </c>
      <c r="I256">
        <f t="shared" si="16"/>
        <v>0.77619308831596301</v>
      </c>
      <c r="J256">
        <v>50.8</v>
      </c>
      <c r="K256" s="54">
        <f t="shared" si="17"/>
        <v>0.7762</v>
      </c>
      <c r="L256">
        <f t="shared" si="18"/>
        <v>0.77600000000000002</v>
      </c>
      <c r="M256" s="54">
        <v>0.8044</v>
      </c>
      <c r="N256">
        <v>0.80410000000000004</v>
      </c>
      <c r="O256">
        <v>50.799999999999898</v>
      </c>
    </row>
    <row r="257" spans="1:15">
      <c r="A257" s="5">
        <v>35.5</v>
      </c>
      <c r="B257" s="5">
        <v>846.9</v>
      </c>
      <c r="C257" s="6"/>
      <c r="D257" s="7"/>
      <c r="E257" s="6"/>
      <c r="G257" s="97">
        <f t="shared" si="19"/>
        <v>51</v>
      </c>
      <c r="H257">
        <f t="shared" si="15"/>
        <v>0.77510000000000001</v>
      </c>
      <c r="I257">
        <f t="shared" si="16"/>
        <v>0.77534246575342503</v>
      </c>
      <c r="J257">
        <v>51</v>
      </c>
      <c r="K257" s="54">
        <f t="shared" si="17"/>
        <v>0.77529999999999999</v>
      </c>
      <c r="L257">
        <f t="shared" si="18"/>
        <v>0.77510000000000001</v>
      </c>
      <c r="M257" s="54">
        <v>0.8054</v>
      </c>
      <c r="N257">
        <v>0.80510000000000004</v>
      </c>
      <c r="O257">
        <v>50.999999999999901</v>
      </c>
    </row>
    <row r="258" spans="1:15">
      <c r="A258" s="5">
        <v>35.6</v>
      </c>
      <c r="B258" s="5">
        <v>846.4</v>
      </c>
      <c r="C258" s="6"/>
      <c r="D258" s="7"/>
      <c r="E258" s="6"/>
      <c r="G258" s="97">
        <f t="shared" si="19"/>
        <v>51.2</v>
      </c>
      <c r="H258">
        <f t="shared" ref="H258:H321" si="20">K258+VLOOKUP(K258,table,2)</f>
        <v>0.77429999999999999</v>
      </c>
      <c r="I258">
        <f t="shared" ref="I258:I321" si="21">(141.5/(G258+131.5))</f>
        <v>0.77449370552818797</v>
      </c>
      <c r="J258">
        <v>51.2</v>
      </c>
      <c r="K258" s="54">
        <f t="shared" ref="K258:K321" si="22">(141.5/(J258+131.5))</f>
        <v>0.77449999999999997</v>
      </c>
      <c r="L258">
        <f t="shared" ref="L258:L321" si="23">K258+VLOOKUP(K258,table,2)</f>
        <v>0.77429999999999999</v>
      </c>
      <c r="M258" s="54">
        <v>0.80630000000000002</v>
      </c>
      <c r="N258">
        <v>0.80600000000000005</v>
      </c>
      <c r="O258">
        <v>51.200000000000102</v>
      </c>
    </row>
    <row r="259" spans="1:15">
      <c r="A259" s="5">
        <v>35.700000000000003</v>
      </c>
      <c r="B259" s="5">
        <v>845.8</v>
      </c>
      <c r="C259" s="6"/>
      <c r="D259" s="7"/>
      <c r="E259" s="6"/>
      <c r="G259" s="97">
        <f t="shared" ref="G259:G322" si="24">(141.5/K259)-131.5</f>
        <v>51.4</v>
      </c>
      <c r="H259">
        <f t="shared" si="20"/>
        <v>0.77339999999999998</v>
      </c>
      <c r="I259">
        <f t="shared" si="21"/>
        <v>0.77364680153089105</v>
      </c>
      <c r="J259">
        <v>51.4</v>
      </c>
      <c r="K259" s="54">
        <f t="shared" si="22"/>
        <v>0.77359999999999995</v>
      </c>
      <c r="L259">
        <f t="shared" si="23"/>
        <v>0.77339999999999998</v>
      </c>
      <c r="M259" s="54">
        <v>0.80720000000000003</v>
      </c>
      <c r="N259">
        <v>0.80689999999999995</v>
      </c>
      <c r="O259">
        <v>51.4</v>
      </c>
    </row>
    <row r="260" spans="1:15">
      <c r="A260" s="5">
        <v>35.799999999999997</v>
      </c>
      <c r="B260" s="5">
        <v>845.3</v>
      </c>
      <c r="C260" s="6"/>
      <c r="D260" s="7"/>
      <c r="E260" s="6"/>
      <c r="G260" s="97">
        <f t="shared" si="24"/>
        <v>51.6</v>
      </c>
      <c r="H260">
        <f t="shared" si="20"/>
        <v>0.77259999999999995</v>
      </c>
      <c r="I260">
        <f t="shared" si="21"/>
        <v>0.772801747678864</v>
      </c>
      <c r="J260">
        <v>51.6</v>
      </c>
      <c r="K260" s="54">
        <f t="shared" si="22"/>
        <v>0.77280000000000004</v>
      </c>
      <c r="L260">
        <f t="shared" si="23"/>
        <v>0.77259999999999995</v>
      </c>
      <c r="M260" s="54">
        <v>0.80810000000000004</v>
      </c>
      <c r="N260">
        <v>0.80779999999999996</v>
      </c>
      <c r="O260">
        <v>51.6</v>
      </c>
    </row>
    <row r="261" spans="1:15">
      <c r="A261" s="5">
        <v>35.9</v>
      </c>
      <c r="B261" s="5">
        <v>844.8</v>
      </c>
      <c r="C261" s="6"/>
      <c r="D261" s="7"/>
      <c r="E261" s="6"/>
      <c r="G261" s="97">
        <f t="shared" si="24"/>
        <v>51.8</v>
      </c>
      <c r="H261">
        <f t="shared" si="20"/>
        <v>0.77180000000000004</v>
      </c>
      <c r="I261">
        <f t="shared" si="21"/>
        <v>0.77195853791598501</v>
      </c>
      <c r="J261">
        <v>51.8</v>
      </c>
      <c r="K261" s="54">
        <f t="shared" si="22"/>
        <v>0.77200000000000002</v>
      </c>
      <c r="L261">
        <f t="shared" si="23"/>
        <v>0.77180000000000004</v>
      </c>
      <c r="M261" s="54">
        <v>0.80900000000000005</v>
      </c>
      <c r="N261">
        <v>0.80869999999999997</v>
      </c>
      <c r="O261">
        <v>51.799999999999898</v>
      </c>
    </row>
    <row r="262" spans="1:15">
      <c r="A262" s="5">
        <v>36</v>
      </c>
      <c r="B262" s="5">
        <v>844.3</v>
      </c>
      <c r="C262" s="6"/>
      <c r="D262" s="7"/>
      <c r="E262" s="6"/>
      <c r="G262" s="97">
        <f t="shared" si="24"/>
        <v>52</v>
      </c>
      <c r="H262">
        <f t="shared" si="20"/>
        <v>0.77090000000000003</v>
      </c>
      <c r="I262">
        <f t="shared" si="21"/>
        <v>0.77111716621253401</v>
      </c>
      <c r="J262">
        <v>52</v>
      </c>
      <c r="K262" s="54">
        <f t="shared" si="22"/>
        <v>0.77110000000000001</v>
      </c>
      <c r="L262">
        <f t="shared" si="23"/>
        <v>0.77090000000000003</v>
      </c>
      <c r="M262" s="54">
        <v>0.81</v>
      </c>
      <c r="N262">
        <v>0.80969999999999998</v>
      </c>
      <c r="O262">
        <v>52</v>
      </c>
    </row>
    <row r="263" spans="1:15">
      <c r="A263" s="5">
        <v>36.1</v>
      </c>
      <c r="B263" s="5">
        <v>843.8</v>
      </c>
      <c r="C263" s="6"/>
      <c r="D263" s="7"/>
      <c r="E263" s="6"/>
      <c r="G263" s="97">
        <f t="shared" si="24"/>
        <v>52.2</v>
      </c>
      <c r="H263">
        <f t="shared" si="20"/>
        <v>0.77010000000000001</v>
      </c>
      <c r="I263">
        <f t="shared" si="21"/>
        <v>0.77027762656505205</v>
      </c>
      <c r="J263">
        <v>52.2</v>
      </c>
      <c r="K263" s="54">
        <f t="shared" si="22"/>
        <v>0.77029999999999998</v>
      </c>
      <c r="L263">
        <f t="shared" si="23"/>
        <v>0.77010000000000001</v>
      </c>
      <c r="M263" s="54">
        <v>0.81089999999999995</v>
      </c>
      <c r="N263">
        <v>0.81059999999999999</v>
      </c>
      <c r="O263">
        <v>52.199999999999903</v>
      </c>
    </row>
    <row r="264" spans="1:15">
      <c r="A264" s="5">
        <v>36.200000000000003</v>
      </c>
      <c r="B264" s="5">
        <v>843.3</v>
      </c>
      <c r="C264" s="6"/>
      <c r="D264" s="7"/>
      <c r="E264" s="6"/>
      <c r="G264" s="97">
        <f t="shared" si="24"/>
        <v>52.4</v>
      </c>
      <c r="H264">
        <f t="shared" si="20"/>
        <v>0.76919999999999999</v>
      </c>
      <c r="I264">
        <f t="shared" si="21"/>
        <v>0.76943991299619396</v>
      </c>
      <c r="J264">
        <v>52.4</v>
      </c>
      <c r="K264" s="54">
        <f t="shared" si="22"/>
        <v>0.76939999999999997</v>
      </c>
      <c r="L264">
        <f t="shared" si="23"/>
        <v>0.76919999999999999</v>
      </c>
      <c r="M264" s="54">
        <v>0.81179999999999997</v>
      </c>
      <c r="N264">
        <v>0.8115</v>
      </c>
      <c r="O264">
        <v>52.399999999999899</v>
      </c>
    </row>
    <row r="265" spans="1:15">
      <c r="A265" s="5">
        <v>36.299999999999997</v>
      </c>
      <c r="B265" s="5">
        <v>842.8</v>
      </c>
      <c r="C265" s="6"/>
      <c r="D265" s="7"/>
      <c r="E265" s="6"/>
      <c r="G265" s="97">
        <f t="shared" si="24"/>
        <v>52.6</v>
      </c>
      <c r="H265">
        <f t="shared" si="20"/>
        <v>0.76839999999999997</v>
      </c>
      <c r="I265">
        <f t="shared" si="21"/>
        <v>0.76860401955459001</v>
      </c>
      <c r="J265">
        <v>52.6</v>
      </c>
      <c r="K265" s="54">
        <f t="shared" si="22"/>
        <v>0.76859999999999995</v>
      </c>
      <c r="L265">
        <f t="shared" si="23"/>
        <v>0.76839999999999997</v>
      </c>
      <c r="M265" s="54">
        <v>0.81279999999999997</v>
      </c>
      <c r="N265">
        <v>0.8125</v>
      </c>
      <c r="O265">
        <v>52.6</v>
      </c>
    </row>
    <row r="266" spans="1:15">
      <c r="A266" s="5">
        <v>36.4</v>
      </c>
      <c r="B266" s="5">
        <v>842.3</v>
      </c>
      <c r="C266" s="6"/>
      <c r="D266" s="7"/>
      <c r="E266" s="6"/>
      <c r="G266" s="97">
        <f t="shared" si="24"/>
        <v>52.8</v>
      </c>
      <c r="H266">
        <f t="shared" si="20"/>
        <v>0.76759999999999995</v>
      </c>
      <c r="I266">
        <f t="shared" si="21"/>
        <v>0.76776994031470402</v>
      </c>
      <c r="J266">
        <v>52.8</v>
      </c>
      <c r="K266" s="54">
        <f t="shared" si="22"/>
        <v>0.76780000000000004</v>
      </c>
      <c r="L266">
        <f t="shared" si="23"/>
        <v>0.76759999999999995</v>
      </c>
      <c r="M266" s="54">
        <v>0.81369999999999998</v>
      </c>
      <c r="N266">
        <v>0.81340000000000001</v>
      </c>
      <c r="O266">
        <v>52.800000000000097</v>
      </c>
    </row>
    <row r="267" spans="1:15">
      <c r="A267" s="5">
        <v>36.5</v>
      </c>
      <c r="B267" s="5">
        <v>841.8</v>
      </c>
      <c r="C267" s="6"/>
      <c r="D267" s="7"/>
      <c r="E267" s="6"/>
      <c r="G267" s="97">
        <f t="shared" si="24"/>
        <v>53</v>
      </c>
      <c r="H267">
        <f t="shared" si="20"/>
        <v>0.76670000000000005</v>
      </c>
      <c r="I267">
        <f t="shared" si="21"/>
        <v>0.76693766937669405</v>
      </c>
      <c r="J267">
        <v>53</v>
      </c>
      <c r="K267" s="54">
        <f t="shared" si="22"/>
        <v>0.76690000000000003</v>
      </c>
      <c r="L267">
        <f t="shared" si="23"/>
        <v>0.76670000000000005</v>
      </c>
      <c r="M267" s="54">
        <v>0.81459999999999999</v>
      </c>
      <c r="N267">
        <v>0.81430000000000002</v>
      </c>
      <c r="O267">
        <v>52.999999999999901</v>
      </c>
    </row>
    <row r="268" spans="1:15">
      <c r="A268" s="5">
        <v>36.6</v>
      </c>
      <c r="B268" s="5">
        <v>841.3</v>
      </c>
      <c r="C268" s="6"/>
      <c r="D268" s="7"/>
      <c r="E268" s="6"/>
      <c r="G268" s="97">
        <f t="shared" si="24"/>
        <v>53.2</v>
      </c>
      <c r="H268">
        <f t="shared" si="20"/>
        <v>0.76590000000000003</v>
      </c>
      <c r="I268">
        <f t="shared" si="21"/>
        <v>0.76610720086627004</v>
      </c>
      <c r="J268">
        <v>53.2</v>
      </c>
      <c r="K268" s="54">
        <f t="shared" si="22"/>
        <v>0.7661</v>
      </c>
      <c r="L268">
        <f t="shared" si="23"/>
        <v>0.76590000000000003</v>
      </c>
      <c r="M268" s="54">
        <v>0.81559999999999999</v>
      </c>
      <c r="N268">
        <v>0.81530000000000002</v>
      </c>
      <c r="O268">
        <v>53.199999999999903</v>
      </c>
    </row>
    <row r="269" spans="1:15">
      <c r="A269" s="5">
        <v>36.700000000000003</v>
      </c>
      <c r="B269" s="5">
        <v>840.8</v>
      </c>
      <c r="C269" s="6"/>
      <c r="D269" s="7"/>
      <c r="E269" s="6"/>
      <c r="G269" s="97">
        <f t="shared" si="24"/>
        <v>53.4</v>
      </c>
      <c r="H269">
        <f t="shared" si="20"/>
        <v>0.7651</v>
      </c>
      <c r="I269">
        <f t="shared" si="21"/>
        <v>0.76527852893455905</v>
      </c>
      <c r="J269">
        <v>53.4</v>
      </c>
      <c r="K269" s="54">
        <f t="shared" si="22"/>
        <v>0.76529999999999998</v>
      </c>
      <c r="L269">
        <f t="shared" si="23"/>
        <v>0.7651</v>
      </c>
      <c r="M269" s="54">
        <v>0.8165</v>
      </c>
      <c r="N269">
        <v>0.81620000000000004</v>
      </c>
      <c r="O269">
        <v>53.4</v>
      </c>
    </row>
    <row r="270" spans="1:15">
      <c r="A270" s="5">
        <v>36.799999999999997</v>
      </c>
      <c r="B270" s="5">
        <v>840.3</v>
      </c>
      <c r="C270" s="6"/>
      <c r="D270" s="7"/>
      <c r="E270" s="6"/>
      <c r="G270" s="97">
        <f t="shared" si="24"/>
        <v>53.6</v>
      </c>
      <c r="H270">
        <f t="shared" si="20"/>
        <v>0.76429999999999998</v>
      </c>
      <c r="I270">
        <f t="shared" si="21"/>
        <v>0.76445164775796903</v>
      </c>
      <c r="J270">
        <v>53.6</v>
      </c>
      <c r="K270" s="54">
        <f t="shared" si="22"/>
        <v>0.76449999999999996</v>
      </c>
      <c r="L270">
        <f t="shared" si="23"/>
        <v>0.76429999999999998</v>
      </c>
      <c r="M270" s="54">
        <v>0.81740000000000002</v>
      </c>
      <c r="N270">
        <v>0.81710000000000005</v>
      </c>
      <c r="O270">
        <v>53.599999999999902</v>
      </c>
    </row>
    <row r="271" spans="1:15">
      <c r="A271" s="5">
        <v>36.9</v>
      </c>
      <c r="B271" s="5">
        <v>839.8</v>
      </c>
      <c r="C271" s="6"/>
      <c r="D271" s="7"/>
      <c r="E271" s="6"/>
      <c r="G271" s="97">
        <f t="shared" si="24"/>
        <v>53.8</v>
      </c>
      <c r="H271">
        <f t="shared" si="20"/>
        <v>0.76339999999999997</v>
      </c>
      <c r="I271">
        <f t="shared" si="21"/>
        <v>0.76362655153804604</v>
      </c>
      <c r="J271">
        <v>53.8</v>
      </c>
      <c r="K271" s="54">
        <f t="shared" si="22"/>
        <v>0.76359999999999995</v>
      </c>
      <c r="L271">
        <f t="shared" si="23"/>
        <v>0.76339999999999997</v>
      </c>
      <c r="M271" s="54">
        <v>0.81840000000000002</v>
      </c>
      <c r="N271">
        <v>0.81810000000000005</v>
      </c>
      <c r="O271">
        <v>53.800000000000097</v>
      </c>
    </row>
    <row r="272" spans="1:15">
      <c r="A272" s="5">
        <v>37</v>
      </c>
      <c r="B272" s="5">
        <v>839.3</v>
      </c>
      <c r="C272" s="6"/>
      <c r="D272" s="7"/>
      <c r="E272" s="6"/>
      <c r="G272" s="97">
        <f t="shared" si="24"/>
        <v>54</v>
      </c>
      <c r="H272">
        <f t="shared" si="20"/>
        <v>0.76259999999999994</v>
      </c>
      <c r="I272">
        <f t="shared" si="21"/>
        <v>0.76280323450134802</v>
      </c>
      <c r="J272">
        <v>54</v>
      </c>
      <c r="K272" s="54">
        <f t="shared" si="22"/>
        <v>0.76280000000000003</v>
      </c>
      <c r="L272">
        <f t="shared" si="23"/>
        <v>0.76259999999999994</v>
      </c>
      <c r="M272" s="54">
        <v>0.81930000000000003</v>
      </c>
      <c r="N272">
        <v>0.81899999999999995</v>
      </c>
      <c r="O272">
        <v>53.999999999999901</v>
      </c>
    </row>
    <row r="273" spans="1:15">
      <c r="A273" s="5">
        <v>37.1</v>
      </c>
      <c r="B273" s="5">
        <v>838.8</v>
      </c>
      <c r="C273" s="6"/>
      <c r="D273" s="7"/>
      <c r="E273" s="6"/>
      <c r="G273" s="97">
        <f t="shared" si="24"/>
        <v>54.2</v>
      </c>
      <c r="H273">
        <f t="shared" si="20"/>
        <v>0.76180000000000003</v>
      </c>
      <c r="I273">
        <f t="shared" si="21"/>
        <v>0.76198169089930001</v>
      </c>
      <c r="J273">
        <v>54.2</v>
      </c>
      <c r="K273" s="54">
        <f t="shared" si="22"/>
        <v>0.76200000000000001</v>
      </c>
      <c r="L273">
        <f t="shared" si="23"/>
        <v>0.76180000000000003</v>
      </c>
      <c r="M273" s="54">
        <v>0.82030000000000003</v>
      </c>
      <c r="N273">
        <v>0.82</v>
      </c>
      <c r="O273">
        <v>54.2</v>
      </c>
    </row>
    <row r="274" spans="1:15">
      <c r="A274" s="5">
        <v>37.200000000000003</v>
      </c>
      <c r="B274" s="5">
        <v>838.3</v>
      </c>
      <c r="C274" s="6"/>
      <c r="D274" s="7"/>
      <c r="E274" s="6"/>
      <c r="G274" s="97">
        <f t="shared" si="24"/>
        <v>54.4</v>
      </c>
      <c r="H274">
        <f t="shared" si="20"/>
        <v>0.76100000000000001</v>
      </c>
      <c r="I274">
        <f t="shared" si="21"/>
        <v>0.76116191500806896</v>
      </c>
      <c r="J274">
        <v>54.4</v>
      </c>
      <c r="K274" s="54">
        <f t="shared" si="22"/>
        <v>0.76119999999999999</v>
      </c>
      <c r="L274">
        <f t="shared" si="23"/>
        <v>0.76100000000000001</v>
      </c>
      <c r="M274" s="54">
        <v>0.82120000000000004</v>
      </c>
      <c r="N274">
        <v>0.82089999999999996</v>
      </c>
      <c r="O274">
        <v>54.4</v>
      </c>
    </row>
    <row r="275" spans="1:15">
      <c r="A275" s="5">
        <v>37.299999999999997</v>
      </c>
      <c r="B275" s="5">
        <v>837.8</v>
      </c>
      <c r="C275" s="6"/>
      <c r="D275" s="7"/>
      <c r="E275" s="6"/>
      <c r="G275" s="97">
        <f t="shared" si="24"/>
        <v>54.6</v>
      </c>
      <c r="H275">
        <f t="shared" si="20"/>
        <v>0.7601</v>
      </c>
      <c r="I275">
        <f t="shared" si="21"/>
        <v>0.76034390112842598</v>
      </c>
      <c r="J275">
        <v>54.6</v>
      </c>
      <c r="K275" s="54">
        <f t="shared" si="22"/>
        <v>0.76029999999999998</v>
      </c>
      <c r="L275">
        <f t="shared" si="23"/>
        <v>0.7601</v>
      </c>
      <c r="M275" s="54">
        <v>0.82220000000000004</v>
      </c>
      <c r="N275">
        <v>0.82189999999999996</v>
      </c>
      <c r="O275">
        <v>54.599999999999902</v>
      </c>
    </row>
    <row r="276" spans="1:15">
      <c r="A276" s="5">
        <v>37.4</v>
      </c>
      <c r="B276" s="5">
        <v>837.3</v>
      </c>
      <c r="C276" s="6"/>
      <c r="D276" s="7"/>
      <c r="E276" s="6"/>
      <c r="G276" s="97">
        <f t="shared" si="24"/>
        <v>54.8</v>
      </c>
      <c r="H276">
        <f t="shared" si="20"/>
        <v>0.75929999999999997</v>
      </c>
      <c r="I276">
        <f t="shared" si="21"/>
        <v>0.75952764358561498</v>
      </c>
      <c r="J276">
        <v>54.8</v>
      </c>
      <c r="K276" s="54">
        <f t="shared" si="22"/>
        <v>0.75949999999999995</v>
      </c>
      <c r="L276">
        <f t="shared" si="23"/>
        <v>0.75929999999999997</v>
      </c>
      <c r="M276" s="54">
        <v>0.82320000000000004</v>
      </c>
      <c r="N276">
        <v>0.82289999999999996</v>
      </c>
      <c r="O276">
        <v>54.799999999999898</v>
      </c>
    </row>
    <row r="277" spans="1:15">
      <c r="A277" s="5">
        <v>37.5</v>
      </c>
      <c r="B277" s="5">
        <v>836.8</v>
      </c>
      <c r="C277" s="6"/>
      <c r="D277" s="7"/>
      <c r="E277" s="6"/>
      <c r="G277" s="97">
        <f t="shared" si="24"/>
        <v>55</v>
      </c>
      <c r="H277">
        <f t="shared" si="20"/>
        <v>0.75849999999999995</v>
      </c>
      <c r="I277">
        <f t="shared" si="21"/>
        <v>0.75871313672922203</v>
      </c>
      <c r="J277">
        <v>55</v>
      </c>
      <c r="K277" s="54">
        <f t="shared" si="22"/>
        <v>0.75870000000000004</v>
      </c>
      <c r="L277">
        <f t="shared" si="23"/>
        <v>0.75849999999999995</v>
      </c>
      <c r="M277" s="54">
        <v>0.82410000000000005</v>
      </c>
      <c r="N277">
        <v>0.82379999999999998</v>
      </c>
      <c r="O277">
        <v>55.000000000000099</v>
      </c>
    </row>
    <row r="278" spans="1:15">
      <c r="A278" s="5">
        <v>37.6</v>
      </c>
      <c r="B278" s="5">
        <v>836.4</v>
      </c>
      <c r="C278" s="6"/>
      <c r="D278" s="7"/>
      <c r="E278" s="6"/>
      <c r="G278" s="97">
        <f t="shared" si="24"/>
        <v>55.2</v>
      </c>
      <c r="H278">
        <f t="shared" si="20"/>
        <v>0.75770000000000004</v>
      </c>
      <c r="I278">
        <f t="shared" si="21"/>
        <v>0.75790037493304796</v>
      </c>
      <c r="J278">
        <v>55.2</v>
      </c>
      <c r="K278" s="54">
        <f t="shared" si="22"/>
        <v>0.75790000000000002</v>
      </c>
      <c r="L278">
        <f t="shared" si="23"/>
        <v>0.75770000000000004</v>
      </c>
      <c r="M278" s="54">
        <v>0.82509999999999994</v>
      </c>
      <c r="N278">
        <v>0.82479999999999998</v>
      </c>
      <c r="O278">
        <v>55.199999999999903</v>
      </c>
    </row>
    <row r="279" spans="1:15">
      <c r="A279" s="5">
        <v>37.700000000000003</v>
      </c>
      <c r="B279" s="5">
        <v>835.9</v>
      </c>
      <c r="C279" s="6"/>
      <c r="D279" s="7"/>
      <c r="E279" s="6"/>
      <c r="G279" s="97">
        <f t="shared" si="24"/>
        <v>55.4</v>
      </c>
      <c r="H279">
        <f t="shared" si="20"/>
        <v>0.75690000000000002</v>
      </c>
      <c r="I279">
        <f t="shared" si="21"/>
        <v>0.75708935259497101</v>
      </c>
      <c r="J279">
        <v>55.4</v>
      </c>
      <c r="K279" s="54">
        <f t="shared" si="22"/>
        <v>0.7571</v>
      </c>
      <c r="L279">
        <f t="shared" si="23"/>
        <v>0.75690000000000002</v>
      </c>
      <c r="M279" s="54">
        <v>0.82599999999999996</v>
      </c>
      <c r="N279">
        <v>0.82569999999999999</v>
      </c>
      <c r="O279">
        <v>55.399999999999899</v>
      </c>
    </row>
    <row r="280" spans="1:15">
      <c r="A280" s="5">
        <v>37.799999999999997</v>
      </c>
      <c r="B280" s="5">
        <v>835.4</v>
      </c>
      <c r="C280" s="6"/>
      <c r="D280" s="7"/>
      <c r="E280" s="6"/>
      <c r="G280" s="97">
        <f t="shared" si="24"/>
        <v>55.6</v>
      </c>
      <c r="H280">
        <f t="shared" si="20"/>
        <v>0.75609999999999999</v>
      </c>
      <c r="I280">
        <f t="shared" si="21"/>
        <v>0.75628006413682503</v>
      </c>
      <c r="J280">
        <v>55.6</v>
      </c>
      <c r="K280" s="54">
        <f t="shared" si="22"/>
        <v>0.75629999999999997</v>
      </c>
      <c r="L280">
        <f t="shared" si="23"/>
        <v>0.75609999999999999</v>
      </c>
      <c r="M280" s="54">
        <v>0.82699999999999996</v>
      </c>
      <c r="N280">
        <v>0.82669999999999999</v>
      </c>
      <c r="O280">
        <v>55.600000000000101</v>
      </c>
    </row>
    <row r="281" spans="1:15">
      <c r="A281" s="5">
        <v>37.9</v>
      </c>
      <c r="B281" s="5">
        <v>834.9</v>
      </c>
      <c r="C281" s="6"/>
      <c r="D281" s="7"/>
      <c r="E281" s="6"/>
      <c r="G281" s="97">
        <f t="shared" si="24"/>
        <v>55.8</v>
      </c>
      <c r="H281">
        <f t="shared" si="20"/>
        <v>0.75529999999999997</v>
      </c>
      <c r="I281">
        <f t="shared" si="21"/>
        <v>0.75547250400427102</v>
      </c>
      <c r="J281">
        <v>55.8</v>
      </c>
      <c r="K281" s="54">
        <f t="shared" si="22"/>
        <v>0.75549999999999995</v>
      </c>
      <c r="L281">
        <f t="shared" si="23"/>
        <v>0.75529999999999997</v>
      </c>
      <c r="M281" s="54">
        <v>0.82799999999999996</v>
      </c>
      <c r="N281">
        <v>0.82769999999999999</v>
      </c>
      <c r="O281">
        <v>55.8</v>
      </c>
    </row>
    <row r="282" spans="1:15">
      <c r="A282" s="5">
        <v>38</v>
      </c>
      <c r="B282" s="5">
        <v>934.4</v>
      </c>
      <c r="C282" s="6"/>
      <c r="D282" s="7"/>
      <c r="E282" s="6"/>
      <c r="G282" s="97">
        <f t="shared" si="24"/>
        <v>56</v>
      </c>
      <c r="H282">
        <f t="shared" si="20"/>
        <v>0.75449999999999995</v>
      </c>
      <c r="I282">
        <f t="shared" si="21"/>
        <v>0.75466666666666704</v>
      </c>
      <c r="J282">
        <v>56</v>
      </c>
      <c r="K282" s="54">
        <f t="shared" si="22"/>
        <v>0.75470000000000004</v>
      </c>
      <c r="L282">
        <f t="shared" si="23"/>
        <v>0.75449999999999995</v>
      </c>
      <c r="M282" s="54">
        <v>0.82889999999999997</v>
      </c>
      <c r="N282">
        <v>0.8286</v>
      </c>
      <c r="O282">
        <v>55.999999999999901</v>
      </c>
    </row>
    <row r="283" spans="1:15">
      <c r="A283" s="5">
        <v>38.1</v>
      </c>
      <c r="B283" s="5">
        <v>833.9</v>
      </c>
      <c r="C283" s="6"/>
      <c r="D283" s="7"/>
      <c r="E283" s="6"/>
      <c r="G283" s="97">
        <f t="shared" si="24"/>
        <v>56.2</v>
      </c>
      <c r="H283">
        <f t="shared" si="20"/>
        <v>0.75370000000000004</v>
      </c>
      <c r="I283">
        <f t="shared" si="21"/>
        <v>0.75386254661694196</v>
      </c>
      <c r="J283">
        <v>56.2</v>
      </c>
      <c r="K283" s="54">
        <f t="shared" si="22"/>
        <v>0.75390000000000001</v>
      </c>
      <c r="L283">
        <f t="shared" si="23"/>
        <v>0.75370000000000004</v>
      </c>
      <c r="M283" s="54">
        <v>0.82989999999999997</v>
      </c>
      <c r="N283">
        <v>0.8296</v>
      </c>
      <c r="O283">
        <v>56.2</v>
      </c>
    </row>
    <row r="284" spans="1:15">
      <c r="A284" s="5">
        <v>38.200000000000003</v>
      </c>
      <c r="B284" s="5">
        <v>833.4</v>
      </c>
      <c r="C284" s="6"/>
      <c r="D284" s="7"/>
      <c r="E284" s="6"/>
      <c r="G284" s="97">
        <f t="shared" si="24"/>
        <v>56.4</v>
      </c>
      <c r="H284">
        <f t="shared" si="20"/>
        <v>0.75290000000000001</v>
      </c>
      <c r="I284">
        <f t="shared" si="21"/>
        <v>0.75306013837147401</v>
      </c>
      <c r="J284">
        <v>56.4</v>
      </c>
      <c r="K284" s="54">
        <f t="shared" si="22"/>
        <v>0.75309999999999999</v>
      </c>
      <c r="L284">
        <f t="shared" si="23"/>
        <v>0.75290000000000001</v>
      </c>
      <c r="M284" s="54">
        <v>0.83089999999999997</v>
      </c>
      <c r="N284">
        <v>0.8306</v>
      </c>
      <c r="O284">
        <v>56.4</v>
      </c>
    </row>
    <row r="285" spans="1:15">
      <c r="A285" s="5">
        <v>38.299999999999997</v>
      </c>
      <c r="B285" s="5">
        <v>832.9</v>
      </c>
      <c r="C285" s="6"/>
      <c r="D285" s="7"/>
      <c r="E285" s="6"/>
      <c r="G285" s="97">
        <f t="shared" si="24"/>
        <v>56.6</v>
      </c>
      <c r="H285">
        <f t="shared" si="20"/>
        <v>0.75209999999999999</v>
      </c>
      <c r="I285">
        <f t="shared" si="21"/>
        <v>0.75225943646996296</v>
      </c>
      <c r="J285">
        <v>56.6</v>
      </c>
      <c r="K285" s="54">
        <f t="shared" si="22"/>
        <v>0.75229999999999997</v>
      </c>
      <c r="L285">
        <f t="shared" si="23"/>
        <v>0.75209999999999999</v>
      </c>
      <c r="M285" s="54">
        <v>0.83189999999999997</v>
      </c>
      <c r="N285">
        <v>0.83160000000000001</v>
      </c>
      <c r="O285">
        <v>56.6</v>
      </c>
    </row>
    <row r="286" spans="1:15">
      <c r="A286" s="5">
        <v>38.4</v>
      </c>
      <c r="B286" s="5">
        <v>832.4</v>
      </c>
      <c r="C286" s="6"/>
      <c r="D286" s="7"/>
      <c r="E286" s="6"/>
      <c r="G286" s="97">
        <f t="shared" si="24"/>
        <v>56.8</v>
      </c>
      <c r="H286">
        <f t="shared" si="20"/>
        <v>0.75129999999999997</v>
      </c>
      <c r="I286">
        <f t="shared" si="21"/>
        <v>0.75146043547530506</v>
      </c>
      <c r="J286">
        <v>56.8</v>
      </c>
      <c r="K286" s="54">
        <f t="shared" si="22"/>
        <v>0.75149999999999995</v>
      </c>
      <c r="L286">
        <f t="shared" si="23"/>
        <v>0.75129999999999997</v>
      </c>
      <c r="M286" s="54">
        <v>0.83279999999999998</v>
      </c>
      <c r="N286">
        <v>0.83250000000000002</v>
      </c>
      <c r="O286">
        <v>56.800000000000097</v>
      </c>
    </row>
    <row r="287" spans="1:15">
      <c r="A287" s="5">
        <v>38.5</v>
      </c>
      <c r="B287" s="5">
        <v>831.9</v>
      </c>
      <c r="C287" s="6"/>
      <c r="D287" s="7"/>
      <c r="E287" s="6"/>
      <c r="G287" s="97">
        <f t="shared" si="24"/>
        <v>57</v>
      </c>
      <c r="H287">
        <f t="shared" si="20"/>
        <v>0.75049999999999994</v>
      </c>
      <c r="I287">
        <f t="shared" si="21"/>
        <v>0.75066312997347495</v>
      </c>
      <c r="J287">
        <v>57</v>
      </c>
      <c r="K287" s="54">
        <f t="shared" si="22"/>
        <v>0.75070000000000003</v>
      </c>
      <c r="L287">
        <f t="shared" si="23"/>
        <v>0.75049999999999994</v>
      </c>
      <c r="M287" s="54">
        <v>0.83379999999999999</v>
      </c>
      <c r="N287">
        <v>0.83350000000000002</v>
      </c>
      <c r="O287">
        <v>57</v>
      </c>
    </row>
    <row r="288" spans="1:15">
      <c r="A288" s="5">
        <v>38.6</v>
      </c>
      <c r="B288" s="5">
        <v>831.4</v>
      </c>
      <c r="C288" s="6"/>
      <c r="D288" s="7"/>
      <c r="E288" s="6"/>
      <c r="G288" s="97">
        <f t="shared" si="24"/>
        <v>57.2</v>
      </c>
      <c r="H288">
        <f t="shared" si="20"/>
        <v>0.74970000000000003</v>
      </c>
      <c r="I288">
        <f t="shared" si="21"/>
        <v>0.74986751457339695</v>
      </c>
      <c r="J288">
        <v>57.2</v>
      </c>
      <c r="K288" s="54">
        <f t="shared" si="22"/>
        <v>0.74990000000000001</v>
      </c>
      <c r="L288">
        <f t="shared" si="23"/>
        <v>0.74970000000000003</v>
      </c>
      <c r="M288" s="54">
        <v>0.83479999999999999</v>
      </c>
      <c r="N288">
        <v>0.83450000000000002</v>
      </c>
      <c r="O288">
        <v>57.2</v>
      </c>
    </row>
    <row r="289" spans="1:15">
      <c r="A289" s="5">
        <v>38.700000000000003</v>
      </c>
      <c r="B289" s="5">
        <v>831</v>
      </c>
      <c r="C289" s="6"/>
      <c r="D289" s="7"/>
      <c r="E289" s="6"/>
      <c r="G289" s="97">
        <f t="shared" si="24"/>
        <v>57.4</v>
      </c>
      <c r="H289">
        <f t="shared" si="20"/>
        <v>0.74890000000000001</v>
      </c>
      <c r="I289">
        <f t="shared" si="21"/>
        <v>0.74907358390682899</v>
      </c>
      <c r="J289">
        <v>57.4</v>
      </c>
      <c r="K289" s="54">
        <f t="shared" si="22"/>
        <v>0.74909999999999999</v>
      </c>
      <c r="L289">
        <f t="shared" si="23"/>
        <v>0.74890000000000001</v>
      </c>
      <c r="M289" s="54">
        <v>0.83579999999999999</v>
      </c>
      <c r="N289">
        <v>0.83550000000000002</v>
      </c>
      <c r="O289">
        <v>57.4</v>
      </c>
    </row>
    <row r="290" spans="1:15">
      <c r="A290" s="5">
        <v>38.799999999999997</v>
      </c>
      <c r="B290" s="5">
        <v>830.5</v>
      </c>
      <c r="C290" s="6"/>
      <c r="D290" s="7"/>
      <c r="E290" s="6"/>
      <c r="G290" s="97">
        <f t="shared" si="24"/>
        <v>57.6</v>
      </c>
      <c r="H290">
        <f t="shared" si="20"/>
        <v>0.74809999999999999</v>
      </c>
      <c r="I290">
        <f t="shared" si="21"/>
        <v>0.74828133262823904</v>
      </c>
      <c r="J290">
        <v>57.6</v>
      </c>
      <c r="K290" s="54">
        <f t="shared" si="22"/>
        <v>0.74829999999999997</v>
      </c>
      <c r="L290">
        <f t="shared" si="23"/>
        <v>0.74809999999999999</v>
      </c>
      <c r="M290" s="54">
        <v>0.83679999999999999</v>
      </c>
      <c r="N290">
        <v>0.83650000000000002</v>
      </c>
      <c r="O290">
        <v>57.6</v>
      </c>
    </row>
    <row r="291" spans="1:15">
      <c r="A291" s="5">
        <v>38.9</v>
      </c>
      <c r="B291" s="5">
        <v>830</v>
      </c>
      <c r="C291" s="6"/>
      <c r="D291" s="7"/>
      <c r="E291" s="6"/>
      <c r="G291" s="97">
        <f t="shared" si="24"/>
        <v>57.8</v>
      </c>
      <c r="H291">
        <f t="shared" si="20"/>
        <v>0.74729999999999996</v>
      </c>
      <c r="I291">
        <f t="shared" si="21"/>
        <v>0.74749075541468601</v>
      </c>
      <c r="J291">
        <v>57.8</v>
      </c>
      <c r="K291" s="54">
        <f t="shared" si="22"/>
        <v>0.74750000000000005</v>
      </c>
      <c r="L291">
        <f t="shared" si="23"/>
        <v>0.74729999999999996</v>
      </c>
      <c r="M291" s="54">
        <v>0.83779999999999999</v>
      </c>
      <c r="N291">
        <v>0.83750000000000002</v>
      </c>
      <c r="O291">
        <v>57.799999999999898</v>
      </c>
    </row>
    <row r="292" spans="1:15">
      <c r="A292" s="5">
        <v>39</v>
      </c>
      <c r="B292" s="5">
        <v>829.5</v>
      </c>
      <c r="C292" s="6"/>
      <c r="D292" s="7"/>
      <c r="E292" s="6"/>
      <c r="G292" s="97">
        <f t="shared" si="24"/>
        <v>58</v>
      </c>
      <c r="H292">
        <f t="shared" si="20"/>
        <v>0.74650000000000005</v>
      </c>
      <c r="I292">
        <f t="shared" si="21"/>
        <v>0.74670184696569897</v>
      </c>
      <c r="J292">
        <v>58</v>
      </c>
      <c r="K292" s="54">
        <f t="shared" si="22"/>
        <v>0.74670000000000003</v>
      </c>
      <c r="L292">
        <f t="shared" si="23"/>
        <v>0.74650000000000005</v>
      </c>
      <c r="M292" s="54">
        <v>0.83879999999999999</v>
      </c>
      <c r="N292">
        <v>0.83850000000000002</v>
      </c>
      <c r="O292">
        <v>58.000000000000099</v>
      </c>
    </row>
    <row r="293" spans="1:15">
      <c r="A293" s="5">
        <v>39.1</v>
      </c>
      <c r="B293" s="5">
        <v>829</v>
      </c>
      <c r="C293" s="6"/>
      <c r="D293" s="7"/>
      <c r="E293" s="6"/>
      <c r="G293" s="97">
        <f t="shared" si="24"/>
        <v>58.2</v>
      </c>
      <c r="H293">
        <f t="shared" si="20"/>
        <v>0.74570000000000003</v>
      </c>
      <c r="I293">
        <f t="shared" si="21"/>
        <v>0.74591460200316295</v>
      </c>
      <c r="J293">
        <v>58.2</v>
      </c>
      <c r="K293" s="54">
        <f t="shared" si="22"/>
        <v>0.74590000000000001</v>
      </c>
      <c r="L293">
        <f t="shared" si="23"/>
        <v>0.74570000000000003</v>
      </c>
      <c r="M293" s="54">
        <v>0.83979999999999999</v>
      </c>
      <c r="N293">
        <v>0.83950000000000002</v>
      </c>
      <c r="O293">
        <v>58.2</v>
      </c>
    </row>
    <row r="294" spans="1:15">
      <c r="A294" s="5">
        <v>39.200000000000003</v>
      </c>
      <c r="B294" s="5">
        <v>828.5</v>
      </c>
      <c r="C294" s="6"/>
      <c r="D294" s="7"/>
      <c r="E294" s="6"/>
      <c r="G294" s="97">
        <f t="shared" si="24"/>
        <v>58.4</v>
      </c>
      <c r="H294">
        <f t="shared" si="20"/>
        <v>0.74490000000000001</v>
      </c>
      <c r="I294">
        <f t="shared" si="21"/>
        <v>0.74512901527119502</v>
      </c>
      <c r="J294">
        <v>58.4</v>
      </c>
      <c r="K294" s="54">
        <f t="shared" si="22"/>
        <v>0.74509999999999998</v>
      </c>
      <c r="L294">
        <f t="shared" si="23"/>
        <v>0.74490000000000001</v>
      </c>
      <c r="M294" s="54">
        <v>0.84079999999999999</v>
      </c>
      <c r="N294">
        <v>0.84050000000000002</v>
      </c>
      <c r="O294">
        <v>58.400000000000098</v>
      </c>
    </row>
    <row r="295" spans="1:15">
      <c r="A295" s="5">
        <v>39.299999999999997</v>
      </c>
      <c r="B295" s="5">
        <v>828</v>
      </c>
      <c r="C295" s="6"/>
      <c r="D295" s="7"/>
      <c r="E295" s="6"/>
      <c r="G295" s="97">
        <f t="shared" si="24"/>
        <v>58.6</v>
      </c>
      <c r="H295">
        <f t="shared" si="20"/>
        <v>0.74409999999999998</v>
      </c>
      <c r="I295">
        <f t="shared" si="21"/>
        <v>0.74434508153603396</v>
      </c>
      <c r="J295">
        <v>58.6</v>
      </c>
      <c r="K295" s="54">
        <f t="shared" si="22"/>
        <v>0.74429999999999996</v>
      </c>
      <c r="L295">
        <f t="shared" si="23"/>
        <v>0.74409999999999998</v>
      </c>
      <c r="M295" s="54">
        <v>0.84179999999999999</v>
      </c>
      <c r="N295">
        <v>0.84150000000000003</v>
      </c>
      <c r="O295">
        <v>58.599999999999902</v>
      </c>
    </row>
    <row r="296" spans="1:15">
      <c r="A296" s="5">
        <v>39.4</v>
      </c>
      <c r="B296" s="5">
        <v>827.6</v>
      </c>
      <c r="C296" s="6"/>
      <c r="D296" s="7"/>
      <c r="E296" s="6"/>
      <c r="G296" s="97">
        <f t="shared" si="24"/>
        <v>58.8</v>
      </c>
      <c r="H296">
        <f t="shared" si="20"/>
        <v>0.74339999999999995</v>
      </c>
      <c r="I296">
        <f t="shared" si="21"/>
        <v>0.74356279558591698</v>
      </c>
      <c r="J296">
        <v>58.8</v>
      </c>
      <c r="K296" s="54">
        <f t="shared" si="22"/>
        <v>0.74360000000000004</v>
      </c>
      <c r="L296">
        <f t="shared" si="23"/>
        <v>0.74339999999999995</v>
      </c>
      <c r="M296" s="54">
        <v>0.84279999999999999</v>
      </c>
      <c r="N296">
        <v>0.84250000000000003</v>
      </c>
      <c r="O296">
        <v>58.8</v>
      </c>
    </row>
    <row r="297" spans="1:15">
      <c r="A297" s="5">
        <v>39.5</v>
      </c>
      <c r="B297" s="5">
        <v>827.1</v>
      </c>
      <c r="C297" s="6"/>
      <c r="D297" s="7"/>
      <c r="E297" s="6"/>
      <c r="G297" s="97">
        <f t="shared" si="24"/>
        <v>59</v>
      </c>
      <c r="H297">
        <f t="shared" si="20"/>
        <v>0.74260000000000004</v>
      </c>
      <c r="I297">
        <f t="shared" si="21"/>
        <v>0.74278215223097099</v>
      </c>
      <c r="J297">
        <v>59</v>
      </c>
      <c r="K297" s="54">
        <f t="shared" si="22"/>
        <v>0.74280000000000002</v>
      </c>
      <c r="L297">
        <f t="shared" si="23"/>
        <v>0.74260000000000004</v>
      </c>
      <c r="M297" s="54">
        <v>0.84379999999999999</v>
      </c>
      <c r="N297">
        <v>0.84350000000000003</v>
      </c>
      <c r="O297">
        <v>59</v>
      </c>
    </row>
    <row r="298" spans="1:15">
      <c r="A298" s="5">
        <v>39.6</v>
      </c>
      <c r="B298" s="5">
        <v>826.6</v>
      </c>
      <c r="C298" s="6"/>
      <c r="D298" s="7"/>
      <c r="E298" s="6"/>
      <c r="G298" s="97">
        <f t="shared" si="24"/>
        <v>59.2</v>
      </c>
      <c r="H298">
        <f t="shared" si="20"/>
        <v>0.74180000000000001</v>
      </c>
      <c r="I298">
        <f t="shared" si="21"/>
        <v>0.74200314630309405</v>
      </c>
      <c r="J298">
        <v>59.2</v>
      </c>
      <c r="K298" s="54">
        <f t="shared" si="22"/>
        <v>0.74199999999999999</v>
      </c>
      <c r="L298">
        <f t="shared" si="23"/>
        <v>0.74180000000000001</v>
      </c>
      <c r="M298" s="54">
        <v>0.8448</v>
      </c>
      <c r="N298">
        <v>0.84450000000000003</v>
      </c>
      <c r="O298">
        <v>59.2</v>
      </c>
    </row>
    <row r="299" spans="1:15">
      <c r="A299" s="5">
        <v>39.700000000000003</v>
      </c>
      <c r="B299" s="5">
        <v>826.1</v>
      </c>
      <c r="C299" s="6"/>
      <c r="D299" s="7"/>
      <c r="E299" s="6"/>
      <c r="G299" s="97">
        <f t="shared" si="24"/>
        <v>59.4</v>
      </c>
      <c r="H299">
        <f t="shared" si="20"/>
        <v>0.74099999999999999</v>
      </c>
      <c r="I299">
        <f t="shared" si="21"/>
        <v>0.741225772655841</v>
      </c>
      <c r="J299">
        <v>59.4</v>
      </c>
      <c r="K299" s="54">
        <f t="shared" si="22"/>
        <v>0.74119999999999997</v>
      </c>
      <c r="L299">
        <f t="shared" si="23"/>
        <v>0.74099999999999999</v>
      </c>
      <c r="M299" s="54">
        <v>0.8458</v>
      </c>
      <c r="N299">
        <v>0.84550000000000003</v>
      </c>
      <c r="O299">
        <v>59.399999999999899</v>
      </c>
    </row>
    <row r="300" spans="1:15">
      <c r="A300" s="5">
        <v>39.799999999999997</v>
      </c>
      <c r="B300" s="5">
        <v>825.6</v>
      </c>
      <c r="C300" s="6"/>
      <c r="D300" s="7"/>
      <c r="E300" s="6"/>
      <c r="G300" s="97">
        <f t="shared" si="24"/>
        <v>59.6</v>
      </c>
      <c r="H300">
        <f t="shared" si="20"/>
        <v>0.74029999999999996</v>
      </c>
      <c r="I300">
        <f t="shared" si="21"/>
        <v>0.74045002616431199</v>
      </c>
      <c r="J300">
        <v>59.6</v>
      </c>
      <c r="K300" s="54">
        <f t="shared" si="22"/>
        <v>0.74050000000000005</v>
      </c>
      <c r="L300">
        <f t="shared" si="23"/>
        <v>0.74029999999999996</v>
      </c>
      <c r="M300" s="54">
        <v>0.8468</v>
      </c>
      <c r="N300">
        <v>0.84650000000000003</v>
      </c>
      <c r="O300">
        <v>59.6</v>
      </c>
    </row>
    <row r="301" spans="1:15">
      <c r="A301" s="5">
        <v>39.9</v>
      </c>
      <c r="B301" s="5">
        <v>825.1</v>
      </c>
      <c r="C301" s="6"/>
      <c r="D301" s="7"/>
      <c r="E301" s="6"/>
      <c r="G301" s="97">
        <f t="shared" si="24"/>
        <v>59.8</v>
      </c>
      <c r="H301">
        <f t="shared" si="20"/>
        <v>0.73950000000000005</v>
      </c>
      <c r="I301">
        <f t="shared" si="21"/>
        <v>0.73967590172503905</v>
      </c>
      <c r="J301">
        <v>59.8</v>
      </c>
      <c r="K301" s="54">
        <f t="shared" si="22"/>
        <v>0.73970000000000002</v>
      </c>
      <c r="L301">
        <f t="shared" si="23"/>
        <v>0.73950000000000005</v>
      </c>
      <c r="M301" s="54">
        <v>0.8478</v>
      </c>
      <c r="N301">
        <v>0.84750000000000003</v>
      </c>
      <c r="O301">
        <v>59.8</v>
      </c>
    </row>
    <row r="302" spans="1:15">
      <c r="A302" s="5">
        <v>40</v>
      </c>
      <c r="B302" s="5">
        <v>824.7</v>
      </c>
      <c r="C302" s="6"/>
      <c r="D302" s="7"/>
      <c r="E302" s="6"/>
      <c r="G302" s="97">
        <f t="shared" si="24"/>
        <v>60</v>
      </c>
      <c r="H302">
        <f t="shared" si="20"/>
        <v>0.73870000000000002</v>
      </c>
      <c r="I302">
        <f t="shared" si="21"/>
        <v>0.73890339425587503</v>
      </c>
      <c r="J302">
        <v>60</v>
      </c>
      <c r="K302" s="54">
        <f t="shared" si="22"/>
        <v>0.7389</v>
      </c>
      <c r="L302">
        <f t="shared" si="23"/>
        <v>0.73870000000000002</v>
      </c>
      <c r="M302" s="54">
        <v>0.8488</v>
      </c>
      <c r="N302">
        <v>0.84850000000000003</v>
      </c>
      <c r="O302">
        <v>59.999999999999901</v>
      </c>
    </row>
    <row r="303" spans="1:15">
      <c r="A303" s="5">
        <v>40.1</v>
      </c>
      <c r="B303" s="5">
        <v>824.2</v>
      </c>
      <c r="C303" s="6"/>
      <c r="D303" s="7"/>
      <c r="E303" s="6"/>
      <c r="G303" s="97">
        <f t="shared" si="24"/>
        <v>60.2</v>
      </c>
      <c r="H303">
        <f t="shared" si="20"/>
        <v>0.7379</v>
      </c>
      <c r="I303">
        <f t="shared" si="21"/>
        <v>0.73813249869587905</v>
      </c>
      <c r="J303">
        <v>60.2</v>
      </c>
      <c r="K303" s="54">
        <f t="shared" si="22"/>
        <v>0.73809999999999998</v>
      </c>
      <c r="L303">
        <f t="shared" si="23"/>
        <v>0.7379</v>
      </c>
      <c r="M303" s="54">
        <v>0.8498</v>
      </c>
      <c r="N303">
        <v>0.84950000000000003</v>
      </c>
      <c r="O303">
        <v>60.2</v>
      </c>
    </row>
    <row r="304" spans="1:15">
      <c r="A304" s="5">
        <v>40.200000000000003</v>
      </c>
      <c r="B304" s="5">
        <v>823.7</v>
      </c>
      <c r="C304" s="6"/>
      <c r="D304" s="7"/>
      <c r="E304" s="6"/>
      <c r="G304" s="97">
        <f t="shared" si="24"/>
        <v>60.4</v>
      </c>
      <c r="H304">
        <f t="shared" si="20"/>
        <v>0.73729999999999996</v>
      </c>
      <c r="I304">
        <f t="shared" si="21"/>
        <v>0.73736321000521099</v>
      </c>
      <c r="J304">
        <v>60.4</v>
      </c>
      <c r="K304" s="54">
        <f t="shared" si="22"/>
        <v>0.73740000000000006</v>
      </c>
      <c r="L304">
        <f t="shared" si="23"/>
        <v>0.73729999999999996</v>
      </c>
      <c r="M304" s="54">
        <v>0.85089999999999999</v>
      </c>
      <c r="N304">
        <v>0.85060000000000002</v>
      </c>
      <c r="O304">
        <v>60.4</v>
      </c>
    </row>
    <row r="305" spans="1:15">
      <c r="A305" s="5">
        <v>40.299999999999997</v>
      </c>
      <c r="B305" s="5">
        <v>823.2</v>
      </c>
      <c r="C305" s="6"/>
      <c r="D305" s="7"/>
      <c r="E305" s="6"/>
      <c r="G305" s="97">
        <f t="shared" si="24"/>
        <v>60.6</v>
      </c>
      <c r="H305">
        <f t="shared" si="20"/>
        <v>0.73650000000000004</v>
      </c>
      <c r="I305">
        <f t="shared" si="21"/>
        <v>0.73659552316501797</v>
      </c>
      <c r="J305">
        <v>60.6</v>
      </c>
      <c r="K305" s="54">
        <f t="shared" si="22"/>
        <v>0.73660000000000003</v>
      </c>
      <c r="L305">
        <f t="shared" si="23"/>
        <v>0.73650000000000004</v>
      </c>
      <c r="M305" s="54">
        <v>0.85189999999999999</v>
      </c>
      <c r="N305">
        <v>0.85160000000000002</v>
      </c>
      <c r="O305">
        <v>60.600000000000101</v>
      </c>
    </row>
    <row r="306" spans="1:15">
      <c r="A306" s="5">
        <v>40.4</v>
      </c>
      <c r="B306" s="5">
        <v>822.7</v>
      </c>
      <c r="C306" s="6"/>
      <c r="D306" s="7"/>
      <c r="E306" s="6"/>
      <c r="G306" s="97">
        <f t="shared" si="24"/>
        <v>60.8</v>
      </c>
      <c r="H306">
        <f t="shared" si="20"/>
        <v>0.73570000000000002</v>
      </c>
      <c r="I306">
        <f t="shared" si="21"/>
        <v>0.73582943317732696</v>
      </c>
      <c r="J306">
        <v>60.8</v>
      </c>
      <c r="K306" s="54">
        <f t="shared" si="22"/>
        <v>0.73580000000000001</v>
      </c>
      <c r="L306">
        <f t="shared" si="23"/>
        <v>0.73570000000000002</v>
      </c>
      <c r="M306" s="54">
        <v>0.85289999999999999</v>
      </c>
      <c r="N306">
        <v>0.85260000000000002</v>
      </c>
      <c r="O306">
        <v>60.8</v>
      </c>
    </row>
    <row r="307" spans="1:15">
      <c r="A307" s="5">
        <v>40.5</v>
      </c>
      <c r="B307" s="5">
        <v>822.3</v>
      </c>
      <c r="C307" s="6"/>
      <c r="D307" s="7"/>
      <c r="E307" s="6"/>
      <c r="G307" s="97">
        <f t="shared" si="24"/>
        <v>61</v>
      </c>
      <c r="H307">
        <f t="shared" si="20"/>
        <v>0.73499999999999999</v>
      </c>
      <c r="I307">
        <f t="shared" si="21"/>
        <v>0.73506493506493498</v>
      </c>
      <c r="J307">
        <v>61</v>
      </c>
      <c r="K307" s="54">
        <f t="shared" si="22"/>
        <v>0.73509999999999998</v>
      </c>
      <c r="L307">
        <f t="shared" si="23"/>
        <v>0.73499999999999999</v>
      </c>
      <c r="M307" s="54">
        <v>0.85399999999999998</v>
      </c>
      <c r="N307">
        <v>0.85370000000000001</v>
      </c>
      <c r="O307">
        <v>61</v>
      </c>
    </row>
    <row r="308" spans="1:15">
      <c r="A308" s="5">
        <v>40.6</v>
      </c>
      <c r="B308" s="5">
        <v>821.8</v>
      </c>
      <c r="C308" s="6"/>
      <c r="D308" s="7"/>
      <c r="E308" s="6"/>
      <c r="G308" s="97">
        <f t="shared" si="24"/>
        <v>61.2</v>
      </c>
      <c r="H308">
        <f t="shared" si="20"/>
        <v>0.73419999999999996</v>
      </c>
      <c r="I308">
        <f t="shared" si="21"/>
        <v>0.73430202387130294</v>
      </c>
      <c r="J308">
        <v>61.2</v>
      </c>
      <c r="K308" s="54">
        <f t="shared" si="22"/>
        <v>0.73429999999999995</v>
      </c>
      <c r="L308">
        <f t="shared" si="23"/>
        <v>0.73419999999999996</v>
      </c>
      <c r="M308" s="54">
        <v>0.85499999999999998</v>
      </c>
      <c r="N308">
        <v>0.85470000000000002</v>
      </c>
      <c r="O308">
        <v>61.199999999999903</v>
      </c>
    </row>
    <row r="309" spans="1:15">
      <c r="A309" s="5">
        <v>40.700000000000003</v>
      </c>
      <c r="B309" s="5">
        <v>821.3</v>
      </c>
      <c r="C309" s="6"/>
      <c r="D309" s="7"/>
      <c r="E309" s="6"/>
      <c r="G309" s="97">
        <f t="shared" si="24"/>
        <v>61.4</v>
      </c>
      <c r="H309">
        <f t="shared" si="20"/>
        <v>0.73340000000000005</v>
      </c>
      <c r="I309">
        <f t="shared" si="21"/>
        <v>0.73354069466044602</v>
      </c>
      <c r="J309">
        <v>61.4</v>
      </c>
      <c r="K309" s="54">
        <f t="shared" si="22"/>
        <v>0.73350000000000004</v>
      </c>
      <c r="L309">
        <f t="shared" si="23"/>
        <v>0.73340000000000005</v>
      </c>
      <c r="M309" s="54">
        <v>0.85599999999999998</v>
      </c>
      <c r="N309">
        <v>0.85570000000000002</v>
      </c>
      <c r="O309">
        <v>61.399999999999899</v>
      </c>
    </row>
    <row r="310" spans="1:15">
      <c r="A310" s="5">
        <v>40.799999999999997</v>
      </c>
      <c r="B310" s="5">
        <v>820.8</v>
      </c>
      <c r="C310" s="6"/>
      <c r="D310" s="7"/>
      <c r="E310" s="6"/>
      <c r="G310" s="97">
        <f t="shared" si="24"/>
        <v>61.6</v>
      </c>
      <c r="H310">
        <f t="shared" si="20"/>
        <v>0.73270000000000002</v>
      </c>
      <c r="I310">
        <f t="shared" si="21"/>
        <v>0.73278094251683101</v>
      </c>
      <c r="J310">
        <v>61.6</v>
      </c>
      <c r="K310" s="54">
        <f t="shared" si="22"/>
        <v>0.73280000000000001</v>
      </c>
      <c r="L310">
        <f t="shared" si="23"/>
        <v>0.73270000000000002</v>
      </c>
      <c r="M310" s="54">
        <v>0.85709999999999997</v>
      </c>
      <c r="N310">
        <v>0.85680000000000001</v>
      </c>
      <c r="O310">
        <v>61.599999999999902</v>
      </c>
    </row>
    <row r="311" spans="1:15">
      <c r="A311" s="5">
        <v>40.9</v>
      </c>
      <c r="B311" s="5">
        <v>820.4</v>
      </c>
      <c r="C311" s="6"/>
      <c r="D311" s="7"/>
      <c r="E311" s="6"/>
      <c r="G311" s="97">
        <f t="shared" si="24"/>
        <v>61.8</v>
      </c>
      <c r="H311">
        <f t="shared" si="20"/>
        <v>0.7319</v>
      </c>
      <c r="I311">
        <f t="shared" si="21"/>
        <v>0.73202276254526599</v>
      </c>
      <c r="J311">
        <v>61.8</v>
      </c>
      <c r="K311" s="54">
        <f t="shared" si="22"/>
        <v>0.73199999999999998</v>
      </c>
      <c r="L311">
        <f t="shared" si="23"/>
        <v>0.7319</v>
      </c>
      <c r="M311" s="54">
        <v>0.85809999999999997</v>
      </c>
      <c r="N311">
        <v>0.85780000000000001</v>
      </c>
      <c r="O311">
        <v>61.800000000000097</v>
      </c>
    </row>
    <row r="312" spans="1:15">
      <c r="A312" s="5">
        <v>41</v>
      </c>
      <c r="B312" s="5">
        <v>819.9</v>
      </c>
      <c r="C312" s="6"/>
      <c r="D312" s="7"/>
      <c r="E312" s="6"/>
      <c r="G312" s="97">
        <f t="shared" si="24"/>
        <v>62</v>
      </c>
      <c r="H312">
        <f t="shared" si="20"/>
        <v>0.73119999999999996</v>
      </c>
      <c r="I312">
        <f t="shared" si="21"/>
        <v>0.73126614987080096</v>
      </c>
      <c r="J312">
        <v>62</v>
      </c>
      <c r="K312" s="54">
        <f t="shared" si="22"/>
        <v>0.73129999999999995</v>
      </c>
      <c r="L312">
        <f t="shared" si="23"/>
        <v>0.73119999999999996</v>
      </c>
      <c r="M312" s="54">
        <v>0.85909999999999997</v>
      </c>
      <c r="N312">
        <v>0.85880000000000001</v>
      </c>
      <c r="O312">
        <v>62</v>
      </c>
    </row>
    <row r="313" spans="1:15">
      <c r="A313" s="5">
        <v>41.1</v>
      </c>
      <c r="B313" s="5">
        <v>819.4</v>
      </c>
      <c r="C313" s="6"/>
      <c r="D313" s="7"/>
      <c r="E313" s="6"/>
      <c r="G313" s="97">
        <f t="shared" si="24"/>
        <v>62.2</v>
      </c>
      <c r="H313">
        <f t="shared" si="20"/>
        <v>0.73040000000000005</v>
      </c>
      <c r="I313">
        <f t="shared" si="21"/>
        <v>0.73051109963861605</v>
      </c>
      <c r="J313">
        <v>62.2</v>
      </c>
      <c r="K313" s="54">
        <f t="shared" si="22"/>
        <v>0.73050000000000004</v>
      </c>
      <c r="L313">
        <f t="shared" si="23"/>
        <v>0.73040000000000005</v>
      </c>
      <c r="M313" s="54">
        <v>0.86019999999999996</v>
      </c>
      <c r="N313">
        <v>0.85980000000000001</v>
      </c>
      <c r="O313">
        <v>62.200000000000102</v>
      </c>
    </row>
    <row r="314" spans="1:15">
      <c r="A314" s="5">
        <v>41.2</v>
      </c>
      <c r="B314" s="5">
        <v>818.9</v>
      </c>
      <c r="C314" s="6"/>
      <c r="D314" s="7"/>
      <c r="E314" s="6"/>
      <c r="G314" s="97">
        <f t="shared" si="24"/>
        <v>62.4</v>
      </c>
      <c r="H314">
        <f t="shared" si="20"/>
        <v>0.72970000000000002</v>
      </c>
      <c r="I314">
        <f t="shared" si="21"/>
        <v>0.729757607013925</v>
      </c>
      <c r="J314">
        <v>62.4</v>
      </c>
      <c r="K314" s="54">
        <f t="shared" si="22"/>
        <v>0.7298</v>
      </c>
      <c r="L314">
        <f t="shared" si="23"/>
        <v>0.72970000000000002</v>
      </c>
      <c r="M314" s="54">
        <v>0.86119999999999997</v>
      </c>
      <c r="N314">
        <v>0.86080000000000001</v>
      </c>
      <c r="O314">
        <v>62.399999999999899</v>
      </c>
    </row>
    <row r="315" spans="1:15">
      <c r="A315" s="5">
        <v>41.3</v>
      </c>
      <c r="B315" s="5">
        <v>818.5</v>
      </c>
      <c r="C315" s="6"/>
      <c r="D315" s="7"/>
      <c r="E315" s="6"/>
      <c r="G315" s="97">
        <f t="shared" si="24"/>
        <v>62.6</v>
      </c>
      <c r="H315">
        <f t="shared" si="20"/>
        <v>0.72889999999999999</v>
      </c>
      <c r="I315">
        <f t="shared" si="21"/>
        <v>0.72900566718186499</v>
      </c>
      <c r="J315">
        <v>62.6</v>
      </c>
      <c r="K315" s="54">
        <f t="shared" si="22"/>
        <v>0.72899999999999998</v>
      </c>
      <c r="L315">
        <f t="shared" si="23"/>
        <v>0.72889999999999999</v>
      </c>
      <c r="M315" s="54">
        <v>0.86229999999999996</v>
      </c>
      <c r="N315">
        <v>0.8619</v>
      </c>
      <c r="O315">
        <v>62.6</v>
      </c>
    </row>
    <row r="316" spans="1:15">
      <c r="A316" s="5">
        <v>41.4</v>
      </c>
      <c r="B316" s="5">
        <v>818</v>
      </c>
      <c r="C316" s="6"/>
      <c r="D316" s="7"/>
      <c r="E316" s="6"/>
      <c r="G316" s="97">
        <f t="shared" si="24"/>
        <v>62.8</v>
      </c>
      <c r="H316">
        <f t="shared" si="20"/>
        <v>0.72819999999999996</v>
      </c>
      <c r="I316">
        <f t="shared" si="21"/>
        <v>0.72825527534740098</v>
      </c>
      <c r="J316">
        <v>62.8</v>
      </c>
      <c r="K316" s="54">
        <f t="shared" si="22"/>
        <v>0.72829999999999995</v>
      </c>
      <c r="L316">
        <f t="shared" si="23"/>
        <v>0.72819999999999996</v>
      </c>
      <c r="M316" s="54">
        <v>0.86329999999999996</v>
      </c>
      <c r="N316">
        <v>0.8629</v>
      </c>
      <c r="O316">
        <v>62.8</v>
      </c>
    </row>
    <row r="317" spans="1:15">
      <c r="A317" s="5">
        <v>41.5</v>
      </c>
      <c r="B317" s="5">
        <v>817.5</v>
      </c>
      <c r="C317" s="6"/>
      <c r="D317" s="7"/>
      <c r="E317" s="6"/>
      <c r="G317" s="97">
        <f t="shared" si="24"/>
        <v>63</v>
      </c>
      <c r="H317">
        <f t="shared" si="20"/>
        <v>0.72740000000000005</v>
      </c>
      <c r="I317">
        <f t="shared" si="21"/>
        <v>0.72750642673521804</v>
      </c>
      <c r="J317">
        <v>63</v>
      </c>
      <c r="K317" s="54">
        <f t="shared" si="22"/>
        <v>0.72750000000000004</v>
      </c>
      <c r="L317">
        <f t="shared" si="23"/>
        <v>0.72740000000000005</v>
      </c>
      <c r="M317" s="54">
        <v>0.86439999999999995</v>
      </c>
      <c r="N317">
        <v>0.86399999999999999</v>
      </c>
      <c r="O317">
        <v>63.000000000000099</v>
      </c>
    </row>
    <row r="318" spans="1:15">
      <c r="A318" s="5">
        <v>41.6</v>
      </c>
      <c r="B318" s="5">
        <v>817</v>
      </c>
      <c r="C318" s="6"/>
      <c r="D318" s="7"/>
      <c r="E318" s="6"/>
      <c r="G318" s="97">
        <f t="shared" si="24"/>
        <v>63.2</v>
      </c>
      <c r="H318">
        <f t="shared" si="20"/>
        <v>0.72670000000000001</v>
      </c>
      <c r="I318">
        <f t="shared" si="21"/>
        <v>0.726759116589625</v>
      </c>
      <c r="J318">
        <v>63.2</v>
      </c>
      <c r="K318" s="54">
        <f t="shared" si="22"/>
        <v>0.7268</v>
      </c>
      <c r="L318">
        <f t="shared" si="23"/>
        <v>0.72670000000000001</v>
      </c>
      <c r="M318" s="54">
        <v>0.86539999999999995</v>
      </c>
      <c r="N318">
        <v>0.86499999999999999</v>
      </c>
      <c r="O318">
        <v>63.2</v>
      </c>
    </row>
    <row r="319" spans="1:15">
      <c r="A319" s="5">
        <v>41.7</v>
      </c>
      <c r="B319" s="5">
        <v>816.6</v>
      </c>
      <c r="C319" s="6"/>
      <c r="D319" s="7"/>
      <c r="E319" s="6"/>
      <c r="G319" s="97">
        <f t="shared" si="24"/>
        <v>63.4</v>
      </c>
      <c r="H319">
        <f t="shared" si="20"/>
        <v>0.72589999999999999</v>
      </c>
      <c r="I319">
        <f t="shared" si="21"/>
        <v>0.72601334017444796</v>
      </c>
      <c r="J319">
        <v>63.4</v>
      </c>
      <c r="K319" s="54">
        <f t="shared" si="22"/>
        <v>0.72599999999999998</v>
      </c>
      <c r="L319">
        <f t="shared" si="23"/>
        <v>0.72589999999999999</v>
      </c>
      <c r="M319" s="54">
        <v>0.86650000000000005</v>
      </c>
      <c r="N319">
        <v>0.86609999999999998</v>
      </c>
      <c r="O319">
        <v>63.400000000000098</v>
      </c>
    </row>
    <row r="320" spans="1:15">
      <c r="A320" s="5">
        <v>41.8</v>
      </c>
      <c r="B320" s="5">
        <v>816.1</v>
      </c>
      <c r="C320" s="6"/>
      <c r="D320" s="7"/>
      <c r="E320" s="6"/>
      <c r="G320" s="97">
        <f t="shared" si="24"/>
        <v>63.6</v>
      </c>
      <c r="H320">
        <f t="shared" si="20"/>
        <v>0.72519999999999996</v>
      </c>
      <c r="I320">
        <f t="shared" si="21"/>
        <v>0.72526909277293705</v>
      </c>
      <c r="J320">
        <v>63.6</v>
      </c>
      <c r="K320" s="54">
        <f t="shared" si="22"/>
        <v>0.72529999999999994</v>
      </c>
      <c r="L320">
        <f t="shared" si="23"/>
        <v>0.72519999999999996</v>
      </c>
      <c r="M320" s="54">
        <v>0.86760000000000004</v>
      </c>
      <c r="N320">
        <v>0.86719999999999997</v>
      </c>
      <c r="O320">
        <v>63.6</v>
      </c>
    </row>
    <row r="321" spans="1:15">
      <c r="A321" s="5">
        <v>41.9</v>
      </c>
      <c r="B321" s="5">
        <v>815.6</v>
      </c>
      <c r="C321" s="6"/>
      <c r="D321" s="7"/>
      <c r="E321" s="6"/>
      <c r="G321" s="97">
        <f t="shared" si="24"/>
        <v>63.8</v>
      </c>
      <c r="H321">
        <f t="shared" si="20"/>
        <v>0.72440000000000004</v>
      </c>
      <c r="I321">
        <f t="shared" si="21"/>
        <v>0.72452636968766004</v>
      </c>
      <c r="J321">
        <v>63.8</v>
      </c>
      <c r="K321" s="54">
        <f t="shared" si="22"/>
        <v>0.72450000000000003</v>
      </c>
      <c r="L321">
        <f t="shared" si="23"/>
        <v>0.72440000000000004</v>
      </c>
      <c r="M321" s="54">
        <v>0.86860000000000004</v>
      </c>
      <c r="N321">
        <v>0.86819999999999997</v>
      </c>
      <c r="O321">
        <v>63.8</v>
      </c>
    </row>
    <row r="322" spans="1:15">
      <c r="A322" s="5">
        <v>42</v>
      </c>
      <c r="B322" s="5">
        <v>815.2</v>
      </c>
      <c r="C322" s="6"/>
      <c r="D322" s="7"/>
      <c r="E322" s="6"/>
      <c r="G322" s="97">
        <f t="shared" si="24"/>
        <v>64</v>
      </c>
      <c r="H322">
        <f t="shared" ref="H322:H385" si="25">K322+VLOOKUP(K322,table,2)</f>
        <v>0.72370000000000001</v>
      </c>
      <c r="I322">
        <f t="shared" ref="I322:I385" si="26">(141.5/(G322+131.5))</f>
        <v>0.72378516624040901</v>
      </c>
      <c r="J322">
        <v>64</v>
      </c>
      <c r="K322" s="54">
        <f t="shared" ref="K322:K385" si="27">(141.5/(J322+131.5))</f>
        <v>0.7238</v>
      </c>
      <c r="L322">
        <f t="shared" ref="L322:L385" si="28">K322+VLOOKUP(K322,table,2)</f>
        <v>0.72370000000000001</v>
      </c>
      <c r="M322" s="54">
        <v>0.86970000000000003</v>
      </c>
      <c r="N322">
        <v>0.86929999999999996</v>
      </c>
      <c r="O322">
        <v>64.000000000000099</v>
      </c>
    </row>
    <row r="323" spans="1:15">
      <c r="A323" s="5">
        <v>42.1</v>
      </c>
      <c r="B323" s="5">
        <v>814.7</v>
      </c>
      <c r="C323" s="6"/>
      <c r="D323" s="7"/>
      <c r="E323" s="6"/>
      <c r="G323" s="97">
        <f t="shared" ref="G323:G386" si="29">(141.5/K323)-131.5</f>
        <v>64.2</v>
      </c>
      <c r="H323">
        <f t="shared" si="25"/>
        <v>0.72289999999999999</v>
      </c>
      <c r="I323">
        <f t="shared" si="26"/>
        <v>0.72304547777210004</v>
      </c>
      <c r="J323">
        <v>64.2</v>
      </c>
      <c r="K323" s="54">
        <f t="shared" si="27"/>
        <v>0.72299999999999998</v>
      </c>
      <c r="L323">
        <f t="shared" si="28"/>
        <v>0.72289999999999999</v>
      </c>
      <c r="M323" s="54">
        <v>0.87080000000000002</v>
      </c>
      <c r="N323">
        <v>0.87039999999999995</v>
      </c>
      <c r="O323">
        <v>64.2</v>
      </c>
    </row>
    <row r="324" spans="1:15">
      <c r="A324" s="5">
        <v>42.2</v>
      </c>
      <c r="B324" s="5">
        <v>814.2</v>
      </c>
      <c r="C324" s="6"/>
      <c r="D324" s="7"/>
      <c r="E324" s="6"/>
      <c r="G324" s="97">
        <f t="shared" si="29"/>
        <v>64.400000000000006</v>
      </c>
      <c r="H324">
        <f t="shared" si="25"/>
        <v>0.72219999999999995</v>
      </c>
      <c r="I324">
        <f t="shared" si="26"/>
        <v>0.72230729964267504</v>
      </c>
      <c r="J324">
        <v>64.400000000000006</v>
      </c>
      <c r="K324" s="54">
        <f t="shared" si="27"/>
        <v>0.72230000000000005</v>
      </c>
      <c r="L324">
        <f t="shared" si="28"/>
        <v>0.72219999999999995</v>
      </c>
      <c r="M324" s="54">
        <v>0.87180000000000002</v>
      </c>
      <c r="N324">
        <v>0.87139999999999995</v>
      </c>
      <c r="O324">
        <v>64.399999999999906</v>
      </c>
    </row>
    <row r="325" spans="1:15">
      <c r="A325" s="5">
        <v>42.3</v>
      </c>
      <c r="B325" s="5">
        <v>813.8</v>
      </c>
      <c r="C325" s="6"/>
      <c r="D325" s="7"/>
      <c r="E325" s="6"/>
      <c r="G325" s="97">
        <f t="shared" si="29"/>
        <v>64.599999999999994</v>
      </c>
      <c r="H325">
        <f t="shared" si="25"/>
        <v>0.72150000000000003</v>
      </c>
      <c r="I325">
        <f t="shared" si="26"/>
        <v>0.72157062723100496</v>
      </c>
      <c r="J325">
        <v>64.599999999999994</v>
      </c>
      <c r="K325" s="54">
        <f t="shared" si="27"/>
        <v>0.72160000000000002</v>
      </c>
      <c r="L325">
        <f t="shared" si="28"/>
        <v>0.72150000000000003</v>
      </c>
      <c r="M325" s="54">
        <v>0.87290000000000001</v>
      </c>
      <c r="N325">
        <v>0.87250000000000005</v>
      </c>
      <c r="O325">
        <v>64.599999999999895</v>
      </c>
    </row>
    <row r="326" spans="1:15">
      <c r="A326" s="5">
        <v>42.4</v>
      </c>
      <c r="B326" s="5">
        <v>813.3</v>
      </c>
      <c r="C326" s="6"/>
      <c r="D326" s="7"/>
      <c r="E326" s="6"/>
      <c r="G326" s="97">
        <f t="shared" si="29"/>
        <v>64.8</v>
      </c>
      <c r="H326">
        <f t="shared" si="25"/>
        <v>0.72070000000000001</v>
      </c>
      <c r="I326">
        <f t="shared" si="26"/>
        <v>0.72083545593479403</v>
      </c>
      <c r="J326">
        <v>64.8</v>
      </c>
      <c r="K326" s="54">
        <f t="shared" si="27"/>
        <v>0.7208</v>
      </c>
      <c r="L326">
        <f t="shared" si="28"/>
        <v>0.72070000000000001</v>
      </c>
      <c r="M326" s="54">
        <v>0.874</v>
      </c>
      <c r="N326">
        <v>0.87360000000000004</v>
      </c>
      <c r="O326">
        <v>64.799999999999898</v>
      </c>
    </row>
    <row r="327" spans="1:15">
      <c r="A327" s="5">
        <v>42.5</v>
      </c>
      <c r="B327" s="5">
        <v>812.8</v>
      </c>
      <c r="C327" s="6"/>
      <c r="D327" s="7"/>
      <c r="E327" s="6"/>
      <c r="G327" s="97">
        <f t="shared" si="29"/>
        <v>65</v>
      </c>
      <c r="H327">
        <f t="shared" si="25"/>
        <v>0.72</v>
      </c>
      <c r="I327">
        <f t="shared" si="26"/>
        <v>0.72010178117048396</v>
      </c>
      <c r="J327">
        <v>65</v>
      </c>
      <c r="K327" s="54">
        <f t="shared" si="27"/>
        <v>0.72009999999999996</v>
      </c>
      <c r="L327">
        <f t="shared" si="28"/>
        <v>0.72</v>
      </c>
      <c r="M327" s="54">
        <v>0.87509999999999999</v>
      </c>
      <c r="N327">
        <v>0.87470000000000003</v>
      </c>
      <c r="O327">
        <v>64.999999999999901</v>
      </c>
    </row>
    <row r="328" spans="1:15">
      <c r="A328" s="5">
        <v>42.6</v>
      </c>
      <c r="B328" s="5">
        <v>812.4</v>
      </c>
      <c r="C328" s="6"/>
      <c r="D328" s="7"/>
      <c r="E328" s="6"/>
      <c r="G328" s="97">
        <f t="shared" si="29"/>
        <v>65.2</v>
      </c>
      <c r="H328">
        <f t="shared" si="25"/>
        <v>0.71930000000000005</v>
      </c>
      <c r="I328">
        <f t="shared" si="26"/>
        <v>0.71936959837315695</v>
      </c>
      <c r="J328">
        <v>65.2</v>
      </c>
      <c r="K328" s="54">
        <f t="shared" si="27"/>
        <v>0.71940000000000004</v>
      </c>
      <c r="L328">
        <f t="shared" si="28"/>
        <v>0.71930000000000005</v>
      </c>
      <c r="M328" s="54">
        <v>0.87619999999999998</v>
      </c>
      <c r="N328">
        <v>0.87580000000000002</v>
      </c>
      <c r="O328">
        <v>65.2</v>
      </c>
    </row>
    <row r="329" spans="1:15">
      <c r="A329" s="5">
        <v>42.7</v>
      </c>
      <c r="B329" s="5">
        <v>811.9</v>
      </c>
      <c r="C329" s="6"/>
      <c r="D329" s="7"/>
      <c r="E329" s="6"/>
      <c r="G329" s="97">
        <f t="shared" si="29"/>
        <v>65.400000000000006</v>
      </c>
      <c r="H329">
        <f t="shared" si="25"/>
        <v>0.71850000000000003</v>
      </c>
      <c r="I329">
        <f t="shared" si="26"/>
        <v>0.71863890299644495</v>
      </c>
      <c r="J329">
        <v>65.400000000000006</v>
      </c>
      <c r="K329" s="54">
        <f t="shared" si="27"/>
        <v>0.71860000000000002</v>
      </c>
      <c r="L329">
        <f t="shared" si="28"/>
        <v>0.71850000000000003</v>
      </c>
      <c r="M329" s="54">
        <v>0.87719999999999998</v>
      </c>
      <c r="N329">
        <v>0.87680000000000002</v>
      </c>
      <c r="O329">
        <v>65.400000000000006</v>
      </c>
    </row>
    <row r="330" spans="1:15">
      <c r="A330" s="5">
        <v>42.8</v>
      </c>
      <c r="B330" s="5">
        <v>811.4</v>
      </c>
      <c r="C330" s="6"/>
      <c r="D330" s="7"/>
      <c r="E330" s="6"/>
      <c r="G330" s="97">
        <f t="shared" si="29"/>
        <v>65.599999999999994</v>
      </c>
      <c r="H330">
        <f t="shared" si="25"/>
        <v>0.71779999999999999</v>
      </c>
      <c r="I330">
        <f t="shared" si="26"/>
        <v>0.71790969051243003</v>
      </c>
      <c r="J330">
        <v>65.599999999999994</v>
      </c>
      <c r="K330" s="54">
        <f t="shared" si="27"/>
        <v>0.71789999999999998</v>
      </c>
      <c r="L330">
        <f t="shared" si="28"/>
        <v>0.71779999999999999</v>
      </c>
      <c r="M330" s="54">
        <v>0.87829999999999997</v>
      </c>
      <c r="N330">
        <v>0.87790000000000001</v>
      </c>
      <c r="O330">
        <v>65.600000000000094</v>
      </c>
    </row>
    <row r="331" spans="1:15">
      <c r="A331" s="5">
        <v>42.9</v>
      </c>
      <c r="B331" s="5">
        <v>811</v>
      </c>
      <c r="C331" s="6"/>
      <c r="D331" s="7"/>
      <c r="E331" s="6"/>
      <c r="G331" s="97">
        <f t="shared" si="29"/>
        <v>65.8</v>
      </c>
      <c r="H331">
        <f t="shared" si="25"/>
        <v>0.71709999999999996</v>
      </c>
      <c r="I331">
        <f t="shared" si="26"/>
        <v>0.71718195641155602</v>
      </c>
      <c r="J331">
        <v>65.8</v>
      </c>
      <c r="K331" s="54">
        <f t="shared" si="27"/>
        <v>0.71719999999999995</v>
      </c>
      <c r="L331">
        <f t="shared" si="28"/>
        <v>0.71709999999999996</v>
      </c>
      <c r="M331" s="54">
        <v>0.87939999999999996</v>
      </c>
      <c r="N331">
        <v>0.879</v>
      </c>
      <c r="O331">
        <v>65.8</v>
      </c>
    </row>
    <row r="332" spans="1:15">
      <c r="A332" s="5">
        <v>43</v>
      </c>
      <c r="B332" s="5">
        <v>810.5</v>
      </c>
      <c r="C332" s="6"/>
      <c r="D332" s="7"/>
      <c r="E332" s="6"/>
      <c r="G332" s="97">
        <f t="shared" si="29"/>
        <v>66</v>
      </c>
      <c r="H332">
        <f t="shared" si="25"/>
        <v>0.71640000000000004</v>
      </c>
      <c r="I332">
        <f t="shared" si="26"/>
        <v>0.71645569620253202</v>
      </c>
      <c r="J332">
        <v>66</v>
      </c>
      <c r="K332" s="54">
        <f t="shared" si="27"/>
        <v>0.71650000000000003</v>
      </c>
      <c r="L332">
        <f t="shared" si="28"/>
        <v>0.71640000000000004</v>
      </c>
      <c r="M332" s="54">
        <v>0.88049999999999995</v>
      </c>
      <c r="N332">
        <v>0.88009999999999999</v>
      </c>
      <c r="O332">
        <v>65.999999999999901</v>
      </c>
    </row>
    <row r="333" spans="1:15">
      <c r="A333" s="5">
        <v>43.1</v>
      </c>
      <c r="B333" s="5">
        <v>810</v>
      </c>
      <c r="C333" s="6"/>
      <c r="D333" s="7"/>
      <c r="E333" s="6"/>
      <c r="G333" s="97">
        <f t="shared" si="29"/>
        <v>66.2</v>
      </c>
      <c r="H333">
        <f t="shared" si="25"/>
        <v>0.71560000000000001</v>
      </c>
      <c r="I333">
        <f t="shared" si="26"/>
        <v>0.71573090541224105</v>
      </c>
      <c r="J333">
        <v>66.2</v>
      </c>
      <c r="K333" s="54">
        <f t="shared" si="27"/>
        <v>0.7157</v>
      </c>
      <c r="L333">
        <f t="shared" si="28"/>
        <v>0.71560000000000001</v>
      </c>
      <c r="M333" s="54">
        <v>0.88160000000000005</v>
      </c>
      <c r="N333">
        <v>0.88119999999999998</v>
      </c>
      <c r="O333">
        <v>66.199999999999903</v>
      </c>
    </row>
    <row r="334" spans="1:15">
      <c r="A334" s="5">
        <v>43.2</v>
      </c>
      <c r="B334" s="5">
        <v>809.6</v>
      </c>
      <c r="C334" s="6"/>
      <c r="D334" s="7"/>
      <c r="E334" s="6"/>
      <c r="G334" s="97">
        <f t="shared" si="29"/>
        <v>66.400000000000006</v>
      </c>
      <c r="H334">
        <f t="shared" si="25"/>
        <v>0.71489999999999998</v>
      </c>
      <c r="I334">
        <f t="shared" si="26"/>
        <v>0.71500757958564898</v>
      </c>
      <c r="J334">
        <v>66.400000000000006</v>
      </c>
      <c r="K334" s="54">
        <f t="shared" si="27"/>
        <v>0.71499999999999997</v>
      </c>
      <c r="L334">
        <f t="shared" si="28"/>
        <v>0.71489999999999998</v>
      </c>
      <c r="M334" s="54">
        <v>0.88270000000000004</v>
      </c>
      <c r="N334">
        <v>0.88229999999999997</v>
      </c>
      <c r="O334">
        <v>66.400000000000105</v>
      </c>
    </row>
    <row r="335" spans="1:15">
      <c r="A335" s="5">
        <v>43.3</v>
      </c>
      <c r="B335" s="5">
        <v>809.1</v>
      </c>
      <c r="C335" s="6"/>
      <c r="D335" s="7"/>
      <c r="E335" s="6"/>
      <c r="G335" s="97">
        <f t="shared" si="29"/>
        <v>66.599999999999994</v>
      </c>
      <c r="H335">
        <f t="shared" si="25"/>
        <v>0.71419999999999995</v>
      </c>
      <c r="I335">
        <f t="shared" si="26"/>
        <v>0.71428571428571397</v>
      </c>
      <c r="J335">
        <v>66.599999999999994</v>
      </c>
      <c r="K335" s="54">
        <f t="shared" si="27"/>
        <v>0.71430000000000005</v>
      </c>
      <c r="L335">
        <f t="shared" si="28"/>
        <v>0.71419999999999995</v>
      </c>
      <c r="M335" s="54">
        <v>0.88380000000000003</v>
      </c>
      <c r="N335">
        <v>0.88339999999999996</v>
      </c>
      <c r="O335">
        <v>66.600000000000094</v>
      </c>
    </row>
    <row r="336" spans="1:15">
      <c r="A336" s="5">
        <v>43.4</v>
      </c>
      <c r="B336" s="5">
        <v>808.6</v>
      </c>
      <c r="C336" s="6"/>
      <c r="D336" s="7"/>
      <c r="E336" s="6"/>
      <c r="G336" s="97">
        <f t="shared" si="29"/>
        <v>66.8</v>
      </c>
      <c r="H336">
        <f t="shared" si="25"/>
        <v>0.71350000000000002</v>
      </c>
      <c r="I336">
        <f t="shared" si="26"/>
        <v>0.71356530509329297</v>
      </c>
      <c r="J336">
        <v>66.8</v>
      </c>
      <c r="K336" s="54">
        <f t="shared" si="27"/>
        <v>0.71360000000000001</v>
      </c>
      <c r="L336">
        <f t="shared" si="28"/>
        <v>0.71350000000000002</v>
      </c>
      <c r="M336" s="54">
        <v>0.88490000000000002</v>
      </c>
      <c r="N336">
        <v>0.88449999999999995</v>
      </c>
      <c r="O336">
        <v>66.8</v>
      </c>
    </row>
    <row r="337" spans="1:15">
      <c r="A337" s="5">
        <v>43.5</v>
      </c>
      <c r="B337" s="5">
        <v>808.2</v>
      </c>
      <c r="C337" s="6"/>
      <c r="D337" s="7"/>
      <c r="E337" s="6"/>
      <c r="G337" s="97">
        <f t="shared" si="29"/>
        <v>67</v>
      </c>
      <c r="H337">
        <f t="shared" si="25"/>
        <v>0.7127</v>
      </c>
      <c r="I337">
        <f t="shared" si="26"/>
        <v>0.71284634760705301</v>
      </c>
      <c r="J337">
        <v>67</v>
      </c>
      <c r="K337" s="54">
        <f t="shared" si="27"/>
        <v>0.71279999999999999</v>
      </c>
      <c r="L337">
        <f t="shared" si="28"/>
        <v>0.7127</v>
      </c>
      <c r="M337" s="54">
        <v>0.88600000000000001</v>
      </c>
      <c r="N337">
        <v>0.88560000000000005</v>
      </c>
      <c r="O337">
        <v>67</v>
      </c>
    </row>
    <row r="338" spans="1:15">
      <c r="A338" s="5">
        <v>43.6</v>
      </c>
      <c r="B338" s="5">
        <v>807.7</v>
      </c>
      <c r="C338" s="6"/>
      <c r="D338" s="7"/>
      <c r="E338" s="6"/>
      <c r="G338" s="97">
        <f t="shared" si="29"/>
        <v>67.2</v>
      </c>
      <c r="H338">
        <f t="shared" si="25"/>
        <v>0.71199999999999997</v>
      </c>
      <c r="I338">
        <f t="shared" si="26"/>
        <v>0.71212883744338196</v>
      </c>
      <c r="J338">
        <v>67.2</v>
      </c>
      <c r="K338" s="54">
        <f t="shared" si="27"/>
        <v>0.71209999999999996</v>
      </c>
      <c r="L338">
        <f t="shared" si="28"/>
        <v>0.71199999999999997</v>
      </c>
      <c r="M338" s="54">
        <v>0.8871</v>
      </c>
      <c r="N338">
        <v>0.88670000000000004</v>
      </c>
      <c r="O338">
        <v>67.2</v>
      </c>
    </row>
    <row r="339" spans="1:15">
      <c r="A339" s="5">
        <v>43.7</v>
      </c>
      <c r="B339" s="5">
        <v>807.3</v>
      </c>
      <c r="C339" s="6"/>
      <c r="D339" s="7"/>
      <c r="E339" s="6"/>
      <c r="G339" s="97">
        <f t="shared" si="29"/>
        <v>67.400000000000006</v>
      </c>
      <c r="H339">
        <f t="shared" si="25"/>
        <v>0.71130000000000004</v>
      </c>
      <c r="I339">
        <f t="shared" si="26"/>
        <v>0.71141277023630001</v>
      </c>
      <c r="J339">
        <v>67.400000000000006</v>
      </c>
      <c r="K339" s="54">
        <f t="shared" si="27"/>
        <v>0.71140000000000003</v>
      </c>
      <c r="L339">
        <f t="shared" si="28"/>
        <v>0.71130000000000004</v>
      </c>
      <c r="M339" s="54">
        <v>0.88829999999999998</v>
      </c>
      <c r="N339">
        <v>0.88790000000000002</v>
      </c>
      <c r="O339">
        <v>67.399999999999906</v>
      </c>
    </row>
    <row r="340" spans="1:15">
      <c r="A340" s="5">
        <v>43.8</v>
      </c>
      <c r="B340" s="5">
        <v>806.8</v>
      </c>
      <c r="C340" s="6"/>
      <c r="D340" s="7"/>
      <c r="E340" s="6"/>
      <c r="G340" s="97">
        <f t="shared" si="29"/>
        <v>67.599999999999994</v>
      </c>
      <c r="H340">
        <f t="shared" si="25"/>
        <v>0.71060000000000001</v>
      </c>
      <c r="I340">
        <f t="shared" si="26"/>
        <v>0.710698141637368</v>
      </c>
      <c r="J340">
        <v>67.599999999999994</v>
      </c>
      <c r="K340" s="54">
        <f t="shared" si="27"/>
        <v>0.7107</v>
      </c>
      <c r="L340">
        <f t="shared" si="28"/>
        <v>0.71060000000000001</v>
      </c>
      <c r="M340" s="54">
        <v>0.88939999999999997</v>
      </c>
      <c r="N340">
        <v>0.88900000000000001</v>
      </c>
      <c r="O340">
        <v>67.600000000000094</v>
      </c>
    </row>
    <row r="341" spans="1:15">
      <c r="A341" s="5">
        <v>43.9</v>
      </c>
      <c r="B341" s="5">
        <v>806.3</v>
      </c>
      <c r="C341" s="6"/>
      <c r="D341" s="7"/>
      <c r="E341" s="6"/>
      <c r="G341" s="97">
        <f t="shared" si="29"/>
        <v>67.8</v>
      </c>
      <c r="H341">
        <f t="shared" si="25"/>
        <v>0.70989999999999998</v>
      </c>
      <c r="I341">
        <f t="shared" si="26"/>
        <v>0.70998494731560502</v>
      </c>
      <c r="J341">
        <v>67.8</v>
      </c>
      <c r="K341" s="54">
        <f t="shared" si="27"/>
        <v>0.71</v>
      </c>
      <c r="L341">
        <f t="shared" si="28"/>
        <v>0.70989999999999998</v>
      </c>
      <c r="M341" s="54">
        <v>0.89049999999999996</v>
      </c>
      <c r="N341">
        <v>0.8901</v>
      </c>
      <c r="O341">
        <v>67.799999999999898</v>
      </c>
    </row>
    <row r="342" spans="1:15">
      <c r="A342" s="5">
        <v>44</v>
      </c>
      <c r="B342" s="5">
        <v>805.9</v>
      </c>
      <c r="C342" s="6"/>
      <c r="D342" s="7"/>
      <c r="E342" s="6"/>
      <c r="G342" s="97">
        <f t="shared" si="29"/>
        <v>68</v>
      </c>
      <c r="H342">
        <f t="shared" si="25"/>
        <v>0.70920000000000005</v>
      </c>
      <c r="I342">
        <f t="shared" si="26"/>
        <v>0.70927318295739294</v>
      </c>
      <c r="J342">
        <v>68</v>
      </c>
      <c r="K342" s="54">
        <f t="shared" si="27"/>
        <v>0.70930000000000004</v>
      </c>
      <c r="L342">
        <f t="shared" si="28"/>
        <v>0.70920000000000005</v>
      </c>
      <c r="M342" s="54">
        <v>0.89159999999999995</v>
      </c>
      <c r="N342">
        <v>0.89119999999999999</v>
      </c>
      <c r="O342">
        <v>68.000000000000099</v>
      </c>
    </row>
    <row r="343" spans="1:15">
      <c r="A343" s="5">
        <v>44.1</v>
      </c>
      <c r="B343" s="5">
        <v>805.4</v>
      </c>
      <c r="C343" s="6"/>
      <c r="D343" s="7"/>
      <c r="E343" s="6"/>
      <c r="G343" s="97">
        <f t="shared" si="29"/>
        <v>68.2</v>
      </c>
      <c r="H343">
        <f t="shared" si="25"/>
        <v>0.70850000000000002</v>
      </c>
      <c r="I343">
        <f t="shared" si="26"/>
        <v>0.70856284426640004</v>
      </c>
      <c r="J343">
        <v>68.2</v>
      </c>
      <c r="K343" s="54">
        <f t="shared" si="27"/>
        <v>0.70860000000000001</v>
      </c>
      <c r="L343">
        <f t="shared" si="28"/>
        <v>0.70850000000000002</v>
      </c>
      <c r="M343" s="54">
        <v>0.89270000000000005</v>
      </c>
      <c r="N343">
        <v>0.89229999999999998</v>
      </c>
      <c r="O343">
        <v>68.199999999999903</v>
      </c>
    </row>
    <row r="344" spans="1:15">
      <c r="A344" s="5">
        <v>44.2</v>
      </c>
      <c r="B344" s="5">
        <v>805</v>
      </c>
      <c r="C344" s="6"/>
      <c r="D344" s="7"/>
      <c r="E344" s="6"/>
      <c r="G344" s="97">
        <f t="shared" si="29"/>
        <v>68.400000000000006</v>
      </c>
      <c r="H344">
        <f t="shared" si="25"/>
        <v>0.70779999999999998</v>
      </c>
      <c r="I344">
        <f t="shared" si="26"/>
        <v>0.70785392696348204</v>
      </c>
      <c r="J344">
        <v>68.400000000000006</v>
      </c>
      <c r="K344" s="54">
        <f t="shared" si="27"/>
        <v>0.70789999999999997</v>
      </c>
      <c r="L344">
        <f t="shared" si="28"/>
        <v>0.70779999999999998</v>
      </c>
      <c r="M344" s="54">
        <v>0.89390000000000003</v>
      </c>
      <c r="N344">
        <v>0.89349999999999996</v>
      </c>
      <c r="O344">
        <v>68.399999999999906</v>
      </c>
    </row>
    <row r="345" spans="1:15">
      <c r="A345" s="5">
        <v>44.3</v>
      </c>
      <c r="B345" s="5">
        <v>804.5</v>
      </c>
      <c r="C345" s="6"/>
      <c r="D345" s="7"/>
      <c r="E345" s="6"/>
      <c r="G345" s="97">
        <f t="shared" si="29"/>
        <v>68.599999999999994</v>
      </c>
      <c r="H345">
        <f t="shared" si="25"/>
        <v>0.70699999999999996</v>
      </c>
      <c r="I345">
        <f t="shared" si="26"/>
        <v>0.707146426786607</v>
      </c>
      <c r="J345">
        <v>68.599999999999994</v>
      </c>
      <c r="K345" s="54">
        <f t="shared" si="27"/>
        <v>0.70709999999999995</v>
      </c>
      <c r="L345">
        <f t="shared" si="28"/>
        <v>0.70699999999999996</v>
      </c>
      <c r="M345" s="54">
        <v>0.89500000000000002</v>
      </c>
      <c r="N345">
        <v>0.89459999999999995</v>
      </c>
      <c r="O345">
        <v>68.599999999999895</v>
      </c>
    </row>
    <row r="346" spans="1:15">
      <c r="A346" s="5">
        <v>44.4</v>
      </c>
      <c r="B346" s="5">
        <v>804.1</v>
      </c>
      <c r="C346" s="6"/>
      <c r="D346" s="7"/>
      <c r="E346" s="6"/>
      <c r="G346" s="97">
        <f t="shared" si="29"/>
        <v>68.8</v>
      </c>
      <c r="H346">
        <f t="shared" si="25"/>
        <v>0.70630000000000004</v>
      </c>
      <c r="I346">
        <f t="shared" si="26"/>
        <v>0.70644033949076401</v>
      </c>
      <c r="J346">
        <v>68.8</v>
      </c>
      <c r="K346" s="54">
        <f t="shared" si="27"/>
        <v>0.70640000000000003</v>
      </c>
      <c r="L346">
        <f t="shared" si="28"/>
        <v>0.70630000000000004</v>
      </c>
      <c r="M346" s="54">
        <v>0.89610000000000001</v>
      </c>
      <c r="N346">
        <v>0.89570000000000005</v>
      </c>
      <c r="O346">
        <v>68.8</v>
      </c>
    </row>
    <row r="347" spans="1:15">
      <c r="A347" s="5">
        <v>44.5</v>
      </c>
      <c r="B347" s="5">
        <v>803.6</v>
      </c>
      <c r="C347" s="6"/>
      <c r="D347" s="7"/>
      <c r="E347" s="6"/>
      <c r="G347" s="97">
        <f t="shared" si="29"/>
        <v>69</v>
      </c>
      <c r="H347">
        <f t="shared" si="25"/>
        <v>0.7056</v>
      </c>
      <c r="I347">
        <f t="shared" si="26"/>
        <v>0.70573566084787998</v>
      </c>
      <c r="J347">
        <v>69</v>
      </c>
      <c r="K347" s="54">
        <f t="shared" si="27"/>
        <v>0.70569999999999999</v>
      </c>
      <c r="L347">
        <f t="shared" si="28"/>
        <v>0.7056</v>
      </c>
      <c r="M347" s="54">
        <v>0.89729999999999999</v>
      </c>
      <c r="N347">
        <v>0.89690000000000003</v>
      </c>
      <c r="O347">
        <v>69.000000000000099</v>
      </c>
    </row>
    <row r="348" spans="1:15">
      <c r="A348" s="5">
        <v>44.6</v>
      </c>
      <c r="B348" s="5">
        <v>803.1</v>
      </c>
      <c r="C348" s="6"/>
      <c r="D348" s="7"/>
      <c r="E348" s="6"/>
      <c r="G348" s="97">
        <f t="shared" si="29"/>
        <v>69.2</v>
      </c>
      <c r="H348">
        <f t="shared" si="25"/>
        <v>0.70489999999999997</v>
      </c>
      <c r="I348">
        <f t="shared" si="26"/>
        <v>0.70503238664673695</v>
      </c>
      <c r="J348">
        <v>69.2</v>
      </c>
      <c r="K348" s="54">
        <f t="shared" si="27"/>
        <v>0.70499999999999996</v>
      </c>
      <c r="L348">
        <f t="shared" si="28"/>
        <v>0.70489999999999997</v>
      </c>
      <c r="M348" s="54">
        <v>0.89839999999999998</v>
      </c>
      <c r="N348">
        <v>0.89800000000000002</v>
      </c>
      <c r="O348">
        <v>69.199999999999804</v>
      </c>
    </row>
    <row r="349" spans="1:15">
      <c r="A349" s="5">
        <v>44.7</v>
      </c>
      <c r="B349" s="5">
        <v>802.7</v>
      </c>
      <c r="C349" s="6"/>
      <c r="D349" s="7"/>
      <c r="E349" s="6"/>
      <c r="G349" s="97">
        <f t="shared" si="29"/>
        <v>69.400000000000006</v>
      </c>
      <c r="H349">
        <f t="shared" si="25"/>
        <v>0.70420000000000005</v>
      </c>
      <c r="I349">
        <f t="shared" si="26"/>
        <v>0.70433051269288205</v>
      </c>
      <c r="J349">
        <v>69.400000000000006</v>
      </c>
      <c r="K349" s="54">
        <f t="shared" si="27"/>
        <v>0.70430000000000004</v>
      </c>
      <c r="L349">
        <f t="shared" si="28"/>
        <v>0.70420000000000005</v>
      </c>
      <c r="M349" s="54">
        <v>0.89959999999999996</v>
      </c>
      <c r="N349">
        <v>0.8992</v>
      </c>
      <c r="O349">
        <v>69.400000000000006</v>
      </c>
    </row>
    <row r="350" spans="1:15">
      <c r="A350" s="5">
        <v>44.8</v>
      </c>
      <c r="B350" s="5">
        <v>802.2</v>
      </c>
      <c r="C350" s="6"/>
      <c r="D350" s="7"/>
      <c r="E350" s="6"/>
      <c r="G350" s="97">
        <f t="shared" si="29"/>
        <v>69.599999999999994</v>
      </c>
      <c r="H350">
        <f t="shared" si="25"/>
        <v>0.70350000000000001</v>
      </c>
      <c r="I350">
        <f t="shared" si="26"/>
        <v>0.70363003480855302</v>
      </c>
      <c r="J350">
        <v>69.599999999999994</v>
      </c>
      <c r="K350" s="54">
        <f t="shared" si="27"/>
        <v>0.7036</v>
      </c>
      <c r="L350">
        <f t="shared" si="28"/>
        <v>0.70350000000000001</v>
      </c>
      <c r="M350" s="54">
        <v>0.90069999999999995</v>
      </c>
      <c r="N350">
        <v>0.90029999999999999</v>
      </c>
      <c r="O350">
        <v>69.599999999999994</v>
      </c>
    </row>
    <row r="351" spans="1:15">
      <c r="A351" s="5">
        <v>44.9</v>
      </c>
      <c r="B351" s="5">
        <v>801.8</v>
      </c>
      <c r="C351" s="6"/>
      <c r="D351" s="7"/>
      <c r="E351" s="6"/>
      <c r="G351" s="97">
        <f t="shared" si="29"/>
        <v>69.8</v>
      </c>
      <c r="H351">
        <f t="shared" si="25"/>
        <v>0.70279999999999998</v>
      </c>
      <c r="I351">
        <f t="shared" si="26"/>
        <v>0.702930948832588</v>
      </c>
      <c r="J351">
        <v>69.8</v>
      </c>
      <c r="K351" s="54">
        <f t="shared" si="27"/>
        <v>0.70289999999999997</v>
      </c>
      <c r="L351">
        <f t="shared" si="28"/>
        <v>0.70279999999999998</v>
      </c>
      <c r="M351" s="54">
        <v>0.90180000000000005</v>
      </c>
      <c r="N351">
        <v>0.90139999999999998</v>
      </c>
      <c r="O351">
        <v>69.8</v>
      </c>
    </row>
    <row r="352" spans="1:15">
      <c r="A352" s="5">
        <v>45</v>
      </c>
      <c r="B352" s="5">
        <v>801.3</v>
      </c>
      <c r="C352" s="6"/>
      <c r="D352" s="7"/>
      <c r="E352" s="6"/>
      <c r="G352" s="97">
        <f t="shared" si="29"/>
        <v>70</v>
      </c>
      <c r="H352">
        <f t="shared" si="25"/>
        <v>0.70209999999999995</v>
      </c>
      <c r="I352">
        <f t="shared" si="26"/>
        <v>0.70223325062034703</v>
      </c>
      <c r="J352">
        <v>70</v>
      </c>
      <c r="K352" s="54">
        <f t="shared" si="27"/>
        <v>0.70220000000000005</v>
      </c>
      <c r="L352">
        <f t="shared" si="28"/>
        <v>0.70209999999999995</v>
      </c>
      <c r="M352" s="54">
        <v>0.90300000000000002</v>
      </c>
      <c r="N352">
        <v>0.90259999999999996</v>
      </c>
      <c r="O352">
        <v>70.000000000000099</v>
      </c>
    </row>
    <row r="353" spans="1:15">
      <c r="A353" s="5">
        <v>45.1</v>
      </c>
      <c r="B353" s="5">
        <v>800.9</v>
      </c>
      <c r="C353" s="6"/>
      <c r="D353" s="7"/>
      <c r="E353" s="6"/>
      <c r="G353" s="97">
        <f t="shared" si="29"/>
        <v>70.2</v>
      </c>
      <c r="H353">
        <f t="shared" si="25"/>
        <v>0.70140000000000002</v>
      </c>
      <c r="I353">
        <f t="shared" si="26"/>
        <v>0.70153693604362899</v>
      </c>
      <c r="J353">
        <v>70.2</v>
      </c>
      <c r="K353" s="54">
        <f t="shared" si="27"/>
        <v>0.70150000000000001</v>
      </c>
      <c r="L353">
        <f t="shared" si="28"/>
        <v>0.70140000000000002</v>
      </c>
      <c r="M353" s="54">
        <v>0.9042</v>
      </c>
      <c r="N353">
        <v>0.90380000000000005</v>
      </c>
      <c r="O353">
        <v>70.2</v>
      </c>
    </row>
    <row r="354" spans="1:15">
      <c r="A354" s="5">
        <v>45.2</v>
      </c>
      <c r="B354" s="5">
        <v>800.4</v>
      </c>
      <c r="C354" s="6"/>
      <c r="D354" s="7"/>
      <c r="E354" s="6"/>
      <c r="G354" s="97">
        <f t="shared" si="29"/>
        <v>70.400000000000006</v>
      </c>
      <c r="H354">
        <f t="shared" si="25"/>
        <v>0.70069999999999999</v>
      </c>
      <c r="I354">
        <f t="shared" si="26"/>
        <v>0.70084200099058902</v>
      </c>
      <c r="J354">
        <v>70.400000000000006</v>
      </c>
      <c r="K354" s="54">
        <f t="shared" si="27"/>
        <v>0.70079999999999998</v>
      </c>
      <c r="L354">
        <f t="shared" si="28"/>
        <v>0.70069999999999999</v>
      </c>
      <c r="M354" s="54">
        <v>0.90529999999999999</v>
      </c>
      <c r="N354">
        <v>0.90490000000000004</v>
      </c>
      <c r="O354">
        <v>70.400000000000105</v>
      </c>
    </row>
    <row r="355" spans="1:15">
      <c r="A355" s="5">
        <v>45.3</v>
      </c>
      <c r="B355" s="5">
        <v>800</v>
      </c>
      <c r="C355" s="6"/>
      <c r="D355" s="7"/>
      <c r="E355" s="6"/>
      <c r="G355" s="97">
        <f t="shared" si="29"/>
        <v>70.599999999999994</v>
      </c>
      <c r="H355">
        <f t="shared" si="25"/>
        <v>0.7</v>
      </c>
      <c r="I355">
        <f t="shared" si="26"/>
        <v>0.70014844136566101</v>
      </c>
      <c r="J355">
        <v>70.599999999999994</v>
      </c>
      <c r="K355" s="54">
        <f t="shared" si="27"/>
        <v>0.70009999999999994</v>
      </c>
      <c r="L355">
        <f t="shared" si="28"/>
        <v>0.7</v>
      </c>
      <c r="M355" s="54">
        <v>0.90649999999999997</v>
      </c>
      <c r="N355">
        <v>0.90610000000000002</v>
      </c>
      <c r="O355">
        <v>70.599999999999895</v>
      </c>
    </row>
    <row r="356" spans="1:15">
      <c r="A356" s="5">
        <v>45.4</v>
      </c>
      <c r="B356" s="5">
        <v>799.5</v>
      </c>
      <c r="C356" s="6"/>
      <c r="D356" s="7"/>
      <c r="E356" s="6"/>
      <c r="G356" s="97">
        <f t="shared" si="29"/>
        <v>70.8</v>
      </c>
      <c r="H356">
        <f t="shared" si="25"/>
        <v>0.69940000000000002</v>
      </c>
      <c r="I356">
        <f t="shared" si="26"/>
        <v>0.69945625308947101</v>
      </c>
      <c r="J356">
        <v>70.8</v>
      </c>
      <c r="K356" s="54">
        <f t="shared" si="27"/>
        <v>0.69950000000000001</v>
      </c>
      <c r="L356">
        <f t="shared" si="28"/>
        <v>0.69940000000000002</v>
      </c>
      <c r="M356" s="54">
        <v>0.90759999999999996</v>
      </c>
      <c r="N356">
        <v>0.90720000000000001</v>
      </c>
      <c r="O356">
        <v>70.8</v>
      </c>
    </row>
    <row r="357" spans="1:15">
      <c r="G357" s="97">
        <f t="shared" si="29"/>
        <v>71</v>
      </c>
      <c r="H357">
        <f t="shared" si="25"/>
        <v>0.69869999999999999</v>
      </c>
      <c r="I357">
        <f t="shared" si="26"/>
        <v>0.69876543209876496</v>
      </c>
      <c r="J357">
        <v>71</v>
      </c>
      <c r="K357" s="54">
        <f t="shared" si="27"/>
        <v>0.69879999999999998</v>
      </c>
      <c r="L357">
        <f t="shared" si="28"/>
        <v>0.69869999999999999</v>
      </c>
      <c r="M357" s="54">
        <v>0.90880000000000005</v>
      </c>
      <c r="N357">
        <v>0.90839999999999999</v>
      </c>
      <c r="O357">
        <v>71.000000000000099</v>
      </c>
    </row>
    <row r="358" spans="1:15">
      <c r="G358" s="97">
        <f t="shared" si="29"/>
        <v>71.2</v>
      </c>
      <c r="H358">
        <f t="shared" si="25"/>
        <v>0.69799999999999995</v>
      </c>
      <c r="I358">
        <f t="shared" si="26"/>
        <v>0.69807597434632496</v>
      </c>
      <c r="J358">
        <v>71.2</v>
      </c>
      <c r="K358" s="54">
        <f t="shared" si="27"/>
        <v>0.69810000000000005</v>
      </c>
      <c r="L358">
        <f t="shared" si="28"/>
        <v>0.69799999999999995</v>
      </c>
      <c r="M358" s="54">
        <v>0.91</v>
      </c>
      <c r="N358">
        <v>0.90959999999999996</v>
      </c>
      <c r="O358">
        <v>71.199999999999903</v>
      </c>
    </row>
    <row r="359" spans="1:15">
      <c r="G359" s="97">
        <f t="shared" si="29"/>
        <v>71.400000000000006</v>
      </c>
      <c r="H359">
        <f t="shared" si="25"/>
        <v>0.69730000000000003</v>
      </c>
      <c r="I359">
        <f t="shared" si="26"/>
        <v>0.69738787580088701</v>
      </c>
      <c r="J359">
        <v>71.400000000000006</v>
      </c>
      <c r="K359" s="54">
        <f t="shared" si="27"/>
        <v>0.69740000000000002</v>
      </c>
      <c r="L359">
        <f t="shared" si="28"/>
        <v>0.69730000000000003</v>
      </c>
      <c r="M359" s="54">
        <v>0.91110000000000002</v>
      </c>
      <c r="N359">
        <v>0.91069999999999995</v>
      </c>
      <c r="O359">
        <v>71.400000000000006</v>
      </c>
    </row>
    <row r="360" spans="1:15">
      <c r="G360" s="97">
        <f t="shared" si="29"/>
        <v>71.599999999999994</v>
      </c>
      <c r="H360">
        <f t="shared" si="25"/>
        <v>0.6966</v>
      </c>
      <c r="I360">
        <f t="shared" si="26"/>
        <v>0.69670113244706999</v>
      </c>
      <c r="J360">
        <v>71.599999999999994</v>
      </c>
      <c r="K360" s="54">
        <f t="shared" si="27"/>
        <v>0.69669999999999999</v>
      </c>
      <c r="L360">
        <f t="shared" si="28"/>
        <v>0.6966</v>
      </c>
      <c r="M360" s="54">
        <v>0.9123</v>
      </c>
      <c r="N360">
        <v>0.91190000000000004</v>
      </c>
      <c r="O360">
        <v>71.600000000000094</v>
      </c>
    </row>
    <row r="361" spans="1:15">
      <c r="G361" s="97">
        <f t="shared" si="29"/>
        <v>71.8</v>
      </c>
      <c r="H361">
        <f t="shared" si="25"/>
        <v>0.69589999999999996</v>
      </c>
      <c r="I361">
        <f t="shared" si="26"/>
        <v>0.69601574028529301</v>
      </c>
      <c r="J361">
        <v>71.8</v>
      </c>
      <c r="K361" s="54">
        <f t="shared" si="27"/>
        <v>0.69599999999999995</v>
      </c>
      <c r="L361">
        <f t="shared" si="28"/>
        <v>0.69589999999999996</v>
      </c>
      <c r="M361" s="54">
        <v>0.91349999999999998</v>
      </c>
      <c r="N361">
        <v>0.91310000000000002</v>
      </c>
      <c r="O361">
        <v>71.799999999999898</v>
      </c>
    </row>
    <row r="362" spans="1:15">
      <c r="G362" s="97">
        <f t="shared" si="29"/>
        <v>72</v>
      </c>
      <c r="H362">
        <f t="shared" si="25"/>
        <v>0.69520000000000004</v>
      </c>
      <c r="I362">
        <f t="shared" si="26"/>
        <v>0.69533169533169503</v>
      </c>
      <c r="J362">
        <v>72</v>
      </c>
      <c r="K362" s="54">
        <f t="shared" si="27"/>
        <v>0.69530000000000003</v>
      </c>
      <c r="L362">
        <f t="shared" si="28"/>
        <v>0.69520000000000004</v>
      </c>
      <c r="M362" s="54">
        <v>0.91469999999999996</v>
      </c>
      <c r="N362">
        <v>0.9143</v>
      </c>
      <c r="O362">
        <v>72.000000000000099</v>
      </c>
    </row>
    <row r="363" spans="1:15">
      <c r="G363" s="97">
        <f t="shared" si="29"/>
        <v>72.2</v>
      </c>
      <c r="H363">
        <f t="shared" si="25"/>
        <v>0.69450000000000001</v>
      </c>
      <c r="I363">
        <f t="shared" si="26"/>
        <v>0.69464899361806598</v>
      </c>
      <c r="J363">
        <v>72.2</v>
      </c>
      <c r="K363" s="54">
        <f t="shared" si="27"/>
        <v>0.6946</v>
      </c>
      <c r="L363">
        <f t="shared" si="28"/>
        <v>0.69450000000000001</v>
      </c>
      <c r="M363" s="54">
        <v>0.91590000000000005</v>
      </c>
      <c r="N363">
        <v>0.91549999999999998</v>
      </c>
      <c r="O363">
        <v>72.199999999999903</v>
      </c>
    </row>
    <row r="364" spans="1:15">
      <c r="G364" s="97">
        <f t="shared" si="29"/>
        <v>72.400000000000006</v>
      </c>
      <c r="H364">
        <f t="shared" si="25"/>
        <v>0.69389999999999996</v>
      </c>
      <c r="I364">
        <f t="shared" si="26"/>
        <v>0.69396763119176097</v>
      </c>
      <c r="J364">
        <v>72.400000000000006</v>
      </c>
      <c r="K364" s="54">
        <f t="shared" si="27"/>
        <v>0.69399999999999995</v>
      </c>
      <c r="L364">
        <f t="shared" si="28"/>
        <v>0.69389999999999996</v>
      </c>
      <c r="M364" s="54">
        <v>0.91700000000000004</v>
      </c>
      <c r="N364">
        <v>0.91659999999999997</v>
      </c>
      <c r="O364">
        <v>72.399999999999906</v>
      </c>
    </row>
    <row r="365" spans="1:15">
      <c r="G365" s="97">
        <f t="shared" si="29"/>
        <v>72.599999999999994</v>
      </c>
      <c r="H365">
        <f t="shared" si="25"/>
        <v>0.69320000000000004</v>
      </c>
      <c r="I365">
        <f t="shared" si="26"/>
        <v>0.69328760411562995</v>
      </c>
      <c r="J365">
        <v>72.599999999999994</v>
      </c>
      <c r="K365" s="54">
        <f t="shared" si="27"/>
        <v>0.69330000000000003</v>
      </c>
      <c r="L365">
        <f t="shared" si="28"/>
        <v>0.69320000000000004</v>
      </c>
      <c r="M365" s="54">
        <v>0.91820000000000002</v>
      </c>
      <c r="N365">
        <v>0.91779999999999995</v>
      </c>
      <c r="O365">
        <v>72.599999999999895</v>
      </c>
    </row>
    <row r="366" spans="1:15">
      <c r="G366" s="97">
        <f t="shared" si="29"/>
        <v>72.8</v>
      </c>
      <c r="H366">
        <f t="shared" si="25"/>
        <v>0.6925</v>
      </c>
      <c r="I366">
        <f t="shared" si="26"/>
        <v>0.69260890846793899</v>
      </c>
      <c r="J366">
        <v>72.8</v>
      </c>
      <c r="K366" s="54">
        <f t="shared" si="27"/>
        <v>0.69259999999999999</v>
      </c>
      <c r="L366">
        <f t="shared" si="28"/>
        <v>0.6925</v>
      </c>
      <c r="M366" s="54">
        <v>0.9194</v>
      </c>
      <c r="N366">
        <v>0.91900000000000004</v>
      </c>
      <c r="O366">
        <v>72.800000000000097</v>
      </c>
    </row>
    <row r="367" spans="1:15">
      <c r="G367" s="97">
        <f t="shared" si="29"/>
        <v>73</v>
      </c>
      <c r="H367">
        <f t="shared" si="25"/>
        <v>0.69179999999999997</v>
      </c>
      <c r="I367">
        <f t="shared" si="26"/>
        <v>0.69193154034229798</v>
      </c>
      <c r="J367">
        <v>73</v>
      </c>
      <c r="K367" s="54">
        <f t="shared" si="27"/>
        <v>0.69189999999999996</v>
      </c>
      <c r="L367">
        <f t="shared" si="28"/>
        <v>0.69179999999999997</v>
      </c>
      <c r="M367" s="54">
        <v>0.92059999999999997</v>
      </c>
      <c r="N367">
        <v>0.92020000000000002</v>
      </c>
      <c r="O367">
        <v>73.000000000000099</v>
      </c>
    </row>
    <row r="368" spans="1:15">
      <c r="G368" s="97">
        <f t="shared" si="29"/>
        <v>73.2</v>
      </c>
      <c r="H368">
        <f t="shared" si="25"/>
        <v>0.69120000000000004</v>
      </c>
      <c r="I368">
        <f t="shared" si="26"/>
        <v>0.69125549584758195</v>
      </c>
      <c r="J368">
        <v>73.2</v>
      </c>
      <c r="K368" s="54">
        <f t="shared" si="27"/>
        <v>0.69130000000000003</v>
      </c>
      <c r="L368">
        <f t="shared" si="28"/>
        <v>0.69120000000000004</v>
      </c>
      <c r="M368" s="54">
        <v>0.92179999999999995</v>
      </c>
      <c r="N368">
        <v>0.9214</v>
      </c>
      <c r="O368">
        <v>73.2</v>
      </c>
    </row>
    <row r="369" spans="7:15">
      <c r="G369" s="97">
        <f t="shared" si="29"/>
        <v>73.400000000000006</v>
      </c>
      <c r="H369">
        <f t="shared" si="25"/>
        <v>0.6905</v>
      </c>
      <c r="I369">
        <f t="shared" si="26"/>
        <v>0.69058077110785698</v>
      </c>
      <c r="J369">
        <v>73.400000000000006</v>
      </c>
      <c r="K369" s="54">
        <f t="shared" si="27"/>
        <v>0.69059999999999999</v>
      </c>
      <c r="L369">
        <f t="shared" si="28"/>
        <v>0.6905</v>
      </c>
      <c r="M369" s="54">
        <v>0.92300000000000004</v>
      </c>
      <c r="N369">
        <v>0.92259999999999998</v>
      </c>
      <c r="O369">
        <v>73.400000000000105</v>
      </c>
    </row>
    <row r="370" spans="7:15">
      <c r="G370" s="97">
        <f t="shared" si="29"/>
        <v>73.599999999999994</v>
      </c>
      <c r="H370">
        <f t="shared" si="25"/>
        <v>0.68979999999999997</v>
      </c>
      <c r="I370">
        <f t="shared" si="26"/>
        <v>0.68990736226231097</v>
      </c>
      <c r="J370">
        <v>73.599999999999994</v>
      </c>
      <c r="K370" s="54">
        <f t="shared" si="27"/>
        <v>0.68989999999999996</v>
      </c>
      <c r="L370">
        <f t="shared" si="28"/>
        <v>0.68979999999999997</v>
      </c>
      <c r="M370" s="54">
        <v>0.92420000000000002</v>
      </c>
      <c r="N370">
        <v>0.92379999999999995</v>
      </c>
      <c r="O370">
        <v>73.599999999999994</v>
      </c>
    </row>
    <row r="371" spans="7:15">
      <c r="G371" s="97">
        <f t="shared" si="29"/>
        <v>73.8</v>
      </c>
      <c r="H371">
        <f t="shared" si="25"/>
        <v>0.68910000000000005</v>
      </c>
      <c r="I371">
        <f t="shared" si="26"/>
        <v>0.689235265465173</v>
      </c>
      <c r="J371">
        <v>73.8</v>
      </c>
      <c r="K371" s="54">
        <f t="shared" si="27"/>
        <v>0.68920000000000003</v>
      </c>
      <c r="L371">
        <f t="shared" si="28"/>
        <v>0.68910000000000005</v>
      </c>
      <c r="M371" s="54">
        <v>0.9254</v>
      </c>
      <c r="N371">
        <v>0.92500000000000004</v>
      </c>
      <c r="O371">
        <v>73.8</v>
      </c>
    </row>
    <row r="372" spans="7:15">
      <c r="G372" s="97">
        <f t="shared" si="29"/>
        <v>74</v>
      </c>
      <c r="H372">
        <f t="shared" si="25"/>
        <v>0.6885</v>
      </c>
      <c r="I372">
        <f t="shared" si="26"/>
        <v>0.68856447688564504</v>
      </c>
      <c r="J372">
        <v>74</v>
      </c>
      <c r="K372" s="54">
        <f t="shared" si="27"/>
        <v>0.68859999999999999</v>
      </c>
      <c r="L372">
        <f t="shared" si="28"/>
        <v>0.6885</v>
      </c>
      <c r="M372" s="54">
        <v>0.92669999999999997</v>
      </c>
      <c r="N372">
        <v>0.92630000000000001</v>
      </c>
      <c r="O372">
        <v>73.999999999999901</v>
      </c>
    </row>
    <row r="373" spans="7:15">
      <c r="G373" s="97">
        <f t="shared" si="29"/>
        <v>74.2</v>
      </c>
      <c r="H373">
        <f t="shared" si="25"/>
        <v>0.68779999999999997</v>
      </c>
      <c r="I373">
        <f t="shared" si="26"/>
        <v>0.68789499270782695</v>
      </c>
      <c r="J373">
        <v>74.2</v>
      </c>
      <c r="K373" s="54">
        <f t="shared" si="27"/>
        <v>0.68789999999999996</v>
      </c>
      <c r="L373">
        <f t="shared" si="28"/>
        <v>0.68779999999999997</v>
      </c>
      <c r="M373" s="54">
        <v>0.92789999999999995</v>
      </c>
      <c r="N373">
        <v>0.92749999999999999</v>
      </c>
      <c r="O373">
        <v>74.2</v>
      </c>
    </row>
    <row r="374" spans="7:15">
      <c r="G374" s="97">
        <f t="shared" si="29"/>
        <v>74.400000000000006</v>
      </c>
      <c r="H374">
        <f t="shared" si="25"/>
        <v>0.68710000000000004</v>
      </c>
      <c r="I374">
        <f t="shared" si="26"/>
        <v>0.68722680913064604</v>
      </c>
      <c r="J374">
        <v>74.400000000000006</v>
      </c>
      <c r="K374" s="54">
        <f t="shared" si="27"/>
        <v>0.68720000000000003</v>
      </c>
      <c r="L374">
        <f t="shared" si="28"/>
        <v>0.68710000000000004</v>
      </c>
      <c r="M374" s="54">
        <v>0.92910000000000004</v>
      </c>
      <c r="N374">
        <v>0.92869999999999997</v>
      </c>
      <c r="O374">
        <v>74.400000000000006</v>
      </c>
    </row>
    <row r="375" spans="7:15">
      <c r="G375" s="97">
        <f t="shared" si="29"/>
        <v>74.599999999999994</v>
      </c>
      <c r="H375">
        <f t="shared" si="25"/>
        <v>0.6865</v>
      </c>
      <c r="I375">
        <f t="shared" si="26"/>
        <v>0.68655992236778296</v>
      </c>
      <c r="J375">
        <v>74.599999999999994</v>
      </c>
      <c r="K375" s="54">
        <f t="shared" si="27"/>
        <v>0.68659999999999999</v>
      </c>
      <c r="L375">
        <f t="shared" si="28"/>
        <v>0.6865</v>
      </c>
      <c r="M375" s="54">
        <v>0.93030000000000002</v>
      </c>
      <c r="N375">
        <v>0.92989999999999995</v>
      </c>
      <c r="O375">
        <v>74.599999999999895</v>
      </c>
    </row>
    <row r="376" spans="7:15">
      <c r="G376" s="97">
        <f t="shared" si="29"/>
        <v>74.8</v>
      </c>
      <c r="H376">
        <f t="shared" si="25"/>
        <v>0.68579999999999997</v>
      </c>
      <c r="I376">
        <f t="shared" si="26"/>
        <v>0.68589432864760103</v>
      </c>
      <c r="J376">
        <v>74.8</v>
      </c>
      <c r="K376" s="54">
        <f t="shared" si="27"/>
        <v>0.68589999999999995</v>
      </c>
      <c r="L376">
        <f t="shared" si="28"/>
        <v>0.68579999999999997</v>
      </c>
      <c r="M376" s="54">
        <v>0.93149999999999999</v>
      </c>
      <c r="N376">
        <v>0.93110000000000004</v>
      </c>
      <c r="O376">
        <v>74.799999999999898</v>
      </c>
    </row>
    <row r="377" spans="7:15">
      <c r="G377" s="97">
        <f t="shared" si="29"/>
        <v>75</v>
      </c>
      <c r="H377">
        <f t="shared" si="25"/>
        <v>0.68510000000000004</v>
      </c>
      <c r="I377">
        <f t="shared" si="26"/>
        <v>0.685230024213075</v>
      </c>
      <c r="J377">
        <v>75</v>
      </c>
      <c r="K377" s="54">
        <f t="shared" si="27"/>
        <v>0.68520000000000003</v>
      </c>
      <c r="L377">
        <f t="shared" si="28"/>
        <v>0.68510000000000004</v>
      </c>
      <c r="M377" s="54">
        <v>0.93279999999999996</v>
      </c>
      <c r="N377">
        <v>0.93240000000000001</v>
      </c>
      <c r="O377">
        <v>75</v>
      </c>
    </row>
    <row r="378" spans="7:15">
      <c r="G378" s="97">
        <f t="shared" si="29"/>
        <v>75.2</v>
      </c>
      <c r="H378">
        <f t="shared" si="25"/>
        <v>0.6845</v>
      </c>
      <c r="I378">
        <f t="shared" si="26"/>
        <v>0.68456700532172199</v>
      </c>
      <c r="J378">
        <v>75.2</v>
      </c>
      <c r="K378" s="54">
        <f t="shared" si="27"/>
        <v>0.68459999999999999</v>
      </c>
      <c r="L378">
        <f t="shared" si="28"/>
        <v>0.6845</v>
      </c>
      <c r="M378" s="54">
        <v>0.93400000000000005</v>
      </c>
      <c r="N378">
        <v>0.93359999999999999</v>
      </c>
      <c r="O378">
        <v>75.200000000000102</v>
      </c>
    </row>
    <row r="379" spans="7:15">
      <c r="G379" s="97">
        <f t="shared" si="29"/>
        <v>75.400000000000006</v>
      </c>
      <c r="H379">
        <f t="shared" si="25"/>
        <v>0.68379999999999996</v>
      </c>
      <c r="I379">
        <f t="shared" si="26"/>
        <v>0.683905268245529</v>
      </c>
      <c r="J379">
        <v>75.400000000000006</v>
      </c>
      <c r="K379" s="54">
        <f t="shared" si="27"/>
        <v>0.68389999999999995</v>
      </c>
      <c r="L379">
        <f t="shared" si="28"/>
        <v>0.68379999999999996</v>
      </c>
      <c r="M379" s="54">
        <v>0.93520000000000003</v>
      </c>
      <c r="N379">
        <v>0.93479999999999996</v>
      </c>
      <c r="O379">
        <v>75.400000000000105</v>
      </c>
    </row>
    <row r="380" spans="7:15">
      <c r="G380" s="97">
        <f t="shared" si="29"/>
        <v>75.599999999999994</v>
      </c>
      <c r="H380">
        <f t="shared" si="25"/>
        <v>0.68310000000000004</v>
      </c>
      <c r="I380">
        <f t="shared" si="26"/>
        <v>0.68324480927088405</v>
      </c>
      <c r="J380">
        <v>75.599999999999994</v>
      </c>
      <c r="K380" s="54">
        <f t="shared" si="27"/>
        <v>0.68320000000000003</v>
      </c>
      <c r="L380">
        <f t="shared" si="28"/>
        <v>0.68310000000000004</v>
      </c>
      <c r="M380" s="54">
        <v>0.9365</v>
      </c>
      <c r="N380">
        <v>0.93610000000000004</v>
      </c>
      <c r="O380">
        <v>75.599999999999895</v>
      </c>
    </row>
    <row r="381" spans="7:15">
      <c r="G381" s="97">
        <f t="shared" si="29"/>
        <v>75.8</v>
      </c>
      <c r="H381">
        <f t="shared" si="25"/>
        <v>0.6825</v>
      </c>
      <c r="I381">
        <f t="shared" si="26"/>
        <v>0.68258562469850503</v>
      </c>
      <c r="J381">
        <v>75.8</v>
      </c>
      <c r="K381" s="54">
        <f t="shared" si="27"/>
        <v>0.68259999999999998</v>
      </c>
      <c r="L381">
        <f t="shared" si="28"/>
        <v>0.6825</v>
      </c>
      <c r="M381" s="54">
        <v>0.93769999999999998</v>
      </c>
      <c r="N381">
        <v>0.93730000000000002</v>
      </c>
      <c r="O381">
        <v>75.799999999999898</v>
      </c>
    </row>
    <row r="382" spans="7:15">
      <c r="G382" s="97">
        <f t="shared" si="29"/>
        <v>76</v>
      </c>
      <c r="H382">
        <f t="shared" si="25"/>
        <v>0.68179999999999996</v>
      </c>
      <c r="I382">
        <f t="shared" si="26"/>
        <v>0.681927710843373</v>
      </c>
      <c r="J382">
        <v>76</v>
      </c>
      <c r="K382" s="54">
        <f t="shared" si="27"/>
        <v>0.68189999999999995</v>
      </c>
      <c r="L382">
        <f t="shared" si="28"/>
        <v>0.68179999999999996</v>
      </c>
      <c r="M382" s="54">
        <v>0.93899999999999995</v>
      </c>
      <c r="N382">
        <v>0.93859999999999999</v>
      </c>
      <c r="O382">
        <v>76.000000000000099</v>
      </c>
    </row>
    <row r="383" spans="7:15">
      <c r="G383" s="97">
        <f t="shared" si="29"/>
        <v>76.2</v>
      </c>
      <c r="H383">
        <f t="shared" si="25"/>
        <v>0.68120000000000003</v>
      </c>
      <c r="I383">
        <f t="shared" si="26"/>
        <v>0.68127106403466497</v>
      </c>
      <c r="J383">
        <v>76.2</v>
      </c>
      <c r="K383" s="54">
        <f t="shared" si="27"/>
        <v>0.68130000000000002</v>
      </c>
      <c r="L383">
        <f t="shared" si="28"/>
        <v>0.68120000000000003</v>
      </c>
      <c r="M383" s="54">
        <v>0.94020000000000004</v>
      </c>
      <c r="N383">
        <v>0.93979999999999997</v>
      </c>
      <c r="O383">
        <v>76.200000000000102</v>
      </c>
    </row>
    <row r="384" spans="7:15">
      <c r="G384" s="97">
        <f t="shared" si="29"/>
        <v>76.400000000000006</v>
      </c>
      <c r="H384">
        <f t="shared" si="25"/>
        <v>0.68049999999999999</v>
      </c>
      <c r="I384">
        <f t="shared" si="26"/>
        <v>0.68061568061568101</v>
      </c>
      <c r="J384">
        <v>76.400000000000006</v>
      </c>
      <c r="K384" s="54">
        <f t="shared" si="27"/>
        <v>0.68059999999999998</v>
      </c>
      <c r="L384">
        <f t="shared" si="28"/>
        <v>0.68049999999999999</v>
      </c>
      <c r="M384" s="54">
        <v>0.9415</v>
      </c>
      <c r="N384">
        <v>0.94110000000000005</v>
      </c>
      <c r="O384">
        <v>76.399999999999906</v>
      </c>
    </row>
    <row r="385" spans="7:15">
      <c r="G385" s="97">
        <f t="shared" si="29"/>
        <v>76.599999999999994</v>
      </c>
      <c r="H385">
        <f t="shared" si="25"/>
        <v>0.67989999999999995</v>
      </c>
      <c r="I385">
        <f t="shared" si="26"/>
        <v>0.67996155694377702</v>
      </c>
      <c r="J385">
        <v>76.599999999999994</v>
      </c>
      <c r="K385" s="54">
        <f t="shared" si="27"/>
        <v>0.68</v>
      </c>
      <c r="L385">
        <f t="shared" si="28"/>
        <v>0.67989999999999995</v>
      </c>
      <c r="M385" s="54">
        <v>0.94269999999999998</v>
      </c>
      <c r="N385">
        <v>0.94230000000000003</v>
      </c>
      <c r="O385">
        <v>76.599999999999994</v>
      </c>
    </row>
    <row r="386" spans="7:15">
      <c r="G386" s="97">
        <f t="shared" si="29"/>
        <v>76.8</v>
      </c>
      <c r="H386">
        <f t="shared" ref="H386:H449" si="30">K386+VLOOKUP(K386,table,2)</f>
        <v>0.67920000000000003</v>
      </c>
      <c r="I386">
        <f t="shared" ref="I386:I449" si="31">(141.5/(G386+131.5))</f>
        <v>0.67930868939030198</v>
      </c>
      <c r="J386">
        <v>76.8</v>
      </c>
      <c r="K386" s="54">
        <f t="shared" ref="K386:K449" si="32">(141.5/(J386+131.5))</f>
        <v>0.67930000000000001</v>
      </c>
      <c r="L386">
        <f t="shared" ref="L386:L449" si="33">K386+VLOOKUP(K386,table,2)</f>
        <v>0.67920000000000003</v>
      </c>
      <c r="M386" s="54">
        <v>0.94399999999999995</v>
      </c>
      <c r="N386">
        <v>0.94359999999999999</v>
      </c>
      <c r="O386">
        <v>76.800000000000196</v>
      </c>
    </row>
    <row r="387" spans="7:15">
      <c r="G387" s="97">
        <f t="shared" ref="G387:G450" si="34">(141.5/K387)-131.5</f>
        <v>77</v>
      </c>
      <c r="H387">
        <f t="shared" si="30"/>
        <v>0.67869999999999997</v>
      </c>
      <c r="I387">
        <f t="shared" si="31"/>
        <v>0.67865707434052802</v>
      </c>
      <c r="J387">
        <v>77</v>
      </c>
      <c r="K387" s="54">
        <f t="shared" si="32"/>
        <v>0.67869999999999997</v>
      </c>
      <c r="L387">
        <f t="shared" si="33"/>
        <v>0.67869999999999997</v>
      </c>
      <c r="M387" s="54">
        <v>0.94520000000000004</v>
      </c>
      <c r="N387">
        <v>0.94479999999999997</v>
      </c>
      <c r="O387">
        <v>76.999999999999901</v>
      </c>
    </row>
    <row r="388" spans="7:15">
      <c r="G388" s="97">
        <f t="shared" si="34"/>
        <v>77.2</v>
      </c>
      <c r="H388">
        <f t="shared" si="30"/>
        <v>0.67800000000000005</v>
      </c>
      <c r="I388">
        <f t="shared" si="31"/>
        <v>0.678006708193579</v>
      </c>
      <c r="J388">
        <v>77.2</v>
      </c>
      <c r="K388" s="54">
        <f t="shared" si="32"/>
        <v>0.67800000000000005</v>
      </c>
      <c r="L388">
        <f t="shared" si="33"/>
        <v>0.67800000000000005</v>
      </c>
      <c r="M388" s="54">
        <v>0.94650000000000001</v>
      </c>
      <c r="N388">
        <v>0.94610000000000005</v>
      </c>
      <c r="O388">
        <v>77.200000000000102</v>
      </c>
    </row>
    <row r="389" spans="7:15">
      <c r="G389" s="97">
        <f t="shared" si="34"/>
        <v>77.400000000000006</v>
      </c>
      <c r="H389">
        <f t="shared" si="30"/>
        <v>0.6774</v>
      </c>
      <c r="I389">
        <f t="shared" si="31"/>
        <v>0.67735758736237395</v>
      </c>
      <c r="J389">
        <v>77.400000000000006</v>
      </c>
      <c r="K389" s="54">
        <f t="shared" si="32"/>
        <v>0.6774</v>
      </c>
      <c r="L389">
        <f t="shared" si="33"/>
        <v>0.6774</v>
      </c>
      <c r="M389" s="54">
        <v>0.94779999999999998</v>
      </c>
      <c r="N389">
        <v>0.94740000000000002</v>
      </c>
      <c r="O389">
        <v>77.400000000000105</v>
      </c>
    </row>
    <row r="390" spans="7:15">
      <c r="G390" s="97">
        <f t="shared" si="34"/>
        <v>77.599999999999994</v>
      </c>
      <c r="H390">
        <f t="shared" si="30"/>
        <v>0.67669999999999997</v>
      </c>
      <c r="I390">
        <f t="shared" si="31"/>
        <v>0.67670970827355303</v>
      </c>
      <c r="J390">
        <v>77.599999999999994</v>
      </c>
      <c r="K390" s="54">
        <f t="shared" si="32"/>
        <v>0.67669999999999997</v>
      </c>
      <c r="L390">
        <f t="shared" si="33"/>
        <v>0.67669999999999997</v>
      </c>
      <c r="M390" s="54">
        <v>0.94899999999999995</v>
      </c>
      <c r="N390">
        <v>0.9486</v>
      </c>
      <c r="O390">
        <v>77.600000000000094</v>
      </c>
    </row>
    <row r="391" spans="7:15">
      <c r="G391" s="97">
        <f t="shared" si="34"/>
        <v>77.8</v>
      </c>
      <c r="H391">
        <f t="shared" si="30"/>
        <v>0.67610000000000003</v>
      </c>
      <c r="I391">
        <f t="shared" si="31"/>
        <v>0.67606306736741495</v>
      </c>
      <c r="J391">
        <v>77.8</v>
      </c>
      <c r="K391" s="54">
        <f t="shared" si="32"/>
        <v>0.67610000000000003</v>
      </c>
      <c r="L391">
        <f t="shared" si="33"/>
        <v>0.67610000000000003</v>
      </c>
      <c r="M391" s="54">
        <v>0.95030000000000003</v>
      </c>
      <c r="N391">
        <v>0.94989999999999997</v>
      </c>
      <c r="O391">
        <v>77.800000000000097</v>
      </c>
    </row>
    <row r="392" spans="7:15">
      <c r="G392" s="97">
        <f t="shared" si="34"/>
        <v>78</v>
      </c>
      <c r="H392">
        <f t="shared" si="30"/>
        <v>0.6754</v>
      </c>
      <c r="I392">
        <f t="shared" si="31"/>
        <v>0.67541766109785195</v>
      </c>
      <c r="J392">
        <v>78</v>
      </c>
      <c r="K392" s="54">
        <f t="shared" si="32"/>
        <v>0.6754</v>
      </c>
      <c r="L392">
        <f t="shared" si="33"/>
        <v>0.6754</v>
      </c>
      <c r="M392" s="54">
        <v>0.9516</v>
      </c>
      <c r="N392">
        <v>0.95120000000000005</v>
      </c>
      <c r="O392">
        <v>78</v>
      </c>
    </row>
    <row r="393" spans="7:15">
      <c r="G393" s="97">
        <f t="shared" si="34"/>
        <v>78.2</v>
      </c>
      <c r="H393">
        <f t="shared" si="30"/>
        <v>0.67479999999999996</v>
      </c>
      <c r="I393">
        <f t="shared" si="31"/>
        <v>0.67477348593228403</v>
      </c>
      <c r="J393">
        <v>78.2</v>
      </c>
      <c r="K393" s="54">
        <f t="shared" si="32"/>
        <v>0.67479999999999996</v>
      </c>
      <c r="L393">
        <f t="shared" si="33"/>
        <v>0.67479999999999996</v>
      </c>
      <c r="M393" s="54">
        <v>0.95289999999999997</v>
      </c>
      <c r="N393">
        <v>0.95250000000000001</v>
      </c>
      <c r="O393">
        <v>78.2</v>
      </c>
    </row>
    <row r="394" spans="7:15">
      <c r="G394" s="97">
        <f t="shared" si="34"/>
        <v>78.400000000000006</v>
      </c>
      <c r="H394">
        <f t="shared" si="30"/>
        <v>0.67410000000000003</v>
      </c>
      <c r="I394">
        <f t="shared" si="31"/>
        <v>0.67413053835159598</v>
      </c>
      <c r="J394">
        <v>78.400000000000006</v>
      </c>
      <c r="K394" s="54">
        <f t="shared" si="32"/>
        <v>0.67410000000000003</v>
      </c>
      <c r="L394">
        <f t="shared" si="33"/>
        <v>0.67410000000000003</v>
      </c>
      <c r="M394" s="54">
        <v>0.95409999999999995</v>
      </c>
      <c r="N394">
        <v>0.95369999999999999</v>
      </c>
      <c r="O394">
        <v>78.400000000000006</v>
      </c>
    </row>
    <row r="395" spans="7:15">
      <c r="G395" s="97">
        <f t="shared" si="34"/>
        <v>78.599999999999994</v>
      </c>
      <c r="H395">
        <f t="shared" si="30"/>
        <v>0.67349999999999999</v>
      </c>
      <c r="I395">
        <f t="shared" si="31"/>
        <v>0.67348881485007095</v>
      </c>
      <c r="J395">
        <v>78.599999999999994</v>
      </c>
      <c r="K395" s="54">
        <f t="shared" si="32"/>
        <v>0.67349999999999999</v>
      </c>
      <c r="L395">
        <f t="shared" si="33"/>
        <v>0.67349999999999999</v>
      </c>
      <c r="M395" s="54">
        <v>0.95540000000000003</v>
      </c>
      <c r="N395">
        <v>0.95489999999999997</v>
      </c>
      <c r="O395">
        <v>78.600000000000094</v>
      </c>
    </row>
    <row r="396" spans="7:15">
      <c r="G396" s="97">
        <f t="shared" si="34"/>
        <v>78.8</v>
      </c>
      <c r="H396">
        <f t="shared" si="30"/>
        <v>0.67279999999999995</v>
      </c>
      <c r="I396">
        <f t="shared" si="31"/>
        <v>0.67284831193533001</v>
      </c>
      <c r="J396">
        <v>78.8</v>
      </c>
      <c r="K396" s="54">
        <f t="shared" si="32"/>
        <v>0.67279999999999995</v>
      </c>
      <c r="L396">
        <f t="shared" si="33"/>
        <v>0.67279999999999995</v>
      </c>
      <c r="M396" s="54">
        <v>0.95669999999999999</v>
      </c>
      <c r="N396">
        <v>0.95620000000000005</v>
      </c>
      <c r="O396">
        <v>78.800000000000196</v>
      </c>
    </row>
    <row r="397" spans="7:15">
      <c r="G397" s="97">
        <f t="shared" si="34"/>
        <v>79</v>
      </c>
      <c r="H397">
        <f t="shared" si="30"/>
        <v>0.67220000000000002</v>
      </c>
      <c r="I397">
        <f t="shared" si="31"/>
        <v>0.67220902612826605</v>
      </c>
      <c r="J397">
        <v>79</v>
      </c>
      <c r="K397" s="54">
        <f t="shared" si="32"/>
        <v>0.67220000000000002</v>
      </c>
      <c r="L397">
        <f t="shared" si="33"/>
        <v>0.67220000000000002</v>
      </c>
      <c r="M397" s="54">
        <v>0.95799999999999996</v>
      </c>
      <c r="N397">
        <v>0.95750000000000002</v>
      </c>
      <c r="O397">
        <v>79</v>
      </c>
    </row>
    <row r="398" spans="7:15">
      <c r="G398" s="97">
        <f t="shared" si="34"/>
        <v>79.2</v>
      </c>
      <c r="H398">
        <f t="shared" si="30"/>
        <v>0.67159999999999997</v>
      </c>
      <c r="I398">
        <f t="shared" si="31"/>
        <v>0.67157095396298105</v>
      </c>
      <c r="J398">
        <v>79.2</v>
      </c>
      <c r="K398" s="54">
        <f t="shared" si="32"/>
        <v>0.67159999999999997</v>
      </c>
      <c r="L398">
        <f t="shared" si="33"/>
        <v>0.67159999999999997</v>
      </c>
      <c r="M398" s="54">
        <v>0.95930000000000004</v>
      </c>
      <c r="N398">
        <v>0.95879999999999999</v>
      </c>
      <c r="O398">
        <v>79.199999999999804</v>
      </c>
    </row>
    <row r="399" spans="7:15">
      <c r="G399" s="97">
        <f t="shared" si="34"/>
        <v>79.400000000000006</v>
      </c>
      <c r="H399">
        <f t="shared" si="30"/>
        <v>0.67090000000000005</v>
      </c>
      <c r="I399">
        <f t="shared" si="31"/>
        <v>0.67093409198672405</v>
      </c>
      <c r="J399">
        <v>79.400000000000006</v>
      </c>
      <c r="K399" s="54">
        <f t="shared" si="32"/>
        <v>0.67090000000000005</v>
      </c>
      <c r="L399">
        <f t="shared" si="33"/>
        <v>0.67090000000000005</v>
      </c>
      <c r="M399" s="54">
        <v>0.96060000000000001</v>
      </c>
      <c r="N399">
        <v>0.96009999999999995</v>
      </c>
      <c r="O399">
        <v>79.399999999999807</v>
      </c>
    </row>
    <row r="400" spans="7:15">
      <c r="G400" s="97">
        <f t="shared" si="34"/>
        <v>79.599999999999994</v>
      </c>
      <c r="H400">
        <f t="shared" si="30"/>
        <v>0.67030000000000001</v>
      </c>
      <c r="I400">
        <f t="shared" si="31"/>
        <v>0.67029843675982903</v>
      </c>
      <c r="J400">
        <v>79.599999999999994</v>
      </c>
      <c r="K400" s="54">
        <f t="shared" si="32"/>
        <v>0.67030000000000001</v>
      </c>
      <c r="L400">
        <f t="shared" si="33"/>
        <v>0.67030000000000001</v>
      </c>
      <c r="M400" s="54">
        <v>0.96189999999999998</v>
      </c>
      <c r="N400">
        <v>0.96140000000000003</v>
      </c>
      <c r="O400">
        <v>79.600000000000094</v>
      </c>
    </row>
    <row r="401" spans="7:15">
      <c r="G401" s="97">
        <f t="shared" si="34"/>
        <v>79.8</v>
      </c>
      <c r="H401">
        <f t="shared" si="30"/>
        <v>0.66969999999999996</v>
      </c>
      <c r="I401">
        <f t="shared" si="31"/>
        <v>0.66966398485565504</v>
      </c>
      <c r="J401">
        <v>79.8</v>
      </c>
      <c r="K401" s="54">
        <f t="shared" si="32"/>
        <v>0.66969999999999996</v>
      </c>
      <c r="L401">
        <f t="shared" si="33"/>
        <v>0.66969999999999996</v>
      </c>
      <c r="M401" s="54">
        <v>0.96319999999999995</v>
      </c>
      <c r="N401">
        <v>0.9627</v>
      </c>
      <c r="O401">
        <v>79.800000000000097</v>
      </c>
    </row>
    <row r="402" spans="7:15">
      <c r="G402" s="97">
        <f t="shared" si="34"/>
        <v>80</v>
      </c>
      <c r="H402">
        <f t="shared" si="30"/>
        <v>0.66900000000000004</v>
      </c>
      <c r="I402">
        <f t="shared" si="31"/>
        <v>0.66903073286051995</v>
      </c>
      <c r="J402">
        <v>80</v>
      </c>
      <c r="K402" s="54">
        <f t="shared" si="32"/>
        <v>0.66900000000000004</v>
      </c>
      <c r="L402">
        <f t="shared" si="33"/>
        <v>0.66900000000000004</v>
      </c>
      <c r="M402" s="54">
        <v>0.96460000000000001</v>
      </c>
      <c r="N402">
        <v>0.96409999999999996</v>
      </c>
      <c r="O402">
        <v>80.000000000000099</v>
      </c>
    </row>
    <row r="403" spans="7:15">
      <c r="G403" s="97">
        <f t="shared" si="34"/>
        <v>80.2</v>
      </c>
      <c r="H403">
        <f t="shared" si="30"/>
        <v>0.66839999999999999</v>
      </c>
      <c r="I403">
        <f t="shared" si="31"/>
        <v>0.668398677373642</v>
      </c>
      <c r="J403">
        <v>80.2</v>
      </c>
      <c r="K403" s="54">
        <f t="shared" si="32"/>
        <v>0.66839999999999999</v>
      </c>
      <c r="L403">
        <f t="shared" si="33"/>
        <v>0.66839999999999999</v>
      </c>
      <c r="M403" s="54">
        <v>0.96589999999999998</v>
      </c>
      <c r="N403">
        <v>0.96540000000000004</v>
      </c>
      <c r="O403">
        <v>80.2</v>
      </c>
    </row>
    <row r="404" spans="7:15">
      <c r="G404" s="97">
        <f t="shared" si="34"/>
        <v>80.400000000000006</v>
      </c>
      <c r="H404">
        <f t="shared" si="30"/>
        <v>0.66779999999999995</v>
      </c>
      <c r="I404">
        <f t="shared" si="31"/>
        <v>0.66776781500707905</v>
      </c>
      <c r="J404">
        <v>80.400000000000006</v>
      </c>
      <c r="K404" s="54">
        <f t="shared" si="32"/>
        <v>0.66779999999999995</v>
      </c>
      <c r="L404">
        <f t="shared" si="33"/>
        <v>0.66779999999999995</v>
      </c>
      <c r="M404" s="54">
        <v>0.96719999999999995</v>
      </c>
      <c r="N404">
        <v>0.9667</v>
      </c>
      <c r="O404">
        <v>80.399999999999906</v>
      </c>
    </row>
    <row r="405" spans="7:15">
      <c r="G405" s="97">
        <f t="shared" si="34"/>
        <v>80.599999999999994</v>
      </c>
      <c r="H405">
        <f t="shared" si="30"/>
        <v>0.66710000000000003</v>
      </c>
      <c r="I405">
        <f t="shared" si="31"/>
        <v>0.66713814238566704</v>
      </c>
      <c r="J405">
        <v>80.599999999999994</v>
      </c>
      <c r="K405" s="54">
        <f t="shared" si="32"/>
        <v>0.66710000000000003</v>
      </c>
      <c r="L405">
        <f t="shared" si="33"/>
        <v>0.66710000000000003</v>
      </c>
      <c r="M405" s="54">
        <v>0.96850000000000003</v>
      </c>
      <c r="N405">
        <v>0.96799999999999997</v>
      </c>
      <c r="O405">
        <v>80.599999999999994</v>
      </c>
    </row>
    <row r="406" spans="7:15">
      <c r="G406" s="97">
        <f t="shared" si="34"/>
        <v>80.8</v>
      </c>
      <c r="H406">
        <f t="shared" si="30"/>
        <v>0.66649999999999998</v>
      </c>
      <c r="I406">
        <f t="shared" si="31"/>
        <v>0.666509656146962</v>
      </c>
      <c r="J406">
        <v>80.8</v>
      </c>
      <c r="K406" s="54">
        <f t="shared" si="32"/>
        <v>0.66649999999999998</v>
      </c>
      <c r="L406">
        <f t="shared" si="33"/>
        <v>0.66649999999999998</v>
      </c>
      <c r="M406" s="54">
        <v>0.9698</v>
      </c>
      <c r="N406">
        <v>0.96930000000000005</v>
      </c>
      <c r="O406">
        <v>80.8</v>
      </c>
    </row>
    <row r="407" spans="7:15">
      <c r="G407" s="97">
        <f t="shared" si="34"/>
        <v>81</v>
      </c>
      <c r="H407">
        <f t="shared" si="30"/>
        <v>0.66590000000000005</v>
      </c>
      <c r="I407">
        <f t="shared" si="31"/>
        <v>0.66588235294117604</v>
      </c>
      <c r="J407">
        <v>81</v>
      </c>
      <c r="K407" s="54">
        <f t="shared" si="32"/>
        <v>0.66590000000000005</v>
      </c>
      <c r="L407">
        <f t="shared" si="33"/>
        <v>0.66590000000000005</v>
      </c>
      <c r="M407" s="54">
        <v>0.97119999999999995</v>
      </c>
      <c r="N407">
        <v>0.97070000000000001</v>
      </c>
      <c r="O407">
        <v>81.000000000000099</v>
      </c>
    </row>
    <row r="408" spans="7:15">
      <c r="G408" s="97">
        <f t="shared" si="34"/>
        <v>81.2</v>
      </c>
      <c r="H408">
        <f t="shared" si="30"/>
        <v>0.6653</v>
      </c>
      <c r="I408">
        <f t="shared" si="31"/>
        <v>0.66525622943112395</v>
      </c>
      <c r="J408">
        <v>81.2</v>
      </c>
      <c r="K408" s="54">
        <f t="shared" si="32"/>
        <v>0.6653</v>
      </c>
      <c r="L408">
        <f t="shared" si="33"/>
        <v>0.6653</v>
      </c>
      <c r="M408" s="54">
        <v>0.97250000000000003</v>
      </c>
      <c r="N408">
        <v>0.97199999999999998</v>
      </c>
      <c r="O408">
        <v>81.199999999999903</v>
      </c>
    </row>
    <row r="409" spans="7:15">
      <c r="G409" s="97">
        <f t="shared" si="34"/>
        <v>81.400000000000006</v>
      </c>
      <c r="H409">
        <f t="shared" si="30"/>
        <v>0.66459999999999997</v>
      </c>
      <c r="I409">
        <f t="shared" si="31"/>
        <v>0.66463128229215596</v>
      </c>
      <c r="J409">
        <v>81.400000000000006</v>
      </c>
      <c r="K409" s="54">
        <f t="shared" si="32"/>
        <v>0.66459999999999997</v>
      </c>
      <c r="L409">
        <f t="shared" si="33"/>
        <v>0.66459999999999997</v>
      </c>
      <c r="M409" s="54">
        <v>0.9738</v>
      </c>
      <c r="N409">
        <v>0.97330000000000005</v>
      </c>
      <c r="O409">
        <v>81.400000000000006</v>
      </c>
    </row>
    <row r="410" spans="7:15">
      <c r="G410" s="97">
        <f t="shared" si="34"/>
        <v>81.599999999999994</v>
      </c>
      <c r="H410">
        <f t="shared" si="30"/>
        <v>0.66400000000000003</v>
      </c>
      <c r="I410">
        <f t="shared" si="31"/>
        <v>0.66400750821210697</v>
      </c>
      <c r="J410">
        <v>81.599999999999994</v>
      </c>
      <c r="K410" s="54">
        <f t="shared" si="32"/>
        <v>0.66400000000000003</v>
      </c>
      <c r="L410">
        <f t="shared" si="33"/>
        <v>0.66400000000000003</v>
      </c>
      <c r="M410" s="54">
        <v>0.97519999999999996</v>
      </c>
      <c r="N410">
        <v>0.97470000000000001</v>
      </c>
      <c r="O410">
        <v>81.599999999999994</v>
      </c>
    </row>
    <row r="411" spans="7:15">
      <c r="G411" s="97">
        <f t="shared" si="34"/>
        <v>81.8</v>
      </c>
      <c r="H411">
        <f t="shared" si="30"/>
        <v>0.66339999999999999</v>
      </c>
      <c r="I411">
        <f t="shared" si="31"/>
        <v>0.66338490389123295</v>
      </c>
      <c r="J411">
        <v>81.8</v>
      </c>
      <c r="K411" s="54">
        <f t="shared" si="32"/>
        <v>0.66339999999999999</v>
      </c>
      <c r="L411">
        <f t="shared" si="33"/>
        <v>0.66339999999999999</v>
      </c>
      <c r="M411" s="54">
        <v>0.97650000000000003</v>
      </c>
      <c r="N411">
        <v>0.97599999999999998</v>
      </c>
      <c r="O411">
        <v>81.8</v>
      </c>
    </row>
    <row r="412" spans="7:15">
      <c r="G412" s="97">
        <f t="shared" si="34"/>
        <v>82</v>
      </c>
      <c r="H412">
        <f t="shared" si="30"/>
        <v>0.66279999999999994</v>
      </c>
      <c r="I412">
        <f t="shared" si="31"/>
        <v>0.66276346604215497</v>
      </c>
      <c r="J412">
        <v>82</v>
      </c>
      <c r="K412" s="54">
        <f t="shared" si="32"/>
        <v>0.66279999999999994</v>
      </c>
      <c r="L412">
        <f t="shared" si="33"/>
        <v>0.66279999999999994</v>
      </c>
      <c r="M412" s="54">
        <v>0.97789999999999999</v>
      </c>
      <c r="N412">
        <v>0.97740000000000005</v>
      </c>
      <c r="O412">
        <v>81.999999999999901</v>
      </c>
    </row>
    <row r="413" spans="7:15">
      <c r="G413" s="97">
        <f t="shared" si="34"/>
        <v>82.2</v>
      </c>
      <c r="H413">
        <f t="shared" si="30"/>
        <v>0.66210000000000002</v>
      </c>
      <c r="I413">
        <f t="shared" si="31"/>
        <v>0.66214319138979905</v>
      </c>
      <c r="J413">
        <v>82.2</v>
      </c>
      <c r="K413" s="54">
        <f t="shared" si="32"/>
        <v>0.66210000000000002</v>
      </c>
      <c r="L413">
        <f t="shared" si="33"/>
        <v>0.66210000000000002</v>
      </c>
      <c r="M413" s="54">
        <v>0.97919999999999996</v>
      </c>
      <c r="N413">
        <v>0.97870000000000001</v>
      </c>
      <c r="O413">
        <v>82.199999999999903</v>
      </c>
    </row>
    <row r="414" spans="7:15">
      <c r="G414" s="97">
        <f t="shared" si="34"/>
        <v>82.4</v>
      </c>
      <c r="H414">
        <f t="shared" si="30"/>
        <v>0.66149999999999998</v>
      </c>
      <c r="I414">
        <f t="shared" si="31"/>
        <v>0.66152407667134205</v>
      </c>
      <c r="J414">
        <v>82.4</v>
      </c>
      <c r="K414" s="54">
        <f t="shared" si="32"/>
        <v>0.66149999999999998</v>
      </c>
      <c r="L414">
        <f t="shared" si="33"/>
        <v>0.66149999999999998</v>
      </c>
      <c r="M414" s="54">
        <v>0.98060000000000003</v>
      </c>
      <c r="N414">
        <v>0.98009999999999997</v>
      </c>
      <c r="O414">
        <v>82.399999999999906</v>
      </c>
    </row>
    <row r="415" spans="7:15">
      <c r="G415" s="97">
        <f t="shared" si="34"/>
        <v>82.6</v>
      </c>
      <c r="H415">
        <f t="shared" si="30"/>
        <v>0.66090000000000004</v>
      </c>
      <c r="I415">
        <f t="shared" si="31"/>
        <v>0.66090611863615101</v>
      </c>
      <c r="J415">
        <v>82.6</v>
      </c>
      <c r="K415" s="54">
        <f t="shared" si="32"/>
        <v>0.66090000000000004</v>
      </c>
      <c r="L415">
        <f t="shared" si="33"/>
        <v>0.66090000000000004</v>
      </c>
      <c r="M415" s="54">
        <v>0.98199999999999998</v>
      </c>
      <c r="N415">
        <v>0.98150000000000004</v>
      </c>
      <c r="O415">
        <v>82.600000000000094</v>
      </c>
    </row>
    <row r="416" spans="7:15">
      <c r="G416" s="97">
        <f t="shared" si="34"/>
        <v>82.8</v>
      </c>
      <c r="H416">
        <f t="shared" si="30"/>
        <v>0.6603</v>
      </c>
      <c r="I416">
        <f t="shared" si="31"/>
        <v>0.66028931404572999</v>
      </c>
      <c r="J416">
        <v>82.8</v>
      </c>
      <c r="K416" s="54">
        <f t="shared" si="32"/>
        <v>0.6603</v>
      </c>
      <c r="L416">
        <f t="shared" si="33"/>
        <v>0.6603</v>
      </c>
      <c r="M416" s="54">
        <v>0.98329999999999995</v>
      </c>
      <c r="N416">
        <v>0.98280000000000001</v>
      </c>
      <c r="O416">
        <v>82.800000000000097</v>
      </c>
    </row>
    <row r="417" spans="7:15">
      <c r="G417" s="97">
        <f t="shared" si="34"/>
        <v>83</v>
      </c>
      <c r="H417">
        <f t="shared" si="30"/>
        <v>0.65969999999999995</v>
      </c>
      <c r="I417">
        <f t="shared" si="31"/>
        <v>0.65967365967365998</v>
      </c>
      <c r="J417">
        <v>83</v>
      </c>
      <c r="K417" s="54">
        <f t="shared" si="32"/>
        <v>0.65969999999999995</v>
      </c>
      <c r="L417">
        <f t="shared" si="33"/>
        <v>0.65969999999999995</v>
      </c>
      <c r="M417" s="54">
        <v>0.98470000000000002</v>
      </c>
      <c r="N417">
        <v>0.98419999999999996</v>
      </c>
      <c r="O417">
        <v>82.999999999999901</v>
      </c>
    </row>
    <row r="418" spans="7:15">
      <c r="G418" s="97">
        <f t="shared" si="34"/>
        <v>83.2</v>
      </c>
      <c r="H418">
        <f t="shared" si="30"/>
        <v>0.65910000000000002</v>
      </c>
      <c r="I418">
        <f t="shared" si="31"/>
        <v>0.65905915230554302</v>
      </c>
      <c r="J418">
        <v>83.2</v>
      </c>
      <c r="K418" s="54">
        <f t="shared" si="32"/>
        <v>0.65910000000000002</v>
      </c>
      <c r="L418">
        <f t="shared" si="33"/>
        <v>0.65910000000000002</v>
      </c>
      <c r="M418" s="54">
        <v>0.98609999999999998</v>
      </c>
      <c r="N418">
        <v>0.98560000000000003</v>
      </c>
      <c r="O418">
        <v>83.199999999999903</v>
      </c>
    </row>
    <row r="419" spans="7:15">
      <c r="G419" s="97">
        <f t="shared" si="34"/>
        <v>83.4</v>
      </c>
      <c r="H419">
        <f t="shared" si="30"/>
        <v>0.65839999999999999</v>
      </c>
      <c r="I419">
        <f t="shared" si="31"/>
        <v>0.65844578873894799</v>
      </c>
      <c r="J419">
        <v>83.4</v>
      </c>
      <c r="K419" s="54">
        <f t="shared" si="32"/>
        <v>0.65839999999999999</v>
      </c>
      <c r="L419">
        <f t="shared" si="33"/>
        <v>0.65839999999999999</v>
      </c>
      <c r="M419" s="54">
        <v>0.98740000000000006</v>
      </c>
      <c r="N419">
        <v>0.9869</v>
      </c>
      <c r="O419">
        <v>83.400000000000105</v>
      </c>
    </row>
    <row r="420" spans="7:15">
      <c r="G420" s="97">
        <f t="shared" si="34"/>
        <v>83.6</v>
      </c>
      <c r="H420">
        <f t="shared" si="30"/>
        <v>0.65780000000000005</v>
      </c>
      <c r="I420">
        <f t="shared" si="31"/>
        <v>0.65783356578335705</v>
      </c>
      <c r="J420">
        <v>83.6</v>
      </c>
      <c r="K420" s="54">
        <f t="shared" si="32"/>
        <v>0.65780000000000005</v>
      </c>
      <c r="L420">
        <f t="shared" si="33"/>
        <v>0.65780000000000005</v>
      </c>
      <c r="M420" s="54">
        <v>0.98880000000000001</v>
      </c>
      <c r="N420">
        <v>0.98829999999999996</v>
      </c>
      <c r="O420">
        <v>83.599999999999895</v>
      </c>
    </row>
    <row r="421" spans="7:15">
      <c r="G421" s="97">
        <f t="shared" si="34"/>
        <v>83.8</v>
      </c>
      <c r="H421">
        <f t="shared" si="30"/>
        <v>0.65720000000000001</v>
      </c>
      <c r="I421">
        <f t="shared" si="31"/>
        <v>0.65722248026010199</v>
      </c>
      <c r="J421">
        <v>83.8</v>
      </c>
      <c r="K421" s="54">
        <f t="shared" si="32"/>
        <v>0.65720000000000001</v>
      </c>
      <c r="L421">
        <f t="shared" si="33"/>
        <v>0.65720000000000001</v>
      </c>
      <c r="M421" s="54">
        <v>0.99019999999999997</v>
      </c>
      <c r="N421">
        <v>0.98970000000000002</v>
      </c>
      <c r="O421">
        <v>83.800000000000097</v>
      </c>
    </row>
    <row r="422" spans="7:15">
      <c r="G422" s="97">
        <f t="shared" si="34"/>
        <v>84</v>
      </c>
      <c r="H422">
        <f t="shared" si="30"/>
        <v>0.65659999999999996</v>
      </c>
      <c r="I422">
        <f t="shared" si="31"/>
        <v>0.65661252900232003</v>
      </c>
      <c r="J422">
        <v>84</v>
      </c>
      <c r="K422" s="54">
        <f t="shared" si="32"/>
        <v>0.65659999999999996</v>
      </c>
      <c r="L422">
        <f t="shared" si="33"/>
        <v>0.65659999999999996</v>
      </c>
      <c r="M422" s="54">
        <v>0.99160000000000004</v>
      </c>
      <c r="N422">
        <v>0.99109999999999998</v>
      </c>
      <c r="O422">
        <v>84.000000000000099</v>
      </c>
    </row>
    <row r="423" spans="7:15">
      <c r="G423" s="97">
        <f t="shared" si="34"/>
        <v>84.2</v>
      </c>
      <c r="H423">
        <f t="shared" si="30"/>
        <v>0.65600000000000003</v>
      </c>
      <c r="I423">
        <f t="shared" si="31"/>
        <v>0.65600370885489101</v>
      </c>
      <c r="J423">
        <v>84.2</v>
      </c>
      <c r="K423" s="54">
        <f t="shared" si="32"/>
        <v>0.65600000000000003</v>
      </c>
      <c r="L423">
        <f t="shared" si="33"/>
        <v>0.65600000000000003</v>
      </c>
      <c r="M423" s="54">
        <v>0.99299999999999999</v>
      </c>
      <c r="N423">
        <v>0.99250000000000005</v>
      </c>
      <c r="O423">
        <v>84.2</v>
      </c>
    </row>
    <row r="424" spans="7:15">
      <c r="G424" s="97">
        <f t="shared" si="34"/>
        <v>84.4</v>
      </c>
      <c r="H424">
        <f t="shared" si="30"/>
        <v>0.65539999999999998</v>
      </c>
      <c r="I424">
        <f t="shared" si="31"/>
        <v>0.65539601667438596</v>
      </c>
      <c r="J424">
        <v>84.4</v>
      </c>
      <c r="K424" s="54">
        <f t="shared" si="32"/>
        <v>0.65539999999999998</v>
      </c>
      <c r="L424">
        <f t="shared" si="33"/>
        <v>0.65539999999999998</v>
      </c>
      <c r="M424" s="54">
        <v>0.99439999999999995</v>
      </c>
      <c r="N424">
        <v>0.99390000000000001</v>
      </c>
      <c r="O424">
        <v>84.400000000000105</v>
      </c>
    </row>
    <row r="425" spans="7:15">
      <c r="G425" s="97">
        <f t="shared" si="34"/>
        <v>84.6</v>
      </c>
      <c r="H425">
        <f t="shared" si="30"/>
        <v>0.65480000000000005</v>
      </c>
      <c r="I425">
        <f t="shared" si="31"/>
        <v>0.65478944932901395</v>
      </c>
      <c r="J425">
        <v>84.6</v>
      </c>
      <c r="K425" s="54">
        <f t="shared" si="32"/>
        <v>0.65480000000000005</v>
      </c>
      <c r="L425">
        <f t="shared" si="33"/>
        <v>0.65480000000000005</v>
      </c>
      <c r="M425" s="54">
        <v>0.99580000000000002</v>
      </c>
      <c r="N425">
        <v>0.99529999999999996</v>
      </c>
      <c r="O425">
        <v>84.600000000000094</v>
      </c>
    </row>
    <row r="426" spans="7:15">
      <c r="G426" s="97">
        <f t="shared" si="34"/>
        <v>84.8</v>
      </c>
      <c r="H426">
        <f t="shared" si="30"/>
        <v>0.6542</v>
      </c>
      <c r="I426">
        <f t="shared" si="31"/>
        <v>0.654184003698567</v>
      </c>
      <c r="J426">
        <v>84.8</v>
      </c>
      <c r="K426" s="54">
        <f t="shared" si="32"/>
        <v>0.6542</v>
      </c>
      <c r="L426">
        <f t="shared" si="33"/>
        <v>0.6542</v>
      </c>
      <c r="M426" s="54">
        <v>0.99719999999999998</v>
      </c>
      <c r="N426">
        <v>0.99670000000000003</v>
      </c>
      <c r="O426">
        <v>84.799999999999898</v>
      </c>
    </row>
    <row r="427" spans="7:15">
      <c r="G427" s="97">
        <f t="shared" si="34"/>
        <v>85</v>
      </c>
      <c r="H427">
        <f t="shared" si="30"/>
        <v>0.65359999999999996</v>
      </c>
      <c r="I427">
        <f t="shared" si="31"/>
        <v>0.65357967667436501</v>
      </c>
      <c r="J427">
        <v>85</v>
      </c>
      <c r="K427" s="54">
        <f t="shared" si="32"/>
        <v>0.65359999999999996</v>
      </c>
      <c r="L427">
        <f t="shared" si="33"/>
        <v>0.65359999999999996</v>
      </c>
      <c r="M427" s="54">
        <v>0.99860000000000004</v>
      </c>
      <c r="N427">
        <v>0.99809999999999999</v>
      </c>
      <c r="O427">
        <v>85</v>
      </c>
    </row>
    <row r="428" spans="7:15">
      <c r="G428" s="97">
        <f t="shared" si="34"/>
        <v>85.2</v>
      </c>
      <c r="H428">
        <f t="shared" si="30"/>
        <v>0.65300000000000002</v>
      </c>
      <c r="I428">
        <f t="shared" si="31"/>
        <v>0.65297646515920604</v>
      </c>
      <c r="J428">
        <v>85.2</v>
      </c>
      <c r="K428" s="54">
        <f t="shared" si="32"/>
        <v>0.65300000000000002</v>
      </c>
      <c r="L428">
        <f t="shared" si="33"/>
        <v>0.65300000000000002</v>
      </c>
      <c r="M428" s="54">
        <v>1</v>
      </c>
      <c r="N428">
        <v>0.99950000000000006</v>
      </c>
      <c r="O428">
        <v>85.200000000000102</v>
      </c>
    </row>
    <row r="429" spans="7:15">
      <c r="G429" s="97">
        <f t="shared" si="34"/>
        <v>85.4</v>
      </c>
      <c r="H429">
        <f t="shared" si="30"/>
        <v>0.65239999999999998</v>
      </c>
      <c r="I429">
        <f t="shared" si="31"/>
        <v>0.65237436606731203</v>
      </c>
      <c r="J429">
        <v>85.4</v>
      </c>
      <c r="K429" s="54">
        <f t="shared" si="32"/>
        <v>0.65239999999999998</v>
      </c>
      <c r="L429">
        <f t="shared" si="33"/>
        <v>0.65239999999999998</v>
      </c>
      <c r="M429" s="54">
        <v>1.0014000000000001</v>
      </c>
      <c r="N429">
        <v>1.0008999999999999</v>
      </c>
      <c r="O429">
        <v>85.4</v>
      </c>
    </row>
    <row r="430" spans="7:15">
      <c r="G430" s="97">
        <f t="shared" si="34"/>
        <v>85.6</v>
      </c>
      <c r="H430">
        <f t="shared" si="30"/>
        <v>0.65180000000000005</v>
      </c>
      <c r="I430">
        <f t="shared" si="31"/>
        <v>0.65177337632427501</v>
      </c>
      <c r="J430">
        <v>85.6</v>
      </c>
      <c r="K430" s="54">
        <f t="shared" si="32"/>
        <v>0.65180000000000005</v>
      </c>
      <c r="L430">
        <f t="shared" si="33"/>
        <v>0.65180000000000005</v>
      </c>
      <c r="M430" s="54">
        <v>1.0027999999999999</v>
      </c>
      <c r="N430">
        <v>1.0023</v>
      </c>
      <c r="O430">
        <v>85.599999999999895</v>
      </c>
    </row>
    <row r="431" spans="7:15">
      <c r="G431" s="97">
        <f t="shared" si="34"/>
        <v>85.8</v>
      </c>
      <c r="H431">
        <f t="shared" si="30"/>
        <v>0.6512</v>
      </c>
      <c r="I431">
        <f t="shared" si="31"/>
        <v>0.65117349286700399</v>
      </c>
      <c r="J431">
        <v>85.8</v>
      </c>
      <c r="K431" s="54">
        <f t="shared" si="32"/>
        <v>0.6512</v>
      </c>
      <c r="L431">
        <f t="shared" si="33"/>
        <v>0.6512</v>
      </c>
      <c r="M431" s="54">
        <v>1.0043</v>
      </c>
      <c r="N431">
        <v>1.0038</v>
      </c>
      <c r="O431">
        <v>85.8</v>
      </c>
    </row>
    <row r="432" spans="7:15">
      <c r="G432" s="97">
        <f t="shared" si="34"/>
        <v>86</v>
      </c>
      <c r="H432">
        <f t="shared" si="30"/>
        <v>0.65059999999999996</v>
      </c>
      <c r="I432">
        <f t="shared" si="31"/>
        <v>0.65057471264367805</v>
      </c>
      <c r="J432">
        <v>86</v>
      </c>
      <c r="K432" s="54">
        <f t="shared" si="32"/>
        <v>0.65059999999999996</v>
      </c>
      <c r="L432">
        <f t="shared" si="33"/>
        <v>0.65059999999999996</v>
      </c>
      <c r="M432" s="54">
        <v>1.0057</v>
      </c>
      <c r="N432">
        <v>1.0052000000000001</v>
      </c>
      <c r="O432">
        <v>86</v>
      </c>
    </row>
    <row r="433" spans="7:15">
      <c r="G433" s="97">
        <f t="shared" si="34"/>
        <v>86.2</v>
      </c>
      <c r="H433">
        <f t="shared" si="30"/>
        <v>0.65</v>
      </c>
      <c r="I433">
        <f t="shared" si="31"/>
        <v>0.649977032613689</v>
      </c>
      <c r="J433">
        <v>86.2</v>
      </c>
      <c r="K433" s="54">
        <f t="shared" si="32"/>
        <v>0.65</v>
      </c>
      <c r="L433">
        <f t="shared" si="33"/>
        <v>0.65</v>
      </c>
      <c r="M433" s="54">
        <v>1.0071000000000001</v>
      </c>
      <c r="N433">
        <v>1.0065999999999999</v>
      </c>
      <c r="O433">
        <v>86.199999999999804</v>
      </c>
    </row>
    <row r="434" spans="7:15">
      <c r="G434" s="97">
        <f t="shared" si="34"/>
        <v>86.4</v>
      </c>
      <c r="H434">
        <f t="shared" si="30"/>
        <v>0.64939999999999998</v>
      </c>
      <c r="I434">
        <f t="shared" si="31"/>
        <v>0.64938044974759102</v>
      </c>
      <c r="J434">
        <v>86.4</v>
      </c>
      <c r="K434" s="54">
        <f t="shared" si="32"/>
        <v>0.64939999999999998</v>
      </c>
      <c r="L434">
        <f t="shared" si="33"/>
        <v>0.64939999999999998</v>
      </c>
      <c r="M434" s="54">
        <v>1.0085999999999999</v>
      </c>
      <c r="N434">
        <v>1.0081</v>
      </c>
      <c r="O434">
        <v>86.399999999999906</v>
      </c>
    </row>
    <row r="435" spans="7:15">
      <c r="G435" s="97">
        <f t="shared" si="34"/>
        <v>86.6</v>
      </c>
      <c r="H435">
        <f t="shared" si="30"/>
        <v>0.64880000000000004</v>
      </c>
      <c r="I435">
        <f t="shared" si="31"/>
        <v>0.64878496102705197</v>
      </c>
      <c r="J435">
        <v>86.6</v>
      </c>
      <c r="K435" s="54">
        <f t="shared" si="32"/>
        <v>0.64880000000000004</v>
      </c>
      <c r="L435">
        <f t="shared" si="33"/>
        <v>0.64880000000000004</v>
      </c>
      <c r="M435" s="54">
        <v>1.01</v>
      </c>
      <c r="N435">
        <v>1.0095000000000001</v>
      </c>
      <c r="O435">
        <v>86.599999999999895</v>
      </c>
    </row>
    <row r="436" spans="7:15">
      <c r="G436" s="97">
        <f t="shared" si="34"/>
        <v>86.8</v>
      </c>
      <c r="H436">
        <f t="shared" si="30"/>
        <v>0.6482</v>
      </c>
      <c r="I436">
        <f t="shared" si="31"/>
        <v>0.64819056344480097</v>
      </c>
      <c r="J436">
        <v>86.8</v>
      </c>
      <c r="K436" s="54">
        <f t="shared" si="32"/>
        <v>0.6482</v>
      </c>
      <c r="L436">
        <f t="shared" si="33"/>
        <v>0.6482</v>
      </c>
      <c r="M436" s="54">
        <v>1.0114000000000001</v>
      </c>
      <c r="N436">
        <v>1.0108999999999999</v>
      </c>
      <c r="O436">
        <v>86.799999999999898</v>
      </c>
    </row>
    <row r="437" spans="7:15">
      <c r="G437" s="97">
        <f t="shared" si="34"/>
        <v>87</v>
      </c>
      <c r="H437">
        <f t="shared" si="30"/>
        <v>0.64759999999999995</v>
      </c>
      <c r="I437">
        <f t="shared" si="31"/>
        <v>0.64759725400457702</v>
      </c>
      <c r="J437">
        <v>87</v>
      </c>
      <c r="K437" s="54">
        <f t="shared" si="32"/>
        <v>0.64759999999999995</v>
      </c>
      <c r="L437">
        <f t="shared" si="33"/>
        <v>0.64759999999999995</v>
      </c>
      <c r="M437" s="54">
        <v>1.0128999999999999</v>
      </c>
      <c r="N437">
        <v>1.0124</v>
      </c>
      <c r="O437">
        <v>86.999999999999901</v>
      </c>
    </row>
    <row r="438" spans="7:15">
      <c r="G438" s="97">
        <f t="shared" si="34"/>
        <v>87.2</v>
      </c>
      <c r="H438">
        <f t="shared" si="30"/>
        <v>0.64700000000000002</v>
      </c>
      <c r="I438">
        <f t="shared" si="31"/>
        <v>0.64700502972107898</v>
      </c>
      <c r="J438">
        <v>87.2</v>
      </c>
      <c r="K438" s="54">
        <f t="shared" si="32"/>
        <v>0.64700000000000002</v>
      </c>
      <c r="L438">
        <f t="shared" si="33"/>
        <v>0.64700000000000002</v>
      </c>
      <c r="M438" s="54">
        <v>1.0143</v>
      </c>
      <c r="N438">
        <v>1.0138</v>
      </c>
      <c r="O438">
        <v>87.2</v>
      </c>
    </row>
    <row r="439" spans="7:15">
      <c r="G439" s="97">
        <f t="shared" si="34"/>
        <v>87.4</v>
      </c>
      <c r="H439">
        <f t="shared" si="30"/>
        <v>0.64639999999999997</v>
      </c>
      <c r="I439">
        <f t="shared" si="31"/>
        <v>0.64641388761991803</v>
      </c>
      <c r="J439">
        <v>87.4</v>
      </c>
      <c r="K439" s="54">
        <f t="shared" si="32"/>
        <v>0.64639999999999997</v>
      </c>
      <c r="L439">
        <f t="shared" si="33"/>
        <v>0.64639999999999997</v>
      </c>
      <c r="M439" s="54">
        <v>1.0158</v>
      </c>
      <c r="N439">
        <v>1.0153000000000001</v>
      </c>
      <c r="O439">
        <v>87.399999999999906</v>
      </c>
    </row>
    <row r="440" spans="7:15">
      <c r="G440" s="97">
        <f t="shared" si="34"/>
        <v>87.6</v>
      </c>
      <c r="H440">
        <f t="shared" si="30"/>
        <v>0.64580000000000004</v>
      </c>
      <c r="I440">
        <f t="shared" si="31"/>
        <v>0.64582382473756295</v>
      </c>
      <c r="J440">
        <v>87.6</v>
      </c>
      <c r="K440" s="54">
        <f t="shared" si="32"/>
        <v>0.64580000000000004</v>
      </c>
      <c r="L440">
        <f t="shared" si="33"/>
        <v>0.64580000000000004</v>
      </c>
      <c r="M440" s="54">
        <v>1.0173000000000001</v>
      </c>
      <c r="N440">
        <v>1.0167999999999999</v>
      </c>
      <c r="O440">
        <v>87.599999999999895</v>
      </c>
    </row>
    <row r="441" spans="7:15">
      <c r="G441" s="97">
        <f t="shared" si="34"/>
        <v>87.8</v>
      </c>
      <c r="H441">
        <f t="shared" si="30"/>
        <v>0.6452</v>
      </c>
      <c r="I441">
        <f t="shared" si="31"/>
        <v>0.64523483812129501</v>
      </c>
      <c r="J441">
        <v>87.8</v>
      </c>
      <c r="K441" s="54">
        <f t="shared" si="32"/>
        <v>0.6452</v>
      </c>
      <c r="L441">
        <f t="shared" si="33"/>
        <v>0.6452</v>
      </c>
      <c r="M441" s="54">
        <v>1.0186999999999999</v>
      </c>
      <c r="N441">
        <v>1.0182</v>
      </c>
      <c r="O441">
        <v>87.8</v>
      </c>
    </row>
    <row r="442" spans="7:15">
      <c r="G442" s="97">
        <f t="shared" si="34"/>
        <v>88</v>
      </c>
      <c r="H442">
        <f t="shared" si="30"/>
        <v>0.64459999999999995</v>
      </c>
      <c r="I442">
        <f t="shared" si="31"/>
        <v>0.64464692482915698</v>
      </c>
      <c r="J442">
        <v>88</v>
      </c>
      <c r="K442" s="54">
        <f t="shared" si="32"/>
        <v>0.64459999999999995</v>
      </c>
      <c r="L442">
        <f t="shared" si="33"/>
        <v>0.64459999999999995</v>
      </c>
      <c r="M442" s="54">
        <v>1.0202</v>
      </c>
      <c r="N442">
        <v>1.0197000000000001</v>
      </c>
      <c r="O442">
        <v>88.000000000000099</v>
      </c>
    </row>
    <row r="443" spans="7:15">
      <c r="G443" s="97">
        <f t="shared" si="34"/>
        <v>88.2</v>
      </c>
      <c r="H443">
        <f t="shared" si="30"/>
        <v>0.64410000000000001</v>
      </c>
      <c r="I443">
        <f t="shared" si="31"/>
        <v>0.64406008192990405</v>
      </c>
      <c r="J443">
        <v>88.2</v>
      </c>
      <c r="K443" s="54">
        <f t="shared" si="32"/>
        <v>0.64410000000000001</v>
      </c>
      <c r="L443">
        <f t="shared" si="33"/>
        <v>0.64410000000000001</v>
      </c>
      <c r="M443" s="54">
        <v>1.0217000000000001</v>
      </c>
      <c r="N443">
        <v>1.0212000000000001</v>
      </c>
      <c r="O443">
        <v>88.200000000000102</v>
      </c>
    </row>
    <row r="444" spans="7:15">
      <c r="G444" s="97">
        <f t="shared" si="34"/>
        <v>88.4</v>
      </c>
      <c r="H444">
        <f t="shared" si="30"/>
        <v>0.64349999999999996</v>
      </c>
      <c r="I444">
        <f t="shared" si="31"/>
        <v>0.64347430650295601</v>
      </c>
      <c r="J444">
        <v>88.4</v>
      </c>
      <c r="K444" s="54">
        <f t="shared" si="32"/>
        <v>0.64349999999999996</v>
      </c>
      <c r="L444">
        <f t="shared" si="33"/>
        <v>0.64349999999999996</v>
      </c>
      <c r="M444" s="54">
        <v>1.0230999999999999</v>
      </c>
      <c r="N444">
        <v>1.0226</v>
      </c>
      <c r="O444">
        <v>88.399999999999906</v>
      </c>
    </row>
    <row r="445" spans="7:15">
      <c r="G445" s="97">
        <f t="shared" si="34"/>
        <v>88.6</v>
      </c>
      <c r="H445">
        <f t="shared" si="30"/>
        <v>0.64290000000000003</v>
      </c>
      <c r="I445">
        <f t="shared" si="31"/>
        <v>0.64288959563834602</v>
      </c>
      <c r="J445">
        <v>88.6</v>
      </c>
      <c r="K445" s="54">
        <f t="shared" si="32"/>
        <v>0.64290000000000003</v>
      </c>
      <c r="L445">
        <f t="shared" si="33"/>
        <v>0.64290000000000003</v>
      </c>
      <c r="M445" s="54">
        <v>1.0246</v>
      </c>
      <c r="N445">
        <v>1.0241</v>
      </c>
      <c r="O445">
        <v>88.600000000000094</v>
      </c>
    </row>
    <row r="446" spans="7:15">
      <c r="G446" s="97">
        <f t="shared" si="34"/>
        <v>88.8</v>
      </c>
      <c r="H446">
        <f t="shared" si="30"/>
        <v>0.64229999999999998</v>
      </c>
      <c r="I446">
        <f t="shared" si="31"/>
        <v>0.64230594643667704</v>
      </c>
      <c r="J446">
        <v>88.8</v>
      </c>
      <c r="K446" s="54">
        <f t="shared" si="32"/>
        <v>0.64229999999999998</v>
      </c>
      <c r="L446">
        <f t="shared" si="33"/>
        <v>0.64229999999999998</v>
      </c>
      <c r="M446" s="54">
        <v>1.0261</v>
      </c>
      <c r="N446">
        <v>1.0256000000000001</v>
      </c>
      <c r="O446">
        <v>88.800000000000097</v>
      </c>
    </row>
    <row r="447" spans="7:15">
      <c r="G447" s="97">
        <f t="shared" si="34"/>
        <v>89</v>
      </c>
      <c r="H447">
        <f t="shared" si="30"/>
        <v>0.64170000000000005</v>
      </c>
      <c r="I447">
        <f t="shared" si="31"/>
        <v>0.64172335600907005</v>
      </c>
      <c r="J447">
        <v>89</v>
      </c>
      <c r="K447" s="54">
        <f t="shared" si="32"/>
        <v>0.64170000000000005</v>
      </c>
      <c r="L447">
        <f t="shared" si="33"/>
        <v>0.64170000000000005</v>
      </c>
      <c r="M447" s="54">
        <v>1.0276000000000001</v>
      </c>
      <c r="N447">
        <v>1.0270999999999999</v>
      </c>
      <c r="O447">
        <v>89.000000000000099</v>
      </c>
    </row>
    <row r="448" spans="7:15">
      <c r="G448" s="97">
        <f t="shared" si="34"/>
        <v>89.2</v>
      </c>
      <c r="H448">
        <f t="shared" si="30"/>
        <v>0.6411</v>
      </c>
      <c r="I448">
        <f t="shared" si="31"/>
        <v>0.64114182147711796</v>
      </c>
      <c r="J448">
        <v>89.2</v>
      </c>
      <c r="K448" s="54">
        <f t="shared" si="32"/>
        <v>0.6411</v>
      </c>
      <c r="L448">
        <f t="shared" si="33"/>
        <v>0.6411</v>
      </c>
      <c r="M448" s="54">
        <v>1.0290999999999999</v>
      </c>
      <c r="N448">
        <v>1.0286</v>
      </c>
      <c r="O448">
        <v>89.200000000000102</v>
      </c>
    </row>
    <row r="449" spans="7:15">
      <c r="G449" s="97">
        <f t="shared" si="34"/>
        <v>89.4</v>
      </c>
      <c r="H449">
        <f t="shared" si="30"/>
        <v>0.64059999999999995</v>
      </c>
      <c r="I449">
        <f t="shared" si="31"/>
        <v>0.64056133997283804</v>
      </c>
      <c r="J449">
        <v>89.4</v>
      </c>
      <c r="K449" s="54">
        <f t="shared" si="32"/>
        <v>0.64059999999999995</v>
      </c>
      <c r="L449">
        <f t="shared" si="33"/>
        <v>0.64059999999999995</v>
      </c>
      <c r="M449" s="54">
        <v>1.0306</v>
      </c>
      <c r="N449">
        <v>1.0301</v>
      </c>
      <c r="O449">
        <v>89.400000000000105</v>
      </c>
    </row>
    <row r="450" spans="7:15">
      <c r="G450" s="97">
        <f t="shared" si="34"/>
        <v>89.6</v>
      </c>
      <c r="H450">
        <f t="shared" ref="H450:H502" si="35">K450+VLOOKUP(K450,table,2)</f>
        <v>0.64</v>
      </c>
      <c r="I450">
        <f t="shared" ref="I450:I502" si="36">(141.5/(G450+131.5))</f>
        <v>0.63998190863862503</v>
      </c>
      <c r="J450">
        <v>89.6</v>
      </c>
      <c r="K450" s="54">
        <f t="shared" ref="K450:K502" si="37">(141.5/(J450+131.5))</f>
        <v>0.64</v>
      </c>
      <c r="L450">
        <f t="shared" ref="L450:L502" si="38">K450+VLOOKUP(K450,table,2)</f>
        <v>0.64</v>
      </c>
      <c r="M450" s="54">
        <v>1.0321</v>
      </c>
      <c r="N450">
        <v>1.0316000000000001</v>
      </c>
      <c r="O450">
        <v>89.6</v>
      </c>
    </row>
    <row r="451" spans="7:15">
      <c r="G451" s="97">
        <f t="shared" ref="G451:G502" si="39">(141.5/K451)-131.5</f>
        <v>89.8</v>
      </c>
      <c r="H451">
        <f t="shared" si="35"/>
        <v>0.63939999999999997</v>
      </c>
      <c r="I451">
        <f t="shared" si="36"/>
        <v>0.63940352462720296</v>
      </c>
      <c r="J451">
        <v>89.8</v>
      </c>
      <c r="K451" s="54">
        <f t="shared" si="37"/>
        <v>0.63939999999999997</v>
      </c>
      <c r="L451">
        <f t="shared" si="38"/>
        <v>0.63939999999999997</v>
      </c>
      <c r="M451" s="54">
        <v>1.0336000000000001</v>
      </c>
      <c r="N451">
        <v>1.0330999999999999</v>
      </c>
      <c r="O451">
        <v>89.8</v>
      </c>
    </row>
    <row r="452" spans="7:15">
      <c r="G452" s="97">
        <f t="shared" si="39"/>
        <v>90</v>
      </c>
      <c r="H452">
        <f t="shared" si="35"/>
        <v>0.63880000000000003</v>
      </c>
      <c r="I452">
        <f t="shared" si="36"/>
        <v>0.63882618510157996</v>
      </c>
      <c r="J452">
        <v>90</v>
      </c>
      <c r="K452" s="54">
        <f t="shared" si="37"/>
        <v>0.63880000000000003</v>
      </c>
      <c r="L452">
        <f t="shared" si="38"/>
        <v>0.63880000000000003</v>
      </c>
      <c r="M452" s="54">
        <v>1.0350999999999999</v>
      </c>
      <c r="N452">
        <v>1.0346</v>
      </c>
      <c r="O452">
        <v>90.000000000000099</v>
      </c>
    </row>
    <row r="453" spans="7:15">
      <c r="G453" s="97">
        <f t="shared" si="39"/>
        <v>90.2</v>
      </c>
      <c r="H453">
        <f t="shared" si="35"/>
        <v>0.63819999999999999</v>
      </c>
      <c r="I453">
        <f t="shared" si="36"/>
        <v>0.63824988723500198</v>
      </c>
      <c r="J453">
        <v>90.2</v>
      </c>
      <c r="K453" s="54">
        <f t="shared" si="37"/>
        <v>0.63819999999999999</v>
      </c>
      <c r="L453">
        <f t="shared" si="38"/>
        <v>0.63819999999999999</v>
      </c>
      <c r="M453" s="54">
        <v>1.0366</v>
      </c>
      <c r="N453">
        <v>1.0361</v>
      </c>
      <c r="O453">
        <v>90.200000000000102</v>
      </c>
    </row>
    <row r="454" spans="7:15">
      <c r="G454" s="97">
        <f t="shared" si="39"/>
        <v>90.4</v>
      </c>
      <c r="H454">
        <f t="shared" si="35"/>
        <v>0.63770000000000004</v>
      </c>
      <c r="I454">
        <f t="shared" si="36"/>
        <v>0.63767462821090604</v>
      </c>
      <c r="J454">
        <v>90.4</v>
      </c>
      <c r="K454" s="54">
        <f t="shared" si="37"/>
        <v>0.63770000000000004</v>
      </c>
      <c r="L454">
        <f t="shared" si="38"/>
        <v>0.63770000000000004</v>
      </c>
      <c r="M454" s="54">
        <v>1.0382</v>
      </c>
      <c r="N454">
        <v>1.0377000000000001</v>
      </c>
      <c r="O454">
        <v>90.399999999999906</v>
      </c>
    </row>
    <row r="455" spans="7:15">
      <c r="G455" s="97">
        <f t="shared" si="39"/>
        <v>90.6</v>
      </c>
      <c r="H455">
        <f t="shared" si="35"/>
        <v>0.6371</v>
      </c>
      <c r="I455">
        <f t="shared" si="36"/>
        <v>0.63710040522287303</v>
      </c>
      <c r="J455">
        <v>90.6</v>
      </c>
      <c r="K455" s="54">
        <f t="shared" si="37"/>
        <v>0.6371</v>
      </c>
      <c r="L455">
        <f t="shared" si="38"/>
        <v>0.6371</v>
      </c>
      <c r="M455" s="54">
        <v>1.0397000000000001</v>
      </c>
      <c r="N455">
        <v>1.0391999999999999</v>
      </c>
      <c r="O455">
        <v>90.599999999999895</v>
      </c>
    </row>
    <row r="456" spans="7:15">
      <c r="G456" s="97">
        <f t="shared" si="39"/>
        <v>90.8</v>
      </c>
      <c r="H456">
        <f t="shared" si="35"/>
        <v>0.63649999999999995</v>
      </c>
      <c r="I456">
        <f t="shared" si="36"/>
        <v>0.63652721547458402</v>
      </c>
      <c r="J456">
        <v>90.8</v>
      </c>
      <c r="K456" s="54">
        <f t="shared" si="37"/>
        <v>0.63649999999999995</v>
      </c>
      <c r="L456">
        <f t="shared" si="38"/>
        <v>0.63649999999999995</v>
      </c>
      <c r="M456" s="54">
        <v>1.0411999999999999</v>
      </c>
      <c r="N456">
        <v>1.0407</v>
      </c>
      <c r="O456">
        <v>90.8</v>
      </c>
    </row>
    <row r="457" spans="7:15">
      <c r="G457" s="97">
        <f t="shared" si="39"/>
        <v>91</v>
      </c>
      <c r="H457">
        <f t="shared" si="35"/>
        <v>0.63600000000000001</v>
      </c>
      <c r="I457">
        <f t="shared" si="36"/>
        <v>0.63595505617977499</v>
      </c>
      <c r="J457">
        <v>91</v>
      </c>
      <c r="K457" s="54">
        <f t="shared" si="37"/>
        <v>0.63600000000000001</v>
      </c>
      <c r="L457">
        <f t="shared" si="38"/>
        <v>0.63600000000000001</v>
      </c>
      <c r="M457" s="54">
        <v>1.0427</v>
      </c>
      <c r="N457">
        <v>1.0422</v>
      </c>
      <c r="O457">
        <v>91.000000000000099</v>
      </c>
    </row>
    <row r="458" spans="7:15">
      <c r="G458" s="97">
        <f t="shared" si="39"/>
        <v>91.2</v>
      </c>
      <c r="H458">
        <f t="shared" si="35"/>
        <v>0.63539999999999996</v>
      </c>
      <c r="I458">
        <f t="shared" si="36"/>
        <v>0.63538392456219095</v>
      </c>
      <c r="J458">
        <v>91.2</v>
      </c>
      <c r="K458" s="54">
        <f t="shared" si="37"/>
        <v>0.63539999999999996</v>
      </c>
      <c r="L458">
        <f t="shared" si="38"/>
        <v>0.63539999999999996</v>
      </c>
      <c r="M458" s="54">
        <v>1.0443</v>
      </c>
      <c r="N458">
        <v>1.0438000000000001</v>
      </c>
      <c r="O458">
        <v>91.200000000000102</v>
      </c>
    </row>
    <row r="459" spans="7:15">
      <c r="G459" s="97">
        <f t="shared" si="39"/>
        <v>91.4</v>
      </c>
      <c r="H459">
        <f t="shared" si="35"/>
        <v>0.63480000000000003</v>
      </c>
      <c r="I459">
        <f t="shared" si="36"/>
        <v>0.63481381785554103</v>
      </c>
      <c r="J459">
        <v>91.4</v>
      </c>
      <c r="K459" s="54">
        <f t="shared" si="37"/>
        <v>0.63480000000000003</v>
      </c>
      <c r="L459">
        <f t="shared" si="38"/>
        <v>0.63480000000000003</v>
      </c>
      <c r="M459" s="54">
        <v>1.0458000000000001</v>
      </c>
      <c r="N459">
        <v>1.0452999999999999</v>
      </c>
      <c r="O459">
        <v>91.399999999999906</v>
      </c>
    </row>
    <row r="460" spans="7:15">
      <c r="G460" s="97">
        <f t="shared" si="39"/>
        <v>91.6</v>
      </c>
      <c r="H460">
        <f t="shared" si="35"/>
        <v>0.63419999999999999</v>
      </c>
      <c r="I460">
        <f t="shared" si="36"/>
        <v>0.63424473330345099</v>
      </c>
      <c r="J460">
        <v>91.6</v>
      </c>
      <c r="K460" s="54">
        <f t="shared" si="37"/>
        <v>0.63419999999999999</v>
      </c>
      <c r="L460">
        <f t="shared" si="38"/>
        <v>0.63419999999999999</v>
      </c>
      <c r="M460" s="54">
        <v>1.0474000000000001</v>
      </c>
      <c r="N460">
        <v>1.0468999999999999</v>
      </c>
      <c r="O460">
        <v>91.600000000000094</v>
      </c>
    </row>
    <row r="461" spans="7:15">
      <c r="G461" s="97">
        <f t="shared" si="39"/>
        <v>91.8</v>
      </c>
      <c r="H461">
        <f t="shared" si="35"/>
        <v>0.63370000000000004</v>
      </c>
      <c r="I461">
        <f t="shared" si="36"/>
        <v>0.63367666815942703</v>
      </c>
      <c r="J461">
        <v>91.8</v>
      </c>
      <c r="K461" s="54">
        <f t="shared" si="37"/>
        <v>0.63370000000000004</v>
      </c>
      <c r="L461">
        <f t="shared" si="38"/>
        <v>0.63370000000000004</v>
      </c>
      <c r="M461" s="54">
        <v>1.0488999999999999</v>
      </c>
      <c r="N461">
        <v>1.0483</v>
      </c>
      <c r="O461">
        <v>91.799999999999898</v>
      </c>
    </row>
    <row r="462" spans="7:15">
      <c r="G462" s="97">
        <f t="shared" si="39"/>
        <v>92</v>
      </c>
      <c r="H462">
        <f t="shared" si="35"/>
        <v>0.6331</v>
      </c>
      <c r="I462">
        <f t="shared" si="36"/>
        <v>0.63310961968680102</v>
      </c>
      <c r="J462">
        <v>92</v>
      </c>
      <c r="K462" s="54">
        <f t="shared" si="37"/>
        <v>0.6331</v>
      </c>
      <c r="L462">
        <f t="shared" si="38"/>
        <v>0.6331</v>
      </c>
      <c r="M462" s="54">
        <v>1.0505</v>
      </c>
      <c r="N462">
        <v>1.0499000000000001</v>
      </c>
      <c r="O462">
        <v>91.999999999999901</v>
      </c>
    </row>
    <row r="463" spans="7:15">
      <c r="G463" s="97">
        <f t="shared" si="39"/>
        <v>92.2</v>
      </c>
      <c r="H463">
        <f t="shared" si="35"/>
        <v>0.63249999999999995</v>
      </c>
      <c r="I463">
        <f t="shared" si="36"/>
        <v>0.63254358515869502</v>
      </c>
      <c r="J463">
        <v>92.2</v>
      </c>
      <c r="K463" s="54">
        <f t="shared" si="37"/>
        <v>0.63249999999999995</v>
      </c>
      <c r="L463">
        <f t="shared" si="38"/>
        <v>0.63249999999999995</v>
      </c>
      <c r="M463" s="54">
        <v>1.052</v>
      </c>
      <c r="N463">
        <v>1.0513999999999999</v>
      </c>
      <c r="O463">
        <v>92.199999999999903</v>
      </c>
    </row>
    <row r="464" spans="7:15">
      <c r="G464" s="97">
        <f t="shared" si="39"/>
        <v>92.4</v>
      </c>
      <c r="H464">
        <f t="shared" si="35"/>
        <v>0.63200000000000001</v>
      </c>
      <c r="I464">
        <f t="shared" si="36"/>
        <v>0.63197856185797197</v>
      </c>
      <c r="J464">
        <v>92.4</v>
      </c>
      <c r="K464" s="54">
        <f t="shared" si="37"/>
        <v>0.63200000000000001</v>
      </c>
      <c r="L464">
        <f t="shared" si="38"/>
        <v>0.63200000000000001</v>
      </c>
      <c r="M464" s="54">
        <v>1.0536000000000001</v>
      </c>
      <c r="N464">
        <v>1.0529999999999999</v>
      </c>
      <c r="O464">
        <v>92.400000000000105</v>
      </c>
    </row>
    <row r="465" spans="7:15">
      <c r="G465" s="97">
        <f t="shared" si="39"/>
        <v>92.6</v>
      </c>
      <c r="H465">
        <f t="shared" si="35"/>
        <v>0.63139999999999996</v>
      </c>
      <c r="I465">
        <f t="shared" si="36"/>
        <v>0.63141454707719802</v>
      </c>
      <c r="J465">
        <v>92.6</v>
      </c>
      <c r="K465" s="54">
        <f t="shared" si="37"/>
        <v>0.63139999999999996</v>
      </c>
      <c r="L465">
        <f t="shared" si="38"/>
        <v>0.63139999999999996</v>
      </c>
      <c r="M465" s="54">
        <v>1.0551999999999999</v>
      </c>
      <c r="N465">
        <v>1.0546</v>
      </c>
      <c r="O465">
        <v>92.599999999999895</v>
      </c>
    </row>
    <row r="466" spans="7:15">
      <c r="G466" s="97">
        <f t="shared" si="39"/>
        <v>92.8</v>
      </c>
      <c r="H466">
        <f t="shared" si="35"/>
        <v>0.63090000000000002</v>
      </c>
      <c r="I466">
        <f t="shared" si="36"/>
        <v>0.63085153811859096</v>
      </c>
      <c r="J466">
        <v>92.8</v>
      </c>
      <c r="K466" s="54">
        <f t="shared" si="37"/>
        <v>0.63090000000000002</v>
      </c>
      <c r="L466">
        <f t="shared" si="38"/>
        <v>0.63090000000000002</v>
      </c>
      <c r="M466" s="54">
        <v>1.0568</v>
      </c>
      <c r="N466">
        <v>1.0562</v>
      </c>
      <c r="O466">
        <v>92.800000000000097</v>
      </c>
    </row>
    <row r="467" spans="7:15">
      <c r="G467" s="97">
        <f t="shared" si="39"/>
        <v>93</v>
      </c>
      <c r="H467">
        <f t="shared" si="35"/>
        <v>0.63029999999999997</v>
      </c>
      <c r="I467">
        <f t="shared" si="36"/>
        <v>0.63028953229398699</v>
      </c>
      <c r="J467">
        <v>93</v>
      </c>
      <c r="K467" s="54">
        <f t="shared" si="37"/>
        <v>0.63029999999999997</v>
      </c>
      <c r="L467">
        <f t="shared" si="38"/>
        <v>0.63029999999999997</v>
      </c>
      <c r="M467" s="54">
        <v>1.0583</v>
      </c>
      <c r="N467">
        <v>1.0577000000000001</v>
      </c>
      <c r="O467">
        <v>92.999999999999901</v>
      </c>
    </row>
    <row r="468" spans="7:15">
      <c r="G468" s="97">
        <f t="shared" si="39"/>
        <v>93.2</v>
      </c>
      <c r="H468">
        <f t="shared" si="35"/>
        <v>0.62970000000000004</v>
      </c>
      <c r="I468">
        <f t="shared" si="36"/>
        <v>0.62972852692478898</v>
      </c>
      <c r="J468">
        <v>93.2</v>
      </c>
      <c r="K468" s="54">
        <f t="shared" si="37"/>
        <v>0.62970000000000004</v>
      </c>
      <c r="L468">
        <f t="shared" si="38"/>
        <v>0.62970000000000004</v>
      </c>
      <c r="M468" s="54">
        <v>1.0599000000000001</v>
      </c>
      <c r="N468">
        <v>1.0592999999999999</v>
      </c>
      <c r="O468">
        <v>93.199999999999903</v>
      </c>
    </row>
    <row r="469" spans="7:15">
      <c r="G469" s="97">
        <f t="shared" si="39"/>
        <v>93.4</v>
      </c>
      <c r="H469">
        <f t="shared" si="35"/>
        <v>0.62919999999999998</v>
      </c>
      <c r="I469">
        <f t="shared" si="36"/>
        <v>0.62916851934192997</v>
      </c>
      <c r="J469">
        <v>93.4</v>
      </c>
      <c r="K469" s="54">
        <f t="shared" si="37"/>
        <v>0.62919999999999998</v>
      </c>
      <c r="L469">
        <f t="shared" si="38"/>
        <v>0.62919999999999998</v>
      </c>
      <c r="M469" s="54">
        <v>1.0615000000000001</v>
      </c>
      <c r="N469">
        <v>1.0609</v>
      </c>
      <c r="O469">
        <v>93.399999999999906</v>
      </c>
    </row>
    <row r="470" spans="7:15">
      <c r="G470" s="97">
        <f t="shared" si="39"/>
        <v>93.6</v>
      </c>
      <c r="H470">
        <f t="shared" si="35"/>
        <v>0.62860000000000005</v>
      </c>
      <c r="I470">
        <f t="shared" si="36"/>
        <v>0.62860950688582895</v>
      </c>
      <c r="J470">
        <v>93.6</v>
      </c>
      <c r="K470" s="54">
        <f t="shared" si="37"/>
        <v>0.62860000000000005</v>
      </c>
      <c r="L470">
        <f t="shared" si="38"/>
        <v>0.62860000000000005</v>
      </c>
      <c r="M470" s="54">
        <v>1.0630999999999999</v>
      </c>
      <c r="N470">
        <v>1.0625</v>
      </c>
      <c r="O470">
        <v>93.599999999999895</v>
      </c>
    </row>
    <row r="471" spans="7:15">
      <c r="G471" s="97">
        <f t="shared" si="39"/>
        <v>93.8</v>
      </c>
      <c r="H471">
        <f t="shared" si="35"/>
        <v>0.62809999999999999</v>
      </c>
      <c r="I471">
        <f t="shared" si="36"/>
        <v>0.62805148690634705</v>
      </c>
      <c r="J471">
        <v>93.8</v>
      </c>
      <c r="K471" s="54">
        <f t="shared" si="37"/>
        <v>0.62809999999999999</v>
      </c>
      <c r="L471">
        <f t="shared" si="38"/>
        <v>0.62809999999999999</v>
      </c>
      <c r="M471" s="54">
        <v>1.0647</v>
      </c>
      <c r="N471">
        <v>1.0641</v>
      </c>
      <c r="O471">
        <v>93.8</v>
      </c>
    </row>
    <row r="472" spans="7:15">
      <c r="G472" s="97">
        <f t="shared" si="39"/>
        <v>94</v>
      </c>
      <c r="H472">
        <f t="shared" si="35"/>
        <v>0.62749999999999995</v>
      </c>
      <c r="I472">
        <f t="shared" si="36"/>
        <v>0.62749445676274895</v>
      </c>
      <c r="J472">
        <v>94</v>
      </c>
      <c r="K472" s="54">
        <f t="shared" si="37"/>
        <v>0.62749999999999995</v>
      </c>
      <c r="L472">
        <f t="shared" si="38"/>
        <v>0.62749999999999995</v>
      </c>
      <c r="M472" s="54">
        <v>1.0663</v>
      </c>
      <c r="N472">
        <v>1.0657000000000001</v>
      </c>
      <c r="O472">
        <v>94.000000000000199</v>
      </c>
    </row>
    <row r="473" spans="7:15">
      <c r="G473" s="97">
        <f t="shared" si="39"/>
        <v>94.2</v>
      </c>
      <c r="H473">
        <f t="shared" si="35"/>
        <v>0.62690000000000001</v>
      </c>
      <c r="I473">
        <f t="shared" si="36"/>
        <v>0.62693841382366</v>
      </c>
      <c r="J473">
        <v>94.2</v>
      </c>
      <c r="K473" s="54">
        <f t="shared" si="37"/>
        <v>0.62690000000000001</v>
      </c>
      <c r="L473">
        <f t="shared" si="38"/>
        <v>0.62690000000000001</v>
      </c>
      <c r="M473" s="54">
        <v>1.0679000000000001</v>
      </c>
      <c r="N473">
        <v>1.0672999999999999</v>
      </c>
      <c r="O473">
        <v>94.199999999999903</v>
      </c>
    </row>
    <row r="474" spans="7:15">
      <c r="G474" s="97">
        <f t="shared" si="39"/>
        <v>94.4</v>
      </c>
      <c r="H474">
        <f t="shared" si="35"/>
        <v>0.62639999999999996</v>
      </c>
      <c r="I474">
        <f t="shared" si="36"/>
        <v>0.62638335546702095</v>
      </c>
      <c r="J474">
        <v>94.4</v>
      </c>
      <c r="K474" s="54">
        <f t="shared" si="37"/>
        <v>0.62639999999999996</v>
      </c>
      <c r="L474">
        <f t="shared" si="38"/>
        <v>0.62639999999999996</v>
      </c>
      <c r="M474" s="54">
        <v>1.0694999999999999</v>
      </c>
      <c r="N474">
        <v>1.0689</v>
      </c>
      <c r="O474">
        <v>94.399999999999906</v>
      </c>
    </row>
    <row r="475" spans="7:15">
      <c r="G475" s="97">
        <f t="shared" si="39"/>
        <v>94.6</v>
      </c>
      <c r="H475">
        <f t="shared" si="35"/>
        <v>0.62580000000000002</v>
      </c>
      <c r="I475">
        <f t="shared" si="36"/>
        <v>0.62582927908005304</v>
      </c>
      <c r="J475">
        <v>94.6</v>
      </c>
      <c r="K475" s="54">
        <f t="shared" si="37"/>
        <v>0.62580000000000002</v>
      </c>
      <c r="L475">
        <f t="shared" si="38"/>
        <v>0.62580000000000002</v>
      </c>
      <c r="M475" s="54">
        <v>1.0711999999999999</v>
      </c>
      <c r="N475">
        <v>1.0706</v>
      </c>
      <c r="O475">
        <v>94.6</v>
      </c>
    </row>
    <row r="476" spans="7:15">
      <c r="G476" s="97">
        <f t="shared" si="39"/>
        <v>94.8</v>
      </c>
      <c r="H476">
        <f t="shared" si="35"/>
        <v>0.62529999999999997</v>
      </c>
      <c r="I476">
        <f t="shared" si="36"/>
        <v>0.62527618205921298</v>
      </c>
      <c r="J476">
        <v>94.8</v>
      </c>
      <c r="K476" s="54">
        <f t="shared" si="37"/>
        <v>0.62529999999999997</v>
      </c>
      <c r="L476">
        <f t="shared" si="38"/>
        <v>0.62529999999999997</v>
      </c>
      <c r="M476" s="54">
        <v>1.0728</v>
      </c>
      <c r="N476">
        <v>1.0722</v>
      </c>
      <c r="O476">
        <v>94.800000000000196</v>
      </c>
    </row>
    <row r="477" spans="7:15">
      <c r="G477" s="97">
        <f t="shared" si="39"/>
        <v>95</v>
      </c>
      <c r="H477">
        <f t="shared" si="35"/>
        <v>0.62470000000000003</v>
      </c>
      <c r="I477">
        <f t="shared" si="36"/>
        <v>0.62472406181015405</v>
      </c>
      <c r="J477">
        <v>95</v>
      </c>
      <c r="K477" s="54">
        <f t="shared" si="37"/>
        <v>0.62470000000000003</v>
      </c>
      <c r="L477">
        <f t="shared" si="38"/>
        <v>0.62470000000000003</v>
      </c>
      <c r="M477" s="54">
        <v>1.0744</v>
      </c>
      <c r="N477">
        <v>1.0738000000000001</v>
      </c>
      <c r="O477">
        <v>95.000000000000199</v>
      </c>
    </row>
    <row r="478" spans="7:15">
      <c r="G478" s="97">
        <f t="shared" si="39"/>
        <v>95.2</v>
      </c>
      <c r="H478">
        <f t="shared" si="35"/>
        <v>0.62419999999999998</v>
      </c>
      <c r="I478">
        <f t="shared" si="36"/>
        <v>0.62417291574768397</v>
      </c>
      <c r="J478">
        <v>95.2</v>
      </c>
      <c r="K478" s="54">
        <f t="shared" si="37"/>
        <v>0.62419999999999998</v>
      </c>
      <c r="L478">
        <f t="shared" si="38"/>
        <v>0.62419999999999998</v>
      </c>
      <c r="M478" s="54">
        <v>1.0760000000000001</v>
      </c>
      <c r="N478">
        <v>1.0753999999999999</v>
      </c>
      <c r="O478">
        <v>95.200000000000102</v>
      </c>
    </row>
    <row r="479" spans="7:15">
      <c r="G479" s="97">
        <f t="shared" si="39"/>
        <v>95.4</v>
      </c>
      <c r="H479" t="e">
        <f t="shared" si="35"/>
        <v>#N/A</v>
      </c>
      <c r="I479">
        <f t="shared" si="36"/>
        <v>0.62362274129572504</v>
      </c>
      <c r="J479">
        <v>95.4</v>
      </c>
      <c r="K479" s="54">
        <f t="shared" si="37"/>
        <v>0.62360000000000004</v>
      </c>
      <c r="L479" t="e">
        <f t="shared" si="38"/>
        <v>#N/A</v>
      </c>
      <c r="O479">
        <v>95.4</v>
      </c>
    </row>
    <row r="480" spans="7:15">
      <c r="G480" s="97">
        <f t="shared" si="39"/>
        <v>95.6</v>
      </c>
      <c r="H480" t="e">
        <f t="shared" si="35"/>
        <v>#N/A</v>
      </c>
      <c r="I480">
        <f t="shared" si="36"/>
        <v>0.62307353588727399</v>
      </c>
      <c r="J480">
        <v>95.6</v>
      </c>
      <c r="K480" s="54">
        <f t="shared" si="37"/>
        <v>0.62309999999999999</v>
      </c>
      <c r="L480" t="e">
        <f t="shared" si="38"/>
        <v>#N/A</v>
      </c>
      <c r="O480">
        <v>95.600000000000094</v>
      </c>
    </row>
    <row r="481" spans="7:15">
      <c r="G481" s="97">
        <f t="shared" si="39"/>
        <v>95.8</v>
      </c>
      <c r="H481" t="e">
        <f t="shared" si="35"/>
        <v>#N/A</v>
      </c>
      <c r="I481">
        <f t="shared" si="36"/>
        <v>0.62252529696436398</v>
      </c>
      <c r="J481">
        <v>95.8</v>
      </c>
      <c r="K481" s="54">
        <f t="shared" si="37"/>
        <v>0.62250000000000005</v>
      </c>
      <c r="L481" t="e">
        <f t="shared" si="38"/>
        <v>#N/A</v>
      </c>
      <c r="O481">
        <v>95.800000000000097</v>
      </c>
    </row>
    <row r="482" spans="7:15">
      <c r="G482" s="97">
        <f t="shared" si="39"/>
        <v>96</v>
      </c>
      <c r="H482" t="e">
        <f t="shared" si="35"/>
        <v>#N/A</v>
      </c>
      <c r="I482">
        <f t="shared" si="36"/>
        <v>0.62197802197802199</v>
      </c>
      <c r="J482">
        <v>96</v>
      </c>
      <c r="K482" s="54">
        <f t="shared" si="37"/>
        <v>0.622</v>
      </c>
      <c r="L482" t="e">
        <f t="shared" si="38"/>
        <v>#N/A</v>
      </c>
      <c r="O482">
        <v>96</v>
      </c>
    </row>
    <row r="483" spans="7:15">
      <c r="G483" s="97">
        <f t="shared" si="39"/>
        <v>96.2</v>
      </c>
      <c r="H483" t="e">
        <f t="shared" si="35"/>
        <v>#N/A</v>
      </c>
      <c r="I483">
        <f t="shared" si="36"/>
        <v>0.62143170838823003</v>
      </c>
      <c r="J483">
        <v>96.2</v>
      </c>
      <c r="K483" s="54">
        <f t="shared" si="37"/>
        <v>0.62139999999999995</v>
      </c>
      <c r="L483" t="e">
        <f t="shared" si="38"/>
        <v>#N/A</v>
      </c>
      <c r="O483">
        <v>96.2</v>
      </c>
    </row>
    <row r="484" spans="7:15">
      <c r="G484" s="97">
        <f t="shared" si="39"/>
        <v>96.4</v>
      </c>
      <c r="H484" t="e">
        <f t="shared" si="35"/>
        <v>#N/A</v>
      </c>
      <c r="I484">
        <f t="shared" si="36"/>
        <v>0.620886353663888</v>
      </c>
      <c r="J484">
        <v>96.4</v>
      </c>
      <c r="K484" s="54">
        <f t="shared" si="37"/>
        <v>0.62090000000000001</v>
      </c>
      <c r="L484" t="e">
        <f t="shared" si="38"/>
        <v>#N/A</v>
      </c>
      <c r="O484">
        <v>96.399999999999906</v>
      </c>
    </row>
    <row r="485" spans="7:15">
      <c r="G485" s="97">
        <f t="shared" si="39"/>
        <v>96.6</v>
      </c>
      <c r="H485" t="e">
        <f t="shared" si="35"/>
        <v>#N/A</v>
      </c>
      <c r="I485">
        <f t="shared" si="36"/>
        <v>0.62034195528277103</v>
      </c>
      <c r="J485">
        <v>96.6</v>
      </c>
      <c r="K485" s="54">
        <f t="shared" si="37"/>
        <v>0.62029999999999996</v>
      </c>
      <c r="L485" t="e">
        <f t="shared" si="38"/>
        <v>#N/A</v>
      </c>
      <c r="O485">
        <v>96.599999999999895</v>
      </c>
    </row>
    <row r="486" spans="7:15">
      <c r="G486" s="97">
        <f t="shared" si="39"/>
        <v>96.8</v>
      </c>
      <c r="H486" t="e">
        <f t="shared" si="35"/>
        <v>#N/A</v>
      </c>
      <c r="I486">
        <f t="shared" si="36"/>
        <v>0.61979851073149395</v>
      </c>
      <c r="J486">
        <v>96.8</v>
      </c>
      <c r="K486" s="54">
        <f t="shared" si="37"/>
        <v>0.61980000000000002</v>
      </c>
      <c r="L486" t="e">
        <f t="shared" si="38"/>
        <v>#N/A</v>
      </c>
      <c r="O486">
        <v>96.799999999999898</v>
      </c>
    </row>
    <row r="487" spans="7:15">
      <c r="G487" s="97">
        <f t="shared" si="39"/>
        <v>97</v>
      </c>
      <c r="H487" t="e">
        <f t="shared" si="35"/>
        <v>#N/A</v>
      </c>
      <c r="I487">
        <f t="shared" si="36"/>
        <v>0.61925601750546999</v>
      </c>
      <c r="J487">
        <v>97</v>
      </c>
      <c r="K487" s="54">
        <f t="shared" si="37"/>
        <v>0.61929999999999996</v>
      </c>
      <c r="L487" t="e">
        <f t="shared" si="38"/>
        <v>#N/A</v>
      </c>
      <c r="O487">
        <v>97.000000000000199</v>
      </c>
    </row>
    <row r="488" spans="7:15">
      <c r="G488" s="97">
        <f t="shared" si="39"/>
        <v>97.2</v>
      </c>
      <c r="H488" t="e">
        <f t="shared" si="35"/>
        <v>#N/A</v>
      </c>
      <c r="I488">
        <f t="shared" si="36"/>
        <v>0.61871447310887595</v>
      </c>
      <c r="J488">
        <v>97.2</v>
      </c>
      <c r="K488" s="54">
        <f t="shared" si="37"/>
        <v>0.61870000000000003</v>
      </c>
      <c r="L488" t="e">
        <f t="shared" si="38"/>
        <v>#N/A</v>
      </c>
      <c r="O488">
        <v>97.200000000000102</v>
      </c>
    </row>
    <row r="489" spans="7:15">
      <c r="G489" s="97">
        <f t="shared" si="39"/>
        <v>97.4</v>
      </c>
      <c r="H489" t="e">
        <f t="shared" si="35"/>
        <v>#N/A</v>
      </c>
      <c r="I489">
        <f t="shared" si="36"/>
        <v>0.61817387505460897</v>
      </c>
      <c r="J489">
        <v>97.4</v>
      </c>
      <c r="K489" s="54">
        <f t="shared" si="37"/>
        <v>0.61819999999999997</v>
      </c>
      <c r="L489" t="e">
        <f t="shared" si="38"/>
        <v>#N/A</v>
      </c>
      <c r="O489">
        <v>97.4</v>
      </c>
    </row>
    <row r="490" spans="7:15">
      <c r="G490" s="97">
        <f t="shared" si="39"/>
        <v>97.6</v>
      </c>
      <c r="H490" t="e">
        <f t="shared" si="35"/>
        <v>#N/A</v>
      </c>
      <c r="I490">
        <f t="shared" si="36"/>
        <v>0.61763422086425102</v>
      </c>
      <c r="J490">
        <v>97.6</v>
      </c>
      <c r="K490" s="54">
        <f t="shared" si="37"/>
        <v>0.61760000000000004</v>
      </c>
      <c r="L490" t="e">
        <f t="shared" si="38"/>
        <v>#N/A</v>
      </c>
      <c r="O490">
        <v>97.600000000000094</v>
      </c>
    </row>
    <row r="491" spans="7:15">
      <c r="G491" s="97">
        <f t="shared" si="39"/>
        <v>97.8</v>
      </c>
      <c r="H491" t="e">
        <f t="shared" si="35"/>
        <v>#N/A</v>
      </c>
      <c r="I491">
        <f t="shared" si="36"/>
        <v>0.61709550806803304</v>
      </c>
      <c r="J491">
        <v>97.8</v>
      </c>
      <c r="K491" s="54">
        <f t="shared" si="37"/>
        <v>0.61709999999999998</v>
      </c>
      <c r="L491" t="e">
        <f t="shared" si="38"/>
        <v>#N/A</v>
      </c>
      <c r="O491">
        <v>97.8</v>
      </c>
    </row>
    <row r="492" spans="7:15">
      <c r="G492" s="97">
        <f t="shared" si="39"/>
        <v>98</v>
      </c>
      <c r="H492" t="e">
        <f t="shared" si="35"/>
        <v>#N/A</v>
      </c>
      <c r="I492">
        <f t="shared" si="36"/>
        <v>0.61655773420479298</v>
      </c>
      <c r="J492">
        <v>98</v>
      </c>
      <c r="K492" s="54">
        <f t="shared" si="37"/>
        <v>0.61660000000000004</v>
      </c>
      <c r="L492" t="e">
        <f t="shared" si="38"/>
        <v>#N/A</v>
      </c>
      <c r="O492">
        <v>98</v>
      </c>
    </row>
    <row r="493" spans="7:15">
      <c r="G493" s="97">
        <f t="shared" si="39"/>
        <v>98.2</v>
      </c>
      <c r="H493" t="e">
        <f t="shared" si="35"/>
        <v>#N/A</v>
      </c>
      <c r="I493">
        <f t="shared" si="36"/>
        <v>0.61602089682194205</v>
      </c>
      <c r="J493">
        <v>98.2</v>
      </c>
      <c r="K493" s="54">
        <f t="shared" si="37"/>
        <v>0.61599999999999999</v>
      </c>
      <c r="L493" t="e">
        <f t="shared" si="38"/>
        <v>#N/A</v>
      </c>
      <c r="O493">
        <v>98.199999999999804</v>
      </c>
    </row>
    <row r="494" spans="7:15">
      <c r="G494" s="97">
        <f t="shared" si="39"/>
        <v>98.4</v>
      </c>
      <c r="H494" t="e">
        <f t="shared" si="35"/>
        <v>#N/A</v>
      </c>
      <c r="I494">
        <f t="shared" si="36"/>
        <v>0.61548499347542396</v>
      </c>
      <c r="J494">
        <v>98.4</v>
      </c>
      <c r="K494" s="54">
        <f t="shared" si="37"/>
        <v>0.61550000000000005</v>
      </c>
      <c r="L494" t="e">
        <f t="shared" si="38"/>
        <v>#N/A</v>
      </c>
      <c r="O494">
        <v>98.400000000000105</v>
      </c>
    </row>
    <row r="495" spans="7:15">
      <c r="G495" s="97">
        <f t="shared" si="39"/>
        <v>98.6</v>
      </c>
      <c r="H495" t="e">
        <f t="shared" si="35"/>
        <v>#N/A</v>
      </c>
      <c r="I495">
        <f t="shared" si="36"/>
        <v>0.61495002172968305</v>
      </c>
      <c r="J495">
        <v>98.6</v>
      </c>
      <c r="K495" s="54">
        <f t="shared" si="37"/>
        <v>0.61499999999999999</v>
      </c>
      <c r="L495" t="e">
        <f t="shared" si="38"/>
        <v>#N/A</v>
      </c>
      <c r="O495">
        <v>98.599999999999895</v>
      </c>
    </row>
    <row r="496" spans="7:15">
      <c r="G496" s="97">
        <f t="shared" si="39"/>
        <v>98.8</v>
      </c>
      <c r="H496" t="e">
        <f t="shared" si="35"/>
        <v>#N/A</v>
      </c>
      <c r="I496">
        <f t="shared" si="36"/>
        <v>0.61441597915762003</v>
      </c>
      <c r="J496">
        <v>98.8</v>
      </c>
      <c r="K496" s="54">
        <f t="shared" si="37"/>
        <v>0.61439999999999995</v>
      </c>
      <c r="L496" t="e">
        <f t="shared" si="38"/>
        <v>#N/A</v>
      </c>
      <c r="O496">
        <v>98.800000000000196</v>
      </c>
    </row>
    <row r="497" spans="7:15">
      <c r="G497" s="97">
        <f t="shared" si="39"/>
        <v>99</v>
      </c>
      <c r="H497" t="e">
        <f t="shared" si="35"/>
        <v>#N/A</v>
      </c>
      <c r="I497">
        <f t="shared" si="36"/>
        <v>0.61388286334056397</v>
      </c>
      <c r="J497">
        <v>99</v>
      </c>
      <c r="K497" s="54">
        <f t="shared" si="37"/>
        <v>0.6139</v>
      </c>
      <c r="L497" t="e">
        <f t="shared" si="38"/>
        <v>#N/A</v>
      </c>
      <c r="O497">
        <v>99</v>
      </c>
    </row>
    <row r="498" spans="7:15">
      <c r="G498" s="97">
        <f t="shared" si="39"/>
        <v>99.2</v>
      </c>
      <c r="H498" t="e">
        <f t="shared" si="35"/>
        <v>#N/A</v>
      </c>
      <c r="I498">
        <f t="shared" si="36"/>
        <v>0.613350671868227</v>
      </c>
      <c r="J498">
        <v>99.2</v>
      </c>
      <c r="K498" s="54">
        <f t="shared" si="37"/>
        <v>0.61339999999999995</v>
      </c>
      <c r="L498" t="e">
        <f t="shared" si="38"/>
        <v>#N/A</v>
      </c>
      <c r="O498">
        <v>99.2</v>
      </c>
    </row>
    <row r="499" spans="7:15">
      <c r="G499" s="97">
        <f t="shared" si="39"/>
        <v>99.4</v>
      </c>
      <c r="H499" t="e">
        <f t="shared" si="35"/>
        <v>#N/A</v>
      </c>
      <c r="I499">
        <f t="shared" si="36"/>
        <v>0.61281940233867505</v>
      </c>
      <c r="J499">
        <v>99.4</v>
      </c>
      <c r="K499" s="54">
        <f t="shared" si="37"/>
        <v>0.61280000000000001</v>
      </c>
      <c r="L499" t="e">
        <f t="shared" si="38"/>
        <v>#N/A</v>
      </c>
      <c r="O499">
        <v>99.399999999999906</v>
      </c>
    </row>
    <row r="500" spans="7:15">
      <c r="G500" s="97">
        <f t="shared" si="39"/>
        <v>99.6</v>
      </c>
      <c r="H500" t="e">
        <f t="shared" si="35"/>
        <v>#N/A</v>
      </c>
      <c r="I500">
        <f t="shared" si="36"/>
        <v>0.61228905235828601</v>
      </c>
      <c r="J500">
        <v>99.6</v>
      </c>
      <c r="K500" s="54">
        <f t="shared" si="37"/>
        <v>0.61229999999999996</v>
      </c>
      <c r="L500" t="e">
        <f t="shared" si="38"/>
        <v>#N/A</v>
      </c>
      <c r="O500">
        <v>99.600000000000193</v>
      </c>
    </row>
    <row r="501" spans="7:15">
      <c r="G501" s="97">
        <f t="shared" si="39"/>
        <v>99.8</v>
      </c>
      <c r="H501" t="e">
        <f t="shared" si="35"/>
        <v>#N/A</v>
      </c>
      <c r="I501">
        <f t="shared" si="36"/>
        <v>0.61175961954172098</v>
      </c>
      <c r="J501">
        <v>99.8</v>
      </c>
      <c r="K501" s="54">
        <f t="shared" si="37"/>
        <v>0.61180000000000001</v>
      </c>
      <c r="L501" t="e">
        <f t="shared" si="38"/>
        <v>#N/A</v>
      </c>
      <c r="O501">
        <v>99.799999999999898</v>
      </c>
    </row>
    <row r="502" spans="7:15">
      <c r="G502" s="97">
        <f t="shared" si="39"/>
        <v>100</v>
      </c>
      <c r="H502" t="e">
        <f t="shared" si="35"/>
        <v>#N/A</v>
      </c>
      <c r="I502">
        <f t="shared" si="36"/>
        <v>0.61123110151187898</v>
      </c>
      <c r="J502">
        <v>100</v>
      </c>
      <c r="K502" s="54">
        <f t="shared" si="37"/>
        <v>0.61119999999999997</v>
      </c>
      <c r="L502" t="e">
        <f t="shared" si="38"/>
        <v>#N/A</v>
      </c>
      <c r="O502">
        <v>100</v>
      </c>
    </row>
  </sheetData>
  <sortState xmlns:xlrd2="http://schemas.microsoft.com/office/spreadsheetml/2017/richdata2" ref="M2:N502">
    <sortCondition ref="M2:M502"/>
  </sortState>
  <mergeCells count="2">
    <mergeCell ref="T1:X1"/>
    <mergeCell ref="Z1:AD1"/>
  </mergeCells>
  <phoneticPr fontId="33" type="noConversion"/>
  <pageMargins left="0.7" right="0.7" top="0.75" bottom="0.75" header="0.3" footer="0.3"/>
  <ignoredErrors>
    <ignoredError sqref="U2:U4" evalError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/>
  <dimension ref="A1:Y56"/>
  <sheetViews>
    <sheetView showGridLines="0" showRuler="0" zoomScale="115" zoomScaleNormal="115" workbookViewId="0">
      <selection activeCell="P14" sqref="P14"/>
    </sheetView>
  </sheetViews>
  <sheetFormatPr defaultRowHeight="15"/>
  <cols>
    <col min="1" max="1" width="24" style="46" customWidth="1"/>
    <col min="2" max="2" width="9.140625" style="46" customWidth="1"/>
    <col min="3" max="3" width="12.28515625" style="46" customWidth="1"/>
    <col min="4" max="4" width="9.140625" style="46"/>
    <col min="5" max="5" width="12.42578125" style="46" customWidth="1"/>
    <col min="6" max="6" width="14" style="46" customWidth="1"/>
    <col min="7" max="7" width="15.28515625" style="46" customWidth="1"/>
    <col min="8" max="8" width="13" style="46" customWidth="1"/>
    <col min="9" max="10" width="9.140625" style="206" customWidth="1"/>
    <col min="11" max="11" width="18" style="206" customWidth="1"/>
    <col min="12" max="12" width="13.85546875" style="206" customWidth="1"/>
    <col min="13" max="13" width="17" style="206" customWidth="1"/>
    <col min="14" max="14" width="22" style="206" customWidth="1"/>
    <col min="15" max="15" width="15.28515625" style="206" customWidth="1"/>
    <col min="16" max="16" width="9.140625" style="46" customWidth="1"/>
    <col min="17" max="17" width="16.7109375" style="46" customWidth="1"/>
    <col min="18" max="18" width="17.5703125" style="46" customWidth="1"/>
    <col min="19" max="19" width="15.28515625" style="46" customWidth="1"/>
    <col min="20" max="20" width="17.140625" style="46" customWidth="1"/>
    <col min="21" max="21" width="20.7109375" style="46" customWidth="1"/>
    <col min="22" max="16384" width="9.140625" style="46"/>
  </cols>
  <sheetData>
    <row r="1" spans="1:25" ht="15.75">
      <c r="A1" s="972" t="s">
        <v>47</v>
      </c>
      <c r="B1" s="972"/>
      <c r="C1" s="972"/>
      <c r="D1" s="972"/>
      <c r="E1" s="972"/>
      <c r="F1" s="972"/>
      <c r="G1" s="972"/>
      <c r="H1" s="972"/>
      <c r="I1" s="2"/>
      <c r="J1" s="2"/>
      <c r="K1" s="2"/>
      <c r="L1" s="394"/>
      <c r="M1" s="394"/>
      <c r="N1" s="394"/>
      <c r="O1" s="394"/>
      <c r="P1" s="393"/>
      <c r="Q1" s="393"/>
      <c r="R1" s="393"/>
      <c r="S1" s="393"/>
      <c r="T1" s="393"/>
    </row>
    <row r="2" spans="1:25" ht="15.75" thickBot="1">
      <c r="H2" s="2" t="s">
        <v>11</v>
      </c>
      <c r="I2" s="2"/>
      <c r="J2" s="46"/>
      <c r="K2" s="46"/>
      <c r="L2" s="46"/>
      <c r="M2" s="46"/>
      <c r="N2" s="46" t="s">
        <v>144</v>
      </c>
      <c r="O2" s="46"/>
      <c r="P2" s="206"/>
      <c r="Q2" s="206"/>
      <c r="R2" s="206"/>
      <c r="S2" s="206"/>
      <c r="T2" s="206"/>
      <c r="U2" s="206"/>
    </row>
    <row r="3" spans="1:25" ht="32.25">
      <c r="A3" s="395" t="s">
        <v>45</v>
      </c>
      <c r="B3" s="396" t="s">
        <v>16</v>
      </c>
      <c r="C3" s="397" t="s">
        <v>44</v>
      </c>
      <c r="D3" s="398" t="s">
        <v>48</v>
      </c>
      <c r="E3" s="397" t="s">
        <v>49</v>
      </c>
      <c r="F3" s="399" t="s">
        <v>2</v>
      </c>
      <c r="G3" s="400" t="s">
        <v>3</v>
      </c>
      <c r="H3" s="2" t="s">
        <v>4</v>
      </c>
      <c r="I3" s="2" t="s">
        <v>5</v>
      </c>
      <c r="J3" s="46" t="s">
        <v>86</v>
      </c>
      <c r="K3" s="46" t="s">
        <v>86</v>
      </c>
      <c r="L3" s="46" t="s">
        <v>86</v>
      </c>
      <c r="M3" s="46" t="s">
        <v>86</v>
      </c>
      <c r="N3" s="46" t="s">
        <v>86</v>
      </c>
      <c r="O3" s="46" t="s">
        <v>86</v>
      </c>
      <c r="P3" s="46" t="s">
        <v>87</v>
      </c>
      <c r="Q3" s="46" t="s">
        <v>88</v>
      </c>
      <c r="R3" s="206" t="s">
        <v>89</v>
      </c>
      <c r="S3" s="206" t="s">
        <v>89</v>
      </c>
      <c r="T3" s="206" t="s">
        <v>90</v>
      </c>
      <c r="U3" s="206" t="s">
        <v>91</v>
      </c>
      <c r="V3" s="206" t="s">
        <v>92</v>
      </c>
      <c r="W3" s="206" t="s">
        <v>93</v>
      </c>
      <c r="X3" s="206" t="s">
        <v>87</v>
      </c>
      <c r="Y3" s="206" t="s">
        <v>86</v>
      </c>
    </row>
    <row r="4" spans="1:25">
      <c r="A4" s="401"/>
      <c r="B4" s="402"/>
      <c r="C4" s="403"/>
      <c r="D4" s="404"/>
      <c r="E4" s="403"/>
      <c r="F4" s="405" t="s">
        <v>6</v>
      </c>
      <c r="G4" s="406" t="s">
        <v>7</v>
      </c>
      <c r="H4" s="2"/>
      <c r="I4" s="2"/>
      <c r="J4" s="46" t="s">
        <v>94</v>
      </c>
      <c r="K4" s="46" t="s">
        <v>95</v>
      </c>
      <c r="L4" s="46" t="s">
        <v>96</v>
      </c>
      <c r="M4" s="46" t="s">
        <v>97</v>
      </c>
      <c r="N4" s="46" t="s">
        <v>98</v>
      </c>
      <c r="O4" s="46" t="s">
        <v>99</v>
      </c>
      <c r="P4" s="46" t="s">
        <v>100</v>
      </c>
      <c r="Q4" s="46" t="s">
        <v>89</v>
      </c>
      <c r="R4" s="206" t="s">
        <v>101</v>
      </c>
      <c r="S4" s="206" t="s">
        <v>102</v>
      </c>
      <c r="T4" s="206" t="s">
        <v>103</v>
      </c>
      <c r="U4" s="206"/>
      <c r="V4" s="206"/>
      <c r="W4" s="206"/>
      <c r="X4" s="46" t="s">
        <v>104</v>
      </c>
      <c r="Y4" s="46" t="s">
        <v>104</v>
      </c>
    </row>
    <row r="5" spans="1:25" ht="33" customHeight="1">
      <c r="A5" s="391" t="str">
        <f>Data!B11</f>
        <v>NO.1 HFO TANK (P)</v>
      </c>
      <c r="B5" s="388">
        <f>Data!H11</f>
        <v>1820</v>
      </c>
      <c r="C5" s="85">
        <f>Data!I11</f>
        <v>249.10400000000001</v>
      </c>
      <c r="D5" s="389">
        <f>Data!J11</f>
        <v>30</v>
      </c>
      <c r="E5" s="390">
        <f>Data!M11</f>
        <v>0.9496</v>
      </c>
      <c r="F5" s="85">
        <f>C5*W5</f>
        <v>246.41399999999999</v>
      </c>
      <c r="G5" s="85">
        <f>C5*E5</f>
        <v>236.54900000000001</v>
      </c>
      <c r="H5" s="2">
        <f>E5-0.0011</f>
        <v>0.94850000000000001</v>
      </c>
      <c r="I5" s="2">
        <f>(0.984354*E5)-0.0012049</f>
        <v>0.93353765840000003</v>
      </c>
      <c r="J5" s="46">
        <f>ROUND(1000*(E5),2)</f>
        <v>949.6</v>
      </c>
      <c r="K5" s="46">
        <f>ROUND((186.9696/J5^2)+(0.4862/J5),7)</f>
        <v>7.1929999999999997E-4</v>
      </c>
      <c r="L5" s="46">
        <f>ROUND((594.5418/J5^2)+(0/J5),7)</f>
        <v>6.5930000000000003E-4</v>
      </c>
      <c r="M5" s="46">
        <f>ROUND(-0.00336312+2680.3206/J5^2,7)</f>
        <v>-3.9070000000000001E-4</v>
      </c>
      <c r="N5" s="46">
        <f>ROUND((346.4228/J5^2)+(0.4388/J5),7)</f>
        <v>8.4630000000000003E-4</v>
      </c>
      <c r="O5" s="46">
        <f>ROUND((330.301/J5^2)+(0/J5),7)</f>
        <v>3.6630000000000001E-4</v>
      </c>
      <c r="P5" s="46">
        <f>ROUND(Data!J11-15,2)</f>
        <v>15</v>
      </c>
      <c r="Q5" s="46">
        <f>IF(unit21=3,(IF(Data!L11&lt;0.7705,N5,IF(Data!L11&lt;0.7875,M5,IF(Data!L11&lt;0.839,L5,IF(Data!L11&lt;1.075,K5,O5))))),(IF(Data!AA11&lt;0.7705,N5,IF(Data!AA11&lt;0.7875,M5,IF(Data!AA11&lt;0.839,L5,IF(Data!AA11&lt;1.075,K5,O5))))))</f>
        <v>7.1929999999999997E-4</v>
      </c>
      <c r="R5" s="206">
        <f>ROUND(Q5*P5,8)</f>
        <v>1.07895E-2</v>
      </c>
      <c r="S5" s="206">
        <f>ROUND(+Q5*+P5*0.8,8)</f>
        <v>8.6315999999999997E-3</v>
      </c>
      <c r="T5" s="206">
        <f>ROUND(+(Q5^2)*+(P5^2)*0.8,9)</f>
        <v>9.3131E-5</v>
      </c>
      <c r="U5" s="206">
        <f>ROUND(-+R5-+T5,8)</f>
        <v>-1.0882630000000001E-2</v>
      </c>
      <c r="V5" s="206">
        <f>EXP(U5)</f>
        <v>0.98917637159306204</v>
      </c>
      <c r="W5" s="206">
        <f>ROUND(V5,4)</f>
        <v>0.98919999999999997</v>
      </c>
      <c r="X5" s="46">
        <f>IF(AND(Data!AA11&gt;0.81-0.001,Data!AA11&lt;0.827+0.001),0.00068,IF(AND(Data!AA11&gt;0.828-0.001,Data!AA11&lt;0.838+0.001),0.00067,IF(AND(Data!AA11&gt;0.839-0.001,Data!AA11&lt;0.853+0.001),0.00066,IF(AND(Data!AA11&gt;0.854-0.001,Data!AA11&lt;0.871+0.001),0.00065,IF(AND(Data!AA11&gt;0.872-0.001,Data!AA11&lt;0.911+0.001),0.00064,IF(AND(Data!AA11&gt;0.912-0.001,Data!AA11&lt;0.978+0.001),0.00063,IF(AND(Data!AA11&gt;0.979-0.001,Data!AA11&lt;1.03+0.001),0.00062,"")))))))</f>
        <v>6.3000000000000003E-4</v>
      </c>
      <c r="Y5" s="46">
        <f>Data!AA11-((Data!J11-15)*X5+0.0011)</f>
        <v>0.93905000000000005</v>
      </c>
    </row>
    <row r="6" spans="1:25">
      <c r="A6" s="391" t="str">
        <f>Data!B12</f>
        <v>NO.1 HFO TANK (S)</v>
      </c>
      <c r="B6" s="388">
        <f>Data!H12</f>
        <v>1120</v>
      </c>
      <c r="C6" s="85">
        <f>Data!I12</f>
        <v>358.35700000000003</v>
      </c>
      <c r="D6" s="389">
        <f>Data!J12</f>
        <v>30</v>
      </c>
      <c r="E6" s="390">
        <f>Data!M12</f>
        <v>0.9496</v>
      </c>
      <c r="F6" s="85">
        <f t="shared" ref="F6:F21" si="0">C6*W6</f>
        <v>354.48700000000002</v>
      </c>
      <c r="G6" s="85">
        <f t="shared" ref="G6:G21" si="1">C6*E6</f>
        <v>340.29599999999999</v>
      </c>
      <c r="H6" s="2">
        <f t="shared" ref="H6:H21" si="2">E6-0.0011</f>
        <v>0.94850000000000001</v>
      </c>
      <c r="I6" s="2">
        <f t="shared" ref="I6:I21" si="3">(0.984354*E6)-0.0012049</f>
        <v>0.93353765840000003</v>
      </c>
      <c r="J6" s="46">
        <f t="shared" ref="J6:J21" si="4">ROUND(1000*(E6),2)</f>
        <v>949.6</v>
      </c>
      <c r="K6" s="46">
        <f t="shared" ref="K6:K21" si="5">ROUND((186.9696/J6^2)+(0.4862/J6),7)</f>
        <v>7.1929999999999997E-4</v>
      </c>
      <c r="L6" s="46">
        <f t="shared" ref="L6:L21" si="6">ROUND((594.5418/J6^2)+(0/J6),7)</f>
        <v>6.5930000000000003E-4</v>
      </c>
      <c r="M6" s="46">
        <f t="shared" ref="M6:M21" si="7">ROUND(-0.00336312+2680.3206/J6^2,7)</f>
        <v>-3.9070000000000001E-4</v>
      </c>
      <c r="N6" s="46">
        <f t="shared" ref="N6:N21" si="8">ROUND((346.4228/J6^2)+(0.4388/J6),7)</f>
        <v>8.4630000000000003E-4</v>
      </c>
      <c r="O6" s="46">
        <f t="shared" ref="O6:O21" si="9">ROUND((330.301/J6^2)+(0/J6),7)</f>
        <v>3.6630000000000001E-4</v>
      </c>
      <c r="P6" s="46">
        <f>ROUND(Data!J12-15,2)</f>
        <v>15</v>
      </c>
      <c r="Q6" s="46">
        <f>IF(unit21=3,(IF(Data!L12&lt;0.7705,N6,IF(Data!L12&lt;0.7875,M6,IF(Data!L12&lt;0.839,L6,IF(Data!L12&lt;1.075,K6,O6))))),(IF(Data!AA12&lt;0.7705,N6,IF(Data!AA12&lt;0.7875,M6,IF(Data!AA12&lt;0.839,L6,IF(Data!AA12&lt;1.075,K6,O6))))))</f>
        <v>7.1929999999999997E-4</v>
      </c>
      <c r="R6" s="206">
        <f t="shared" ref="R6:R21" si="10">ROUND(Q6*P6,8)</f>
        <v>1.07895E-2</v>
      </c>
      <c r="S6" s="206">
        <f t="shared" ref="S6:S21" si="11">ROUND(+Q6*+P6*0.8,8)</f>
        <v>8.6315999999999997E-3</v>
      </c>
      <c r="T6" s="206">
        <f t="shared" ref="T6:T21" si="12">ROUND(+(Q6^2)*+(P6^2)*0.8,9)</f>
        <v>9.3131E-5</v>
      </c>
      <c r="U6" s="206">
        <f t="shared" ref="U6:U21" si="13">ROUND(-+R6-+T6,8)</f>
        <v>-1.0882630000000001E-2</v>
      </c>
      <c r="V6" s="206">
        <f t="shared" ref="V6:V21" si="14">EXP(U6)</f>
        <v>0.98917637159306204</v>
      </c>
      <c r="W6" s="206">
        <f t="shared" ref="W6:W21" si="15">ROUND(V6,4)</f>
        <v>0.98919999999999997</v>
      </c>
      <c r="X6" s="46">
        <f>IF(AND(Data!AA12&gt;0.81-0.001,Data!AA12&lt;0.827+0.001),0.00068,IF(AND(Data!AA12&gt;0.828-0.001,Data!AA12&lt;0.838+0.001),0.00067,IF(AND(Data!AA12&gt;0.839-0.001,Data!AA12&lt;0.853+0.001),0.00066,IF(AND(Data!AA12&gt;0.854-0.001,Data!AA12&lt;0.871+0.001),0.00065,IF(AND(Data!AA12&gt;0.872-0.001,Data!AA12&lt;0.911+0.001),0.00064,IF(AND(Data!AA12&gt;0.912-0.001,Data!AA12&lt;0.978+0.001),0.00063,IF(AND(Data!AA12&gt;0.979-0.001,Data!AA12&lt;1.03+0.001),0.00062,"")))))))</f>
        <v>6.3000000000000003E-4</v>
      </c>
      <c r="Y6" s="46">
        <f>Data!AA12-((Data!J12-15)*X6+0.0011)</f>
        <v>0.93905000000000005</v>
      </c>
    </row>
    <row r="7" spans="1:25">
      <c r="A7" s="391" t="str">
        <f>Data!B13</f>
        <v>NO.2 HFO TANK (P)</v>
      </c>
      <c r="B7" s="388">
        <f>Data!H13</f>
        <v>0</v>
      </c>
      <c r="C7" s="85">
        <f>Data!I13</f>
        <v>0.96499999999999997</v>
      </c>
      <c r="D7" s="389">
        <f>Data!J13</f>
        <v>31</v>
      </c>
      <c r="E7" s="390">
        <f>Data!M13</f>
        <v>0.98299999999999998</v>
      </c>
      <c r="F7" s="85">
        <f t="shared" si="0"/>
        <v>0.95399999999999996</v>
      </c>
      <c r="G7" s="85">
        <f t="shared" si="1"/>
        <v>0.94899999999999995</v>
      </c>
      <c r="H7" s="2">
        <f t="shared" si="2"/>
        <v>0.9819</v>
      </c>
      <c r="I7" s="2">
        <f t="shared" si="3"/>
        <v>0.96641508200000004</v>
      </c>
      <c r="J7" s="46">
        <f t="shared" si="4"/>
        <v>983</v>
      </c>
      <c r="K7" s="46">
        <f t="shared" si="5"/>
        <v>6.8809999999999997E-4</v>
      </c>
      <c r="L7" s="46">
        <f t="shared" si="6"/>
        <v>6.1530000000000005E-4</v>
      </c>
      <c r="M7" s="46">
        <f t="shared" si="7"/>
        <v>-5.8929999999999996E-4</v>
      </c>
      <c r="N7" s="46">
        <f t="shared" si="8"/>
        <v>8.0489999999999999E-4</v>
      </c>
      <c r="O7" s="46">
        <f t="shared" si="9"/>
        <v>3.4180000000000001E-4</v>
      </c>
      <c r="P7" s="46">
        <f>ROUND(Data!J13-15,2)</f>
        <v>16</v>
      </c>
      <c r="Q7" s="46">
        <f>IF(unit21=3,(IF(Data!L13&lt;0.7705,N7,IF(Data!L13&lt;0.7875,M7,IF(Data!L13&lt;0.839,L7,IF(Data!L13&lt;1.075,K7,O7))))),(IF(Data!AA13&lt;0.7705,N7,IF(Data!AA13&lt;0.7875,M7,IF(Data!AA13&lt;0.839,L7,IF(Data!AA13&lt;1.075,K7,O7))))))</f>
        <v>6.8809999999999997E-4</v>
      </c>
      <c r="R7" s="206">
        <f t="shared" si="10"/>
        <v>1.10096E-2</v>
      </c>
      <c r="S7" s="206">
        <f t="shared" si="11"/>
        <v>8.80768E-3</v>
      </c>
      <c r="T7" s="206">
        <f t="shared" si="12"/>
        <v>9.6968999999999999E-5</v>
      </c>
      <c r="U7" s="206">
        <f t="shared" si="13"/>
        <v>-1.110657E-2</v>
      </c>
      <c r="V7" s="206">
        <f t="shared" si="14"/>
        <v>0.98895488023772005</v>
      </c>
      <c r="W7" s="206">
        <f t="shared" si="15"/>
        <v>0.98899999999999999</v>
      </c>
      <c r="X7" s="46">
        <f>IF(AND(Data!AA13&gt;0.81-0.001,Data!AA13&lt;0.827+0.001),0.00068,IF(AND(Data!AA13&gt;0.828-0.001,Data!AA13&lt;0.838+0.001),0.00067,IF(AND(Data!AA13&gt;0.839-0.001,Data!AA13&lt;0.853+0.001),0.00066,IF(AND(Data!AA13&gt;0.854-0.001,Data!AA13&lt;0.871+0.001),0.00065,IF(AND(Data!AA13&gt;0.872-0.001,Data!AA13&lt;0.911+0.001),0.00064,IF(AND(Data!AA13&gt;0.912-0.001,Data!AA13&lt;0.978+0.001),0.00063,IF(AND(Data!AA13&gt;0.979-0.001,Data!AA13&lt;1.03+0.001),0.00062,"")))))))</f>
        <v>6.2E-4</v>
      </c>
      <c r="Y7" s="46">
        <f>Data!AA13-((Data!J13-15)*X7+0.0011)</f>
        <v>0.97197999999999996</v>
      </c>
    </row>
    <row r="8" spans="1:25">
      <c r="A8" s="391" t="str">
        <f>Data!B14</f>
        <v>NO.2 HFO TANK (S)</v>
      </c>
      <c r="B8" s="388">
        <f>Data!H14</f>
        <v>70</v>
      </c>
      <c r="C8" s="85">
        <f>Data!I14</f>
        <v>1.7789999999999999</v>
      </c>
      <c r="D8" s="389">
        <f>Data!J14</f>
        <v>35</v>
      </c>
      <c r="E8" s="390">
        <f>Data!M14</f>
        <v>0.98299999999999998</v>
      </c>
      <c r="F8" s="85">
        <f t="shared" si="0"/>
        <v>1.754</v>
      </c>
      <c r="G8" s="85">
        <f t="shared" si="1"/>
        <v>1.7490000000000001</v>
      </c>
      <c r="H8" s="2">
        <f t="shared" si="2"/>
        <v>0.9819</v>
      </c>
      <c r="I8" s="2">
        <f t="shared" si="3"/>
        <v>0.96641508200000004</v>
      </c>
      <c r="J8" s="46">
        <f t="shared" si="4"/>
        <v>983</v>
      </c>
      <c r="K8" s="46">
        <f t="shared" si="5"/>
        <v>6.8809999999999997E-4</v>
      </c>
      <c r="L8" s="46">
        <f t="shared" si="6"/>
        <v>6.1530000000000005E-4</v>
      </c>
      <c r="M8" s="46">
        <f t="shared" si="7"/>
        <v>-5.8929999999999996E-4</v>
      </c>
      <c r="N8" s="46">
        <f t="shared" si="8"/>
        <v>8.0489999999999999E-4</v>
      </c>
      <c r="O8" s="46">
        <f t="shared" si="9"/>
        <v>3.4180000000000001E-4</v>
      </c>
      <c r="P8" s="46">
        <f>ROUND(Data!J14-15,2)</f>
        <v>20</v>
      </c>
      <c r="Q8" s="46">
        <f>IF(unit21=3,(IF(Data!L14&lt;0.7705,N8,IF(Data!L14&lt;0.7875,M8,IF(Data!L14&lt;0.839,L8,IF(Data!L14&lt;1.075,K8,O8))))),(IF(Data!AA14&lt;0.7705,N8,IF(Data!AA14&lt;0.7875,M8,IF(Data!AA14&lt;0.839,L8,IF(Data!AA14&lt;1.075,K8,O8))))))</f>
        <v>6.8809999999999997E-4</v>
      </c>
      <c r="R8" s="206">
        <f t="shared" si="10"/>
        <v>1.3762E-2</v>
      </c>
      <c r="S8" s="206">
        <f t="shared" si="11"/>
        <v>1.10096E-2</v>
      </c>
      <c r="T8" s="206">
        <f t="shared" si="12"/>
        <v>1.51514E-4</v>
      </c>
      <c r="U8" s="206">
        <f t="shared" si="13"/>
        <v>-1.391351E-2</v>
      </c>
      <c r="V8" s="206">
        <f t="shared" si="14"/>
        <v>0.98618283552783303</v>
      </c>
      <c r="W8" s="206">
        <f t="shared" si="15"/>
        <v>0.98619999999999997</v>
      </c>
      <c r="X8" s="46">
        <f>IF(AND(Data!AA14&gt;0.81-0.001,Data!AA14&lt;0.827+0.001),0.00068,IF(AND(Data!AA14&gt;0.828-0.001,Data!AA14&lt;0.838+0.001),0.00067,IF(AND(Data!AA14&gt;0.839-0.001,Data!AA14&lt;0.853+0.001),0.00066,IF(AND(Data!AA14&gt;0.854-0.001,Data!AA14&lt;0.871+0.001),0.00065,IF(AND(Data!AA14&gt;0.872-0.001,Data!AA14&lt;0.911+0.001),0.00064,IF(AND(Data!AA14&gt;0.912-0.001,Data!AA14&lt;0.978+0.001),0.00063,IF(AND(Data!AA14&gt;0.979-0.001,Data!AA14&lt;1.03+0.001),0.00062,"")))))))</f>
        <v>6.2E-4</v>
      </c>
      <c r="Y8" s="46">
        <f>Data!AA14-((Data!J14-15)*X8+0.0011)</f>
        <v>0.96950000000000003</v>
      </c>
    </row>
    <row r="9" spans="1:25">
      <c r="A9" s="391" t="str">
        <f>Data!B15</f>
        <v>NO.3 HFO TANK (P)</v>
      </c>
      <c r="B9" s="388">
        <f>Data!H15</f>
        <v>60</v>
      </c>
      <c r="C9" s="85">
        <f>Data!I15</f>
        <v>0.93</v>
      </c>
      <c r="D9" s="389">
        <f>Data!J15</f>
        <v>31</v>
      </c>
      <c r="E9" s="390">
        <f>Data!M15</f>
        <v>0.98299999999999998</v>
      </c>
      <c r="F9" s="85">
        <f t="shared" si="0"/>
        <v>0.92</v>
      </c>
      <c r="G9" s="85">
        <f t="shared" si="1"/>
        <v>0.91400000000000003</v>
      </c>
      <c r="H9" s="2">
        <f t="shared" si="2"/>
        <v>0.9819</v>
      </c>
      <c r="I9" s="2">
        <f t="shared" si="3"/>
        <v>0.96641508200000004</v>
      </c>
      <c r="J9" s="46">
        <f t="shared" si="4"/>
        <v>983</v>
      </c>
      <c r="K9" s="46">
        <f t="shared" si="5"/>
        <v>6.8809999999999997E-4</v>
      </c>
      <c r="L9" s="46">
        <f t="shared" si="6"/>
        <v>6.1530000000000005E-4</v>
      </c>
      <c r="M9" s="46">
        <f t="shared" si="7"/>
        <v>-5.8929999999999996E-4</v>
      </c>
      <c r="N9" s="46">
        <f t="shared" si="8"/>
        <v>8.0489999999999999E-4</v>
      </c>
      <c r="O9" s="46">
        <f t="shared" si="9"/>
        <v>3.4180000000000001E-4</v>
      </c>
      <c r="P9" s="46">
        <f>ROUND(Data!J15-15,2)</f>
        <v>16</v>
      </c>
      <c r="Q9" s="46">
        <f>IF(unit21=3,(IF(Data!L15&lt;0.7705,N9,IF(Data!L15&lt;0.7875,M9,IF(Data!L15&lt;0.839,L9,IF(Data!L15&lt;1.075,K9,O9))))),(IF(Data!AA15&lt;0.7705,N9,IF(Data!AA15&lt;0.7875,M9,IF(Data!AA15&lt;0.839,L9,IF(Data!AA15&lt;1.075,K9,O9))))))</f>
        <v>6.8809999999999997E-4</v>
      </c>
      <c r="R9" s="206">
        <f t="shared" si="10"/>
        <v>1.10096E-2</v>
      </c>
      <c r="S9" s="206">
        <f t="shared" si="11"/>
        <v>8.80768E-3</v>
      </c>
      <c r="T9" s="206">
        <f t="shared" si="12"/>
        <v>9.6968999999999999E-5</v>
      </c>
      <c r="U9" s="206">
        <f t="shared" si="13"/>
        <v>-1.110657E-2</v>
      </c>
      <c r="V9" s="206">
        <f t="shared" si="14"/>
        <v>0.98895488023772005</v>
      </c>
      <c r="W9" s="206">
        <f t="shared" si="15"/>
        <v>0.98899999999999999</v>
      </c>
      <c r="X9" s="46">
        <f>IF(AND(Data!AA15&gt;0.81-0.001,Data!AA15&lt;0.827+0.001),0.00068,IF(AND(Data!AA15&gt;0.828-0.001,Data!AA15&lt;0.838+0.001),0.00067,IF(AND(Data!AA15&gt;0.839-0.001,Data!AA15&lt;0.853+0.001),0.00066,IF(AND(Data!AA15&gt;0.854-0.001,Data!AA15&lt;0.871+0.001),0.00065,IF(AND(Data!AA15&gt;0.872-0.001,Data!AA15&lt;0.911+0.001),0.00064,IF(AND(Data!AA15&gt;0.912-0.001,Data!AA15&lt;0.978+0.001),0.00063,IF(AND(Data!AA15&gt;0.979-0.001,Data!AA15&lt;1.03+0.001),0.00062,"")))))))</f>
        <v>6.2E-4</v>
      </c>
      <c r="Y9" s="46">
        <f>Data!AA15-((Data!J15-15)*X9+0.0011)</f>
        <v>0.97197999999999996</v>
      </c>
    </row>
    <row r="10" spans="1:25">
      <c r="A10" s="391" t="str">
        <f>Data!B16</f>
        <v>NO.3 HFO TANK (S)</v>
      </c>
      <c r="B10" s="388">
        <f>Data!H16</f>
        <v>800</v>
      </c>
      <c r="C10" s="85">
        <f>Data!I16</f>
        <v>22.309000000000001</v>
      </c>
      <c r="D10" s="389">
        <f>Data!J16</f>
        <v>38</v>
      </c>
      <c r="E10" s="390">
        <f>Data!M16</f>
        <v>0.98299999999999998</v>
      </c>
      <c r="F10" s="85">
        <f t="shared" si="0"/>
        <v>21.954000000000001</v>
      </c>
      <c r="G10" s="85">
        <f t="shared" si="1"/>
        <v>21.93</v>
      </c>
      <c r="H10" s="2">
        <f t="shared" si="2"/>
        <v>0.9819</v>
      </c>
      <c r="I10" s="2">
        <f t="shared" si="3"/>
        <v>0.96641508200000004</v>
      </c>
      <c r="J10" s="46">
        <f t="shared" si="4"/>
        <v>983</v>
      </c>
      <c r="K10" s="46">
        <f t="shared" si="5"/>
        <v>6.8809999999999997E-4</v>
      </c>
      <c r="L10" s="46">
        <f t="shared" si="6"/>
        <v>6.1530000000000005E-4</v>
      </c>
      <c r="M10" s="46">
        <f t="shared" si="7"/>
        <v>-5.8929999999999996E-4</v>
      </c>
      <c r="N10" s="46">
        <f t="shared" si="8"/>
        <v>8.0489999999999999E-4</v>
      </c>
      <c r="O10" s="46">
        <f t="shared" si="9"/>
        <v>3.4180000000000001E-4</v>
      </c>
      <c r="P10" s="46">
        <f>ROUND(Data!J16-15,2)</f>
        <v>23</v>
      </c>
      <c r="Q10" s="46">
        <f>IF(unit21=3,(IF(Data!L16&lt;0.7705,N10,IF(Data!L16&lt;0.7875,M10,IF(Data!L16&lt;0.839,L10,IF(Data!L16&lt;1.075,K10,O10))))),(IF(Data!AA16&lt;0.7705,N10,IF(Data!AA16&lt;0.7875,M10,IF(Data!AA16&lt;0.839,L10,IF(Data!AA16&lt;1.075,K10,O10))))))</f>
        <v>6.8809999999999997E-4</v>
      </c>
      <c r="R10" s="206">
        <f t="shared" si="10"/>
        <v>1.5826300000000001E-2</v>
      </c>
      <c r="S10" s="206">
        <f t="shared" si="11"/>
        <v>1.266104E-2</v>
      </c>
      <c r="T10" s="206">
        <f t="shared" si="12"/>
        <v>2.0037700000000001E-4</v>
      </c>
      <c r="U10" s="206">
        <f t="shared" si="13"/>
        <v>-1.6026680000000001E-2</v>
      </c>
      <c r="V10" s="206">
        <f t="shared" si="14"/>
        <v>0.98410106388864504</v>
      </c>
      <c r="W10" s="206">
        <f t="shared" si="15"/>
        <v>0.98409999999999997</v>
      </c>
      <c r="X10" s="46">
        <f>IF(AND(Data!AA16&gt;0.81-0.001,Data!AA16&lt;0.827+0.001),0.00068,IF(AND(Data!AA16&gt;0.828-0.001,Data!AA16&lt;0.838+0.001),0.00067,IF(AND(Data!AA16&gt;0.839-0.001,Data!AA16&lt;0.853+0.001),0.00066,IF(AND(Data!AA16&gt;0.854-0.001,Data!AA16&lt;0.871+0.001),0.00065,IF(AND(Data!AA16&gt;0.872-0.001,Data!AA16&lt;0.911+0.001),0.00064,IF(AND(Data!AA16&gt;0.912-0.001,Data!AA16&lt;0.978+0.001),0.00063,IF(AND(Data!AA16&gt;0.979-0.001,Data!AA16&lt;1.03+0.001),0.00062,"")))))))</f>
        <v>6.2E-4</v>
      </c>
      <c r="Y10" s="46">
        <f>Data!AA16-((Data!J16-15)*X10+0.0011)</f>
        <v>0.96763999999999994</v>
      </c>
    </row>
    <row r="11" spans="1:25">
      <c r="A11" s="391" t="str">
        <f>Data!B17</f>
        <v>HFO SETTLING TK</v>
      </c>
      <c r="B11" s="388">
        <f>Data!H17</f>
        <v>9830</v>
      </c>
      <c r="C11" s="85">
        <f>Data!I17</f>
        <v>6.5279999999999996</v>
      </c>
      <c r="D11" s="389">
        <f>Data!J17</f>
        <v>56</v>
      </c>
      <c r="E11" s="390">
        <f>Data!M17</f>
        <v>0.95569999999999999</v>
      </c>
      <c r="F11" s="85">
        <f t="shared" si="0"/>
        <v>6.335</v>
      </c>
      <c r="G11" s="85">
        <f t="shared" si="1"/>
        <v>6.2389999999999999</v>
      </c>
      <c r="H11" s="2">
        <f t="shared" si="2"/>
        <v>0.9546</v>
      </c>
      <c r="I11" s="2">
        <f t="shared" si="3"/>
        <v>0.93954221780000002</v>
      </c>
      <c r="J11" s="46">
        <f t="shared" si="4"/>
        <v>955.7</v>
      </c>
      <c r="K11" s="46">
        <f t="shared" si="5"/>
        <v>7.1339999999999999E-4</v>
      </c>
      <c r="L11" s="46">
        <f t="shared" si="6"/>
        <v>6.5090000000000005E-4</v>
      </c>
      <c r="M11" s="46">
        <f t="shared" si="7"/>
        <v>-4.2860000000000001E-4</v>
      </c>
      <c r="N11" s="46">
        <f t="shared" si="8"/>
        <v>8.384E-4</v>
      </c>
      <c r="O11" s="46">
        <f t="shared" si="9"/>
        <v>3.6160000000000001E-4</v>
      </c>
      <c r="P11" s="46">
        <f>ROUND(Data!J17-15,2)</f>
        <v>41</v>
      </c>
      <c r="Q11" s="46">
        <f>IF(unit21=3,(IF(Data!L17&lt;0.7705,N11,IF(Data!L17&lt;0.7875,M11,IF(Data!L17&lt;0.839,L11,IF(Data!L17&lt;1.075,K11,O11))))),(IF(Data!AA17&lt;0.7705,N11,IF(Data!AA17&lt;0.7875,M11,IF(Data!AA17&lt;0.839,L11,IF(Data!AA17&lt;1.075,K11,O11))))))</f>
        <v>7.1339999999999999E-4</v>
      </c>
      <c r="R11" s="206">
        <f t="shared" si="10"/>
        <v>2.9249399999999998E-2</v>
      </c>
      <c r="S11" s="206">
        <f t="shared" si="11"/>
        <v>2.339952E-2</v>
      </c>
      <c r="T11" s="206">
        <f t="shared" si="12"/>
        <v>6.8442199999999996E-4</v>
      </c>
      <c r="U11" s="206">
        <f t="shared" si="13"/>
        <v>-2.993382E-2</v>
      </c>
      <c r="V11" s="206">
        <f t="shared" si="14"/>
        <v>0.97050975975914</v>
      </c>
      <c r="W11" s="206">
        <f t="shared" si="15"/>
        <v>0.97050000000000003</v>
      </c>
      <c r="X11" s="46">
        <f>IF(AND(Data!AA17&gt;0.81-0.001,Data!AA17&lt;0.827+0.001),0.00068,IF(AND(Data!AA17&gt;0.828-0.001,Data!AA17&lt;0.838+0.001),0.00067,IF(AND(Data!AA17&gt;0.839-0.001,Data!AA17&lt;0.853+0.001),0.00066,IF(AND(Data!AA17&gt;0.854-0.001,Data!AA17&lt;0.871+0.001),0.00065,IF(AND(Data!AA17&gt;0.872-0.001,Data!AA17&lt;0.911+0.001),0.00064,IF(AND(Data!AA17&gt;0.912-0.001,Data!AA17&lt;0.978+0.001),0.00063,IF(AND(Data!AA17&gt;0.979-0.001,Data!AA17&lt;1.03+0.001),0.00062,"")))))))</f>
        <v>6.3000000000000003E-4</v>
      </c>
      <c r="Y11" s="46">
        <f>Data!AA17-((Data!J17-15)*X11+0.0011)</f>
        <v>0.92876999999999998</v>
      </c>
    </row>
    <row r="12" spans="1:25">
      <c r="A12" s="391" t="str">
        <f>Data!B18</f>
        <v>HFO SERVICE TK</v>
      </c>
      <c r="B12" s="388">
        <f>Data!H18</f>
        <v>2090</v>
      </c>
      <c r="C12" s="85">
        <f>Data!I18</f>
        <v>48.07</v>
      </c>
      <c r="D12" s="389">
        <f>Data!J18</f>
        <v>64</v>
      </c>
      <c r="E12" s="390">
        <f>Data!M18</f>
        <v>0.95569999999999999</v>
      </c>
      <c r="F12" s="85">
        <f t="shared" si="0"/>
        <v>46.372999999999998</v>
      </c>
      <c r="G12" s="85">
        <f t="shared" si="1"/>
        <v>45.94</v>
      </c>
      <c r="H12" s="2">
        <f t="shared" si="2"/>
        <v>0.9546</v>
      </c>
      <c r="I12" s="2">
        <f t="shared" si="3"/>
        <v>0.93954221780000002</v>
      </c>
      <c r="J12" s="46">
        <f t="shared" si="4"/>
        <v>955.7</v>
      </c>
      <c r="K12" s="46">
        <f t="shared" si="5"/>
        <v>7.1339999999999999E-4</v>
      </c>
      <c r="L12" s="46">
        <f t="shared" si="6"/>
        <v>6.5090000000000005E-4</v>
      </c>
      <c r="M12" s="46">
        <f t="shared" si="7"/>
        <v>-4.2860000000000001E-4</v>
      </c>
      <c r="N12" s="46">
        <f t="shared" si="8"/>
        <v>8.384E-4</v>
      </c>
      <c r="O12" s="46">
        <f t="shared" si="9"/>
        <v>3.6160000000000001E-4</v>
      </c>
      <c r="P12" s="46">
        <f>ROUND(Data!J18-15,2)</f>
        <v>49</v>
      </c>
      <c r="Q12" s="46">
        <f>IF(unit21=3,(IF(Data!L18&lt;0.7705,N12,IF(Data!L18&lt;0.7875,M12,IF(Data!L18&lt;0.839,L12,IF(Data!L18&lt;1.075,K12,O12))))),(IF(Data!AA18&lt;0.7705,N12,IF(Data!AA18&lt;0.7875,M12,IF(Data!AA18&lt;0.839,L12,IF(Data!AA18&lt;1.075,K12,O12))))))</f>
        <v>7.1339999999999999E-4</v>
      </c>
      <c r="R12" s="206">
        <f t="shared" si="10"/>
        <v>3.4956599999999997E-2</v>
      </c>
      <c r="S12" s="206">
        <f t="shared" si="11"/>
        <v>2.7965279999999999E-2</v>
      </c>
      <c r="T12" s="206">
        <f t="shared" si="12"/>
        <v>9.77571E-4</v>
      </c>
      <c r="U12" s="206">
        <f t="shared" si="13"/>
        <v>-3.5934170000000001E-2</v>
      </c>
      <c r="V12" s="206">
        <f t="shared" si="14"/>
        <v>0.96470379784386595</v>
      </c>
      <c r="W12" s="206">
        <f t="shared" si="15"/>
        <v>0.9647</v>
      </c>
      <c r="X12" s="46">
        <f>IF(AND(Data!AA18&gt;0.81-0.001,Data!AA18&lt;0.827+0.001),0.00068,IF(AND(Data!AA18&gt;0.828-0.001,Data!AA18&lt;0.838+0.001),0.00067,IF(AND(Data!AA18&gt;0.839-0.001,Data!AA18&lt;0.853+0.001),0.00066,IF(AND(Data!AA18&gt;0.854-0.001,Data!AA18&lt;0.871+0.001),0.00065,IF(AND(Data!AA18&gt;0.872-0.001,Data!AA18&lt;0.911+0.001),0.00064,IF(AND(Data!AA18&gt;0.912-0.001,Data!AA18&lt;0.978+0.001),0.00063,IF(AND(Data!AA18&gt;0.979-0.001,Data!AA18&lt;1.03+0.001),0.00062,"")))))))</f>
        <v>6.3000000000000003E-4</v>
      </c>
      <c r="Y12" s="46">
        <f>Data!AA18-((Data!J18-15)*X12+0.0011)</f>
        <v>0.92373000000000005</v>
      </c>
    </row>
    <row r="13" spans="1:25">
      <c r="A13" s="391" t="str">
        <f>Data!B19</f>
        <v>LS HFO SERVICE TK</v>
      </c>
      <c r="B13" s="388">
        <f>Data!H19</f>
        <v>1750</v>
      </c>
      <c r="C13" s="85">
        <f>Data!I19</f>
        <v>50.033999999999999</v>
      </c>
      <c r="D13" s="389">
        <f>Data!J19</f>
        <v>85</v>
      </c>
      <c r="E13" s="390">
        <f>Data!M19</f>
        <v>0.98299999999999998</v>
      </c>
      <c r="F13" s="85">
        <f t="shared" si="0"/>
        <v>47.591999999999999</v>
      </c>
      <c r="G13" s="85">
        <f t="shared" si="1"/>
        <v>49.183</v>
      </c>
      <c r="H13" s="2">
        <f t="shared" si="2"/>
        <v>0.9819</v>
      </c>
      <c r="I13" s="2">
        <f t="shared" si="3"/>
        <v>0.96641508200000004</v>
      </c>
      <c r="J13" s="46">
        <f t="shared" si="4"/>
        <v>983</v>
      </c>
      <c r="K13" s="46">
        <f t="shared" si="5"/>
        <v>6.8809999999999997E-4</v>
      </c>
      <c r="L13" s="46">
        <f t="shared" si="6"/>
        <v>6.1530000000000005E-4</v>
      </c>
      <c r="M13" s="46">
        <f t="shared" si="7"/>
        <v>-5.8929999999999996E-4</v>
      </c>
      <c r="N13" s="46">
        <f t="shared" si="8"/>
        <v>8.0489999999999999E-4</v>
      </c>
      <c r="O13" s="46">
        <f t="shared" si="9"/>
        <v>3.4180000000000001E-4</v>
      </c>
      <c r="P13" s="46">
        <f>ROUND(Data!J19-15,2)</f>
        <v>70</v>
      </c>
      <c r="Q13" s="46">
        <f>IF(unit21=3,(IF(Data!L19&lt;0.7705,N13,IF(Data!L19&lt;0.7875,M13,IF(Data!L19&lt;0.839,L13,IF(Data!L19&lt;1.075,K13,O13))))),(IF(Data!AA19&lt;0.7705,N13,IF(Data!AA19&lt;0.7875,M13,IF(Data!AA19&lt;0.839,L13,IF(Data!AA19&lt;1.075,K13,O13))))))</f>
        <v>6.8809999999999997E-4</v>
      </c>
      <c r="R13" s="206">
        <f t="shared" si="10"/>
        <v>4.8167000000000001E-2</v>
      </c>
      <c r="S13" s="206">
        <f t="shared" si="11"/>
        <v>3.8533600000000001E-2</v>
      </c>
      <c r="T13" s="206">
        <f t="shared" si="12"/>
        <v>1.8560479999999999E-3</v>
      </c>
      <c r="U13" s="206">
        <f t="shared" si="13"/>
        <v>-5.0023049999999999E-2</v>
      </c>
      <c r="V13" s="206">
        <f t="shared" si="14"/>
        <v>0.95120749891517298</v>
      </c>
      <c r="W13" s="206">
        <f t="shared" si="15"/>
        <v>0.95120000000000005</v>
      </c>
      <c r="X13" s="46">
        <f>IF(AND(Data!AA19&gt;0.81-0.001,Data!AA19&lt;0.827+0.001),0.00068,IF(AND(Data!AA19&gt;0.828-0.001,Data!AA19&lt;0.838+0.001),0.00067,IF(AND(Data!AA19&gt;0.839-0.001,Data!AA19&lt;0.853+0.001),0.00066,IF(AND(Data!AA19&gt;0.854-0.001,Data!AA19&lt;0.871+0.001),0.00065,IF(AND(Data!AA19&gt;0.872-0.001,Data!AA19&lt;0.911+0.001),0.00064,IF(AND(Data!AA19&gt;0.912-0.001,Data!AA19&lt;0.978+0.001),0.00063,IF(AND(Data!AA19&gt;0.979-0.001,Data!AA19&lt;1.03+0.001),0.00062,"")))))))</f>
        <v>6.2E-4</v>
      </c>
      <c r="Y13" s="46">
        <f>Data!AA19-((Data!J19-15)*X13+0.0011)</f>
        <v>0.9385</v>
      </c>
    </row>
    <row r="14" spans="1:25">
      <c r="A14" s="391" t="str">
        <f>Data!B20</f>
        <v>LS HFO SETTLING TK</v>
      </c>
      <c r="B14" s="388">
        <f>Data!H20</f>
        <v>3510</v>
      </c>
      <c r="C14" s="85">
        <f>Data!I20</f>
        <v>40.265000000000001</v>
      </c>
      <c r="D14" s="389">
        <f>Data!J20</f>
        <v>84</v>
      </c>
      <c r="E14" s="390">
        <f>Data!M20</f>
        <v>0.98299999999999998</v>
      </c>
      <c r="F14" s="85">
        <f t="shared" si="0"/>
        <v>38.328000000000003</v>
      </c>
      <c r="G14" s="85">
        <f t="shared" si="1"/>
        <v>39.58</v>
      </c>
      <c r="H14" s="2">
        <f t="shared" si="2"/>
        <v>0.9819</v>
      </c>
      <c r="I14" s="2">
        <f t="shared" si="3"/>
        <v>0.96641508200000004</v>
      </c>
      <c r="J14" s="46">
        <f t="shared" si="4"/>
        <v>983</v>
      </c>
      <c r="K14" s="46">
        <f t="shared" si="5"/>
        <v>6.8809999999999997E-4</v>
      </c>
      <c r="L14" s="46">
        <f t="shared" si="6"/>
        <v>6.1530000000000005E-4</v>
      </c>
      <c r="M14" s="46">
        <f t="shared" si="7"/>
        <v>-5.8929999999999996E-4</v>
      </c>
      <c r="N14" s="46">
        <f t="shared" si="8"/>
        <v>8.0489999999999999E-4</v>
      </c>
      <c r="O14" s="46">
        <f t="shared" si="9"/>
        <v>3.4180000000000001E-4</v>
      </c>
      <c r="P14" s="46">
        <f>ROUND(Data!J20-15,2)</f>
        <v>69</v>
      </c>
      <c r="Q14" s="46">
        <f>IF(unit21=3,(IF(Data!L20&lt;0.7705,N14,IF(Data!L20&lt;0.7875,M14,IF(Data!L20&lt;0.839,L14,IF(Data!L20&lt;1.075,K14,O14))))),(IF(Data!AA20&lt;0.7705,N14,IF(Data!AA20&lt;0.7875,M14,IF(Data!AA20&lt;0.839,L14,IF(Data!AA20&lt;1.075,K14,O14))))))</f>
        <v>6.8809999999999997E-4</v>
      </c>
      <c r="R14" s="206">
        <f t="shared" si="10"/>
        <v>4.7478899999999997E-2</v>
      </c>
      <c r="S14" s="206">
        <f t="shared" si="11"/>
        <v>3.7983120000000002E-2</v>
      </c>
      <c r="T14" s="206">
        <f t="shared" si="12"/>
        <v>1.803397E-3</v>
      </c>
      <c r="U14" s="206">
        <f t="shared" si="13"/>
        <v>-4.9282300000000001E-2</v>
      </c>
      <c r="V14" s="206">
        <f t="shared" si="14"/>
        <v>0.95191236690324399</v>
      </c>
      <c r="W14" s="206">
        <f t="shared" si="15"/>
        <v>0.95189999999999997</v>
      </c>
      <c r="X14" s="46">
        <f>IF(AND(Data!AA20&gt;0.81-0.001,Data!AA20&lt;0.827+0.001),0.00068,IF(AND(Data!AA20&gt;0.828-0.001,Data!AA20&lt;0.838+0.001),0.00067,IF(AND(Data!AA20&gt;0.839-0.001,Data!AA20&lt;0.853+0.001),0.00066,IF(AND(Data!AA20&gt;0.854-0.001,Data!AA20&lt;0.871+0.001),0.00065,IF(AND(Data!AA20&gt;0.872-0.001,Data!AA20&lt;0.911+0.001),0.00064,IF(AND(Data!AA20&gt;0.912-0.001,Data!AA20&lt;0.978+0.001),0.00063,IF(AND(Data!AA20&gt;0.979-0.001,Data!AA20&lt;1.03+0.001),0.00062,"")))))))</f>
        <v>6.2E-4</v>
      </c>
      <c r="Y14" s="46">
        <f>Data!AA20-((Data!J20-15)*X14+0.0011)</f>
        <v>0.93911999999999995</v>
      </c>
    </row>
    <row r="15" spans="1:25">
      <c r="A15" s="391" t="str">
        <f>Data!B21</f>
        <v>HFO OVERFLOW TK</v>
      </c>
      <c r="B15" s="388">
        <f>Data!H21</f>
        <v>600</v>
      </c>
      <c r="C15" s="85">
        <f>Data!I21</f>
        <v>8.4689999999999994</v>
      </c>
      <c r="D15" s="389">
        <f>Data!J21</f>
        <v>33</v>
      </c>
      <c r="E15" s="390">
        <f>Data!M21</f>
        <v>0.98299999999999998</v>
      </c>
      <c r="F15" s="85">
        <f t="shared" si="0"/>
        <v>8.3640000000000008</v>
      </c>
      <c r="G15" s="85">
        <f t="shared" si="1"/>
        <v>8.3249999999999993</v>
      </c>
      <c r="H15" s="2">
        <f t="shared" si="2"/>
        <v>0.9819</v>
      </c>
      <c r="I15" s="2">
        <f t="shared" si="3"/>
        <v>0.96641508200000004</v>
      </c>
      <c r="J15" s="46">
        <f t="shared" si="4"/>
        <v>983</v>
      </c>
      <c r="K15" s="46">
        <f t="shared" si="5"/>
        <v>6.8809999999999997E-4</v>
      </c>
      <c r="L15" s="46">
        <f t="shared" si="6"/>
        <v>6.1530000000000005E-4</v>
      </c>
      <c r="M15" s="46">
        <f t="shared" si="7"/>
        <v>-5.8929999999999996E-4</v>
      </c>
      <c r="N15" s="46">
        <f t="shared" si="8"/>
        <v>8.0489999999999999E-4</v>
      </c>
      <c r="O15" s="46">
        <f t="shared" si="9"/>
        <v>3.4180000000000001E-4</v>
      </c>
      <c r="P15" s="46">
        <f>ROUND(Data!J21-15,2)</f>
        <v>18</v>
      </c>
      <c r="Q15" s="46">
        <f>IF(unit21=3,(IF(Data!L21&lt;0.7705,N15,IF(Data!L21&lt;0.7875,M15,IF(Data!L21&lt;0.839,L15,IF(Data!L21&lt;1.075,K15,O15))))),(IF(Data!AA21&lt;0.7705,N15,IF(Data!AA21&lt;0.7875,M15,IF(Data!AA21&lt;0.839,L15,IF(Data!AA21&lt;1.075,K15,O15))))))</f>
        <v>6.8809999999999997E-4</v>
      </c>
      <c r="R15" s="206">
        <f t="shared" si="10"/>
        <v>1.2385800000000001E-2</v>
      </c>
      <c r="S15" s="206">
        <f t="shared" si="11"/>
        <v>9.9086399999999998E-3</v>
      </c>
      <c r="T15" s="206">
        <f t="shared" si="12"/>
        <v>1.22726E-4</v>
      </c>
      <c r="U15" s="206">
        <f t="shared" si="13"/>
        <v>-1.250853E-2</v>
      </c>
      <c r="V15" s="206">
        <f t="shared" si="14"/>
        <v>0.98756937649117205</v>
      </c>
      <c r="W15" s="206">
        <f t="shared" si="15"/>
        <v>0.98760000000000003</v>
      </c>
      <c r="X15" s="46">
        <f>IF(AND(Data!AA21&gt;0.81-0.001,Data!AA21&lt;0.827+0.001),0.00068,IF(AND(Data!AA21&gt;0.828-0.001,Data!AA21&lt;0.838+0.001),0.00067,IF(AND(Data!AA21&gt;0.839-0.001,Data!AA21&lt;0.853+0.001),0.00066,IF(AND(Data!AA21&gt;0.854-0.001,Data!AA21&lt;0.871+0.001),0.00065,IF(AND(Data!AA21&gt;0.872-0.001,Data!AA21&lt;0.911+0.001),0.00064,IF(AND(Data!AA21&gt;0.912-0.001,Data!AA21&lt;0.978+0.001),0.00063,IF(AND(Data!AA21&gt;0.979-0.001,Data!AA21&lt;1.03+0.001),0.00062,"")))))))</f>
        <v>6.2E-4</v>
      </c>
      <c r="Y15" s="46">
        <f>Data!AA21-((Data!J21-15)*X15+0.0011)</f>
        <v>0.97074000000000005</v>
      </c>
    </row>
    <row r="16" spans="1:25">
      <c r="A16" s="391" t="str">
        <f>Data!B22</f>
        <v>MDO TANK (P)</v>
      </c>
      <c r="B16" s="388">
        <f>Data!H22</f>
        <v>2290</v>
      </c>
      <c r="C16" s="85">
        <f>Data!I22</f>
        <v>68.183999999999997</v>
      </c>
      <c r="D16" s="389">
        <f>Data!J22</f>
        <v>32</v>
      </c>
      <c r="E16" s="390">
        <f>Data!M22</f>
        <v>0.88319999999999999</v>
      </c>
      <c r="F16" s="85">
        <f t="shared" si="0"/>
        <v>67.263999999999996</v>
      </c>
      <c r="G16" s="85">
        <f t="shared" si="1"/>
        <v>60.22</v>
      </c>
      <c r="H16" s="2">
        <f t="shared" si="2"/>
        <v>0.8821</v>
      </c>
      <c r="I16" s="2">
        <f t="shared" si="3"/>
        <v>0.86817655279999995</v>
      </c>
      <c r="J16" s="46">
        <f t="shared" si="4"/>
        <v>883.2</v>
      </c>
      <c r="K16" s="46">
        <f t="shared" si="5"/>
        <v>7.9020000000000002E-4</v>
      </c>
      <c r="L16" s="46">
        <f t="shared" si="6"/>
        <v>7.6219999999999999E-4</v>
      </c>
      <c r="M16" s="46">
        <f t="shared" si="7"/>
        <v>7.2999999999999999E-5</v>
      </c>
      <c r="N16" s="46">
        <f t="shared" si="8"/>
        <v>9.4090000000000005E-4</v>
      </c>
      <c r="O16" s="46">
        <f t="shared" si="9"/>
        <v>4.2339999999999999E-4</v>
      </c>
      <c r="P16" s="46">
        <f>ROUND(Data!J22-15,2)</f>
        <v>17</v>
      </c>
      <c r="Q16" s="46">
        <f>IF(unit21=3,(IF(Data!L22&lt;0.7705,N16,IF(Data!L22&lt;0.7875,M16,IF(Data!L22&lt;0.839,L16,IF(Data!L22&lt;1.075,K16,O16))))),(IF(Data!AA22&lt;0.7705,N16,IF(Data!AA22&lt;0.7875,M16,IF(Data!AA22&lt;0.839,L16,IF(Data!AA22&lt;1.075,K16,O16))))))</f>
        <v>7.9020000000000002E-4</v>
      </c>
      <c r="R16" s="206">
        <f t="shared" si="10"/>
        <v>1.34334E-2</v>
      </c>
      <c r="S16" s="206">
        <f t="shared" si="11"/>
        <v>1.074672E-2</v>
      </c>
      <c r="T16" s="206">
        <f t="shared" si="12"/>
        <v>1.44365E-4</v>
      </c>
      <c r="U16" s="206">
        <f t="shared" si="13"/>
        <v>-1.3577769999999999E-2</v>
      </c>
      <c r="V16" s="206">
        <f t="shared" si="14"/>
        <v>0.98651399214118296</v>
      </c>
      <c r="W16" s="206">
        <f t="shared" si="15"/>
        <v>0.98650000000000004</v>
      </c>
      <c r="X16" s="46">
        <f>IF(AND(Data!AA22&gt;0.81-0.001,Data!AA22&lt;0.827+0.001),0.00068,IF(AND(Data!AA22&gt;0.828-0.001,Data!AA22&lt;0.838+0.001),0.00067,IF(AND(Data!AA22&gt;0.839-0.001,Data!AA22&lt;0.853+0.001),0.00066,IF(AND(Data!AA22&gt;0.854-0.001,Data!AA22&lt;0.871+0.001),0.00065,IF(AND(Data!AA22&gt;0.872-0.001,Data!AA22&lt;0.911+0.001),0.00064,IF(AND(Data!AA22&gt;0.912-0.001,Data!AA22&lt;0.978+0.001),0.00063,IF(AND(Data!AA22&gt;0.979-0.001,Data!AA22&lt;1.03+0.001),0.00062,"")))))))</f>
        <v>6.4000000000000005E-4</v>
      </c>
      <c r="Y16" s="46">
        <f>Data!AA22-((Data!J22-15)*X16+0.0011)</f>
        <v>0.87121999999999999</v>
      </c>
    </row>
    <row r="17" spans="1:25">
      <c r="A17" s="391" t="str">
        <f>Data!B23</f>
        <v>MDO TANK (S)</v>
      </c>
      <c r="B17" s="388">
        <f>Data!H23</f>
        <v>1540</v>
      </c>
      <c r="C17" s="85">
        <f>Data!I23</f>
        <v>79.924000000000007</v>
      </c>
      <c r="D17" s="389">
        <f>Data!J23</f>
        <v>32</v>
      </c>
      <c r="E17" s="390">
        <f>Data!M23</f>
        <v>0.871</v>
      </c>
      <c r="F17" s="85">
        <f t="shared" si="0"/>
        <v>78.828999999999994</v>
      </c>
      <c r="G17" s="85">
        <f t="shared" si="1"/>
        <v>69.614000000000004</v>
      </c>
      <c r="H17" s="2">
        <f t="shared" si="2"/>
        <v>0.86990000000000001</v>
      </c>
      <c r="I17" s="2">
        <f t="shared" si="3"/>
        <v>0.85616743399999995</v>
      </c>
      <c r="J17" s="46">
        <f t="shared" si="4"/>
        <v>871</v>
      </c>
      <c r="K17" s="46">
        <f t="shared" si="5"/>
        <v>8.0469999999999999E-4</v>
      </c>
      <c r="L17" s="46">
        <f t="shared" si="6"/>
        <v>7.8370000000000002E-4</v>
      </c>
      <c r="M17" s="46">
        <f t="shared" si="7"/>
        <v>1.6990000000000001E-4</v>
      </c>
      <c r="N17" s="46">
        <f t="shared" si="8"/>
        <v>9.6040000000000003E-4</v>
      </c>
      <c r="O17" s="46">
        <f t="shared" si="9"/>
        <v>4.3540000000000001E-4</v>
      </c>
      <c r="P17" s="46">
        <f>ROUND(Data!J23-15,2)</f>
        <v>17</v>
      </c>
      <c r="Q17" s="46">
        <f>IF(unit21=3,(IF(Data!L23&lt;0.7705,N17,IF(Data!L23&lt;0.7875,M17,IF(Data!L23&lt;0.839,L17,IF(Data!L23&lt;1.075,K17,O17))))),(IF(Data!AA23&lt;0.7705,N17,IF(Data!AA23&lt;0.7875,M17,IF(Data!AA23&lt;0.839,L17,IF(Data!AA23&lt;1.075,K17,O17))))))</f>
        <v>8.0469999999999999E-4</v>
      </c>
      <c r="R17" s="206">
        <f t="shared" si="10"/>
        <v>1.36799E-2</v>
      </c>
      <c r="S17" s="206">
        <f t="shared" si="11"/>
        <v>1.0943919999999999E-2</v>
      </c>
      <c r="T17" s="206">
        <f t="shared" si="12"/>
        <v>1.4971200000000001E-4</v>
      </c>
      <c r="U17" s="206">
        <f t="shared" si="13"/>
        <v>-1.3829610000000001E-2</v>
      </c>
      <c r="V17" s="206">
        <f t="shared" si="14"/>
        <v>0.98626557973880502</v>
      </c>
      <c r="W17" s="206">
        <f t="shared" si="15"/>
        <v>0.98629999999999995</v>
      </c>
      <c r="X17" s="46">
        <f>IF(AND(Data!AA23&gt;0.81-0.001,Data!AA23&lt;0.827+0.001),0.00068,IF(AND(Data!AA23&gt;0.828-0.001,Data!AA23&lt;0.838+0.001),0.00067,IF(AND(Data!AA23&gt;0.839-0.001,Data!AA23&lt;0.853+0.001),0.00066,IF(AND(Data!AA23&gt;0.854-0.001,Data!AA23&lt;0.871+0.001),0.00065,IF(AND(Data!AA23&gt;0.872-0.001,Data!AA23&lt;0.911+0.001),0.00064,IF(AND(Data!AA23&gt;0.912-0.001,Data!AA23&lt;0.978+0.001),0.00063,IF(AND(Data!AA23&gt;0.979-0.001,Data!AA23&lt;1.03+0.001),0.00062,"")))))))</f>
        <v>6.4999999999999997E-4</v>
      </c>
      <c r="Y17" s="46">
        <f>Data!AA23-((Data!J23-15)*X17+0.0011)</f>
        <v>0.85885</v>
      </c>
    </row>
    <row r="18" spans="1:25">
      <c r="A18" s="391" t="str">
        <f>Data!B24</f>
        <v>MDO SERVICE TK</v>
      </c>
      <c r="B18" s="388">
        <f>Data!H24</f>
        <v>3000</v>
      </c>
      <c r="C18" s="85">
        <f>Data!I24</f>
        <v>17.175000000000001</v>
      </c>
      <c r="D18" s="389">
        <f>Data!J24</f>
        <v>32</v>
      </c>
      <c r="E18" s="390">
        <f>Data!M24</f>
        <v>0.86599999999999999</v>
      </c>
      <c r="F18" s="85">
        <f t="shared" si="0"/>
        <v>16.937999999999999</v>
      </c>
      <c r="G18" s="85">
        <f t="shared" si="1"/>
        <v>14.874000000000001</v>
      </c>
      <c r="H18" s="2">
        <f t="shared" si="2"/>
        <v>0.8649</v>
      </c>
      <c r="I18" s="2">
        <f t="shared" si="3"/>
        <v>0.85124566400000001</v>
      </c>
      <c r="J18" s="46">
        <f t="shared" si="4"/>
        <v>866</v>
      </c>
      <c r="K18" s="46">
        <f t="shared" si="5"/>
        <v>8.1070000000000003E-4</v>
      </c>
      <c r="L18" s="46">
        <f t="shared" si="6"/>
        <v>7.9279999999999997E-4</v>
      </c>
      <c r="M18" s="46">
        <f t="shared" si="7"/>
        <v>2.109E-4</v>
      </c>
      <c r="N18" s="46">
        <f t="shared" si="8"/>
        <v>9.6860000000000002E-4</v>
      </c>
      <c r="O18" s="46">
        <f t="shared" si="9"/>
        <v>4.4040000000000003E-4</v>
      </c>
      <c r="P18" s="46">
        <f>ROUND(Data!J24-15,2)</f>
        <v>17</v>
      </c>
      <c r="Q18" s="46">
        <f>IF(unit21=3,(IF(Data!L24&lt;0.7705,N18,IF(Data!L24&lt;0.7875,M18,IF(Data!L24&lt;0.839,L18,IF(Data!L24&lt;1.075,K18,O18))))),(IF(Data!AA24&lt;0.7705,N18,IF(Data!AA24&lt;0.7875,M18,IF(Data!AA24&lt;0.839,L18,IF(Data!AA24&lt;1.075,K18,O18))))))</f>
        <v>8.1070000000000003E-4</v>
      </c>
      <c r="R18" s="206">
        <f t="shared" si="10"/>
        <v>1.37819E-2</v>
      </c>
      <c r="S18" s="206">
        <f t="shared" si="11"/>
        <v>1.102552E-2</v>
      </c>
      <c r="T18" s="206">
        <f t="shared" si="12"/>
        <v>1.51953E-4</v>
      </c>
      <c r="U18" s="206">
        <f t="shared" si="13"/>
        <v>-1.3933849999999999E-2</v>
      </c>
      <c r="V18" s="206">
        <f t="shared" si="14"/>
        <v>0.98616277677295605</v>
      </c>
      <c r="W18" s="206">
        <f t="shared" si="15"/>
        <v>0.98619999999999997</v>
      </c>
      <c r="X18" s="46">
        <f>IF(AND(Data!AA24&gt;0.81-0.001,Data!AA24&lt;0.827+0.001),0.00068,IF(AND(Data!AA24&gt;0.828-0.001,Data!AA24&lt;0.838+0.001),0.00067,IF(AND(Data!AA24&gt;0.839-0.001,Data!AA24&lt;0.853+0.001),0.00066,IF(AND(Data!AA24&gt;0.854-0.001,Data!AA24&lt;0.871+0.001),0.00065,IF(AND(Data!AA24&gt;0.872-0.001,Data!AA24&lt;0.911+0.001),0.00064,IF(AND(Data!AA24&gt;0.912-0.001,Data!AA24&lt;0.978+0.001),0.00063,IF(AND(Data!AA24&gt;0.979-0.001,Data!AA24&lt;1.03+0.001),0.00062,"")))))))</f>
        <v>6.4999999999999997E-4</v>
      </c>
      <c r="Y18" s="46">
        <f>Data!AA24-((Data!J24-15)*X18+0.0011)</f>
        <v>0.85385</v>
      </c>
    </row>
    <row r="19" spans="1:25">
      <c r="A19" s="391" t="str">
        <f>Data!B25</f>
        <v>MDO SETTLING TK</v>
      </c>
      <c r="B19" s="388">
        <f>Data!H25</f>
        <v>3540</v>
      </c>
      <c r="C19" s="85">
        <f>Data!I25</f>
        <v>20.212</v>
      </c>
      <c r="D19" s="389">
        <f>Data!J25</f>
        <v>32</v>
      </c>
      <c r="E19" s="390">
        <f>Data!M25</f>
        <v>0.86599999999999999</v>
      </c>
      <c r="F19" s="85">
        <f t="shared" si="0"/>
        <v>19.933</v>
      </c>
      <c r="G19" s="85">
        <f t="shared" si="1"/>
        <v>17.504000000000001</v>
      </c>
      <c r="H19" s="2">
        <f t="shared" si="2"/>
        <v>0.8649</v>
      </c>
      <c r="I19" s="2">
        <f t="shared" si="3"/>
        <v>0.85124566400000001</v>
      </c>
      <c r="J19" s="46">
        <f t="shared" si="4"/>
        <v>866</v>
      </c>
      <c r="K19" s="46">
        <f t="shared" si="5"/>
        <v>8.1070000000000003E-4</v>
      </c>
      <c r="L19" s="46">
        <f t="shared" si="6"/>
        <v>7.9279999999999997E-4</v>
      </c>
      <c r="M19" s="46">
        <f t="shared" si="7"/>
        <v>2.109E-4</v>
      </c>
      <c r="N19" s="46">
        <f t="shared" si="8"/>
        <v>9.6860000000000002E-4</v>
      </c>
      <c r="O19" s="46">
        <f t="shared" si="9"/>
        <v>4.4040000000000003E-4</v>
      </c>
      <c r="P19" s="46">
        <f>ROUND(Data!J25-15,2)</f>
        <v>17</v>
      </c>
      <c r="Q19" s="46">
        <f>IF(unit21=3,(IF(Data!L25&lt;0.7705,N19,IF(Data!L25&lt;0.7875,M19,IF(Data!L25&lt;0.839,L19,IF(Data!L25&lt;1.075,K19,O19))))),(IF(Data!AA25&lt;0.7705,N19,IF(Data!AA25&lt;0.7875,M19,IF(Data!AA25&lt;0.839,L19,IF(Data!AA25&lt;1.075,K19,O19))))))</f>
        <v>8.1070000000000003E-4</v>
      </c>
      <c r="R19" s="206">
        <f t="shared" si="10"/>
        <v>1.37819E-2</v>
      </c>
      <c r="S19" s="206">
        <f t="shared" si="11"/>
        <v>1.102552E-2</v>
      </c>
      <c r="T19" s="206">
        <f t="shared" si="12"/>
        <v>1.51953E-4</v>
      </c>
      <c r="U19" s="206">
        <f t="shared" si="13"/>
        <v>-1.3933849999999999E-2</v>
      </c>
      <c r="V19" s="206">
        <f t="shared" si="14"/>
        <v>0.98616277677295605</v>
      </c>
      <c r="W19" s="206">
        <f t="shared" si="15"/>
        <v>0.98619999999999997</v>
      </c>
      <c r="X19" s="46">
        <f>IF(AND(Data!AA25&gt;0.81-0.001,Data!AA25&lt;0.827+0.001),0.00068,IF(AND(Data!AA25&gt;0.828-0.001,Data!AA25&lt;0.838+0.001),0.00067,IF(AND(Data!AA25&gt;0.839-0.001,Data!AA25&lt;0.853+0.001),0.00066,IF(AND(Data!AA25&gt;0.854-0.001,Data!AA25&lt;0.871+0.001),0.00065,IF(AND(Data!AA25&gt;0.872-0.001,Data!AA25&lt;0.911+0.001),0.00064,IF(AND(Data!AA25&gt;0.912-0.001,Data!AA25&lt;0.978+0.001),0.00063,IF(AND(Data!AA25&gt;0.979-0.001,Data!AA25&lt;1.03+0.001),0.00062,"")))))))</f>
        <v>6.4999999999999997E-4</v>
      </c>
      <c r="Y19" s="46">
        <f>Data!AA25-((Data!J25-15)*X19+0.0011)</f>
        <v>0.85385</v>
      </c>
    </row>
    <row r="20" spans="1:25">
      <c r="A20" s="391" t="str">
        <f>Data!B26</f>
        <v>MGO STOR. TK (S)</v>
      </c>
      <c r="B20" s="388">
        <f>Data!H26</f>
        <v>3310</v>
      </c>
      <c r="C20" s="85">
        <f>Data!I26</f>
        <v>73.489999999999995</v>
      </c>
      <c r="D20" s="389">
        <f>Data!J26</f>
        <v>32</v>
      </c>
      <c r="E20" s="390">
        <f>Data!M26</f>
        <v>0.871</v>
      </c>
      <c r="F20" s="85">
        <f t="shared" si="0"/>
        <v>72.483000000000004</v>
      </c>
      <c r="G20" s="85">
        <f t="shared" si="1"/>
        <v>64.010000000000005</v>
      </c>
      <c r="H20" s="2">
        <f t="shared" si="2"/>
        <v>0.86990000000000001</v>
      </c>
      <c r="I20" s="2">
        <f t="shared" si="3"/>
        <v>0.85616743399999995</v>
      </c>
      <c r="J20" s="46">
        <f t="shared" si="4"/>
        <v>871</v>
      </c>
      <c r="K20" s="46">
        <f t="shared" si="5"/>
        <v>8.0469999999999999E-4</v>
      </c>
      <c r="L20" s="46">
        <f t="shared" si="6"/>
        <v>7.8370000000000002E-4</v>
      </c>
      <c r="M20" s="46">
        <f t="shared" si="7"/>
        <v>1.6990000000000001E-4</v>
      </c>
      <c r="N20" s="46">
        <f t="shared" si="8"/>
        <v>9.6040000000000003E-4</v>
      </c>
      <c r="O20" s="46">
        <f t="shared" si="9"/>
        <v>4.3540000000000001E-4</v>
      </c>
      <c r="P20" s="46">
        <f>ROUND(Data!J26-15,2)</f>
        <v>17</v>
      </c>
      <c r="Q20" s="46">
        <f>IF(unit21=3,(IF(Data!L26&lt;0.7705,N20,IF(Data!L26&lt;0.7875,M20,IF(Data!L26&lt;0.839,L20,IF(Data!L26&lt;1.075,K20,O20))))),(IF(Data!AA26&lt;0.7705,N20,IF(Data!AA26&lt;0.7875,M20,IF(Data!AA26&lt;0.839,L20,IF(Data!AA26&lt;1.075,K20,O20))))))</f>
        <v>8.0469999999999999E-4</v>
      </c>
      <c r="R20" s="206">
        <f t="shared" si="10"/>
        <v>1.36799E-2</v>
      </c>
      <c r="S20" s="206">
        <f t="shared" si="11"/>
        <v>1.0943919999999999E-2</v>
      </c>
      <c r="T20" s="206">
        <f t="shared" si="12"/>
        <v>1.4971200000000001E-4</v>
      </c>
      <c r="U20" s="206">
        <f t="shared" si="13"/>
        <v>-1.3829610000000001E-2</v>
      </c>
      <c r="V20" s="206">
        <f t="shared" si="14"/>
        <v>0.98626557973880502</v>
      </c>
      <c r="W20" s="206">
        <f t="shared" si="15"/>
        <v>0.98629999999999995</v>
      </c>
      <c r="X20" s="46">
        <f>IF(AND(Data!AA26&gt;0.81-0.001,Data!AA26&lt;0.827+0.001),0.00068,IF(AND(Data!AA26&gt;0.828-0.001,Data!AA26&lt;0.838+0.001),0.00067,IF(AND(Data!AA26&gt;0.839-0.001,Data!AA26&lt;0.853+0.001),0.00066,IF(AND(Data!AA26&gt;0.854-0.001,Data!AA26&lt;0.871+0.001),0.00065,IF(AND(Data!AA26&gt;0.872-0.001,Data!AA26&lt;0.911+0.001),0.00064,IF(AND(Data!AA26&gt;0.912-0.001,Data!AA26&lt;0.978+0.001),0.00063,IF(AND(Data!AA26&gt;0.979-0.001,Data!AA26&lt;1.03+0.001),0.00062,"")))))))</f>
        <v>6.4999999999999997E-4</v>
      </c>
      <c r="Y20" s="46">
        <f>Data!AA26-((Data!J26-15)*X20+0.0011)</f>
        <v>0.85885</v>
      </c>
    </row>
    <row r="21" spans="1:25">
      <c r="A21" s="391" t="str">
        <f>Data!B27</f>
        <v>MGO SERVICE TK</v>
      </c>
      <c r="B21" s="388">
        <f>Data!H27</f>
        <v>3540</v>
      </c>
      <c r="C21" s="85">
        <f>Data!I27</f>
        <v>20.2</v>
      </c>
      <c r="D21" s="389">
        <f>Data!J27</f>
        <v>32</v>
      </c>
      <c r="E21" s="390">
        <f>Data!M27</f>
        <v>0.86599999999999999</v>
      </c>
      <c r="F21" s="85">
        <f t="shared" si="0"/>
        <v>19.920999999999999</v>
      </c>
      <c r="G21" s="85">
        <f t="shared" si="1"/>
        <v>17.492999999999999</v>
      </c>
      <c r="H21" s="2">
        <f t="shared" si="2"/>
        <v>0.8649</v>
      </c>
      <c r="I21" s="2">
        <f t="shared" si="3"/>
        <v>0.85124566400000001</v>
      </c>
      <c r="J21" s="46">
        <f t="shared" si="4"/>
        <v>866</v>
      </c>
      <c r="K21" s="46">
        <f t="shared" si="5"/>
        <v>8.1070000000000003E-4</v>
      </c>
      <c r="L21" s="46">
        <f t="shared" si="6"/>
        <v>7.9279999999999997E-4</v>
      </c>
      <c r="M21" s="46">
        <f t="shared" si="7"/>
        <v>2.109E-4</v>
      </c>
      <c r="N21" s="46">
        <f t="shared" si="8"/>
        <v>9.6860000000000002E-4</v>
      </c>
      <c r="O21" s="46">
        <f t="shared" si="9"/>
        <v>4.4040000000000003E-4</v>
      </c>
      <c r="P21" s="46">
        <f>ROUND(Data!J27-15,2)</f>
        <v>17</v>
      </c>
      <c r="Q21" s="46">
        <f>IF(unit21=3,(IF(Data!L27&lt;0.7705,N21,IF(Data!L27&lt;0.7875,M21,IF(Data!L27&lt;0.839,L21,IF(Data!L27&lt;1.075,K21,O21))))),(IF(Data!AA27&lt;0.7705,N21,IF(Data!AA27&lt;0.7875,M21,IF(Data!AA27&lt;0.839,L21,IF(Data!AA27&lt;1.075,K21,O21))))))</f>
        <v>8.1070000000000003E-4</v>
      </c>
      <c r="R21" s="206">
        <f t="shared" si="10"/>
        <v>1.37819E-2</v>
      </c>
      <c r="S21" s="206">
        <f t="shared" si="11"/>
        <v>1.102552E-2</v>
      </c>
      <c r="T21" s="206">
        <f t="shared" si="12"/>
        <v>1.51953E-4</v>
      </c>
      <c r="U21" s="206">
        <f t="shared" si="13"/>
        <v>-1.3933849999999999E-2</v>
      </c>
      <c r="V21" s="206">
        <f t="shared" si="14"/>
        <v>0.98616277677295605</v>
      </c>
      <c r="W21" s="206">
        <f t="shared" si="15"/>
        <v>0.98619999999999997</v>
      </c>
      <c r="X21" s="46">
        <f>IF(AND(Data!AA27&gt;0.81-0.001,Data!AA27&lt;0.827+0.001),0.00068,IF(AND(Data!AA27&gt;0.828-0.001,Data!AA27&lt;0.838+0.001),0.00067,IF(AND(Data!AA27&gt;0.839-0.001,Data!AA27&lt;0.853+0.001),0.00066,IF(AND(Data!AA27&gt;0.854-0.001,Data!AA27&lt;0.871+0.001),0.00065,IF(AND(Data!AA27&gt;0.872-0.001,Data!AA27&lt;0.911+0.001),0.00064,IF(AND(Data!AA27&gt;0.912-0.001,Data!AA27&lt;0.978+0.001),0.00063,IF(AND(Data!AA27&gt;0.979-0.001,Data!AA27&lt;1.03+0.001),0.00062,"")))))))</f>
        <v>6.4999999999999997E-4</v>
      </c>
      <c r="Y21" s="46">
        <f>Data!AA27-((Data!J27-15)*X21+0.0011)</f>
        <v>0.85385</v>
      </c>
    </row>
    <row r="22" spans="1:25">
      <c r="A22" s="392"/>
      <c r="B22" s="407"/>
      <c r="C22" s="84"/>
      <c r="D22" s="408"/>
      <c r="E22" s="409"/>
      <c r="F22" s="84"/>
      <c r="G22" s="84"/>
      <c r="H22" s="2"/>
      <c r="I22" s="2"/>
      <c r="J22" s="46"/>
      <c r="K22" s="46"/>
      <c r="L22" s="46"/>
      <c r="M22" s="46"/>
      <c r="N22" s="46"/>
      <c r="O22" s="46"/>
      <c r="R22" s="206"/>
      <c r="S22" s="206"/>
      <c r="T22" s="206"/>
      <c r="U22" s="206"/>
      <c r="V22" s="206"/>
      <c r="W22" s="206"/>
    </row>
    <row r="23" spans="1:25">
      <c r="A23" s="391" t="str">
        <f>Bunkering!B11</f>
        <v>NO.1 HFO TANK (P)</v>
      </c>
      <c r="B23" s="388">
        <f>Bunkering!H11</f>
        <v>1830</v>
      </c>
      <c r="C23" s="85">
        <f>Bunkering!I11</f>
        <v>247.667</v>
      </c>
      <c r="D23" s="389">
        <f>Bunkering!J11</f>
        <v>40</v>
      </c>
      <c r="E23" s="390">
        <f>Bunkering!M11</f>
        <v>0.9496</v>
      </c>
      <c r="F23" s="85">
        <f>C23*W23</f>
        <v>243.184</v>
      </c>
      <c r="G23" s="85">
        <f>C23*E23</f>
        <v>235.185</v>
      </c>
      <c r="H23" s="2">
        <f>E23-0.0011</f>
        <v>0.94850000000000001</v>
      </c>
      <c r="I23" s="2">
        <f>(0.984354*E23)-0.0012049</f>
        <v>0.93353765840000003</v>
      </c>
      <c r="J23" s="46">
        <f>ROUND(1000*(E23),2)</f>
        <v>949.6</v>
      </c>
      <c r="K23" s="46">
        <f>ROUND((186.9696/J23^2)+(0.4862/J23),7)</f>
        <v>7.1929999999999997E-4</v>
      </c>
      <c r="L23" s="46">
        <f>ROUND((594.5418/J23^2)+(0/J23),7)</f>
        <v>6.5930000000000003E-4</v>
      </c>
      <c r="M23" s="46">
        <f>ROUND(-0.00336312+2680.3206/J23^2,7)</f>
        <v>-3.9070000000000001E-4</v>
      </c>
      <c r="N23" s="46">
        <f>ROUND((346.4228/J23^2)+(0.4388/J23),7)</f>
        <v>8.4630000000000003E-4</v>
      </c>
      <c r="O23" s="46">
        <f>ROUND((330.301/J23^2)+(0/J23),7)</f>
        <v>3.6630000000000001E-4</v>
      </c>
      <c r="P23" s="46">
        <f>ROUND(Bunkering!J11-15,2)</f>
        <v>25</v>
      </c>
      <c r="Q23" s="46">
        <f>IF(Bunkering!T11=3,(IF(Bunkering!L11&lt;0.7705,N5,IF(Bunkering!L11&lt;0.7875,M5,IF(Bunkering!L11&lt;0.839,L5,IF(Bunkering!L11&lt;1.075,K5,O5))))),(IF(Bunkering!AB11&lt;0.7705,N5,IF(Bunkering!AB11&lt;0.7875,M5,IF(Bunkering!AB11&lt;0.839,L5,IF(Bunkering!AB11&lt;1.075,K5,O5))))))</f>
        <v>7.1929999999999997E-4</v>
      </c>
      <c r="R23" s="206">
        <f>ROUND(Q23*P23,8)</f>
        <v>1.7982499999999998E-2</v>
      </c>
      <c r="S23" s="206">
        <f>ROUND(+Q23*+P23*0.8,8)</f>
        <v>1.4385999999999999E-2</v>
      </c>
      <c r="T23" s="206">
        <f>ROUND(+(Q23^2)*+(P23^2)*0.8,9)</f>
        <v>2.5869599999999999E-4</v>
      </c>
      <c r="U23" s="206">
        <f>ROUND(-+R23-+T23,8)</f>
        <v>-1.8241199999999999E-2</v>
      </c>
      <c r="V23" s="206">
        <f>EXP(U23)</f>
        <v>0.98192416368480595</v>
      </c>
      <c r="W23" s="206">
        <f>ROUND(V23,4)</f>
        <v>0.9819</v>
      </c>
      <c r="X23" s="46">
        <f>IF(AND(Bunkering!AA11&gt;0.81-0.001,Bunkering!AA11&lt;0.827+0.001),0.00068,IF(AND(Bunkering!AA11&gt;0.828-0.001,Bunkering!AA11&lt;0.838+0.001),0.00067,IF(AND(Bunkering!AA11&gt;0.839-0.001,Bunkering!AA11&lt;0.853+0.001),0.00066,IF(AND(Bunkering!AA11&gt;0.854-0.001,Bunkering!AA11&lt;0.871+0.001),0.00065,IF(AND(Bunkering!AA11&gt;0.872-0.001,Bunkering!AA11&lt;0.911+0.001),0.00064,IF(AND(Bunkering!AA11&gt;0.912-0.001,Bunkering!AA11&lt;0.978+0.001),0.00063,IF(AND(Bunkering!AA11&gt;0.979-0.001,Bunkering!AA11&lt;1.03+0.001),0.00062,"")))))))</f>
        <v>6.3000000000000003E-4</v>
      </c>
      <c r="Y23" s="46">
        <f>(Bunkering!AA11-((Bunkering!J11-15)*X5+0.0011))</f>
        <v>0.93274999999999997</v>
      </c>
    </row>
    <row r="24" spans="1:25">
      <c r="A24" s="391" t="str">
        <f>Bunkering!B12</f>
        <v>NO.1 HFO TANK (S)</v>
      </c>
      <c r="B24" s="388">
        <f>Bunkering!H12</f>
        <v>1100</v>
      </c>
      <c r="C24" s="85">
        <f>Bunkering!I12</f>
        <v>361.80700000000002</v>
      </c>
      <c r="D24" s="389">
        <f>Bunkering!J12</f>
        <v>40</v>
      </c>
      <c r="E24" s="390">
        <f>Bunkering!M12</f>
        <v>0.9496</v>
      </c>
      <c r="F24" s="85">
        <f t="shared" ref="F24:F39" si="16">C24*W24</f>
        <v>355.25799999999998</v>
      </c>
      <c r="G24" s="85">
        <f t="shared" ref="G24:G39" si="17">C24*E24</f>
        <v>343.572</v>
      </c>
      <c r="H24" s="2">
        <f t="shared" ref="H24:H39" si="18">E24-0.0011</f>
        <v>0.94850000000000001</v>
      </c>
      <c r="I24" s="2">
        <f t="shared" ref="I24:I39" si="19">(0.984354*E24)-0.0012049</f>
        <v>0.93353765840000003</v>
      </c>
      <c r="J24" s="46">
        <f t="shared" ref="J24:J39" si="20">ROUND(1000*(E24),2)</f>
        <v>949.6</v>
      </c>
      <c r="K24" s="46">
        <f t="shared" ref="K24:K39" si="21">ROUND((186.9696/J24^2)+(0.4862/J24),7)</f>
        <v>7.1929999999999997E-4</v>
      </c>
      <c r="L24" s="46">
        <f t="shared" ref="L24:L39" si="22">ROUND((594.5418/J24^2)+(0/J24),7)</f>
        <v>6.5930000000000003E-4</v>
      </c>
      <c r="M24" s="46">
        <f t="shared" ref="M24:M39" si="23">ROUND(-0.00336312+2680.3206/J24^2,7)</f>
        <v>-3.9070000000000001E-4</v>
      </c>
      <c r="N24" s="46">
        <f t="shared" ref="N24:N39" si="24">ROUND((346.4228/J24^2)+(0.4388/J24),7)</f>
        <v>8.4630000000000003E-4</v>
      </c>
      <c r="O24" s="46">
        <f t="shared" ref="O24:O39" si="25">ROUND((330.301/J24^2)+(0/J24),7)</f>
        <v>3.6630000000000001E-4</v>
      </c>
      <c r="P24" s="46">
        <f>ROUND(Bunkering!J12-15,2)</f>
        <v>25</v>
      </c>
      <c r="Q24" s="46">
        <f>IF(Bunkering!T12=3,(IF(Bunkering!L12&lt;0.7705,N6,IF(Bunkering!L12&lt;0.7875,M6,IF(Bunkering!L12&lt;0.839,L6,IF(Bunkering!L12&lt;1.075,K6,O6))))),(IF(Bunkering!AB12&lt;0.7705,N6,IF(Bunkering!AB12&lt;0.7875,M6,IF(Bunkering!AB12&lt;0.839,L6,IF(Bunkering!AB12&lt;1.075,K6,O6))))))</f>
        <v>7.1929999999999997E-4</v>
      </c>
      <c r="R24" s="206">
        <f t="shared" ref="R24:R39" si="26">ROUND(Q24*P24,8)</f>
        <v>1.7982499999999998E-2</v>
      </c>
      <c r="S24" s="206">
        <f t="shared" ref="S24:S39" si="27">ROUND(+Q24*+P24*0.8,8)</f>
        <v>1.4385999999999999E-2</v>
      </c>
      <c r="T24" s="206">
        <f t="shared" ref="T24:T39" si="28">ROUND(+(Q24^2)*+(P24^2)*0.8,9)</f>
        <v>2.5869599999999999E-4</v>
      </c>
      <c r="U24" s="206">
        <f t="shared" ref="U24:U39" si="29">ROUND(-+R24-+T24,8)</f>
        <v>-1.8241199999999999E-2</v>
      </c>
      <c r="V24" s="206">
        <f t="shared" ref="V24:V39" si="30">EXP(U24)</f>
        <v>0.98192416368480595</v>
      </c>
      <c r="W24" s="206">
        <f t="shared" ref="W24:W39" si="31">ROUND(V24,4)</f>
        <v>0.9819</v>
      </c>
      <c r="X24" s="46">
        <f>IF(AND(Bunkering!AA12&gt;0.81-0.001,Bunkering!AA12&lt;0.827+0.001),0.00068,IF(AND(Bunkering!AA12&gt;0.828-0.001,Bunkering!AA12&lt;0.838+0.001),0.00067,IF(AND(Bunkering!AA12&gt;0.839-0.001,Bunkering!AA12&lt;0.853+0.001),0.00066,IF(AND(Bunkering!AA12&gt;0.854-0.001,Bunkering!AA12&lt;0.871+0.001),0.00065,IF(AND(Bunkering!AA12&gt;0.872-0.001,Bunkering!AA12&lt;0.911+0.001),0.00064,IF(AND(Bunkering!AA12&gt;0.912-0.001,Bunkering!AA12&lt;0.978+0.001),0.00063,IF(AND(Bunkering!AA12&gt;0.979-0.001,Bunkering!AA12&lt;1.03+0.001),0.00062,"")))))))</f>
        <v>6.3000000000000003E-4</v>
      </c>
      <c r="Y24" s="46">
        <f>(Bunkering!AA12-((Bunkering!J12-15)*X6+0.0011))</f>
        <v>0.93274999999999997</v>
      </c>
    </row>
    <row r="25" spans="1:25">
      <c r="A25" s="391" t="str">
        <f>Bunkering!B13</f>
        <v>NO.2 HFO TANK (P)</v>
      </c>
      <c r="B25" s="388">
        <f>Bunkering!H13</f>
        <v>0</v>
      </c>
      <c r="C25" s="85">
        <f>Bunkering!I13</f>
        <v>0.96499999999999997</v>
      </c>
      <c r="D25" s="389">
        <f>Bunkering!J13</f>
        <v>36</v>
      </c>
      <c r="E25" s="390">
        <f>Bunkering!M13</f>
        <v>0.98299999999999998</v>
      </c>
      <c r="F25" s="85">
        <f t="shared" si="16"/>
        <v>0.95099999999999996</v>
      </c>
      <c r="G25" s="85">
        <f t="shared" si="17"/>
        <v>0.94899999999999995</v>
      </c>
      <c r="H25" s="2">
        <f t="shared" si="18"/>
        <v>0.9819</v>
      </c>
      <c r="I25" s="2">
        <f t="shared" si="19"/>
        <v>0.96641508200000004</v>
      </c>
      <c r="J25" s="46">
        <f t="shared" si="20"/>
        <v>983</v>
      </c>
      <c r="K25" s="46">
        <f t="shared" si="21"/>
        <v>6.8809999999999997E-4</v>
      </c>
      <c r="L25" s="46">
        <f t="shared" si="22"/>
        <v>6.1530000000000005E-4</v>
      </c>
      <c r="M25" s="46">
        <f t="shared" si="23"/>
        <v>-5.8929999999999996E-4</v>
      </c>
      <c r="N25" s="46">
        <f t="shared" si="24"/>
        <v>8.0489999999999999E-4</v>
      </c>
      <c r="O25" s="46">
        <f t="shared" si="25"/>
        <v>3.4180000000000001E-4</v>
      </c>
      <c r="P25" s="46">
        <f>ROUND(Bunkering!J13-15,2)</f>
        <v>21</v>
      </c>
      <c r="Q25" s="46">
        <f>IF(Bunkering!T13=3,(IF(Bunkering!L13&lt;0.7705,N7,IF(Bunkering!L13&lt;0.7875,M7,IF(Bunkering!L13&lt;0.839,L7,IF(Bunkering!L13&lt;1.075,K7,O7))))),(IF(Bunkering!AB13&lt;0.7705,N7,IF(Bunkering!AB13&lt;0.7875,M7,IF(Bunkering!AB13&lt;0.839,L7,IF(Bunkering!AB13&lt;1.075,K7,O7))))))</f>
        <v>6.8809999999999997E-4</v>
      </c>
      <c r="R25" s="206">
        <f t="shared" si="26"/>
        <v>1.44501E-2</v>
      </c>
      <c r="S25" s="206">
        <f t="shared" si="27"/>
        <v>1.156008E-2</v>
      </c>
      <c r="T25" s="206">
        <f t="shared" si="28"/>
        <v>1.6704400000000001E-4</v>
      </c>
      <c r="U25" s="206">
        <f t="shared" si="29"/>
        <v>-1.4617140000000001E-2</v>
      </c>
      <c r="V25" s="206">
        <f t="shared" si="30"/>
        <v>0.98548917176920503</v>
      </c>
      <c r="W25" s="206">
        <f t="shared" si="31"/>
        <v>0.98550000000000004</v>
      </c>
      <c r="X25" s="46">
        <f>IF(AND(Bunkering!AA13&gt;0.81-0.001,Bunkering!AA13&lt;0.827+0.001),0.00068,IF(AND(Bunkering!AA13&gt;0.828-0.001,Bunkering!AA13&lt;0.838+0.001),0.00067,IF(AND(Bunkering!AA13&gt;0.839-0.001,Bunkering!AA13&lt;0.853+0.001),0.00066,IF(AND(Bunkering!AA13&gt;0.854-0.001,Bunkering!AA13&lt;0.871+0.001),0.00065,IF(AND(Bunkering!AA13&gt;0.872-0.001,Bunkering!AA13&lt;0.911+0.001),0.00064,IF(AND(Bunkering!AA13&gt;0.912-0.001,Bunkering!AA13&lt;0.978+0.001),0.00063,IF(AND(Bunkering!AA13&gt;0.979-0.001,Bunkering!AA13&lt;1.03+0.001),0.00062,"")))))))</f>
        <v>6.2E-4</v>
      </c>
      <c r="Y25" s="46">
        <f>(Bunkering!AA13-((Bunkering!J13-15)*X7+0.0011))</f>
        <v>0.96887999999999996</v>
      </c>
    </row>
    <row r="26" spans="1:25" ht="15" customHeight="1">
      <c r="A26" s="391" t="str">
        <f>Bunkering!B14</f>
        <v>NO.2 HFO TANK (S)</v>
      </c>
      <c r="B26" s="388">
        <f>Bunkering!H14</f>
        <v>90</v>
      </c>
      <c r="C26" s="85">
        <f>Bunkering!I14</f>
        <v>2.0369999999999999</v>
      </c>
      <c r="D26" s="389">
        <f>Bunkering!J14</f>
        <v>34</v>
      </c>
      <c r="E26" s="390">
        <f>Bunkering!M14</f>
        <v>0.98299999999999998</v>
      </c>
      <c r="F26" s="85">
        <f t="shared" si="16"/>
        <v>2.0099999999999998</v>
      </c>
      <c r="G26" s="85">
        <f t="shared" si="17"/>
        <v>2.0019999999999998</v>
      </c>
      <c r="H26" s="2">
        <f t="shared" si="18"/>
        <v>0.9819</v>
      </c>
      <c r="I26" s="2">
        <f t="shared" si="19"/>
        <v>0.96641508200000004</v>
      </c>
      <c r="J26" s="46">
        <f t="shared" si="20"/>
        <v>983</v>
      </c>
      <c r="K26" s="46">
        <f t="shared" si="21"/>
        <v>6.8809999999999997E-4</v>
      </c>
      <c r="L26" s="46">
        <f t="shared" si="22"/>
        <v>6.1530000000000005E-4</v>
      </c>
      <c r="M26" s="46">
        <f t="shared" si="23"/>
        <v>-5.8929999999999996E-4</v>
      </c>
      <c r="N26" s="46">
        <f t="shared" si="24"/>
        <v>8.0489999999999999E-4</v>
      </c>
      <c r="O26" s="46">
        <f t="shared" si="25"/>
        <v>3.4180000000000001E-4</v>
      </c>
      <c r="P26" s="46">
        <f>ROUND(Bunkering!J14-15,2)</f>
        <v>19</v>
      </c>
      <c r="Q26" s="46">
        <f>IF(Bunkering!T14=3,(IF(Bunkering!L14&lt;0.7705,N8,IF(Bunkering!L14&lt;0.7875,M8,IF(Bunkering!L14&lt;0.839,L8,IF(Bunkering!L14&lt;1.075,K8,O8))))),(IF(Bunkering!AB14&lt;0.7705,N8,IF(Bunkering!AB14&lt;0.7875,M8,IF(Bunkering!AB14&lt;0.839,L8,IF(Bunkering!AB14&lt;1.075,K8,O8))))))</f>
        <v>6.8809999999999997E-4</v>
      </c>
      <c r="R26" s="206">
        <f t="shared" si="26"/>
        <v>1.3073899999999999E-2</v>
      </c>
      <c r="S26" s="206">
        <f t="shared" si="27"/>
        <v>1.0459120000000001E-2</v>
      </c>
      <c r="T26" s="206">
        <f t="shared" si="28"/>
        <v>1.3674100000000001E-4</v>
      </c>
      <c r="U26" s="206">
        <f t="shared" si="29"/>
        <v>-1.3210639999999999E-2</v>
      </c>
      <c r="V26" s="206">
        <f t="shared" si="30"/>
        <v>0.98687623751462095</v>
      </c>
      <c r="W26" s="206">
        <f t="shared" si="31"/>
        <v>0.9869</v>
      </c>
      <c r="X26" s="46">
        <f>IF(AND(Bunkering!AA14&gt;0.81-0.001,Bunkering!AA14&lt;0.827+0.001),0.00068,IF(AND(Bunkering!AA14&gt;0.828-0.001,Bunkering!AA14&lt;0.838+0.001),0.00067,IF(AND(Bunkering!AA14&gt;0.839-0.001,Bunkering!AA14&lt;0.853+0.001),0.00066,IF(AND(Bunkering!AA14&gt;0.854-0.001,Bunkering!AA14&lt;0.871+0.001),0.00065,IF(AND(Bunkering!AA14&gt;0.872-0.001,Bunkering!AA14&lt;0.911+0.001),0.00064,IF(AND(Bunkering!AA14&gt;0.912-0.001,Bunkering!AA14&lt;0.978+0.001),0.00063,IF(AND(Bunkering!AA14&gt;0.979-0.001,Bunkering!AA14&lt;1.03+0.001),0.00062,"")))))))</f>
        <v>6.2E-4</v>
      </c>
      <c r="Y26" s="46">
        <f>(Bunkering!AA14-((Bunkering!J14-15)*X8+0.0011))</f>
        <v>0.97011999999999998</v>
      </c>
    </row>
    <row r="27" spans="1:25">
      <c r="A27" s="391" t="str">
        <f>Bunkering!B15</f>
        <v>NO.3 HFO TANK (P)</v>
      </c>
      <c r="B27" s="388">
        <f>Bunkering!H15</f>
        <v>90</v>
      </c>
      <c r="C27" s="85">
        <f>Bunkering!I15</f>
        <v>1.1850000000000001</v>
      </c>
      <c r="D27" s="389">
        <f>Bunkering!J15</f>
        <v>42</v>
      </c>
      <c r="E27" s="390">
        <f>Bunkering!M15</f>
        <v>0.98299999999999998</v>
      </c>
      <c r="F27" s="85">
        <f t="shared" si="16"/>
        <v>1.163</v>
      </c>
      <c r="G27" s="85">
        <f t="shared" si="17"/>
        <v>1.165</v>
      </c>
      <c r="H27" s="2">
        <f t="shared" si="18"/>
        <v>0.9819</v>
      </c>
      <c r="I27" s="2">
        <f t="shared" si="19"/>
        <v>0.96641508200000004</v>
      </c>
      <c r="J27" s="46">
        <f t="shared" si="20"/>
        <v>983</v>
      </c>
      <c r="K27" s="46">
        <f t="shared" si="21"/>
        <v>6.8809999999999997E-4</v>
      </c>
      <c r="L27" s="46">
        <f t="shared" si="22"/>
        <v>6.1530000000000005E-4</v>
      </c>
      <c r="M27" s="46">
        <f t="shared" si="23"/>
        <v>-5.8929999999999996E-4</v>
      </c>
      <c r="N27" s="46">
        <f t="shared" si="24"/>
        <v>8.0489999999999999E-4</v>
      </c>
      <c r="O27" s="46">
        <f t="shared" si="25"/>
        <v>3.4180000000000001E-4</v>
      </c>
      <c r="P27" s="46">
        <f>ROUND(Bunkering!J15-15,2)</f>
        <v>27</v>
      </c>
      <c r="Q27" s="46">
        <f>IF(Bunkering!T15=3,(IF(Bunkering!L15&lt;0.7705,N9,IF(Bunkering!L15&lt;0.7875,M9,IF(Bunkering!L15&lt;0.839,L9,IF(Bunkering!L15&lt;1.075,K9,O9))))),(IF(Bunkering!AB15&lt;0.7705,N9,IF(Bunkering!AB15&lt;0.7875,M9,IF(Bunkering!AB15&lt;0.839,L9,IF(Bunkering!AB15&lt;1.075,K9,O9))))))</f>
        <v>6.8809999999999997E-4</v>
      </c>
      <c r="R27" s="206">
        <f t="shared" si="26"/>
        <v>1.85787E-2</v>
      </c>
      <c r="S27" s="206">
        <f t="shared" si="27"/>
        <v>1.486296E-2</v>
      </c>
      <c r="T27" s="206">
        <f t="shared" si="28"/>
        <v>2.7613399999999998E-4</v>
      </c>
      <c r="U27" s="206">
        <f t="shared" si="29"/>
        <v>-1.885483E-2</v>
      </c>
      <c r="V27" s="206">
        <f t="shared" si="30"/>
        <v>0.98132181039017097</v>
      </c>
      <c r="W27" s="206">
        <f t="shared" si="31"/>
        <v>0.98129999999999995</v>
      </c>
      <c r="X27" s="46">
        <f>IF(AND(Bunkering!AA15&gt;0.81-0.001,Bunkering!AA15&lt;0.827+0.001),0.00068,IF(AND(Bunkering!AA15&gt;0.828-0.001,Bunkering!AA15&lt;0.838+0.001),0.00067,IF(AND(Bunkering!AA15&gt;0.839-0.001,Bunkering!AA15&lt;0.853+0.001),0.00066,IF(AND(Bunkering!AA15&gt;0.854-0.001,Bunkering!AA15&lt;0.871+0.001),0.00065,IF(AND(Bunkering!AA15&gt;0.872-0.001,Bunkering!AA15&lt;0.911+0.001),0.00064,IF(AND(Bunkering!AA15&gt;0.912-0.001,Bunkering!AA15&lt;0.978+0.001),0.00063,IF(AND(Bunkering!AA15&gt;0.979-0.001,Bunkering!AA15&lt;1.03+0.001),0.00062,"")))))))</f>
        <v>6.2E-4</v>
      </c>
      <c r="Y27" s="46">
        <f>(Bunkering!AA15-((Bunkering!J15-15)*X9+0.0011))</f>
        <v>0.96516000000000002</v>
      </c>
    </row>
    <row r="28" spans="1:25">
      <c r="A28" s="391" t="str">
        <f>Bunkering!B16</f>
        <v>NO.3 HFO TANK (S)</v>
      </c>
      <c r="B28" s="388">
        <f>Bunkering!H16</f>
        <v>10230</v>
      </c>
      <c r="C28" s="85">
        <f>Bunkering!I16</f>
        <v>38.232999999999997</v>
      </c>
      <c r="D28" s="389">
        <f>Bunkering!J16</f>
        <v>39</v>
      </c>
      <c r="E28" s="390">
        <f>Bunkering!M16</f>
        <v>0.98299999999999998</v>
      </c>
      <c r="F28" s="85">
        <f t="shared" si="16"/>
        <v>37.597999999999999</v>
      </c>
      <c r="G28" s="85">
        <f t="shared" si="17"/>
        <v>37.582999999999998</v>
      </c>
      <c r="H28" s="2">
        <f t="shared" si="18"/>
        <v>0.9819</v>
      </c>
      <c r="I28" s="2">
        <f t="shared" si="19"/>
        <v>0.96641508200000004</v>
      </c>
      <c r="J28" s="46">
        <f t="shared" si="20"/>
        <v>983</v>
      </c>
      <c r="K28" s="46">
        <f t="shared" si="21"/>
        <v>6.8809999999999997E-4</v>
      </c>
      <c r="L28" s="46">
        <f t="shared" si="22"/>
        <v>6.1530000000000005E-4</v>
      </c>
      <c r="M28" s="46">
        <f t="shared" si="23"/>
        <v>-5.8929999999999996E-4</v>
      </c>
      <c r="N28" s="46">
        <f t="shared" si="24"/>
        <v>8.0489999999999999E-4</v>
      </c>
      <c r="O28" s="46">
        <f t="shared" si="25"/>
        <v>3.4180000000000001E-4</v>
      </c>
      <c r="P28" s="46">
        <f>ROUND(Bunkering!J16-15,2)</f>
        <v>24</v>
      </c>
      <c r="Q28" s="46">
        <f>IF(Bunkering!T16=3,(IF(Bunkering!L16&lt;0.7705,N10,IF(Bunkering!L16&lt;0.7875,M10,IF(Bunkering!L16&lt;0.839,L10,IF(Bunkering!L16&lt;1.075,K10,O10))))),(IF(Bunkering!AB16&lt;0.7705,N10,IF(Bunkering!AB16&lt;0.7875,M10,IF(Bunkering!AB16&lt;0.839,L10,IF(Bunkering!AB16&lt;1.075,K10,O10))))))</f>
        <v>6.8809999999999997E-4</v>
      </c>
      <c r="R28" s="206">
        <f t="shared" si="26"/>
        <v>1.6514399999999999E-2</v>
      </c>
      <c r="S28" s="206">
        <f t="shared" si="27"/>
        <v>1.3211519999999999E-2</v>
      </c>
      <c r="T28" s="206">
        <f t="shared" si="28"/>
        <v>2.1818E-4</v>
      </c>
      <c r="U28" s="206">
        <f t="shared" si="29"/>
        <v>-1.673258E-2</v>
      </c>
      <c r="V28" s="206">
        <f t="shared" si="30"/>
        <v>0.98340663207618995</v>
      </c>
      <c r="W28" s="206">
        <f t="shared" si="31"/>
        <v>0.98340000000000005</v>
      </c>
      <c r="X28" s="46">
        <f>IF(AND(Bunkering!AA16&gt;0.81-0.001,Bunkering!AA16&lt;0.827+0.001),0.00068,IF(AND(Bunkering!AA16&gt;0.828-0.001,Bunkering!AA16&lt;0.838+0.001),0.00067,IF(AND(Bunkering!AA16&gt;0.839-0.001,Bunkering!AA16&lt;0.853+0.001),0.00066,IF(AND(Bunkering!AA16&gt;0.854-0.001,Bunkering!AA16&lt;0.871+0.001),0.00065,IF(AND(Bunkering!AA16&gt;0.872-0.001,Bunkering!AA16&lt;0.911+0.001),0.00064,IF(AND(Bunkering!AA16&gt;0.912-0.001,Bunkering!AA16&lt;0.978+0.001),0.00063,IF(AND(Bunkering!AA16&gt;0.979-0.001,Bunkering!AA16&lt;1.03+0.001),0.00062,"")))))))</f>
        <v>6.2E-4</v>
      </c>
      <c r="Y28" s="46">
        <f>(Bunkering!AA16-((Bunkering!J16-15)*X10+0.0011))</f>
        <v>0.96701999999999999</v>
      </c>
    </row>
    <row r="29" spans="1:25">
      <c r="A29" s="391" t="str">
        <f>Bunkering!B17</f>
        <v>HFO SETTLING TK</v>
      </c>
      <c r="B29" s="388">
        <f>Bunkering!H17</f>
        <v>9830</v>
      </c>
      <c r="C29" s="85">
        <f>Bunkering!I17</f>
        <v>6.5279999999999996</v>
      </c>
      <c r="D29" s="389">
        <f>Bunkering!J17</f>
        <v>60</v>
      </c>
      <c r="E29" s="390">
        <f>Bunkering!M17</f>
        <v>0.95569999999999999</v>
      </c>
      <c r="F29" s="85">
        <f t="shared" si="16"/>
        <v>6.3159999999999998</v>
      </c>
      <c r="G29" s="85">
        <f t="shared" si="17"/>
        <v>6.2389999999999999</v>
      </c>
      <c r="H29" s="2">
        <f t="shared" si="18"/>
        <v>0.9546</v>
      </c>
      <c r="I29" s="2">
        <f t="shared" si="19"/>
        <v>0.93954221780000002</v>
      </c>
      <c r="J29" s="46">
        <f t="shared" si="20"/>
        <v>955.7</v>
      </c>
      <c r="K29" s="46">
        <f t="shared" si="21"/>
        <v>7.1339999999999999E-4</v>
      </c>
      <c r="L29" s="46">
        <f t="shared" si="22"/>
        <v>6.5090000000000005E-4</v>
      </c>
      <c r="M29" s="46">
        <f t="shared" si="23"/>
        <v>-4.2860000000000001E-4</v>
      </c>
      <c r="N29" s="46">
        <f t="shared" si="24"/>
        <v>8.384E-4</v>
      </c>
      <c r="O29" s="46">
        <f t="shared" si="25"/>
        <v>3.6160000000000001E-4</v>
      </c>
      <c r="P29" s="46">
        <f>ROUND(Bunkering!J17-15,2)</f>
        <v>45</v>
      </c>
      <c r="Q29" s="46">
        <f>IF(Bunkering!T17=3,(IF(Bunkering!L17&lt;0.7705,N11,IF(Bunkering!L17&lt;0.7875,M11,IF(Bunkering!L17&lt;0.839,L11,IF(Bunkering!L17&lt;1.075,K11,O11))))),(IF(Bunkering!AB17&lt;0.7705,N11,IF(Bunkering!AB17&lt;0.7875,M11,IF(Bunkering!AB17&lt;0.839,L11,IF(Bunkering!AB17&lt;1.075,K11,O11))))))</f>
        <v>7.1339999999999999E-4</v>
      </c>
      <c r="R29" s="206">
        <f t="shared" si="26"/>
        <v>3.2103E-2</v>
      </c>
      <c r="S29" s="206">
        <f t="shared" si="27"/>
        <v>2.5682400000000001E-2</v>
      </c>
      <c r="T29" s="206">
        <f t="shared" si="28"/>
        <v>8.2448199999999997E-4</v>
      </c>
      <c r="U29" s="206">
        <f t="shared" si="29"/>
        <v>-3.2927480000000002E-2</v>
      </c>
      <c r="V29" s="206">
        <f t="shared" si="30"/>
        <v>0.96760872802965003</v>
      </c>
      <c r="W29" s="206">
        <f t="shared" si="31"/>
        <v>0.96760000000000002</v>
      </c>
      <c r="X29" s="46">
        <f>IF(AND(Bunkering!AA17&gt;0.81-0.001,Bunkering!AA17&lt;0.827+0.001),0.00068,IF(AND(Bunkering!AA17&gt;0.828-0.001,Bunkering!AA17&lt;0.838+0.001),0.00067,IF(AND(Bunkering!AA17&gt;0.839-0.001,Bunkering!AA17&lt;0.853+0.001),0.00066,IF(AND(Bunkering!AA17&gt;0.854-0.001,Bunkering!AA17&lt;0.871+0.001),0.00065,IF(AND(Bunkering!AA17&gt;0.872-0.001,Bunkering!AA17&lt;0.911+0.001),0.00064,IF(AND(Bunkering!AA17&gt;0.912-0.001,Bunkering!AA17&lt;0.978+0.001),0.00063,IF(AND(Bunkering!AA17&gt;0.979-0.001,Bunkering!AA17&lt;1.03+0.001),0.00062,"")))))))</f>
        <v>6.3000000000000003E-4</v>
      </c>
      <c r="Y29" s="46">
        <f>(Bunkering!AA17-((Bunkering!J17-15)*X11+0.0011))</f>
        <v>0.92625000000000002</v>
      </c>
    </row>
    <row r="30" spans="1:25">
      <c r="A30" s="391" t="str">
        <f>Bunkering!B18</f>
        <v>HFO SERVICE TK</v>
      </c>
      <c r="B30" s="388">
        <f>Bunkering!H18</f>
        <v>2100</v>
      </c>
      <c r="C30" s="85">
        <f>Bunkering!I18</f>
        <v>48.014000000000003</v>
      </c>
      <c r="D30" s="389">
        <f>Bunkering!J18</f>
        <v>67</v>
      </c>
      <c r="E30" s="390">
        <f>Bunkering!M18</f>
        <v>0.95569999999999999</v>
      </c>
      <c r="F30" s="85">
        <f t="shared" si="16"/>
        <v>46.213000000000001</v>
      </c>
      <c r="G30" s="85">
        <f t="shared" si="17"/>
        <v>45.887</v>
      </c>
      <c r="H30" s="2">
        <f t="shared" si="18"/>
        <v>0.9546</v>
      </c>
      <c r="I30" s="2">
        <f t="shared" si="19"/>
        <v>0.93954221780000002</v>
      </c>
      <c r="J30" s="46">
        <f t="shared" si="20"/>
        <v>955.7</v>
      </c>
      <c r="K30" s="46">
        <f t="shared" si="21"/>
        <v>7.1339999999999999E-4</v>
      </c>
      <c r="L30" s="46">
        <f t="shared" si="22"/>
        <v>6.5090000000000005E-4</v>
      </c>
      <c r="M30" s="46">
        <f t="shared" si="23"/>
        <v>-4.2860000000000001E-4</v>
      </c>
      <c r="N30" s="46">
        <f t="shared" si="24"/>
        <v>8.384E-4</v>
      </c>
      <c r="O30" s="46">
        <f t="shared" si="25"/>
        <v>3.6160000000000001E-4</v>
      </c>
      <c r="P30" s="46">
        <f>ROUND(Bunkering!J18-15,2)</f>
        <v>52</v>
      </c>
      <c r="Q30" s="46">
        <f>IF(Bunkering!T18=3,(IF(Bunkering!L18&lt;0.7705,N12,IF(Bunkering!L18&lt;0.7875,M12,IF(Bunkering!L18&lt;0.839,L12,IF(Bunkering!L18&lt;1.075,K12,O12))))),(IF(Bunkering!AB18&lt;0.7705,N12,IF(Bunkering!AB18&lt;0.7875,M12,IF(Bunkering!AB18&lt;0.839,L12,IF(Bunkering!AB18&lt;1.075,K12,O12))))))</f>
        <v>7.1339999999999999E-4</v>
      </c>
      <c r="R30" s="206">
        <f t="shared" si="26"/>
        <v>3.7096799999999999E-2</v>
      </c>
      <c r="S30" s="206">
        <f t="shared" si="27"/>
        <v>2.9677439999999999E-2</v>
      </c>
      <c r="T30" s="206">
        <f t="shared" si="28"/>
        <v>1.1009380000000001E-3</v>
      </c>
      <c r="U30" s="206">
        <f t="shared" si="29"/>
        <v>-3.8197740000000001E-2</v>
      </c>
      <c r="V30" s="206">
        <f t="shared" si="30"/>
        <v>0.96252259285459796</v>
      </c>
      <c r="W30" s="206">
        <f t="shared" si="31"/>
        <v>0.96250000000000002</v>
      </c>
      <c r="X30" s="46">
        <f>IF(AND(Bunkering!AA18&gt;0.81-0.001,Bunkering!AA18&lt;0.827+0.001),0.00068,IF(AND(Bunkering!AA18&gt;0.828-0.001,Bunkering!AA18&lt;0.838+0.001),0.00067,IF(AND(Bunkering!AA18&gt;0.839-0.001,Bunkering!AA18&lt;0.853+0.001),0.00066,IF(AND(Bunkering!AA18&gt;0.854-0.001,Bunkering!AA18&lt;0.871+0.001),0.00065,IF(AND(Bunkering!AA18&gt;0.872-0.001,Bunkering!AA18&lt;0.911+0.001),0.00064,IF(AND(Bunkering!AA18&gt;0.912-0.001,Bunkering!AA18&lt;0.978+0.001),0.00063,IF(AND(Bunkering!AA18&gt;0.979-0.001,Bunkering!AA18&lt;1.03+0.001),0.00062,"")))))))</f>
        <v>6.3000000000000003E-4</v>
      </c>
      <c r="Y30" s="46">
        <f>(Bunkering!AA18-((Bunkering!J18-15)*X12+0.0011))</f>
        <v>0.92183999999999999</v>
      </c>
    </row>
    <row r="31" spans="1:25">
      <c r="A31" s="391" t="str">
        <f>Bunkering!B19</f>
        <v>LS HFO SERVICE TK</v>
      </c>
      <c r="B31" s="388">
        <f>Bunkering!H19</f>
        <v>1780</v>
      </c>
      <c r="C31" s="85">
        <f>Bunkering!I19</f>
        <v>49.871000000000002</v>
      </c>
      <c r="D31" s="389">
        <f>Bunkering!J19</f>
        <v>85</v>
      </c>
      <c r="E31" s="390">
        <f>Bunkering!M19</f>
        <v>0.98299999999999998</v>
      </c>
      <c r="F31" s="85">
        <f t="shared" si="16"/>
        <v>47.436999999999998</v>
      </c>
      <c r="G31" s="85">
        <f t="shared" si="17"/>
        <v>49.023000000000003</v>
      </c>
      <c r="H31" s="2">
        <f t="shared" si="18"/>
        <v>0.9819</v>
      </c>
      <c r="I31" s="2">
        <f t="shared" si="19"/>
        <v>0.96641508200000004</v>
      </c>
      <c r="J31" s="46">
        <f t="shared" si="20"/>
        <v>983</v>
      </c>
      <c r="K31" s="46">
        <f t="shared" si="21"/>
        <v>6.8809999999999997E-4</v>
      </c>
      <c r="L31" s="46">
        <f t="shared" si="22"/>
        <v>6.1530000000000005E-4</v>
      </c>
      <c r="M31" s="46">
        <f t="shared" si="23"/>
        <v>-5.8929999999999996E-4</v>
      </c>
      <c r="N31" s="46">
        <f t="shared" si="24"/>
        <v>8.0489999999999999E-4</v>
      </c>
      <c r="O31" s="46">
        <f t="shared" si="25"/>
        <v>3.4180000000000001E-4</v>
      </c>
      <c r="P31" s="46">
        <f>ROUND(Bunkering!J19-15,2)</f>
        <v>70</v>
      </c>
      <c r="Q31" s="46">
        <f>IF(Bunkering!T19=3,(IF(Bunkering!L19&lt;0.7705,N13,IF(Bunkering!L19&lt;0.7875,M13,IF(Bunkering!L19&lt;0.839,L13,IF(Bunkering!L19&lt;1.075,K13,O13))))),(IF(Bunkering!AB19&lt;0.7705,N13,IF(Bunkering!AB19&lt;0.7875,M13,IF(Bunkering!AB19&lt;0.839,L13,IF(Bunkering!AB19&lt;1.075,K13,O13))))))</f>
        <v>6.8809999999999997E-4</v>
      </c>
      <c r="R31" s="206">
        <f t="shared" si="26"/>
        <v>4.8167000000000001E-2</v>
      </c>
      <c r="S31" s="206">
        <f t="shared" si="27"/>
        <v>3.8533600000000001E-2</v>
      </c>
      <c r="T31" s="206">
        <f t="shared" si="28"/>
        <v>1.8560479999999999E-3</v>
      </c>
      <c r="U31" s="206">
        <f t="shared" si="29"/>
        <v>-5.0023049999999999E-2</v>
      </c>
      <c r="V31" s="206">
        <f t="shared" si="30"/>
        <v>0.95120749891517298</v>
      </c>
      <c r="W31" s="206">
        <f t="shared" si="31"/>
        <v>0.95120000000000005</v>
      </c>
      <c r="X31" s="46">
        <f>IF(AND(Bunkering!AA19&gt;0.81-0.001,Bunkering!AA19&lt;0.827+0.001),0.00068,IF(AND(Bunkering!AA19&gt;0.828-0.001,Bunkering!AA19&lt;0.838+0.001),0.00067,IF(AND(Bunkering!AA19&gt;0.839-0.001,Bunkering!AA19&lt;0.853+0.001),0.00066,IF(AND(Bunkering!AA19&gt;0.854-0.001,Bunkering!AA19&lt;0.871+0.001),0.00065,IF(AND(Bunkering!AA19&gt;0.872-0.001,Bunkering!AA19&lt;0.911+0.001),0.00064,IF(AND(Bunkering!AA19&gt;0.912-0.001,Bunkering!AA19&lt;0.978+0.001),0.00063,IF(AND(Bunkering!AA19&gt;0.979-0.001,Bunkering!AA19&lt;1.03+0.001),0.00062,"")))))))</f>
        <v>6.2E-4</v>
      </c>
      <c r="Y31" s="46">
        <f>(Bunkering!AA19-((Bunkering!J19-15)*X13+0.0011))</f>
        <v>0.9385</v>
      </c>
    </row>
    <row r="32" spans="1:25">
      <c r="A32" s="391" t="str">
        <f>Bunkering!B20</f>
        <v>LS HFO SETTLING TK</v>
      </c>
      <c r="B32" s="388">
        <f>Bunkering!H20</f>
        <v>4070</v>
      </c>
      <c r="C32" s="85">
        <f>Bunkering!I20</f>
        <v>37.128</v>
      </c>
      <c r="D32" s="389">
        <f>Bunkering!J20</f>
        <v>83</v>
      </c>
      <c r="E32" s="390">
        <f>Bunkering!M20</f>
        <v>0.98299999999999998</v>
      </c>
      <c r="F32" s="85">
        <f t="shared" si="16"/>
        <v>35.368000000000002</v>
      </c>
      <c r="G32" s="85">
        <f t="shared" si="17"/>
        <v>36.497</v>
      </c>
      <c r="H32" s="2">
        <f t="shared" si="18"/>
        <v>0.9819</v>
      </c>
      <c r="I32" s="2">
        <f t="shared" si="19"/>
        <v>0.96641508200000004</v>
      </c>
      <c r="J32" s="46">
        <f t="shared" si="20"/>
        <v>983</v>
      </c>
      <c r="K32" s="46">
        <f t="shared" si="21"/>
        <v>6.8809999999999997E-4</v>
      </c>
      <c r="L32" s="46">
        <f t="shared" si="22"/>
        <v>6.1530000000000005E-4</v>
      </c>
      <c r="M32" s="46">
        <f t="shared" si="23"/>
        <v>-5.8929999999999996E-4</v>
      </c>
      <c r="N32" s="46">
        <f t="shared" si="24"/>
        <v>8.0489999999999999E-4</v>
      </c>
      <c r="O32" s="46">
        <f t="shared" si="25"/>
        <v>3.4180000000000001E-4</v>
      </c>
      <c r="P32" s="46">
        <f>ROUND(Bunkering!J20-15,2)</f>
        <v>68</v>
      </c>
      <c r="Q32" s="46">
        <f>IF(Bunkering!T20=3,(IF(Bunkering!L20&lt;0.7705,N14,IF(Bunkering!L20&lt;0.7875,M14,IF(Bunkering!L20&lt;0.839,L14,IF(Bunkering!L20&lt;1.075,K14,O14))))),(IF(Bunkering!AB20&lt;0.7705,N14,IF(Bunkering!AB20&lt;0.7875,M14,IF(Bunkering!AB20&lt;0.839,L14,IF(Bunkering!AB20&lt;1.075,K14,O14))))))</f>
        <v>6.8809999999999997E-4</v>
      </c>
      <c r="R32" s="206">
        <f t="shared" si="26"/>
        <v>4.67908E-2</v>
      </c>
      <c r="S32" s="206">
        <f t="shared" si="27"/>
        <v>3.7432640000000003E-2</v>
      </c>
      <c r="T32" s="206">
        <f t="shared" si="28"/>
        <v>1.751503E-3</v>
      </c>
      <c r="U32" s="206">
        <f t="shared" si="29"/>
        <v>-4.8542299999999997E-2</v>
      </c>
      <c r="V32" s="206">
        <f t="shared" si="30"/>
        <v>0.95261704275266001</v>
      </c>
      <c r="W32" s="206">
        <f t="shared" si="31"/>
        <v>0.9526</v>
      </c>
      <c r="X32" s="46">
        <f>IF(AND(Bunkering!AA20&gt;0.81-0.001,Bunkering!AA20&lt;0.827+0.001),0.00068,IF(AND(Bunkering!AA20&gt;0.828-0.001,Bunkering!AA20&lt;0.838+0.001),0.00067,IF(AND(Bunkering!AA20&gt;0.839-0.001,Bunkering!AA20&lt;0.853+0.001),0.00066,IF(AND(Bunkering!AA20&gt;0.854-0.001,Bunkering!AA20&lt;0.871+0.001),0.00065,IF(AND(Bunkering!AA20&gt;0.872-0.001,Bunkering!AA20&lt;0.911+0.001),0.00064,IF(AND(Bunkering!AA20&gt;0.912-0.001,Bunkering!AA20&lt;0.978+0.001),0.00063,IF(AND(Bunkering!AA20&gt;0.979-0.001,Bunkering!AA20&lt;1.03+0.001),0.00062,"")))))))</f>
        <v>6.2E-4</v>
      </c>
      <c r="Y32" s="46">
        <f>(Bunkering!AA20-((Bunkering!J20-15)*X14+0.0011))</f>
        <v>0.93974000000000002</v>
      </c>
    </row>
    <row r="33" spans="1:25">
      <c r="A33" s="391" t="str">
        <f>Bunkering!B21</f>
        <v>HFO OVERFLOW TK</v>
      </c>
      <c r="B33" s="388">
        <f>Bunkering!H21</f>
        <v>1390</v>
      </c>
      <c r="C33" s="85">
        <f>Bunkering!I21</f>
        <v>22.303000000000001</v>
      </c>
      <c r="D33" s="389">
        <f>Bunkering!J21</f>
        <v>38</v>
      </c>
      <c r="E33" s="390">
        <f>Bunkering!M21</f>
        <v>0.98299999999999998</v>
      </c>
      <c r="F33" s="85">
        <f t="shared" si="16"/>
        <v>21.948</v>
      </c>
      <c r="G33" s="85">
        <f t="shared" si="17"/>
        <v>21.923999999999999</v>
      </c>
      <c r="H33" s="2">
        <f t="shared" si="18"/>
        <v>0.9819</v>
      </c>
      <c r="I33" s="2">
        <f t="shared" si="19"/>
        <v>0.96641508200000004</v>
      </c>
      <c r="J33" s="46">
        <f t="shared" si="20"/>
        <v>983</v>
      </c>
      <c r="K33" s="46">
        <f t="shared" si="21"/>
        <v>6.8809999999999997E-4</v>
      </c>
      <c r="L33" s="46">
        <f t="shared" si="22"/>
        <v>6.1530000000000005E-4</v>
      </c>
      <c r="M33" s="46">
        <f t="shared" si="23"/>
        <v>-5.8929999999999996E-4</v>
      </c>
      <c r="N33" s="46">
        <f t="shared" si="24"/>
        <v>8.0489999999999999E-4</v>
      </c>
      <c r="O33" s="46">
        <f t="shared" si="25"/>
        <v>3.4180000000000001E-4</v>
      </c>
      <c r="P33" s="46">
        <f>ROUND(Bunkering!J21-15,2)</f>
        <v>23</v>
      </c>
      <c r="Q33" s="46">
        <f>IF(Bunkering!T21=3,(IF(Bunkering!L21&lt;0.7705,N15,IF(Bunkering!L21&lt;0.7875,M15,IF(Bunkering!L21&lt;0.839,L15,IF(Bunkering!L21&lt;1.075,K15,O15))))),(IF(Bunkering!AB21&lt;0.7705,N15,IF(Bunkering!AB21&lt;0.7875,M15,IF(Bunkering!AB21&lt;0.839,L15,IF(Bunkering!AB21&lt;1.075,K15,O15))))))</f>
        <v>6.8809999999999997E-4</v>
      </c>
      <c r="R33" s="206">
        <f t="shared" si="26"/>
        <v>1.5826300000000001E-2</v>
      </c>
      <c r="S33" s="206">
        <f t="shared" si="27"/>
        <v>1.266104E-2</v>
      </c>
      <c r="T33" s="206">
        <f t="shared" si="28"/>
        <v>2.0037700000000001E-4</v>
      </c>
      <c r="U33" s="206">
        <f t="shared" si="29"/>
        <v>-1.6026680000000001E-2</v>
      </c>
      <c r="V33" s="206">
        <f t="shared" si="30"/>
        <v>0.98410106388864504</v>
      </c>
      <c r="W33" s="206">
        <f t="shared" si="31"/>
        <v>0.98409999999999997</v>
      </c>
      <c r="X33" s="46">
        <f>IF(AND(Bunkering!AA21&gt;0.81-0.001,Bunkering!AA21&lt;0.827+0.001),0.00068,IF(AND(Bunkering!AA21&gt;0.828-0.001,Bunkering!AA21&lt;0.838+0.001),0.00067,IF(AND(Bunkering!AA21&gt;0.839-0.001,Bunkering!AA21&lt;0.853+0.001),0.00066,IF(AND(Bunkering!AA21&gt;0.854-0.001,Bunkering!AA21&lt;0.871+0.001),0.00065,IF(AND(Bunkering!AA21&gt;0.872-0.001,Bunkering!AA21&lt;0.911+0.001),0.00064,IF(AND(Bunkering!AA21&gt;0.912-0.001,Bunkering!AA21&lt;0.978+0.001),0.00063,IF(AND(Bunkering!AA21&gt;0.979-0.001,Bunkering!AA21&lt;1.03+0.001),0.00062,"")))))))</f>
        <v>6.2E-4</v>
      </c>
      <c r="Y33" s="46">
        <f>(Bunkering!AA21-((Bunkering!J21-15)*X15+0.0011))</f>
        <v>0.96763999999999994</v>
      </c>
    </row>
    <row r="34" spans="1:25">
      <c r="A34" s="391" t="str">
        <f>Bunkering!B22</f>
        <v>MDO TANK (P)</v>
      </c>
      <c r="B34" s="388">
        <f>Bunkering!H22</f>
        <v>1780</v>
      </c>
      <c r="C34" s="85">
        <f>Bunkering!I22</f>
        <v>47.83</v>
      </c>
      <c r="D34" s="389">
        <f>Bunkering!J22</f>
        <v>32</v>
      </c>
      <c r="E34" s="390">
        <f>Bunkering!M22</f>
        <v>0.88319999999999999</v>
      </c>
      <c r="F34" s="85">
        <f t="shared" si="16"/>
        <v>47.183999999999997</v>
      </c>
      <c r="G34" s="85">
        <f t="shared" si="17"/>
        <v>42.243000000000002</v>
      </c>
      <c r="H34" s="2">
        <f t="shared" si="18"/>
        <v>0.8821</v>
      </c>
      <c r="I34" s="2">
        <f t="shared" si="19"/>
        <v>0.86817655279999995</v>
      </c>
      <c r="J34" s="46">
        <f t="shared" si="20"/>
        <v>883.2</v>
      </c>
      <c r="K34" s="46">
        <f t="shared" si="21"/>
        <v>7.9020000000000002E-4</v>
      </c>
      <c r="L34" s="46">
        <f t="shared" si="22"/>
        <v>7.6219999999999999E-4</v>
      </c>
      <c r="M34" s="46">
        <f t="shared" si="23"/>
        <v>7.2999999999999999E-5</v>
      </c>
      <c r="N34" s="46">
        <f t="shared" si="24"/>
        <v>9.4090000000000005E-4</v>
      </c>
      <c r="O34" s="46">
        <f t="shared" si="25"/>
        <v>4.2339999999999999E-4</v>
      </c>
      <c r="P34" s="46">
        <f>ROUND(Bunkering!J22-15,2)</f>
        <v>17</v>
      </c>
      <c r="Q34" s="46">
        <f>IF(Bunkering!T22=3,(IF(Bunkering!L22&lt;0.7705,N16,IF(Bunkering!L22&lt;0.7875,M16,IF(Bunkering!L22&lt;0.839,L16,IF(Bunkering!L22&lt;1.075,K16,O16))))),(IF(Bunkering!AB22&lt;0.7705,N16,IF(Bunkering!AB22&lt;0.7875,M16,IF(Bunkering!AB22&lt;0.839,L16,IF(Bunkering!AB22&lt;1.075,K16,O16))))))</f>
        <v>7.9020000000000002E-4</v>
      </c>
      <c r="R34" s="206">
        <f t="shared" si="26"/>
        <v>1.34334E-2</v>
      </c>
      <c r="S34" s="206">
        <f t="shared" si="27"/>
        <v>1.074672E-2</v>
      </c>
      <c r="T34" s="206">
        <f t="shared" si="28"/>
        <v>1.44365E-4</v>
      </c>
      <c r="U34" s="206">
        <f t="shared" si="29"/>
        <v>-1.3577769999999999E-2</v>
      </c>
      <c r="V34" s="206">
        <f t="shared" si="30"/>
        <v>0.98651399214118296</v>
      </c>
      <c r="W34" s="206">
        <f t="shared" si="31"/>
        <v>0.98650000000000004</v>
      </c>
      <c r="X34" s="46">
        <f>IF(AND(Bunkering!AA22&gt;0.81-0.001,Bunkering!AA22&lt;0.827+0.001),0.00068,IF(AND(Bunkering!AA22&gt;0.828-0.001,Bunkering!AA22&lt;0.838+0.001),0.00067,IF(AND(Bunkering!AA22&gt;0.839-0.001,Bunkering!AA22&lt;0.853+0.001),0.00066,IF(AND(Bunkering!AA22&gt;0.854-0.001,Bunkering!AA22&lt;0.871+0.001),0.00065,IF(AND(Bunkering!AA22&gt;0.872-0.001,Bunkering!AA22&lt;0.911+0.001),0.00064,IF(AND(Bunkering!AA22&gt;0.912-0.001,Bunkering!AA22&lt;0.978+0.001),0.00063,IF(AND(Bunkering!AA22&gt;0.979-0.001,Bunkering!AA22&lt;1.03+0.001),0.00062,"")))))))</f>
        <v>6.4000000000000005E-4</v>
      </c>
      <c r="Y34" s="46">
        <f>(Bunkering!AA22-((Bunkering!J22-15)*X16+0.0011))</f>
        <v>0.87121999999999999</v>
      </c>
    </row>
    <row r="35" spans="1:25">
      <c r="A35" s="391" t="str">
        <f>Bunkering!B23</f>
        <v>MDO TANK (S)</v>
      </c>
      <c r="B35" s="388">
        <f>Bunkering!H23</f>
        <v>1540</v>
      </c>
      <c r="C35" s="85">
        <f>Bunkering!I23</f>
        <v>79.924000000000007</v>
      </c>
      <c r="D35" s="389">
        <f>Bunkering!J23</f>
        <v>32</v>
      </c>
      <c r="E35" s="390">
        <f>Bunkering!M23</f>
        <v>0.871</v>
      </c>
      <c r="F35" s="85">
        <f t="shared" si="16"/>
        <v>78.828999999999994</v>
      </c>
      <c r="G35" s="85">
        <f t="shared" si="17"/>
        <v>69.614000000000004</v>
      </c>
      <c r="H35" s="2">
        <f t="shared" si="18"/>
        <v>0.86990000000000001</v>
      </c>
      <c r="I35" s="2">
        <f t="shared" si="19"/>
        <v>0.85616743399999995</v>
      </c>
      <c r="J35" s="46">
        <f t="shared" si="20"/>
        <v>871</v>
      </c>
      <c r="K35" s="46">
        <f t="shared" si="21"/>
        <v>8.0469999999999999E-4</v>
      </c>
      <c r="L35" s="46">
        <f t="shared" si="22"/>
        <v>7.8370000000000002E-4</v>
      </c>
      <c r="M35" s="46">
        <f t="shared" si="23"/>
        <v>1.6990000000000001E-4</v>
      </c>
      <c r="N35" s="46">
        <f t="shared" si="24"/>
        <v>9.6040000000000003E-4</v>
      </c>
      <c r="O35" s="46">
        <f t="shared" si="25"/>
        <v>4.3540000000000001E-4</v>
      </c>
      <c r="P35" s="46">
        <f>ROUND(Bunkering!J23-15,2)</f>
        <v>17</v>
      </c>
      <c r="Q35" s="46">
        <f>IF(Bunkering!T23=3,(IF(Bunkering!L23&lt;0.7705,N17,IF(Bunkering!L23&lt;0.7875,M17,IF(Bunkering!L23&lt;0.839,L17,IF(Bunkering!L23&lt;1.075,K17,O17))))),(IF(Bunkering!AB23&lt;0.7705,N17,IF(Bunkering!AB23&lt;0.7875,M17,IF(Bunkering!AB23&lt;0.839,L17,IF(Bunkering!AB23&lt;1.075,K17,O17))))))</f>
        <v>8.0469999999999999E-4</v>
      </c>
      <c r="R35" s="206">
        <f t="shared" si="26"/>
        <v>1.36799E-2</v>
      </c>
      <c r="S35" s="206">
        <f t="shared" si="27"/>
        <v>1.0943919999999999E-2</v>
      </c>
      <c r="T35" s="206">
        <f t="shared" si="28"/>
        <v>1.4971200000000001E-4</v>
      </c>
      <c r="U35" s="206">
        <f t="shared" si="29"/>
        <v>-1.3829610000000001E-2</v>
      </c>
      <c r="V35" s="206">
        <f t="shared" si="30"/>
        <v>0.98626557973880502</v>
      </c>
      <c r="W35" s="206">
        <f t="shared" si="31"/>
        <v>0.98629999999999995</v>
      </c>
      <c r="X35" s="46">
        <f>IF(AND(Bunkering!AA23&gt;0.81-0.001,Bunkering!AA23&lt;0.827+0.001),0.00068,IF(AND(Bunkering!AA23&gt;0.828-0.001,Bunkering!AA23&lt;0.838+0.001),0.00067,IF(AND(Bunkering!AA23&gt;0.839-0.001,Bunkering!AA23&lt;0.853+0.001),0.00066,IF(AND(Bunkering!AA23&gt;0.854-0.001,Bunkering!AA23&lt;0.871+0.001),0.00065,IF(AND(Bunkering!AA23&gt;0.872-0.001,Bunkering!AA23&lt;0.911+0.001),0.00064,IF(AND(Bunkering!AA23&gt;0.912-0.001,Bunkering!AA23&lt;0.978+0.001),0.00063,IF(AND(Bunkering!AA23&gt;0.979-0.001,Bunkering!AA23&lt;1.03+0.001),0.00062,"")))))))</f>
        <v>6.4999999999999997E-4</v>
      </c>
      <c r="Y35" s="46">
        <f>(Bunkering!AA23-((Bunkering!J23-15)*X17+0.0011))</f>
        <v>0.85885</v>
      </c>
    </row>
    <row r="36" spans="1:25">
      <c r="A36" s="391" t="str">
        <f>Bunkering!B24</f>
        <v>MDO SERVICE TK</v>
      </c>
      <c r="B36" s="388">
        <f>Bunkering!H24</f>
        <v>3150</v>
      </c>
      <c r="C36" s="85">
        <f>Bunkering!I24</f>
        <v>18.018999999999998</v>
      </c>
      <c r="D36" s="389">
        <f>Bunkering!J24</f>
        <v>32</v>
      </c>
      <c r="E36" s="390">
        <f>Bunkering!M24</f>
        <v>0.86599999999999999</v>
      </c>
      <c r="F36" s="85">
        <f t="shared" si="16"/>
        <v>17.77</v>
      </c>
      <c r="G36" s="85">
        <f t="shared" si="17"/>
        <v>15.603999999999999</v>
      </c>
      <c r="H36" s="2">
        <f t="shared" si="18"/>
        <v>0.8649</v>
      </c>
      <c r="I36" s="2">
        <f t="shared" si="19"/>
        <v>0.85124566400000001</v>
      </c>
      <c r="J36" s="46">
        <f t="shared" si="20"/>
        <v>866</v>
      </c>
      <c r="K36" s="46">
        <f t="shared" si="21"/>
        <v>8.1070000000000003E-4</v>
      </c>
      <c r="L36" s="46">
        <f t="shared" si="22"/>
        <v>7.9279999999999997E-4</v>
      </c>
      <c r="M36" s="46">
        <f t="shared" si="23"/>
        <v>2.109E-4</v>
      </c>
      <c r="N36" s="46">
        <f t="shared" si="24"/>
        <v>9.6860000000000002E-4</v>
      </c>
      <c r="O36" s="46">
        <f t="shared" si="25"/>
        <v>4.4040000000000003E-4</v>
      </c>
      <c r="P36" s="46">
        <f>ROUND(Bunkering!J24-15,2)</f>
        <v>17</v>
      </c>
      <c r="Q36" s="46">
        <f>IF(Bunkering!T24=3,(IF(Bunkering!L24&lt;0.7705,N18,IF(Bunkering!L24&lt;0.7875,M18,IF(Bunkering!L24&lt;0.839,L18,IF(Bunkering!L24&lt;1.075,K18,O18))))),(IF(Bunkering!AB24&lt;0.7705,N18,IF(Bunkering!AB24&lt;0.7875,M18,IF(Bunkering!AB24&lt;0.839,L18,IF(Bunkering!AB24&lt;1.075,K18,O18))))))</f>
        <v>8.1070000000000003E-4</v>
      </c>
      <c r="R36" s="206">
        <f t="shared" si="26"/>
        <v>1.37819E-2</v>
      </c>
      <c r="S36" s="206">
        <f t="shared" si="27"/>
        <v>1.102552E-2</v>
      </c>
      <c r="T36" s="206">
        <f t="shared" si="28"/>
        <v>1.51953E-4</v>
      </c>
      <c r="U36" s="206">
        <f t="shared" si="29"/>
        <v>-1.3933849999999999E-2</v>
      </c>
      <c r="V36" s="206">
        <f t="shared" si="30"/>
        <v>0.98616277677295605</v>
      </c>
      <c r="W36" s="206">
        <f t="shared" si="31"/>
        <v>0.98619999999999997</v>
      </c>
      <c r="X36" s="46">
        <f>IF(AND(Bunkering!AA24&gt;0.81-0.001,Bunkering!AA24&lt;0.827+0.001),0.00068,IF(AND(Bunkering!AA24&gt;0.828-0.001,Bunkering!AA24&lt;0.838+0.001),0.00067,IF(AND(Bunkering!AA24&gt;0.839-0.001,Bunkering!AA24&lt;0.853+0.001),0.00066,IF(AND(Bunkering!AA24&gt;0.854-0.001,Bunkering!AA24&lt;0.871+0.001),0.00065,IF(AND(Bunkering!AA24&gt;0.872-0.001,Bunkering!AA24&lt;0.911+0.001),0.00064,IF(AND(Bunkering!AA24&gt;0.912-0.001,Bunkering!AA24&lt;0.978+0.001),0.00063,IF(AND(Bunkering!AA24&gt;0.979-0.001,Bunkering!AA24&lt;1.03+0.001),0.00062,"")))))))</f>
        <v>6.4999999999999997E-4</v>
      </c>
      <c r="Y36" s="46">
        <f>(Bunkering!AA24-((Bunkering!J24-15)*X18+0.0011))</f>
        <v>0.85385</v>
      </c>
    </row>
    <row r="37" spans="1:25">
      <c r="A37" s="391" t="str">
        <f>Bunkering!B25</f>
        <v>MDO SETTLING TK</v>
      </c>
      <c r="B37" s="388">
        <f>Bunkering!H25</f>
        <v>3550</v>
      </c>
      <c r="C37" s="85">
        <f>Bunkering!I25</f>
        <v>20.266999999999999</v>
      </c>
      <c r="D37" s="389">
        <f>Bunkering!J25</f>
        <v>32</v>
      </c>
      <c r="E37" s="390">
        <f>Bunkering!M25</f>
        <v>0.86599999999999999</v>
      </c>
      <c r="F37" s="85">
        <f t="shared" si="16"/>
        <v>19.986999999999998</v>
      </c>
      <c r="G37" s="85">
        <f t="shared" si="17"/>
        <v>17.550999999999998</v>
      </c>
      <c r="H37" s="2">
        <f t="shared" si="18"/>
        <v>0.8649</v>
      </c>
      <c r="I37" s="2">
        <f t="shared" si="19"/>
        <v>0.85124566400000001</v>
      </c>
      <c r="J37" s="46">
        <f t="shared" si="20"/>
        <v>866</v>
      </c>
      <c r="K37" s="46">
        <f t="shared" si="21"/>
        <v>8.1070000000000003E-4</v>
      </c>
      <c r="L37" s="46">
        <f t="shared" si="22"/>
        <v>7.9279999999999997E-4</v>
      </c>
      <c r="M37" s="46">
        <f t="shared" si="23"/>
        <v>2.109E-4</v>
      </c>
      <c r="N37" s="46">
        <f t="shared" si="24"/>
        <v>9.6860000000000002E-4</v>
      </c>
      <c r="O37" s="46">
        <f t="shared" si="25"/>
        <v>4.4040000000000003E-4</v>
      </c>
      <c r="P37" s="46">
        <f>ROUND(Bunkering!J25-15,2)</f>
        <v>17</v>
      </c>
      <c r="Q37" s="46">
        <f>IF(Bunkering!T25=3,(IF(Bunkering!L25&lt;0.7705,N19,IF(Bunkering!L25&lt;0.7875,M19,IF(Bunkering!L25&lt;0.839,L19,IF(Bunkering!L25&lt;1.075,K19,O19))))),(IF(Bunkering!AB25&lt;0.7705,N19,IF(Bunkering!AB25&lt;0.7875,M19,IF(Bunkering!AB25&lt;0.839,L19,IF(Bunkering!AB25&lt;1.075,K19,O19))))))</f>
        <v>8.1070000000000003E-4</v>
      </c>
      <c r="R37" s="206">
        <f t="shared" si="26"/>
        <v>1.37819E-2</v>
      </c>
      <c r="S37" s="206">
        <f t="shared" si="27"/>
        <v>1.102552E-2</v>
      </c>
      <c r="T37" s="206">
        <f t="shared" si="28"/>
        <v>1.51953E-4</v>
      </c>
      <c r="U37" s="206">
        <f t="shared" si="29"/>
        <v>-1.3933849999999999E-2</v>
      </c>
      <c r="V37" s="206">
        <f t="shared" si="30"/>
        <v>0.98616277677295605</v>
      </c>
      <c r="W37" s="206">
        <f t="shared" si="31"/>
        <v>0.98619999999999997</v>
      </c>
      <c r="X37" s="46">
        <f>IF(AND(Bunkering!AA25&gt;0.81-0.001,Bunkering!AA25&lt;0.827+0.001),0.00068,IF(AND(Bunkering!AA25&gt;0.828-0.001,Bunkering!AA25&lt;0.838+0.001),0.00067,IF(AND(Bunkering!AA25&gt;0.839-0.001,Bunkering!AA25&lt;0.853+0.001),0.00066,IF(AND(Bunkering!AA25&gt;0.854-0.001,Bunkering!AA25&lt;0.871+0.001),0.00065,IF(AND(Bunkering!AA25&gt;0.872-0.001,Bunkering!AA25&lt;0.911+0.001),0.00064,IF(AND(Bunkering!AA25&gt;0.912-0.001,Bunkering!AA25&lt;0.978+0.001),0.00063,IF(AND(Bunkering!AA25&gt;0.979-0.001,Bunkering!AA25&lt;1.03+0.001),0.00062,"")))))))</f>
        <v>6.4999999999999997E-4</v>
      </c>
      <c r="Y37" s="46">
        <f>(Bunkering!AA25-((Bunkering!J25-15)*X19+0.0011))</f>
        <v>0.85385</v>
      </c>
    </row>
    <row r="38" spans="1:25">
      <c r="A38" s="391" t="str">
        <f>Bunkering!B26</f>
        <v>MGO STOR. TK (S)</v>
      </c>
      <c r="B38" s="388">
        <f>Bunkering!H26</f>
        <v>3310</v>
      </c>
      <c r="C38" s="85">
        <f>Bunkering!I26</f>
        <v>73.489999999999995</v>
      </c>
      <c r="D38" s="389">
        <f>Bunkering!J26</f>
        <v>32</v>
      </c>
      <c r="E38" s="390">
        <f>Bunkering!M26</f>
        <v>0.871</v>
      </c>
      <c r="F38" s="85">
        <f t="shared" si="16"/>
        <v>72.483000000000004</v>
      </c>
      <c r="G38" s="85">
        <f t="shared" si="17"/>
        <v>64.010000000000005</v>
      </c>
      <c r="H38" s="2">
        <f t="shared" si="18"/>
        <v>0.86990000000000001</v>
      </c>
      <c r="I38" s="2">
        <f t="shared" si="19"/>
        <v>0.85616743399999995</v>
      </c>
      <c r="J38" s="46">
        <f t="shared" si="20"/>
        <v>871</v>
      </c>
      <c r="K38" s="46">
        <f t="shared" si="21"/>
        <v>8.0469999999999999E-4</v>
      </c>
      <c r="L38" s="46">
        <f t="shared" si="22"/>
        <v>7.8370000000000002E-4</v>
      </c>
      <c r="M38" s="46">
        <f t="shared" si="23"/>
        <v>1.6990000000000001E-4</v>
      </c>
      <c r="N38" s="46">
        <f t="shared" si="24"/>
        <v>9.6040000000000003E-4</v>
      </c>
      <c r="O38" s="46">
        <f t="shared" si="25"/>
        <v>4.3540000000000001E-4</v>
      </c>
      <c r="P38" s="46">
        <f>ROUND(Bunkering!J26-15,2)</f>
        <v>17</v>
      </c>
      <c r="Q38" s="46">
        <f>IF(Bunkering!T26=3,(IF(Bunkering!L26&lt;0.7705,N20,IF(Bunkering!L26&lt;0.7875,M20,IF(Bunkering!L26&lt;0.839,L20,IF(Bunkering!L26&lt;1.075,K20,O20))))),(IF(Bunkering!AB26&lt;0.7705,N20,IF(Bunkering!AB26&lt;0.7875,M20,IF(Bunkering!AB26&lt;0.839,L20,IF(Bunkering!AB26&lt;1.075,K20,O20))))))</f>
        <v>8.0469999999999999E-4</v>
      </c>
      <c r="R38" s="206">
        <f t="shared" si="26"/>
        <v>1.36799E-2</v>
      </c>
      <c r="S38" s="206">
        <f t="shared" si="27"/>
        <v>1.0943919999999999E-2</v>
      </c>
      <c r="T38" s="206">
        <f t="shared" si="28"/>
        <v>1.4971200000000001E-4</v>
      </c>
      <c r="U38" s="206">
        <f t="shared" si="29"/>
        <v>-1.3829610000000001E-2</v>
      </c>
      <c r="V38" s="206">
        <f t="shared" si="30"/>
        <v>0.98626557973880502</v>
      </c>
      <c r="W38" s="206">
        <f t="shared" si="31"/>
        <v>0.98629999999999995</v>
      </c>
      <c r="X38" s="46">
        <f>IF(AND(Bunkering!AA26&gt;0.81-0.001,Bunkering!AA26&lt;0.827+0.001),0.00068,IF(AND(Bunkering!AA26&gt;0.828-0.001,Bunkering!AA26&lt;0.838+0.001),0.00067,IF(AND(Bunkering!AA26&gt;0.839-0.001,Bunkering!AA26&lt;0.853+0.001),0.00066,IF(AND(Bunkering!AA26&gt;0.854-0.001,Bunkering!AA26&lt;0.871+0.001),0.00065,IF(AND(Bunkering!AA26&gt;0.872-0.001,Bunkering!AA26&lt;0.911+0.001),0.00064,IF(AND(Bunkering!AA26&gt;0.912-0.001,Bunkering!AA26&lt;0.978+0.001),0.00063,IF(AND(Bunkering!AA26&gt;0.979-0.001,Bunkering!AA26&lt;1.03+0.001),0.00062,"")))))))</f>
        <v>6.4999999999999997E-4</v>
      </c>
      <c r="Y38" s="46">
        <f>(Bunkering!AA26-((Bunkering!J26-15)*X20+0.0011))</f>
        <v>0.85885</v>
      </c>
    </row>
    <row r="39" spans="1:25">
      <c r="A39" s="391" t="str">
        <f>Bunkering!B27</f>
        <v>MGO SERVICE TK</v>
      </c>
      <c r="B39" s="388">
        <f>Bunkering!H27</f>
        <v>3540</v>
      </c>
      <c r="C39" s="85">
        <f>Bunkering!I27</f>
        <v>20.2</v>
      </c>
      <c r="D39" s="389">
        <f>Bunkering!J27</f>
        <v>32</v>
      </c>
      <c r="E39" s="390">
        <f>Bunkering!M27</f>
        <v>0.86599999999999999</v>
      </c>
      <c r="F39" s="85">
        <f t="shared" si="16"/>
        <v>19.920999999999999</v>
      </c>
      <c r="G39" s="85">
        <f t="shared" si="17"/>
        <v>17.492999999999999</v>
      </c>
      <c r="H39" s="2">
        <f t="shared" si="18"/>
        <v>0.8649</v>
      </c>
      <c r="I39" s="2">
        <f t="shared" si="19"/>
        <v>0.85124566400000001</v>
      </c>
      <c r="J39" s="46">
        <f t="shared" si="20"/>
        <v>866</v>
      </c>
      <c r="K39" s="46">
        <f t="shared" si="21"/>
        <v>8.1070000000000003E-4</v>
      </c>
      <c r="L39" s="46">
        <f t="shared" si="22"/>
        <v>7.9279999999999997E-4</v>
      </c>
      <c r="M39" s="46">
        <f t="shared" si="23"/>
        <v>2.109E-4</v>
      </c>
      <c r="N39" s="46">
        <f t="shared" si="24"/>
        <v>9.6860000000000002E-4</v>
      </c>
      <c r="O39" s="46">
        <f t="shared" si="25"/>
        <v>4.4040000000000003E-4</v>
      </c>
      <c r="P39" s="46">
        <f>ROUND(Bunkering!J27-15,2)</f>
        <v>17</v>
      </c>
      <c r="Q39" s="46">
        <f>IF(Bunkering!T27=3,(IF(Bunkering!L27&lt;0.7705,N21,IF(Bunkering!L27&lt;0.7875,M21,IF(Bunkering!L27&lt;0.839,L21,IF(Bunkering!L27&lt;1.075,K21,O21))))),(IF(Bunkering!AB27&lt;0.7705,N21,IF(Bunkering!AB27&lt;0.7875,M21,IF(Bunkering!AB27&lt;0.839,L21,IF(Bunkering!AB27&lt;1.075,K21,O21))))))</f>
        <v>8.1070000000000003E-4</v>
      </c>
      <c r="R39" s="206">
        <f t="shared" si="26"/>
        <v>1.37819E-2</v>
      </c>
      <c r="S39" s="206">
        <f t="shared" si="27"/>
        <v>1.102552E-2</v>
      </c>
      <c r="T39" s="206">
        <f t="shared" si="28"/>
        <v>1.51953E-4</v>
      </c>
      <c r="U39" s="206">
        <f t="shared" si="29"/>
        <v>-1.3933849999999999E-2</v>
      </c>
      <c r="V39" s="206">
        <f t="shared" si="30"/>
        <v>0.98616277677295605</v>
      </c>
      <c r="W39" s="206">
        <f t="shared" si="31"/>
        <v>0.98619999999999997</v>
      </c>
      <c r="X39" s="46">
        <f>IF(AND(Bunkering!AA27&gt;0.81-0.001,Bunkering!AA27&lt;0.827+0.001),0.00068,IF(AND(Bunkering!AA27&gt;0.828-0.001,Bunkering!AA27&lt;0.838+0.001),0.00067,IF(AND(Bunkering!AA27&gt;0.839-0.001,Bunkering!AA27&lt;0.853+0.001),0.00066,IF(AND(Bunkering!AA27&gt;0.854-0.001,Bunkering!AA27&lt;0.871+0.001),0.00065,IF(AND(Bunkering!AA27&gt;0.872-0.001,Bunkering!AA27&lt;0.911+0.001),0.00064,IF(AND(Bunkering!AA27&gt;0.912-0.001,Bunkering!AA27&lt;0.978+0.001),0.00063,IF(AND(Bunkering!AA27&gt;0.979-0.001,Bunkering!AA27&lt;1.03+0.001),0.00062,"")))))))</f>
        <v>6.4999999999999997E-4</v>
      </c>
      <c r="Y39" s="46">
        <f>(Bunkering!AA27-((Bunkering!J27-15)*X21+0.0011))</f>
        <v>0.85385</v>
      </c>
    </row>
    <row r="40" spans="1:25">
      <c r="A40" s="392"/>
      <c r="B40" s="407"/>
      <c r="C40" s="84"/>
      <c r="D40" s="408"/>
      <c r="E40" s="409"/>
      <c r="F40" s="84"/>
      <c r="G40" s="84"/>
      <c r="H40" s="2"/>
      <c r="I40" s="2"/>
      <c r="J40" s="46"/>
      <c r="K40" s="46"/>
      <c r="L40" s="46"/>
      <c r="M40" s="46"/>
      <c r="N40" s="46"/>
      <c r="O40" s="46"/>
      <c r="R40" s="206"/>
      <c r="S40" s="206"/>
      <c r="T40" s="206"/>
      <c r="U40" s="206"/>
      <c r="V40" s="206"/>
      <c r="W40" s="206"/>
    </row>
    <row r="41" spans="1:25">
      <c r="A41" s="392"/>
      <c r="B41" s="407"/>
      <c r="C41" s="84"/>
      <c r="D41" s="408"/>
      <c r="E41" s="409"/>
      <c r="F41" s="84"/>
      <c r="G41" s="84"/>
      <c r="H41" s="2"/>
      <c r="I41" s="2"/>
      <c r="J41" s="46"/>
      <c r="K41" s="46"/>
      <c r="L41" s="46"/>
      <c r="M41" s="46"/>
      <c r="N41" s="46"/>
      <c r="O41" s="46"/>
      <c r="R41" s="206"/>
      <c r="S41" s="206"/>
      <c r="T41" s="206"/>
      <c r="U41" s="206"/>
      <c r="V41" s="206"/>
      <c r="W41" s="206"/>
    </row>
    <row r="42" spans="1:25">
      <c r="A42" s="392"/>
      <c r="B42" s="407"/>
      <c r="C42" s="84"/>
      <c r="D42" s="408"/>
      <c r="E42" s="409"/>
      <c r="F42" s="84"/>
      <c r="G42" s="84"/>
      <c r="H42" s="2"/>
      <c r="I42" s="2"/>
      <c r="J42" s="46"/>
      <c r="K42" s="46"/>
      <c r="L42" s="46"/>
      <c r="M42" s="46"/>
      <c r="N42" s="46"/>
      <c r="O42" s="46"/>
      <c r="R42" s="206"/>
      <c r="S42" s="206"/>
      <c r="T42" s="206"/>
      <c r="U42" s="206"/>
      <c r="V42" s="206"/>
      <c r="W42" s="206"/>
    </row>
    <row r="43" spans="1:25">
      <c r="A43" s="392"/>
      <c r="B43" s="407"/>
      <c r="C43" s="84"/>
      <c r="D43" s="408"/>
      <c r="E43" s="409"/>
      <c r="F43" s="84"/>
      <c r="G43" s="84"/>
      <c r="H43" s="2"/>
      <c r="I43" s="2"/>
      <c r="J43" s="46"/>
      <c r="K43" s="46"/>
      <c r="L43" s="46"/>
      <c r="M43" s="46"/>
      <c r="N43" s="46"/>
      <c r="O43" s="46"/>
      <c r="R43" s="206"/>
      <c r="S43" s="206"/>
      <c r="T43" s="206"/>
      <c r="U43" s="206"/>
      <c r="V43" s="206"/>
      <c r="W43" s="206"/>
    </row>
    <row r="44" spans="1:25">
      <c r="A44" s="392"/>
      <c r="B44" s="407"/>
      <c r="C44" s="84"/>
      <c r="D44" s="408"/>
      <c r="E44" s="409"/>
      <c r="F44" s="84"/>
      <c r="G44" s="84"/>
      <c r="H44" s="2"/>
      <c r="I44" s="2"/>
      <c r="J44" s="46"/>
      <c r="K44" s="46"/>
      <c r="L44" s="46"/>
      <c r="M44" s="46"/>
      <c r="N44" s="46"/>
      <c r="O44" s="46"/>
      <c r="R44" s="206"/>
      <c r="S44" s="206"/>
      <c r="T44" s="206"/>
      <c r="U44" s="206"/>
      <c r="V44" s="206"/>
      <c r="W44" s="206"/>
    </row>
    <row r="45" spans="1:25">
      <c r="A45" s="392"/>
      <c r="B45" s="407"/>
      <c r="C45" s="84"/>
      <c r="D45" s="408"/>
      <c r="E45" s="409"/>
      <c r="F45" s="84"/>
      <c r="G45" s="84"/>
      <c r="H45" s="2"/>
      <c r="I45" s="2"/>
      <c r="J45" s="46"/>
      <c r="K45" s="46"/>
      <c r="L45" s="46"/>
      <c r="M45" s="46"/>
      <c r="N45" s="46"/>
      <c r="O45" s="46"/>
      <c r="R45" s="206"/>
      <c r="S45" s="206"/>
      <c r="T45" s="206"/>
      <c r="U45" s="206"/>
      <c r="V45" s="206"/>
      <c r="W45" s="206"/>
    </row>
    <row r="46" spans="1:25">
      <c r="A46" s="392"/>
      <c r="B46" s="407"/>
      <c r="C46" s="84"/>
      <c r="D46" s="408"/>
      <c r="E46" s="409"/>
      <c r="F46" s="84"/>
      <c r="G46" s="84"/>
      <c r="H46" s="2"/>
      <c r="I46" s="2"/>
      <c r="J46" s="46"/>
      <c r="K46" s="46"/>
      <c r="L46" s="46"/>
      <c r="M46" s="46"/>
      <c r="N46" s="46"/>
      <c r="O46" s="46"/>
      <c r="R46" s="206"/>
      <c r="S46" s="206"/>
      <c r="T46" s="206"/>
      <c r="U46" s="206"/>
      <c r="V46" s="206"/>
      <c r="W46" s="206"/>
    </row>
    <row r="47" spans="1:25">
      <c r="A47" s="392"/>
      <c r="B47" s="407"/>
      <c r="C47" s="84"/>
      <c r="D47" s="408"/>
      <c r="E47" s="409"/>
      <c r="F47" s="84"/>
      <c r="G47" s="84"/>
      <c r="H47" s="2"/>
      <c r="I47" s="2"/>
      <c r="J47" s="46"/>
      <c r="K47" s="46"/>
      <c r="L47" s="46"/>
      <c r="M47" s="46"/>
      <c r="N47" s="46"/>
      <c r="O47" s="46"/>
      <c r="R47" s="206"/>
      <c r="S47" s="206"/>
      <c r="T47" s="206"/>
      <c r="U47" s="206"/>
      <c r="V47" s="206"/>
      <c r="W47" s="206"/>
    </row>
    <row r="48" spans="1:25">
      <c r="A48" s="392"/>
      <c r="B48" s="407"/>
      <c r="C48" s="84"/>
      <c r="D48" s="408"/>
      <c r="E48" s="409"/>
      <c r="F48" s="84"/>
      <c r="G48" s="84"/>
      <c r="H48" s="2"/>
      <c r="I48" s="2"/>
      <c r="J48" s="46"/>
      <c r="K48" s="46"/>
      <c r="L48" s="46"/>
      <c r="M48" s="46"/>
      <c r="N48" s="46"/>
      <c r="O48" s="46"/>
      <c r="R48" s="206"/>
      <c r="S48" s="206"/>
      <c r="T48" s="206"/>
      <c r="U48" s="206"/>
      <c r="V48" s="206"/>
      <c r="W48" s="206"/>
    </row>
    <row r="49" spans="1:23">
      <c r="A49" s="392"/>
      <c r="B49" s="407"/>
      <c r="C49" s="84"/>
      <c r="D49" s="408"/>
      <c r="E49" s="409"/>
      <c r="F49" s="84"/>
      <c r="G49" s="84"/>
      <c r="H49" s="2"/>
      <c r="I49" s="2"/>
      <c r="J49" s="46"/>
      <c r="K49" s="46"/>
      <c r="L49" s="46"/>
      <c r="M49" s="46"/>
      <c r="N49" s="46"/>
      <c r="O49" s="46"/>
      <c r="R49" s="206"/>
      <c r="S49" s="206"/>
      <c r="T49" s="206"/>
      <c r="U49" s="206"/>
      <c r="V49" s="206"/>
      <c r="W49" s="206"/>
    </row>
    <row r="50" spans="1:23">
      <c r="A50" s="392"/>
      <c r="B50" s="407"/>
      <c r="C50" s="84"/>
      <c r="D50" s="408"/>
      <c r="E50" s="409"/>
      <c r="F50" s="84"/>
      <c r="G50" s="84"/>
      <c r="H50" s="2"/>
      <c r="I50" s="2"/>
      <c r="J50" s="46"/>
      <c r="K50" s="46"/>
      <c r="L50" s="46"/>
      <c r="M50" s="46"/>
      <c r="N50" s="46"/>
      <c r="O50" s="46"/>
      <c r="R50" s="206"/>
      <c r="S50" s="206"/>
      <c r="T50" s="206"/>
      <c r="U50" s="206"/>
      <c r="V50" s="206"/>
      <c r="W50" s="206"/>
    </row>
    <row r="51" spans="1:23">
      <c r="A51" s="392"/>
      <c r="B51" s="407"/>
      <c r="C51" s="84"/>
      <c r="D51" s="408"/>
      <c r="E51" s="409"/>
      <c r="F51" s="84"/>
      <c r="G51" s="84"/>
      <c r="H51" s="2"/>
      <c r="I51" s="2"/>
      <c r="J51" s="46"/>
      <c r="K51" s="46"/>
      <c r="L51" s="46"/>
      <c r="M51" s="46"/>
      <c r="N51" s="46"/>
      <c r="O51" s="46"/>
      <c r="R51" s="206"/>
      <c r="S51" s="206"/>
      <c r="T51" s="206"/>
      <c r="U51" s="206"/>
      <c r="V51" s="206"/>
      <c r="W51" s="206"/>
    </row>
    <row r="52" spans="1:23">
      <c r="A52" s="392"/>
      <c r="B52" s="407"/>
      <c r="C52" s="84"/>
      <c r="D52" s="408"/>
      <c r="E52" s="409"/>
      <c r="F52" s="84"/>
      <c r="G52" s="84"/>
      <c r="H52" s="2"/>
      <c r="I52" s="2"/>
      <c r="J52" s="46"/>
      <c r="K52" s="46"/>
      <c r="L52" s="46"/>
      <c r="M52" s="46"/>
      <c r="N52" s="46"/>
      <c r="O52" s="46"/>
      <c r="R52" s="206"/>
      <c r="S52" s="206"/>
      <c r="T52" s="206"/>
      <c r="U52" s="206"/>
      <c r="V52" s="206"/>
      <c r="W52" s="206"/>
    </row>
    <row r="53" spans="1:23">
      <c r="A53" s="392"/>
      <c r="B53" s="407"/>
      <c r="C53" s="84"/>
      <c r="D53" s="408"/>
      <c r="E53" s="409"/>
      <c r="F53" s="84"/>
      <c r="G53" s="84"/>
      <c r="H53" s="2"/>
      <c r="I53" s="2"/>
      <c r="J53" s="46"/>
      <c r="K53" s="46"/>
      <c r="L53" s="46"/>
      <c r="M53" s="46"/>
      <c r="N53" s="46"/>
      <c r="O53" s="46"/>
      <c r="R53" s="206"/>
      <c r="S53" s="206"/>
      <c r="T53" s="206"/>
      <c r="U53" s="206"/>
      <c r="V53" s="206"/>
      <c r="W53" s="206"/>
    </row>
    <row r="54" spans="1:23">
      <c r="A54" s="392"/>
      <c r="B54" s="407"/>
      <c r="C54" s="84"/>
      <c r="D54" s="408"/>
      <c r="E54" s="409"/>
      <c r="F54" s="84"/>
      <c r="G54" s="84"/>
      <c r="H54" s="2"/>
      <c r="I54" s="2"/>
      <c r="J54" s="46"/>
      <c r="K54" s="46"/>
      <c r="L54" s="46"/>
      <c r="M54" s="46"/>
      <c r="N54" s="46"/>
      <c r="O54" s="46"/>
      <c r="R54" s="206"/>
      <c r="S54" s="206"/>
      <c r="T54" s="206"/>
      <c r="U54" s="206"/>
      <c r="V54" s="206"/>
      <c r="W54" s="206"/>
    </row>
    <row r="55" spans="1:23">
      <c r="A55" s="392"/>
      <c r="B55" s="407"/>
      <c r="C55" s="84"/>
      <c r="D55" s="408"/>
      <c r="E55" s="409"/>
      <c r="F55" s="84"/>
      <c r="G55" s="84"/>
      <c r="H55" s="2"/>
      <c r="I55" s="2"/>
      <c r="J55" s="46"/>
      <c r="K55" s="46"/>
      <c r="L55" s="46"/>
      <c r="M55" s="46"/>
      <c r="N55" s="46"/>
      <c r="O55" s="46"/>
      <c r="R55" s="206"/>
      <c r="S55" s="206"/>
      <c r="T55" s="206"/>
      <c r="U55" s="206"/>
      <c r="V55" s="206"/>
      <c r="W55" s="206"/>
    </row>
    <row r="56" spans="1:23">
      <c r="A56" s="392"/>
      <c r="B56" s="407"/>
      <c r="C56" s="84"/>
      <c r="D56" s="408"/>
      <c r="E56" s="409"/>
      <c r="F56" s="84"/>
      <c r="G56" s="84"/>
      <c r="H56" s="2"/>
      <c r="I56" s="2"/>
      <c r="J56" s="46"/>
      <c r="K56" s="46"/>
      <c r="L56" s="46"/>
      <c r="M56" s="46"/>
      <c r="N56" s="46"/>
      <c r="O56" s="46"/>
      <c r="R56" s="206"/>
      <c r="S56" s="206"/>
      <c r="T56" s="206"/>
      <c r="U56" s="206"/>
      <c r="V56" s="206"/>
      <c r="W56" s="206"/>
    </row>
  </sheetData>
  <mergeCells count="1">
    <mergeCell ref="A1:H1"/>
  </mergeCells>
  <phoneticPr fontId="33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9A5EB1-DACC-42F3-BA30-9FD44CBF38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1669</vt:i4>
      </vt:variant>
    </vt:vector>
  </HeadingPairs>
  <TitlesOfParts>
    <vt:vector size="1680" baseType="lpstr">
      <vt:lpstr>MAIN</vt:lpstr>
      <vt:lpstr>Bunkering</vt:lpstr>
      <vt:lpstr>Setup</vt:lpstr>
      <vt:lpstr>Tank1</vt:lpstr>
      <vt:lpstr>Tank2</vt:lpstr>
      <vt:lpstr>Tank3</vt:lpstr>
      <vt:lpstr>Tank4</vt:lpstr>
      <vt:lpstr>Sheet1</vt:lpstr>
      <vt:lpstr>Report2</vt:lpstr>
      <vt:lpstr>Report3</vt:lpstr>
      <vt:lpstr>Report5</vt:lpstr>
      <vt:lpstr>Report5!aftDraft</vt:lpstr>
      <vt:lpstr>Report6!aftDraft</vt:lpstr>
      <vt:lpstr>aftDraft</vt:lpstr>
      <vt:lpstr>alongDate</vt:lpstr>
      <vt:lpstr>alongTime</vt:lpstr>
      <vt:lpstr>apiDen</vt:lpstr>
      <vt:lpstr>arrivalHfo</vt:lpstr>
      <vt:lpstr>arrivalMgo</vt:lpstr>
      <vt:lpstr>atAnchor</vt:lpstr>
      <vt:lpstr>atPort</vt:lpstr>
      <vt:lpstr>atSea</vt:lpstr>
      <vt:lpstr>bargeName</vt:lpstr>
      <vt:lpstr>bdnNumber</vt:lpstr>
      <vt:lpstr>bdnQuantity</vt:lpstr>
      <vt:lpstr>bunkerDate</vt:lpstr>
      <vt:lpstr>bunkerPlanHeel</vt:lpstr>
      <vt:lpstr>bunkerPlanTrim</vt:lpstr>
      <vt:lpstr>bunkerQuantity</vt:lpstr>
      <vt:lpstr>bunkerRemarks</vt:lpstr>
      <vt:lpstr>bunkerSupplier</vt:lpstr>
      <vt:lpstr>bunkerTime</vt:lpstr>
      <vt:lpstr>castDate</vt:lpstr>
      <vt:lpstr>castTime</vt:lpstr>
      <vt:lpstr>chEng</vt:lpstr>
      <vt:lpstr>consDate</vt:lpstr>
      <vt:lpstr>consumption1</vt:lpstr>
      <vt:lpstr>consumption10</vt:lpstr>
      <vt:lpstr>consumption11</vt:lpstr>
      <vt:lpstr>consumption110</vt:lpstr>
      <vt:lpstr>consumption12</vt:lpstr>
      <vt:lpstr>consumption13</vt:lpstr>
      <vt:lpstr>consumption14</vt:lpstr>
      <vt:lpstr>consumption15</vt:lpstr>
      <vt:lpstr>consumption16</vt:lpstr>
      <vt:lpstr>consumption17</vt:lpstr>
      <vt:lpstr>consumption18</vt:lpstr>
      <vt:lpstr>consumption19</vt:lpstr>
      <vt:lpstr>consumption2</vt:lpstr>
      <vt:lpstr>consumption3</vt:lpstr>
      <vt:lpstr>consumption4</vt:lpstr>
      <vt:lpstr>consumption5</vt:lpstr>
      <vt:lpstr>consumption6</vt:lpstr>
      <vt:lpstr>consumption7</vt:lpstr>
      <vt:lpstr>consumption8</vt:lpstr>
      <vt:lpstr>consumption9</vt:lpstr>
      <vt:lpstr>correct1</vt:lpstr>
      <vt:lpstr>correct10</vt:lpstr>
      <vt:lpstr>correct11</vt:lpstr>
      <vt:lpstr>correct12</vt:lpstr>
      <vt:lpstr>correct13</vt:lpstr>
      <vt:lpstr>correct14</vt:lpstr>
      <vt:lpstr>correct15</vt:lpstr>
      <vt:lpstr>correct16</vt:lpstr>
      <vt:lpstr>correct17</vt:lpstr>
      <vt:lpstr>correct2</vt:lpstr>
      <vt:lpstr>Bunkering!correct21</vt:lpstr>
      <vt:lpstr>Bunkering!correct210</vt:lpstr>
      <vt:lpstr>Bunkering!correct211</vt:lpstr>
      <vt:lpstr>Bunkering!correct212</vt:lpstr>
      <vt:lpstr>Bunkering!correct213</vt:lpstr>
      <vt:lpstr>Bunkering!correct214</vt:lpstr>
      <vt:lpstr>correct215</vt:lpstr>
      <vt:lpstr>correct216</vt:lpstr>
      <vt:lpstr>correct217</vt:lpstr>
      <vt:lpstr>Bunkering!correct22</vt:lpstr>
      <vt:lpstr>Bunkering!correct23</vt:lpstr>
      <vt:lpstr>Bunkering!correct24</vt:lpstr>
      <vt:lpstr>Bunkering!correct25</vt:lpstr>
      <vt:lpstr>Bunkering!correct26</vt:lpstr>
      <vt:lpstr>Bunkering!correct27</vt:lpstr>
      <vt:lpstr>Bunkering!correct28</vt:lpstr>
      <vt:lpstr>Bunkering!correct29</vt:lpstr>
      <vt:lpstr>correct3</vt:lpstr>
      <vt:lpstr>correct4</vt:lpstr>
      <vt:lpstr>correct5</vt:lpstr>
      <vt:lpstr>correct6</vt:lpstr>
      <vt:lpstr>correct7</vt:lpstr>
      <vt:lpstr>correct8</vt:lpstr>
      <vt:lpstr>correct9</vt:lpstr>
      <vt:lpstr>currentSounding1</vt:lpstr>
      <vt:lpstr>currentSounding12</vt:lpstr>
      <vt:lpstr>currentSounding13</vt:lpstr>
      <vt:lpstr>currentSounding16</vt:lpstr>
      <vt:lpstr>currentSounding2</vt:lpstr>
      <vt:lpstr>currentSounding21</vt:lpstr>
      <vt:lpstr>currentSounding212</vt:lpstr>
      <vt:lpstr>currentSounding213</vt:lpstr>
      <vt:lpstr>currentSounding216</vt:lpstr>
      <vt:lpstr>currentSounding22</vt:lpstr>
      <vt:lpstr>currentSounding23</vt:lpstr>
      <vt:lpstr>currentSounding24</vt:lpstr>
      <vt:lpstr>currentSounding25</vt:lpstr>
      <vt:lpstr>currentSounding26</vt:lpstr>
      <vt:lpstr>currentSounding3</vt:lpstr>
      <vt:lpstr>currentSounding4</vt:lpstr>
      <vt:lpstr>currentSounding5</vt:lpstr>
      <vt:lpstr>currentSounding6</vt:lpstr>
      <vt:lpstr>currentUllage1</vt:lpstr>
      <vt:lpstr>currentUllage2</vt:lpstr>
      <vt:lpstr>currentUllage3</vt:lpstr>
      <vt:lpstr>currentUllage4</vt:lpstr>
      <vt:lpstr>currentUllage5</vt:lpstr>
      <vt:lpstr>currentUllage6</vt:lpstr>
      <vt:lpstr>currentVolume1</vt:lpstr>
      <vt:lpstr>currentVolume12</vt:lpstr>
      <vt:lpstr>currentVolume13</vt:lpstr>
      <vt:lpstr>currentVolume16</vt:lpstr>
      <vt:lpstr>currentVolume2</vt:lpstr>
      <vt:lpstr>currentVolume21</vt:lpstr>
      <vt:lpstr>currentVolume212</vt:lpstr>
      <vt:lpstr>currentVolume213</vt:lpstr>
      <vt:lpstr>currentVolume216</vt:lpstr>
      <vt:lpstr>currentVolume22</vt:lpstr>
      <vt:lpstr>currentVolume23</vt:lpstr>
      <vt:lpstr>currentVolume24</vt:lpstr>
      <vt:lpstr>currentVolume25</vt:lpstr>
      <vt:lpstr>currentVolume26</vt:lpstr>
      <vt:lpstr>currentVolume3</vt:lpstr>
      <vt:lpstr>currentVolume4</vt:lpstr>
      <vt:lpstr>currentVolume5</vt:lpstr>
      <vt:lpstr>currentVolume6</vt:lpstr>
      <vt:lpstr>daily1</vt:lpstr>
      <vt:lpstr>daily10</vt:lpstr>
      <vt:lpstr>daily11</vt:lpstr>
      <vt:lpstr>daily110</vt:lpstr>
      <vt:lpstr>daily12</vt:lpstr>
      <vt:lpstr>daily13</vt:lpstr>
      <vt:lpstr>daily14</vt:lpstr>
      <vt:lpstr>daily15</vt:lpstr>
      <vt:lpstr>daily16</vt:lpstr>
      <vt:lpstr>daily17</vt:lpstr>
      <vt:lpstr>daily18</vt:lpstr>
      <vt:lpstr>daily19</vt:lpstr>
      <vt:lpstr>daily2</vt:lpstr>
      <vt:lpstr>daily3</vt:lpstr>
      <vt:lpstr>daily4</vt:lpstr>
      <vt:lpstr>daily5</vt:lpstr>
      <vt:lpstr>daily6</vt:lpstr>
      <vt:lpstr>daily7</vt:lpstr>
      <vt:lpstr>daily8</vt:lpstr>
      <vt:lpstr>daily9</vt:lpstr>
      <vt:lpstr>Report5!dateYear</vt:lpstr>
      <vt:lpstr>Report6!dateYear</vt:lpstr>
      <vt:lpstr>dateYear</vt:lpstr>
      <vt:lpstr>days1</vt:lpstr>
      <vt:lpstr>days10</vt:lpstr>
      <vt:lpstr>days11</vt:lpstr>
      <vt:lpstr>days110</vt:lpstr>
      <vt:lpstr>days12</vt:lpstr>
      <vt:lpstr>days13</vt:lpstr>
      <vt:lpstr>days14</vt:lpstr>
      <vt:lpstr>days15</vt:lpstr>
      <vt:lpstr>days16</vt:lpstr>
      <vt:lpstr>days17</vt:lpstr>
      <vt:lpstr>days18</vt:lpstr>
      <vt:lpstr>days19</vt:lpstr>
      <vt:lpstr>days2</vt:lpstr>
      <vt:lpstr>days3</vt:lpstr>
      <vt:lpstr>days4</vt:lpstr>
      <vt:lpstr>days5</vt:lpstr>
      <vt:lpstr>days6</vt:lpstr>
      <vt:lpstr>days7</vt:lpstr>
      <vt:lpstr>days8</vt:lpstr>
      <vt:lpstr>days9</vt:lpstr>
      <vt:lpstr>daysHfo</vt:lpstr>
      <vt:lpstr>daysHfoPort</vt:lpstr>
      <vt:lpstr>daysMgo</vt:lpstr>
      <vt:lpstr>daysMgoPort</vt:lpstr>
      <vt:lpstr>dens1</vt:lpstr>
      <vt:lpstr>dens10</vt:lpstr>
      <vt:lpstr>dens11</vt:lpstr>
      <vt:lpstr>dens12</vt:lpstr>
      <vt:lpstr>dens13</vt:lpstr>
      <vt:lpstr>dens14</vt:lpstr>
      <vt:lpstr>dens15</vt:lpstr>
      <vt:lpstr>dens16</vt:lpstr>
      <vt:lpstr>dens17</vt:lpstr>
      <vt:lpstr>dens2</vt:lpstr>
      <vt:lpstr>Bunkering!dens21</vt:lpstr>
      <vt:lpstr>Bunkering!dens210</vt:lpstr>
      <vt:lpstr>Bunkering!dens211</vt:lpstr>
      <vt:lpstr>Bunkering!dens212</vt:lpstr>
      <vt:lpstr>Bunkering!dens213</vt:lpstr>
      <vt:lpstr>Bunkering!dens214</vt:lpstr>
      <vt:lpstr>dens215</vt:lpstr>
      <vt:lpstr>dens216</vt:lpstr>
      <vt:lpstr>dens217</vt:lpstr>
      <vt:lpstr>Bunkering!dens22</vt:lpstr>
      <vt:lpstr>Bunkering!dens23</vt:lpstr>
      <vt:lpstr>Bunkering!dens24</vt:lpstr>
      <vt:lpstr>Bunkering!dens25</vt:lpstr>
      <vt:lpstr>Bunkering!dens26</vt:lpstr>
      <vt:lpstr>Bunkering!dens27</vt:lpstr>
      <vt:lpstr>Bunkering!dens28</vt:lpstr>
      <vt:lpstr>Bunkering!dens29</vt:lpstr>
      <vt:lpstr>dens3</vt:lpstr>
      <vt:lpstr>dens4</vt:lpstr>
      <vt:lpstr>dens5</vt:lpstr>
      <vt:lpstr>dens6</vt:lpstr>
      <vt:lpstr>dens7</vt:lpstr>
      <vt:lpstr>dens8</vt:lpstr>
      <vt:lpstr>dens9</vt:lpstr>
      <vt:lpstr>densityHfo</vt:lpstr>
      <vt:lpstr>densityLsfo</vt:lpstr>
      <vt:lpstr>densityMdo</vt:lpstr>
      <vt:lpstr>densityMgo</vt:lpstr>
      <vt:lpstr>departureHfo</vt:lpstr>
      <vt:lpstr>departureMgo</vt:lpstr>
      <vt:lpstr>diff1</vt:lpstr>
      <vt:lpstr>diff2</vt:lpstr>
      <vt:lpstr>diff21</vt:lpstr>
      <vt:lpstr>diff22</vt:lpstr>
      <vt:lpstr>diff23</vt:lpstr>
      <vt:lpstr>diff24</vt:lpstr>
      <vt:lpstr>diff3</vt:lpstr>
      <vt:lpstr>diff4</vt:lpstr>
      <vt:lpstr>distance1</vt:lpstr>
      <vt:lpstr>distance10</vt:lpstr>
      <vt:lpstr>distance11</vt:lpstr>
      <vt:lpstr>distance110</vt:lpstr>
      <vt:lpstr>distance12</vt:lpstr>
      <vt:lpstr>distance13</vt:lpstr>
      <vt:lpstr>distance14</vt:lpstr>
      <vt:lpstr>distance15</vt:lpstr>
      <vt:lpstr>distance16</vt:lpstr>
      <vt:lpstr>distance17</vt:lpstr>
      <vt:lpstr>distance18</vt:lpstr>
      <vt:lpstr>distance19</vt:lpstr>
      <vt:lpstr>distance2</vt:lpstr>
      <vt:lpstr>distance3</vt:lpstr>
      <vt:lpstr>distance4</vt:lpstr>
      <vt:lpstr>distance5</vt:lpstr>
      <vt:lpstr>distance6</vt:lpstr>
      <vt:lpstr>distance7</vt:lpstr>
      <vt:lpstr>distance8</vt:lpstr>
      <vt:lpstr>distance9</vt:lpstr>
      <vt:lpstr>distanceHfo</vt:lpstr>
      <vt:lpstr>distanceMgo</vt:lpstr>
      <vt:lpstr>draftAft</vt:lpstr>
      <vt:lpstr>Bunkering!draftAft1</vt:lpstr>
      <vt:lpstr>draftFwd</vt:lpstr>
      <vt:lpstr>Bunkering!draftFwd1</vt:lpstr>
      <vt:lpstr>draftMean</vt:lpstr>
      <vt:lpstr>Bunkering!draftMean1</vt:lpstr>
      <vt:lpstr>erTemp</vt:lpstr>
      <vt:lpstr>Bunkering!erTemp1</vt:lpstr>
      <vt:lpstr>from1</vt:lpstr>
      <vt:lpstr>from10</vt:lpstr>
      <vt:lpstr>from11</vt:lpstr>
      <vt:lpstr>from110</vt:lpstr>
      <vt:lpstr>from12</vt:lpstr>
      <vt:lpstr>from13</vt:lpstr>
      <vt:lpstr>from14</vt:lpstr>
      <vt:lpstr>from15</vt:lpstr>
      <vt:lpstr>from16</vt:lpstr>
      <vt:lpstr>from17</vt:lpstr>
      <vt:lpstr>from18</vt:lpstr>
      <vt:lpstr>from19</vt:lpstr>
      <vt:lpstr>from2</vt:lpstr>
      <vt:lpstr>from3</vt:lpstr>
      <vt:lpstr>from4</vt:lpstr>
      <vt:lpstr>from5</vt:lpstr>
      <vt:lpstr>from6</vt:lpstr>
      <vt:lpstr>from7</vt:lpstr>
      <vt:lpstr>from8</vt:lpstr>
      <vt:lpstr>from9</vt:lpstr>
      <vt:lpstr>fuelGrade1</vt:lpstr>
      <vt:lpstr>fuelRate</vt:lpstr>
      <vt:lpstr>fuelType</vt:lpstr>
      <vt:lpstr>fuelType1</vt:lpstr>
      <vt:lpstr>fuelType31</vt:lpstr>
      <vt:lpstr>fuelType310</vt:lpstr>
      <vt:lpstr>fuelType311</vt:lpstr>
      <vt:lpstr>fuelType312</vt:lpstr>
      <vt:lpstr>fuelType313</vt:lpstr>
      <vt:lpstr>fuelType314</vt:lpstr>
      <vt:lpstr>fuelType315</vt:lpstr>
      <vt:lpstr>fuelType316</vt:lpstr>
      <vt:lpstr>fuelType317</vt:lpstr>
      <vt:lpstr>fuelType32</vt:lpstr>
      <vt:lpstr>fuelType33</vt:lpstr>
      <vt:lpstr>fuelType34</vt:lpstr>
      <vt:lpstr>fuelType35</vt:lpstr>
      <vt:lpstr>fuelType36</vt:lpstr>
      <vt:lpstr>fuelType37</vt:lpstr>
      <vt:lpstr>fuelType38</vt:lpstr>
      <vt:lpstr>fuelType39</vt:lpstr>
      <vt:lpstr>fuelType41</vt:lpstr>
      <vt:lpstr>fuelType410</vt:lpstr>
      <vt:lpstr>fuelType411</vt:lpstr>
      <vt:lpstr>fuelType412</vt:lpstr>
      <vt:lpstr>fuelType413</vt:lpstr>
      <vt:lpstr>fuelType414</vt:lpstr>
      <vt:lpstr>fuelType415</vt:lpstr>
      <vt:lpstr>fuelType416</vt:lpstr>
      <vt:lpstr>fuelType417</vt:lpstr>
      <vt:lpstr>fuelType42</vt:lpstr>
      <vt:lpstr>fuelType43</vt:lpstr>
      <vt:lpstr>fuelType44</vt:lpstr>
      <vt:lpstr>fuelType45</vt:lpstr>
      <vt:lpstr>fuelType46</vt:lpstr>
      <vt:lpstr>fuelType47</vt:lpstr>
      <vt:lpstr>fuelType48</vt:lpstr>
      <vt:lpstr>fuelType49</vt:lpstr>
      <vt:lpstr>fuelType51</vt:lpstr>
      <vt:lpstr>fuelType510</vt:lpstr>
      <vt:lpstr>fuelType511</vt:lpstr>
      <vt:lpstr>fuelType512</vt:lpstr>
      <vt:lpstr>fuelType513</vt:lpstr>
      <vt:lpstr>fuelType514</vt:lpstr>
      <vt:lpstr>fuelType515</vt:lpstr>
      <vt:lpstr>fuelType516</vt:lpstr>
      <vt:lpstr>fuelType517</vt:lpstr>
      <vt:lpstr>fuelType52</vt:lpstr>
      <vt:lpstr>fuelType53</vt:lpstr>
      <vt:lpstr>fuelType54</vt:lpstr>
      <vt:lpstr>fuelType55</vt:lpstr>
      <vt:lpstr>fuelType56</vt:lpstr>
      <vt:lpstr>fuelType57</vt:lpstr>
      <vt:lpstr>fuelType58</vt:lpstr>
      <vt:lpstr>fuelType59</vt:lpstr>
      <vt:lpstr>fuelType61</vt:lpstr>
      <vt:lpstr>fuelType610</vt:lpstr>
      <vt:lpstr>fuelType611</vt:lpstr>
      <vt:lpstr>fuelType612</vt:lpstr>
      <vt:lpstr>fuelType613</vt:lpstr>
      <vt:lpstr>fuelType614</vt:lpstr>
      <vt:lpstr>fuelType615</vt:lpstr>
      <vt:lpstr>fuelType616</vt:lpstr>
      <vt:lpstr>fuelType617</vt:lpstr>
      <vt:lpstr>fuelType62</vt:lpstr>
      <vt:lpstr>fuelType63</vt:lpstr>
      <vt:lpstr>fuelType64</vt:lpstr>
      <vt:lpstr>fuelType65</vt:lpstr>
      <vt:lpstr>fuelType66</vt:lpstr>
      <vt:lpstr>fuelType67</vt:lpstr>
      <vt:lpstr>fuelType68</vt:lpstr>
      <vt:lpstr>fuelType69</vt:lpstr>
      <vt:lpstr>fuelTypeReport3</vt:lpstr>
      <vt:lpstr>fwdDraft</vt:lpstr>
      <vt:lpstr>hcyl</vt:lpstr>
      <vt:lpstr>heelDraft</vt:lpstr>
      <vt:lpstr>heelDraft1</vt:lpstr>
      <vt:lpstr>heeling</vt:lpstr>
      <vt:lpstr>Bunkering!heeling1</vt:lpstr>
      <vt:lpstr>heelValue</vt:lpstr>
      <vt:lpstr>heelValue1</vt:lpstr>
      <vt:lpstr>hfoAdded</vt:lpstr>
      <vt:lpstr>hfoPres</vt:lpstr>
      <vt:lpstr>hfoPrev</vt:lpstr>
      <vt:lpstr>hoseConnectDate</vt:lpstr>
      <vt:lpstr>hoseConnectTime</vt:lpstr>
      <vt:lpstr>hoseDisconnectDate</vt:lpstr>
      <vt:lpstr>hoseDisconnectTime</vt:lpstr>
      <vt:lpstr>inc</vt:lpstr>
      <vt:lpstr>incHeel</vt:lpstr>
      <vt:lpstr>incOil1</vt:lpstr>
      <vt:lpstr>incOil2</vt:lpstr>
      <vt:lpstr>kindSurvey</vt:lpstr>
      <vt:lpstr>Bunkering!kindSurvey1</vt:lpstr>
      <vt:lpstr>lastRow</vt:lpstr>
      <vt:lpstr>LetterProtest</vt:lpstr>
      <vt:lpstr>lfoAdded</vt:lpstr>
      <vt:lpstr>lfoPres</vt:lpstr>
      <vt:lpstr>lfoPrev</vt:lpstr>
      <vt:lpstr>logBook1</vt:lpstr>
      <vt:lpstr>logBook2</vt:lpstr>
      <vt:lpstr>logbook21</vt:lpstr>
      <vt:lpstr>logbook22</vt:lpstr>
      <vt:lpstr>logbook23</vt:lpstr>
      <vt:lpstr>logbook24</vt:lpstr>
      <vt:lpstr>logBook3</vt:lpstr>
      <vt:lpstr>logBook4</vt:lpstr>
      <vt:lpstr>lubeOil1</vt:lpstr>
      <vt:lpstr>lubeOil2</vt:lpstr>
      <vt:lpstr>lubeOil21</vt:lpstr>
      <vt:lpstr>lubeOil22</vt:lpstr>
      <vt:lpstr>lubeOil23</vt:lpstr>
      <vt:lpstr>lubeOil24</vt:lpstr>
      <vt:lpstr>lubeOil3</vt:lpstr>
      <vt:lpstr>lubeOil4</vt:lpstr>
      <vt:lpstr>marginHfo</vt:lpstr>
      <vt:lpstr>marginMgo</vt:lpstr>
      <vt:lpstr>mdoAdded</vt:lpstr>
      <vt:lpstr>mdoPres</vt:lpstr>
      <vt:lpstr>mdoPrev</vt:lpstr>
      <vt:lpstr>meanDraft</vt:lpstr>
      <vt:lpstr>method21</vt:lpstr>
      <vt:lpstr>method210</vt:lpstr>
      <vt:lpstr>method211</vt:lpstr>
      <vt:lpstr>method212</vt:lpstr>
      <vt:lpstr>method213</vt:lpstr>
      <vt:lpstr>method214</vt:lpstr>
      <vt:lpstr>method215</vt:lpstr>
      <vt:lpstr>method216</vt:lpstr>
      <vt:lpstr>method217</vt:lpstr>
      <vt:lpstr>method22</vt:lpstr>
      <vt:lpstr>method23</vt:lpstr>
      <vt:lpstr>method24</vt:lpstr>
      <vt:lpstr>method25</vt:lpstr>
      <vt:lpstr>method26</vt:lpstr>
      <vt:lpstr>method27</vt:lpstr>
      <vt:lpstr>method28</vt:lpstr>
      <vt:lpstr>method29</vt:lpstr>
      <vt:lpstr>method41</vt:lpstr>
      <vt:lpstr>method410</vt:lpstr>
      <vt:lpstr>method411</vt:lpstr>
      <vt:lpstr>method412</vt:lpstr>
      <vt:lpstr>method413</vt:lpstr>
      <vt:lpstr>method414</vt:lpstr>
      <vt:lpstr>method415</vt:lpstr>
      <vt:lpstr>method416</vt:lpstr>
      <vt:lpstr>method417</vt:lpstr>
      <vt:lpstr>method42</vt:lpstr>
      <vt:lpstr>method43</vt:lpstr>
      <vt:lpstr>method44</vt:lpstr>
      <vt:lpstr>method45</vt:lpstr>
      <vt:lpstr>method46</vt:lpstr>
      <vt:lpstr>method47</vt:lpstr>
      <vt:lpstr>method48</vt:lpstr>
      <vt:lpstr>method49</vt:lpstr>
      <vt:lpstr>methodValue11</vt:lpstr>
      <vt:lpstr>methodValue110</vt:lpstr>
      <vt:lpstr>methodValue111</vt:lpstr>
      <vt:lpstr>methodValue112</vt:lpstr>
      <vt:lpstr>methodValue113</vt:lpstr>
      <vt:lpstr>methodValue114</vt:lpstr>
      <vt:lpstr>methodValue115</vt:lpstr>
      <vt:lpstr>methodValue116</vt:lpstr>
      <vt:lpstr>methodValue117</vt:lpstr>
      <vt:lpstr>methodValue12</vt:lpstr>
      <vt:lpstr>methodValue13</vt:lpstr>
      <vt:lpstr>methodValue14</vt:lpstr>
      <vt:lpstr>methodValue15</vt:lpstr>
      <vt:lpstr>methodValue16</vt:lpstr>
      <vt:lpstr>methodValue17</vt:lpstr>
      <vt:lpstr>methodValue18</vt:lpstr>
      <vt:lpstr>methodValue19</vt:lpstr>
      <vt:lpstr>methodValue21</vt:lpstr>
      <vt:lpstr>methodValue210</vt:lpstr>
      <vt:lpstr>methodValue211</vt:lpstr>
      <vt:lpstr>methodValue212</vt:lpstr>
      <vt:lpstr>methodValue213</vt:lpstr>
      <vt:lpstr>methodValue214</vt:lpstr>
      <vt:lpstr>methodValue215</vt:lpstr>
      <vt:lpstr>methodValue216</vt:lpstr>
      <vt:lpstr>methodValue217</vt:lpstr>
      <vt:lpstr>methodValue22</vt:lpstr>
      <vt:lpstr>methodValue23</vt:lpstr>
      <vt:lpstr>methodValue24</vt:lpstr>
      <vt:lpstr>methodValue25</vt:lpstr>
      <vt:lpstr>methodValue26</vt:lpstr>
      <vt:lpstr>methodValue27</vt:lpstr>
      <vt:lpstr>methodValue28</vt:lpstr>
      <vt:lpstr>methodValue29</vt:lpstr>
      <vt:lpstr>mgoAdded</vt:lpstr>
      <vt:lpstr>mgoPres</vt:lpstr>
      <vt:lpstr>mgoPrev</vt:lpstr>
      <vt:lpstr>Misc10Heel</vt:lpstr>
      <vt:lpstr>Misc10Heel1</vt:lpstr>
      <vt:lpstr>Misc10Heel2</vt:lpstr>
      <vt:lpstr>Misc10Heel3</vt:lpstr>
      <vt:lpstr>Misc10trim</vt:lpstr>
      <vt:lpstr>Misc10Trim1</vt:lpstr>
      <vt:lpstr>Misc10Trim2</vt:lpstr>
      <vt:lpstr>Misc10Trim3</vt:lpstr>
      <vt:lpstr>misc11Heel</vt:lpstr>
      <vt:lpstr>misc11Heel1</vt:lpstr>
      <vt:lpstr>misc11Heel2</vt:lpstr>
      <vt:lpstr>misc11Heel3</vt:lpstr>
      <vt:lpstr>misc11Trim</vt:lpstr>
      <vt:lpstr>misc11Trim1</vt:lpstr>
      <vt:lpstr>misc11Trim2</vt:lpstr>
      <vt:lpstr>misc11Trim3</vt:lpstr>
      <vt:lpstr>Misc1Heel</vt:lpstr>
      <vt:lpstr>Misc1Heel1</vt:lpstr>
      <vt:lpstr>Misc1Heel2</vt:lpstr>
      <vt:lpstr>Misc1Heel3</vt:lpstr>
      <vt:lpstr>Misc1Trim</vt:lpstr>
      <vt:lpstr>Misc1Trim1</vt:lpstr>
      <vt:lpstr>Misc1Trim2</vt:lpstr>
      <vt:lpstr>Misc1Trim3</vt:lpstr>
      <vt:lpstr>Misc2Heel</vt:lpstr>
      <vt:lpstr>Misc2Heel1</vt:lpstr>
      <vt:lpstr>Misc2Heel2</vt:lpstr>
      <vt:lpstr>Misc2Heel3</vt:lpstr>
      <vt:lpstr>Misc2Trim</vt:lpstr>
      <vt:lpstr>Misc2Trim1</vt:lpstr>
      <vt:lpstr>Misc2Trim2</vt:lpstr>
      <vt:lpstr>Misc2Trim3</vt:lpstr>
      <vt:lpstr>Misc3Heel</vt:lpstr>
      <vt:lpstr>Misc3Heel1</vt:lpstr>
      <vt:lpstr>Misc3Heel2</vt:lpstr>
      <vt:lpstr>Misc3Heel3</vt:lpstr>
      <vt:lpstr>Misc3Trim</vt:lpstr>
      <vt:lpstr>Misc3Trim1</vt:lpstr>
      <vt:lpstr>Misc3Trim2</vt:lpstr>
      <vt:lpstr>Misc3Trim3</vt:lpstr>
      <vt:lpstr>Misc4Heel</vt:lpstr>
      <vt:lpstr>Misc4Heel1</vt:lpstr>
      <vt:lpstr>Misc4Heel2</vt:lpstr>
      <vt:lpstr>Misc4Heel3</vt:lpstr>
      <vt:lpstr>Misc4Trim</vt:lpstr>
      <vt:lpstr>Misc4Trim1</vt:lpstr>
      <vt:lpstr>Misc4Trim2</vt:lpstr>
      <vt:lpstr>Misc4Trim3</vt:lpstr>
      <vt:lpstr>Misc5Heel</vt:lpstr>
      <vt:lpstr>Misc5Heel1</vt:lpstr>
      <vt:lpstr>Misc5Heel2</vt:lpstr>
      <vt:lpstr>Misc5Heel3</vt:lpstr>
      <vt:lpstr>Misc5Trim</vt:lpstr>
      <vt:lpstr>Misc5Trim1</vt:lpstr>
      <vt:lpstr>Misc5Trim2</vt:lpstr>
      <vt:lpstr>Misc5Trim3</vt:lpstr>
      <vt:lpstr>Misc6Heel</vt:lpstr>
      <vt:lpstr>Misc6Heel1</vt:lpstr>
      <vt:lpstr>Misc6Heel2</vt:lpstr>
      <vt:lpstr>Misc6Heel3</vt:lpstr>
      <vt:lpstr>Misc6Trim</vt:lpstr>
      <vt:lpstr>Misc6Trim1</vt:lpstr>
      <vt:lpstr>Misc6Trim2</vt:lpstr>
      <vt:lpstr>Misc6Trim3</vt:lpstr>
      <vt:lpstr>Misc7Heel</vt:lpstr>
      <vt:lpstr>Misc7Heel1</vt:lpstr>
      <vt:lpstr>Misc7Heel2</vt:lpstr>
      <vt:lpstr>Misc7Heel3</vt:lpstr>
      <vt:lpstr>Misc7Trim</vt:lpstr>
      <vt:lpstr>Misc7Trim1</vt:lpstr>
      <vt:lpstr>Misc7Trim2</vt:lpstr>
      <vt:lpstr>Misc7Trim3</vt:lpstr>
      <vt:lpstr>Misc8Heel</vt:lpstr>
      <vt:lpstr>Misc8Heel1</vt:lpstr>
      <vt:lpstr>Misc8Heel2</vt:lpstr>
      <vt:lpstr>Misc8Heel3</vt:lpstr>
      <vt:lpstr>Misc8Trim</vt:lpstr>
      <vt:lpstr>Misc8Trim1</vt:lpstr>
      <vt:lpstr>Misc8Trim2</vt:lpstr>
      <vt:lpstr>Misc8Trim3</vt:lpstr>
      <vt:lpstr>Misc9Heel</vt:lpstr>
      <vt:lpstr>Misc9Heel1</vt:lpstr>
      <vt:lpstr>Misc9Heel2</vt:lpstr>
      <vt:lpstr>Misc9Heel3</vt:lpstr>
      <vt:lpstr>Misc9Trim</vt:lpstr>
      <vt:lpstr>Misc9Trim1</vt:lpstr>
      <vt:lpstr>Misc9Trim2</vt:lpstr>
      <vt:lpstr>Misc9Trim3</vt:lpstr>
      <vt:lpstr>Report5!miscAll</vt:lpstr>
      <vt:lpstr>Report6!miscAll</vt:lpstr>
      <vt:lpstr>miscAll</vt:lpstr>
      <vt:lpstr>miscMonth</vt:lpstr>
      <vt:lpstr>MiscSound1</vt:lpstr>
      <vt:lpstr>MiscSound10</vt:lpstr>
      <vt:lpstr>MiscSound11</vt:lpstr>
      <vt:lpstr>MiscSound2</vt:lpstr>
      <vt:lpstr>MiscSound3</vt:lpstr>
      <vt:lpstr>MiscSound4</vt:lpstr>
      <vt:lpstr>MiscSound5</vt:lpstr>
      <vt:lpstr>MiscSound6</vt:lpstr>
      <vt:lpstr>MiscSound7</vt:lpstr>
      <vt:lpstr>MiscSound8</vt:lpstr>
      <vt:lpstr>MiscSound9</vt:lpstr>
      <vt:lpstr>miscTank1</vt:lpstr>
      <vt:lpstr>miscTank10</vt:lpstr>
      <vt:lpstr>miscTank11</vt:lpstr>
      <vt:lpstr>miscTank2</vt:lpstr>
      <vt:lpstr>miscTank21</vt:lpstr>
      <vt:lpstr>miscTank210</vt:lpstr>
      <vt:lpstr>miscTank211</vt:lpstr>
      <vt:lpstr>miscTank22</vt:lpstr>
      <vt:lpstr>miscTank23</vt:lpstr>
      <vt:lpstr>miscTank24</vt:lpstr>
      <vt:lpstr>miscTank25</vt:lpstr>
      <vt:lpstr>miscTank26</vt:lpstr>
      <vt:lpstr>miscTank27</vt:lpstr>
      <vt:lpstr>miscTank28</vt:lpstr>
      <vt:lpstr>miscTank29</vt:lpstr>
      <vt:lpstr>miscTank3</vt:lpstr>
      <vt:lpstr>miscTank4</vt:lpstr>
      <vt:lpstr>miscTank5</vt:lpstr>
      <vt:lpstr>miscTank6</vt:lpstr>
      <vt:lpstr>miscTank7</vt:lpstr>
      <vt:lpstr>miscTank8</vt:lpstr>
      <vt:lpstr>miscTank9</vt:lpstr>
      <vt:lpstr>MiscVolume1</vt:lpstr>
      <vt:lpstr>MiscVolume10</vt:lpstr>
      <vt:lpstr>MiscVolume11</vt:lpstr>
      <vt:lpstr>MiscVolume2</vt:lpstr>
      <vt:lpstr>MiscVolume3</vt:lpstr>
      <vt:lpstr>MiscVolume4</vt:lpstr>
      <vt:lpstr>MiscVolume5</vt:lpstr>
      <vt:lpstr>MiscVolume6</vt:lpstr>
      <vt:lpstr>MiscVolume7</vt:lpstr>
      <vt:lpstr>MiscVolume8</vt:lpstr>
      <vt:lpstr>MiscVolume9</vt:lpstr>
      <vt:lpstr>miscYear</vt:lpstr>
      <vt:lpstr>newDate</vt:lpstr>
      <vt:lpstr>newDate1</vt:lpstr>
      <vt:lpstr>nextHfo</vt:lpstr>
      <vt:lpstr>nextMgo</vt:lpstr>
      <vt:lpstr>observe1</vt:lpstr>
      <vt:lpstr>observe10</vt:lpstr>
      <vt:lpstr>observe11</vt:lpstr>
      <vt:lpstr>observe12</vt:lpstr>
      <vt:lpstr>observe13</vt:lpstr>
      <vt:lpstr>observe14</vt:lpstr>
      <vt:lpstr>observe15</vt:lpstr>
      <vt:lpstr>observe16</vt:lpstr>
      <vt:lpstr>observe17</vt:lpstr>
      <vt:lpstr>observe2</vt:lpstr>
      <vt:lpstr>Bunkering!observe21</vt:lpstr>
      <vt:lpstr>Bunkering!observe210</vt:lpstr>
      <vt:lpstr>Bunkering!observe211</vt:lpstr>
      <vt:lpstr>Bunkering!observe212</vt:lpstr>
      <vt:lpstr>Bunkering!observe213</vt:lpstr>
      <vt:lpstr>Bunkering!observe214</vt:lpstr>
      <vt:lpstr>observe215</vt:lpstr>
      <vt:lpstr>observe216</vt:lpstr>
      <vt:lpstr>observe217</vt:lpstr>
      <vt:lpstr>Bunkering!observe22</vt:lpstr>
      <vt:lpstr>Bunkering!observe23</vt:lpstr>
      <vt:lpstr>Bunkering!observe24</vt:lpstr>
      <vt:lpstr>Bunkering!observe25</vt:lpstr>
      <vt:lpstr>Bunkering!observe26</vt:lpstr>
      <vt:lpstr>Bunkering!observe27</vt:lpstr>
      <vt:lpstr>Bunkering!observe28</vt:lpstr>
      <vt:lpstr>Bunkering!observe29</vt:lpstr>
      <vt:lpstr>observe3</vt:lpstr>
      <vt:lpstr>observe4</vt:lpstr>
      <vt:lpstr>observe5</vt:lpstr>
      <vt:lpstr>observe6</vt:lpstr>
      <vt:lpstr>observe7</vt:lpstr>
      <vt:lpstr>observe8</vt:lpstr>
      <vt:lpstr>observe9</vt:lpstr>
      <vt:lpstr>Oil1Heel</vt:lpstr>
      <vt:lpstr>Oil1Heel1</vt:lpstr>
      <vt:lpstr>Oil1Heel2</vt:lpstr>
      <vt:lpstr>Oil1Heel3</vt:lpstr>
      <vt:lpstr>Oil1Trim</vt:lpstr>
      <vt:lpstr>Oil1Trim1</vt:lpstr>
      <vt:lpstr>Oil1Trim2</vt:lpstr>
      <vt:lpstr>Oil1Trim3</vt:lpstr>
      <vt:lpstr>Oil2Heel</vt:lpstr>
      <vt:lpstr>Oil2Heel1</vt:lpstr>
      <vt:lpstr>Oil2Heel2</vt:lpstr>
      <vt:lpstr>Oil2Heel3</vt:lpstr>
      <vt:lpstr>Oil2Trim</vt:lpstr>
      <vt:lpstr>Oil2Trim1</vt:lpstr>
      <vt:lpstr>Oil2Trim2</vt:lpstr>
      <vt:lpstr>Oil2Trim3</vt:lpstr>
      <vt:lpstr>Oil3Heel</vt:lpstr>
      <vt:lpstr>Oil3Heel1</vt:lpstr>
      <vt:lpstr>Oil3Heel2</vt:lpstr>
      <vt:lpstr>Oil3Heel3</vt:lpstr>
      <vt:lpstr>Oil3Trim</vt:lpstr>
      <vt:lpstr>Oil3Trim1</vt:lpstr>
      <vt:lpstr>Oil3Trim2</vt:lpstr>
      <vt:lpstr>Oil3Trim3</vt:lpstr>
      <vt:lpstr>Oil4Heel</vt:lpstr>
      <vt:lpstr>Oil4Heel1</vt:lpstr>
      <vt:lpstr>Oil4Heel2</vt:lpstr>
      <vt:lpstr>Oil4Heel3</vt:lpstr>
      <vt:lpstr>Oil4Trim</vt:lpstr>
      <vt:lpstr>Oil4Trim1</vt:lpstr>
      <vt:lpstr>Oil4Trim2</vt:lpstr>
      <vt:lpstr>Oil4Trim3</vt:lpstr>
      <vt:lpstr>Oil5Heel</vt:lpstr>
      <vt:lpstr>Oil5Heel1</vt:lpstr>
      <vt:lpstr>Oil5Heel2</vt:lpstr>
      <vt:lpstr>Oil5Heel3</vt:lpstr>
      <vt:lpstr>Oil5Trim</vt:lpstr>
      <vt:lpstr>Oil5Trim1</vt:lpstr>
      <vt:lpstr>Oil5Trim2</vt:lpstr>
      <vt:lpstr>Oil5Trim3</vt:lpstr>
      <vt:lpstr>Oil6Heel</vt:lpstr>
      <vt:lpstr>Oil6Heel1</vt:lpstr>
      <vt:lpstr>Oil6Heel2</vt:lpstr>
      <vt:lpstr>Oil6Heel3</vt:lpstr>
      <vt:lpstr>Oil6Trim</vt:lpstr>
      <vt:lpstr>Oil6Trim1</vt:lpstr>
      <vt:lpstr>Oil6Trim2</vt:lpstr>
      <vt:lpstr>Oil6Trim3</vt:lpstr>
      <vt:lpstr>Oil7Heel</vt:lpstr>
      <vt:lpstr>Oil7Heel1</vt:lpstr>
      <vt:lpstr>Oil7Heel2</vt:lpstr>
      <vt:lpstr>Oil7Heel3</vt:lpstr>
      <vt:lpstr>Oil7Trim</vt:lpstr>
      <vt:lpstr>Oil7Trim1</vt:lpstr>
      <vt:lpstr>Oil7Trim2</vt:lpstr>
      <vt:lpstr>Oil7Trim3</vt:lpstr>
      <vt:lpstr>oilDraft1</vt:lpstr>
      <vt:lpstr>oilDraftAft</vt:lpstr>
      <vt:lpstr>oilDraftFwd</vt:lpstr>
      <vt:lpstr>oilDraftMean</vt:lpstr>
      <vt:lpstr>oilHeel</vt:lpstr>
      <vt:lpstr>oilMonth</vt:lpstr>
      <vt:lpstr>oilRow</vt:lpstr>
      <vt:lpstr>OilSound1</vt:lpstr>
      <vt:lpstr>OilSound2</vt:lpstr>
      <vt:lpstr>OilSound3</vt:lpstr>
      <vt:lpstr>OilSound4</vt:lpstr>
      <vt:lpstr>OilSound5</vt:lpstr>
      <vt:lpstr>OilSound6</vt:lpstr>
      <vt:lpstr>OilSound7</vt:lpstr>
      <vt:lpstr>oilTank1</vt:lpstr>
      <vt:lpstr>oilTank2</vt:lpstr>
      <vt:lpstr>oilTank21</vt:lpstr>
      <vt:lpstr>oilTank22</vt:lpstr>
      <vt:lpstr>oilTank23</vt:lpstr>
      <vt:lpstr>oilTank24</vt:lpstr>
      <vt:lpstr>oilTank25</vt:lpstr>
      <vt:lpstr>oilTank26</vt:lpstr>
      <vt:lpstr>oilTank27</vt:lpstr>
      <vt:lpstr>oilTank28</vt:lpstr>
      <vt:lpstr>oilTank3</vt:lpstr>
      <vt:lpstr>oilTank31</vt:lpstr>
      <vt:lpstr>oilTank32</vt:lpstr>
      <vt:lpstr>oilTank4</vt:lpstr>
      <vt:lpstr>oilTank5</vt:lpstr>
      <vt:lpstr>oilTank6</vt:lpstr>
      <vt:lpstr>oilTank7</vt:lpstr>
      <vt:lpstr>oilTank8</vt:lpstr>
      <vt:lpstr>oilTotal1</vt:lpstr>
      <vt:lpstr>oilTotal2</vt:lpstr>
      <vt:lpstr>oilTrim</vt:lpstr>
      <vt:lpstr>oilTrimTrue</vt:lpstr>
      <vt:lpstr>OilVolume1</vt:lpstr>
      <vt:lpstr>OilVolume2</vt:lpstr>
      <vt:lpstr>OilVolume3</vt:lpstr>
      <vt:lpstr>OilVolume4</vt:lpstr>
      <vt:lpstr>OilVolume5</vt:lpstr>
      <vt:lpstr>OilVolume6</vt:lpstr>
      <vt:lpstr>OilVolume7</vt:lpstr>
      <vt:lpstr>oilYear</vt:lpstr>
      <vt:lpstr>percent1</vt:lpstr>
      <vt:lpstr>percent10</vt:lpstr>
      <vt:lpstr>percent11</vt:lpstr>
      <vt:lpstr>percent12</vt:lpstr>
      <vt:lpstr>percent13</vt:lpstr>
      <vt:lpstr>percent14</vt:lpstr>
      <vt:lpstr>percent15</vt:lpstr>
      <vt:lpstr>percent16</vt:lpstr>
      <vt:lpstr>percent17</vt:lpstr>
      <vt:lpstr>percent2</vt:lpstr>
      <vt:lpstr>Bunkering!percent21</vt:lpstr>
      <vt:lpstr>Bunkering!percent210</vt:lpstr>
      <vt:lpstr>Bunkering!percent211</vt:lpstr>
      <vt:lpstr>Bunkering!percent212</vt:lpstr>
      <vt:lpstr>Bunkering!percent213</vt:lpstr>
      <vt:lpstr>Bunkering!percent214</vt:lpstr>
      <vt:lpstr>percent215</vt:lpstr>
      <vt:lpstr>percent216</vt:lpstr>
      <vt:lpstr>percent217</vt:lpstr>
      <vt:lpstr>Bunkering!percent22</vt:lpstr>
      <vt:lpstr>Bunkering!percent23</vt:lpstr>
      <vt:lpstr>Bunkering!percent24</vt:lpstr>
      <vt:lpstr>Bunkering!percent25</vt:lpstr>
      <vt:lpstr>Bunkering!percent26</vt:lpstr>
      <vt:lpstr>Bunkering!percent27</vt:lpstr>
      <vt:lpstr>Bunkering!percent28</vt:lpstr>
      <vt:lpstr>Bunkering!percent29</vt:lpstr>
      <vt:lpstr>percent3</vt:lpstr>
      <vt:lpstr>percent4</vt:lpstr>
      <vt:lpstr>percent5</vt:lpstr>
      <vt:lpstr>percent6</vt:lpstr>
      <vt:lpstr>percent7</vt:lpstr>
      <vt:lpstr>percent8</vt:lpstr>
      <vt:lpstr>percent9</vt:lpstr>
      <vt:lpstr>percentVolume1</vt:lpstr>
      <vt:lpstr>percentVolume2</vt:lpstr>
      <vt:lpstr>percentVolume3</vt:lpstr>
      <vt:lpstr>percentVolume4</vt:lpstr>
      <vt:lpstr>percentVolume5</vt:lpstr>
      <vt:lpstr>percentVolume6</vt:lpstr>
      <vt:lpstr>port1</vt:lpstr>
      <vt:lpstr>port10</vt:lpstr>
      <vt:lpstr>port11</vt:lpstr>
      <vt:lpstr>port110</vt:lpstr>
      <vt:lpstr>port12</vt:lpstr>
      <vt:lpstr>port13</vt:lpstr>
      <vt:lpstr>port14</vt:lpstr>
      <vt:lpstr>port15</vt:lpstr>
      <vt:lpstr>port16</vt:lpstr>
      <vt:lpstr>port17</vt:lpstr>
      <vt:lpstr>port18</vt:lpstr>
      <vt:lpstr>port19</vt:lpstr>
      <vt:lpstr>port2</vt:lpstr>
      <vt:lpstr>port3</vt:lpstr>
      <vt:lpstr>port4</vt:lpstr>
      <vt:lpstr>port5</vt:lpstr>
      <vt:lpstr>port6</vt:lpstr>
      <vt:lpstr>port7</vt:lpstr>
      <vt:lpstr>port8</vt:lpstr>
      <vt:lpstr>port9</vt:lpstr>
      <vt:lpstr>Bunkering!Print_Area</vt:lpstr>
      <vt:lpstr>Data!Print_Area</vt:lpstr>
      <vt:lpstr>MAIN!Print_Area</vt:lpstr>
      <vt:lpstr>Report!Print_Area</vt:lpstr>
      <vt:lpstr>Report1!Print_Area</vt:lpstr>
      <vt:lpstr>Report2!Print_Area</vt:lpstr>
      <vt:lpstr>Report3!Print_Area</vt:lpstr>
      <vt:lpstr>Report4!Print_Area</vt:lpstr>
      <vt:lpstr>Report5!Print_Area</vt:lpstr>
      <vt:lpstr>Report6!Print_Area</vt:lpstr>
      <vt:lpstr>Report7!Print_Area</vt:lpstr>
      <vt:lpstr>quantityAdd1</vt:lpstr>
      <vt:lpstr>quantityAdd2</vt:lpstr>
      <vt:lpstr>quantityAdd3</vt:lpstr>
      <vt:lpstr>quantityAdd4</vt:lpstr>
      <vt:lpstr>quantityAdd5</vt:lpstr>
      <vt:lpstr>quantityAdd6</vt:lpstr>
      <vt:lpstr>quantityAdd7</vt:lpstr>
      <vt:lpstr>quantityAdd8</vt:lpstr>
      <vt:lpstr>quantityAdd9</vt:lpstr>
      <vt:lpstr>quantityHfo</vt:lpstr>
      <vt:lpstr>quantityLsfo</vt:lpstr>
      <vt:lpstr>quantityMdo</vt:lpstr>
      <vt:lpstr>quantityMgo</vt:lpstr>
      <vt:lpstr>quantityRemain</vt:lpstr>
      <vt:lpstr>receive1</vt:lpstr>
      <vt:lpstr>receive2</vt:lpstr>
      <vt:lpstr>receive21</vt:lpstr>
      <vt:lpstr>receive22</vt:lpstr>
      <vt:lpstr>receive23</vt:lpstr>
      <vt:lpstr>receive24</vt:lpstr>
      <vt:lpstr>receive3</vt:lpstr>
      <vt:lpstr>receive4</vt:lpstr>
      <vt:lpstr>receivedQuantity</vt:lpstr>
      <vt:lpstr>receiveHfo</vt:lpstr>
      <vt:lpstr>receiveMgo</vt:lpstr>
      <vt:lpstr>requiredHfo</vt:lpstr>
      <vt:lpstr>requiredMgo</vt:lpstr>
      <vt:lpstr>robHfo</vt:lpstr>
      <vt:lpstr>robLsfo</vt:lpstr>
      <vt:lpstr>robLube1</vt:lpstr>
      <vt:lpstr>robLube2</vt:lpstr>
      <vt:lpstr>robLube3</vt:lpstr>
      <vt:lpstr>robLube4</vt:lpstr>
      <vt:lpstr>robLubeTotal</vt:lpstr>
      <vt:lpstr>robMdo</vt:lpstr>
      <vt:lpstr>robMgo</vt:lpstr>
      <vt:lpstr>rowLast</vt:lpstr>
      <vt:lpstr>rowOil</vt:lpstr>
      <vt:lpstr>rowWater</vt:lpstr>
      <vt:lpstr>sampleGiven</vt:lpstr>
      <vt:lpstr>sequence1</vt:lpstr>
      <vt:lpstr>sequence2</vt:lpstr>
      <vt:lpstr>sequence3</vt:lpstr>
      <vt:lpstr>sequence4</vt:lpstr>
      <vt:lpstr>sequence5</vt:lpstr>
      <vt:lpstr>sequence6</vt:lpstr>
      <vt:lpstr>setupDate</vt:lpstr>
      <vt:lpstr>sgDen</vt:lpstr>
      <vt:lpstr>sound1</vt:lpstr>
      <vt:lpstr>sound10</vt:lpstr>
      <vt:lpstr>sound11</vt:lpstr>
      <vt:lpstr>sound12</vt:lpstr>
      <vt:lpstr>sound13</vt:lpstr>
      <vt:lpstr>sound14</vt:lpstr>
      <vt:lpstr>sound15</vt:lpstr>
      <vt:lpstr>sound16</vt:lpstr>
      <vt:lpstr>sound17</vt:lpstr>
      <vt:lpstr>sound2</vt:lpstr>
      <vt:lpstr>sound21</vt:lpstr>
      <vt:lpstr>sound210</vt:lpstr>
      <vt:lpstr>sound211</vt:lpstr>
      <vt:lpstr>sound212</vt:lpstr>
      <vt:lpstr>sound213</vt:lpstr>
      <vt:lpstr>sound214</vt:lpstr>
      <vt:lpstr>sound215</vt:lpstr>
      <vt:lpstr>sound216</vt:lpstr>
      <vt:lpstr>sound217</vt:lpstr>
      <vt:lpstr>sound22</vt:lpstr>
      <vt:lpstr>sound23</vt:lpstr>
      <vt:lpstr>sound24</vt:lpstr>
      <vt:lpstr>sound25</vt:lpstr>
      <vt:lpstr>sound26</vt:lpstr>
      <vt:lpstr>sound27</vt:lpstr>
      <vt:lpstr>sound28</vt:lpstr>
      <vt:lpstr>sound29</vt:lpstr>
      <vt:lpstr>sound3</vt:lpstr>
      <vt:lpstr>sound31</vt:lpstr>
      <vt:lpstr>sound310</vt:lpstr>
      <vt:lpstr>sound311</vt:lpstr>
      <vt:lpstr>sound312</vt:lpstr>
      <vt:lpstr>sound313</vt:lpstr>
      <vt:lpstr>sound314</vt:lpstr>
      <vt:lpstr>sound315</vt:lpstr>
      <vt:lpstr>sound316</vt:lpstr>
      <vt:lpstr>sound317</vt:lpstr>
      <vt:lpstr>sound32</vt:lpstr>
      <vt:lpstr>sound33</vt:lpstr>
      <vt:lpstr>sound34</vt:lpstr>
      <vt:lpstr>sound35</vt:lpstr>
      <vt:lpstr>sound36</vt:lpstr>
      <vt:lpstr>sound37</vt:lpstr>
      <vt:lpstr>sound38</vt:lpstr>
      <vt:lpstr>sound39</vt:lpstr>
      <vt:lpstr>sound4</vt:lpstr>
      <vt:lpstr>Bunkering!sound41</vt:lpstr>
      <vt:lpstr>Bunkering!sound410</vt:lpstr>
      <vt:lpstr>Bunkering!sound411</vt:lpstr>
      <vt:lpstr>Bunkering!sound412</vt:lpstr>
      <vt:lpstr>Bunkering!sound413</vt:lpstr>
      <vt:lpstr>Bunkering!sound414</vt:lpstr>
      <vt:lpstr>sound415</vt:lpstr>
      <vt:lpstr>sound416</vt:lpstr>
      <vt:lpstr>sound417</vt:lpstr>
      <vt:lpstr>Bunkering!sound42</vt:lpstr>
      <vt:lpstr>Bunkering!sound43</vt:lpstr>
      <vt:lpstr>Bunkering!sound44</vt:lpstr>
      <vt:lpstr>Bunkering!sound45</vt:lpstr>
      <vt:lpstr>Bunkering!sound46</vt:lpstr>
      <vt:lpstr>Bunkering!sound47</vt:lpstr>
      <vt:lpstr>Bunkering!sound48</vt:lpstr>
      <vt:lpstr>Bunkering!sound49</vt:lpstr>
      <vt:lpstr>sound5</vt:lpstr>
      <vt:lpstr>sound6</vt:lpstr>
      <vt:lpstr>sound7</vt:lpstr>
      <vt:lpstr>sound8</vt:lpstr>
      <vt:lpstr>sound9</vt:lpstr>
      <vt:lpstr>soundingPipe1</vt:lpstr>
      <vt:lpstr>soundingPipe10</vt:lpstr>
      <vt:lpstr>soundingPipe11</vt:lpstr>
      <vt:lpstr>soundingPipe12</vt:lpstr>
      <vt:lpstr>soundingPipe13</vt:lpstr>
      <vt:lpstr>soundingPipe14</vt:lpstr>
      <vt:lpstr>soundingPipe15</vt:lpstr>
      <vt:lpstr>soundingPipe16</vt:lpstr>
      <vt:lpstr>soundingPipe17</vt:lpstr>
      <vt:lpstr>soundingPipe2</vt:lpstr>
      <vt:lpstr>soundingPipe3</vt:lpstr>
      <vt:lpstr>soundingPipe4</vt:lpstr>
      <vt:lpstr>soundingPipe5</vt:lpstr>
      <vt:lpstr>soundingPipe6</vt:lpstr>
      <vt:lpstr>soundingPipe7</vt:lpstr>
      <vt:lpstr>soundingPipe8</vt:lpstr>
      <vt:lpstr>soundingPipe9</vt:lpstr>
      <vt:lpstr>soundTank1</vt:lpstr>
      <vt:lpstr>soundTank10</vt:lpstr>
      <vt:lpstr>soundTank11</vt:lpstr>
      <vt:lpstr>soundtank12</vt:lpstr>
      <vt:lpstr>soundTank13</vt:lpstr>
      <vt:lpstr>soundTank14</vt:lpstr>
      <vt:lpstr>soundTank15</vt:lpstr>
      <vt:lpstr>soundTank16</vt:lpstr>
      <vt:lpstr>soundTank17</vt:lpstr>
      <vt:lpstr>soundTank2</vt:lpstr>
      <vt:lpstr>soundTank21</vt:lpstr>
      <vt:lpstr>soundTank210</vt:lpstr>
      <vt:lpstr>soundTank211</vt:lpstr>
      <vt:lpstr>soundTank212</vt:lpstr>
      <vt:lpstr>soundTank213</vt:lpstr>
      <vt:lpstr>soundTank214</vt:lpstr>
      <vt:lpstr>soundTank215</vt:lpstr>
      <vt:lpstr>soundTank216</vt:lpstr>
      <vt:lpstr>soundTank217</vt:lpstr>
      <vt:lpstr>soundTank22</vt:lpstr>
      <vt:lpstr>soundTank23</vt:lpstr>
      <vt:lpstr>soundTank24</vt:lpstr>
      <vt:lpstr>soundTank25</vt:lpstr>
      <vt:lpstr>soundTank26</vt:lpstr>
      <vt:lpstr>soundTank27</vt:lpstr>
      <vt:lpstr>soundTank28</vt:lpstr>
      <vt:lpstr>soundTank29</vt:lpstr>
      <vt:lpstr>soundTank3</vt:lpstr>
      <vt:lpstr>soundTank4</vt:lpstr>
      <vt:lpstr>soundTank5</vt:lpstr>
      <vt:lpstr>soundTank6</vt:lpstr>
      <vt:lpstr>soundTank7</vt:lpstr>
      <vt:lpstr>soundTank8</vt:lpstr>
      <vt:lpstr>soundTank9</vt:lpstr>
      <vt:lpstr>specGrav1</vt:lpstr>
      <vt:lpstr>specGrav10</vt:lpstr>
      <vt:lpstr>specGrav11</vt:lpstr>
      <vt:lpstr>specGrav12</vt:lpstr>
      <vt:lpstr>specGrav13</vt:lpstr>
      <vt:lpstr>specGrav14</vt:lpstr>
      <vt:lpstr>specGrav15</vt:lpstr>
      <vt:lpstr>specGrav16</vt:lpstr>
      <vt:lpstr>specGrav17</vt:lpstr>
      <vt:lpstr>specGrav2</vt:lpstr>
      <vt:lpstr>Bunkering!specGrav21</vt:lpstr>
      <vt:lpstr>Bunkering!specGrav210</vt:lpstr>
      <vt:lpstr>Bunkering!specGrav211</vt:lpstr>
      <vt:lpstr>Bunkering!specGrav212</vt:lpstr>
      <vt:lpstr>Bunkering!specGrav213</vt:lpstr>
      <vt:lpstr>Bunkering!specGrav214</vt:lpstr>
      <vt:lpstr>specGrav215</vt:lpstr>
      <vt:lpstr>specGrav216</vt:lpstr>
      <vt:lpstr>specGrav217</vt:lpstr>
      <vt:lpstr>Bunkering!specGrav22</vt:lpstr>
      <vt:lpstr>Bunkering!specGrav23</vt:lpstr>
      <vt:lpstr>Bunkering!specGrav24</vt:lpstr>
      <vt:lpstr>Bunkering!specGrav25</vt:lpstr>
      <vt:lpstr>Bunkering!specGrav26</vt:lpstr>
      <vt:lpstr>Bunkering!specGrav27</vt:lpstr>
      <vt:lpstr>Bunkering!specGrav28</vt:lpstr>
      <vt:lpstr>Bunkering!specGrav29</vt:lpstr>
      <vt:lpstr>specGrav3</vt:lpstr>
      <vt:lpstr>specGrav4</vt:lpstr>
      <vt:lpstr>specGrav5</vt:lpstr>
      <vt:lpstr>specGrav6</vt:lpstr>
      <vt:lpstr>specGrav7</vt:lpstr>
      <vt:lpstr>specGrav8</vt:lpstr>
      <vt:lpstr>specGrav9</vt:lpstr>
      <vt:lpstr>specGravService</vt:lpstr>
      <vt:lpstr>specGravService2</vt:lpstr>
      <vt:lpstr>specGravService21</vt:lpstr>
      <vt:lpstr>Bunkering!specGravService22</vt:lpstr>
      <vt:lpstr>speed1</vt:lpstr>
      <vt:lpstr>speed10</vt:lpstr>
      <vt:lpstr>speed11</vt:lpstr>
      <vt:lpstr>speed110</vt:lpstr>
      <vt:lpstr>speed12</vt:lpstr>
      <vt:lpstr>speed13</vt:lpstr>
      <vt:lpstr>speed14</vt:lpstr>
      <vt:lpstr>speed15</vt:lpstr>
      <vt:lpstr>speed16</vt:lpstr>
      <vt:lpstr>speed17</vt:lpstr>
      <vt:lpstr>speed18</vt:lpstr>
      <vt:lpstr>speed19</vt:lpstr>
      <vt:lpstr>speed2</vt:lpstr>
      <vt:lpstr>speed3</vt:lpstr>
      <vt:lpstr>speed4</vt:lpstr>
      <vt:lpstr>speed5</vt:lpstr>
      <vt:lpstr>speed6</vt:lpstr>
      <vt:lpstr>speed7</vt:lpstr>
      <vt:lpstr>speed8</vt:lpstr>
      <vt:lpstr>speed9</vt:lpstr>
      <vt:lpstr>startPumpDate</vt:lpstr>
      <vt:lpstr>startPumpTime</vt:lpstr>
      <vt:lpstr>startRob1</vt:lpstr>
      <vt:lpstr>startRob2</vt:lpstr>
      <vt:lpstr>startRob3</vt:lpstr>
      <vt:lpstr>startRob4</vt:lpstr>
      <vt:lpstr>startRob5</vt:lpstr>
      <vt:lpstr>startRob6</vt:lpstr>
      <vt:lpstr>startUllage1</vt:lpstr>
      <vt:lpstr>startUllage2</vt:lpstr>
      <vt:lpstr>startUllage3</vt:lpstr>
      <vt:lpstr>startUllage4</vt:lpstr>
      <vt:lpstr>startUllage5</vt:lpstr>
      <vt:lpstr>startUllage6</vt:lpstr>
      <vt:lpstr>stopPumpDate</vt:lpstr>
      <vt:lpstr>stopPumpTime</vt:lpstr>
      <vt:lpstr>sulfurHfo</vt:lpstr>
      <vt:lpstr>sulfurLsfo</vt:lpstr>
      <vt:lpstr>sulfurMdo</vt:lpstr>
      <vt:lpstr>sulfurMgo</vt:lpstr>
      <vt:lpstr>SurveyDate</vt:lpstr>
      <vt:lpstr>Bunkering!SurveyDate1</vt:lpstr>
      <vt:lpstr>surveyPort</vt:lpstr>
      <vt:lpstr>Bunkering!surveyPort1</vt:lpstr>
      <vt:lpstr>surveySelect</vt:lpstr>
      <vt:lpstr>surveyTime</vt:lpstr>
      <vt:lpstr>Bunkering!surveyTime1</vt:lpstr>
      <vt:lpstr>surveyType</vt:lpstr>
      <vt:lpstr>swTemp</vt:lpstr>
      <vt:lpstr>Bunkering!swTemp1</vt:lpstr>
      <vt:lpstr>table</vt:lpstr>
      <vt:lpstr>tank10Heel1</vt:lpstr>
      <vt:lpstr>tank10Heel2</vt:lpstr>
      <vt:lpstr>tank10Heel3</vt:lpstr>
      <vt:lpstr>tank10Trim1</vt:lpstr>
      <vt:lpstr>tank10Trim2</vt:lpstr>
      <vt:lpstr>tank10Trim3</vt:lpstr>
      <vt:lpstr>tank11Heel1</vt:lpstr>
      <vt:lpstr>tank11Heel2</vt:lpstr>
      <vt:lpstr>tank11Heel3</vt:lpstr>
      <vt:lpstr>tank11Trim1</vt:lpstr>
      <vt:lpstr>tank11Trim2</vt:lpstr>
      <vt:lpstr>tank11Trim3</vt:lpstr>
      <vt:lpstr>tank12Heel1</vt:lpstr>
      <vt:lpstr>tank12Heel2</vt:lpstr>
      <vt:lpstr>tank12Heel3</vt:lpstr>
      <vt:lpstr>tank12Trim1</vt:lpstr>
      <vt:lpstr>tank12Trim2</vt:lpstr>
      <vt:lpstr>tank12Trim3</vt:lpstr>
      <vt:lpstr>tank13Heel1</vt:lpstr>
      <vt:lpstr>tank13Heel2</vt:lpstr>
      <vt:lpstr>tank13Heel3</vt:lpstr>
      <vt:lpstr>tank13Trim1</vt:lpstr>
      <vt:lpstr>tank13Trim2</vt:lpstr>
      <vt:lpstr>tank13Trim3</vt:lpstr>
      <vt:lpstr>tank14Heel1</vt:lpstr>
      <vt:lpstr>tank14Heel2</vt:lpstr>
      <vt:lpstr>tank14Heel3</vt:lpstr>
      <vt:lpstr>tank14Trim1</vt:lpstr>
      <vt:lpstr>tank14Trim2</vt:lpstr>
      <vt:lpstr>tank14Trim3</vt:lpstr>
      <vt:lpstr>tank15Heel1</vt:lpstr>
      <vt:lpstr>tank15Heel2</vt:lpstr>
      <vt:lpstr>tank15Heel3</vt:lpstr>
      <vt:lpstr>tank15Trim1</vt:lpstr>
      <vt:lpstr>tank15Trim2</vt:lpstr>
      <vt:lpstr>tank15Trim3</vt:lpstr>
      <vt:lpstr>tank16Heel1</vt:lpstr>
      <vt:lpstr>tank16Heel2</vt:lpstr>
      <vt:lpstr>tank16Heel3</vt:lpstr>
      <vt:lpstr>tank16Trim1</vt:lpstr>
      <vt:lpstr>tank16Trim2</vt:lpstr>
      <vt:lpstr>tank16Trim3</vt:lpstr>
      <vt:lpstr>tank17Heel1</vt:lpstr>
      <vt:lpstr>tank17Heel2</vt:lpstr>
      <vt:lpstr>tank17Heel3</vt:lpstr>
      <vt:lpstr>tank17Trim1</vt:lpstr>
      <vt:lpstr>tank17Trim2</vt:lpstr>
      <vt:lpstr>tank17Trim3</vt:lpstr>
      <vt:lpstr>tank1Heel1</vt:lpstr>
      <vt:lpstr>tank1Heel2</vt:lpstr>
      <vt:lpstr>tank1Heel3</vt:lpstr>
      <vt:lpstr>tank1Trim1</vt:lpstr>
      <vt:lpstr>tank1Trim2</vt:lpstr>
      <vt:lpstr>tank1Trim3</vt:lpstr>
      <vt:lpstr>tank2Heel1</vt:lpstr>
      <vt:lpstr>tank2Heel2</vt:lpstr>
      <vt:lpstr>tank2Heel3</vt:lpstr>
      <vt:lpstr>tank2Trim1</vt:lpstr>
      <vt:lpstr>tank2Trim2</vt:lpstr>
      <vt:lpstr>tank2Trim3</vt:lpstr>
      <vt:lpstr>tank3Heel1</vt:lpstr>
      <vt:lpstr>tank3Heel2</vt:lpstr>
      <vt:lpstr>tank3Heel3</vt:lpstr>
      <vt:lpstr>tank3Trim1</vt:lpstr>
      <vt:lpstr>tank3Trim2</vt:lpstr>
      <vt:lpstr>tank3Trim3</vt:lpstr>
      <vt:lpstr>tank4Heel1</vt:lpstr>
      <vt:lpstr>tank4Heel2</vt:lpstr>
      <vt:lpstr>tank4Heel3</vt:lpstr>
      <vt:lpstr>tank4Trim1</vt:lpstr>
      <vt:lpstr>tank4Trim2</vt:lpstr>
      <vt:lpstr>tank4Trim3</vt:lpstr>
      <vt:lpstr>tank5Heel1</vt:lpstr>
      <vt:lpstr>tank5Heel2</vt:lpstr>
      <vt:lpstr>tank5Heel3</vt:lpstr>
      <vt:lpstr>tank5Trim1</vt:lpstr>
      <vt:lpstr>tank5Trim2</vt:lpstr>
      <vt:lpstr>tank5Trim3</vt:lpstr>
      <vt:lpstr>tank6Heel1</vt:lpstr>
      <vt:lpstr>tank6Heel2</vt:lpstr>
      <vt:lpstr>tank6Heel3</vt:lpstr>
      <vt:lpstr>tank6Trim1</vt:lpstr>
      <vt:lpstr>tank6Trim2</vt:lpstr>
      <vt:lpstr>tank6Trim3</vt:lpstr>
      <vt:lpstr>tank7Heel1</vt:lpstr>
      <vt:lpstr>tank7Heel2</vt:lpstr>
      <vt:lpstr>tank7Heel3</vt:lpstr>
      <vt:lpstr>tank7Trim1</vt:lpstr>
      <vt:lpstr>tank7Trim2</vt:lpstr>
      <vt:lpstr>tank7Trim3</vt:lpstr>
      <vt:lpstr>tank8Heel1</vt:lpstr>
      <vt:lpstr>tank8Heel2</vt:lpstr>
      <vt:lpstr>tank8Heel3</vt:lpstr>
      <vt:lpstr>tank8Trim1</vt:lpstr>
      <vt:lpstr>tank8Trim2</vt:lpstr>
      <vt:lpstr>tank8Trim3</vt:lpstr>
      <vt:lpstr>tank9Heel1</vt:lpstr>
      <vt:lpstr>tank9Heel2</vt:lpstr>
      <vt:lpstr>tank9Heel3</vt:lpstr>
      <vt:lpstr>tank9Trim1</vt:lpstr>
      <vt:lpstr>tank9Trim2</vt:lpstr>
      <vt:lpstr>tank9Trim3</vt:lpstr>
      <vt:lpstr>tankHeeling</vt:lpstr>
      <vt:lpstr>tankHeeling1</vt:lpstr>
      <vt:lpstr>tankPlan1</vt:lpstr>
      <vt:lpstr>tankPlan2</vt:lpstr>
      <vt:lpstr>tankPlan3</vt:lpstr>
      <vt:lpstr>tankPlan4</vt:lpstr>
      <vt:lpstr>tankPlan5</vt:lpstr>
      <vt:lpstr>tankPlan6</vt:lpstr>
      <vt:lpstr>tankSound1</vt:lpstr>
      <vt:lpstr>tankSound10</vt:lpstr>
      <vt:lpstr>tankSound11</vt:lpstr>
      <vt:lpstr>tankSound12</vt:lpstr>
      <vt:lpstr>tankSound13</vt:lpstr>
      <vt:lpstr>tankSound14</vt:lpstr>
      <vt:lpstr>tankSound15</vt:lpstr>
      <vt:lpstr>tankSound16</vt:lpstr>
      <vt:lpstr>tankSound17</vt:lpstr>
      <vt:lpstr>tankSound2</vt:lpstr>
      <vt:lpstr>tankSound21</vt:lpstr>
      <vt:lpstr>tankSound210</vt:lpstr>
      <vt:lpstr>tankSound211</vt:lpstr>
      <vt:lpstr>tankSound212</vt:lpstr>
      <vt:lpstr>tankSound213</vt:lpstr>
      <vt:lpstr>tankSound214</vt:lpstr>
      <vt:lpstr>tankSound215</vt:lpstr>
      <vt:lpstr>tankSound216</vt:lpstr>
      <vt:lpstr>tankSound217</vt:lpstr>
      <vt:lpstr>tankSound22</vt:lpstr>
      <vt:lpstr>tankSound23</vt:lpstr>
      <vt:lpstr>tankSound24</vt:lpstr>
      <vt:lpstr>tankSound25</vt:lpstr>
      <vt:lpstr>tankSound26</vt:lpstr>
      <vt:lpstr>tankSound27</vt:lpstr>
      <vt:lpstr>tankSound28</vt:lpstr>
      <vt:lpstr>tankSound29</vt:lpstr>
      <vt:lpstr>tankSound3</vt:lpstr>
      <vt:lpstr>tankSound4</vt:lpstr>
      <vt:lpstr>tankSound5</vt:lpstr>
      <vt:lpstr>tankSound6</vt:lpstr>
      <vt:lpstr>tankSound7</vt:lpstr>
      <vt:lpstr>tankSound8</vt:lpstr>
      <vt:lpstr>tankSound9</vt:lpstr>
      <vt:lpstr>tankUse01</vt:lpstr>
      <vt:lpstr>tankUse010</vt:lpstr>
      <vt:lpstr>tankUse011</vt:lpstr>
      <vt:lpstr>tankUse012</vt:lpstr>
      <vt:lpstr>tankUse013</vt:lpstr>
      <vt:lpstr>tankUse014</vt:lpstr>
      <vt:lpstr>tankUse015</vt:lpstr>
      <vt:lpstr>tankUse016</vt:lpstr>
      <vt:lpstr>tankUse017</vt:lpstr>
      <vt:lpstr>tankUse02</vt:lpstr>
      <vt:lpstr>tankUse03</vt:lpstr>
      <vt:lpstr>tankUse04</vt:lpstr>
      <vt:lpstr>tankUse05</vt:lpstr>
      <vt:lpstr>tankUse06</vt:lpstr>
      <vt:lpstr>tankUse07</vt:lpstr>
      <vt:lpstr>tankUse08</vt:lpstr>
      <vt:lpstr>tankUse09</vt:lpstr>
      <vt:lpstr>tankUse1</vt:lpstr>
      <vt:lpstr>tankUse10</vt:lpstr>
      <vt:lpstr>tankUse11</vt:lpstr>
      <vt:lpstr>tankUse12</vt:lpstr>
      <vt:lpstr>tankUse13</vt:lpstr>
      <vt:lpstr>tankUse14</vt:lpstr>
      <vt:lpstr>tankUse15</vt:lpstr>
      <vt:lpstr>tankUse16</vt:lpstr>
      <vt:lpstr>tankUse17</vt:lpstr>
      <vt:lpstr>tankUse2</vt:lpstr>
      <vt:lpstr>tankUse3</vt:lpstr>
      <vt:lpstr>tankUse4</vt:lpstr>
      <vt:lpstr>tankUse5</vt:lpstr>
      <vt:lpstr>tankUse6</vt:lpstr>
      <vt:lpstr>tankUse7</vt:lpstr>
      <vt:lpstr>tankUse8</vt:lpstr>
      <vt:lpstr>tankUse9</vt:lpstr>
      <vt:lpstr>targetSounding1</vt:lpstr>
      <vt:lpstr>targetSounding12</vt:lpstr>
      <vt:lpstr>targetSounding13</vt:lpstr>
      <vt:lpstr>targetSounding16</vt:lpstr>
      <vt:lpstr>targetSounding2</vt:lpstr>
      <vt:lpstr>targetSounding3</vt:lpstr>
      <vt:lpstr>targetSounding4</vt:lpstr>
      <vt:lpstr>targetSounding5</vt:lpstr>
      <vt:lpstr>targetSounding6</vt:lpstr>
      <vt:lpstr>targetTank1</vt:lpstr>
      <vt:lpstr>targetTank12</vt:lpstr>
      <vt:lpstr>targettank13</vt:lpstr>
      <vt:lpstr>targetTank16</vt:lpstr>
      <vt:lpstr>targetTank2</vt:lpstr>
      <vt:lpstr>targetTank3</vt:lpstr>
      <vt:lpstr>targetTank4</vt:lpstr>
      <vt:lpstr>targetTank5</vt:lpstr>
      <vt:lpstr>targetTank6</vt:lpstr>
      <vt:lpstr>targetUllage1</vt:lpstr>
      <vt:lpstr>targetUllage2</vt:lpstr>
      <vt:lpstr>targetUllage3</vt:lpstr>
      <vt:lpstr>targetUllage4</vt:lpstr>
      <vt:lpstr>targetUllage5</vt:lpstr>
      <vt:lpstr>targetUllage6</vt:lpstr>
      <vt:lpstr>targetVolume1</vt:lpstr>
      <vt:lpstr>targetVolume2</vt:lpstr>
      <vt:lpstr>targetVolume3</vt:lpstr>
      <vt:lpstr>targetVolume4</vt:lpstr>
      <vt:lpstr>targetVolume5</vt:lpstr>
      <vt:lpstr>targetVolume6</vt:lpstr>
      <vt:lpstr>temp1</vt:lpstr>
      <vt:lpstr>temp10</vt:lpstr>
      <vt:lpstr>temp11</vt:lpstr>
      <vt:lpstr>temp12</vt:lpstr>
      <vt:lpstr>temp13</vt:lpstr>
      <vt:lpstr>temp14</vt:lpstr>
      <vt:lpstr>temp15</vt:lpstr>
      <vt:lpstr>temp16</vt:lpstr>
      <vt:lpstr>temp17</vt:lpstr>
      <vt:lpstr>temp2</vt:lpstr>
      <vt:lpstr>Bunkering!temp21</vt:lpstr>
      <vt:lpstr>Bunkering!temp210</vt:lpstr>
      <vt:lpstr>Bunkering!temp211</vt:lpstr>
      <vt:lpstr>Bunkering!temp212</vt:lpstr>
      <vt:lpstr>Bunkering!temp213</vt:lpstr>
      <vt:lpstr>Bunkering!temp214</vt:lpstr>
      <vt:lpstr>temp215</vt:lpstr>
      <vt:lpstr>temp216</vt:lpstr>
      <vt:lpstr>temp217</vt:lpstr>
      <vt:lpstr>Bunkering!temp22</vt:lpstr>
      <vt:lpstr>Bunkering!temp23</vt:lpstr>
      <vt:lpstr>Bunkering!temp24</vt:lpstr>
      <vt:lpstr>Bunkering!temp25</vt:lpstr>
      <vt:lpstr>Bunkering!temp26</vt:lpstr>
      <vt:lpstr>Bunkering!temp27</vt:lpstr>
      <vt:lpstr>Bunkering!temp28</vt:lpstr>
      <vt:lpstr>Bunkering!temp29</vt:lpstr>
      <vt:lpstr>temp3</vt:lpstr>
      <vt:lpstr>temp4</vt:lpstr>
      <vt:lpstr>temp5</vt:lpstr>
      <vt:lpstr>temp6</vt:lpstr>
      <vt:lpstr>temp7</vt:lpstr>
      <vt:lpstr>temp8</vt:lpstr>
      <vt:lpstr>temp9</vt:lpstr>
      <vt:lpstr>timeRemain</vt:lpstr>
      <vt:lpstr>tons1</vt:lpstr>
      <vt:lpstr>tons10</vt:lpstr>
      <vt:lpstr>tons11</vt:lpstr>
      <vt:lpstr>tons12</vt:lpstr>
      <vt:lpstr>tons13</vt:lpstr>
      <vt:lpstr>tons14</vt:lpstr>
      <vt:lpstr>tons15</vt:lpstr>
      <vt:lpstr>tons16</vt:lpstr>
      <vt:lpstr>tons17</vt:lpstr>
      <vt:lpstr>tons2</vt:lpstr>
      <vt:lpstr>Bunkering!tons21</vt:lpstr>
      <vt:lpstr>Bunkering!tons210</vt:lpstr>
      <vt:lpstr>Bunkering!tons211</vt:lpstr>
      <vt:lpstr>Bunkering!tons212</vt:lpstr>
      <vt:lpstr>Bunkering!tons213</vt:lpstr>
      <vt:lpstr>Bunkering!tons214</vt:lpstr>
      <vt:lpstr>tons215</vt:lpstr>
      <vt:lpstr>tons216</vt:lpstr>
      <vt:lpstr>tons217</vt:lpstr>
      <vt:lpstr>Bunkering!tons22</vt:lpstr>
      <vt:lpstr>Bunkering!tons23</vt:lpstr>
      <vt:lpstr>Bunkering!tons24</vt:lpstr>
      <vt:lpstr>Bunkering!tons25</vt:lpstr>
      <vt:lpstr>Bunkering!tons26</vt:lpstr>
      <vt:lpstr>Bunkering!tons27</vt:lpstr>
      <vt:lpstr>Bunkering!tons28</vt:lpstr>
      <vt:lpstr>Bunkering!tons29</vt:lpstr>
      <vt:lpstr>tons3</vt:lpstr>
      <vt:lpstr>tons4</vt:lpstr>
      <vt:lpstr>tons5</vt:lpstr>
      <vt:lpstr>tons6</vt:lpstr>
      <vt:lpstr>tons7</vt:lpstr>
      <vt:lpstr>tons8</vt:lpstr>
      <vt:lpstr>tons9</vt:lpstr>
      <vt:lpstr>toPort1</vt:lpstr>
      <vt:lpstr>toPort10</vt:lpstr>
      <vt:lpstr>toPort11</vt:lpstr>
      <vt:lpstr>toPort110</vt:lpstr>
      <vt:lpstr>toPort12</vt:lpstr>
      <vt:lpstr>toPort13</vt:lpstr>
      <vt:lpstr>toPort14</vt:lpstr>
      <vt:lpstr>toPort15</vt:lpstr>
      <vt:lpstr>toPort16</vt:lpstr>
      <vt:lpstr>toPort17</vt:lpstr>
      <vt:lpstr>toPort18</vt:lpstr>
      <vt:lpstr>toPort19</vt:lpstr>
      <vt:lpstr>toPort2</vt:lpstr>
      <vt:lpstr>toPort3</vt:lpstr>
      <vt:lpstr>toPort4</vt:lpstr>
      <vt:lpstr>toPort5</vt:lpstr>
      <vt:lpstr>toPort6</vt:lpstr>
      <vt:lpstr>toPort7</vt:lpstr>
      <vt:lpstr>toPort8</vt:lpstr>
      <vt:lpstr>toPort9</vt:lpstr>
      <vt:lpstr>total1</vt:lpstr>
      <vt:lpstr>total2</vt:lpstr>
      <vt:lpstr>total21</vt:lpstr>
      <vt:lpstr>total22</vt:lpstr>
      <vt:lpstr>total23</vt:lpstr>
      <vt:lpstr>total24</vt:lpstr>
      <vt:lpstr>total3</vt:lpstr>
      <vt:lpstr>total4</vt:lpstr>
      <vt:lpstr>totalAdd</vt:lpstr>
      <vt:lpstr>totalAdd1</vt:lpstr>
      <vt:lpstr>totalHfo</vt:lpstr>
      <vt:lpstr>totalHfoMt</vt:lpstr>
      <vt:lpstr>totalHfoMt2</vt:lpstr>
      <vt:lpstr>totalLfoMt</vt:lpstr>
      <vt:lpstr>totalLfoMt2</vt:lpstr>
      <vt:lpstr>totalMarginHfo</vt:lpstr>
      <vt:lpstr>totalMarginMgo</vt:lpstr>
      <vt:lpstr>totalMdoMt</vt:lpstr>
      <vt:lpstr>totalMdoMt2</vt:lpstr>
      <vt:lpstr>totalMgo</vt:lpstr>
      <vt:lpstr>totalMgoMt</vt:lpstr>
      <vt:lpstr>totalMgoMt2</vt:lpstr>
      <vt:lpstr>trim</vt:lpstr>
      <vt:lpstr>Bunkering!trim1</vt:lpstr>
      <vt:lpstr>trimDraft</vt:lpstr>
      <vt:lpstr>trimDraftTrue</vt:lpstr>
      <vt:lpstr>trimTrue</vt:lpstr>
      <vt:lpstr>trimTrue1</vt:lpstr>
      <vt:lpstr>typeOfFuel</vt:lpstr>
      <vt:lpstr>unit21</vt:lpstr>
      <vt:lpstr>unit210</vt:lpstr>
      <vt:lpstr>unit211</vt:lpstr>
      <vt:lpstr>unit212</vt:lpstr>
      <vt:lpstr>unit213</vt:lpstr>
      <vt:lpstr>unit214</vt:lpstr>
      <vt:lpstr>unit215</vt:lpstr>
      <vt:lpstr>unit216</vt:lpstr>
      <vt:lpstr>unit217</vt:lpstr>
      <vt:lpstr>unit22</vt:lpstr>
      <vt:lpstr>unit23</vt:lpstr>
      <vt:lpstr>unit24</vt:lpstr>
      <vt:lpstr>unit25</vt:lpstr>
      <vt:lpstr>unit26</vt:lpstr>
      <vt:lpstr>unit27</vt:lpstr>
      <vt:lpstr>unit28</vt:lpstr>
      <vt:lpstr>unit29</vt:lpstr>
      <vt:lpstr>unit41</vt:lpstr>
      <vt:lpstr>unit410</vt:lpstr>
      <vt:lpstr>unit411</vt:lpstr>
      <vt:lpstr>unit412</vt:lpstr>
      <vt:lpstr>unit413</vt:lpstr>
      <vt:lpstr>unit414</vt:lpstr>
      <vt:lpstr>unit415</vt:lpstr>
      <vt:lpstr>unit416</vt:lpstr>
      <vt:lpstr>unit417</vt:lpstr>
      <vt:lpstr>unit42</vt:lpstr>
      <vt:lpstr>unit43</vt:lpstr>
      <vt:lpstr>unit44</vt:lpstr>
      <vt:lpstr>unit45</vt:lpstr>
      <vt:lpstr>unit46</vt:lpstr>
      <vt:lpstr>unit47</vt:lpstr>
      <vt:lpstr>unit48</vt:lpstr>
      <vt:lpstr>unit49</vt:lpstr>
      <vt:lpstr>unitValue11</vt:lpstr>
      <vt:lpstr>unitValue110</vt:lpstr>
      <vt:lpstr>unitValue111</vt:lpstr>
      <vt:lpstr>unitValue112</vt:lpstr>
      <vt:lpstr>unitValue113</vt:lpstr>
      <vt:lpstr>unitValue114</vt:lpstr>
      <vt:lpstr>unitValue115</vt:lpstr>
      <vt:lpstr>unitValue116</vt:lpstr>
      <vt:lpstr>unitValue117</vt:lpstr>
      <vt:lpstr>unitValue12</vt:lpstr>
      <vt:lpstr>unitValue13</vt:lpstr>
      <vt:lpstr>unitValue14</vt:lpstr>
      <vt:lpstr>unitValue15</vt:lpstr>
      <vt:lpstr>unitValue16</vt:lpstr>
      <vt:lpstr>unitValue17</vt:lpstr>
      <vt:lpstr>unitValue18</vt:lpstr>
      <vt:lpstr>unitValue19</vt:lpstr>
      <vt:lpstr>unitValue21</vt:lpstr>
      <vt:lpstr>unitValue210</vt:lpstr>
      <vt:lpstr>unitValue211</vt:lpstr>
      <vt:lpstr>unitValue212</vt:lpstr>
      <vt:lpstr>unitValue213</vt:lpstr>
      <vt:lpstr>unitValue214</vt:lpstr>
      <vt:lpstr>unitValue215</vt:lpstr>
      <vt:lpstr>unitValue216</vt:lpstr>
      <vt:lpstr>unitValue217</vt:lpstr>
      <vt:lpstr>unitValue22</vt:lpstr>
      <vt:lpstr>unitValue23</vt:lpstr>
      <vt:lpstr>unitValue24</vt:lpstr>
      <vt:lpstr>unitValue25</vt:lpstr>
      <vt:lpstr>unitValue26</vt:lpstr>
      <vt:lpstr>unitValue27</vt:lpstr>
      <vt:lpstr>unitValue28</vt:lpstr>
      <vt:lpstr>unitValue29</vt:lpstr>
      <vt:lpstr>vcfTable1</vt:lpstr>
      <vt:lpstr>vcfTable10</vt:lpstr>
      <vt:lpstr>vcfTable11</vt:lpstr>
      <vt:lpstr>vcfTable12</vt:lpstr>
      <vt:lpstr>vcfTable13</vt:lpstr>
      <vt:lpstr>vcfTable14</vt:lpstr>
      <vt:lpstr>vcfTable15</vt:lpstr>
      <vt:lpstr>vcfTable16</vt:lpstr>
      <vt:lpstr>vcfTable17</vt:lpstr>
      <vt:lpstr>vcfTable2</vt:lpstr>
      <vt:lpstr>Bunkering!vcfTable21</vt:lpstr>
      <vt:lpstr>Bunkering!vcfTable210</vt:lpstr>
      <vt:lpstr>Bunkering!vcfTable211</vt:lpstr>
      <vt:lpstr>Bunkering!vcfTable212</vt:lpstr>
      <vt:lpstr>Bunkering!vcfTable213</vt:lpstr>
      <vt:lpstr>Bunkering!vcfTable214</vt:lpstr>
      <vt:lpstr>vcfTable215</vt:lpstr>
      <vt:lpstr>vcfTable216</vt:lpstr>
      <vt:lpstr>vcfTable217</vt:lpstr>
      <vt:lpstr>Bunkering!vcfTable22</vt:lpstr>
      <vt:lpstr>Bunkering!vcfTable23</vt:lpstr>
      <vt:lpstr>Bunkering!vcfTable24</vt:lpstr>
      <vt:lpstr>Bunkering!vcfTable25</vt:lpstr>
      <vt:lpstr>Bunkering!vcfTable26</vt:lpstr>
      <vt:lpstr>Bunkering!vcfTable27</vt:lpstr>
      <vt:lpstr>Bunkering!vcfTable28</vt:lpstr>
      <vt:lpstr>Bunkering!vcfTable29</vt:lpstr>
      <vt:lpstr>vcfTable3</vt:lpstr>
      <vt:lpstr>vcfTable4</vt:lpstr>
      <vt:lpstr>vcfTable5</vt:lpstr>
      <vt:lpstr>vcfTable6</vt:lpstr>
      <vt:lpstr>vcfTable7</vt:lpstr>
      <vt:lpstr>vcfTable8</vt:lpstr>
      <vt:lpstr>vcfTable9</vt:lpstr>
      <vt:lpstr>vesselCondition</vt:lpstr>
      <vt:lpstr>vesselName</vt:lpstr>
      <vt:lpstr>vesselPort</vt:lpstr>
      <vt:lpstr>volume100</vt:lpstr>
      <vt:lpstr>volume11</vt:lpstr>
      <vt:lpstr>volume110</vt:lpstr>
      <vt:lpstr>volume111</vt:lpstr>
      <vt:lpstr>volume112</vt:lpstr>
      <vt:lpstr>volume113</vt:lpstr>
      <vt:lpstr>volume114</vt:lpstr>
      <vt:lpstr>volume115</vt:lpstr>
      <vt:lpstr>volume116</vt:lpstr>
      <vt:lpstr>volume117</vt:lpstr>
      <vt:lpstr>volume12</vt:lpstr>
      <vt:lpstr>volume13</vt:lpstr>
      <vt:lpstr>volume14</vt:lpstr>
      <vt:lpstr>volume15</vt:lpstr>
      <vt:lpstr>volume16</vt:lpstr>
      <vt:lpstr>volume17</vt:lpstr>
      <vt:lpstr>volume18</vt:lpstr>
      <vt:lpstr>volume19</vt:lpstr>
      <vt:lpstr>volume200</vt:lpstr>
      <vt:lpstr>volume21</vt:lpstr>
      <vt:lpstr>volume210</vt:lpstr>
      <vt:lpstr>volume211</vt:lpstr>
      <vt:lpstr>volume212</vt:lpstr>
      <vt:lpstr>volume213</vt:lpstr>
      <vt:lpstr>volume214</vt:lpstr>
      <vt:lpstr>volume215</vt:lpstr>
      <vt:lpstr>volume216</vt:lpstr>
      <vt:lpstr>volume217</vt:lpstr>
      <vt:lpstr>volume22</vt:lpstr>
      <vt:lpstr>volume23</vt:lpstr>
      <vt:lpstr>volume24</vt:lpstr>
      <vt:lpstr>volume25</vt:lpstr>
      <vt:lpstr>volume26</vt:lpstr>
      <vt:lpstr>volume27</vt:lpstr>
      <vt:lpstr>volume28</vt:lpstr>
      <vt:lpstr>volume29</vt:lpstr>
      <vt:lpstr>volume300</vt:lpstr>
      <vt:lpstr>Bunkering!volume31</vt:lpstr>
      <vt:lpstr>Bunkering!volume310</vt:lpstr>
      <vt:lpstr>Bunkering!volume311</vt:lpstr>
      <vt:lpstr>Bunkering!volume312</vt:lpstr>
      <vt:lpstr>Bunkering!volume313</vt:lpstr>
      <vt:lpstr>Bunkering!volume314</vt:lpstr>
      <vt:lpstr>volume315</vt:lpstr>
      <vt:lpstr>volume316</vt:lpstr>
      <vt:lpstr>volume317</vt:lpstr>
      <vt:lpstr>Bunkering!volume32</vt:lpstr>
      <vt:lpstr>Bunkering!volume33</vt:lpstr>
      <vt:lpstr>Bunkering!volume34</vt:lpstr>
      <vt:lpstr>Bunkering!volume35</vt:lpstr>
      <vt:lpstr>Bunkering!volume36</vt:lpstr>
      <vt:lpstr>Bunkering!volume37</vt:lpstr>
      <vt:lpstr>Bunkering!volume38</vt:lpstr>
      <vt:lpstr>Bunkering!volume39</vt:lpstr>
      <vt:lpstr>volume400</vt:lpstr>
      <vt:lpstr>Bunkering!volume41</vt:lpstr>
      <vt:lpstr>Bunkering!volume410</vt:lpstr>
      <vt:lpstr>Bunkering!volume411</vt:lpstr>
      <vt:lpstr>Bunkering!volume412</vt:lpstr>
      <vt:lpstr>Bunkering!volume413</vt:lpstr>
      <vt:lpstr>Bunkering!volume414</vt:lpstr>
      <vt:lpstr>volume415</vt:lpstr>
      <vt:lpstr>volume416</vt:lpstr>
      <vt:lpstr>volume417</vt:lpstr>
      <vt:lpstr>Bunkering!volume42</vt:lpstr>
      <vt:lpstr>Bunkering!volume43</vt:lpstr>
      <vt:lpstr>Bunkering!volume44</vt:lpstr>
      <vt:lpstr>Bunkering!volume45</vt:lpstr>
      <vt:lpstr>Bunkering!volume46</vt:lpstr>
      <vt:lpstr>Bunkering!volume47</vt:lpstr>
      <vt:lpstr>Bunkering!volume48</vt:lpstr>
      <vt:lpstr>Bunkering!volume49</vt:lpstr>
      <vt:lpstr>volume500</vt:lpstr>
      <vt:lpstr>volume600</vt:lpstr>
      <vt:lpstr>voyageNumber</vt:lpstr>
      <vt:lpstr>voyNum</vt:lpstr>
      <vt:lpstr>voyNum1</vt:lpstr>
      <vt:lpstr>voyNumCalc</vt:lpstr>
      <vt:lpstr>Water1Heel</vt:lpstr>
      <vt:lpstr>Water1Heel1</vt:lpstr>
      <vt:lpstr>Water1Heel2</vt:lpstr>
      <vt:lpstr>Water1Heel3</vt:lpstr>
      <vt:lpstr>Water1Trim</vt:lpstr>
      <vt:lpstr>Water1Trim1</vt:lpstr>
      <vt:lpstr>Water1Trim2</vt:lpstr>
      <vt:lpstr>Water1Trim3</vt:lpstr>
      <vt:lpstr>Water2Heel</vt:lpstr>
      <vt:lpstr>Water2Heel1</vt:lpstr>
      <vt:lpstr>Water2Heel2</vt:lpstr>
      <vt:lpstr>Water2Heel3</vt:lpstr>
      <vt:lpstr>Water2Trim</vt:lpstr>
      <vt:lpstr>Water2Trim1</vt:lpstr>
      <vt:lpstr>Water2Trim2</vt:lpstr>
      <vt:lpstr>Water2Trim3</vt:lpstr>
      <vt:lpstr>Water3Heel</vt:lpstr>
      <vt:lpstr>Water3Heel1</vt:lpstr>
      <vt:lpstr>Water3Heel2</vt:lpstr>
      <vt:lpstr>Water3Heel3</vt:lpstr>
      <vt:lpstr>Water3Trim</vt:lpstr>
      <vt:lpstr>Water3Trim1</vt:lpstr>
      <vt:lpstr>Water3Trim2</vt:lpstr>
      <vt:lpstr>Water3Trim3</vt:lpstr>
      <vt:lpstr>Water4Heel</vt:lpstr>
      <vt:lpstr>Water4Heel1</vt:lpstr>
      <vt:lpstr>Water4Heel2</vt:lpstr>
      <vt:lpstr>Water4Heel3</vt:lpstr>
      <vt:lpstr>Water4Trim</vt:lpstr>
      <vt:lpstr>Water4Trim1</vt:lpstr>
      <vt:lpstr>Water4Trim2</vt:lpstr>
      <vt:lpstr>Water4Trim3</vt:lpstr>
      <vt:lpstr>waterDraft1</vt:lpstr>
      <vt:lpstr>waterDraftAft</vt:lpstr>
      <vt:lpstr>waterDraftFwd</vt:lpstr>
      <vt:lpstr>waterDraftMean</vt:lpstr>
      <vt:lpstr>waterHeel</vt:lpstr>
      <vt:lpstr>waterMonth</vt:lpstr>
      <vt:lpstr>waterPresent</vt:lpstr>
      <vt:lpstr>waterPreviousFlow</vt:lpstr>
      <vt:lpstr>waterPreviousRob</vt:lpstr>
      <vt:lpstr>waterRow</vt:lpstr>
      <vt:lpstr>WaterSound1</vt:lpstr>
      <vt:lpstr>WaterSound2</vt:lpstr>
      <vt:lpstr>WaterSound3</vt:lpstr>
      <vt:lpstr>WaterSound4</vt:lpstr>
      <vt:lpstr>waterTank1</vt:lpstr>
      <vt:lpstr>waterTank2</vt:lpstr>
      <vt:lpstr>waterTank21</vt:lpstr>
      <vt:lpstr>waterTank22</vt:lpstr>
      <vt:lpstr>waterTank23</vt:lpstr>
      <vt:lpstr>waterTank24</vt:lpstr>
      <vt:lpstr>waterTank3</vt:lpstr>
      <vt:lpstr>waterTank4</vt:lpstr>
      <vt:lpstr>waterTank5</vt:lpstr>
      <vt:lpstr>waterTank6</vt:lpstr>
      <vt:lpstr>waterTank7</vt:lpstr>
      <vt:lpstr>waterTank8</vt:lpstr>
      <vt:lpstr>waterTank9</vt:lpstr>
      <vt:lpstr>waterTrim</vt:lpstr>
      <vt:lpstr>waterTrimTrue</vt:lpstr>
      <vt:lpstr>WaterVolume1</vt:lpstr>
      <vt:lpstr>WaterVolume2</vt:lpstr>
      <vt:lpstr>WaterVolume3</vt:lpstr>
      <vt:lpstr>WaterVolume4</vt:lpstr>
      <vt:lpstr>waterYear</vt:lpstr>
      <vt:lpstr>wcfTable1</vt:lpstr>
      <vt:lpstr>wcfTable10</vt:lpstr>
      <vt:lpstr>wcfTable11</vt:lpstr>
      <vt:lpstr>wcfTable12</vt:lpstr>
      <vt:lpstr>wcfTable13</vt:lpstr>
      <vt:lpstr>wcfTable14</vt:lpstr>
      <vt:lpstr>wcfTable15</vt:lpstr>
      <vt:lpstr>wcfTable16</vt:lpstr>
      <vt:lpstr>wcfTable17</vt:lpstr>
      <vt:lpstr>wcfTable2</vt:lpstr>
      <vt:lpstr>Bunkering!wcfTable21</vt:lpstr>
      <vt:lpstr>Bunkering!wcfTable210</vt:lpstr>
      <vt:lpstr>Bunkering!wcfTable211</vt:lpstr>
      <vt:lpstr>Bunkering!wcfTable212</vt:lpstr>
      <vt:lpstr>Bunkering!wcfTable213</vt:lpstr>
      <vt:lpstr>Bunkering!wcfTable214</vt:lpstr>
      <vt:lpstr>wcfTable215</vt:lpstr>
      <vt:lpstr>wcfTable216</vt:lpstr>
      <vt:lpstr>wcfTable217</vt:lpstr>
      <vt:lpstr>Bunkering!wcfTable22</vt:lpstr>
      <vt:lpstr>Bunkering!wcfTable23</vt:lpstr>
      <vt:lpstr>Bunkering!wcfTable24</vt:lpstr>
      <vt:lpstr>Bunkering!wcfTable25</vt:lpstr>
      <vt:lpstr>Bunkering!wcfTable26</vt:lpstr>
      <vt:lpstr>Bunkering!wcfTable27</vt:lpstr>
      <vt:lpstr>Bunkering!wcfTable28</vt:lpstr>
      <vt:lpstr>Bunkering!wcfTable29</vt:lpstr>
      <vt:lpstr>wcfTable3</vt:lpstr>
      <vt:lpstr>wcfTable4</vt:lpstr>
      <vt:lpstr>wcfTable5</vt:lpstr>
      <vt:lpstr>wcfTable6</vt:lpstr>
      <vt:lpstr>wcfTable7</vt:lpstr>
      <vt:lpstr>wcfTable8</vt:lpstr>
      <vt:lpstr>wcfTable9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VESSEL TANK MANAGER</dc:title>
  <dc:subject>Fuel Calculation</dc:subject>
  <dc:creator>Marvin C. Endozo</dc:creator>
  <cp:keywords>MV JEWEL, TANK MANAGER, TANK MANAGEMENT, BUNKER TANK</cp:keywords>
  <cp:lastModifiedBy>Marvin Endozo</cp:lastModifiedBy>
  <cp:lastPrinted>2025-05-11T00:14:14Z</cp:lastPrinted>
  <dcterms:created xsi:type="dcterms:W3CDTF">2013-03-22T03:11:19Z</dcterms:created>
  <dcterms:modified xsi:type="dcterms:W3CDTF">2025-05-15T04:08:57Z</dcterms:modified>
  <cp:category>Tank Management, Tank Calculation, Fuel Calculation, Fuel Management</cp:category>
  <cp:contentStatus>For Review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b79354c8-da0f-434b-a74d-4eceef508d0e</vt:lpwstr>
  </property>
  <property fmtid="{D5CDD505-2E9C-101B-9397-08002B2CF9AE}" pid="3" name="ConnectionInfosStorage">
    <vt:lpwstr>WorkbookXmlParts</vt:lpwstr>
  </property>
</Properties>
</file>